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jpalomin\Desktop\__FCM\FCM 2026\_Documentos a Generar\Flujos SINIM\Flujos\"/>
    </mc:Choice>
  </mc:AlternateContent>
  <xr:revisionPtr revIDLastSave="0" documentId="13_ncr:1_{73CE0503-CE59-4AA0-AF1F-404672F27E49}" xr6:coauthVersionLast="47" xr6:coauthVersionMax="47" xr10:uidLastSave="{00000000-0000-0000-0000-000000000000}"/>
  <bookViews>
    <workbookView xWindow="-28920" yWindow="-120" windowWidth="29040" windowHeight="15720" tabRatio="771" firstSheet="7" activeTab="7" autoFilterDateGrouping="0" xr2:uid="{00000000-000D-0000-FFFF-FFFF00000000}"/>
  </bookViews>
  <sheets>
    <sheet name="_CARATULAS" sheetId="41" state="hidden" r:id="rId1"/>
    <sheet name="RESUMEN_FET y FCMi" sheetId="53" state="hidden" r:id="rId2"/>
    <sheet name="RESUMEN_FCM" sheetId="42" state="hidden" r:id="rId3"/>
    <sheet name="_GENERADOR" sheetId="50" state="hidden" r:id="rId4"/>
    <sheet name="_CIERRE" sheetId="43" state="hidden" r:id="rId5"/>
    <sheet name="_DATA STT PAGOS_" sheetId="25" state="hidden" r:id="rId6"/>
    <sheet name="_Flujo con Glosa 08" sheetId="31" state="hidden" r:id="rId7"/>
    <sheet name="PARAMETROS" sheetId="2" r:id="rId8"/>
    <sheet name="DATA" sheetId="49" r:id="rId9"/>
    <sheet name="DATA UIM IPASCUA DETCOMP" sheetId="15" r:id="rId10"/>
    <sheet name="DATOS IND MINERO" sheetId="51" state="hidden" r:id="rId11"/>
    <sheet name="COEFyDISTR_FET" sheetId="45" state="hidden" r:id="rId12"/>
    <sheet name="COEFyDISTR_MINERO" sheetId="46" state="hidden" r:id="rId13"/>
    <sheet name="COEF_FCM" sheetId="44" r:id="rId14"/>
    <sheet name="Flujo Global" sheetId="29" state="hidden" r:id="rId15"/>
    <sheet name="CALC MEC ESTAB Y ESTIM M FINAL" sheetId="16" r:id="rId16"/>
    <sheet name="Flujos" sheetId="40" r:id="rId17"/>
    <sheet name="NO CONSIDERAR" sheetId="52" state="hidden" r:id="rId18"/>
  </sheets>
  <definedNames>
    <definedName name="_xlnm._FilterDatabase" localSheetId="0" hidden="1">_CARATULAS!$AW$1:$BA$348</definedName>
    <definedName name="_xlnm._FilterDatabase" localSheetId="4" hidden="1">_CIERRE!$A$1:$AC$347</definedName>
    <definedName name="_xlnm._FilterDatabase" localSheetId="5" hidden="1">'_DATA STT PAGOS_'!$A$3:$G$352</definedName>
    <definedName name="_xlnm._FilterDatabase" localSheetId="6" hidden="1">'_Flujo con Glosa 08'!$A$6:$GV$352</definedName>
    <definedName name="_xlnm._FilterDatabase" localSheetId="15" hidden="1">'CALC MEC ESTAB Y ESTIM M FINAL'!$A$6:$AD$352</definedName>
    <definedName name="_xlnm._FilterDatabase" localSheetId="13" hidden="1">COEF_FCM!$A$8:$BB$354</definedName>
    <definedName name="_xlnm._FilterDatabase" localSheetId="11" hidden="1">COEFyDISTR_FET!$A$8:$AQ$354</definedName>
    <definedName name="_xlnm._FilterDatabase" localSheetId="12" hidden="1">COEFyDISTR_MINERO!$X$8:$AD$8</definedName>
    <definedName name="_xlnm._FilterDatabase" localSheetId="8" hidden="1">DATA!$A$4:$BC$350</definedName>
    <definedName name="_xlnm._FilterDatabase" localSheetId="10" hidden="1">'DATOS IND MINERO'!$N$2:$Q$2</definedName>
    <definedName name="_xlnm._FilterDatabase" localSheetId="16" hidden="1">Flujos!$A$4:$DC$350</definedName>
    <definedName name="_xlnm._FilterDatabase" localSheetId="17" hidden="1">'NO CONSIDERAR'!$A$1:$F$46</definedName>
    <definedName name="_xlnm._FilterDatabase" localSheetId="2" hidden="1">RESUMEN_FCM!$J$2:$P$348</definedName>
    <definedName name="_xlnm._FilterDatabase" localSheetId="1" hidden="1">'RESUMEN_FET y FCMi'!$A$3:$H$349</definedName>
    <definedName name="_xlnm.Print_Area" localSheetId="3">_GENERADOR!$K$1:$Q$59</definedName>
    <definedName name="DEC">PARAMETROS!$L$6</definedName>
    <definedName name="DECM">PARAMETROS!$L$13</definedName>
    <definedName name="DIV_Pf">PARAMETROS!$L$12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348" i="41" l="1"/>
  <c r="AT348" i="41"/>
  <c r="AV348" i="41"/>
  <c r="AY348" i="41"/>
  <c r="AZ348" i="41"/>
  <c r="BA348" i="41"/>
  <c r="AX348" i="41"/>
  <c r="AW348" i="41"/>
  <c r="A2" i="41"/>
  <c r="B2" i="41"/>
  <c r="C2" i="41"/>
  <c r="AF2" i="41"/>
  <c r="AG2" i="41"/>
  <c r="AH2" i="41"/>
  <c r="AI2" i="41"/>
  <c r="AJ2" i="41"/>
  <c r="AK2" i="41"/>
  <c r="AL2" i="41"/>
  <c r="AM2" i="41"/>
  <c r="AN2" i="41"/>
  <c r="AO2" i="41"/>
  <c r="AP2" i="41"/>
  <c r="AQ2" i="41"/>
  <c r="AR2" i="41"/>
  <c r="AS2" i="41"/>
  <c r="AT2" i="41"/>
  <c r="A3" i="41"/>
  <c r="B3" i="41"/>
  <c r="C3" i="41"/>
  <c r="AF3" i="41"/>
  <c r="AG3" i="41"/>
  <c r="AH3" i="41"/>
  <c r="AI3" i="41"/>
  <c r="AJ3" i="41"/>
  <c r="AK3" i="41"/>
  <c r="AL3" i="41"/>
  <c r="AM3" i="41"/>
  <c r="AN3" i="41"/>
  <c r="AO3" i="41"/>
  <c r="AP3" i="41"/>
  <c r="AQ3" i="41"/>
  <c r="AR3" i="41"/>
  <c r="AS3" i="41"/>
  <c r="AT3" i="41"/>
  <c r="A4" i="41"/>
  <c r="B4" i="41"/>
  <c r="C4" i="41"/>
  <c r="AF4" i="41"/>
  <c r="AG4" i="41"/>
  <c r="AH4" i="41"/>
  <c r="AI4" i="41"/>
  <c r="AJ4" i="41"/>
  <c r="AK4" i="41"/>
  <c r="AL4" i="41"/>
  <c r="AM4" i="41"/>
  <c r="AN4" i="41"/>
  <c r="AO4" i="41"/>
  <c r="AP4" i="41"/>
  <c r="AQ4" i="41"/>
  <c r="AR4" i="41"/>
  <c r="AS4" i="41"/>
  <c r="AT4" i="41"/>
  <c r="A5" i="41"/>
  <c r="B5" i="41"/>
  <c r="C5" i="41"/>
  <c r="AF5" i="41"/>
  <c r="AG5" i="41"/>
  <c r="AH5" i="41"/>
  <c r="AI5" i="41"/>
  <c r="AJ5" i="41"/>
  <c r="AK5" i="41"/>
  <c r="AL5" i="41"/>
  <c r="AM5" i="41"/>
  <c r="AN5" i="41"/>
  <c r="AO5" i="41"/>
  <c r="AP5" i="41"/>
  <c r="AQ5" i="41"/>
  <c r="AR5" i="41"/>
  <c r="AS5" i="41"/>
  <c r="AT5" i="41"/>
  <c r="A6" i="41"/>
  <c r="B6" i="41"/>
  <c r="C6" i="41"/>
  <c r="AF6" i="41"/>
  <c r="AG6" i="41"/>
  <c r="AH6" i="41"/>
  <c r="AI6" i="41"/>
  <c r="AJ6" i="41"/>
  <c r="AK6" i="41"/>
  <c r="AL6" i="41"/>
  <c r="AM6" i="41"/>
  <c r="AN6" i="41"/>
  <c r="AO6" i="41"/>
  <c r="AP6" i="41"/>
  <c r="AQ6" i="41"/>
  <c r="AR6" i="41"/>
  <c r="AS6" i="41"/>
  <c r="AT6" i="41"/>
  <c r="A7" i="41"/>
  <c r="B7" i="41"/>
  <c r="C7" i="41"/>
  <c r="AF7" i="41"/>
  <c r="AG7" i="41"/>
  <c r="AH7" i="41"/>
  <c r="AI7" i="41"/>
  <c r="AJ7" i="41"/>
  <c r="AK7" i="41"/>
  <c r="AL7" i="41"/>
  <c r="AM7" i="41"/>
  <c r="AN7" i="41"/>
  <c r="AO7" i="41"/>
  <c r="AP7" i="41"/>
  <c r="AQ7" i="41"/>
  <c r="AR7" i="41"/>
  <c r="AS7" i="41"/>
  <c r="AT7" i="41"/>
  <c r="F1" i="25"/>
  <c r="AT8" i="41" l="1"/>
  <c r="AT9" i="41"/>
  <c r="AT10" i="41"/>
  <c r="AT11" i="41"/>
  <c r="AT12" i="41"/>
  <c r="AT13" i="41"/>
  <c r="AT14" i="41"/>
  <c r="AT15" i="41"/>
  <c r="AT16" i="41"/>
  <c r="AT17" i="41"/>
  <c r="AT18" i="41"/>
  <c r="AT19" i="41"/>
  <c r="AT20" i="41"/>
  <c r="AT21" i="41"/>
  <c r="AT22" i="41"/>
  <c r="AT23" i="41"/>
  <c r="AT24" i="41"/>
  <c r="AT25" i="41"/>
  <c r="AT26" i="41"/>
  <c r="AT27" i="41"/>
  <c r="AT28" i="41"/>
  <c r="AT29" i="41"/>
  <c r="AT30" i="41"/>
  <c r="AT31" i="41"/>
  <c r="AT32" i="41"/>
  <c r="AT33" i="41"/>
  <c r="AT34" i="41"/>
  <c r="AT35" i="41"/>
  <c r="AT36" i="41"/>
  <c r="AT37" i="41"/>
  <c r="AT38" i="41"/>
  <c r="AT39" i="41"/>
  <c r="AT40" i="41"/>
  <c r="AT41" i="41"/>
  <c r="AT42" i="41"/>
  <c r="AT43" i="41"/>
  <c r="AT44" i="41"/>
  <c r="AT45" i="41"/>
  <c r="AT46" i="41"/>
  <c r="AT47" i="41"/>
  <c r="AT48" i="41"/>
  <c r="AT49" i="41"/>
  <c r="AT50" i="41"/>
  <c r="AT51" i="41"/>
  <c r="AT52" i="41"/>
  <c r="AT53" i="41"/>
  <c r="AT54" i="41"/>
  <c r="AT55" i="41"/>
  <c r="AT56" i="41"/>
  <c r="AT57" i="41"/>
  <c r="AT58" i="41"/>
  <c r="AT59" i="41"/>
  <c r="AT60" i="41"/>
  <c r="AT61" i="41"/>
  <c r="AT62" i="41"/>
  <c r="AT63" i="41"/>
  <c r="AT64" i="41"/>
  <c r="AT65" i="41"/>
  <c r="AT66" i="41"/>
  <c r="AT67" i="41"/>
  <c r="AT68" i="41"/>
  <c r="AT69" i="41"/>
  <c r="AT70" i="41"/>
  <c r="AT71" i="41"/>
  <c r="AT72" i="41"/>
  <c r="AT73" i="41"/>
  <c r="AT74" i="41"/>
  <c r="AT75" i="41"/>
  <c r="AT76" i="41"/>
  <c r="AT77" i="41"/>
  <c r="AT78" i="41"/>
  <c r="AT79" i="41"/>
  <c r="AT80" i="41"/>
  <c r="AT81" i="41"/>
  <c r="AT82" i="41"/>
  <c r="AT83" i="41"/>
  <c r="AT84" i="41"/>
  <c r="AT85" i="41"/>
  <c r="AT86" i="41"/>
  <c r="AT87" i="41"/>
  <c r="AT88" i="41"/>
  <c r="AT89" i="41"/>
  <c r="AT90" i="41"/>
  <c r="AT91" i="41"/>
  <c r="AT92" i="41"/>
  <c r="AT93" i="41"/>
  <c r="AT94" i="41"/>
  <c r="AT95" i="41"/>
  <c r="AT96" i="41"/>
  <c r="AT97" i="41"/>
  <c r="AT98" i="41"/>
  <c r="AT99" i="41"/>
  <c r="AT100" i="41"/>
  <c r="AT101" i="41"/>
  <c r="AT102" i="41"/>
  <c r="AT103" i="41"/>
  <c r="AT104" i="41"/>
  <c r="AT105" i="41"/>
  <c r="AT106" i="41"/>
  <c r="AT107" i="41"/>
  <c r="AT108" i="41"/>
  <c r="AT109" i="41"/>
  <c r="AT110" i="41"/>
  <c r="AT111" i="41"/>
  <c r="AT112" i="41"/>
  <c r="AT113" i="41"/>
  <c r="AT114" i="41"/>
  <c r="AT115" i="41"/>
  <c r="AT116" i="41"/>
  <c r="AT117" i="41"/>
  <c r="AT118" i="41"/>
  <c r="AT119" i="41"/>
  <c r="AT120" i="41"/>
  <c r="AT121" i="41"/>
  <c r="AT122" i="41"/>
  <c r="AT123" i="41"/>
  <c r="AT124" i="41"/>
  <c r="AT125" i="41"/>
  <c r="AT126" i="41"/>
  <c r="AT127" i="41"/>
  <c r="AT128" i="41"/>
  <c r="AT129" i="41"/>
  <c r="AT130" i="41"/>
  <c r="AT131" i="41"/>
  <c r="AT132" i="41"/>
  <c r="AT133" i="41"/>
  <c r="AT134" i="41"/>
  <c r="AT135" i="41"/>
  <c r="AT136" i="41"/>
  <c r="AT137" i="41"/>
  <c r="AT138" i="41"/>
  <c r="AT139" i="41"/>
  <c r="AT140" i="41"/>
  <c r="AT141" i="41"/>
  <c r="AT142" i="41"/>
  <c r="AT143" i="41"/>
  <c r="AT144" i="41"/>
  <c r="AT145" i="41"/>
  <c r="AT146" i="41"/>
  <c r="AT147" i="41"/>
  <c r="AT148" i="41"/>
  <c r="AT149" i="41"/>
  <c r="AT150" i="41"/>
  <c r="AT151" i="41"/>
  <c r="AT152" i="41"/>
  <c r="AT153" i="41"/>
  <c r="AT154" i="41"/>
  <c r="AT155" i="41"/>
  <c r="AT156" i="41"/>
  <c r="AT157" i="41"/>
  <c r="AT158" i="41"/>
  <c r="AT159" i="41"/>
  <c r="AT160" i="41"/>
  <c r="AT161" i="41"/>
  <c r="AT162" i="41"/>
  <c r="AT163" i="41"/>
  <c r="AT164" i="41"/>
  <c r="AT165" i="41"/>
  <c r="AT166" i="41"/>
  <c r="AT167" i="41"/>
  <c r="AT168" i="41"/>
  <c r="AT169" i="41"/>
  <c r="AT170" i="41"/>
  <c r="AT171" i="41"/>
  <c r="AT172" i="41"/>
  <c r="AT173" i="41"/>
  <c r="AT174" i="41"/>
  <c r="AT175" i="41"/>
  <c r="AT176" i="41"/>
  <c r="AT177" i="41"/>
  <c r="AT178" i="41"/>
  <c r="AT179" i="41"/>
  <c r="AT180" i="41"/>
  <c r="AT181" i="41"/>
  <c r="AT182" i="41"/>
  <c r="AT183" i="41"/>
  <c r="AT184" i="41"/>
  <c r="AT185" i="41"/>
  <c r="AT186" i="41"/>
  <c r="AT187" i="41"/>
  <c r="AT188" i="41"/>
  <c r="AT189" i="41"/>
  <c r="AT190" i="41"/>
  <c r="AT191" i="41"/>
  <c r="AT192" i="41"/>
  <c r="AT193" i="41"/>
  <c r="AT194" i="41"/>
  <c r="AT195" i="41"/>
  <c r="AT196" i="41"/>
  <c r="AT197" i="41"/>
  <c r="AT198" i="41"/>
  <c r="AT199" i="41"/>
  <c r="AT200" i="41"/>
  <c r="AT201" i="41"/>
  <c r="AT202" i="41"/>
  <c r="AT203" i="41"/>
  <c r="AT204" i="41"/>
  <c r="AT205" i="41"/>
  <c r="AT206" i="41"/>
  <c r="AT207" i="41"/>
  <c r="AT208" i="41"/>
  <c r="AT209" i="41"/>
  <c r="AT210" i="41"/>
  <c r="AT211" i="41"/>
  <c r="AT212" i="41"/>
  <c r="AT213" i="41"/>
  <c r="AT214" i="41"/>
  <c r="AT215" i="41"/>
  <c r="AT216" i="41"/>
  <c r="AT217" i="41"/>
  <c r="AT218" i="41"/>
  <c r="AT219" i="41"/>
  <c r="AT220" i="41"/>
  <c r="AT221" i="41"/>
  <c r="AT222" i="41"/>
  <c r="AT223" i="41"/>
  <c r="AT224" i="41"/>
  <c r="AT225" i="41"/>
  <c r="AT226" i="41"/>
  <c r="AT227" i="41"/>
  <c r="AT228" i="41"/>
  <c r="AT229" i="41"/>
  <c r="AT230" i="41"/>
  <c r="AT231" i="41"/>
  <c r="AT232" i="41"/>
  <c r="AT233" i="41"/>
  <c r="AT234" i="41"/>
  <c r="AT235" i="41"/>
  <c r="AT236" i="41"/>
  <c r="AT237" i="41"/>
  <c r="AT238" i="41"/>
  <c r="AT239" i="41"/>
  <c r="AT240" i="41"/>
  <c r="AT241" i="41"/>
  <c r="AT242" i="41"/>
  <c r="AT243" i="41"/>
  <c r="AT244" i="41"/>
  <c r="AT245" i="41"/>
  <c r="AT246" i="41"/>
  <c r="AT247" i="41"/>
  <c r="AT248" i="41"/>
  <c r="AT249" i="41"/>
  <c r="AT250" i="41"/>
  <c r="AT251" i="41"/>
  <c r="AT252" i="41"/>
  <c r="AT253" i="41"/>
  <c r="AT254" i="41"/>
  <c r="AT255" i="41"/>
  <c r="AT256" i="41"/>
  <c r="AT257" i="41"/>
  <c r="AT258" i="41"/>
  <c r="AT259" i="41"/>
  <c r="AT260" i="41"/>
  <c r="AT261" i="41"/>
  <c r="AT262" i="41"/>
  <c r="AT263" i="41"/>
  <c r="AT264" i="41"/>
  <c r="AT265" i="41"/>
  <c r="AT266" i="41"/>
  <c r="AT267" i="41"/>
  <c r="AT268" i="41"/>
  <c r="AT269" i="41"/>
  <c r="AT270" i="41"/>
  <c r="AT271" i="41"/>
  <c r="AT272" i="41"/>
  <c r="AT273" i="41"/>
  <c r="AT274" i="41"/>
  <c r="AT275" i="41"/>
  <c r="AT276" i="41"/>
  <c r="AT277" i="41"/>
  <c r="AT278" i="41"/>
  <c r="AT279" i="41"/>
  <c r="AT280" i="41"/>
  <c r="AT281" i="41"/>
  <c r="AT282" i="41"/>
  <c r="AT283" i="41"/>
  <c r="AT284" i="41"/>
  <c r="AT285" i="41"/>
  <c r="AT286" i="41"/>
  <c r="AT287" i="41"/>
  <c r="AT288" i="41"/>
  <c r="AT289" i="41"/>
  <c r="AT290" i="41"/>
  <c r="AT291" i="41"/>
  <c r="AT292" i="41"/>
  <c r="AT293" i="41"/>
  <c r="AT294" i="41"/>
  <c r="AT295" i="41"/>
  <c r="AT296" i="41"/>
  <c r="AT297" i="41"/>
  <c r="AT298" i="41"/>
  <c r="AT299" i="41"/>
  <c r="AT300" i="41"/>
  <c r="AT301" i="41"/>
  <c r="AT302" i="41"/>
  <c r="AT303" i="41"/>
  <c r="AT304" i="41"/>
  <c r="AT305" i="41"/>
  <c r="AT306" i="41"/>
  <c r="AT307" i="41"/>
  <c r="AT308" i="41"/>
  <c r="AT309" i="41"/>
  <c r="AT310" i="41"/>
  <c r="AT311" i="41"/>
  <c r="AT312" i="41"/>
  <c r="AT313" i="41"/>
  <c r="AT314" i="41"/>
  <c r="AT315" i="41"/>
  <c r="AT316" i="41"/>
  <c r="AT317" i="41"/>
  <c r="AT318" i="41"/>
  <c r="AT319" i="41"/>
  <c r="AT320" i="41"/>
  <c r="AT321" i="41"/>
  <c r="AT322" i="41"/>
  <c r="AT323" i="41"/>
  <c r="AT324" i="41"/>
  <c r="AT325" i="41"/>
  <c r="AT326" i="41"/>
  <c r="AT327" i="41"/>
  <c r="AT328" i="41"/>
  <c r="AT329" i="41"/>
  <c r="AT330" i="41"/>
  <c r="AT331" i="41"/>
  <c r="AT332" i="41"/>
  <c r="AT333" i="41"/>
  <c r="AT334" i="41"/>
  <c r="AT335" i="41"/>
  <c r="AT336" i="41"/>
  <c r="AT337" i="41"/>
  <c r="AT338" i="41"/>
  <c r="AT339" i="41"/>
  <c r="AT340" i="41"/>
  <c r="AT341" i="41"/>
  <c r="AT342" i="41"/>
  <c r="AT343" i="41"/>
  <c r="AT344" i="41"/>
  <c r="AT345" i="41"/>
  <c r="AT346" i="41"/>
  <c r="AT347" i="41"/>
  <c r="K57" i="29" l="1"/>
  <c r="K58" i="29"/>
  <c r="K59" i="29"/>
  <c r="K60" i="29"/>
  <c r="K56" i="29"/>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326" i="31"/>
  <c r="D327" i="31"/>
  <c r="D328" i="31"/>
  <c r="D329" i="31"/>
  <c r="D330" i="31"/>
  <c r="D331" i="31"/>
  <c r="D332" i="31"/>
  <c r="D333" i="31"/>
  <c r="D334" i="31"/>
  <c r="D335" i="31"/>
  <c r="D336" i="31"/>
  <c r="D337" i="31"/>
  <c r="D338" i="31"/>
  <c r="D339" i="31"/>
  <c r="D340" i="31"/>
  <c r="D341" i="31"/>
  <c r="D342" i="31"/>
  <c r="D343" i="31"/>
  <c r="D344" i="31"/>
  <c r="D345" i="31"/>
  <c r="D346" i="31"/>
  <c r="D347" i="31"/>
  <c r="D348" i="31"/>
  <c r="D349" i="31"/>
  <c r="D350" i="31"/>
  <c r="D351" i="31"/>
  <c r="D352" i="31"/>
  <c r="D7" i="31"/>
  <c r="AK6" i="44"/>
  <c r="AH6" i="44"/>
  <c r="AI10" i="44"/>
  <c r="AI11" i="44"/>
  <c r="AI12" i="44"/>
  <c r="AI13" i="44"/>
  <c r="AI14" i="44"/>
  <c r="AI15" i="44"/>
  <c r="AI16" i="44"/>
  <c r="AI17" i="44"/>
  <c r="AI18" i="44"/>
  <c r="AI19" i="44"/>
  <c r="AI20" i="44"/>
  <c r="AI21" i="44"/>
  <c r="AI22" i="44"/>
  <c r="AI23" i="44"/>
  <c r="AI24" i="44"/>
  <c r="AI25" i="44"/>
  <c r="AI26" i="44"/>
  <c r="AI27" i="44"/>
  <c r="AI28" i="44"/>
  <c r="AI29" i="44"/>
  <c r="AI30" i="44"/>
  <c r="AI31" i="44"/>
  <c r="AI32" i="44"/>
  <c r="AI33" i="44"/>
  <c r="AI34" i="44"/>
  <c r="AI35" i="44"/>
  <c r="AI36" i="44"/>
  <c r="AI37" i="44"/>
  <c r="AI38" i="44"/>
  <c r="AI39" i="44"/>
  <c r="AI40" i="44"/>
  <c r="AI41" i="44"/>
  <c r="AI42" i="44"/>
  <c r="AI43" i="44"/>
  <c r="AI44" i="44"/>
  <c r="AI45" i="44"/>
  <c r="AI46" i="44"/>
  <c r="AI47" i="44"/>
  <c r="AI48" i="44"/>
  <c r="AI49" i="44"/>
  <c r="AI50" i="44"/>
  <c r="AI51" i="44"/>
  <c r="AI52" i="44"/>
  <c r="AI53" i="44"/>
  <c r="AI54" i="44"/>
  <c r="AI55" i="44"/>
  <c r="AI56" i="44"/>
  <c r="AI57" i="44"/>
  <c r="AI58" i="44"/>
  <c r="AI59" i="44"/>
  <c r="AI60" i="44"/>
  <c r="AI61" i="44"/>
  <c r="AI62" i="44"/>
  <c r="AI63" i="44"/>
  <c r="AI64" i="44"/>
  <c r="AI65" i="44"/>
  <c r="AI66" i="44"/>
  <c r="AI67" i="44"/>
  <c r="AI68" i="44"/>
  <c r="AI69" i="44"/>
  <c r="AI70" i="44"/>
  <c r="AI71" i="44"/>
  <c r="AI72" i="44"/>
  <c r="AI73" i="44"/>
  <c r="AI74" i="44"/>
  <c r="AI75" i="44"/>
  <c r="AI76" i="44"/>
  <c r="AI77" i="44"/>
  <c r="AI78" i="44"/>
  <c r="AI79" i="44"/>
  <c r="AI80" i="44"/>
  <c r="AI81" i="44"/>
  <c r="AI82" i="44"/>
  <c r="AI83" i="44"/>
  <c r="AI84" i="44"/>
  <c r="AI85" i="44"/>
  <c r="AI86" i="44"/>
  <c r="AI87" i="44"/>
  <c r="AI88" i="44"/>
  <c r="AI89" i="44"/>
  <c r="AI90" i="44"/>
  <c r="AI91" i="44"/>
  <c r="AI92" i="44"/>
  <c r="AI93" i="44"/>
  <c r="AI94" i="44"/>
  <c r="AI95" i="44"/>
  <c r="AI96" i="44"/>
  <c r="AI97" i="44"/>
  <c r="AI98" i="44"/>
  <c r="AI99" i="44"/>
  <c r="AI100" i="44"/>
  <c r="AI101" i="44"/>
  <c r="AI102" i="44"/>
  <c r="AI103" i="44"/>
  <c r="AI104" i="44"/>
  <c r="AI105" i="44"/>
  <c r="AI106" i="44"/>
  <c r="AI107" i="44"/>
  <c r="AI108" i="44"/>
  <c r="AI109" i="44"/>
  <c r="AI110" i="44"/>
  <c r="AI111" i="44"/>
  <c r="AI112" i="44"/>
  <c r="AI113" i="44"/>
  <c r="AI114" i="44"/>
  <c r="AI115" i="44"/>
  <c r="AI116" i="44"/>
  <c r="AI117" i="44"/>
  <c r="AI118" i="44"/>
  <c r="AI119" i="44"/>
  <c r="AI120" i="44"/>
  <c r="AI121" i="44"/>
  <c r="AI122" i="44"/>
  <c r="AI123" i="44"/>
  <c r="AI124" i="44"/>
  <c r="AI125" i="44"/>
  <c r="AI126" i="44"/>
  <c r="AI127" i="44"/>
  <c r="AI128" i="44"/>
  <c r="AI129" i="44"/>
  <c r="AI130" i="44"/>
  <c r="AI131" i="44"/>
  <c r="AI132" i="44"/>
  <c r="AI133" i="44"/>
  <c r="AI134" i="44"/>
  <c r="AI135" i="44"/>
  <c r="AI136" i="44"/>
  <c r="AI137" i="44"/>
  <c r="AI138" i="44"/>
  <c r="AI139" i="44"/>
  <c r="AI140" i="44"/>
  <c r="AI141" i="44"/>
  <c r="AI142" i="44"/>
  <c r="AI143" i="44"/>
  <c r="AI144" i="44"/>
  <c r="AI145" i="44"/>
  <c r="AI146" i="44"/>
  <c r="AI147" i="44"/>
  <c r="AI148" i="44"/>
  <c r="AI149" i="44"/>
  <c r="AI150" i="44"/>
  <c r="AI151" i="44"/>
  <c r="AI152" i="44"/>
  <c r="AI153" i="44"/>
  <c r="AI154" i="44"/>
  <c r="AI155" i="44"/>
  <c r="AI156" i="44"/>
  <c r="AI157" i="44"/>
  <c r="AI158" i="44"/>
  <c r="AI159" i="44"/>
  <c r="AI160" i="44"/>
  <c r="AI161" i="44"/>
  <c r="AI162" i="44"/>
  <c r="AI163" i="44"/>
  <c r="AI164" i="44"/>
  <c r="AI165" i="44"/>
  <c r="AI166" i="44"/>
  <c r="AI167" i="44"/>
  <c r="AI168" i="44"/>
  <c r="AI169" i="44"/>
  <c r="AI170" i="44"/>
  <c r="AI171" i="44"/>
  <c r="AI172" i="44"/>
  <c r="AI173" i="44"/>
  <c r="AI174" i="44"/>
  <c r="AI175" i="44"/>
  <c r="AI176" i="44"/>
  <c r="AI177" i="44"/>
  <c r="AI178" i="44"/>
  <c r="AI179" i="44"/>
  <c r="AI180" i="44"/>
  <c r="AI181" i="44"/>
  <c r="AI182" i="44"/>
  <c r="AI183" i="44"/>
  <c r="AI184" i="44"/>
  <c r="AI185" i="44"/>
  <c r="AI186" i="44"/>
  <c r="AI187" i="44"/>
  <c r="AI188" i="44"/>
  <c r="AI189" i="44"/>
  <c r="AI190" i="44"/>
  <c r="AI191" i="44"/>
  <c r="AI192" i="44"/>
  <c r="AI193" i="44"/>
  <c r="AI194" i="44"/>
  <c r="AI195" i="44"/>
  <c r="AI196" i="44"/>
  <c r="AI197" i="44"/>
  <c r="AI198" i="44"/>
  <c r="AI199" i="44"/>
  <c r="AI200" i="44"/>
  <c r="AI201" i="44"/>
  <c r="AI202" i="44"/>
  <c r="AI203" i="44"/>
  <c r="AI204" i="44"/>
  <c r="AI205" i="44"/>
  <c r="AI206" i="44"/>
  <c r="AI207" i="44"/>
  <c r="AI208" i="44"/>
  <c r="AI209" i="44"/>
  <c r="AI210" i="44"/>
  <c r="AI211" i="44"/>
  <c r="AI212" i="44"/>
  <c r="AI213" i="44"/>
  <c r="AI214" i="44"/>
  <c r="AI215" i="44"/>
  <c r="AI216" i="44"/>
  <c r="AI217" i="44"/>
  <c r="AI218" i="44"/>
  <c r="AI219" i="44"/>
  <c r="AI220" i="44"/>
  <c r="AI221" i="44"/>
  <c r="AI222" i="44"/>
  <c r="AI223" i="44"/>
  <c r="AI224" i="44"/>
  <c r="AI225" i="44"/>
  <c r="AI226" i="44"/>
  <c r="AI227" i="44"/>
  <c r="AI228" i="44"/>
  <c r="AI229" i="44"/>
  <c r="AI230" i="44"/>
  <c r="AI231" i="44"/>
  <c r="AI232" i="44"/>
  <c r="AI233" i="44"/>
  <c r="AI234" i="44"/>
  <c r="AI235" i="44"/>
  <c r="AI236" i="44"/>
  <c r="AI237" i="44"/>
  <c r="AI238" i="44"/>
  <c r="AI239" i="44"/>
  <c r="AI240" i="44"/>
  <c r="AI241" i="44"/>
  <c r="AI242" i="44"/>
  <c r="AI243" i="44"/>
  <c r="AI244" i="44"/>
  <c r="AI245" i="44"/>
  <c r="AI246" i="44"/>
  <c r="AI247" i="44"/>
  <c r="AI248" i="44"/>
  <c r="AI249" i="44"/>
  <c r="AI250" i="44"/>
  <c r="AI251" i="44"/>
  <c r="AI252" i="44"/>
  <c r="AI253" i="44"/>
  <c r="AI254" i="44"/>
  <c r="AI255" i="44"/>
  <c r="AI256" i="44"/>
  <c r="AI257" i="44"/>
  <c r="AI258" i="44"/>
  <c r="AI259" i="44"/>
  <c r="AI260" i="44"/>
  <c r="AI261" i="44"/>
  <c r="AI262" i="44"/>
  <c r="AI263" i="44"/>
  <c r="AI264" i="44"/>
  <c r="AI265" i="44"/>
  <c r="AI266" i="44"/>
  <c r="AI267" i="44"/>
  <c r="AI268" i="44"/>
  <c r="AI269" i="44"/>
  <c r="AI270" i="44"/>
  <c r="AI271" i="44"/>
  <c r="AI272" i="44"/>
  <c r="AI273" i="44"/>
  <c r="AI274" i="44"/>
  <c r="AI275" i="44"/>
  <c r="AI276" i="44"/>
  <c r="AI277" i="44"/>
  <c r="AI278" i="44"/>
  <c r="AI279" i="44"/>
  <c r="AI280" i="44"/>
  <c r="AI281" i="44"/>
  <c r="AI282" i="44"/>
  <c r="AI283" i="44"/>
  <c r="AI284" i="44"/>
  <c r="AI285" i="44"/>
  <c r="AI286" i="44"/>
  <c r="AI287" i="44"/>
  <c r="AI288" i="44"/>
  <c r="AI289" i="44"/>
  <c r="AI290" i="44"/>
  <c r="AI291" i="44"/>
  <c r="AI292" i="44"/>
  <c r="AI293" i="44"/>
  <c r="AI294" i="44"/>
  <c r="AI295" i="44"/>
  <c r="AI296" i="44"/>
  <c r="AI297" i="44"/>
  <c r="AI298" i="44"/>
  <c r="AI299" i="44"/>
  <c r="AI300" i="44"/>
  <c r="AI301" i="44"/>
  <c r="AI302" i="44"/>
  <c r="AI303" i="44"/>
  <c r="AI304" i="44"/>
  <c r="AI305" i="44"/>
  <c r="AI306" i="44"/>
  <c r="AI307" i="44"/>
  <c r="AI308" i="44"/>
  <c r="AI309" i="44"/>
  <c r="AI310" i="44"/>
  <c r="AI311" i="44"/>
  <c r="AI312" i="44"/>
  <c r="AI313" i="44"/>
  <c r="AI314" i="44"/>
  <c r="AI315" i="44"/>
  <c r="AI316" i="44"/>
  <c r="AI317" i="44"/>
  <c r="AI318" i="44"/>
  <c r="AI319" i="44"/>
  <c r="AI320" i="44"/>
  <c r="AI321" i="44"/>
  <c r="AI322" i="44"/>
  <c r="AI323" i="44"/>
  <c r="AI324" i="44"/>
  <c r="AI325" i="44"/>
  <c r="AI326" i="44"/>
  <c r="AI327" i="44"/>
  <c r="AI328" i="44"/>
  <c r="AI329" i="44"/>
  <c r="AI330" i="44"/>
  <c r="AI331" i="44"/>
  <c r="AI332" i="44"/>
  <c r="AI333" i="44"/>
  <c r="AI334" i="44"/>
  <c r="AI335" i="44"/>
  <c r="AI336" i="44"/>
  <c r="AI337" i="44"/>
  <c r="AI338" i="44"/>
  <c r="AI339" i="44"/>
  <c r="AI340" i="44"/>
  <c r="AI341" i="44"/>
  <c r="AI342" i="44"/>
  <c r="AI343" i="44"/>
  <c r="AI344" i="44"/>
  <c r="AI345" i="44"/>
  <c r="AI346" i="44"/>
  <c r="AI347" i="44"/>
  <c r="AI348" i="44"/>
  <c r="AI349" i="44"/>
  <c r="AI350" i="44"/>
  <c r="AI351" i="44"/>
  <c r="AI352" i="44"/>
  <c r="AI353" i="44"/>
  <c r="AI354" i="44"/>
  <c r="AI9" i="44"/>
  <c r="AL10" i="44"/>
  <c r="AL11" i="44"/>
  <c r="AL12" i="44"/>
  <c r="AL13" i="44"/>
  <c r="AL14" i="44"/>
  <c r="AL15" i="44"/>
  <c r="AL16" i="44"/>
  <c r="AL17" i="44"/>
  <c r="AL18" i="44"/>
  <c r="AL19" i="44"/>
  <c r="AL20" i="44"/>
  <c r="AL21" i="44"/>
  <c r="AL22" i="44"/>
  <c r="AL23" i="44"/>
  <c r="AL24" i="44"/>
  <c r="AL25" i="44"/>
  <c r="AL26" i="44"/>
  <c r="AL27" i="44"/>
  <c r="AL28" i="44"/>
  <c r="AL29" i="44"/>
  <c r="AL30" i="44"/>
  <c r="AL31" i="44"/>
  <c r="AL32" i="44"/>
  <c r="AL33" i="44"/>
  <c r="AL34" i="44"/>
  <c r="AL35" i="44"/>
  <c r="AL36" i="44"/>
  <c r="AL37" i="44"/>
  <c r="AL38" i="44"/>
  <c r="AL39" i="44"/>
  <c r="AL40" i="44"/>
  <c r="AL41" i="44"/>
  <c r="AL42" i="44"/>
  <c r="AL43" i="44"/>
  <c r="AL44" i="44"/>
  <c r="AL45" i="44"/>
  <c r="AL46" i="44"/>
  <c r="AL47" i="44"/>
  <c r="AL48" i="44"/>
  <c r="AL49" i="44"/>
  <c r="AL50" i="44"/>
  <c r="AL51" i="44"/>
  <c r="AL52" i="44"/>
  <c r="AL53" i="44"/>
  <c r="AL54" i="44"/>
  <c r="AL55" i="44"/>
  <c r="AL56" i="44"/>
  <c r="AL57" i="44"/>
  <c r="AL58" i="44"/>
  <c r="AL59" i="44"/>
  <c r="AL60" i="44"/>
  <c r="AL61" i="44"/>
  <c r="AL62" i="44"/>
  <c r="AL63" i="44"/>
  <c r="AL64" i="44"/>
  <c r="AL65" i="44"/>
  <c r="AL66" i="44"/>
  <c r="AL67" i="44"/>
  <c r="AL68" i="44"/>
  <c r="AL69" i="44"/>
  <c r="AL70" i="44"/>
  <c r="AL71" i="44"/>
  <c r="AL72" i="44"/>
  <c r="AL73" i="44"/>
  <c r="AL74" i="44"/>
  <c r="AL75" i="44"/>
  <c r="AL76" i="44"/>
  <c r="AL77" i="44"/>
  <c r="AL78" i="44"/>
  <c r="AL79" i="44"/>
  <c r="AL80" i="44"/>
  <c r="AL81" i="44"/>
  <c r="AL82" i="44"/>
  <c r="AL83" i="44"/>
  <c r="AL84" i="44"/>
  <c r="AL85" i="44"/>
  <c r="AL86" i="44"/>
  <c r="AL87" i="44"/>
  <c r="AL88" i="44"/>
  <c r="AL89" i="44"/>
  <c r="AL90" i="44"/>
  <c r="AL91" i="44"/>
  <c r="AL92" i="44"/>
  <c r="AL93" i="44"/>
  <c r="AL94" i="44"/>
  <c r="AL95" i="44"/>
  <c r="AL96" i="44"/>
  <c r="AL97" i="44"/>
  <c r="AL98" i="44"/>
  <c r="AL99" i="44"/>
  <c r="AL100" i="44"/>
  <c r="AL101" i="44"/>
  <c r="AL102" i="44"/>
  <c r="AL103" i="44"/>
  <c r="AL104" i="44"/>
  <c r="AL105" i="44"/>
  <c r="AL106" i="44"/>
  <c r="AL107" i="44"/>
  <c r="AL108" i="44"/>
  <c r="AL109" i="44"/>
  <c r="AL110" i="44"/>
  <c r="AL111" i="44"/>
  <c r="AL112" i="44"/>
  <c r="AL113" i="44"/>
  <c r="AL114" i="44"/>
  <c r="AL115" i="44"/>
  <c r="AL116" i="44"/>
  <c r="AL117" i="44"/>
  <c r="AL118" i="44"/>
  <c r="AL119" i="44"/>
  <c r="AL120" i="44"/>
  <c r="AL121" i="44"/>
  <c r="AL122" i="44"/>
  <c r="AL123" i="44"/>
  <c r="AL124" i="44"/>
  <c r="AL125" i="44"/>
  <c r="AL126" i="44"/>
  <c r="AL127" i="44"/>
  <c r="AL128" i="44"/>
  <c r="AL129" i="44"/>
  <c r="AL130" i="44"/>
  <c r="AL131" i="44"/>
  <c r="AL132" i="44"/>
  <c r="AL133" i="44"/>
  <c r="AL134" i="44"/>
  <c r="AL135" i="44"/>
  <c r="AL136" i="44"/>
  <c r="AL137" i="44"/>
  <c r="AL138" i="44"/>
  <c r="AL139" i="44"/>
  <c r="AL140" i="44"/>
  <c r="AL141" i="44"/>
  <c r="AL142" i="44"/>
  <c r="AL143" i="44"/>
  <c r="AL144" i="44"/>
  <c r="AL145" i="44"/>
  <c r="AL146" i="44"/>
  <c r="AL147" i="44"/>
  <c r="AL148" i="44"/>
  <c r="AL149" i="44"/>
  <c r="AL150" i="44"/>
  <c r="AL151" i="44"/>
  <c r="AL152" i="44"/>
  <c r="AL153" i="44"/>
  <c r="AL154" i="44"/>
  <c r="AL155" i="44"/>
  <c r="AL156" i="44"/>
  <c r="AL157" i="44"/>
  <c r="AL158" i="44"/>
  <c r="AL159" i="44"/>
  <c r="AL160" i="44"/>
  <c r="AL161" i="44"/>
  <c r="AL162" i="44"/>
  <c r="AL163" i="44"/>
  <c r="AL164" i="44"/>
  <c r="AL165" i="44"/>
  <c r="AL166" i="44"/>
  <c r="AL167" i="44"/>
  <c r="AL168" i="44"/>
  <c r="AL169" i="44"/>
  <c r="AL170" i="44"/>
  <c r="AL171" i="44"/>
  <c r="AL172" i="44"/>
  <c r="AL173" i="44"/>
  <c r="AL174" i="44"/>
  <c r="AL175" i="44"/>
  <c r="AL176" i="44"/>
  <c r="AL177" i="44"/>
  <c r="AL178" i="44"/>
  <c r="AL179" i="44"/>
  <c r="AL180" i="44"/>
  <c r="AL181" i="44"/>
  <c r="AL182" i="44"/>
  <c r="AL183" i="44"/>
  <c r="AL184" i="44"/>
  <c r="AL185" i="44"/>
  <c r="AL186" i="44"/>
  <c r="AL187" i="44"/>
  <c r="AL188" i="44"/>
  <c r="AL189" i="44"/>
  <c r="AL190" i="44"/>
  <c r="AL191" i="44"/>
  <c r="AL192" i="44"/>
  <c r="AL193" i="44"/>
  <c r="AL194" i="44"/>
  <c r="AL195" i="44"/>
  <c r="AL196" i="44"/>
  <c r="AL197" i="44"/>
  <c r="AL198" i="44"/>
  <c r="AL199" i="44"/>
  <c r="AL200" i="44"/>
  <c r="AL201" i="44"/>
  <c r="AL202" i="44"/>
  <c r="AL203" i="44"/>
  <c r="AL204" i="44"/>
  <c r="AL205" i="44"/>
  <c r="AL206" i="44"/>
  <c r="AL207" i="44"/>
  <c r="AL208" i="44"/>
  <c r="AL209" i="44"/>
  <c r="AL210" i="44"/>
  <c r="AL211" i="44"/>
  <c r="AL212" i="44"/>
  <c r="AL213" i="44"/>
  <c r="AL214" i="44"/>
  <c r="AL215" i="44"/>
  <c r="AL216" i="44"/>
  <c r="AL217" i="44"/>
  <c r="AL218" i="44"/>
  <c r="AL219" i="44"/>
  <c r="AL220" i="44"/>
  <c r="AL221" i="44"/>
  <c r="AL222" i="44"/>
  <c r="AL223" i="44"/>
  <c r="AL224" i="44"/>
  <c r="AL225" i="44"/>
  <c r="AL226" i="44"/>
  <c r="AL227" i="44"/>
  <c r="AL228" i="44"/>
  <c r="AL229" i="44"/>
  <c r="AL230" i="44"/>
  <c r="AL231" i="44"/>
  <c r="AL232" i="44"/>
  <c r="AL233" i="44"/>
  <c r="AL234" i="44"/>
  <c r="AL235" i="44"/>
  <c r="AL236" i="44"/>
  <c r="AL237" i="44"/>
  <c r="AL238" i="44"/>
  <c r="AL239" i="44"/>
  <c r="AL240" i="44"/>
  <c r="AL241" i="44"/>
  <c r="AL242" i="44"/>
  <c r="AL243" i="44"/>
  <c r="AL244" i="44"/>
  <c r="AL245" i="44"/>
  <c r="AL246" i="44"/>
  <c r="AL247" i="44"/>
  <c r="AL248" i="44"/>
  <c r="AL249" i="44"/>
  <c r="AL250" i="44"/>
  <c r="AL251" i="44"/>
  <c r="AL252" i="44"/>
  <c r="AL253" i="44"/>
  <c r="AL254" i="44"/>
  <c r="AL255" i="44"/>
  <c r="AL256" i="44"/>
  <c r="AL257" i="44"/>
  <c r="AL258" i="44"/>
  <c r="AL259" i="44"/>
  <c r="AL260" i="44"/>
  <c r="AL261" i="44"/>
  <c r="AL262" i="44"/>
  <c r="AL263" i="44"/>
  <c r="AL264" i="44"/>
  <c r="AL265" i="44"/>
  <c r="AL266" i="44"/>
  <c r="AL267" i="44"/>
  <c r="AL268" i="44"/>
  <c r="AL269" i="44"/>
  <c r="AL270" i="44"/>
  <c r="AL271" i="44"/>
  <c r="AL272" i="44"/>
  <c r="AL273" i="44"/>
  <c r="AL274" i="44"/>
  <c r="AL275" i="44"/>
  <c r="AL276" i="44"/>
  <c r="AL277" i="44"/>
  <c r="AL278" i="44"/>
  <c r="AL279" i="44"/>
  <c r="AL280" i="44"/>
  <c r="AL281" i="44"/>
  <c r="AL282" i="44"/>
  <c r="AL283" i="44"/>
  <c r="AL284" i="44"/>
  <c r="AL285" i="44"/>
  <c r="AL286" i="44"/>
  <c r="AL287" i="44"/>
  <c r="AL288" i="44"/>
  <c r="AL289" i="44"/>
  <c r="AL290" i="44"/>
  <c r="AL291" i="44"/>
  <c r="AL292" i="44"/>
  <c r="AL293" i="44"/>
  <c r="AL294" i="44"/>
  <c r="AL295" i="44"/>
  <c r="AL296" i="44"/>
  <c r="AL297" i="44"/>
  <c r="AL298" i="44"/>
  <c r="AL299" i="44"/>
  <c r="AL300" i="44"/>
  <c r="AL301" i="44"/>
  <c r="AL302" i="44"/>
  <c r="AL303" i="44"/>
  <c r="AL304" i="44"/>
  <c r="AL305" i="44"/>
  <c r="AL306" i="44"/>
  <c r="AL307" i="44"/>
  <c r="AL308" i="44"/>
  <c r="AL309" i="44"/>
  <c r="AL310" i="44"/>
  <c r="AL311" i="44"/>
  <c r="AL312" i="44"/>
  <c r="AL313" i="44"/>
  <c r="AL314" i="44"/>
  <c r="AL315" i="44"/>
  <c r="AL316" i="44"/>
  <c r="AL317" i="44"/>
  <c r="AL318" i="44"/>
  <c r="AL319" i="44"/>
  <c r="AL320" i="44"/>
  <c r="AL321" i="44"/>
  <c r="AL322" i="44"/>
  <c r="AL323" i="44"/>
  <c r="AL324" i="44"/>
  <c r="AL325" i="44"/>
  <c r="AL326" i="44"/>
  <c r="AL327" i="44"/>
  <c r="AL328" i="44"/>
  <c r="AL329" i="44"/>
  <c r="AL330" i="44"/>
  <c r="AL331" i="44"/>
  <c r="AL332" i="44"/>
  <c r="AL333" i="44"/>
  <c r="AL334" i="44"/>
  <c r="AL335" i="44"/>
  <c r="AL336" i="44"/>
  <c r="AL337" i="44"/>
  <c r="AL338" i="44"/>
  <c r="AL339" i="44"/>
  <c r="AL340" i="44"/>
  <c r="AL341" i="44"/>
  <c r="AL342" i="44"/>
  <c r="AL343" i="44"/>
  <c r="AL344" i="44"/>
  <c r="AL345" i="44"/>
  <c r="AL346" i="44"/>
  <c r="AL347" i="44"/>
  <c r="AL348" i="44"/>
  <c r="AL349" i="44"/>
  <c r="AL350" i="44"/>
  <c r="AL351" i="44"/>
  <c r="AL352" i="44"/>
  <c r="AL353" i="44"/>
  <c r="AL354" i="44"/>
  <c r="AL9" i="44"/>
  <c r="AK10" i="44"/>
  <c r="AK11" i="44"/>
  <c r="AK12" i="44"/>
  <c r="AK13" i="44"/>
  <c r="AK14" i="44"/>
  <c r="AK15" i="44"/>
  <c r="AK16" i="44"/>
  <c r="AK17" i="44"/>
  <c r="AK18" i="44"/>
  <c r="AK19" i="44"/>
  <c r="AK20" i="44"/>
  <c r="AK21" i="44"/>
  <c r="AK22" i="44"/>
  <c r="AK23" i="44"/>
  <c r="AK24" i="44"/>
  <c r="AK25" i="44"/>
  <c r="AK26" i="44"/>
  <c r="AK27" i="44"/>
  <c r="AK28" i="44"/>
  <c r="AK29" i="44"/>
  <c r="AK30" i="44"/>
  <c r="AK31" i="44"/>
  <c r="AK32" i="44"/>
  <c r="AK33" i="44"/>
  <c r="AK34" i="44"/>
  <c r="AK35" i="44"/>
  <c r="AK36" i="44"/>
  <c r="AK37" i="44"/>
  <c r="AK38" i="44"/>
  <c r="AK39" i="44"/>
  <c r="AK40" i="44"/>
  <c r="AK41" i="44"/>
  <c r="AK42" i="44"/>
  <c r="AK43" i="44"/>
  <c r="AK44" i="44"/>
  <c r="AK45" i="44"/>
  <c r="AK46" i="44"/>
  <c r="AK47" i="44"/>
  <c r="AK48" i="44"/>
  <c r="AK49" i="44"/>
  <c r="AK50" i="44"/>
  <c r="AK51" i="44"/>
  <c r="AK52" i="44"/>
  <c r="AK53" i="44"/>
  <c r="AK54" i="44"/>
  <c r="AK55" i="44"/>
  <c r="AK56" i="44"/>
  <c r="AK57" i="44"/>
  <c r="AK58" i="44"/>
  <c r="AK59" i="44"/>
  <c r="AK60" i="44"/>
  <c r="AK61" i="44"/>
  <c r="AK62" i="44"/>
  <c r="AK63" i="44"/>
  <c r="AK64" i="44"/>
  <c r="AK65" i="44"/>
  <c r="AK66" i="44"/>
  <c r="AK67" i="44"/>
  <c r="AK68" i="44"/>
  <c r="AK69" i="44"/>
  <c r="AK70" i="44"/>
  <c r="AK71" i="44"/>
  <c r="AK72" i="44"/>
  <c r="AK73" i="44"/>
  <c r="AK74" i="44"/>
  <c r="AK75" i="44"/>
  <c r="AK76" i="44"/>
  <c r="AK77" i="44"/>
  <c r="AK78" i="44"/>
  <c r="AK79" i="44"/>
  <c r="AK80" i="44"/>
  <c r="AK81" i="44"/>
  <c r="AK82" i="44"/>
  <c r="AK83" i="44"/>
  <c r="AK84" i="44"/>
  <c r="AK85" i="44"/>
  <c r="AK86" i="44"/>
  <c r="AK87" i="44"/>
  <c r="AK88" i="44"/>
  <c r="AK89" i="44"/>
  <c r="AK90" i="44"/>
  <c r="AK91" i="44"/>
  <c r="AK92" i="44"/>
  <c r="AK93" i="44"/>
  <c r="AK94" i="44"/>
  <c r="AK95" i="44"/>
  <c r="AK96" i="44"/>
  <c r="AK97" i="44"/>
  <c r="AK98" i="44"/>
  <c r="AK99" i="44"/>
  <c r="AK100" i="44"/>
  <c r="AK101" i="44"/>
  <c r="AK102" i="44"/>
  <c r="AK103" i="44"/>
  <c r="AK104" i="44"/>
  <c r="AK105" i="44"/>
  <c r="AK106" i="44"/>
  <c r="AK107" i="44"/>
  <c r="AK108" i="44"/>
  <c r="AK109" i="44"/>
  <c r="AK110" i="44"/>
  <c r="AK111" i="44"/>
  <c r="AK112" i="44"/>
  <c r="AK113" i="44"/>
  <c r="AK114" i="44"/>
  <c r="AK115" i="44"/>
  <c r="AK116" i="44"/>
  <c r="AK117" i="44"/>
  <c r="AK118" i="44"/>
  <c r="AK119" i="44"/>
  <c r="AK120" i="44"/>
  <c r="AK121" i="44"/>
  <c r="AK122" i="44"/>
  <c r="AK123" i="44"/>
  <c r="AK124" i="44"/>
  <c r="AK125" i="44"/>
  <c r="AK126" i="44"/>
  <c r="AK127" i="44"/>
  <c r="AK128" i="44"/>
  <c r="AK129" i="44"/>
  <c r="AK130" i="44"/>
  <c r="AK131" i="44"/>
  <c r="AK132" i="44"/>
  <c r="AK133" i="44"/>
  <c r="AK134" i="44"/>
  <c r="AK135" i="44"/>
  <c r="AK136" i="44"/>
  <c r="AK137" i="44"/>
  <c r="AK138" i="44"/>
  <c r="AK139" i="44"/>
  <c r="AK140" i="44"/>
  <c r="AK141" i="44"/>
  <c r="AK142" i="44"/>
  <c r="AK143" i="44"/>
  <c r="AK144" i="44"/>
  <c r="AK145" i="44"/>
  <c r="AK146" i="44"/>
  <c r="AK147" i="44"/>
  <c r="AK148" i="44"/>
  <c r="AK149" i="44"/>
  <c r="AK150" i="44"/>
  <c r="AK151" i="44"/>
  <c r="AK152" i="44"/>
  <c r="AK153" i="44"/>
  <c r="AK154" i="44"/>
  <c r="AK155" i="44"/>
  <c r="AK156" i="44"/>
  <c r="AK157" i="44"/>
  <c r="AK158" i="44"/>
  <c r="AK159" i="44"/>
  <c r="AK160" i="44"/>
  <c r="AK161" i="44"/>
  <c r="AK162" i="44"/>
  <c r="AK163" i="44"/>
  <c r="AK164" i="44"/>
  <c r="AK165" i="44"/>
  <c r="AK166" i="44"/>
  <c r="AK167" i="44"/>
  <c r="AK168" i="44"/>
  <c r="AK169" i="44"/>
  <c r="AK170" i="44"/>
  <c r="AK171" i="44"/>
  <c r="AK172" i="44"/>
  <c r="AK173" i="44"/>
  <c r="AK174" i="44"/>
  <c r="AK175" i="44"/>
  <c r="AK176" i="44"/>
  <c r="AK177" i="44"/>
  <c r="AK178" i="44"/>
  <c r="AK179" i="44"/>
  <c r="AK180" i="44"/>
  <c r="AK181" i="44"/>
  <c r="AK182" i="44"/>
  <c r="AK183" i="44"/>
  <c r="AK184" i="44"/>
  <c r="AK185" i="44"/>
  <c r="AK186" i="44"/>
  <c r="AK187" i="44"/>
  <c r="AK188" i="44"/>
  <c r="AK189" i="44"/>
  <c r="AK190" i="44"/>
  <c r="AK191" i="44"/>
  <c r="AK192" i="44"/>
  <c r="AK193" i="44"/>
  <c r="AK194" i="44"/>
  <c r="AK195" i="44"/>
  <c r="AK196" i="44"/>
  <c r="AK197" i="44"/>
  <c r="AK198" i="44"/>
  <c r="AK199" i="44"/>
  <c r="AK200" i="44"/>
  <c r="AK201" i="44"/>
  <c r="AK202" i="44"/>
  <c r="AK203" i="44"/>
  <c r="AK204" i="44"/>
  <c r="AK205" i="44"/>
  <c r="AK206" i="44"/>
  <c r="AK207" i="44"/>
  <c r="AK208" i="44"/>
  <c r="AK209" i="44"/>
  <c r="AK210" i="44"/>
  <c r="AK211" i="44"/>
  <c r="AK212" i="44"/>
  <c r="AK213" i="44"/>
  <c r="AK214" i="44"/>
  <c r="AK215" i="44"/>
  <c r="AK216" i="44"/>
  <c r="AK217" i="44"/>
  <c r="AK218" i="44"/>
  <c r="AK219" i="44"/>
  <c r="AK220" i="44"/>
  <c r="AK221" i="44"/>
  <c r="AK222" i="44"/>
  <c r="AK223" i="44"/>
  <c r="AK224" i="44"/>
  <c r="AK225" i="44"/>
  <c r="AK226" i="44"/>
  <c r="AK227" i="44"/>
  <c r="AK228" i="44"/>
  <c r="AK229" i="44"/>
  <c r="AK230" i="44"/>
  <c r="AK231" i="44"/>
  <c r="AK232" i="44"/>
  <c r="AK233" i="44"/>
  <c r="AK234" i="44"/>
  <c r="AK235" i="44"/>
  <c r="AK236" i="44"/>
  <c r="AK237" i="44"/>
  <c r="AK238" i="44"/>
  <c r="AK239" i="44"/>
  <c r="AK240" i="44"/>
  <c r="AK241" i="44"/>
  <c r="AK242" i="44"/>
  <c r="AK243" i="44"/>
  <c r="AK244" i="44"/>
  <c r="AK245" i="44"/>
  <c r="AK246" i="44"/>
  <c r="AK247" i="44"/>
  <c r="AK248" i="44"/>
  <c r="AK249" i="44"/>
  <c r="AK250" i="44"/>
  <c r="AK251" i="44"/>
  <c r="AK252" i="44"/>
  <c r="AK253" i="44"/>
  <c r="AK254" i="44"/>
  <c r="AK255" i="44"/>
  <c r="AK256" i="44"/>
  <c r="AK257" i="44"/>
  <c r="AK258" i="44"/>
  <c r="AK259" i="44"/>
  <c r="AK260" i="44"/>
  <c r="AK261" i="44"/>
  <c r="AK262" i="44"/>
  <c r="AK263" i="44"/>
  <c r="AK264" i="44"/>
  <c r="AK265" i="44"/>
  <c r="AK266" i="44"/>
  <c r="AK267" i="44"/>
  <c r="AK268" i="44"/>
  <c r="AK269" i="44"/>
  <c r="AK270" i="44"/>
  <c r="AK271" i="44"/>
  <c r="AK272" i="44"/>
  <c r="AK273" i="44"/>
  <c r="AK274" i="44"/>
  <c r="AK275" i="44"/>
  <c r="AK276" i="44"/>
  <c r="AK277" i="44"/>
  <c r="AK278" i="44"/>
  <c r="AK279" i="44"/>
  <c r="AK280" i="44"/>
  <c r="AK281" i="44"/>
  <c r="AK282" i="44"/>
  <c r="AK283" i="44"/>
  <c r="AK284" i="44"/>
  <c r="AK285" i="44"/>
  <c r="AK286" i="44"/>
  <c r="AK287" i="44"/>
  <c r="AK288" i="44"/>
  <c r="AK289" i="44"/>
  <c r="AK290" i="44"/>
  <c r="AK291" i="44"/>
  <c r="AK292" i="44"/>
  <c r="AK293" i="44"/>
  <c r="AK294" i="44"/>
  <c r="AK295" i="44"/>
  <c r="AK296" i="44"/>
  <c r="AK297" i="44"/>
  <c r="AK298" i="44"/>
  <c r="AK299" i="44"/>
  <c r="AK300" i="44"/>
  <c r="AK301" i="44"/>
  <c r="AK302" i="44"/>
  <c r="AK303" i="44"/>
  <c r="AK304" i="44"/>
  <c r="AK305" i="44"/>
  <c r="AK306" i="44"/>
  <c r="AK307" i="44"/>
  <c r="AK308" i="44"/>
  <c r="AK309" i="44"/>
  <c r="AK310" i="44"/>
  <c r="AK311" i="44"/>
  <c r="AK312" i="44"/>
  <c r="AK313" i="44"/>
  <c r="AK314" i="44"/>
  <c r="AK315" i="44"/>
  <c r="AK316" i="44"/>
  <c r="AK317" i="44"/>
  <c r="AK318" i="44"/>
  <c r="AK319" i="44"/>
  <c r="AK320" i="44"/>
  <c r="AK321" i="44"/>
  <c r="AK322" i="44"/>
  <c r="AK323" i="44"/>
  <c r="AK324" i="44"/>
  <c r="AK325" i="44"/>
  <c r="AK326" i="44"/>
  <c r="AK327" i="44"/>
  <c r="AK328" i="44"/>
  <c r="AK329" i="44"/>
  <c r="AK330" i="44"/>
  <c r="AK331" i="44"/>
  <c r="AK332" i="44"/>
  <c r="AK333" i="44"/>
  <c r="AK334" i="44"/>
  <c r="AK335" i="44"/>
  <c r="AK336" i="44"/>
  <c r="AK337" i="44"/>
  <c r="AK338" i="44"/>
  <c r="AK339" i="44"/>
  <c r="AK340" i="44"/>
  <c r="AK341" i="44"/>
  <c r="AK342" i="44"/>
  <c r="AK343" i="44"/>
  <c r="AK344" i="44"/>
  <c r="AK345" i="44"/>
  <c r="AK346" i="44"/>
  <c r="AK347" i="44"/>
  <c r="AK348" i="44"/>
  <c r="AK349" i="44"/>
  <c r="AK350" i="44"/>
  <c r="AK351" i="44"/>
  <c r="AK352" i="44"/>
  <c r="AK353" i="44"/>
  <c r="AK354" i="44"/>
  <c r="AK9" i="44"/>
  <c r="AL8" i="44"/>
  <c r="AK8" i="44"/>
  <c r="N3" i="49"/>
  <c r="O3" i="49"/>
  <c r="P3" i="49"/>
  <c r="E8" i="16" l="1"/>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E228" i="16"/>
  <c r="E229" i="16"/>
  <c r="E230" i="16"/>
  <c r="E231" i="16"/>
  <c r="E232" i="16"/>
  <c r="E233" i="16"/>
  <c r="E234" i="16"/>
  <c r="E235" i="16"/>
  <c r="E236" i="16"/>
  <c r="E237" i="16"/>
  <c r="E238" i="16"/>
  <c r="E239" i="16"/>
  <c r="E240" i="16"/>
  <c r="E241" i="16"/>
  <c r="E242" i="16"/>
  <c r="E243" i="16"/>
  <c r="E244" i="16"/>
  <c r="E245" i="16"/>
  <c r="E246" i="16"/>
  <c r="E247" i="16"/>
  <c r="E248" i="16"/>
  <c r="E249" i="16"/>
  <c r="E250" i="16"/>
  <c r="E251" i="16"/>
  <c r="E252" i="16"/>
  <c r="E253" i="16"/>
  <c r="E254" i="16"/>
  <c r="E255" i="16"/>
  <c r="E256" i="16"/>
  <c r="E257" i="16"/>
  <c r="E258" i="16"/>
  <c r="E259" i="16"/>
  <c r="E260" i="16"/>
  <c r="E261" i="16"/>
  <c r="E262" i="16"/>
  <c r="E263" i="16"/>
  <c r="E264" i="16"/>
  <c r="E265" i="16"/>
  <c r="E266" i="16"/>
  <c r="E267" i="16"/>
  <c r="E268" i="16"/>
  <c r="E269" i="16"/>
  <c r="E270" i="16"/>
  <c r="E271" i="16"/>
  <c r="E272" i="16"/>
  <c r="E273" i="16"/>
  <c r="E274" i="16"/>
  <c r="E275" i="16"/>
  <c r="E276" i="16"/>
  <c r="E277" i="16"/>
  <c r="E278" i="16"/>
  <c r="E279" i="16"/>
  <c r="E280" i="16"/>
  <c r="E281" i="16"/>
  <c r="E282" i="16"/>
  <c r="E283" i="16"/>
  <c r="E284" i="16"/>
  <c r="E285" i="16"/>
  <c r="E286" i="16"/>
  <c r="E287" i="16"/>
  <c r="E288" i="16"/>
  <c r="E289" i="16"/>
  <c r="E290" i="16"/>
  <c r="E291" i="16"/>
  <c r="E292" i="16"/>
  <c r="E293" i="16"/>
  <c r="E294" i="16"/>
  <c r="E295" i="16"/>
  <c r="E296" i="16"/>
  <c r="E297" i="16"/>
  <c r="E298" i="16"/>
  <c r="E299" i="16"/>
  <c r="E300" i="16"/>
  <c r="E301" i="16"/>
  <c r="E302" i="16"/>
  <c r="E303" i="16"/>
  <c r="E304" i="16"/>
  <c r="E305" i="16"/>
  <c r="E306" i="16"/>
  <c r="E307" i="16"/>
  <c r="E308" i="16"/>
  <c r="E309" i="16"/>
  <c r="E310" i="16"/>
  <c r="E311" i="16"/>
  <c r="E312" i="16"/>
  <c r="E313" i="16"/>
  <c r="E314" i="16"/>
  <c r="E315" i="16"/>
  <c r="E316" i="16"/>
  <c r="E317" i="16"/>
  <c r="E318" i="16"/>
  <c r="E319" i="16"/>
  <c r="E320" i="16"/>
  <c r="E321" i="16"/>
  <c r="E322" i="16"/>
  <c r="E323" i="16"/>
  <c r="E324" i="16"/>
  <c r="E325" i="16"/>
  <c r="E326" i="16"/>
  <c r="E327" i="16"/>
  <c r="E328" i="16"/>
  <c r="E329" i="16"/>
  <c r="E330" i="16"/>
  <c r="E331" i="16"/>
  <c r="E332" i="16"/>
  <c r="E333" i="16"/>
  <c r="E334" i="16"/>
  <c r="E335" i="16"/>
  <c r="E336" i="16"/>
  <c r="E337" i="16"/>
  <c r="E338" i="16"/>
  <c r="E339" i="16"/>
  <c r="E340" i="16"/>
  <c r="E341" i="16"/>
  <c r="E342" i="16"/>
  <c r="E343" i="16"/>
  <c r="E344" i="16"/>
  <c r="E345" i="16"/>
  <c r="E346" i="16"/>
  <c r="E347" i="16"/>
  <c r="E348" i="16"/>
  <c r="E349" i="16"/>
  <c r="E350" i="16"/>
  <c r="E351" i="16"/>
  <c r="E352" i="16"/>
  <c r="D8" i="16"/>
  <c r="D9" i="16"/>
  <c r="D10"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E7" i="16"/>
  <c r="D7" i="16"/>
  <c r="K2" i="25"/>
  <c r="J2" i="25"/>
  <c r="K8" i="25"/>
  <c r="K9" i="25"/>
  <c r="K10" i="25"/>
  <c r="K11"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K67" i="25"/>
  <c r="K68" i="25"/>
  <c r="K69" i="25"/>
  <c r="K70" i="25"/>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7" i="25"/>
  <c r="A356" i="25"/>
  <c r="D6" i="25"/>
  <c r="W10" i="49"/>
  <c r="W14" i="49"/>
  <c r="W15" i="49"/>
  <c r="W30" i="49"/>
  <c r="W31" i="49"/>
  <c r="W75" i="49"/>
  <c r="W81" i="49"/>
  <c r="W130" i="49"/>
  <c r="W134" i="49"/>
  <c r="W135" i="49"/>
  <c r="W154" i="49"/>
  <c r="W157" i="49"/>
  <c r="W175" i="49"/>
  <c r="W190" i="49"/>
  <c r="W194" i="49"/>
  <c r="W230" i="49"/>
  <c r="W231" i="49"/>
  <c r="W254" i="49"/>
  <c r="W257" i="49"/>
  <c r="W294" i="49"/>
  <c r="W295" i="49"/>
  <c r="W297" i="49"/>
  <c r="X4" i="49"/>
  <c r="Q8" i="25"/>
  <c r="R8" i="25" s="1"/>
  <c r="Q9" i="25"/>
  <c r="R9" i="25" s="1"/>
  <c r="Q10" i="25"/>
  <c r="R10" i="25" s="1"/>
  <c r="Q11" i="25"/>
  <c r="R11" i="25" s="1"/>
  <c r="Q12" i="25"/>
  <c r="Q13" i="25"/>
  <c r="Q14" i="25"/>
  <c r="R14" i="25" s="1"/>
  <c r="Q15" i="25"/>
  <c r="Q16" i="25"/>
  <c r="Q17" i="25"/>
  <c r="Q18" i="25"/>
  <c r="R18" i="25" s="1"/>
  <c r="Q19" i="25"/>
  <c r="Q20" i="25"/>
  <c r="R20" i="25" s="1"/>
  <c r="Q21" i="25"/>
  <c r="Q22" i="25"/>
  <c r="R22" i="25" s="1"/>
  <c r="Q23" i="25"/>
  <c r="R23" i="25" s="1"/>
  <c r="Q24" i="25"/>
  <c r="Q25" i="25"/>
  <c r="R25" i="25" s="1"/>
  <c r="Q26" i="25"/>
  <c r="R26" i="25" s="1"/>
  <c r="Q27" i="25"/>
  <c r="R27" i="25" s="1"/>
  <c r="Q28" i="25"/>
  <c r="R28" i="25" s="1"/>
  <c r="Q29" i="25"/>
  <c r="R29" i="25" s="1"/>
  <c r="Q30" i="25"/>
  <c r="R30" i="25" s="1"/>
  <c r="Q31" i="25"/>
  <c r="R31" i="25" s="1"/>
  <c r="Q32" i="25"/>
  <c r="Q33" i="25"/>
  <c r="Q34" i="25"/>
  <c r="R34" i="25" s="1"/>
  <c r="Q35" i="25"/>
  <c r="Q36" i="25"/>
  <c r="Q37" i="25"/>
  <c r="Q38" i="25"/>
  <c r="R38" i="25" s="1"/>
  <c r="Q39" i="25"/>
  <c r="Q40" i="25"/>
  <c r="R40" i="25" s="1"/>
  <c r="Q41" i="25"/>
  <c r="Q42" i="25"/>
  <c r="R42" i="25" s="1"/>
  <c r="Q43" i="25"/>
  <c r="R43" i="25" s="1"/>
  <c r="Q44" i="25"/>
  <c r="Q45" i="25"/>
  <c r="Q46" i="25"/>
  <c r="R46" i="25" s="1"/>
  <c r="Q47" i="25"/>
  <c r="R47" i="25" s="1"/>
  <c r="Q48" i="25"/>
  <c r="R48" i="25" s="1"/>
  <c r="Q49" i="25"/>
  <c r="R49" i="25" s="1"/>
  <c r="Q50" i="25"/>
  <c r="R50" i="25" s="1"/>
  <c r="Q51" i="25"/>
  <c r="R51" i="25" s="1"/>
  <c r="Q52" i="25"/>
  <c r="Q53" i="25"/>
  <c r="Q54" i="25"/>
  <c r="R54" i="25" s="1"/>
  <c r="Q55" i="25"/>
  <c r="Q56" i="25"/>
  <c r="Q57" i="25"/>
  <c r="Q58" i="25"/>
  <c r="R58" i="25" s="1"/>
  <c r="Q59" i="25"/>
  <c r="Q60" i="25"/>
  <c r="R60" i="25" s="1"/>
  <c r="Q61" i="25"/>
  <c r="Q62" i="25"/>
  <c r="R62" i="25" s="1"/>
  <c r="Q63" i="25"/>
  <c r="R63" i="25" s="1"/>
  <c r="Q64" i="25"/>
  <c r="Q65" i="25"/>
  <c r="Q66" i="25"/>
  <c r="R66" i="25" s="1"/>
  <c r="Q67" i="25"/>
  <c r="R67" i="25" s="1"/>
  <c r="Q68" i="25"/>
  <c r="R68" i="25" s="1"/>
  <c r="Q69" i="25"/>
  <c r="R69" i="25" s="1"/>
  <c r="Q70" i="25"/>
  <c r="R70" i="25" s="1"/>
  <c r="Q71" i="25"/>
  <c r="R71" i="25" s="1"/>
  <c r="Q72" i="25"/>
  <c r="Q73" i="25"/>
  <c r="Q74" i="25"/>
  <c r="R74" i="25" s="1"/>
  <c r="Q75" i="25"/>
  <c r="Q76" i="25"/>
  <c r="Q77" i="25"/>
  <c r="Q78" i="25"/>
  <c r="R78" i="25" s="1"/>
  <c r="Q79" i="25"/>
  <c r="Q80" i="25"/>
  <c r="R80" i="25" s="1"/>
  <c r="Q81" i="25"/>
  <c r="Q82" i="25"/>
  <c r="R82" i="25" s="1"/>
  <c r="Q83" i="25"/>
  <c r="R83" i="25" s="1"/>
  <c r="Q84" i="25"/>
  <c r="Q85" i="25"/>
  <c r="Q86" i="25"/>
  <c r="R86" i="25" s="1"/>
  <c r="Q87" i="25"/>
  <c r="R87" i="25" s="1"/>
  <c r="Q88" i="25"/>
  <c r="R88" i="25" s="1"/>
  <c r="Q89" i="25"/>
  <c r="R89" i="25" s="1"/>
  <c r="Q90" i="25"/>
  <c r="R90" i="25" s="1"/>
  <c r="Q91" i="25"/>
  <c r="R91" i="25" s="1"/>
  <c r="Q92" i="25"/>
  <c r="Q93" i="25"/>
  <c r="Q94" i="25"/>
  <c r="R94" i="25" s="1"/>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R122" i="25" s="1"/>
  <c r="Q123" i="25"/>
  <c r="R123" i="25" s="1"/>
  <c r="Q124" i="25"/>
  <c r="Q125" i="25"/>
  <c r="Q126" i="25"/>
  <c r="Q127" i="25"/>
  <c r="R127" i="25" s="1"/>
  <c r="Q128" i="25"/>
  <c r="R128" i="25" s="1"/>
  <c r="Q129" i="25"/>
  <c r="R129" i="25" s="1"/>
  <c r="Q130" i="25"/>
  <c r="Q131" i="25"/>
  <c r="Q132" i="25"/>
  <c r="Q133" i="25"/>
  <c r="Q134" i="25"/>
  <c r="Q135" i="25"/>
  <c r="Q136" i="25"/>
  <c r="Q137" i="25"/>
  <c r="Q138" i="25"/>
  <c r="Q139" i="25"/>
  <c r="Q140" i="25"/>
  <c r="Q141" i="25"/>
  <c r="Q142" i="25"/>
  <c r="R142" i="25" s="1"/>
  <c r="Q143" i="25"/>
  <c r="R143" i="25" s="1"/>
  <c r="Q144" i="25"/>
  <c r="Q145" i="25"/>
  <c r="R145" i="25" s="1"/>
  <c r="Q146" i="25"/>
  <c r="Q147" i="25"/>
  <c r="R147" i="25" s="1"/>
  <c r="Q148" i="25"/>
  <c r="R148" i="25" s="1"/>
  <c r="Q149" i="25"/>
  <c r="R149" i="25" s="1"/>
  <c r="Q150" i="25"/>
  <c r="Q151" i="25"/>
  <c r="Q152" i="25"/>
  <c r="Q153" i="25"/>
  <c r="Q154" i="25"/>
  <c r="Q155" i="25"/>
  <c r="Q156" i="25"/>
  <c r="Q157" i="25"/>
  <c r="Q158" i="25"/>
  <c r="Q159" i="25"/>
  <c r="Q160" i="25"/>
  <c r="Q161" i="25"/>
  <c r="Q162" i="25"/>
  <c r="R162" i="25" s="1"/>
  <c r="Q163" i="25"/>
  <c r="R163" i="25" s="1"/>
  <c r="Q164" i="25"/>
  <c r="Q165" i="25"/>
  <c r="R165" i="25" s="1"/>
  <c r="Q166" i="25"/>
  <c r="Q167" i="25"/>
  <c r="R167" i="25" s="1"/>
  <c r="Q168" i="25"/>
  <c r="R168" i="25" s="1"/>
  <c r="Q169" i="25"/>
  <c r="R169" i="25" s="1"/>
  <c r="Q170" i="25"/>
  <c r="Q171" i="25"/>
  <c r="Q172" i="25"/>
  <c r="Q173" i="25"/>
  <c r="Q174" i="25"/>
  <c r="Q175" i="25"/>
  <c r="Q176" i="25"/>
  <c r="Q177" i="25"/>
  <c r="Q178" i="25"/>
  <c r="Q179" i="25"/>
  <c r="Q180" i="25"/>
  <c r="Q181" i="25"/>
  <c r="Q182" i="25"/>
  <c r="R182" i="25" s="1"/>
  <c r="Q183" i="25"/>
  <c r="R183" i="25" s="1"/>
  <c r="Q184" i="25"/>
  <c r="Q185" i="25"/>
  <c r="Q186" i="25"/>
  <c r="Q187" i="25"/>
  <c r="R187" i="25" s="1"/>
  <c r="Q188" i="25"/>
  <c r="R188" i="25" s="1"/>
  <c r="Q189" i="25"/>
  <c r="R189" i="25" s="1"/>
  <c r="Q190" i="25"/>
  <c r="Q191" i="25"/>
  <c r="Q192" i="25"/>
  <c r="Q193" i="25"/>
  <c r="Q194" i="25"/>
  <c r="Q195" i="25"/>
  <c r="Q196" i="25"/>
  <c r="Q197" i="25"/>
  <c r="Q198" i="25"/>
  <c r="Q199" i="25"/>
  <c r="Q200" i="25"/>
  <c r="Q201" i="25"/>
  <c r="Q202" i="25"/>
  <c r="R202" i="25" s="1"/>
  <c r="Q203" i="25"/>
  <c r="R203" i="25" s="1"/>
  <c r="Q204" i="25"/>
  <c r="Q205" i="25"/>
  <c r="R205" i="25" s="1"/>
  <c r="Q206" i="25"/>
  <c r="Q207" i="25"/>
  <c r="R207" i="25" s="1"/>
  <c r="Q208" i="25"/>
  <c r="R208" i="25" s="1"/>
  <c r="Q209" i="25"/>
  <c r="R209" i="25" s="1"/>
  <c r="Q210" i="25"/>
  <c r="Q211" i="25"/>
  <c r="Q212" i="25"/>
  <c r="Q213" i="25"/>
  <c r="Q214" i="25"/>
  <c r="Q215" i="25"/>
  <c r="Q216" i="25"/>
  <c r="Q217" i="25"/>
  <c r="Q218" i="25"/>
  <c r="Q219" i="25"/>
  <c r="Q220" i="25"/>
  <c r="Q221" i="25"/>
  <c r="Q222" i="25"/>
  <c r="R222" i="25" s="1"/>
  <c r="Q223" i="25"/>
  <c r="R223" i="25" s="1"/>
  <c r="Q224" i="25"/>
  <c r="Q225" i="25"/>
  <c r="Q226" i="25"/>
  <c r="Q227" i="25"/>
  <c r="R227" i="25" s="1"/>
  <c r="Q228" i="25"/>
  <c r="R228" i="25" s="1"/>
  <c r="Q229" i="25"/>
  <c r="R229" i="25" s="1"/>
  <c r="Q230" i="25"/>
  <c r="Q231" i="25"/>
  <c r="Q232" i="25"/>
  <c r="Q233" i="25"/>
  <c r="Q234" i="25"/>
  <c r="Q235" i="25"/>
  <c r="Q236" i="25"/>
  <c r="Q237" i="25"/>
  <c r="Q238" i="25"/>
  <c r="Q239" i="25"/>
  <c r="Q240" i="25"/>
  <c r="Q241" i="25"/>
  <c r="Q242" i="25"/>
  <c r="R242" i="25" s="1"/>
  <c r="Q243" i="25"/>
  <c r="R243" i="25" s="1"/>
  <c r="Q244" i="25"/>
  <c r="Q245" i="25"/>
  <c r="Q246" i="25"/>
  <c r="Q247" i="25"/>
  <c r="R247" i="25" s="1"/>
  <c r="Q248" i="25"/>
  <c r="R248" i="25" s="1"/>
  <c r="Q249" i="25"/>
  <c r="R249" i="25" s="1"/>
  <c r="Q250" i="25"/>
  <c r="Q251" i="25"/>
  <c r="Q252" i="25"/>
  <c r="Q253" i="25"/>
  <c r="Q254" i="25"/>
  <c r="Q255" i="25"/>
  <c r="Q256" i="25"/>
  <c r="Q257" i="25"/>
  <c r="Q258" i="25"/>
  <c r="Q259" i="25"/>
  <c r="Q260" i="25"/>
  <c r="Q261" i="25"/>
  <c r="Q262" i="25"/>
  <c r="R262" i="25" s="1"/>
  <c r="Q263" i="25"/>
  <c r="R263" i="25" s="1"/>
  <c r="Q264" i="25"/>
  <c r="Q265" i="25"/>
  <c r="Q266" i="25"/>
  <c r="Q267" i="25"/>
  <c r="R267" i="25" s="1"/>
  <c r="Q268" i="25"/>
  <c r="R268" i="25" s="1"/>
  <c r="Q269" i="25"/>
  <c r="R269" i="25" s="1"/>
  <c r="Q270" i="25"/>
  <c r="Q271" i="25"/>
  <c r="Q272" i="25"/>
  <c r="Q273" i="25"/>
  <c r="Q274" i="25"/>
  <c r="Q275" i="25"/>
  <c r="Q276" i="25"/>
  <c r="Q277" i="25"/>
  <c r="Q278" i="25"/>
  <c r="Q279" i="25"/>
  <c r="Q280" i="25"/>
  <c r="Q281" i="25"/>
  <c r="Q282" i="25"/>
  <c r="R282" i="25" s="1"/>
  <c r="Q283" i="25"/>
  <c r="R283" i="25" s="1"/>
  <c r="Q284" i="25"/>
  <c r="Q285" i="25"/>
  <c r="R285" i="25" s="1"/>
  <c r="Q286" i="25"/>
  <c r="Q287" i="25"/>
  <c r="R287" i="25" s="1"/>
  <c r="Q288" i="25"/>
  <c r="R288" i="25" s="1"/>
  <c r="Q289" i="25"/>
  <c r="R289" i="25" s="1"/>
  <c r="Q290" i="25"/>
  <c r="Q291" i="25"/>
  <c r="Q292" i="25"/>
  <c r="Q293" i="25"/>
  <c r="Q294" i="25"/>
  <c r="Q295" i="25"/>
  <c r="Q296" i="25"/>
  <c r="Q297" i="25"/>
  <c r="Q298" i="25"/>
  <c r="Q299" i="25"/>
  <c r="Q300" i="25"/>
  <c r="Q301" i="25"/>
  <c r="Q302" i="25"/>
  <c r="R302" i="25" s="1"/>
  <c r="Q303" i="25"/>
  <c r="R303" i="25" s="1"/>
  <c r="Q304" i="25"/>
  <c r="Q305" i="25"/>
  <c r="Q306" i="25"/>
  <c r="Q307" i="25"/>
  <c r="R307" i="25" s="1"/>
  <c r="Q308" i="25"/>
  <c r="R308" i="25" s="1"/>
  <c r="Q309" i="25"/>
  <c r="R309" i="25" s="1"/>
  <c r="Q310" i="25"/>
  <c r="Q311" i="25"/>
  <c r="Q312" i="25"/>
  <c r="Q313" i="25"/>
  <c r="Q314" i="25"/>
  <c r="Q315" i="25"/>
  <c r="Q316" i="25"/>
  <c r="Q317" i="25"/>
  <c r="Q318" i="25"/>
  <c r="Q319" i="25"/>
  <c r="Q320" i="25"/>
  <c r="Q321" i="25"/>
  <c r="Q322" i="25"/>
  <c r="R322" i="25" s="1"/>
  <c r="Q323" i="25"/>
  <c r="R323" i="25" s="1"/>
  <c r="Q324" i="25"/>
  <c r="Q325" i="25"/>
  <c r="Q326" i="25"/>
  <c r="Q327" i="25"/>
  <c r="R327" i="25" s="1"/>
  <c r="Q328" i="25"/>
  <c r="R328" i="25" s="1"/>
  <c r="Q329" i="25"/>
  <c r="R329" i="25" s="1"/>
  <c r="Q330" i="25"/>
  <c r="Q331" i="25"/>
  <c r="Q332" i="25"/>
  <c r="Q333" i="25"/>
  <c r="Q334" i="25"/>
  <c r="Q335" i="25"/>
  <c r="Q336" i="25"/>
  <c r="Q337" i="25"/>
  <c r="Q338" i="25"/>
  <c r="Q339" i="25"/>
  <c r="Q340" i="25"/>
  <c r="Q341" i="25"/>
  <c r="Q342" i="25"/>
  <c r="R342" i="25" s="1"/>
  <c r="Q343" i="25"/>
  <c r="R343" i="25" s="1"/>
  <c r="Q344" i="25"/>
  <c r="Q345" i="25"/>
  <c r="R345" i="25" s="1"/>
  <c r="Q346" i="25"/>
  <c r="Q347" i="25"/>
  <c r="R347" i="25" s="1"/>
  <c r="Q348" i="25"/>
  <c r="R348" i="25" s="1"/>
  <c r="Q349" i="25"/>
  <c r="R349" i="25" s="1"/>
  <c r="Q350" i="25"/>
  <c r="Q351" i="25"/>
  <c r="Q352" i="25"/>
  <c r="P8" i="25"/>
  <c r="P9" i="25"/>
  <c r="P10" i="25"/>
  <c r="P11" i="25"/>
  <c r="P12" i="25"/>
  <c r="P13" i="25"/>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R99" i="25" s="1"/>
  <c r="P100" i="25"/>
  <c r="P101" i="25"/>
  <c r="R101" i="25" s="1"/>
  <c r="P102" i="25"/>
  <c r="R102" i="25" s="1"/>
  <c r="P103" i="25"/>
  <c r="R103" i="25" s="1"/>
  <c r="P104" i="25"/>
  <c r="R104" i="25" s="1"/>
  <c r="P105" i="25"/>
  <c r="R105" i="25" s="1"/>
  <c r="P106" i="25"/>
  <c r="P107" i="25"/>
  <c r="R107" i="25" s="1"/>
  <c r="P108" i="25"/>
  <c r="R108" i="25" s="1"/>
  <c r="P109" i="25"/>
  <c r="R109" i="25" s="1"/>
  <c r="P110" i="25"/>
  <c r="P111" i="25"/>
  <c r="P112" i="25"/>
  <c r="R112" i="25" s="1"/>
  <c r="P113" i="25"/>
  <c r="R113" i="25" s="1"/>
  <c r="P114" i="25"/>
  <c r="P115" i="25"/>
  <c r="R115" i="25" s="1"/>
  <c r="P116" i="25"/>
  <c r="R116" i="25" s="1"/>
  <c r="P117" i="25"/>
  <c r="R117" i="25" s="1"/>
  <c r="P118" i="25"/>
  <c r="P119" i="25"/>
  <c r="R119" i="25" s="1"/>
  <c r="P120" i="25"/>
  <c r="P121" i="25"/>
  <c r="R121" i="25" s="1"/>
  <c r="P122" i="25"/>
  <c r="P123" i="25"/>
  <c r="P124" i="25"/>
  <c r="R124" i="25" s="1"/>
  <c r="P125" i="25"/>
  <c r="R125" i="25" s="1"/>
  <c r="P126" i="25"/>
  <c r="P127" i="25"/>
  <c r="P128" i="25"/>
  <c r="P129" i="25"/>
  <c r="P130" i="25"/>
  <c r="P131" i="25"/>
  <c r="P132" i="25"/>
  <c r="R132" i="25" s="1"/>
  <c r="P133" i="25"/>
  <c r="R133" i="25" s="1"/>
  <c r="P134" i="25"/>
  <c r="P135" i="25"/>
  <c r="R135" i="25" s="1"/>
  <c r="P136" i="25"/>
  <c r="R136" i="25" s="1"/>
  <c r="P137" i="25"/>
  <c r="R137" i="25" s="1"/>
  <c r="P138" i="25"/>
  <c r="P139" i="25"/>
  <c r="R139" i="25" s="1"/>
  <c r="P140" i="25"/>
  <c r="P141" i="25"/>
  <c r="R141" i="25" s="1"/>
  <c r="P142" i="25"/>
  <c r="P143" i="25"/>
  <c r="P144" i="25"/>
  <c r="R144" i="25" s="1"/>
  <c r="P145" i="25"/>
  <c r="P146" i="25"/>
  <c r="P147" i="25"/>
  <c r="P148" i="25"/>
  <c r="P149" i="25"/>
  <c r="P150" i="25"/>
  <c r="P151" i="25"/>
  <c r="P152" i="25"/>
  <c r="R152" i="25" s="1"/>
  <c r="P153" i="25"/>
  <c r="R153" i="25" s="1"/>
  <c r="P154" i="25"/>
  <c r="P155" i="25"/>
  <c r="R155" i="25" s="1"/>
  <c r="P156" i="25"/>
  <c r="R156" i="25" s="1"/>
  <c r="P157" i="25"/>
  <c r="R157" i="25" s="1"/>
  <c r="P158" i="25"/>
  <c r="P159" i="25"/>
  <c r="R159" i="25" s="1"/>
  <c r="P160" i="25"/>
  <c r="P161" i="25"/>
  <c r="R161" i="25" s="1"/>
  <c r="P162" i="25"/>
  <c r="P163" i="25"/>
  <c r="P164" i="25"/>
  <c r="R164" i="25" s="1"/>
  <c r="P165" i="25"/>
  <c r="P166" i="25"/>
  <c r="P167" i="25"/>
  <c r="P168" i="25"/>
  <c r="P169" i="25"/>
  <c r="P170" i="25"/>
  <c r="P171" i="25"/>
  <c r="P172" i="25"/>
  <c r="R172" i="25" s="1"/>
  <c r="P173" i="25"/>
  <c r="R173" i="25" s="1"/>
  <c r="P174" i="25"/>
  <c r="P175" i="25"/>
  <c r="R175" i="25" s="1"/>
  <c r="P176" i="25"/>
  <c r="R176" i="25" s="1"/>
  <c r="P177" i="25"/>
  <c r="R177" i="25" s="1"/>
  <c r="P178" i="25"/>
  <c r="P179" i="25"/>
  <c r="R179" i="25" s="1"/>
  <c r="P180" i="25"/>
  <c r="P181" i="25"/>
  <c r="R181" i="25" s="1"/>
  <c r="P182" i="25"/>
  <c r="P183" i="25"/>
  <c r="P184" i="25"/>
  <c r="R184" i="25" s="1"/>
  <c r="P185" i="25"/>
  <c r="R185" i="25" s="1"/>
  <c r="P186" i="25"/>
  <c r="P187" i="25"/>
  <c r="P188" i="25"/>
  <c r="P189" i="25"/>
  <c r="P190" i="25"/>
  <c r="P191" i="25"/>
  <c r="P192" i="25"/>
  <c r="R192" i="25" s="1"/>
  <c r="P193" i="25"/>
  <c r="R193" i="25" s="1"/>
  <c r="P194" i="25"/>
  <c r="P195" i="25"/>
  <c r="R195" i="25" s="1"/>
  <c r="P196" i="25"/>
  <c r="R196" i="25" s="1"/>
  <c r="P197" i="25"/>
  <c r="R197" i="25" s="1"/>
  <c r="P198" i="25"/>
  <c r="P199" i="25"/>
  <c r="R199" i="25" s="1"/>
  <c r="P200" i="25"/>
  <c r="P201" i="25"/>
  <c r="R201" i="25" s="1"/>
  <c r="P202" i="25"/>
  <c r="P203" i="25"/>
  <c r="P204" i="25"/>
  <c r="R204" i="25" s="1"/>
  <c r="P205" i="25"/>
  <c r="P206" i="25"/>
  <c r="P207" i="25"/>
  <c r="P208" i="25"/>
  <c r="P209" i="25"/>
  <c r="P210" i="25"/>
  <c r="P211" i="25"/>
  <c r="P212" i="25"/>
  <c r="R212" i="25" s="1"/>
  <c r="P213" i="25"/>
  <c r="R213" i="25" s="1"/>
  <c r="P214" i="25"/>
  <c r="P215" i="25"/>
  <c r="R215" i="25" s="1"/>
  <c r="P216" i="25"/>
  <c r="R216" i="25" s="1"/>
  <c r="P217" i="25"/>
  <c r="R217" i="25" s="1"/>
  <c r="P218" i="25"/>
  <c r="P219" i="25"/>
  <c r="R219" i="25" s="1"/>
  <c r="P220" i="25"/>
  <c r="P221" i="25"/>
  <c r="R221" i="25" s="1"/>
  <c r="P222" i="25"/>
  <c r="P223" i="25"/>
  <c r="P224" i="25"/>
  <c r="R224" i="25" s="1"/>
  <c r="P225" i="25"/>
  <c r="R225" i="25" s="1"/>
  <c r="P226" i="25"/>
  <c r="P227" i="25"/>
  <c r="P228" i="25"/>
  <c r="P229" i="25"/>
  <c r="P230" i="25"/>
  <c r="P231" i="25"/>
  <c r="P232" i="25"/>
  <c r="R232" i="25" s="1"/>
  <c r="P233" i="25"/>
  <c r="R233" i="25" s="1"/>
  <c r="P234" i="25"/>
  <c r="P235" i="25"/>
  <c r="R235" i="25" s="1"/>
  <c r="P236" i="25"/>
  <c r="R236" i="25" s="1"/>
  <c r="P237" i="25"/>
  <c r="R237" i="25" s="1"/>
  <c r="P238" i="25"/>
  <c r="P239" i="25"/>
  <c r="R239" i="25" s="1"/>
  <c r="P240" i="25"/>
  <c r="P241" i="25"/>
  <c r="R241" i="25" s="1"/>
  <c r="P242" i="25"/>
  <c r="P243" i="25"/>
  <c r="P244" i="25"/>
  <c r="R244" i="25" s="1"/>
  <c r="P245" i="25"/>
  <c r="R245" i="25" s="1"/>
  <c r="P246" i="25"/>
  <c r="P247" i="25"/>
  <c r="P248" i="25"/>
  <c r="P249" i="25"/>
  <c r="P250" i="25"/>
  <c r="P251" i="25"/>
  <c r="P252" i="25"/>
  <c r="R252" i="25" s="1"/>
  <c r="P253" i="25"/>
  <c r="R253" i="25" s="1"/>
  <c r="P254" i="25"/>
  <c r="P255" i="25"/>
  <c r="R255" i="25" s="1"/>
  <c r="P256" i="25"/>
  <c r="R256" i="25" s="1"/>
  <c r="P257" i="25"/>
  <c r="R257" i="25" s="1"/>
  <c r="P258" i="25"/>
  <c r="P259" i="25"/>
  <c r="R259" i="25" s="1"/>
  <c r="P260" i="25"/>
  <c r="P261" i="25"/>
  <c r="R261" i="25" s="1"/>
  <c r="P262" i="25"/>
  <c r="P263" i="25"/>
  <c r="P264" i="25"/>
  <c r="R264" i="25" s="1"/>
  <c r="P265" i="25"/>
  <c r="R265" i="25" s="1"/>
  <c r="P266" i="25"/>
  <c r="P267" i="25"/>
  <c r="P268" i="25"/>
  <c r="P269" i="25"/>
  <c r="P270" i="25"/>
  <c r="P271" i="25"/>
  <c r="P272" i="25"/>
  <c r="R272" i="25" s="1"/>
  <c r="P273" i="25"/>
  <c r="R273" i="25" s="1"/>
  <c r="P274" i="25"/>
  <c r="P275" i="25"/>
  <c r="R275" i="25" s="1"/>
  <c r="P276" i="25"/>
  <c r="R276" i="25" s="1"/>
  <c r="P277" i="25"/>
  <c r="R277" i="25" s="1"/>
  <c r="P278" i="25"/>
  <c r="P279" i="25"/>
  <c r="R279" i="25" s="1"/>
  <c r="P280" i="25"/>
  <c r="P281" i="25"/>
  <c r="R281" i="25" s="1"/>
  <c r="P282" i="25"/>
  <c r="P283" i="25"/>
  <c r="P284" i="25"/>
  <c r="R284" i="25" s="1"/>
  <c r="P285" i="25"/>
  <c r="P286" i="25"/>
  <c r="P287" i="25"/>
  <c r="P288" i="25"/>
  <c r="P289" i="25"/>
  <c r="P290" i="25"/>
  <c r="P291" i="25"/>
  <c r="P292" i="25"/>
  <c r="R292" i="25" s="1"/>
  <c r="P293" i="25"/>
  <c r="R293" i="25" s="1"/>
  <c r="P294" i="25"/>
  <c r="P295" i="25"/>
  <c r="R295" i="25" s="1"/>
  <c r="P296" i="25"/>
  <c r="R296" i="25" s="1"/>
  <c r="P297" i="25"/>
  <c r="R297" i="25" s="1"/>
  <c r="P298" i="25"/>
  <c r="P299" i="25"/>
  <c r="R299" i="25" s="1"/>
  <c r="P300" i="25"/>
  <c r="P301" i="25"/>
  <c r="R301" i="25" s="1"/>
  <c r="P302" i="25"/>
  <c r="P303" i="25"/>
  <c r="P304" i="25"/>
  <c r="R304" i="25" s="1"/>
  <c r="P305" i="25"/>
  <c r="R305" i="25" s="1"/>
  <c r="P306" i="25"/>
  <c r="P307" i="25"/>
  <c r="P308" i="25"/>
  <c r="P309" i="25"/>
  <c r="P310" i="25"/>
  <c r="P311" i="25"/>
  <c r="P312" i="25"/>
  <c r="R312" i="25" s="1"/>
  <c r="P313" i="25"/>
  <c r="R313" i="25" s="1"/>
  <c r="P314" i="25"/>
  <c r="P315" i="25"/>
  <c r="R315" i="25" s="1"/>
  <c r="P316" i="25"/>
  <c r="R316" i="25" s="1"/>
  <c r="P317" i="25"/>
  <c r="R317" i="25" s="1"/>
  <c r="P318" i="25"/>
  <c r="P319" i="25"/>
  <c r="R319" i="25" s="1"/>
  <c r="P320" i="25"/>
  <c r="P321" i="25"/>
  <c r="R321" i="25" s="1"/>
  <c r="P322" i="25"/>
  <c r="P323" i="25"/>
  <c r="P324" i="25"/>
  <c r="R324" i="25" s="1"/>
  <c r="P325" i="25"/>
  <c r="R325" i="25" s="1"/>
  <c r="P326" i="25"/>
  <c r="P327" i="25"/>
  <c r="P328" i="25"/>
  <c r="P329" i="25"/>
  <c r="P330" i="25"/>
  <c r="P331" i="25"/>
  <c r="P332" i="25"/>
  <c r="R332" i="25" s="1"/>
  <c r="P333" i="25"/>
  <c r="R333" i="25" s="1"/>
  <c r="P334" i="25"/>
  <c r="P335" i="25"/>
  <c r="R335" i="25" s="1"/>
  <c r="P336" i="25"/>
  <c r="R336" i="25" s="1"/>
  <c r="P337" i="25"/>
  <c r="R337" i="25" s="1"/>
  <c r="P338" i="25"/>
  <c r="P339" i="25"/>
  <c r="R339" i="25" s="1"/>
  <c r="P340" i="25"/>
  <c r="P341" i="25"/>
  <c r="R341" i="25" s="1"/>
  <c r="P342" i="25"/>
  <c r="P343" i="25"/>
  <c r="P344" i="25"/>
  <c r="R344" i="25" s="1"/>
  <c r="P345" i="25"/>
  <c r="P346" i="25"/>
  <c r="P347" i="25"/>
  <c r="P348" i="25"/>
  <c r="P349" i="25"/>
  <c r="P350" i="25"/>
  <c r="P351" i="25"/>
  <c r="P352" i="25"/>
  <c r="R352" i="25" s="1"/>
  <c r="Q7" i="25"/>
  <c r="R7" i="25" s="1"/>
  <c r="P7" i="25"/>
  <c r="G6" i="25"/>
  <c r="W4" i="49" s="1"/>
  <c r="Q6" i="49"/>
  <c r="Q9" i="49"/>
  <c r="Q11" i="49"/>
  <c r="Q13" i="49"/>
  <c r="Q15" i="49"/>
  <c r="Q18" i="49"/>
  <c r="Q21" i="49"/>
  <c r="Q26" i="49"/>
  <c r="Q27" i="49"/>
  <c r="Q31" i="49"/>
  <c r="Q33" i="49"/>
  <c r="Q35" i="49"/>
  <c r="Q38" i="49"/>
  <c r="Q40" i="49"/>
  <c r="Q46" i="49"/>
  <c r="Q49" i="49"/>
  <c r="Q53" i="49"/>
  <c r="Q55" i="49"/>
  <c r="Q57" i="49"/>
  <c r="Q58" i="49"/>
  <c r="Q60" i="49"/>
  <c r="Q61" i="49"/>
  <c r="Q63" i="49"/>
  <c r="Q64" i="49"/>
  <c r="Q71" i="49"/>
  <c r="Q75" i="49"/>
  <c r="Q80" i="49"/>
  <c r="Q81" i="49"/>
  <c r="Q83" i="49"/>
  <c r="Q84" i="49"/>
  <c r="Q86" i="49"/>
  <c r="Q89" i="49"/>
  <c r="Q93" i="49"/>
  <c r="Q97" i="49"/>
  <c r="Q101" i="49"/>
  <c r="Q107" i="49"/>
  <c r="Q109" i="49"/>
  <c r="Q111" i="49"/>
  <c r="Q115" i="49"/>
  <c r="Q121" i="49"/>
  <c r="Q124" i="49"/>
  <c r="Q126" i="49"/>
  <c r="Q129" i="49"/>
  <c r="Q131" i="49"/>
  <c r="Q133" i="49"/>
  <c r="Q138" i="49"/>
  <c r="Q141" i="49"/>
  <c r="Q142" i="49"/>
  <c r="Q143" i="49"/>
  <c r="Q146" i="49"/>
  <c r="Q149" i="49"/>
  <c r="Q152" i="49"/>
  <c r="Q153" i="49"/>
  <c r="Q155" i="49"/>
  <c r="Q161" i="49"/>
  <c r="Q167" i="49"/>
  <c r="Q169" i="49"/>
  <c r="Q173" i="49"/>
  <c r="Q178" i="49"/>
  <c r="Q181" i="49"/>
  <c r="Q182" i="49"/>
  <c r="Q187" i="49"/>
  <c r="Q189" i="49"/>
  <c r="Q191" i="49"/>
  <c r="Q193" i="49"/>
  <c r="Q198" i="49"/>
  <c r="Q201" i="49"/>
  <c r="Q203" i="49"/>
  <c r="Q204" i="49"/>
  <c r="Q206" i="49"/>
  <c r="Q209" i="49"/>
  <c r="Q211" i="49"/>
  <c r="Q213" i="49"/>
  <c r="Q215" i="49"/>
  <c r="Q231" i="49"/>
  <c r="Q232" i="49"/>
  <c r="Q233" i="49"/>
  <c r="Q235" i="49"/>
  <c r="Q237" i="49"/>
  <c r="Q238" i="49"/>
  <c r="Q240" i="49"/>
  <c r="Q241" i="49"/>
  <c r="Q243" i="49"/>
  <c r="Q249" i="49"/>
  <c r="Q253" i="49"/>
  <c r="Q255" i="49"/>
  <c r="Q258" i="49"/>
  <c r="Q260" i="49"/>
  <c r="Q261" i="49"/>
  <c r="Q262" i="49"/>
  <c r="Q263" i="49"/>
  <c r="Q264" i="49"/>
  <c r="Q266" i="49"/>
  <c r="Q271" i="49"/>
  <c r="Q278" i="49"/>
  <c r="Q281" i="49"/>
  <c r="Q284" i="49"/>
  <c r="Q286" i="49"/>
  <c r="Q289" i="49"/>
  <c r="Q293" i="49"/>
  <c r="Q298" i="49"/>
  <c r="Q299" i="49"/>
  <c r="Q301" i="49"/>
  <c r="Q302" i="49"/>
  <c r="Q303" i="49"/>
  <c r="Q304" i="49"/>
  <c r="Q306" i="49"/>
  <c r="Q307" i="49"/>
  <c r="Q309" i="49"/>
  <c r="Q311" i="49"/>
  <c r="Q315" i="49"/>
  <c r="Q322" i="49"/>
  <c r="Q323" i="49"/>
  <c r="Q329" i="49"/>
  <c r="Q331" i="49"/>
  <c r="Q333" i="49"/>
  <c r="Q337" i="49"/>
  <c r="Q338" i="49"/>
  <c r="Q341" i="49"/>
  <c r="Q349" i="49"/>
  <c r="P6" i="25"/>
  <c r="Q6" i="25"/>
  <c r="J6" i="25"/>
  <c r="E6" i="16" s="1"/>
  <c r="Q5" i="49"/>
  <c r="J243" i="25"/>
  <c r="X241" i="49" s="1"/>
  <c r="W7" i="49"/>
  <c r="W8" i="49"/>
  <c r="W9" i="49"/>
  <c r="W11" i="49"/>
  <c r="W12" i="49"/>
  <c r="W17" i="49"/>
  <c r="W18" i="49"/>
  <c r="W19" i="49"/>
  <c r="W20" i="49"/>
  <c r="W21" i="49"/>
  <c r="W22" i="49"/>
  <c r="W24" i="49"/>
  <c r="W25" i="49"/>
  <c r="W26" i="49"/>
  <c r="W27" i="49"/>
  <c r="W28" i="49"/>
  <c r="W29" i="49"/>
  <c r="W32" i="49"/>
  <c r="W33" i="49"/>
  <c r="W34" i="49"/>
  <c r="W35" i="49"/>
  <c r="W37" i="49"/>
  <c r="W38" i="49"/>
  <c r="W39" i="49"/>
  <c r="W40" i="49"/>
  <c r="W43" i="49"/>
  <c r="W44" i="49"/>
  <c r="W47" i="49"/>
  <c r="W48" i="49"/>
  <c r="W49" i="49"/>
  <c r="W50" i="49"/>
  <c r="W51" i="49"/>
  <c r="W52" i="49"/>
  <c r="W53" i="49"/>
  <c r="W54" i="49"/>
  <c r="W56" i="49"/>
  <c r="W57" i="49"/>
  <c r="W58" i="49"/>
  <c r="W59" i="49"/>
  <c r="W60" i="49"/>
  <c r="W61" i="49"/>
  <c r="W62" i="49"/>
  <c r="W64" i="49"/>
  <c r="W66" i="49"/>
  <c r="W67" i="49"/>
  <c r="W68" i="49"/>
  <c r="W69" i="49"/>
  <c r="W70" i="49"/>
  <c r="W71" i="49"/>
  <c r="W72" i="49"/>
  <c r="W73" i="49"/>
  <c r="W74" i="49"/>
  <c r="W77" i="49"/>
  <c r="W78" i="49"/>
  <c r="W79" i="49"/>
  <c r="W80" i="49"/>
  <c r="W82" i="49"/>
  <c r="W84" i="49"/>
  <c r="W85" i="49"/>
  <c r="W87" i="49"/>
  <c r="W88" i="49"/>
  <c r="W89" i="49"/>
  <c r="W90" i="49"/>
  <c r="W91" i="49"/>
  <c r="W92" i="49"/>
  <c r="W93" i="49"/>
  <c r="W94" i="49"/>
  <c r="W95" i="49"/>
  <c r="W97" i="49"/>
  <c r="W98" i="49"/>
  <c r="W99" i="49"/>
  <c r="W100" i="49"/>
  <c r="W101" i="49"/>
  <c r="W102" i="49"/>
  <c r="W103" i="49"/>
  <c r="W104" i="49"/>
  <c r="W106" i="49"/>
  <c r="W108" i="49"/>
  <c r="W109" i="49"/>
  <c r="W110" i="49"/>
  <c r="W111" i="49"/>
  <c r="W112" i="49"/>
  <c r="W113" i="49"/>
  <c r="W114" i="49"/>
  <c r="W115" i="49"/>
  <c r="W116" i="49"/>
  <c r="W117" i="49"/>
  <c r="W118" i="49"/>
  <c r="W119" i="49"/>
  <c r="W120" i="49"/>
  <c r="W121" i="49"/>
  <c r="W122" i="49"/>
  <c r="W123" i="49"/>
  <c r="W124" i="49"/>
  <c r="W127" i="49"/>
  <c r="W128" i="49"/>
  <c r="W129" i="49"/>
  <c r="W131" i="49"/>
  <c r="W132" i="49"/>
  <c r="W133" i="49"/>
  <c r="W137" i="49"/>
  <c r="W138" i="49"/>
  <c r="W139" i="49"/>
  <c r="W140" i="49"/>
  <c r="W141" i="49"/>
  <c r="W142" i="49"/>
  <c r="W144" i="49"/>
  <c r="W147" i="49"/>
  <c r="W148" i="49"/>
  <c r="W149" i="49"/>
  <c r="W150" i="49"/>
  <c r="W151" i="49"/>
  <c r="W152" i="49"/>
  <c r="W153" i="49"/>
  <c r="W158" i="49"/>
  <c r="W159" i="49"/>
  <c r="W160" i="49"/>
  <c r="W161" i="49"/>
  <c r="W162" i="49"/>
  <c r="W164" i="49"/>
  <c r="W165" i="49"/>
  <c r="W166" i="49"/>
  <c r="W167" i="49"/>
  <c r="W168" i="49"/>
  <c r="W169" i="49"/>
  <c r="W170" i="49"/>
  <c r="W171" i="49"/>
  <c r="W172" i="49"/>
  <c r="W173" i="49"/>
  <c r="W174" i="49"/>
  <c r="W177" i="49"/>
  <c r="W178" i="49"/>
  <c r="W179" i="49"/>
  <c r="W180" i="49"/>
  <c r="W181" i="49"/>
  <c r="W182" i="49"/>
  <c r="W183" i="49"/>
  <c r="W184" i="49"/>
  <c r="W185" i="49"/>
  <c r="W186" i="49"/>
  <c r="W187" i="49"/>
  <c r="W188" i="49"/>
  <c r="W189" i="49"/>
  <c r="W191" i="49"/>
  <c r="W192" i="49"/>
  <c r="W195" i="49"/>
  <c r="W197" i="49"/>
  <c r="W198" i="49"/>
  <c r="W199" i="49"/>
  <c r="W200" i="49"/>
  <c r="W201" i="49"/>
  <c r="W202" i="49"/>
  <c r="W203" i="49"/>
  <c r="W204" i="49"/>
  <c r="W205" i="49"/>
  <c r="W207" i="49"/>
  <c r="W208" i="49"/>
  <c r="W209" i="49"/>
  <c r="W210" i="49"/>
  <c r="W211" i="49"/>
  <c r="W212" i="49"/>
  <c r="W214" i="49"/>
  <c r="W215" i="49"/>
  <c r="W217" i="49"/>
  <c r="W218" i="49"/>
  <c r="W219" i="49"/>
  <c r="W220" i="49"/>
  <c r="W222" i="49"/>
  <c r="W223" i="49"/>
  <c r="W224" i="49"/>
  <c r="W226" i="49"/>
  <c r="W227" i="49"/>
  <c r="W228" i="49"/>
  <c r="W229" i="49"/>
  <c r="W232" i="49"/>
  <c r="W233" i="49"/>
  <c r="W234" i="49"/>
  <c r="W235" i="49"/>
  <c r="W237" i="49"/>
  <c r="W238" i="49"/>
  <c r="W239" i="49"/>
  <c r="W240" i="49"/>
  <c r="W241" i="49"/>
  <c r="W242" i="49"/>
  <c r="W243" i="49"/>
  <c r="W244" i="49"/>
  <c r="W245" i="49"/>
  <c r="W246" i="49"/>
  <c r="W247" i="49"/>
  <c r="W248" i="49"/>
  <c r="W249" i="49"/>
  <c r="W250" i="49"/>
  <c r="W251" i="49"/>
  <c r="W252" i="49"/>
  <c r="W253" i="49"/>
  <c r="W255" i="49"/>
  <c r="W256" i="49"/>
  <c r="W258" i="49"/>
  <c r="W259" i="49"/>
  <c r="W260" i="49"/>
  <c r="W262" i="49"/>
  <c r="W264" i="49"/>
  <c r="W267" i="49"/>
  <c r="W268" i="49"/>
  <c r="W269" i="49"/>
  <c r="W270" i="49"/>
  <c r="W271" i="49"/>
  <c r="W272" i="49"/>
  <c r="W273" i="49"/>
  <c r="W274" i="49"/>
  <c r="W275" i="49"/>
  <c r="W276" i="49"/>
  <c r="W277" i="49"/>
  <c r="W278" i="49"/>
  <c r="W279" i="49"/>
  <c r="W280" i="49"/>
  <c r="W281" i="49"/>
  <c r="W282" i="49"/>
  <c r="W284" i="49"/>
  <c r="W286" i="49"/>
  <c r="W287" i="49"/>
  <c r="W288" i="49"/>
  <c r="W289" i="49"/>
  <c r="W290" i="49"/>
  <c r="W291" i="49"/>
  <c r="W292" i="49"/>
  <c r="W293" i="49"/>
  <c r="W296" i="49"/>
  <c r="W298" i="49"/>
  <c r="W299" i="49"/>
  <c r="W300" i="49"/>
  <c r="W301" i="49"/>
  <c r="W302" i="49"/>
  <c r="W303" i="49"/>
  <c r="W304" i="49"/>
  <c r="W305" i="49"/>
  <c r="W306" i="49"/>
  <c r="W307" i="49"/>
  <c r="W308" i="49"/>
  <c r="W309" i="49"/>
  <c r="W310" i="49"/>
  <c r="W311" i="49"/>
  <c r="W312" i="49"/>
  <c r="W313" i="49"/>
  <c r="W314" i="49"/>
  <c r="W315" i="49"/>
  <c r="W317" i="49"/>
  <c r="W318" i="49"/>
  <c r="W319" i="49"/>
  <c r="W320" i="49"/>
  <c r="W321" i="49"/>
  <c r="W322" i="49"/>
  <c r="W323" i="49"/>
  <c r="W324" i="49"/>
  <c r="W325" i="49"/>
  <c r="W326" i="49"/>
  <c r="W327" i="49"/>
  <c r="W328" i="49"/>
  <c r="W329" i="49"/>
  <c r="W330" i="49"/>
  <c r="W331" i="49"/>
  <c r="W332" i="49"/>
  <c r="W333" i="49"/>
  <c r="W334" i="49"/>
  <c r="W335" i="49"/>
  <c r="W336" i="49"/>
  <c r="W337" i="49"/>
  <c r="W338" i="49"/>
  <c r="W339" i="49"/>
  <c r="W340" i="49"/>
  <c r="W341" i="49"/>
  <c r="W342" i="49"/>
  <c r="W344" i="49"/>
  <c r="W345" i="49"/>
  <c r="W346" i="49"/>
  <c r="W348" i="49"/>
  <c r="W349" i="49"/>
  <c r="W350" i="49"/>
  <c r="W5" i="49"/>
  <c r="Q37" i="49"/>
  <c r="Q41" i="49"/>
  <c r="Q42" i="49"/>
  <c r="Q65" i="49"/>
  <c r="Q66" i="49"/>
  <c r="Q69" i="49"/>
  <c r="Q73" i="49"/>
  <c r="Q78" i="49"/>
  <c r="Q82" i="49"/>
  <c r="Q95" i="49"/>
  <c r="Q96" i="49"/>
  <c r="Q113" i="49"/>
  <c r="Q118" i="49"/>
  <c r="Q135" i="49"/>
  <c r="Q136" i="49"/>
  <c r="Q137" i="49"/>
  <c r="Q151" i="49"/>
  <c r="Q156" i="49"/>
  <c r="Q157" i="49"/>
  <c r="Q158" i="49"/>
  <c r="Q165" i="49"/>
  <c r="Q185" i="49"/>
  <c r="Q186" i="49"/>
  <c r="Q218" i="49"/>
  <c r="Q229" i="49"/>
  <c r="Q230" i="49"/>
  <c r="Q236" i="49"/>
  <c r="Q256" i="49"/>
  <c r="Q268" i="49"/>
  <c r="Q269" i="49"/>
  <c r="Q273" i="49"/>
  <c r="Q275" i="49"/>
  <c r="Q282" i="49"/>
  <c r="Q285" i="49"/>
  <c r="Q295" i="49"/>
  <c r="Q313" i="49"/>
  <c r="Q316" i="49"/>
  <c r="Q318" i="49"/>
  <c r="Q335" i="49"/>
  <c r="E4" i="25"/>
  <c r="F4" i="25" s="1"/>
  <c r="R98" i="25" l="1"/>
  <c r="R100" i="25"/>
  <c r="R106" i="25"/>
  <c r="R110" i="25"/>
  <c r="R111" i="25"/>
  <c r="R114" i="25"/>
  <c r="R118" i="25"/>
  <c r="R120" i="25"/>
  <c r="R126" i="25"/>
  <c r="R130" i="25"/>
  <c r="R131" i="25"/>
  <c r="R134" i="25"/>
  <c r="R138" i="25"/>
  <c r="R140" i="25"/>
  <c r="R146" i="25"/>
  <c r="R150" i="25"/>
  <c r="R151" i="25"/>
  <c r="R154" i="25"/>
  <c r="R158" i="25"/>
  <c r="R160" i="25"/>
  <c r="R166" i="25"/>
  <c r="R170" i="25"/>
  <c r="R171" i="25"/>
  <c r="R174" i="25"/>
  <c r="R178" i="25"/>
  <c r="R180" i="25"/>
  <c r="R186" i="25"/>
  <c r="R190" i="25"/>
  <c r="R191" i="25"/>
  <c r="R194" i="25"/>
  <c r="R198" i="25"/>
  <c r="R200" i="25"/>
  <c r="R206" i="25"/>
  <c r="R210" i="25"/>
  <c r="R211" i="25"/>
  <c r="R214" i="25"/>
  <c r="R218" i="25"/>
  <c r="R220" i="25"/>
  <c r="R226" i="25"/>
  <c r="R230" i="25"/>
  <c r="R231" i="25"/>
  <c r="R234" i="25"/>
  <c r="R238" i="25"/>
  <c r="R240" i="25"/>
  <c r="R246" i="25"/>
  <c r="R250" i="25"/>
  <c r="R251" i="25"/>
  <c r="R254" i="25"/>
  <c r="R258" i="25"/>
  <c r="R260" i="25"/>
  <c r="R346" i="25"/>
  <c r="R350" i="25"/>
  <c r="R13" i="25"/>
  <c r="R15" i="25"/>
  <c r="R17" i="25"/>
  <c r="R32" i="25"/>
  <c r="R33" i="25"/>
  <c r="R35" i="25"/>
  <c r="R36" i="25"/>
  <c r="R37" i="25"/>
  <c r="R39" i="25"/>
  <c r="R41" i="25"/>
  <c r="R44" i="25"/>
  <c r="R45" i="25"/>
  <c r="R52" i="25"/>
  <c r="R53" i="25"/>
  <c r="R55" i="25"/>
  <c r="R56" i="25"/>
  <c r="R57" i="25"/>
  <c r="R59" i="25"/>
  <c r="R61" i="25"/>
  <c r="R64" i="25"/>
  <c r="R65" i="25"/>
  <c r="R72" i="25"/>
  <c r="R73" i="25"/>
  <c r="R266" i="25"/>
  <c r="R270" i="25"/>
  <c r="R271" i="25"/>
  <c r="R274" i="25"/>
  <c r="R278" i="25"/>
  <c r="R280" i="25"/>
  <c r="R286" i="25"/>
  <c r="R290" i="25"/>
  <c r="R291" i="25"/>
  <c r="R294" i="25"/>
  <c r="R298" i="25"/>
  <c r="R300" i="25"/>
  <c r="R306" i="25"/>
  <c r="R310" i="25"/>
  <c r="R311" i="25"/>
  <c r="R314" i="25"/>
  <c r="R318" i="25"/>
  <c r="R320" i="25"/>
  <c r="R326" i="25"/>
  <c r="R330" i="25"/>
  <c r="R331" i="25"/>
  <c r="R334" i="25"/>
  <c r="R338" i="25"/>
  <c r="R340" i="25"/>
  <c r="R351" i="25"/>
  <c r="R12" i="25"/>
  <c r="R16" i="25"/>
  <c r="R19" i="25"/>
  <c r="R21" i="25"/>
  <c r="R24" i="25"/>
  <c r="R75" i="25"/>
  <c r="R76" i="25"/>
  <c r="R77" i="25"/>
  <c r="R79" i="25"/>
  <c r="R81" i="25"/>
  <c r="R84" i="25"/>
  <c r="R85" i="25"/>
  <c r="R92" i="25"/>
  <c r="R93" i="25"/>
  <c r="R95" i="25"/>
  <c r="R96" i="25"/>
  <c r="R97" i="25"/>
  <c r="R6" i="25"/>
  <c r="K6" i="25"/>
  <c r="T5" i="49"/>
  <c r="D6" i="16"/>
  <c r="J345" i="25"/>
  <c r="X343" i="49" s="1"/>
  <c r="J285" i="25"/>
  <c r="X283" i="49" s="1"/>
  <c r="J265" i="25"/>
  <c r="X263" i="49" s="1"/>
  <c r="J165" i="25"/>
  <c r="X163" i="49" s="1"/>
  <c r="J145" i="25"/>
  <c r="X143" i="49" s="1"/>
  <c r="J85" i="25"/>
  <c r="X83" i="49" s="1"/>
  <c r="J65" i="25"/>
  <c r="X63" i="49" s="1"/>
  <c r="J25" i="25"/>
  <c r="X23" i="49" s="1"/>
  <c r="J331" i="25"/>
  <c r="J271" i="25"/>
  <c r="J251" i="25"/>
  <c r="X249" i="49" s="1"/>
  <c r="J231" i="25"/>
  <c r="J191" i="25"/>
  <c r="X189" i="49" s="1"/>
  <c r="J131" i="25"/>
  <c r="X129" i="49" s="1"/>
  <c r="J111" i="25"/>
  <c r="J71" i="25"/>
  <c r="J11" i="25"/>
  <c r="J44" i="25"/>
  <c r="X42" i="49" s="1"/>
  <c r="J263" i="25"/>
  <c r="X261" i="49" s="1"/>
  <c r="J223" i="25"/>
  <c r="X221" i="49" s="1"/>
  <c r="J83" i="25"/>
  <c r="X81" i="49" s="1"/>
  <c r="J43" i="25"/>
  <c r="J329" i="25"/>
  <c r="X327" i="49" s="1"/>
  <c r="J189" i="25"/>
  <c r="X187" i="49" s="1"/>
  <c r="J49" i="25"/>
  <c r="X47" i="49" s="1"/>
  <c r="J305" i="25"/>
  <c r="X303" i="49" s="1"/>
  <c r="J349" i="25"/>
  <c r="X347" i="49" s="1"/>
  <c r="J269" i="25"/>
  <c r="X267" i="49" s="1"/>
  <c r="J109" i="25"/>
  <c r="X107" i="49" s="1"/>
  <c r="J303" i="25"/>
  <c r="X301" i="49" s="1"/>
  <c r="W347" i="49"/>
  <c r="W263" i="49"/>
  <c r="J94" i="25"/>
  <c r="X92" i="49" s="1"/>
  <c r="J14" i="25"/>
  <c r="X12" i="49" s="1"/>
  <c r="J291" i="25"/>
  <c r="W83" i="49"/>
  <c r="J287" i="25"/>
  <c r="J267" i="25"/>
  <c r="X265" i="49" s="1"/>
  <c r="J227" i="25"/>
  <c r="X225" i="49" s="1"/>
  <c r="J207" i="25"/>
  <c r="X205" i="49" s="1"/>
  <c r="J147" i="25"/>
  <c r="X145" i="49" s="1"/>
  <c r="J127" i="25"/>
  <c r="X125" i="49" s="1"/>
  <c r="J107" i="25"/>
  <c r="X105" i="49" s="1"/>
  <c r="J67" i="25"/>
  <c r="J47" i="25"/>
  <c r="X45" i="49" s="1"/>
  <c r="J239" i="25"/>
  <c r="J159" i="25"/>
  <c r="X157" i="49" s="1"/>
  <c r="J139" i="25"/>
  <c r="J181" i="25"/>
  <c r="X179" i="49" s="1"/>
  <c r="W261" i="49"/>
  <c r="W23" i="49"/>
  <c r="J177" i="25"/>
  <c r="X175" i="49" s="1"/>
  <c r="W145" i="49"/>
  <c r="W107" i="49"/>
  <c r="J281" i="25"/>
  <c r="W143" i="49"/>
  <c r="J311" i="25"/>
  <c r="W265" i="49"/>
  <c r="J268" i="25"/>
  <c r="X266" i="49" s="1"/>
  <c r="W266" i="49"/>
  <c r="J148" i="25"/>
  <c r="X146" i="49" s="1"/>
  <c r="W146" i="49"/>
  <c r="W105" i="49"/>
  <c r="J188" i="25"/>
  <c r="J187" i="25"/>
  <c r="W225" i="49"/>
  <c r="W42" i="49"/>
  <c r="J183" i="25"/>
  <c r="W343" i="49"/>
  <c r="W285" i="49"/>
  <c r="W163" i="49"/>
  <c r="W41" i="49"/>
  <c r="J175" i="25"/>
  <c r="X173" i="49" s="1"/>
  <c r="J128" i="25"/>
  <c r="X126" i="49" s="1"/>
  <c r="W126" i="49"/>
  <c r="W86" i="49"/>
  <c r="J88" i="25"/>
  <c r="X86" i="49" s="1"/>
  <c r="J8" i="25"/>
  <c r="X6" i="49" s="1"/>
  <c r="W6" i="49"/>
  <c r="J339" i="25"/>
  <c r="J99" i="25"/>
  <c r="X97" i="49" s="1"/>
  <c r="J39" i="25"/>
  <c r="J167" i="25"/>
  <c r="X165" i="49" s="1"/>
  <c r="W283" i="49"/>
  <c r="J318" i="25"/>
  <c r="X316" i="49" s="1"/>
  <c r="W316" i="49"/>
  <c r="J238" i="25"/>
  <c r="W236" i="49"/>
  <c r="J218" i="25"/>
  <c r="X216" i="49" s="1"/>
  <c r="W216" i="49"/>
  <c r="J198" i="25"/>
  <c r="X196" i="49" s="1"/>
  <c r="W196" i="49"/>
  <c r="J178" i="25"/>
  <c r="X176" i="49" s="1"/>
  <c r="W176" i="49"/>
  <c r="J158" i="25"/>
  <c r="X156" i="49" s="1"/>
  <c r="W156" i="49"/>
  <c r="J138" i="25"/>
  <c r="X136" i="49" s="1"/>
  <c r="W136" i="49"/>
  <c r="J98" i="25"/>
  <c r="X96" i="49" s="1"/>
  <c r="W96" i="49"/>
  <c r="J78" i="25"/>
  <c r="X76" i="49" s="1"/>
  <c r="W76" i="49"/>
  <c r="J38" i="25"/>
  <c r="X36" i="49" s="1"/>
  <c r="W36" i="49"/>
  <c r="J18" i="25"/>
  <c r="X16" i="49" s="1"/>
  <c r="W16" i="49"/>
  <c r="W221" i="49"/>
  <c r="W65" i="49"/>
  <c r="W63" i="49"/>
  <c r="W193" i="49"/>
  <c r="J195" i="25"/>
  <c r="X193" i="49" s="1"/>
  <c r="W13" i="49"/>
  <c r="J15" i="25"/>
  <c r="X13" i="49" s="1"/>
  <c r="H5" i="25"/>
  <c r="W45" i="49"/>
  <c r="J48" i="25"/>
  <c r="X46" i="49" s="1"/>
  <c r="W46" i="49"/>
  <c r="J317" i="25"/>
  <c r="J157" i="25"/>
  <c r="W125" i="49"/>
  <c r="W155" i="49"/>
  <c r="G5" i="25"/>
  <c r="J68" i="25"/>
  <c r="X66" i="49" s="1"/>
  <c r="W206" i="49"/>
  <c r="J208" i="25"/>
  <c r="X206" i="49" s="1"/>
  <c r="J28" i="25"/>
  <c r="X26" i="49" s="1"/>
  <c r="J337" i="25"/>
  <c r="J257" i="25"/>
  <c r="J217" i="25"/>
  <c r="J137" i="25"/>
  <c r="J117" i="25"/>
  <c r="J77" i="25"/>
  <c r="J57" i="25"/>
  <c r="I5" i="25"/>
  <c r="J87" i="25"/>
  <c r="X85" i="49" s="1"/>
  <c r="J215" i="25"/>
  <c r="X213" i="49" s="1"/>
  <c r="W213" i="49"/>
  <c r="J194" i="25"/>
  <c r="X192" i="49" s="1"/>
  <c r="J315" i="25"/>
  <c r="X313" i="49" s="1"/>
  <c r="W55" i="49"/>
  <c r="J229" i="25"/>
  <c r="X227" i="49" s="1"/>
  <c r="J335" i="25"/>
  <c r="J115" i="25"/>
  <c r="X113" i="49" s="1"/>
  <c r="J340" i="25"/>
  <c r="J320" i="25"/>
  <c r="X318" i="49" s="1"/>
  <c r="J300" i="25"/>
  <c r="X298" i="49" s="1"/>
  <c r="J280" i="25"/>
  <c r="X278" i="49" s="1"/>
  <c r="J260" i="25"/>
  <c r="X258" i="49" s="1"/>
  <c r="J240" i="25"/>
  <c r="J220" i="25"/>
  <c r="X218" i="49" s="1"/>
  <c r="J180" i="25"/>
  <c r="X178" i="49" s="1"/>
  <c r="J160" i="25"/>
  <c r="X158" i="49" s="1"/>
  <c r="J140" i="25"/>
  <c r="J80" i="25"/>
  <c r="J60" i="25"/>
  <c r="X58" i="49" s="1"/>
  <c r="J40" i="25"/>
  <c r="X38" i="49" s="1"/>
  <c r="J20" i="25"/>
  <c r="X18" i="49" s="1"/>
  <c r="J266" i="25"/>
  <c r="X264" i="49" s="1"/>
  <c r="J226" i="25"/>
  <c r="X224" i="49" s="1"/>
  <c r="J66" i="25"/>
  <c r="X64" i="49" s="1"/>
  <c r="J46" i="25"/>
  <c r="X44" i="49" s="1"/>
  <c r="J17" i="25"/>
  <c r="J343" i="25"/>
  <c r="J283" i="25"/>
  <c r="J203" i="25"/>
  <c r="J163" i="25"/>
  <c r="J103" i="25"/>
  <c r="J230" i="25"/>
  <c r="X228" i="49" s="1"/>
  <c r="J110" i="25"/>
  <c r="X108" i="49" s="1"/>
  <c r="J351" i="25"/>
  <c r="X349" i="49" s="1"/>
  <c r="J211" i="25"/>
  <c r="J171" i="25"/>
  <c r="X169" i="49" s="1"/>
  <c r="J151" i="25"/>
  <c r="X149" i="49" s="1"/>
  <c r="J91" i="25"/>
  <c r="X89" i="49" s="1"/>
  <c r="J51" i="25"/>
  <c r="J31" i="25"/>
  <c r="X29" i="49" s="1"/>
  <c r="X69" i="49"/>
  <c r="X185" i="49"/>
  <c r="J192" i="25"/>
  <c r="X190" i="49" s="1"/>
  <c r="Q190" i="49"/>
  <c r="J336" i="25"/>
  <c r="X334" i="49" s="1"/>
  <c r="Q334" i="49"/>
  <c r="J316" i="25"/>
  <c r="X314" i="49" s="1"/>
  <c r="Q314" i="49"/>
  <c r="Q294" i="49"/>
  <c r="J296" i="25"/>
  <c r="J276" i="25"/>
  <c r="X274" i="49" s="1"/>
  <c r="Q274" i="49"/>
  <c r="Q254" i="49"/>
  <c r="J256" i="25"/>
  <c r="X254" i="49" s="1"/>
  <c r="J236" i="25"/>
  <c r="J216" i="25"/>
  <c r="X214" i="49" s="1"/>
  <c r="Q214" i="49"/>
  <c r="J196" i="25"/>
  <c r="J176" i="25"/>
  <c r="X174" i="49" s="1"/>
  <c r="Q174" i="49"/>
  <c r="J156" i="25"/>
  <c r="X154" i="49" s="1"/>
  <c r="Q134" i="49"/>
  <c r="J136" i="25"/>
  <c r="J116" i="25"/>
  <c r="Q94" i="49"/>
  <c r="J96" i="25"/>
  <c r="Q74" i="49"/>
  <c r="J76" i="25"/>
  <c r="J56" i="25"/>
  <c r="X54" i="49" s="1"/>
  <c r="Q54" i="49"/>
  <c r="Q34" i="49"/>
  <c r="Q14" i="49"/>
  <c r="J16" i="25"/>
  <c r="J334" i="25"/>
  <c r="Q332" i="49"/>
  <c r="Q312" i="49"/>
  <c r="Q292" i="49"/>
  <c r="J294" i="25"/>
  <c r="X292" i="49" s="1"/>
  <c r="J274" i="25"/>
  <c r="X272" i="49" s="1"/>
  <c r="Q252" i="49"/>
  <c r="J254" i="25"/>
  <c r="X252" i="49" s="1"/>
  <c r="J234" i="25"/>
  <c r="J214" i="25"/>
  <c r="Q212" i="49"/>
  <c r="Q192" i="49"/>
  <c r="J174" i="25"/>
  <c r="Q172" i="49"/>
  <c r="J154" i="25"/>
  <c r="Q132" i="49"/>
  <c r="Q112" i="49"/>
  <c r="J114" i="25"/>
  <c r="X112" i="49" s="1"/>
  <c r="Q92" i="49"/>
  <c r="Q72" i="49"/>
  <c r="J74" i="25"/>
  <c r="J54" i="25"/>
  <c r="Q52" i="49"/>
  <c r="J34" i="25"/>
  <c r="Q12" i="49"/>
  <c r="Q114" i="49"/>
  <c r="J36" i="25"/>
  <c r="Q308" i="49"/>
  <c r="Q290" i="49"/>
  <c r="J292" i="25"/>
  <c r="X290" i="49" s="1"/>
  <c r="Q50" i="49"/>
  <c r="J52" i="25"/>
  <c r="X50" i="49" s="1"/>
  <c r="J352" i="25"/>
  <c r="Q330" i="49"/>
  <c r="Q310" i="49"/>
  <c r="Q250" i="49"/>
  <c r="J252" i="25"/>
  <c r="J212" i="25"/>
  <c r="X210" i="49" s="1"/>
  <c r="Q210" i="49"/>
  <c r="Q170" i="49"/>
  <c r="J172" i="25"/>
  <c r="Q130" i="49"/>
  <c r="J112" i="25"/>
  <c r="X110" i="49" s="1"/>
  <c r="J92" i="25"/>
  <c r="X90" i="49" s="1"/>
  <c r="Q90" i="49"/>
  <c r="J32" i="25"/>
  <c r="Q10" i="49"/>
  <c r="Q108" i="49"/>
  <c r="Q32" i="49"/>
  <c r="J314" i="25"/>
  <c r="X312" i="49" s="1"/>
  <c r="J152" i="25"/>
  <c r="X150" i="49" s="1"/>
  <c r="Q150" i="49"/>
  <c r="Q110" i="49"/>
  <c r="J12" i="25"/>
  <c r="X10" i="49" s="1"/>
  <c r="J290" i="25"/>
  <c r="Q288" i="49"/>
  <c r="J270" i="25"/>
  <c r="X268" i="49" s="1"/>
  <c r="Q248" i="49"/>
  <c r="J250" i="25"/>
  <c r="Q228" i="49"/>
  <c r="Q208" i="49"/>
  <c r="J210" i="25"/>
  <c r="J190" i="25"/>
  <c r="X188" i="49" s="1"/>
  <c r="J170" i="25"/>
  <c r="X168" i="49" s="1"/>
  <c r="Q168" i="49"/>
  <c r="J130" i="25"/>
  <c r="Q128" i="49"/>
  <c r="J90" i="25"/>
  <c r="Q88" i="49"/>
  <c r="Q48" i="49"/>
  <c r="J50" i="25"/>
  <c r="X48" i="49" s="1"/>
  <c r="J350" i="25"/>
  <c r="Q350" i="49"/>
  <c r="J332" i="25"/>
  <c r="Q348" i="49"/>
  <c r="J324" i="25"/>
  <c r="X322" i="49" s="1"/>
  <c r="J144" i="25"/>
  <c r="X142" i="49" s="1"/>
  <c r="Q194" i="49"/>
  <c r="Q339" i="49"/>
  <c r="J341" i="25"/>
  <c r="J321" i="25"/>
  <c r="X319" i="49" s="1"/>
  <c r="J301" i="25"/>
  <c r="X299" i="49" s="1"/>
  <c r="Q259" i="49"/>
  <c r="J261" i="25"/>
  <c r="J241" i="25"/>
  <c r="Q239" i="49"/>
  <c r="J221" i="25"/>
  <c r="Q219" i="49"/>
  <c r="J201" i="25"/>
  <c r="X199" i="49" s="1"/>
  <c r="Q199" i="49"/>
  <c r="Q179" i="49"/>
  <c r="J161" i="25"/>
  <c r="X159" i="49" s="1"/>
  <c r="Q159" i="49"/>
  <c r="Q139" i="49"/>
  <c r="J141" i="25"/>
  <c r="J121" i="25"/>
  <c r="X119" i="49" s="1"/>
  <c r="Q119" i="49"/>
  <c r="Q99" i="49"/>
  <c r="J101" i="25"/>
  <c r="J81" i="25"/>
  <c r="X79" i="49" s="1"/>
  <c r="Q79" i="49"/>
  <c r="J61" i="25"/>
  <c r="Q59" i="49"/>
  <c r="J41" i="25"/>
  <c r="X39" i="49" s="1"/>
  <c r="Q39" i="49"/>
  <c r="J21" i="25"/>
  <c r="X19" i="49" s="1"/>
  <c r="J255" i="25"/>
  <c r="J235" i="25"/>
  <c r="J35" i="25"/>
  <c r="J312" i="25"/>
  <c r="X310" i="49" s="1"/>
  <c r="Q30" i="49"/>
  <c r="Q270" i="49"/>
  <c r="J272" i="25"/>
  <c r="X270" i="49" s="1"/>
  <c r="Q28" i="49"/>
  <c r="J30" i="25"/>
  <c r="X28" i="49" s="1"/>
  <c r="J232" i="25"/>
  <c r="Q68" i="49"/>
  <c r="J70" i="25"/>
  <c r="Q154" i="49"/>
  <c r="Q70" i="49"/>
  <c r="J72" i="25"/>
  <c r="J330" i="25"/>
  <c r="Q328" i="49"/>
  <c r="Q8" i="49"/>
  <c r="J10" i="25"/>
  <c r="X8" i="49" s="1"/>
  <c r="Q188" i="49"/>
  <c r="Q279" i="49"/>
  <c r="J166" i="25"/>
  <c r="J106" i="25"/>
  <c r="X104" i="49" s="1"/>
  <c r="J134" i="25"/>
  <c r="X132" i="49" s="1"/>
  <c r="Q234" i="49"/>
  <c r="J310" i="25"/>
  <c r="Q148" i="49"/>
  <c r="J150" i="25"/>
  <c r="J164" i="25"/>
  <c r="X162" i="49" s="1"/>
  <c r="J132" i="25"/>
  <c r="X130" i="49" s="1"/>
  <c r="Q319" i="49"/>
  <c r="Q272" i="49"/>
  <c r="Q19" i="49"/>
  <c r="J284" i="25"/>
  <c r="Q317" i="49"/>
  <c r="J319" i="25"/>
  <c r="Q297" i="49"/>
  <c r="J279" i="25"/>
  <c r="J259" i="25"/>
  <c r="X257" i="49" s="1"/>
  <c r="J219" i="25"/>
  <c r="Q217" i="49"/>
  <c r="J199" i="25"/>
  <c r="Q197" i="49"/>
  <c r="J179" i="25"/>
  <c r="X177" i="49" s="1"/>
  <c r="Q177" i="49"/>
  <c r="J119" i="25"/>
  <c r="J79" i="25"/>
  <c r="Q77" i="49"/>
  <c r="J59" i="25"/>
  <c r="X57" i="49" s="1"/>
  <c r="J19" i="25"/>
  <c r="X17" i="49" s="1"/>
  <c r="J143" i="25"/>
  <c r="X141" i="49" s="1"/>
  <c r="Q277" i="49"/>
  <c r="Q117" i="49"/>
  <c r="Q336" i="49"/>
  <c r="J338" i="25"/>
  <c r="Q296" i="49"/>
  <c r="J298" i="25"/>
  <c r="X296" i="49" s="1"/>
  <c r="Q276" i="49"/>
  <c r="J278" i="25"/>
  <c r="Q216" i="49"/>
  <c r="Q196" i="49"/>
  <c r="Q176" i="49"/>
  <c r="Q116" i="49"/>
  <c r="J118" i="25"/>
  <c r="Q76" i="49"/>
  <c r="Q56" i="49"/>
  <c r="J58" i="25"/>
  <c r="Q36" i="49"/>
  <c r="Q16" i="49"/>
  <c r="Q327" i="49"/>
  <c r="J289" i="25"/>
  <c r="Q267" i="49"/>
  <c r="Q227" i="49"/>
  <c r="J169" i="25"/>
  <c r="X167" i="49" s="1"/>
  <c r="Q147" i="49"/>
  <c r="J149" i="25"/>
  <c r="X147" i="49" s="1"/>
  <c r="Q127" i="49"/>
  <c r="J129" i="25"/>
  <c r="X127" i="49" s="1"/>
  <c r="Q67" i="49"/>
  <c r="J348" i="25"/>
  <c r="X346" i="49" s="1"/>
  <c r="Q346" i="49"/>
  <c r="J328" i="25"/>
  <c r="J308" i="25"/>
  <c r="J288" i="25"/>
  <c r="J248" i="25"/>
  <c r="Q246" i="49"/>
  <c r="Q226" i="49"/>
  <c r="J228" i="25"/>
  <c r="Q166" i="49"/>
  <c r="J168" i="25"/>
  <c r="J108" i="25"/>
  <c r="X106" i="49" s="1"/>
  <c r="Q106" i="49"/>
  <c r="J299" i="25"/>
  <c r="X297" i="49" s="1"/>
  <c r="Q17" i="49"/>
  <c r="J135" i="25"/>
  <c r="X133" i="49" s="1"/>
  <c r="J95" i="25"/>
  <c r="X93" i="49" s="1"/>
  <c r="Q257" i="49"/>
  <c r="J309" i="25"/>
  <c r="Q207" i="49"/>
  <c r="J209" i="25"/>
  <c r="X207" i="49" s="1"/>
  <c r="Q47" i="49"/>
  <c r="Q7" i="49"/>
  <c r="J9" i="25"/>
  <c r="J258" i="25"/>
  <c r="Q44" i="49"/>
  <c r="Q347" i="49"/>
  <c r="Q247" i="49"/>
  <c r="J249" i="25"/>
  <c r="J89" i="25"/>
  <c r="X87" i="49" s="1"/>
  <c r="J29" i="25"/>
  <c r="X27" i="49" s="1"/>
  <c r="Q344" i="49"/>
  <c r="J346" i="25"/>
  <c r="X344" i="49" s="1"/>
  <c r="J326" i="25"/>
  <c r="Q324" i="49"/>
  <c r="J306" i="25"/>
  <c r="X304" i="49" s="1"/>
  <c r="J286" i="25"/>
  <c r="Q244" i="49"/>
  <c r="J246" i="25"/>
  <c r="Q224" i="49"/>
  <c r="Q184" i="49"/>
  <c r="J186" i="25"/>
  <c r="X184" i="49" s="1"/>
  <c r="Q164" i="49"/>
  <c r="Q144" i="49"/>
  <c r="J146" i="25"/>
  <c r="J126" i="25"/>
  <c r="Q104" i="49"/>
  <c r="J86" i="25"/>
  <c r="Q24" i="49"/>
  <c r="J26" i="25"/>
  <c r="X24" i="49" s="1"/>
  <c r="J206" i="25"/>
  <c r="X204" i="49" s="1"/>
  <c r="J23" i="25"/>
  <c r="X21" i="49" s="1"/>
  <c r="Q343" i="49"/>
  <c r="J325" i="25"/>
  <c r="Q283" i="49"/>
  <c r="J245" i="25"/>
  <c r="J225" i="25"/>
  <c r="Q223" i="49"/>
  <c r="J185" i="25"/>
  <c r="X183" i="49" s="1"/>
  <c r="Q183" i="49"/>
  <c r="Q163" i="49"/>
  <c r="Q123" i="49"/>
  <c r="J125" i="25"/>
  <c r="J105" i="25"/>
  <c r="Q103" i="49"/>
  <c r="Q43" i="49"/>
  <c r="J45" i="25"/>
  <c r="Q23" i="49"/>
  <c r="J205" i="25"/>
  <c r="J69" i="25"/>
  <c r="X67" i="49" s="1"/>
  <c r="Q326" i="49"/>
  <c r="Q287" i="49"/>
  <c r="Q342" i="49"/>
  <c r="J344" i="25"/>
  <c r="J304" i="25"/>
  <c r="X302" i="49" s="1"/>
  <c r="J264" i="25"/>
  <c r="X262" i="49" s="1"/>
  <c r="Q242" i="49"/>
  <c r="J244" i="25"/>
  <c r="J224" i="25"/>
  <c r="Q222" i="49"/>
  <c r="Q202" i="49"/>
  <c r="J204" i="25"/>
  <c r="J184" i="25"/>
  <c r="Q162" i="49"/>
  <c r="Q122" i="49"/>
  <c r="J124" i="25"/>
  <c r="X122" i="49" s="1"/>
  <c r="J104" i="25"/>
  <c r="X102" i="49" s="1"/>
  <c r="Q102" i="49"/>
  <c r="J84" i="25"/>
  <c r="J64" i="25"/>
  <c r="X62" i="49" s="1"/>
  <c r="Q62" i="49"/>
  <c r="Q22" i="49"/>
  <c r="J24" i="25"/>
  <c r="Q87" i="49"/>
  <c r="Q345" i="49"/>
  <c r="J347" i="25"/>
  <c r="Q325" i="49"/>
  <c r="J327" i="25"/>
  <c r="X325" i="49" s="1"/>
  <c r="Q305" i="49"/>
  <c r="J307" i="25"/>
  <c r="Q265" i="49"/>
  <c r="Q245" i="49"/>
  <c r="J247" i="25"/>
  <c r="Q225" i="49"/>
  <c r="Q205" i="49"/>
  <c r="Q145" i="49"/>
  <c r="Q125" i="49"/>
  <c r="Q105" i="49"/>
  <c r="Q85" i="49"/>
  <c r="Q45" i="49"/>
  <c r="Q25" i="49"/>
  <c r="J27" i="25"/>
  <c r="J295" i="25"/>
  <c r="J275" i="25"/>
  <c r="J155" i="25"/>
  <c r="X153" i="49" s="1"/>
  <c r="J75" i="25"/>
  <c r="X73" i="49" s="1"/>
  <c r="J55" i="25"/>
  <c r="X53" i="49" s="1"/>
  <c r="Q321" i="49"/>
  <c r="J323" i="25"/>
  <c r="Q221" i="49"/>
  <c r="J123" i="25"/>
  <c r="X121" i="49" s="1"/>
  <c r="J63" i="25"/>
  <c r="J342" i="25"/>
  <c r="X340" i="49" s="1"/>
  <c r="Q340" i="49"/>
  <c r="J322" i="25"/>
  <c r="Q320" i="49"/>
  <c r="J302" i="25"/>
  <c r="X300" i="49" s="1"/>
  <c r="Q300" i="49"/>
  <c r="J282" i="25"/>
  <c r="J262" i="25"/>
  <c r="X260" i="49" s="1"/>
  <c r="J242" i="25"/>
  <c r="J222" i="25"/>
  <c r="X220" i="49" s="1"/>
  <c r="Q220" i="49"/>
  <c r="J202" i="25"/>
  <c r="Q200" i="49"/>
  <c r="J182" i="25"/>
  <c r="Q180" i="49"/>
  <c r="J162" i="25"/>
  <c r="X160" i="49" s="1"/>
  <c r="J142" i="25"/>
  <c r="Q140" i="49"/>
  <c r="J122" i="25"/>
  <c r="X120" i="49" s="1"/>
  <c r="Q120" i="49"/>
  <c r="J102" i="25"/>
  <c r="J82" i="25"/>
  <c r="X80" i="49" s="1"/>
  <c r="J62" i="25"/>
  <c r="X60" i="49" s="1"/>
  <c r="J42" i="25"/>
  <c r="X40" i="49" s="1"/>
  <c r="J22" i="25"/>
  <c r="X20" i="49" s="1"/>
  <c r="Q20" i="49"/>
  <c r="J120" i="25"/>
  <c r="J200" i="25"/>
  <c r="Q98" i="49"/>
  <c r="J100" i="25"/>
  <c r="X98" i="49" s="1"/>
  <c r="Q280" i="49"/>
  <c r="Q160" i="49"/>
  <c r="Q100" i="49"/>
  <c r="J97" i="25"/>
  <c r="J237" i="25"/>
  <c r="J197" i="25"/>
  <c r="J37" i="25"/>
  <c r="X35" i="49" s="1"/>
  <c r="J277" i="25"/>
  <c r="Q175" i="49"/>
  <c r="J7" i="25"/>
  <c r="J333" i="25"/>
  <c r="X331" i="49" s="1"/>
  <c r="J313" i="25"/>
  <c r="X311" i="49" s="1"/>
  <c r="J293" i="25"/>
  <c r="X291" i="49" s="1"/>
  <c r="Q291" i="49"/>
  <c r="J273" i="25"/>
  <c r="X271" i="49" s="1"/>
  <c r="J253" i="25"/>
  <c r="X251" i="49" s="1"/>
  <c r="Q251" i="49"/>
  <c r="J233" i="25"/>
  <c r="X231" i="49" s="1"/>
  <c r="J213" i="25"/>
  <c r="J193" i="25"/>
  <c r="J173" i="25"/>
  <c r="J153" i="25"/>
  <c r="X151" i="49" s="1"/>
  <c r="J133" i="25"/>
  <c r="J113" i="25"/>
  <c r="J93" i="25"/>
  <c r="Q91" i="49"/>
  <c r="J73" i="25"/>
  <c r="J53" i="25"/>
  <c r="X51" i="49" s="1"/>
  <c r="Q51" i="49"/>
  <c r="J33" i="25"/>
  <c r="J13" i="25"/>
  <c r="X11" i="49" s="1"/>
  <c r="J297" i="25"/>
  <c r="X295" i="49" s="1"/>
  <c r="Q195" i="49"/>
  <c r="Q171" i="49"/>
  <c r="Q29" i="49"/>
  <c r="X269" i="49" l="1"/>
  <c r="X329" i="49"/>
  <c r="X181" i="49"/>
  <c r="X109" i="49"/>
  <c r="X229" i="49"/>
  <c r="X279" i="49"/>
  <c r="X289" i="49"/>
  <c r="X341" i="49"/>
  <c r="X237" i="49"/>
  <c r="X209" i="49"/>
  <c r="X161" i="49"/>
  <c r="X75" i="49"/>
  <c r="X201" i="49"/>
  <c r="X338" i="49"/>
  <c r="X55" i="49"/>
  <c r="X309" i="49"/>
  <c r="X9" i="49"/>
  <c r="X137" i="49"/>
  <c r="X41" i="49"/>
  <c r="X335" i="49"/>
  <c r="X65" i="49"/>
  <c r="X315" i="49"/>
  <c r="X186" i="49"/>
  <c r="X135" i="49"/>
  <c r="X115" i="49"/>
  <c r="X285" i="49"/>
  <c r="X37" i="49"/>
  <c r="X138" i="49"/>
  <c r="X101" i="49"/>
  <c r="X215" i="49"/>
  <c r="X238" i="49"/>
  <c r="X78" i="49"/>
  <c r="X337" i="49"/>
  <c r="X15" i="49"/>
  <c r="X236" i="49"/>
  <c r="X255" i="49"/>
  <c r="X155" i="49"/>
  <c r="X281" i="49"/>
  <c r="X333" i="49"/>
  <c r="X49" i="49"/>
  <c r="X31" i="49"/>
  <c r="X222" i="49"/>
  <c r="X77" i="49"/>
  <c r="X336" i="49"/>
  <c r="X88" i="49"/>
  <c r="X170" i="49"/>
  <c r="X117" i="49"/>
  <c r="X123" i="49"/>
  <c r="X70" i="49"/>
  <c r="X74" i="49"/>
  <c r="X321" i="49"/>
  <c r="X7" i="49"/>
  <c r="X91" i="49"/>
  <c r="J5" i="25"/>
  <c r="X5" i="49"/>
  <c r="X180" i="49"/>
  <c r="X242" i="49"/>
  <c r="X103" i="49"/>
  <c r="X71" i="49"/>
  <c r="X256" i="49"/>
  <c r="X339" i="49"/>
  <c r="X128" i="49"/>
  <c r="X32" i="49"/>
  <c r="X94" i="49"/>
  <c r="X244" i="49"/>
  <c r="X233" i="49"/>
  <c r="X250" i="49"/>
  <c r="X52" i="49"/>
  <c r="X114" i="49"/>
  <c r="X72" i="49"/>
  <c r="X134" i="49"/>
  <c r="X245" i="49"/>
  <c r="X284" i="49"/>
  <c r="X230" i="49"/>
  <c r="X195" i="49"/>
  <c r="X235" i="49"/>
  <c r="X280" i="49"/>
  <c r="X273" i="49"/>
  <c r="X208" i="49"/>
  <c r="X307" i="49"/>
  <c r="X166" i="49"/>
  <c r="X223" i="49"/>
  <c r="X211" i="49"/>
  <c r="X243" i="49"/>
  <c r="X226" i="49"/>
  <c r="X30" i="49"/>
  <c r="X219" i="49"/>
  <c r="X144" i="49"/>
  <c r="X246" i="49"/>
  <c r="X348" i="49"/>
  <c r="X152" i="49"/>
  <c r="X345" i="49"/>
  <c r="X182" i="49"/>
  <c r="X43" i="49"/>
  <c r="X276" i="49"/>
  <c r="X282" i="49"/>
  <c r="X239" i="49"/>
  <c r="X14" i="49"/>
  <c r="X234" i="49"/>
  <c r="X22" i="49"/>
  <c r="X275" i="49"/>
  <c r="X139" i="49"/>
  <c r="X56" i="49"/>
  <c r="X148" i="49"/>
  <c r="X111" i="49"/>
  <c r="X82" i="49"/>
  <c r="X342" i="49"/>
  <c r="X217" i="49"/>
  <c r="X324" i="49"/>
  <c r="X25" i="49"/>
  <c r="X320" i="49"/>
  <c r="X317" i="49"/>
  <c r="X287" i="49"/>
  <c r="X33" i="49"/>
  <c r="X259" i="49"/>
  <c r="X172" i="49"/>
  <c r="X328" i="49"/>
  <c r="X198" i="49"/>
  <c r="X212" i="49"/>
  <c r="X232" i="49"/>
  <c r="X200" i="49"/>
  <c r="X294" i="49"/>
  <c r="X118" i="49"/>
  <c r="X68" i="49"/>
  <c r="X197" i="49"/>
  <c r="X308" i="49"/>
  <c r="X253" i="49"/>
  <c r="X131" i="49"/>
  <c r="X240" i="49"/>
  <c r="X116" i="49"/>
  <c r="X171" i="49"/>
  <c r="X293" i="49"/>
  <c r="X350" i="49"/>
  <c r="X191" i="49"/>
  <c r="X95" i="49"/>
  <c r="X305" i="49"/>
  <c r="X84" i="49"/>
  <c r="X277" i="49"/>
  <c r="X164" i="49"/>
  <c r="X330" i="49"/>
  <c r="X194" i="49"/>
  <c r="X100" i="49"/>
  <c r="X203" i="49"/>
  <c r="X248" i="49"/>
  <c r="X124" i="49"/>
  <c r="X59" i="49"/>
  <c r="X332" i="49"/>
  <c r="X61" i="49"/>
  <c r="X202" i="49"/>
  <c r="X323" i="49"/>
  <c r="X247" i="49"/>
  <c r="X286" i="49"/>
  <c r="X140" i="49"/>
  <c r="X306" i="49"/>
  <c r="X99" i="49"/>
  <c r="X288" i="49"/>
  <c r="X34" i="49"/>
  <c r="X326" i="49"/>
  <c r="Y3" i="49"/>
  <c r="AD3" i="49"/>
  <c r="AG3" i="49"/>
  <c r="AE3" i="49"/>
  <c r="AB3" i="49"/>
  <c r="AF3" i="49"/>
  <c r="AA3" i="49"/>
  <c r="Z3" i="49"/>
  <c r="AG8" i="44"/>
  <c r="F6" i="16" s="1"/>
  <c r="Q6" i="16" s="1"/>
  <c r="AH3" i="49" l="1"/>
  <c r="AC3" i="49"/>
  <c r="D2" i="42"/>
  <c r="K1" i="51"/>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S31" i="53"/>
  <c r="T31" i="53"/>
  <c r="U31" i="53"/>
  <c r="S32" i="53"/>
  <c r="T32" i="53"/>
  <c r="U32" i="53"/>
  <c r="S33" i="53"/>
  <c r="T33" i="53"/>
  <c r="U33" i="53"/>
  <c r="S34" i="53"/>
  <c r="T34" i="53"/>
  <c r="U34" i="53"/>
  <c r="S35" i="53"/>
  <c r="T35" i="53"/>
  <c r="U35" i="53"/>
  <c r="S36" i="53"/>
  <c r="T36" i="53"/>
  <c r="U36" i="53"/>
  <c r="S37" i="53"/>
  <c r="T37" i="53"/>
  <c r="U37" i="53"/>
  <c r="S38" i="53"/>
  <c r="T38" i="53"/>
  <c r="U38" i="53"/>
  <c r="S39" i="53"/>
  <c r="T39" i="53"/>
  <c r="U39" i="53"/>
  <c r="S40" i="53"/>
  <c r="T40" i="53"/>
  <c r="U40" i="53"/>
  <c r="S41" i="53"/>
  <c r="T41" i="53"/>
  <c r="U41" i="53"/>
  <c r="S42" i="53"/>
  <c r="T42" i="53"/>
  <c r="U42" i="53"/>
  <c r="S43" i="53"/>
  <c r="T43" i="53"/>
  <c r="U43" i="53"/>
  <c r="S44" i="53"/>
  <c r="T44" i="53"/>
  <c r="U44" i="53"/>
  <c r="S45" i="53"/>
  <c r="T45" i="53"/>
  <c r="U45" i="53"/>
  <c r="S46" i="53"/>
  <c r="T46" i="53"/>
  <c r="U46" i="53"/>
  <c r="S47" i="53"/>
  <c r="T47" i="53"/>
  <c r="U47" i="53"/>
  <c r="S48" i="53"/>
  <c r="T48" i="53"/>
  <c r="U48" i="53"/>
  <c r="S49" i="53"/>
  <c r="T49" i="53"/>
  <c r="U49" i="53"/>
  <c r="S50" i="53"/>
  <c r="T50" i="53"/>
  <c r="U50" i="53"/>
  <c r="S51" i="53"/>
  <c r="T51" i="53"/>
  <c r="U51" i="53"/>
  <c r="S52" i="53"/>
  <c r="T52" i="53"/>
  <c r="U52" i="53"/>
  <c r="S53" i="53"/>
  <c r="T53" i="53"/>
  <c r="U53" i="53"/>
  <c r="S54" i="53"/>
  <c r="T54" i="53"/>
  <c r="U54" i="53"/>
  <c r="S55" i="53"/>
  <c r="T55" i="53"/>
  <c r="U55" i="53"/>
  <c r="S56" i="53"/>
  <c r="T56" i="53"/>
  <c r="U56" i="53"/>
  <c r="S57" i="53"/>
  <c r="T57" i="53"/>
  <c r="U57" i="53"/>
  <c r="S58" i="53"/>
  <c r="T58" i="53"/>
  <c r="U58" i="53"/>
  <c r="S59" i="53"/>
  <c r="T59" i="53"/>
  <c r="U59" i="53"/>
  <c r="S60" i="53"/>
  <c r="T60" i="53"/>
  <c r="U60" i="53"/>
  <c r="S61" i="53"/>
  <c r="T61" i="53"/>
  <c r="U61" i="53"/>
  <c r="S62" i="53"/>
  <c r="T62" i="53"/>
  <c r="U62" i="53"/>
  <c r="S63" i="53"/>
  <c r="T63" i="53"/>
  <c r="U63" i="53"/>
  <c r="S64" i="53"/>
  <c r="T64" i="53"/>
  <c r="U64" i="53"/>
  <c r="S65" i="53"/>
  <c r="T65" i="53"/>
  <c r="U65" i="53"/>
  <c r="S66" i="53"/>
  <c r="T66" i="53"/>
  <c r="U66" i="53"/>
  <c r="S67" i="53"/>
  <c r="T67" i="53"/>
  <c r="U67" i="53"/>
  <c r="S68" i="53"/>
  <c r="T68" i="53"/>
  <c r="U68" i="53"/>
  <c r="S69" i="53"/>
  <c r="T69" i="53"/>
  <c r="U69" i="53"/>
  <c r="S70" i="53"/>
  <c r="T70" i="53"/>
  <c r="U70" i="53"/>
  <c r="S71" i="53"/>
  <c r="T71" i="53"/>
  <c r="U71" i="53"/>
  <c r="S72" i="53"/>
  <c r="T72" i="53"/>
  <c r="U72" i="53"/>
  <c r="S73" i="53"/>
  <c r="T73" i="53"/>
  <c r="U73" i="53"/>
  <c r="S74" i="53"/>
  <c r="T74" i="53"/>
  <c r="U74" i="53"/>
  <c r="S75" i="53"/>
  <c r="T75" i="53"/>
  <c r="U75" i="53"/>
  <c r="S76" i="53"/>
  <c r="T76" i="53"/>
  <c r="U76" i="53"/>
  <c r="S77" i="53"/>
  <c r="T77" i="53"/>
  <c r="U77" i="53"/>
  <c r="S78" i="53"/>
  <c r="T78" i="53"/>
  <c r="U78" i="53"/>
  <c r="S79" i="53"/>
  <c r="T79" i="53"/>
  <c r="U79" i="53"/>
  <c r="S80" i="53"/>
  <c r="T80" i="53"/>
  <c r="U80" i="53"/>
  <c r="S81" i="53"/>
  <c r="T81" i="53"/>
  <c r="U81" i="53"/>
  <c r="S82" i="53"/>
  <c r="T82" i="53"/>
  <c r="U82" i="53"/>
  <c r="S83" i="53"/>
  <c r="T83" i="53"/>
  <c r="U83" i="53"/>
  <c r="S84" i="53"/>
  <c r="T84" i="53"/>
  <c r="U84" i="53"/>
  <c r="S85" i="53"/>
  <c r="T85" i="53"/>
  <c r="U85" i="53"/>
  <c r="S86" i="53"/>
  <c r="T86" i="53"/>
  <c r="U86" i="53"/>
  <c r="S87" i="53"/>
  <c r="T87" i="53"/>
  <c r="U87" i="53"/>
  <c r="S88" i="53"/>
  <c r="T88" i="53"/>
  <c r="U88" i="53"/>
  <c r="S89" i="53"/>
  <c r="T89" i="53"/>
  <c r="U89" i="53"/>
  <c r="S90" i="53"/>
  <c r="T90" i="53"/>
  <c r="U90" i="53"/>
  <c r="S91" i="53"/>
  <c r="T91" i="53"/>
  <c r="U91" i="53"/>
  <c r="S92" i="53"/>
  <c r="T92" i="53"/>
  <c r="U92" i="53"/>
  <c r="S93" i="53"/>
  <c r="T93" i="53"/>
  <c r="U93" i="53"/>
  <c r="S94" i="53"/>
  <c r="T94" i="53"/>
  <c r="U94" i="53"/>
  <c r="S95" i="53"/>
  <c r="T95" i="53"/>
  <c r="U95" i="53"/>
  <c r="S96" i="53"/>
  <c r="T96" i="53"/>
  <c r="U96" i="53"/>
  <c r="S97" i="53"/>
  <c r="T97" i="53"/>
  <c r="U97" i="53"/>
  <c r="S98" i="53"/>
  <c r="T98" i="53"/>
  <c r="U98" i="53"/>
  <c r="S99" i="53"/>
  <c r="T99" i="53"/>
  <c r="U99" i="53"/>
  <c r="S100" i="53"/>
  <c r="T100" i="53"/>
  <c r="U100" i="53"/>
  <c r="S101" i="53"/>
  <c r="T101" i="53"/>
  <c r="U101" i="53"/>
  <c r="S102" i="53"/>
  <c r="T102" i="53"/>
  <c r="U102" i="53"/>
  <c r="S103" i="53"/>
  <c r="T103" i="53"/>
  <c r="U103" i="53"/>
  <c r="S104" i="53"/>
  <c r="T104" i="53"/>
  <c r="U104" i="53"/>
  <c r="S105" i="53"/>
  <c r="T105" i="53"/>
  <c r="U105" i="53"/>
  <c r="S106" i="53"/>
  <c r="T106" i="53"/>
  <c r="U106" i="53"/>
  <c r="S107" i="53"/>
  <c r="T107" i="53"/>
  <c r="U107" i="53"/>
  <c r="S108" i="53"/>
  <c r="T108" i="53"/>
  <c r="U108" i="53"/>
  <c r="S109" i="53"/>
  <c r="T109" i="53"/>
  <c r="U109" i="53"/>
  <c r="S110" i="53"/>
  <c r="T110" i="53"/>
  <c r="U110" i="53"/>
  <c r="S111" i="53"/>
  <c r="T111" i="53"/>
  <c r="U111" i="53"/>
  <c r="S112" i="53"/>
  <c r="T112" i="53"/>
  <c r="U112" i="53"/>
  <c r="S113" i="53"/>
  <c r="T113" i="53"/>
  <c r="U113" i="53"/>
  <c r="S114" i="53"/>
  <c r="T114" i="53"/>
  <c r="U114" i="53"/>
  <c r="S115" i="53"/>
  <c r="T115" i="53"/>
  <c r="U115" i="53"/>
  <c r="S116" i="53"/>
  <c r="T116" i="53"/>
  <c r="U116" i="53"/>
  <c r="S117" i="53"/>
  <c r="T117" i="53"/>
  <c r="U117" i="53"/>
  <c r="S118" i="53"/>
  <c r="T118" i="53"/>
  <c r="U118" i="53"/>
  <c r="S119" i="53"/>
  <c r="T119" i="53"/>
  <c r="U119" i="53"/>
  <c r="S120" i="53"/>
  <c r="T120" i="53"/>
  <c r="U120" i="53"/>
  <c r="S121" i="53"/>
  <c r="T121" i="53"/>
  <c r="U121" i="53"/>
  <c r="S122" i="53"/>
  <c r="T122" i="53"/>
  <c r="U122" i="53"/>
  <c r="S123" i="53"/>
  <c r="T123" i="53"/>
  <c r="U123" i="53"/>
  <c r="S124" i="53"/>
  <c r="T124" i="53"/>
  <c r="U124" i="53"/>
  <c r="S125" i="53"/>
  <c r="T125" i="53"/>
  <c r="U125" i="53"/>
  <c r="S126" i="53"/>
  <c r="T126" i="53"/>
  <c r="U126" i="53"/>
  <c r="S127" i="53"/>
  <c r="T127" i="53"/>
  <c r="U127" i="53"/>
  <c r="S128" i="53"/>
  <c r="T128" i="53"/>
  <c r="U128" i="53"/>
  <c r="S129" i="53"/>
  <c r="T129" i="53"/>
  <c r="U129" i="53"/>
  <c r="S130" i="53"/>
  <c r="T130" i="53"/>
  <c r="U130" i="53"/>
  <c r="S131" i="53"/>
  <c r="T131" i="53"/>
  <c r="U131" i="53"/>
  <c r="S132" i="53"/>
  <c r="T132" i="53"/>
  <c r="U132" i="53"/>
  <c r="S133" i="53"/>
  <c r="T133" i="53"/>
  <c r="U133" i="53"/>
  <c r="S134" i="53"/>
  <c r="T134" i="53"/>
  <c r="U134" i="53"/>
  <c r="S135" i="53"/>
  <c r="T135" i="53"/>
  <c r="U135" i="53"/>
  <c r="S136" i="53"/>
  <c r="T136" i="53"/>
  <c r="U136" i="53"/>
  <c r="S137" i="53"/>
  <c r="T137" i="53"/>
  <c r="U137" i="53"/>
  <c r="S138" i="53"/>
  <c r="T138" i="53"/>
  <c r="U138" i="53"/>
  <c r="S139" i="53"/>
  <c r="T139" i="53"/>
  <c r="U139" i="53"/>
  <c r="S140" i="53"/>
  <c r="T140" i="53"/>
  <c r="U140" i="53"/>
  <c r="S141" i="53"/>
  <c r="T141" i="53"/>
  <c r="U141" i="53"/>
  <c r="S142" i="53"/>
  <c r="T142" i="53"/>
  <c r="U142" i="53"/>
  <c r="S143" i="53"/>
  <c r="T143" i="53"/>
  <c r="U143" i="53"/>
  <c r="S144" i="53"/>
  <c r="T144" i="53"/>
  <c r="U144" i="53"/>
  <c r="S145" i="53"/>
  <c r="T145" i="53"/>
  <c r="U145" i="53"/>
  <c r="S146" i="53"/>
  <c r="T146" i="53"/>
  <c r="U146" i="53"/>
  <c r="S147" i="53"/>
  <c r="T147" i="53"/>
  <c r="U147" i="53"/>
  <c r="S148" i="53"/>
  <c r="T148" i="53"/>
  <c r="U148" i="53"/>
  <c r="S149" i="53"/>
  <c r="T149" i="53"/>
  <c r="U149" i="53"/>
  <c r="S150" i="53"/>
  <c r="T150" i="53"/>
  <c r="U150" i="53"/>
  <c r="S151" i="53"/>
  <c r="T151" i="53"/>
  <c r="U151" i="53"/>
  <c r="S152" i="53"/>
  <c r="T152" i="53"/>
  <c r="U152" i="53"/>
  <c r="S153" i="53"/>
  <c r="T153" i="53"/>
  <c r="U153" i="53"/>
  <c r="S154" i="53"/>
  <c r="T154" i="53"/>
  <c r="U154" i="53"/>
  <c r="S155" i="53"/>
  <c r="T155" i="53"/>
  <c r="U155" i="53"/>
  <c r="S156" i="53"/>
  <c r="T156" i="53"/>
  <c r="U156" i="53"/>
  <c r="S157" i="53"/>
  <c r="T157" i="53"/>
  <c r="U157" i="53"/>
  <c r="S158" i="53"/>
  <c r="T158" i="53"/>
  <c r="U158" i="53"/>
  <c r="S159" i="53"/>
  <c r="T159" i="53"/>
  <c r="U159" i="53"/>
  <c r="S160" i="53"/>
  <c r="T160" i="53"/>
  <c r="U160" i="53"/>
  <c r="S161" i="53"/>
  <c r="T161" i="53"/>
  <c r="U161" i="53"/>
  <c r="S162" i="53"/>
  <c r="T162" i="53"/>
  <c r="U162" i="53"/>
  <c r="S163" i="53"/>
  <c r="T163" i="53"/>
  <c r="U163" i="53"/>
  <c r="S164" i="53"/>
  <c r="T164" i="53"/>
  <c r="U164" i="53"/>
  <c r="S165" i="53"/>
  <c r="T165" i="53"/>
  <c r="U165" i="53"/>
  <c r="S166" i="53"/>
  <c r="T166" i="53"/>
  <c r="U166" i="53"/>
  <c r="S167" i="53"/>
  <c r="T167" i="53"/>
  <c r="U167" i="53"/>
  <c r="S168" i="53"/>
  <c r="T168" i="53"/>
  <c r="U168" i="53"/>
  <c r="S169" i="53"/>
  <c r="T169" i="53"/>
  <c r="U169" i="53"/>
  <c r="S170" i="53"/>
  <c r="T170" i="53"/>
  <c r="U170" i="53"/>
  <c r="S171" i="53"/>
  <c r="T171" i="53"/>
  <c r="U171" i="53"/>
  <c r="S172" i="53"/>
  <c r="T172" i="53"/>
  <c r="U172" i="53"/>
  <c r="S173" i="53"/>
  <c r="T173" i="53"/>
  <c r="U173" i="53"/>
  <c r="S174" i="53"/>
  <c r="T174" i="53"/>
  <c r="U174" i="53"/>
  <c r="S175" i="53"/>
  <c r="T175" i="53"/>
  <c r="U175" i="53"/>
  <c r="S176" i="53"/>
  <c r="T176" i="53"/>
  <c r="U176" i="53"/>
  <c r="S177" i="53"/>
  <c r="T177" i="53"/>
  <c r="U177" i="53"/>
  <c r="S178" i="53"/>
  <c r="T178" i="53"/>
  <c r="U178" i="53"/>
  <c r="S179" i="53"/>
  <c r="T179" i="53"/>
  <c r="U179" i="53"/>
  <c r="S180" i="53"/>
  <c r="T180" i="53"/>
  <c r="U180" i="53"/>
  <c r="S181" i="53"/>
  <c r="T181" i="53"/>
  <c r="U181" i="53"/>
  <c r="S182" i="53"/>
  <c r="T182" i="53"/>
  <c r="U182" i="53"/>
  <c r="S183" i="53"/>
  <c r="T183" i="53"/>
  <c r="U183" i="53"/>
  <c r="S184" i="53"/>
  <c r="T184" i="53"/>
  <c r="U184" i="53"/>
  <c r="S185" i="53"/>
  <c r="T185" i="53"/>
  <c r="U185" i="53"/>
  <c r="S186" i="53"/>
  <c r="T186" i="53"/>
  <c r="U186" i="53"/>
  <c r="S187" i="53"/>
  <c r="T187" i="53"/>
  <c r="U187" i="53"/>
  <c r="S188" i="53"/>
  <c r="T188" i="53"/>
  <c r="U188" i="53"/>
  <c r="S189" i="53"/>
  <c r="T189" i="53"/>
  <c r="U189" i="53"/>
  <c r="S190" i="53"/>
  <c r="T190" i="53"/>
  <c r="U190" i="53"/>
  <c r="S191" i="53"/>
  <c r="T191" i="53"/>
  <c r="U191" i="53"/>
  <c r="S192" i="53"/>
  <c r="T192" i="53"/>
  <c r="U192" i="53"/>
  <c r="S193" i="53"/>
  <c r="T193" i="53"/>
  <c r="U193" i="53"/>
  <c r="S194" i="53"/>
  <c r="T194" i="53"/>
  <c r="U194" i="53"/>
  <c r="S195" i="53"/>
  <c r="T195" i="53"/>
  <c r="U195" i="53"/>
  <c r="S196" i="53"/>
  <c r="T196" i="53"/>
  <c r="U196" i="53"/>
  <c r="S197" i="53"/>
  <c r="T197" i="53"/>
  <c r="U197" i="53"/>
  <c r="S198" i="53"/>
  <c r="T198" i="53"/>
  <c r="U198" i="53"/>
  <c r="S199" i="53"/>
  <c r="T199" i="53"/>
  <c r="U199" i="53"/>
  <c r="S200" i="53"/>
  <c r="T200" i="53"/>
  <c r="U200" i="53"/>
  <c r="S201" i="53"/>
  <c r="T201" i="53"/>
  <c r="U201" i="53"/>
  <c r="S202" i="53"/>
  <c r="T202" i="53"/>
  <c r="U202" i="53"/>
  <c r="S203" i="53"/>
  <c r="T203" i="53"/>
  <c r="U203" i="53"/>
  <c r="S204" i="53"/>
  <c r="T204" i="53"/>
  <c r="U204" i="53"/>
  <c r="S205" i="53"/>
  <c r="T205" i="53"/>
  <c r="U205" i="53"/>
  <c r="S206" i="53"/>
  <c r="T206" i="53"/>
  <c r="U206" i="53"/>
  <c r="S207" i="53"/>
  <c r="T207" i="53"/>
  <c r="U207" i="53"/>
  <c r="S208" i="53"/>
  <c r="T208" i="53"/>
  <c r="U208" i="53"/>
  <c r="S209" i="53"/>
  <c r="T209" i="53"/>
  <c r="U209" i="53"/>
  <c r="S210" i="53"/>
  <c r="T210" i="53"/>
  <c r="U210" i="53"/>
  <c r="S211" i="53"/>
  <c r="T211" i="53"/>
  <c r="U211" i="53"/>
  <c r="S212" i="53"/>
  <c r="T212" i="53"/>
  <c r="U212" i="53"/>
  <c r="S213" i="53"/>
  <c r="T213" i="53"/>
  <c r="U213" i="53"/>
  <c r="S214" i="53"/>
  <c r="T214" i="53"/>
  <c r="U214" i="53"/>
  <c r="S215" i="53"/>
  <c r="T215" i="53"/>
  <c r="U215" i="53"/>
  <c r="S216" i="53"/>
  <c r="T216" i="53"/>
  <c r="U216" i="53"/>
  <c r="S217" i="53"/>
  <c r="T217" i="53"/>
  <c r="U217" i="53"/>
  <c r="S218" i="53"/>
  <c r="T218" i="53"/>
  <c r="U218" i="53"/>
  <c r="S219" i="53"/>
  <c r="T219" i="53"/>
  <c r="U219" i="53"/>
  <c r="S220" i="53"/>
  <c r="T220" i="53"/>
  <c r="U220" i="53"/>
  <c r="S221" i="53"/>
  <c r="T221" i="53"/>
  <c r="U221" i="53"/>
  <c r="S222" i="53"/>
  <c r="T222" i="53"/>
  <c r="U222" i="53"/>
  <c r="S223" i="53"/>
  <c r="T223" i="53"/>
  <c r="U223" i="53"/>
  <c r="S224" i="53"/>
  <c r="T224" i="53"/>
  <c r="U224" i="53"/>
  <c r="S225" i="53"/>
  <c r="T225" i="53"/>
  <c r="U225" i="53"/>
  <c r="S226" i="53"/>
  <c r="T226" i="53"/>
  <c r="U226" i="53"/>
  <c r="S227" i="53"/>
  <c r="T227" i="53"/>
  <c r="U227" i="53"/>
  <c r="S228" i="53"/>
  <c r="T228" i="53"/>
  <c r="U228" i="53"/>
  <c r="S229" i="53"/>
  <c r="T229" i="53"/>
  <c r="U229" i="53"/>
  <c r="S230" i="53"/>
  <c r="T230" i="53"/>
  <c r="U230" i="53"/>
  <c r="S231" i="53"/>
  <c r="T231" i="53"/>
  <c r="U231" i="53"/>
  <c r="S232" i="53"/>
  <c r="T232" i="53"/>
  <c r="U232" i="53"/>
  <c r="S233" i="53"/>
  <c r="T233" i="53"/>
  <c r="U233" i="53"/>
  <c r="S234" i="53"/>
  <c r="T234" i="53"/>
  <c r="U234" i="53"/>
  <c r="S235" i="53"/>
  <c r="T235" i="53"/>
  <c r="U235" i="53"/>
  <c r="S236" i="53"/>
  <c r="T236" i="53"/>
  <c r="U236" i="53"/>
  <c r="S237" i="53"/>
  <c r="T237" i="53"/>
  <c r="U237" i="53"/>
  <c r="S238" i="53"/>
  <c r="T238" i="53"/>
  <c r="U238" i="53"/>
  <c r="S239" i="53"/>
  <c r="T239" i="53"/>
  <c r="U239" i="53"/>
  <c r="S240" i="53"/>
  <c r="T240" i="53"/>
  <c r="U240" i="53"/>
  <c r="S241" i="53"/>
  <c r="T241" i="53"/>
  <c r="U241" i="53"/>
  <c r="S242" i="53"/>
  <c r="T242" i="53"/>
  <c r="U242" i="53"/>
  <c r="S243" i="53"/>
  <c r="T243" i="53"/>
  <c r="U243" i="53"/>
  <c r="S244" i="53"/>
  <c r="T244" i="53"/>
  <c r="U244" i="53"/>
  <c r="S245" i="53"/>
  <c r="T245" i="53"/>
  <c r="U245" i="53"/>
  <c r="S246" i="53"/>
  <c r="T246" i="53"/>
  <c r="U246" i="53"/>
  <c r="S247" i="53"/>
  <c r="T247" i="53"/>
  <c r="U247" i="53"/>
  <c r="S248" i="53"/>
  <c r="T248" i="53"/>
  <c r="U248" i="53"/>
  <c r="S249" i="53"/>
  <c r="T249" i="53"/>
  <c r="U249" i="53"/>
  <c r="S250" i="53"/>
  <c r="T250" i="53"/>
  <c r="U250" i="53"/>
  <c r="S251" i="53"/>
  <c r="T251" i="53"/>
  <c r="U251" i="53"/>
  <c r="S252" i="53"/>
  <c r="T252" i="53"/>
  <c r="U252" i="53"/>
  <c r="S253" i="53"/>
  <c r="T253" i="53"/>
  <c r="U253" i="53"/>
  <c r="S254" i="53"/>
  <c r="T254" i="53"/>
  <c r="U254" i="53"/>
  <c r="S255" i="53"/>
  <c r="T255" i="53"/>
  <c r="U255" i="53"/>
  <c r="S256" i="53"/>
  <c r="T256" i="53"/>
  <c r="U256" i="53"/>
  <c r="S257" i="53"/>
  <c r="T257" i="53"/>
  <c r="U257" i="53"/>
  <c r="S258" i="53"/>
  <c r="T258" i="53"/>
  <c r="U258" i="53"/>
  <c r="S259" i="53"/>
  <c r="T259" i="53"/>
  <c r="U259" i="53"/>
  <c r="S260" i="53"/>
  <c r="T260" i="53"/>
  <c r="U260" i="53"/>
  <c r="S261" i="53"/>
  <c r="T261" i="53"/>
  <c r="U261" i="53"/>
  <c r="S262" i="53"/>
  <c r="T262" i="53"/>
  <c r="U262" i="53"/>
  <c r="S263" i="53"/>
  <c r="T263" i="53"/>
  <c r="U263" i="53"/>
  <c r="S264" i="53"/>
  <c r="T264" i="53"/>
  <c r="U264" i="53"/>
  <c r="S265" i="53"/>
  <c r="T265" i="53"/>
  <c r="U265" i="53"/>
  <c r="S266" i="53"/>
  <c r="T266" i="53"/>
  <c r="U266" i="53"/>
  <c r="S267" i="53"/>
  <c r="T267" i="53"/>
  <c r="U267" i="53"/>
  <c r="S268" i="53"/>
  <c r="T268" i="53"/>
  <c r="U268" i="53"/>
  <c r="S269" i="53"/>
  <c r="T269" i="53"/>
  <c r="U269" i="53"/>
  <c r="S270" i="53"/>
  <c r="T270" i="53"/>
  <c r="U270" i="53"/>
  <c r="S271" i="53"/>
  <c r="T271" i="53"/>
  <c r="U271" i="53"/>
  <c r="S272" i="53"/>
  <c r="T272" i="53"/>
  <c r="U272" i="53"/>
  <c r="S273" i="53"/>
  <c r="T273" i="53"/>
  <c r="U273" i="53"/>
  <c r="S274" i="53"/>
  <c r="T274" i="53"/>
  <c r="U274" i="53"/>
  <c r="S275" i="53"/>
  <c r="T275" i="53"/>
  <c r="U275" i="53"/>
  <c r="S276" i="53"/>
  <c r="T276" i="53"/>
  <c r="U276" i="53"/>
  <c r="S277" i="53"/>
  <c r="T277" i="53"/>
  <c r="U277" i="53"/>
  <c r="S278" i="53"/>
  <c r="T278" i="53"/>
  <c r="U278" i="53"/>
  <c r="S279" i="53"/>
  <c r="T279" i="53"/>
  <c r="U279" i="53"/>
  <c r="S280" i="53"/>
  <c r="T280" i="53"/>
  <c r="U280" i="53"/>
  <c r="S281" i="53"/>
  <c r="T281" i="53"/>
  <c r="U281" i="53"/>
  <c r="S282" i="53"/>
  <c r="T282" i="53"/>
  <c r="U282" i="53"/>
  <c r="S283" i="53"/>
  <c r="T283" i="53"/>
  <c r="U283" i="53"/>
  <c r="S284" i="53"/>
  <c r="T284" i="53"/>
  <c r="U284" i="53"/>
  <c r="S285" i="53"/>
  <c r="T285" i="53"/>
  <c r="U285" i="53"/>
  <c r="S286" i="53"/>
  <c r="T286" i="53"/>
  <c r="U286" i="53"/>
  <c r="S287" i="53"/>
  <c r="T287" i="53"/>
  <c r="U287" i="53"/>
  <c r="S288" i="53"/>
  <c r="T288" i="53"/>
  <c r="U288" i="53"/>
  <c r="S289" i="53"/>
  <c r="T289" i="53"/>
  <c r="U289" i="53"/>
  <c r="S290" i="53"/>
  <c r="T290" i="53"/>
  <c r="U290" i="53"/>
  <c r="S291" i="53"/>
  <c r="T291" i="53"/>
  <c r="U291" i="53"/>
  <c r="S292" i="53"/>
  <c r="T292" i="53"/>
  <c r="U292" i="53"/>
  <c r="S293" i="53"/>
  <c r="T293" i="53"/>
  <c r="U293" i="53"/>
  <c r="S294" i="53"/>
  <c r="T294" i="53"/>
  <c r="U294" i="53"/>
  <c r="S295" i="53"/>
  <c r="T295" i="53"/>
  <c r="U295" i="53"/>
  <c r="S296" i="53"/>
  <c r="T296" i="53"/>
  <c r="U296" i="53"/>
  <c r="S297" i="53"/>
  <c r="T297" i="53"/>
  <c r="U297" i="53"/>
  <c r="S298" i="53"/>
  <c r="T298" i="53"/>
  <c r="U298" i="53"/>
  <c r="S299" i="53"/>
  <c r="T299" i="53"/>
  <c r="U299" i="53"/>
  <c r="S300" i="53"/>
  <c r="T300" i="53"/>
  <c r="U300" i="53"/>
  <c r="S301" i="53"/>
  <c r="T301" i="53"/>
  <c r="U301" i="53"/>
  <c r="S302" i="53"/>
  <c r="T302" i="53"/>
  <c r="U302" i="53"/>
  <c r="S303" i="53"/>
  <c r="T303" i="53"/>
  <c r="U303" i="53"/>
  <c r="S304" i="53"/>
  <c r="T304" i="53"/>
  <c r="U304" i="53"/>
  <c r="S305" i="53"/>
  <c r="T305" i="53"/>
  <c r="U305" i="53"/>
  <c r="S306" i="53"/>
  <c r="T306" i="53"/>
  <c r="U306" i="53"/>
  <c r="S307" i="53"/>
  <c r="T307" i="53"/>
  <c r="U307" i="53"/>
  <c r="S308" i="53"/>
  <c r="T308" i="53"/>
  <c r="U308" i="53"/>
  <c r="S309" i="53"/>
  <c r="T309" i="53"/>
  <c r="U309" i="53"/>
  <c r="S310" i="53"/>
  <c r="T310" i="53"/>
  <c r="U310" i="53"/>
  <c r="S311" i="53"/>
  <c r="T311" i="53"/>
  <c r="U311" i="53"/>
  <c r="S312" i="53"/>
  <c r="T312" i="53"/>
  <c r="U312" i="53"/>
  <c r="S313" i="53"/>
  <c r="T313" i="53"/>
  <c r="U313" i="53"/>
  <c r="S314" i="53"/>
  <c r="T314" i="53"/>
  <c r="U314" i="53"/>
  <c r="S315" i="53"/>
  <c r="T315" i="53"/>
  <c r="U315" i="53"/>
  <c r="S316" i="53"/>
  <c r="T316" i="53"/>
  <c r="U316" i="53"/>
  <c r="S317" i="53"/>
  <c r="T317" i="53"/>
  <c r="U317" i="53"/>
  <c r="S318" i="53"/>
  <c r="T318" i="53"/>
  <c r="U318" i="53"/>
  <c r="S319" i="53"/>
  <c r="T319" i="53"/>
  <c r="U319" i="53"/>
  <c r="S320" i="53"/>
  <c r="T320" i="53"/>
  <c r="U320" i="53"/>
  <c r="S321" i="53"/>
  <c r="T321" i="53"/>
  <c r="U321" i="53"/>
  <c r="S322" i="53"/>
  <c r="T322" i="53"/>
  <c r="U322" i="53"/>
  <c r="S323" i="53"/>
  <c r="T323" i="53"/>
  <c r="U323" i="53"/>
  <c r="S324" i="53"/>
  <c r="T324" i="53"/>
  <c r="U324" i="53"/>
  <c r="S325" i="53"/>
  <c r="T325" i="53"/>
  <c r="U325" i="53"/>
  <c r="S326" i="53"/>
  <c r="T326" i="53"/>
  <c r="U326" i="53"/>
  <c r="S327" i="53"/>
  <c r="T327" i="53"/>
  <c r="U327" i="53"/>
  <c r="S328" i="53"/>
  <c r="T328" i="53"/>
  <c r="U328" i="53"/>
  <c r="S329" i="53"/>
  <c r="T329" i="53"/>
  <c r="U329" i="53"/>
  <c r="S330" i="53"/>
  <c r="T330" i="53"/>
  <c r="U330" i="53"/>
  <c r="S331" i="53"/>
  <c r="T331" i="53"/>
  <c r="U331" i="53"/>
  <c r="S332" i="53"/>
  <c r="T332" i="53"/>
  <c r="U332" i="53"/>
  <c r="S333" i="53"/>
  <c r="T333" i="53"/>
  <c r="U333" i="53"/>
  <c r="S334" i="53"/>
  <c r="T334" i="53"/>
  <c r="U334" i="53"/>
  <c r="S335" i="53"/>
  <c r="T335" i="53"/>
  <c r="U335" i="53"/>
  <c r="S336" i="53"/>
  <c r="T336" i="53"/>
  <c r="U336" i="53"/>
  <c r="S337" i="53"/>
  <c r="T337" i="53"/>
  <c r="U337" i="53"/>
  <c r="S338" i="53"/>
  <c r="T338" i="53"/>
  <c r="U338" i="53"/>
  <c r="S339" i="53"/>
  <c r="T339" i="53"/>
  <c r="U339" i="53"/>
  <c r="S340" i="53"/>
  <c r="T340" i="53"/>
  <c r="U340" i="53"/>
  <c r="S341" i="53"/>
  <c r="T341" i="53"/>
  <c r="U341" i="53"/>
  <c r="S342" i="53"/>
  <c r="T342" i="53"/>
  <c r="U342" i="53"/>
  <c r="S343" i="53"/>
  <c r="T343" i="53"/>
  <c r="U343" i="53"/>
  <c r="S344" i="53"/>
  <c r="T344" i="53"/>
  <c r="U344" i="53"/>
  <c r="S345" i="53"/>
  <c r="T345" i="53"/>
  <c r="U345" i="53"/>
  <c r="S346" i="53"/>
  <c r="T346" i="53"/>
  <c r="U346" i="53"/>
  <c r="S347" i="53"/>
  <c r="T347" i="53"/>
  <c r="U347" i="53"/>
  <c r="S348" i="53"/>
  <c r="T348" i="53"/>
  <c r="U348" i="53"/>
  <c r="S349" i="53"/>
  <c r="T349" i="53"/>
  <c r="U349" i="53"/>
  <c r="T3" i="53"/>
  <c r="U3" i="53"/>
  <c r="S3" i="53"/>
  <c r="M3" i="53"/>
  <c r="G1" i="53"/>
  <c r="F1" i="53"/>
  <c r="A5" i="53"/>
  <c r="J5" i="53" s="1"/>
  <c r="N5" i="53" s="1"/>
  <c r="B5" i="53"/>
  <c r="K5" i="53" s="1"/>
  <c r="O5" i="53" s="1"/>
  <c r="C5" i="53"/>
  <c r="L5" i="53" s="1"/>
  <c r="P5" i="53" s="1"/>
  <c r="A6" i="53"/>
  <c r="J6" i="53" s="1"/>
  <c r="N6" i="53" s="1"/>
  <c r="B6" i="53"/>
  <c r="K6" i="53" s="1"/>
  <c r="O6" i="53" s="1"/>
  <c r="C6" i="53"/>
  <c r="L6" i="53" s="1"/>
  <c r="P6" i="53" s="1"/>
  <c r="A7" i="53"/>
  <c r="J7" i="53" s="1"/>
  <c r="N7" i="53" s="1"/>
  <c r="B7" i="53"/>
  <c r="K7" i="53" s="1"/>
  <c r="O7" i="53" s="1"/>
  <c r="C7" i="53"/>
  <c r="L7" i="53" s="1"/>
  <c r="P7" i="53" s="1"/>
  <c r="A8" i="53"/>
  <c r="J8" i="53" s="1"/>
  <c r="N8" i="53" s="1"/>
  <c r="B8" i="53"/>
  <c r="K8" i="53" s="1"/>
  <c r="O8" i="53" s="1"/>
  <c r="C8" i="53"/>
  <c r="L8" i="53" s="1"/>
  <c r="P8" i="53" s="1"/>
  <c r="A9" i="53"/>
  <c r="J9" i="53" s="1"/>
  <c r="N9" i="53" s="1"/>
  <c r="B9" i="53"/>
  <c r="K9" i="53" s="1"/>
  <c r="O9" i="53" s="1"/>
  <c r="C9" i="53"/>
  <c r="L9" i="53" s="1"/>
  <c r="P9" i="53" s="1"/>
  <c r="A10" i="53"/>
  <c r="J10" i="53" s="1"/>
  <c r="N10" i="53" s="1"/>
  <c r="B10" i="53"/>
  <c r="K10" i="53" s="1"/>
  <c r="O10" i="53" s="1"/>
  <c r="C10" i="53"/>
  <c r="L10" i="53" s="1"/>
  <c r="P10" i="53" s="1"/>
  <c r="A11" i="53"/>
  <c r="J11" i="53" s="1"/>
  <c r="N11" i="53" s="1"/>
  <c r="B11" i="53"/>
  <c r="K11" i="53" s="1"/>
  <c r="O11" i="53" s="1"/>
  <c r="C11" i="53"/>
  <c r="L11" i="53" s="1"/>
  <c r="P11" i="53" s="1"/>
  <c r="A12" i="53"/>
  <c r="J12" i="53" s="1"/>
  <c r="N12" i="53" s="1"/>
  <c r="B12" i="53"/>
  <c r="K12" i="53" s="1"/>
  <c r="O12" i="53" s="1"/>
  <c r="C12" i="53"/>
  <c r="L12" i="53" s="1"/>
  <c r="P12" i="53" s="1"/>
  <c r="A13" i="53"/>
  <c r="J13" i="53" s="1"/>
  <c r="N13" i="53" s="1"/>
  <c r="B13" i="53"/>
  <c r="K13" i="53" s="1"/>
  <c r="O13" i="53" s="1"/>
  <c r="C13" i="53"/>
  <c r="L13" i="53" s="1"/>
  <c r="P13" i="53" s="1"/>
  <c r="A14" i="53"/>
  <c r="J14" i="53" s="1"/>
  <c r="N14" i="53" s="1"/>
  <c r="B14" i="53"/>
  <c r="K14" i="53" s="1"/>
  <c r="O14" i="53" s="1"/>
  <c r="C14" i="53"/>
  <c r="L14" i="53" s="1"/>
  <c r="P14" i="53" s="1"/>
  <c r="A15" i="53"/>
  <c r="J15" i="53" s="1"/>
  <c r="N15" i="53" s="1"/>
  <c r="B15" i="53"/>
  <c r="K15" i="53" s="1"/>
  <c r="O15" i="53" s="1"/>
  <c r="C15" i="53"/>
  <c r="L15" i="53" s="1"/>
  <c r="P15" i="53" s="1"/>
  <c r="A16" i="53"/>
  <c r="J16" i="53" s="1"/>
  <c r="N16" i="53" s="1"/>
  <c r="B16" i="53"/>
  <c r="K16" i="53" s="1"/>
  <c r="O16" i="53" s="1"/>
  <c r="C16" i="53"/>
  <c r="L16" i="53" s="1"/>
  <c r="P16" i="53" s="1"/>
  <c r="A17" i="53"/>
  <c r="J17" i="53" s="1"/>
  <c r="N17" i="53" s="1"/>
  <c r="B17" i="53"/>
  <c r="K17" i="53" s="1"/>
  <c r="O17" i="53" s="1"/>
  <c r="C17" i="53"/>
  <c r="L17" i="53" s="1"/>
  <c r="P17" i="53" s="1"/>
  <c r="A18" i="53"/>
  <c r="J18" i="53" s="1"/>
  <c r="N18" i="53" s="1"/>
  <c r="B18" i="53"/>
  <c r="K18" i="53" s="1"/>
  <c r="O18" i="53" s="1"/>
  <c r="C18" i="53"/>
  <c r="L18" i="53" s="1"/>
  <c r="P18" i="53" s="1"/>
  <c r="A19" i="53"/>
  <c r="J19" i="53" s="1"/>
  <c r="N19" i="53" s="1"/>
  <c r="B19" i="53"/>
  <c r="K19" i="53" s="1"/>
  <c r="O19" i="53" s="1"/>
  <c r="C19" i="53"/>
  <c r="L19" i="53" s="1"/>
  <c r="P19" i="53" s="1"/>
  <c r="A20" i="53"/>
  <c r="J20" i="53" s="1"/>
  <c r="N20" i="53" s="1"/>
  <c r="B20" i="53"/>
  <c r="K20" i="53" s="1"/>
  <c r="O20" i="53" s="1"/>
  <c r="C20" i="53"/>
  <c r="L20" i="53" s="1"/>
  <c r="P20" i="53" s="1"/>
  <c r="A21" i="53"/>
  <c r="J21" i="53" s="1"/>
  <c r="N21" i="53" s="1"/>
  <c r="B21" i="53"/>
  <c r="K21" i="53" s="1"/>
  <c r="O21" i="53" s="1"/>
  <c r="C21" i="53"/>
  <c r="L21" i="53" s="1"/>
  <c r="P21" i="53" s="1"/>
  <c r="A22" i="53"/>
  <c r="J22" i="53" s="1"/>
  <c r="N22" i="53" s="1"/>
  <c r="B22" i="53"/>
  <c r="K22" i="53" s="1"/>
  <c r="O22" i="53" s="1"/>
  <c r="C22" i="53"/>
  <c r="L22" i="53" s="1"/>
  <c r="P22" i="53" s="1"/>
  <c r="A23" i="53"/>
  <c r="J23" i="53" s="1"/>
  <c r="N23" i="53" s="1"/>
  <c r="B23" i="53"/>
  <c r="K23" i="53" s="1"/>
  <c r="O23" i="53" s="1"/>
  <c r="C23" i="53"/>
  <c r="L23" i="53" s="1"/>
  <c r="P23" i="53" s="1"/>
  <c r="A24" i="53"/>
  <c r="J24" i="53" s="1"/>
  <c r="N24" i="53" s="1"/>
  <c r="B24" i="53"/>
  <c r="K24" i="53" s="1"/>
  <c r="O24" i="53" s="1"/>
  <c r="C24" i="53"/>
  <c r="L24" i="53" s="1"/>
  <c r="P24" i="53" s="1"/>
  <c r="A25" i="53"/>
  <c r="J25" i="53" s="1"/>
  <c r="N25" i="53" s="1"/>
  <c r="B25" i="53"/>
  <c r="K25" i="53" s="1"/>
  <c r="O25" i="53" s="1"/>
  <c r="C25" i="53"/>
  <c r="L25" i="53" s="1"/>
  <c r="P25" i="53" s="1"/>
  <c r="A26" i="53"/>
  <c r="J26" i="53" s="1"/>
  <c r="N26" i="53" s="1"/>
  <c r="B26" i="53"/>
  <c r="K26" i="53" s="1"/>
  <c r="O26" i="53" s="1"/>
  <c r="C26" i="53"/>
  <c r="L26" i="53" s="1"/>
  <c r="P26" i="53" s="1"/>
  <c r="A27" i="53"/>
  <c r="J27" i="53" s="1"/>
  <c r="N27" i="53" s="1"/>
  <c r="B27" i="53"/>
  <c r="K27" i="53" s="1"/>
  <c r="O27" i="53" s="1"/>
  <c r="C27" i="53"/>
  <c r="L27" i="53" s="1"/>
  <c r="P27" i="53" s="1"/>
  <c r="A28" i="53"/>
  <c r="J28" i="53" s="1"/>
  <c r="N28" i="53" s="1"/>
  <c r="B28" i="53"/>
  <c r="K28" i="53" s="1"/>
  <c r="O28" i="53" s="1"/>
  <c r="C28" i="53"/>
  <c r="L28" i="53" s="1"/>
  <c r="P28" i="53" s="1"/>
  <c r="A29" i="53"/>
  <c r="J29" i="53" s="1"/>
  <c r="N29" i="53" s="1"/>
  <c r="B29" i="53"/>
  <c r="K29" i="53" s="1"/>
  <c r="O29" i="53" s="1"/>
  <c r="C29" i="53"/>
  <c r="L29" i="53" s="1"/>
  <c r="P29" i="53" s="1"/>
  <c r="A30" i="53"/>
  <c r="J30" i="53" s="1"/>
  <c r="N30" i="53" s="1"/>
  <c r="B30" i="53"/>
  <c r="K30" i="53" s="1"/>
  <c r="O30" i="53" s="1"/>
  <c r="C30" i="53"/>
  <c r="L30" i="53" s="1"/>
  <c r="P30" i="53" s="1"/>
  <c r="A31" i="53"/>
  <c r="J31" i="53" s="1"/>
  <c r="N31" i="53" s="1"/>
  <c r="B31" i="53"/>
  <c r="K31" i="53" s="1"/>
  <c r="O31" i="53" s="1"/>
  <c r="C31" i="53"/>
  <c r="L31" i="53" s="1"/>
  <c r="P31" i="53" s="1"/>
  <c r="A32" i="53"/>
  <c r="J32" i="53" s="1"/>
  <c r="N32" i="53" s="1"/>
  <c r="B32" i="53"/>
  <c r="K32" i="53" s="1"/>
  <c r="O32" i="53" s="1"/>
  <c r="C32" i="53"/>
  <c r="L32" i="53" s="1"/>
  <c r="P32" i="53" s="1"/>
  <c r="A33" i="53"/>
  <c r="J33" i="53" s="1"/>
  <c r="N33" i="53" s="1"/>
  <c r="B33" i="53"/>
  <c r="K33" i="53" s="1"/>
  <c r="O33" i="53" s="1"/>
  <c r="C33" i="53"/>
  <c r="L33" i="53" s="1"/>
  <c r="P33" i="53" s="1"/>
  <c r="A34" i="53"/>
  <c r="J34" i="53" s="1"/>
  <c r="N34" i="53" s="1"/>
  <c r="B34" i="53"/>
  <c r="K34" i="53" s="1"/>
  <c r="O34" i="53" s="1"/>
  <c r="C34" i="53"/>
  <c r="L34" i="53" s="1"/>
  <c r="P34" i="53" s="1"/>
  <c r="A35" i="53"/>
  <c r="J35" i="53" s="1"/>
  <c r="N35" i="53" s="1"/>
  <c r="B35" i="53"/>
  <c r="K35" i="53" s="1"/>
  <c r="O35" i="53" s="1"/>
  <c r="C35" i="53"/>
  <c r="L35" i="53" s="1"/>
  <c r="P35" i="53" s="1"/>
  <c r="A36" i="53"/>
  <c r="J36" i="53" s="1"/>
  <c r="N36" i="53" s="1"/>
  <c r="B36" i="53"/>
  <c r="K36" i="53" s="1"/>
  <c r="O36" i="53" s="1"/>
  <c r="C36" i="53"/>
  <c r="L36" i="53" s="1"/>
  <c r="P36" i="53" s="1"/>
  <c r="A37" i="53"/>
  <c r="J37" i="53" s="1"/>
  <c r="N37" i="53" s="1"/>
  <c r="B37" i="53"/>
  <c r="K37" i="53" s="1"/>
  <c r="O37" i="53" s="1"/>
  <c r="C37" i="53"/>
  <c r="L37" i="53" s="1"/>
  <c r="P37" i="53" s="1"/>
  <c r="A38" i="53"/>
  <c r="J38" i="53" s="1"/>
  <c r="N38" i="53" s="1"/>
  <c r="B38" i="53"/>
  <c r="K38" i="53" s="1"/>
  <c r="O38" i="53" s="1"/>
  <c r="C38" i="53"/>
  <c r="L38" i="53" s="1"/>
  <c r="P38" i="53" s="1"/>
  <c r="A39" i="53"/>
  <c r="J39" i="53" s="1"/>
  <c r="N39" i="53" s="1"/>
  <c r="B39" i="53"/>
  <c r="K39" i="53" s="1"/>
  <c r="O39" i="53" s="1"/>
  <c r="C39" i="53"/>
  <c r="L39" i="53" s="1"/>
  <c r="P39" i="53" s="1"/>
  <c r="A40" i="53"/>
  <c r="J40" i="53" s="1"/>
  <c r="N40" i="53" s="1"/>
  <c r="B40" i="53"/>
  <c r="K40" i="53" s="1"/>
  <c r="O40" i="53" s="1"/>
  <c r="C40" i="53"/>
  <c r="L40" i="53" s="1"/>
  <c r="P40" i="53" s="1"/>
  <c r="A41" i="53"/>
  <c r="J41" i="53" s="1"/>
  <c r="N41" i="53" s="1"/>
  <c r="B41" i="53"/>
  <c r="K41" i="53" s="1"/>
  <c r="O41" i="53" s="1"/>
  <c r="C41" i="53"/>
  <c r="L41" i="53" s="1"/>
  <c r="P41" i="53" s="1"/>
  <c r="A42" i="53"/>
  <c r="J42" i="53" s="1"/>
  <c r="N42" i="53" s="1"/>
  <c r="B42" i="53"/>
  <c r="K42" i="53" s="1"/>
  <c r="O42" i="53" s="1"/>
  <c r="C42" i="53"/>
  <c r="L42" i="53" s="1"/>
  <c r="P42" i="53" s="1"/>
  <c r="A43" i="53"/>
  <c r="J43" i="53" s="1"/>
  <c r="N43" i="53" s="1"/>
  <c r="B43" i="53"/>
  <c r="K43" i="53" s="1"/>
  <c r="O43" i="53" s="1"/>
  <c r="C43" i="53"/>
  <c r="L43" i="53" s="1"/>
  <c r="P43" i="53" s="1"/>
  <c r="A44" i="53"/>
  <c r="J44" i="53" s="1"/>
  <c r="N44" i="53" s="1"/>
  <c r="B44" i="53"/>
  <c r="K44" i="53" s="1"/>
  <c r="O44" i="53" s="1"/>
  <c r="C44" i="53"/>
  <c r="L44" i="53" s="1"/>
  <c r="P44" i="53" s="1"/>
  <c r="A45" i="53"/>
  <c r="J45" i="53" s="1"/>
  <c r="N45" i="53" s="1"/>
  <c r="B45" i="53"/>
  <c r="K45" i="53" s="1"/>
  <c r="O45" i="53" s="1"/>
  <c r="C45" i="53"/>
  <c r="L45" i="53" s="1"/>
  <c r="P45" i="53" s="1"/>
  <c r="A46" i="53"/>
  <c r="J46" i="53" s="1"/>
  <c r="N46" i="53" s="1"/>
  <c r="B46" i="53"/>
  <c r="K46" i="53" s="1"/>
  <c r="O46" i="53" s="1"/>
  <c r="C46" i="53"/>
  <c r="L46" i="53" s="1"/>
  <c r="P46" i="53" s="1"/>
  <c r="A47" i="53"/>
  <c r="J47" i="53" s="1"/>
  <c r="N47" i="53" s="1"/>
  <c r="B47" i="53"/>
  <c r="K47" i="53" s="1"/>
  <c r="O47" i="53" s="1"/>
  <c r="C47" i="53"/>
  <c r="L47" i="53" s="1"/>
  <c r="P47" i="53" s="1"/>
  <c r="A48" i="53"/>
  <c r="J48" i="53" s="1"/>
  <c r="N48" i="53" s="1"/>
  <c r="B48" i="53"/>
  <c r="K48" i="53" s="1"/>
  <c r="O48" i="53" s="1"/>
  <c r="C48" i="53"/>
  <c r="L48" i="53" s="1"/>
  <c r="P48" i="53" s="1"/>
  <c r="A49" i="53"/>
  <c r="J49" i="53" s="1"/>
  <c r="N49" i="53" s="1"/>
  <c r="B49" i="53"/>
  <c r="K49" i="53" s="1"/>
  <c r="O49" i="53" s="1"/>
  <c r="C49" i="53"/>
  <c r="L49" i="53" s="1"/>
  <c r="P49" i="53" s="1"/>
  <c r="A50" i="53"/>
  <c r="J50" i="53" s="1"/>
  <c r="N50" i="53" s="1"/>
  <c r="B50" i="53"/>
  <c r="K50" i="53" s="1"/>
  <c r="O50" i="53" s="1"/>
  <c r="C50" i="53"/>
  <c r="L50" i="53" s="1"/>
  <c r="P50" i="53" s="1"/>
  <c r="A51" i="53"/>
  <c r="J51" i="53" s="1"/>
  <c r="N51" i="53" s="1"/>
  <c r="B51" i="53"/>
  <c r="K51" i="53" s="1"/>
  <c r="O51" i="53" s="1"/>
  <c r="C51" i="53"/>
  <c r="L51" i="53" s="1"/>
  <c r="P51" i="53" s="1"/>
  <c r="A52" i="53"/>
  <c r="J52" i="53" s="1"/>
  <c r="N52" i="53" s="1"/>
  <c r="B52" i="53"/>
  <c r="K52" i="53" s="1"/>
  <c r="O52" i="53" s="1"/>
  <c r="C52" i="53"/>
  <c r="L52" i="53" s="1"/>
  <c r="P52" i="53" s="1"/>
  <c r="A53" i="53"/>
  <c r="J53" i="53" s="1"/>
  <c r="N53" i="53" s="1"/>
  <c r="B53" i="53"/>
  <c r="K53" i="53" s="1"/>
  <c r="O53" i="53" s="1"/>
  <c r="C53" i="53"/>
  <c r="L53" i="53" s="1"/>
  <c r="P53" i="53" s="1"/>
  <c r="A54" i="53"/>
  <c r="J54" i="53" s="1"/>
  <c r="N54" i="53" s="1"/>
  <c r="B54" i="53"/>
  <c r="K54" i="53" s="1"/>
  <c r="O54" i="53" s="1"/>
  <c r="C54" i="53"/>
  <c r="L54" i="53" s="1"/>
  <c r="P54" i="53" s="1"/>
  <c r="A55" i="53"/>
  <c r="J55" i="53" s="1"/>
  <c r="N55" i="53" s="1"/>
  <c r="B55" i="53"/>
  <c r="K55" i="53" s="1"/>
  <c r="O55" i="53" s="1"/>
  <c r="C55" i="53"/>
  <c r="L55" i="53" s="1"/>
  <c r="P55" i="53" s="1"/>
  <c r="A56" i="53"/>
  <c r="J56" i="53" s="1"/>
  <c r="N56" i="53" s="1"/>
  <c r="B56" i="53"/>
  <c r="K56" i="53" s="1"/>
  <c r="O56" i="53" s="1"/>
  <c r="C56" i="53"/>
  <c r="L56" i="53" s="1"/>
  <c r="P56" i="53" s="1"/>
  <c r="A57" i="53"/>
  <c r="J57" i="53" s="1"/>
  <c r="N57" i="53" s="1"/>
  <c r="B57" i="53"/>
  <c r="K57" i="53" s="1"/>
  <c r="O57" i="53" s="1"/>
  <c r="C57" i="53"/>
  <c r="L57" i="53" s="1"/>
  <c r="P57" i="53" s="1"/>
  <c r="A58" i="53"/>
  <c r="J58" i="53" s="1"/>
  <c r="N58" i="53" s="1"/>
  <c r="B58" i="53"/>
  <c r="K58" i="53" s="1"/>
  <c r="O58" i="53" s="1"/>
  <c r="C58" i="53"/>
  <c r="L58" i="53" s="1"/>
  <c r="P58" i="53" s="1"/>
  <c r="A59" i="53"/>
  <c r="J59" i="53" s="1"/>
  <c r="N59" i="53" s="1"/>
  <c r="B59" i="53"/>
  <c r="K59" i="53" s="1"/>
  <c r="O59" i="53" s="1"/>
  <c r="C59" i="53"/>
  <c r="L59" i="53" s="1"/>
  <c r="P59" i="53" s="1"/>
  <c r="A60" i="53"/>
  <c r="J60" i="53" s="1"/>
  <c r="N60" i="53" s="1"/>
  <c r="B60" i="53"/>
  <c r="K60" i="53" s="1"/>
  <c r="O60" i="53" s="1"/>
  <c r="C60" i="53"/>
  <c r="L60" i="53" s="1"/>
  <c r="P60" i="53" s="1"/>
  <c r="A61" i="53"/>
  <c r="J61" i="53" s="1"/>
  <c r="N61" i="53" s="1"/>
  <c r="B61" i="53"/>
  <c r="K61" i="53" s="1"/>
  <c r="O61" i="53" s="1"/>
  <c r="C61" i="53"/>
  <c r="L61" i="53" s="1"/>
  <c r="P61" i="53" s="1"/>
  <c r="A62" i="53"/>
  <c r="J62" i="53" s="1"/>
  <c r="N62" i="53" s="1"/>
  <c r="B62" i="53"/>
  <c r="K62" i="53" s="1"/>
  <c r="O62" i="53" s="1"/>
  <c r="C62" i="53"/>
  <c r="L62" i="53" s="1"/>
  <c r="P62" i="53" s="1"/>
  <c r="A63" i="53"/>
  <c r="J63" i="53" s="1"/>
  <c r="N63" i="53" s="1"/>
  <c r="B63" i="53"/>
  <c r="K63" i="53" s="1"/>
  <c r="O63" i="53" s="1"/>
  <c r="C63" i="53"/>
  <c r="L63" i="53" s="1"/>
  <c r="P63" i="53" s="1"/>
  <c r="A64" i="53"/>
  <c r="J64" i="53" s="1"/>
  <c r="N64" i="53" s="1"/>
  <c r="B64" i="53"/>
  <c r="K64" i="53" s="1"/>
  <c r="O64" i="53" s="1"/>
  <c r="C64" i="53"/>
  <c r="L64" i="53" s="1"/>
  <c r="P64" i="53" s="1"/>
  <c r="A65" i="53"/>
  <c r="J65" i="53" s="1"/>
  <c r="N65" i="53" s="1"/>
  <c r="B65" i="53"/>
  <c r="K65" i="53" s="1"/>
  <c r="O65" i="53" s="1"/>
  <c r="C65" i="53"/>
  <c r="L65" i="53" s="1"/>
  <c r="P65" i="53" s="1"/>
  <c r="A66" i="53"/>
  <c r="J66" i="53" s="1"/>
  <c r="N66" i="53" s="1"/>
  <c r="B66" i="53"/>
  <c r="K66" i="53" s="1"/>
  <c r="O66" i="53" s="1"/>
  <c r="C66" i="53"/>
  <c r="L66" i="53" s="1"/>
  <c r="P66" i="53" s="1"/>
  <c r="A67" i="53"/>
  <c r="J67" i="53" s="1"/>
  <c r="N67" i="53" s="1"/>
  <c r="B67" i="53"/>
  <c r="K67" i="53" s="1"/>
  <c r="O67" i="53" s="1"/>
  <c r="C67" i="53"/>
  <c r="L67" i="53" s="1"/>
  <c r="P67" i="53" s="1"/>
  <c r="A68" i="53"/>
  <c r="J68" i="53" s="1"/>
  <c r="N68" i="53" s="1"/>
  <c r="B68" i="53"/>
  <c r="K68" i="53" s="1"/>
  <c r="O68" i="53" s="1"/>
  <c r="C68" i="53"/>
  <c r="L68" i="53" s="1"/>
  <c r="P68" i="53" s="1"/>
  <c r="A69" i="53"/>
  <c r="J69" i="53" s="1"/>
  <c r="N69" i="53" s="1"/>
  <c r="B69" i="53"/>
  <c r="K69" i="53" s="1"/>
  <c r="O69" i="53" s="1"/>
  <c r="C69" i="53"/>
  <c r="L69" i="53" s="1"/>
  <c r="P69" i="53" s="1"/>
  <c r="A70" i="53"/>
  <c r="J70" i="53" s="1"/>
  <c r="N70" i="53" s="1"/>
  <c r="B70" i="53"/>
  <c r="K70" i="53" s="1"/>
  <c r="O70" i="53" s="1"/>
  <c r="C70" i="53"/>
  <c r="L70" i="53" s="1"/>
  <c r="P70" i="53" s="1"/>
  <c r="A71" i="53"/>
  <c r="J71" i="53" s="1"/>
  <c r="N71" i="53" s="1"/>
  <c r="B71" i="53"/>
  <c r="K71" i="53" s="1"/>
  <c r="O71" i="53" s="1"/>
  <c r="C71" i="53"/>
  <c r="L71" i="53" s="1"/>
  <c r="P71" i="53" s="1"/>
  <c r="A72" i="53"/>
  <c r="J72" i="53" s="1"/>
  <c r="N72" i="53" s="1"/>
  <c r="B72" i="53"/>
  <c r="K72" i="53" s="1"/>
  <c r="O72" i="53" s="1"/>
  <c r="C72" i="53"/>
  <c r="L72" i="53" s="1"/>
  <c r="P72" i="53" s="1"/>
  <c r="A73" i="53"/>
  <c r="J73" i="53" s="1"/>
  <c r="N73" i="53" s="1"/>
  <c r="B73" i="53"/>
  <c r="K73" i="53" s="1"/>
  <c r="O73" i="53" s="1"/>
  <c r="C73" i="53"/>
  <c r="L73" i="53" s="1"/>
  <c r="P73" i="53" s="1"/>
  <c r="A74" i="53"/>
  <c r="J74" i="53" s="1"/>
  <c r="N74" i="53" s="1"/>
  <c r="B74" i="53"/>
  <c r="K74" i="53" s="1"/>
  <c r="O74" i="53" s="1"/>
  <c r="C74" i="53"/>
  <c r="L74" i="53" s="1"/>
  <c r="P74" i="53" s="1"/>
  <c r="A75" i="53"/>
  <c r="J75" i="53" s="1"/>
  <c r="N75" i="53" s="1"/>
  <c r="B75" i="53"/>
  <c r="K75" i="53" s="1"/>
  <c r="O75" i="53" s="1"/>
  <c r="C75" i="53"/>
  <c r="L75" i="53" s="1"/>
  <c r="P75" i="53" s="1"/>
  <c r="A76" i="53"/>
  <c r="J76" i="53" s="1"/>
  <c r="N76" i="53" s="1"/>
  <c r="B76" i="53"/>
  <c r="K76" i="53" s="1"/>
  <c r="O76" i="53" s="1"/>
  <c r="C76" i="53"/>
  <c r="L76" i="53" s="1"/>
  <c r="P76" i="53" s="1"/>
  <c r="A77" i="53"/>
  <c r="J77" i="53" s="1"/>
  <c r="N77" i="53" s="1"/>
  <c r="B77" i="53"/>
  <c r="K77" i="53" s="1"/>
  <c r="O77" i="53" s="1"/>
  <c r="C77" i="53"/>
  <c r="L77" i="53" s="1"/>
  <c r="P77" i="53" s="1"/>
  <c r="A78" i="53"/>
  <c r="J78" i="53" s="1"/>
  <c r="N78" i="53" s="1"/>
  <c r="B78" i="53"/>
  <c r="K78" i="53" s="1"/>
  <c r="O78" i="53" s="1"/>
  <c r="C78" i="53"/>
  <c r="L78" i="53" s="1"/>
  <c r="P78" i="53" s="1"/>
  <c r="A79" i="53"/>
  <c r="J79" i="53" s="1"/>
  <c r="N79" i="53" s="1"/>
  <c r="B79" i="53"/>
  <c r="K79" i="53" s="1"/>
  <c r="O79" i="53" s="1"/>
  <c r="C79" i="53"/>
  <c r="L79" i="53" s="1"/>
  <c r="P79" i="53" s="1"/>
  <c r="A80" i="53"/>
  <c r="J80" i="53" s="1"/>
  <c r="N80" i="53" s="1"/>
  <c r="B80" i="53"/>
  <c r="K80" i="53" s="1"/>
  <c r="O80" i="53" s="1"/>
  <c r="C80" i="53"/>
  <c r="L80" i="53" s="1"/>
  <c r="P80" i="53" s="1"/>
  <c r="A81" i="53"/>
  <c r="J81" i="53" s="1"/>
  <c r="N81" i="53" s="1"/>
  <c r="B81" i="53"/>
  <c r="K81" i="53" s="1"/>
  <c r="O81" i="53" s="1"/>
  <c r="C81" i="53"/>
  <c r="L81" i="53" s="1"/>
  <c r="P81" i="53" s="1"/>
  <c r="A82" i="53"/>
  <c r="J82" i="53" s="1"/>
  <c r="N82" i="53" s="1"/>
  <c r="B82" i="53"/>
  <c r="K82" i="53" s="1"/>
  <c r="O82" i="53" s="1"/>
  <c r="C82" i="53"/>
  <c r="L82" i="53" s="1"/>
  <c r="P82" i="53" s="1"/>
  <c r="A83" i="53"/>
  <c r="J83" i="53" s="1"/>
  <c r="N83" i="53" s="1"/>
  <c r="B83" i="53"/>
  <c r="K83" i="53" s="1"/>
  <c r="O83" i="53" s="1"/>
  <c r="C83" i="53"/>
  <c r="L83" i="53" s="1"/>
  <c r="P83" i="53" s="1"/>
  <c r="A84" i="53"/>
  <c r="J84" i="53" s="1"/>
  <c r="N84" i="53" s="1"/>
  <c r="B84" i="53"/>
  <c r="K84" i="53" s="1"/>
  <c r="O84" i="53" s="1"/>
  <c r="C84" i="53"/>
  <c r="L84" i="53" s="1"/>
  <c r="P84" i="53" s="1"/>
  <c r="A85" i="53"/>
  <c r="J85" i="53" s="1"/>
  <c r="N85" i="53" s="1"/>
  <c r="B85" i="53"/>
  <c r="K85" i="53" s="1"/>
  <c r="O85" i="53" s="1"/>
  <c r="C85" i="53"/>
  <c r="L85" i="53" s="1"/>
  <c r="P85" i="53" s="1"/>
  <c r="A86" i="53"/>
  <c r="J86" i="53" s="1"/>
  <c r="N86" i="53" s="1"/>
  <c r="B86" i="53"/>
  <c r="K86" i="53" s="1"/>
  <c r="O86" i="53" s="1"/>
  <c r="C86" i="53"/>
  <c r="L86" i="53" s="1"/>
  <c r="P86" i="53" s="1"/>
  <c r="A87" i="53"/>
  <c r="J87" i="53" s="1"/>
  <c r="N87" i="53" s="1"/>
  <c r="B87" i="53"/>
  <c r="K87" i="53" s="1"/>
  <c r="O87" i="53" s="1"/>
  <c r="C87" i="53"/>
  <c r="L87" i="53" s="1"/>
  <c r="P87" i="53" s="1"/>
  <c r="A88" i="53"/>
  <c r="J88" i="53" s="1"/>
  <c r="N88" i="53" s="1"/>
  <c r="B88" i="53"/>
  <c r="K88" i="53" s="1"/>
  <c r="O88" i="53" s="1"/>
  <c r="C88" i="53"/>
  <c r="L88" i="53" s="1"/>
  <c r="P88" i="53" s="1"/>
  <c r="A89" i="53"/>
  <c r="J89" i="53" s="1"/>
  <c r="N89" i="53" s="1"/>
  <c r="B89" i="53"/>
  <c r="K89" i="53" s="1"/>
  <c r="O89" i="53" s="1"/>
  <c r="C89" i="53"/>
  <c r="L89" i="53" s="1"/>
  <c r="P89" i="53" s="1"/>
  <c r="A90" i="53"/>
  <c r="J90" i="53" s="1"/>
  <c r="N90" i="53" s="1"/>
  <c r="B90" i="53"/>
  <c r="K90" i="53" s="1"/>
  <c r="O90" i="53" s="1"/>
  <c r="C90" i="53"/>
  <c r="L90" i="53" s="1"/>
  <c r="P90" i="53" s="1"/>
  <c r="A91" i="53"/>
  <c r="J91" i="53" s="1"/>
  <c r="N91" i="53" s="1"/>
  <c r="B91" i="53"/>
  <c r="K91" i="53" s="1"/>
  <c r="O91" i="53" s="1"/>
  <c r="C91" i="53"/>
  <c r="L91" i="53" s="1"/>
  <c r="P91" i="53" s="1"/>
  <c r="A92" i="53"/>
  <c r="J92" i="53" s="1"/>
  <c r="N92" i="53" s="1"/>
  <c r="B92" i="53"/>
  <c r="K92" i="53" s="1"/>
  <c r="O92" i="53" s="1"/>
  <c r="C92" i="53"/>
  <c r="L92" i="53" s="1"/>
  <c r="P92" i="53" s="1"/>
  <c r="A93" i="53"/>
  <c r="J93" i="53" s="1"/>
  <c r="N93" i="53" s="1"/>
  <c r="B93" i="53"/>
  <c r="K93" i="53" s="1"/>
  <c r="O93" i="53" s="1"/>
  <c r="C93" i="53"/>
  <c r="L93" i="53" s="1"/>
  <c r="P93" i="53" s="1"/>
  <c r="A94" i="53"/>
  <c r="J94" i="53" s="1"/>
  <c r="N94" i="53" s="1"/>
  <c r="B94" i="53"/>
  <c r="K94" i="53" s="1"/>
  <c r="O94" i="53" s="1"/>
  <c r="C94" i="53"/>
  <c r="L94" i="53" s="1"/>
  <c r="P94" i="53" s="1"/>
  <c r="A95" i="53"/>
  <c r="J95" i="53" s="1"/>
  <c r="N95" i="53" s="1"/>
  <c r="B95" i="53"/>
  <c r="K95" i="53" s="1"/>
  <c r="O95" i="53" s="1"/>
  <c r="C95" i="53"/>
  <c r="L95" i="53" s="1"/>
  <c r="P95" i="53" s="1"/>
  <c r="A96" i="53"/>
  <c r="J96" i="53" s="1"/>
  <c r="N96" i="53" s="1"/>
  <c r="B96" i="53"/>
  <c r="K96" i="53" s="1"/>
  <c r="O96" i="53" s="1"/>
  <c r="C96" i="53"/>
  <c r="L96" i="53" s="1"/>
  <c r="P96" i="53" s="1"/>
  <c r="A97" i="53"/>
  <c r="J97" i="53" s="1"/>
  <c r="N97" i="53" s="1"/>
  <c r="B97" i="53"/>
  <c r="K97" i="53" s="1"/>
  <c r="O97" i="53" s="1"/>
  <c r="C97" i="53"/>
  <c r="L97" i="53" s="1"/>
  <c r="P97" i="53" s="1"/>
  <c r="A98" i="53"/>
  <c r="J98" i="53" s="1"/>
  <c r="N98" i="53" s="1"/>
  <c r="B98" i="53"/>
  <c r="K98" i="53" s="1"/>
  <c r="O98" i="53" s="1"/>
  <c r="C98" i="53"/>
  <c r="L98" i="53" s="1"/>
  <c r="P98" i="53" s="1"/>
  <c r="A99" i="53"/>
  <c r="J99" i="53" s="1"/>
  <c r="N99" i="53" s="1"/>
  <c r="B99" i="53"/>
  <c r="K99" i="53" s="1"/>
  <c r="O99" i="53" s="1"/>
  <c r="C99" i="53"/>
  <c r="L99" i="53" s="1"/>
  <c r="P99" i="53" s="1"/>
  <c r="A100" i="53"/>
  <c r="J100" i="53" s="1"/>
  <c r="N100" i="53" s="1"/>
  <c r="B100" i="53"/>
  <c r="K100" i="53" s="1"/>
  <c r="O100" i="53" s="1"/>
  <c r="C100" i="53"/>
  <c r="L100" i="53" s="1"/>
  <c r="P100" i="53" s="1"/>
  <c r="A101" i="53"/>
  <c r="J101" i="53" s="1"/>
  <c r="N101" i="53" s="1"/>
  <c r="B101" i="53"/>
  <c r="K101" i="53" s="1"/>
  <c r="O101" i="53" s="1"/>
  <c r="C101" i="53"/>
  <c r="L101" i="53" s="1"/>
  <c r="P101" i="53" s="1"/>
  <c r="A102" i="53"/>
  <c r="J102" i="53" s="1"/>
  <c r="N102" i="53" s="1"/>
  <c r="B102" i="53"/>
  <c r="K102" i="53" s="1"/>
  <c r="O102" i="53" s="1"/>
  <c r="C102" i="53"/>
  <c r="L102" i="53" s="1"/>
  <c r="P102" i="53" s="1"/>
  <c r="A103" i="53"/>
  <c r="J103" i="53" s="1"/>
  <c r="N103" i="53" s="1"/>
  <c r="B103" i="53"/>
  <c r="K103" i="53" s="1"/>
  <c r="O103" i="53" s="1"/>
  <c r="C103" i="53"/>
  <c r="L103" i="53" s="1"/>
  <c r="P103" i="53" s="1"/>
  <c r="A104" i="53"/>
  <c r="J104" i="53" s="1"/>
  <c r="N104" i="53" s="1"/>
  <c r="B104" i="53"/>
  <c r="K104" i="53" s="1"/>
  <c r="O104" i="53" s="1"/>
  <c r="C104" i="53"/>
  <c r="L104" i="53" s="1"/>
  <c r="P104" i="53" s="1"/>
  <c r="A105" i="53"/>
  <c r="J105" i="53" s="1"/>
  <c r="N105" i="53" s="1"/>
  <c r="B105" i="53"/>
  <c r="K105" i="53" s="1"/>
  <c r="O105" i="53" s="1"/>
  <c r="C105" i="53"/>
  <c r="L105" i="53" s="1"/>
  <c r="P105" i="53" s="1"/>
  <c r="A106" i="53"/>
  <c r="J106" i="53" s="1"/>
  <c r="N106" i="53" s="1"/>
  <c r="B106" i="53"/>
  <c r="K106" i="53" s="1"/>
  <c r="O106" i="53" s="1"/>
  <c r="C106" i="53"/>
  <c r="L106" i="53" s="1"/>
  <c r="P106" i="53" s="1"/>
  <c r="A107" i="53"/>
  <c r="J107" i="53" s="1"/>
  <c r="N107" i="53" s="1"/>
  <c r="B107" i="53"/>
  <c r="K107" i="53" s="1"/>
  <c r="O107" i="53" s="1"/>
  <c r="C107" i="53"/>
  <c r="L107" i="53" s="1"/>
  <c r="P107" i="53" s="1"/>
  <c r="A108" i="53"/>
  <c r="J108" i="53" s="1"/>
  <c r="N108" i="53" s="1"/>
  <c r="B108" i="53"/>
  <c r="K108" i="53" s="1"/>
  <c r="O108" i="53" s="1"/>
  <c r="C108" i="53"/>
  <c r="L108" i="53" s="1"/>
  <c r="P108" i="53" s="1"/>
  <c r="A109" i="53"/>
  <c r="J109" i="53" s="1"/>
  <c r="N109" i="53" s="1"/>
  <c r="B109" i="53"/>
  <c r="K109" i="53" s="1"/>
  <c r="O109" i="53" s="1"/>
  <c r="C109" i="53"/>
  <c r="L109" i="53" s="1"/>
  <c r="P109" i="53" s="1"/>
  <c r="A110" i="53"/>
  <c r="J110" i="53" s="1"/>
  <c r="N110" i="53" s="1"/>
  <c r="B110" i="53"/>
  <c r="K110" i="53" s="1"/>
  <c r="O110" i="53" s="1"/>
  <c r="C110" i="53"/>
  <c r="L110" i="53" s="1"/>
  <c r="P110" i="53" s="1"/>
  <c r="A111" i="53"/>
  <c r="J111" i="53" s="1"/>
  <c r="N111" i="53" s="1"/>
  <c r="B111" i="53"/>
  <c r="K111" i="53" s="1"/>
  <c r="O111" i="53" s="1"/>
  <c r="C111" i="53"/>
  <c r="L111" i="53" s="1"/>
  <c r="P111" i="53" s="1"/>
  <c r="A112" i="53"/>
  <c r="J112" i="53" s="1"/>
  <c r="N112" i="53" s="1"/>
  <c r="B112" i="53"/>
  <c r="K112" i="53" s="1"/>
  <c r="O112" i="53" s="1"/>
  <c r="C112" i="53"/>
  <c r="L112" i="53" s="1"/>
  <c r="P112" i="53" s="1"/>
  <c r="A113" i="53"/>
  <c r="J113" i="53" s="1"/>
  <c r="N113" i="53" s="1"/>
  <c r="B113" i="53"/>
  <c r="K113" i="53" s="1"/>
  <c r="O113" i="53" s="1"/>
  <c r="C113" i="53"/>
  <c r="L113" i="53" s="1"/>
  <c r="P113" i="53" s="1"/>
  <c r="A114" i="53"/>
  <c r="J114" i="53" s="1"/>
  <c r="N114" i="53" s="1"/>
  <c r="B114" i="53"/>
  <c r="K114" i="53" s="1"/>
  <c r="O114" i="53" s="1"/>
  <c r="C114" i="53"/>
  <c r="L114" i="53" s="1"/>
  <c r="P114" i="53" s="1"/>
  <c r="A115" i="53"/>
  <c r="J115" i="53" s="1"/>
  <c r="N115" i="53" s="1"/>
  <c r="B115" i="53"/>
  <c r="K115" i="53" s="1"/>
  <c r="O115" i="53" s="1"/>
  <c r="C115" i="53"/>
  <c r="L115" i="53" s="1"/>
  <c r="P115" i="53" s="1"/>
  <c r="A116" i="53"/>
  <c r="J116" i="53" s="1"/>
  <c r="N116" i="53" s="1"/>
  <c r="B116" i="53"/>
  <c r="K116" i="53" s="1"/>
  <c r="O116" i="53" s="1"/>
  <c r="C116" i="53"/>
  <c r="L116" i="53" s="1"/>
  <c r="P116" i="53" s="1"/>
  <c r="A117" i="53"/>
  <c r="J117" i="53" s="1"/>
  <c r="N117" i="53" s="1"/>
  <c r="B117" i="53"/>
  <c r="K117" i="53" s="1"/>
  <c r="O117" i="53" s="1"/>
  <c r="C117" i="53"/>
  <c r="L117" i="53" s="1"/>
  <c r="P117" i="53" s="1"/>
  <c r="A118" i="53"/>
  <c r="J118" i="53" s="1"/>
  <c r="N118" i="53" s="1"/>
  <c r="B118" i="53"/>
  <c r="K118" i="53" s="1"/>
  <c r="O118" i="53" s="1"/>
  <c r="C118" i="53"/>
  <c r="L118" i="53" s="1"/>
  <c r="P118" i="53" s="1"/>
  <c r="A119" i="53"/>
  <c r="J119" i="53" s="1"/>
  <c r="N119" i="53" s="1"/>
  <c r="B119" i="53"/>
  <c r="K119" i="53" s="1"/>
  <c r="O119" i="53" s="1"/>
  <c r="C119" i="53"/>
  <c r="L119" i="53" s="1"/>
  <c r="P119" i="53" s="1"/>
  <c r="A120" i="53"/>
  <c r="J120" i="53" s="1"/>
  <c r="N120" i="53" s="1"/>
  <c r="B120" i="53"/>
  <c r="K120" i="53" s="1"/>
  <c r="O120" i="53" s="1"/>
  <c r="C120" i="53"/>
  <c r="L120" i="53" s="1"/>
  <c r="P120" i="53" s="1"/>
  <c r="A121" i="53"/>
  <c r="J121" i="53" s="1"/>
  <c r="N121" i="53" s="1"/>
  <c r="B121" i="53"/>
  <c r="K121" i="53" s="1"/>
  <c r="O121" i="53" s="1"/>
  <c r="C121" i="53"/>
  <c r="L121" i="53" s="1"/>
  <c r="P121" i="53" s="1"/>
  <c r="A122" i="53"/>
  <c r="J122" i="53" s="1"/>
  <c r="N122" i="53" s="1"/>
  <c r="B122" i="53"/>
  <c r="K122" i="53" s="1"/>
  <c r="O122" i="53" s="1"/>
  <c r="C122" i="53"/>
  <c r="L122" i="53" s="1"/>
  <c r="P122" i="53" s="1"/>
  <c r="A123" i="53"/>
  <c r="J123" i="53" s="1"/>
  <c r="N123" i="53" s="1"/>
  <c r="B123" i="53"/>
  <c r="K123" i="53" s="1"/>
  <c r="O123" i="53" s="1"/>
  <c r="C123" i="53"/>
  <c r="L123" i="53" s="1"/>
  <c r="P123" i="53" s="1"/>
  <c r="A124" i="53"/>
  <c r="J124" i="53" s="1"/>
  <c r="N124" i="53" s="1"/>
  <c r="B124" i="53"/>
  <c r="K124" i="53" s="1"/>
  <c r="O124" i="53" s="1"/>
  <c r="C124" i="53"/>
  <c r="L124" i="53" s="1"/>
  <c r="P124" i="53" s="1"/>
  <c r="A125" i="53"/>
  <c r="J125" i="53" s="1"/>
  <c r="N125" i="53" s="1"/>
  <c r="B125" i="53"/>
  <c r="K125" i="53" s="1"/>
  <c r="O125" i="53" s="1"/>
  <c r="C125" i="53"/>
  <c r="L125" i="53" s="1"/>
  <c r="P125" i="53" s="1"/>
  <c r="A126" i="53"/>
  <c r="J126" i="53" s="1"/>
  <c r="N126" i="53" s="1"/>
  <c r="B126" i="53"/>
  <c r="K126" i="53" s="1"/>
  <c r="O126" i="53" s="1"/>
  <c r="C126" i="53"/>
  <c r="L126" i="53" s="1"/>
  <c r="P126" i="53" s="1"/>
  <c r="A127" i="53"/>
  <c r="J127" i="53" s="1"/>
  <c r="N127" i="53" s="1"/>
  <c r="B127" i="53"/>
  <c r="K127" i="53" s="1"/>
  <c r="O127" i="53" s="1"/>
  <c r="C127" i="53"/>
  <c r="L127" i="53" s="1"/>
  <c r="P127" i="53" s="1"/>
  <c r="A128" i="53"/>
  <c r="J128" i="53" s="1"/>
  <c r="N128" i="53" s="1"/>
  <c r="B128" i="53"/>
  <c r="K128" i="53" s="1"/>
  <c r="O128" i="53" s="1"/>
  <c r="C128" i="53"/>
  <c r="L128" i="53" s="1"/>
  <c r="P128" i="53" s="1"/>
  <c r="A129" i="53"/>
  <c r="J129" i="53" s="1"/>
  <c r="N129" i="53" s="1"/>
  <c r="B129" i="53"/>
  <c r="K129" i="53" s="1"/>
  <c r="O129" i="53" s="1"/>
  <c r="C129" i="53"/>
  <c r="L129" i="53" s="1"/>
  <c r="P129" i="53" s="1"/>
  <c r="A130" i="53"/>
  <c r="J130" i="53" s="1"/>
  <c r="N130" i="53" s="1"/>
  <c r="B130" i="53"/>
  <c r="K130" i="53" s="1"/>
  <c r="O130" i="53" s="1"/>
  <c r="C130" i="53"/>
  <c r="L130" i="53" s="1"/>
  <c r="P130" i="53" s="1"/>
  <c r="A131" i="53"/>
  <c r="J131" i="53" s="1"/>
  <c r="N131" i="53" s="1"/>
  <c r="B131" i="53"/>
  <c r="K131" i="53" s="1"/>
  <c r="O131" i="53" s="1"/>
  <c r="C131" i="53"/>
  <c r="L131" i="53" s="1"/>
  <c r="P131" i="53" s="1"/>
  <c r="A132" i="53"/>
  <c r="J132" i="53" s="1"/>
  <c r="N132" i="53" s="1"/>
  <c r="B132" i="53"/>
  <c r="K132" i="53" s="1"/>
  <c r="O132" i="53" s="1"/>
  <c r="C132" i="53"/>
  <c r="L132" i="53" s="1"/>
  <c r="P132" i="53" s="1"/>
  <c r="A133" i="53"/>
  <c r="J133" i="53" s="1"/>
  <c r="N133" i="53" s="1"/>
  <c r="B133" i="53"/>
  <c r="K133" i="53" s="1"/>
  <c r="O133" i="53" s="1"/>
  <c r="C133" i="53"/>
  <c r="L133" i="53" s="1"/>
  <c r="P133" i="53" s="1"/>
  <c r="A134" i="53"/>
  <c r="J134" i="53" s="1"/>
  <c r="N134" i="53" s="1"/>
  <c r="B134" i="53"/>
  <c r="K134" i="53" s="1"/>
  <c r="O134" i="53" s="1"/>
  <c r="C134" i="53"/>
  <c r="L134" i="53" s="1"/>
  <c r="P134" i="53" s="1"/>
  <c r="A135" i="53"/>
  <c r="J135" i="53" s="1"/>
  <c r="N135" i="53" s="1"/>
  <c r="B135" i="53"/>
  <c r="K135" i="53" s="1"/>
  <c r="O135" i="53" s="1"/>
  <c r="C135" i="53"/>
  <c r="L135" i="53" s="1"/>
  <c r="P135" i="53" s="1"/>
  <c r="A136" i="53"/>
  <c r="J136" i="53" s="1"/>
  <c r="N136" i="53" s="1"/>
  <c r="B136" i="53"/>
  <c r="K136" i="53" s="1"/>
  <c r="O136" i="53" s="1"/>
  <c r="C136" i="53"/>
  <c r="L136" i="53" s="1"/>
  <c r="P136" i="53" s="1"/>
  <c r="A137" i="53"/>
  <c r="J137" i="53" s="1"/>
  <c r="N137" i="53" s="1"/>
  <c r="B137" i="53"/>
  <c r="K137" i="53" s="1"/>
  <c r="O137" i="53" s="1"/>
  <c r="C137" i="53"/>
  <c r="L137" i="53" s="1"/>
  <c r="P137" i="53" s="1"/>
  <c r="A138" i="53"/>
  <c r="J138" i="53" s="1"/>
  <c r="N138" i="53" s="1"/>
  <c r="B138" i="53"/>
  <c r="K138" i="53" s="1"/>
  <c r="O138" i="53" s="1"/>
  <c r="C138" i="53"/>
  <c r="L138" i="53" s="1"/>
  <c r="P138" i="53" s="1"/>
  <c r="A139" i="53"/>
  <c r="J139" i="53" s="1"/>
  <c r="N139" i="53" s="1"/>
  <c r="B139" i="53"/>
  <c r="K139" i="53" s="1"/>
  <c r="O139" i="53" s="1"/>
  <c r="C139" i="53"/>
  <c r="L139" i="53" s="1"/>
  <c r="P139" i="53" s="1"/>
  <c r="A140" i="53"/>
  <c r="J140" i="53" s="1"/>
  <c r="N140" i="53" s="1"/>
  <c r="B140" i="53"/>
  <c r="K140" i="53" s="1"/>
  <c r="O140" i="53" s="1"/>
  <c r="C140" i="53"/>
  <c r="L140" i="53" s="1"/>
  <c r="P140" i="53" s="1"/>
  <c r="A141" i="53"/>
  <c r="J141" i="53" s="1"/>
  <c r="N141" i="53" s="1"/>
  <c r="B141" i="53"/>
  <c r="K141" i="53" s="1"/>
  <c r="O141" i="53" s="1"/>
  <c r="C141" i="53"/>
  <c r="L141" i="53" s="1"/>
  <c r="P141" i="53" s="1"/>
  <c r="A142" i="53"/>
  <c r="J142" i="53" s="1"/>
  <c r="N142" i="53" s="1"/>
  <c r="B142" i="53"/>
  <c r="K142" i="53" s="1"/>
  <c r="O142" i="53" s="1"/>
  <c r="C142" i="53"/>
  <c r="L142" i="53" s="1"/>
  <c r="P142" i="53" s="1"/>
  <c r="A143" i="53"/>
  <c r="J143" i="53" s="1"/>
  <c r="N143" i="53" s="1"/>
  <c r="B143" i="53"/>
  <c r="K143" i="53" s="1"/>
  <c r="O143" i="53" s="1"/>
  <c r="C143" i="53"/>
  <c r="L143" i="53" s="1"/>
  <c r="P143" i="53" s="1"/>
  <c r="A144" i="53"/>
  <c r="J144" i="53" s="1"/>
  <c r="N144" i="53" s="1"/>
  <c r="B144" i="53"/>
  <c r="K144" i="53" s="1"/>
  <c r="O144" i="53" s="1"/>
  <c r="C144" i="53"/>
  <c r="L144" i="53" s="1"/>
  <c r="P144" i="53" s="1"/>
  <c r="A145" i="53"/>
  <c r="J145" i="53" s="1"/>
  <c r="N145" i="53" s="1"/>
  <c r="B145" i="53"/>
  <c r="K145" i="53" s="1"/>
  <c r="O145" i="53" s="1"/>
  <c r="C145" i="53"/>
  <c r="L145" i="53" s="1"/>
  <c r="P145" i="53" s="1"/>
  <c r="A146" i="53"/>
  <c r="J146" i="53" s="1"/>
  <c r="N146" i="53" s="1"/>
  <c r="B146" i="53"/>
  <c r="K146" i="53" s="1"/>
  <c r="O146" i="53" s="1"/>
  <c r="C146" i="53"/>
  <c r="L146" i="53" s="1"/>
  <c r="P146" i="53" s="1"/>
  <c r="A147" i="53"/>
  <c r="J147" i="53" s="1"/>
  <c r="N147" i="53" s="1"/>
  <c r="B147" i="53"/>
  <c r="K147" i="53" s="1"/>
  <c r="O147" i="53" s="1"/>
  <c r="C147" i="53"/>
  <c r="L147" i="53" s="1"/>
  <c r="P147" i="53" s="1"/>
  <c r="A148" i="53"/>
  <c r="J148" i="53" s="1"/>
  <c r="N148" i="53" s="1"/>
  <c r="B148" i="53"/>
  <c r="K148" i="53" s="1"/>
  <c r="O148" i="53" s="1"/>
  <c r="C148" i="53"/>
  <c r="L148" i="53" s="1"/>
  <c r="P148" i="53" s="1"/>
  <c r="A149" i="53"/>
  <c r="J149" i="53" s="1"/>
  <c r="N149" i="53" s="1"/>
  <c r="B149" i="53"/>
  <c r="K149" i="53" s="1"/>
  <c r="O149" i="53" s="1"/>
  <c r="C149" i="53"/>
  <c r="L149" i="53" s="1"/>
  <c r="P149" i="53" s="1"/>
  <c r="A150" i="53"/>
  <c r="J150" i="53" s="1"/>
  <c r="N150" i="53" s="1"/>
  <c r="B150" i="53"/>
  <c r="K150" i="53" s="1"/>
  <c r="O150" i="53" s="1"/>
  <c r="C150" i="53"/>
  <c r="L150" i="53" s="1"/>
  <c r="P150" i="53" s="1"/>
  <c r="A151" i="53"/>
  <c r="J151" i="53" s="1"/>
  <c r="N151" i="53" s="1"/>
  <c r="B151" i="53"/>
  <c r="K151" i="53" s="1"/>
  <c r="O151" i="53" s="1"/>
  <c r="C151" i="53"/>
  <c r="L151" i="53" s="1"/>
  <c r="P151" i="53" s="1"/>
  <c r="A152" i="53"/>
  <c r="J152" i="53" s="1"/>
  <c r="N152" i="53" s="1"/>
  <c r="B152" i="53"/>
  <c r="K152" i="53" s="1"/>
  <c r="O152" i="53" s="1"/>
  <c r="C152" i="53"/>
  <c r="L152" i="53" s="1"/>
  <c r="P152" i="53" s="1"/>
  <c r="A153" i="53"/>
  <c r="J153" i="53" s="1"/>
  <c r="N153" i="53" s="1"/>
  <c r="B153" i="53"/>
  <c r="K153" i="53" s="1"/>
  <c r="O153" i="53" s="1"/>
  <c r="C153" i="53"/>
  <c r="L153" i="53" s="1"/>
  <c r="P153" i="53" s="1"/>
  <c r="A154" i="53"/>
  <c r="J154" i="53" s="1"/>
  <c r="N154" i="53" s="1"/>
  <c r="B154" i="53"/>
  <c r="K154" i="53" s="1"/>
  <c r="O154" i="53" s="1"/>
  <c r="C154" i="53"/>
  <c r="L154" i="53" s="1"/>
  <c r="P154" i="53" s="1"/>
  <c r="A155" i="53"/>
  <c r="J155" i="53" s="1"/>
  <c r="N155" i="53" s="1"/>
  <c r="B155" i="53"/>
  <c r="K155" i="53" s="1"/>
  <c r="O155" i="53" s="1"/>
  <c r="C155" i="53"/>
  <c r="L155" i="53" s="1"/>
  <c r="P155" i="53" s="1"/>
  <c r="A156" i="53"/>
  <c r="J156" i="53" s="1"/>
  <c r="N156" i="53" s="1"/>
  <c r="B156" i="53"/>
  <c r="K156" i="53" s="1"/>
  <c r="O156" i="53" s="1"/>
  <c r="C156" i="53"/>
  <c r="L156" i="53" s="1"/>
  <c r="P156" i="53" s="1"/>
  <c r="A157" i="53"/>
  <c r="J157" i="53" s="1"/>
  <c r="N157" i="53" s="1"/>
  <c r="B157" i="53"/>
  <c r="K157" i="53" s="1"/>
  <c r="O157" i="53" s="1"/>
  <c r="C157" i="53"/>
  <c r="L157" i="53" s="1"/>
  <c r="P157" i="53" s="1"/>
  <c r="A158" i="53"/>
  <c r="J158" i="53" s="1"/>
  <c r="N158" i="53" s="1"/>
  <c r="B158" i="53"/>
  <c r="K158" i="53" s="1"/>
  <c r="O158" i="53" s="1"/>
  <c r="C158" i="53"/>
  <c r="L158" i="53" s="1"/>
  <c r="P158" i="53" s="1"/>
  <c r="A159" i="53"/>
  <c r="J159" i="53" s="1"/>
  <c r="N159" i="53" s="1"/>
  <c r="B159" i="53"/>
  <c r="K159" i="53" s="1"/>
  <c r="O159" i="53" s="1"/>
  <c r="C159" i="53"/>
  <c r="L159" i="53" s="1"/>
  <c r="P159" i="53" s="1"/>
  <c r="A160" i="53"/>
  <c r="J160" i="53" s="1"/>
  <c r="N160" i="53" s="1"/>
  <c r="B160" i="53"/>
  <c r="K160" i="53" s="1"/>
  <c r="O160" i="53" s="1"/>
  <c r="C160" i="53"/>
  <c r="L160" i="53" s="1"/>
  <c r="P160" i="53" s="1"/>
  <c r="A161" i="53"/>
  <c r="J161" i="53" s="1"/>
  <c r="N161" i="53" s="1"/>
  <c r="B161" i="53"/>
  <c r="K161" i="53" s="1"/>
  <c r="O161" i="53" s="1"/>
  <c r="C161" i="53"/>
  <c r="L161" i="53" s="1"/>
  <c r="P161" i="53" s="1"/>
  <c r="A162" i="53"/>
  <c r="J162" i="53" s="1"/>
  <c r="N162" i="53" s="1"/>
  <c r="B162" i="53"/>
  <c r="K162" i="53" s="1"/>
  <c r="O162" i="53" s="1"/>
  <c r="C162" i="53"/>
  <c r="L162" i="53" s="1"/>
  <c r="P162" i="53" s="1"/>
  <c r="A163" i="53"/>
  <c r="J163" i="53" s="1"/>
  <c r="N163" i="53" s="1"/>
  <c r="B163" i="53"/>
  <c r="K163" i="53" s="1"/>
  <c r="O163" i="53" s="1"/>
  <c r="C163" i="53"/>
  <c r="L163" i="53" s="1"/>
  <c r="P163" i="53" s="1"/>
  <c r="A164" i="53"/>
  <c r="J164" i="53" s="1"/>
  <c r="N164" i="53" s="1"/>
  <c r="B164" i="53"/>
  <c r="K164" i="53" s="1"/>
  <c r="O164" i="53" s="1"/>
  <c r="C164" i="53"/>
  <c r="L164" i="53" s="1"/>
  <c r="P164" i="53" s="1"/>
  <c r="A165" i="53"/>
  <c r="J165" i="53" s="1"/>
  <c r="N165" i="53" s="1"/>
  <c r="B165" i="53"/>
  <c r="K165" i="53" s="1"/>
  <c r="O165" i="53" s="1"/>
  <c r="C165" i="53"/>
  <c r="L165" i="53" s="1"/>
  <c r="P165" i="53" s="1"/>
  <c r="A166" i="53"/>
  <c r="J166" i="53" s="1"/>
  <c r="N166" i="53" s="1"/>
  <c r="B166" i="53"/>
  <c r="K166" i="53" s="1"/>
  <c r="O166" i="53" s="1"/>
  <c r="C166" i="53"/>
  <c r="L166" i="53" s="1"/>
  <c r="P166" i="53" s="1"/>
  <c r="A167" i="53"/>
  <c r="J167" i="53" s="1"/>
  <c r="N167" i="53" s="1"/>
  <c r="B167" i="53"/>
  <c r="K167" i="53" s="1"/>
  <c r="O167" i="53" s="1"/>
  <c r="C167" i="53"/>
  <c r="L167" i="53" s="1"/>
  <c r="P167" i="53" s="1"/>
  <c r="A168" i="53"/>
  <c r="J168" i="53" s="1"/>
  <c r="N168" i="53" s="1"/>
  <c r="B168" i="53"/>
  <c r="K168" i="53" s="1"/>
  <c r="O168" i="53" s="1"/>
  <c r="C168" i="53"/>
  <c r="L168" i="53" s="1"/>
  <c r="P168" i="53" s="1"/>
  <c r="A169" i="53"/>
  <c r="J169" i="53" s="1"/>
  <c r="N169" i="53" s="1"/>
  <c r="B169" i="53"/>
  <c r="K169" i="53" s="1"/>
  <c r="O169" i="53" s="1"/>
  <c r="C169" i="53"/>
  <c r="L169" i="53" s="1"/>
  <c r="P169" i="53" s="1"/>
  <c r="A170" i="53"/>
  <c r="J170" i="53" s="1"/>
  <c r="N170" i="53" s="1"/>
  <c r="B170" i="53"/>
  <c r="K170" i="53" s="1"/>
  <c r="O170" i="53" s="1"/>
  <c r="C170" i="53"/>
  <c r="L170" i="53" s="1"/>
  <c r="P170" i="53" s="1"/>
  <c r="A171" i="53"/>
  <c r="J171" i="53" s="1"/>
  <c r="N171" i="53" s="1"/>
  <c r="B171" i="53"/>
  <c r="K171" i="53" s="1"/>
  <c r="O171" i="53" s="1"/>
  <c r="C171" i="53"/>
  <c r="L171" i="53" s="1"/>
  <c r="P171" i="53" s="1"/>
  <c r="A172" i="53"/>
  <c r="J172" i="53" s="1"/>
  <c r="N172" i="53" s="1"/>
  <c r="B172" i="53"/>
  <c r="K172" i="53" s="1"/>
  <c r="O172" i="53" s="1"/>
  <c r="C172" i="53"/>
  <c r="L172" i="53" s="1"/>
  <c r="P172" i="53" s="1"/>
  <c r="A173" i="53"/>
  <c r="J173" i="53" s="1"/>
  <c r="N173" i="53" s="1"/>
  <c r="B173" i="53"/>
  <c r="K173" i="53" s="1"/>
  <c r="O173" i="53" s="1"/>
  <c r="C173" i="53"/>
  <c r="L173" i="53" s="1"/>
  <c r="P173" i="53" s="1"/>
  <c r="A174" i="53"/>
  <c r="J174" i="53" s="1"/>
  <c r="N174" i="53" s="1"/>
  <c r="B174" i="53"/>
  <c r="K174" i="53" s="1"/>
  <c r="O174" i="53" s="1"/>
  <c r="C174" i="53"/>
  <c r="L174" i="53" s="1"/>
  <c r="P174" i="53" s="1"/>
  <c r="A175" i="53"/>
  <c r="J175" i="53" s="1"/>
  <c r="N175" i="53" s="1"/>
  <c r="B175" i="53"/>
  <c r="K175" i="53" s="1"/>
  <c r="O175" i="53" s="1"/>
  <c r="C175" i="53"/>
  <c r="L175" i="53" s="1"/>
  <c r="P175" i="53" s="1"/>
  <c r="A176" i="53"/>
  <c r="J176" i="53" s="1"/>
  <c r="N176" i="53" s="1"/>
  <c r="B176" i="53"/>
  <c r="K176" i="53" s="1"/>
  <c r="O176" i="53" s="1"/>
  <c r="C176" i="53"/>
  <c r="L176" i="53" s="1"/>
  <c r="P176" i="53" s="1"/>
  <c r="A177" i="53"/>
  <c r="J177" i="53" s="1"/>
  <c r="N177" i="53" s="1"/>
  <c r="B177" i="53"/>
  <c r="K177" i="53" s="1"/>
  <c r="O177" i="53" s="1"/>
  <c r="C177" i="53"/>
  <c r="L177" i="53" s="1"/>
  <c r="P177" i="53" s="1"/>
  <c r="A178" i="53"/>
  <c r="J178" i="53" s="1"/>
  <c r="N178" i="53" s="1"/>
  <c r="B178" i="53"/>
  <c r="K178" i="53" s="1"/>
  <c r="O178" i="53" s="1"/>
  <c r="C178" i="53"/>
  <c r="L178" i="53" s="1"/>
  <c r="P178" i="53" s="1"/>
  <c r="A179" i="53"/>
  <c r="J179" i="53" s="1"/>
  <c r="N179" i="53" s="1"/>
  <c r="B179" i="53"/>
  <c r="K179" i="53" s="1"/>
  <c r="O179" i="53" s="1"/>
  <c r="C179" i="53"/>
  <c r="L179" i="53" s="1"/>
  <c r="P179" i="53" s="1"/>
  <c r="A180" i="53"/>
  <c r="J180" i="53" s="1"/>
  <c r="N180" i="53" s="1"/>
  <c r="B180" i="53"/>
  <c r="K180" i="53" s="1"/>
  <c r="O180" i="53" s="1"/>
  <c r="C180" i="53"/>
  <c r="L180" i="53" s="1"/>
  <c r="P180" i="53" s="1"/>
  <c r="A181" i="53"/>
  <c r="J181" i="53" s="1"/>
  <c r="N181" i="53" s="1"/>
  <c r="B181" i="53"/>
  <c r="K181" i="53" s="1"/>
  <c r="O181" i="53" s="1"/>
  <c r="C181" i="53"/>
  <c r="L181" i="53" s="1"/>
  <c r="P181" i="53" s="1"/>
  <c r="A182" i="53"/>
  <c r="J182" i="53" s="1"/>
  <c r="N182" i="53" s="1"/>
  <c r="B182" i="53"/>
  <c r="K182" i="53" s="1"/>
  <c r="O182" i="53" s="1"/>
  <c r="C182" i="53"/>
  <c r="L182" i="53" s="1"/>
  <c r="P182" i="53" s="1"/>
  <c r="A183" i="53"/>
  <c r="J183" i="53" s="1"/>
  <c r="N183" i="53" s="1"/>
  <c r="B183" i="53"/>
  <c r="K183" i="53" s="1"/>
  <c r="O183" i="53" s="1"/>
  <c r="C183" i="53"/>
  <c r="L183" i="53" s="1"/>
  <c r="P183" i="53" s="1"/>
  <c r="A184" i="53"/>
  <c r="J184" i="53" s="1"/>
  <c r="N184" i="53" s="1"/>
  <c r="B184" i="53"/>
  <c r="K184" i="53" s="1"/>
  <c r="O184" i="53" s="1"/>
  <c r="C184" i="53"/>
  <c r="L184" i="53" s="1"/>
  <c r="P184" i="53" s="1"/>
  <c r="A185" i="53"/>
  <c r="J185" i="53" s="1"/>
  <c r="N185" i="53" s="1"/>
  <c r="B185" i="53"/>
  <c r="K185" i="53" s="1"/>
  <c r="O185" i="53" s="1"/>
  <c r="C185" i="53"/>
  <c r="L185" i="53" s="1"/>
  <c r="P185" i="53" s="1"/>
  <c r="A186" i="53"/>
  <c r="J186" i="53" s="1"/>
  <c r="N186" i="53" s="1"/>
  <c r="B186" i="53"/>
  <c r="K186" i="53" s="1"/>
  <c r="O186" i="53" s="1"/>
  <c r="C186" i="53"/>
  <c r="L186" i="53" s="1"/>
  <c r="P186" i="53" s="1"/>
  <c r="A187" i="53"/>
  <c r="J187" i="53" s="1"/>
  <c r="N187" i="53" s="1"/>
  <c r="B187" i="53"/>
  <c r="K187" i="53" s="1"/>
  <c r="O187" i="53" s="1"/>
  <c r="C187" i="53"/>
  <c r="L187" i="53" s="1"/>
  <c r="P187" i="53" s="1"/>
  <c r="A188" i="53"/>
  <c r="J188" i="53" s="1"/>
  <c r="N188" i="53" s="1"/>
  <c r="B188" i="53"/>
  <c r="K188" i="53" s="1"/>
  <c r="O188" i="53" s="1"/>
  <c r="C188" i="53"/>
  <c r="L188" i="53" s="1"/>
  <c r="P188" i="53" s="1"/>
  <c r="A189" i="53"/>
  <c r="J189" i="53" s="1"/>
  <c r="N189" i="53" s="1"/>
  <c r="B189" i="53"/>
  <c r="K189" i="53" s="1"/>
  <c r="O189" i="53" s="1"/>
  <c r="C189" i="53"/>
  <c r="L189" i="53" s="1"/>
  <c r="P189" i="53" s="1"/>
  <c r="A190" i="53"/>
  <c r="J190" i="53" s="1"/>
  <c r="N190" i="53" s="1"/>
  <c r="B190" i="53"/>
  <c r="K190" i="53" s="1"/>
  <c r="O190" i="53" s="1"/>
  <c r="C190" i="53"/>
  <c r="L190" i="53" s="1"/>
  <c r="P190" i="53" s="1"/>
  <c r="A191" i="53"/>
  <c r="J191" i="53" s="1"/>
  <c r="N191" i="53" s="1"/>
  <c r="B191" i="53"/>
  <c r="K191" i="53" s="1"/>
  <c r="O191" i="53" s="1"/>
  <c r="C191" i="53"/>
  <c r="L191" i="53" s="1"/>
  <c r="P191" i="53" s="1"/>
  <c r="A192" i="53"/>
  <c r="J192" i="53" s="1"/>
  <c r="N192" i="53" s="1"/>
  <c r="B192" i="53"/>
  <c r="K192" i="53" s="1"/>
  <c r="O192" i="53" s="1"/>
  <c r="C192" i="53"/>
  <c r="L192" i="53" s="1"/>
  <c r="P192" i="53" s="1"/>
  <c r="A193" i="53"/>
  <c r="J193" i="53" s="1"/>
  <c r="N193" i="53" s="1"/>
  <c r="B193" i="53"/>
  <c r="K193" i="53" s="1"/>
  <c r="O193" i="53" s="1"/>
  <c r="C193" i="53"/>
  <c r="L193" i="53" s="1"/>
  <c r="P193" i="53" s="1"/>
  <c r="A194" i="53"/>
  <c r="J194" i="53" s="1"/>
  <c r="N194" i="53" s="1"/>
  <c r="B194" i="53"/>
  <c r="K194" i="53" s="1"/>
  <c r="O194" i="53" s="1"/>
  <c r="C194" i="53"/>
  <c r="L194" i="53" s="1"/>
  <c r="P194" i="53" s="1"/>
  <c r="A195" i="53"/>
  <c r="J195" i="53" s="1"/>
  <c r="N195" i="53" s="1"/>
  <c r="B195" i="53"/>
  <c r="K195" i="53" s="1"/>
  <c r="O195" i="53" s="1"/>
  <c r="C195" i="53"/>
  <c r="L195" i="53" s="1"/>
  <c r="P195" i="53" s="1"/>
  <c r="A196" i="53"/>
  <c r="J196" i="53" s="1"/>
  <c r="N196" i="53" s="1"/>
  <c r="B196" i="53"/>
  <c r="K196" i="53" s="1"/>
  <c r="O196" i="53" s="1"/>
  <c r="C196" i="53"/>
  <c r="L196" i="53" s="1"/>
  <c r="P196" i="53" s="1"/>
  <c r="A197" i="53"/>
  <c r="J197" i="53" s="1"/>
  <c r="N197" i="53" s="1"/>
  <c r="B197" i="53"/>
  <c r="K197" i="53" s="1"/>
  <c r="O197" i="53" s="1"/>
  <c r="C197" i="53"/>
  <c r="L197" i="53" s="1"/>
  <c r="P197" i="53" s="1"/>
  <c r="A198" i="53"/>
  <c r="J198" i="53" s="1"/>
  <c r="N198" i="53" s="1"/>
  <c r="B198" i="53"/>
  <c r="K198" i="53" s="1"/>
  <c r="O198" i="53" s="1"/>
  <c r="C198" i="53"/>
  <c r="L198" i="53" s="1"/>
  <c r="P198" i="53" s="1"/>
  <c r="A199" i="53"/>
  <c r="J199" i="53" s="1"/>
  <c r="N199" i="53" s="1"/>
  <c r="B199" i="53"/>
  <c r="K199" i="53" s="1"/>
  <c r="O199" i="53" s="1"/>
  <c r="C199" i="53"/>
  <c r="L199" i="53" s="1"/>
  <c r="P199" i="53" s="1"/>
  <c r="A200" i="53"/>
  <c r="J200" i="53" s="1"/>
  <c r="N200" i="53" s="1"/>
  <c r="B200" i="53"/>
  <c r="K200" i="53" s="1"/>
  <c r="O200" i="53" s="1"/>
  <c r="C200" i="53"/>
  <c r="L200" i="53" s="1"/>
  <c r="P200" i="53" s="1"/>
  <c r="A201" i="53"/>
  <c r="J201" i="53" s="1"/>
  <c r="N201" i="53" s="1"/>
  <c r="B201" i="53"/>
  <c r="K201" i="53" s="1"/>
  <c r="O201" i="53" s="1"/>
  <c r="C201" i="53"/>
  <c r="L201" i="53" s="1"/>
  <c r="P201" i="53" s="1"/>
  <c r="A202" i="53"/>
  <c r="J202" i="53" s="1"/>
  <c r="N202" i="53" s="1"/>
  <c r="B202" i="53"/>
  <c r="K202" i="53" s="1"/>
  <c r="O202" i="53" s="1"/>
  <c r="C202" i="53"/>
  <c r="L202" i="53" s="1"/>
  <c r="P202" i="53" s="1"/>
  <c r="A203" i="53"/>
  <c r="J203" i="53" s="1"/>
  <c r="N203" i="53" s="1"/>
  <c r="B203" i="53"/>
  <c r="K203" i="53" s="1"/>
  <c r="O203" i="53" s="1"/>
  <c r="C203" i="53"/>
  <c r="L203" i="53" s="1"/>
  <c r="P203" i="53" s="1"/>
  <c r="A204" i="53"/>
  <c r="J204" i="53" s="1"/>
  <c r="N204" i="53" s="1"/>
  <c r="B204" i="53"/>
  <c r="K204" i="53" s="1"/>
  <c r="O204" i="53" s="1"/>
  <c r="C204" i="53"/>
  <c r="L204" i="53" s="1"/>
  <c r="P204" i="53" s="1"/>
  <c r="A205" i="53"/>
  <c r="J205" i="53" s="1"/>
  <c r="N205" i="53" s="1"/>
  <c r="B205" i="53"/>
  <c r="K205" i="53" s="1"/>
  <c r="O205" i="53" s="1"/>
  <c r="C205" i="53"/>
  <c r="L205" i="53" s="1"/>
  <c r="P205" i="53" s="1"/>
  <c r="A206" i="53"/>
  <c r="J206" i="53" s="1"/>
  <c r="N206" i="53" s="1"/>
  <c r="B206" i="53"/>
  <c r="K206" i="53" s="1"/>
  <c r="O206" i="53" s="1"/>
  <c r="C206" i="53"/>
  <c r="L206" i="53" s="1"/>
  <c r="P206" i="53" s="1"/>
  <c r="A207" i="53"/>
  <c r="J207" i="53" s="1"/>
  <c r="N207" i="53" s="1"/>
  <c r="B207" i="53"/>
  <c r="K207" i="53" s="1"/>
  <c r="O207" i="53" s="1"/>
  <c r="C207" i="53"/>
  <c r="L207" i="53" s="1"/>
  <c r="P207" i="53" s="1"/>
  <c r="A208" i="53"/>
  <c r="J208" i="53" s="1"/>
  <c r="N208" i="53" s="1"/>
  <c r="B208" i="53"/>
  <c r="K208" i="53" s="1"/>
  <c r="O208" i="53" s="1"/>
  <c r="C208" i="53"/>
  <c r="L208" i="53" s="1"/>
  <c r="P208" i="53" s="1"/>
  <c r="A209" i="53"/>
  <c r="J209" i="53" s="1"/>
  <c r="N209" i="53" s="1"/>
  <c r="B209" i="53"/>
  <c r="K209" i="53" s="1"/>
  <c r="O209" i="53" s="1"/>
  <c r="C209" i="53"/>
  <c r="L209" i="53" s="1"/>
  <c r="P209" i="53" s="1"/>
  <c r="A210" i="53"/>
  <c r="J210" i="53" s="1"/>
  <c r="N210" i="53" s="1"/>
  <c r="B210" i="53"/>
  <c r="K210" i="53" s="1"/>
  <c r="O210" i="53" s="1"/>
  <c r="C210" i="53"/>
  <c r="L210" i="53" s="1"/>
  <c r="P210" i="53" s="1"/>
  <c r="A211" i="53"/>
  <c r="J211" i="53" s="1"/>
  <c r="N211" i="53" s="1"/>
  <c r="B211" i="53"/>
  <c r="K211" i="53" s="1"/>
  <c r="O211" i="53" s="1"/>
  <c r="C211" i="53"/>
  <c r="L211" i="53" s="1"/>
  <c r="P211" i="53" s="1"/>
  <c r="A212" i="53"/>
  <c r="J212" i="53" s="1"/>
  <c r="N212" i="53" s="1"/>
  <c r="B212" i="53"/>
  <c r="K212" i="53" s="1"/>
  <c r="O212" i="53" s="1"/>
  <c r="C212" i="53"/>
  <c r="L212" i="53" s="1"/>
  <c r="P212" i="53" s="1"/>
  <c r="A213" i="53"/>
  <c r="J213" i="53" s="1"/>
  <c r="N213" i="53" s="1"/>
  <c r="B213" i="53"/>
  <c r="K213" i="53" s="1"/>
  <c r="O213" i="53" s="1"/>
  <c r="C213" i="53"/>
  <c r="L213" i="53" s="1"/>
  <c r="P213" i="53" s="1"/>
  <c r="A214" i="53"/>
  <c r="J214" i="53" s="1"/>
  <c r="N214" i="53" s="1"/>
  <c r="B214" i="53"/>
  <c r="K214" i="53" s="1"/>
  <c r="O214" i="53" s="1"/>
  <c r="C214" i="53"/>
  <c r="L214" i="53" s="1"/>
  <c r="P214" i="53" s="1"/>
  <c r="A215" i="53"/>
  <c r="J215" i="53" s="1"/>
  <c r="N215" i="53" s="1"/>
  <c r="B215" i="53"/>
  <c r="K215" i="53" s="1"/>
  <c r="O215" i="53" s="1"/>
  <c r="C215" i="53"/>
  <c r="L215" i="53" s="1"/>
  <c r="P215" i="53" s="1"/>
  <c r="A216" i="53"/>
  <c r="J216" i="53" s="1"/>
  <c r="N216" i="53" s="1"/>
  <c r="B216" i="53"/>
  <c r="K216" i="53" s="1"/>
  <c r="O216" i="53" s="1"/>
  <c r="C216" i="53"/>
  <c r="L216" i="53" s="1"/>
  <c r="P216" i="53" s="1"/>
  <c r="A217" i="53"/>
  <c r="J217" i="53" s="1"/>
  <c r="N217" i="53" s="1"/>
  <c r="B217" i="53"/>
  <c r="K217" i="53" s="1"/>
  <c r="O217" i="53" s="1"/>
  <c r="C217" i="53"/>
  <c r="L217" i="53" s="1"/>
  <c r="P217" i="53" s="1"/>
  <c r="A218" i="53"/>
  <c r="J218" i="53" s="1"/>
  <c r="N218" i="53" s="1"/>
  <c r="B218" i="53"/>
  <c r="K218" i="53" s="1"/>
  <c r="O218" i="53" s="1"/>
  <c r="C218" i="53"/>
  <c r="L218" i="53" s="1"/>
  <c r="P218" i="53" s="1"/>
  <c r="A219" i="53"/>
  <c r="J219" i="53" s="1"/>
  <c r="N219" i="53" s="1"/>
  <c r="B219" i="53"/>
  <c r="K219" i="53" s="1"/>
  <c r="O219" i="53" s="1"/>
  <c r="C219" i="53"/>
  <c r="L219" i="53" s="1"/>
  <c r="P219" i="53" s="1"/>
  <c r="A220" i="53"/>
  <c r="J220" i="53" s="1"/>
  <c r="N220" i="53" s="1"/>
  <c r="B220" i="53"/>
  <c r="K220" i="53" s="1"/>
  <c r="O220" i="53" s="1"/>
  <c r="C220" i="53"/>
  <c r="L220" i="53" s="1"/>
  <c r="P220" i="53" s="1"/>
  <c r="A221" i="53"/>
  <c r="J221" i="53" s="1"/>
  <c r="N221" i="53" s="1"/>
  <c r="B221" i="53"/>
  <c r="K221" i="53" s="1"/>
  <c r="O221" i="53" s="1"/>
  <c r="C221" i="53"/>
  <c r="L221" i="53" s="1"/>
  <c r="P221" i="53" s="1"/>
  <c r="A222" i="53"/>
  <c r="J222" i="53" s="1"/>
  <c r="N222" i="53" s="1"/>
  <c r="B222" i="53"/>
  <c r="K222" i="53" s="1"/>
  <c r="O222" i="53" s="1"/>
  <c r="C222" i="53"/>
  <c r="L222" i="53" s="1"/>
  <c r="P222" i="53" s="1"/>
  <c r="A223" i="53"/>
  <c r="J223" i="53" s="1"/>
  <c r="N223" i="53" s="1"/>
  <c r="B223" i="53"/>
  <c r="K223" i="53" s="1"/>
  <c r="O223" i="53" s="1"/>
  <c r="C223" i="53"/>
  <c r="L223" i="53" s="1"/>
  <c r="P223" i="53" s="1"/>
  <c r="A224" i="53"/>
  <c r="J224" i="53" s="1"/>
  <c r="N224" i="53" s="1"/>
  <c r="B224" i="53"/>
  <c r="K224" i="53" s="1"/>
  <c r="O224" i="53" s="1"/>
  <c r="C224" i="53"/>
  <c r="L224" i="53" s="1"/>
  <c r="P224" i="53" s="1"/>
  <c r="A225" i="53"/>
  <c r="J225" i="53" s="1"/>
  <c r="N225" i="53" s="1"/>
  <c r="B225" i="53"/>
  <c r="K225" i="53" s="1"/>
  <c r="O225" i="53" s="1"/>
  <c r="C225" i="53"/>
  <c r="L225" i="53" s="1"/>
  <c r="P225" i="53" s="1"/>
  <c r="A226" i="53"/>
  <c r="J226" i="53" s="1"/>
  <c r="N226" i="53" s="1"/>
  <c r="B226" i="53"/>
  <c r="K226" i="53" s="1"/>
  <c r="O226" i="53" s="1"/>
  <c r="C226" i="53"/>
  <c r="L226" i="53" s="1"/>
  <c r="P226" i="53" s="1"/>
  <c r="A227" i="53"/>
  <c r="J227" i="53" s="1"/>
  <c r="N227" i="53" s="1"/>
  <c r="B227" i="53"/>
  <c r="K227" i="53" s="1"/>
  <c r="O227" i="53" s="1"/>
  <c r="C227" i="53"/>
  <c r="L227" i="53" s="1"/>
  <c r="P227" i="53" s="1"/>
  <c r="A228" i="53"/>
  <c r="J228" i="53" s="1"/>
  <c r="N228" i="53" s="1"/>
  <c r="B228" i="53"/>
  <c r="K228" i="53" s="1"/>
  <c r="O228" i="53" s="1"/>
  <c r="C228" i="53"/>
  <c r="L228" i="53" s="1"/>
  <c r="P228" i="53" s="1"/>
  <c r="A229" i="53"/>
  <c r="J229" i="53" s="1"/>
  <c r="N229" i="53" s="1"/>
  <c r="B229" i="53"/>
  <c r="K229" i="53" s="1"/>
  <c r="O229" i="53" s="1"/>
  <c r="C229" i="53"/>
  <c r="L229" i="53" s="1"/>
  <c r="P229" i="53" s="1"/>
  <c r="A230" i="53"/>
  <c r="J230" i="53" s="1"/>
  <c r="N230" i="53" s="1"/>
  <c r="B230" i="53"/>
  <c r="K230" i="53" s="1"/>
  <c r="O230" i="53" s="1"/>
  <c r="C230" i="53"/>
  <c r="L230" i="53" s="1"/>
  <c r="P230" i="53" s="1"/>
  <c r="A231" i="53"/>
  <c r="J231" i="53" s="1"/>
  <c r="N231" i="53" s="1"/>
  <c r="B231" i="53"/>
  <c r="K231" i="53" s="1"/>
  <c r="O231" i="53" s="1"/>
  <c r="C231" i="53"/>
  <c r="L231" i="53" s="1"/>
  <c r="P231" i="53" s="1"/>
  <c r="A232" i="53"/>
  <c r="J232" i="53" s="1"/>
  <c r="N232" i="53" s="1"/>
  <c r="B232" i="53"/>
  <c r="K232" i="53" s="1"/>
  <c r="O232" i="53" s="1"/>
  <c r="C232" i="53"/>
  <c r="L232" i="53" s="1"/>
  <c r="P232" i="53" s="1"/>
  <c r="A233" i="53"/>
  <c r="J233" i="53" s="1"/>
  <c r="N233" i="53" s="1"/>
  <c r="B233" i="53"/>
  <c r="K233" i="53" s="1"/>
  <c r="O233" i="53" s="1"/>
  <c r="C233" i="53"/>
  <c r="L233" i="53" s="1"/>
  <c r="P233" i="53" s="1"/>
  <c r="A234" i="53"/>
  <c r="J234" i="53" s="1"/>
  <c r="N234" i="53" s="1"/>
  <c r="B234" i="53"/>
  <c r="K234" i="53" s="1"/>
  <c r="O234" i="53" s="1"/>
  <c r="C234" i="53"/>
  <c r="L234" i="53" s="1"/>
  <c r="P234" i="53" s="1"/>
  <c r="A235" i="53"/>
  <c r="J235" i="53" s="1"/>
  <c r="N235" i="53" s="1"/>
  <c r="B235" i="53"/>
  <c r="K235" i="53" s="1"/>
  <c r="O235" i="53" s="1"/>
  <c r="C235" i="53"/>
  <c r="L235" i="53" s="1"/>
  <c r="P235" i="53" s="1"/>
  <c r="A236" i="53"/>
  <c r="J236" i="53" s="1"/>
  <c r="N236" i="53" s="1"/>
  <c r="B236" i="53"/>
  <c r="K236" i="53" s="1"/>
  <c r="O236" i="53" s="1"/>
  <c r="C236" i="53"/>
  <c r="L236" i="53" s="1"/>
  <c r="P236" i="53" s="1"/>
  <c r="A237" i="53"/>
  <c r="J237" i="53" s="1"/>
  <c r="N237" i="53" s="1"/>
  <c r="B237" i="53"/>
  <c r="K237" i="53" s="1"/>
  <c r="O237" i="53" s="1"/>
  <c r="C237" i="53"/>
  <c r="L237" i="53" s="1"/>
  <c r="P237" i="53" s="1"/>
  <c r="A238" i="53"/>
  <c r="J238" i="53" s="1"/>
  <c r="N238" i="53" s="1"/>
  <c r="B238" i="53"/>
  <c r="K238" i="53" s="1"/>
  <c r="O238" i="53" s="1"/>
  <c r="C238" i="53"/>
  <c r="L238" i="53" s="1"/>
  <c r="P238" i="53" s="1"/>
  <c r="A239" i="53"/>
  <c r="J239" i="53" s="1"/>
  <c r="N239" i="53" s="1"/>
  <c r="B239" i="53"/>
  <c r="K239" i="53" s="1"/>
  <c r="O239" i="53" s="1"/>
  <c r="C239" i="53"/>
  <c r="L239" i="53" s="1"/>
  <c r="P239" i="53" s="1"/>
  <c r="A240" i="53"/>
  <c r="J240" i="53" s="1"/>
  <c r="N240" i="53" s="1"/>
  <c r="B240" i="53"/>
  <c r="K240" i="53" s="1"/>
  <c r="O240" i="53" s="1"/>
  <c r="C240" i="53"/>
  <c r="L240" i="53" s="1"/>
  <c r="P240" i="53" s="1"/>
  <c r="A241" i="53"/>
  <c r="J241" i="53" s="1"/>
  <c r="N241" i="53" s="1"/>
  <c r="B241" i="53"/>
  <c r="K241" i="53" s="1"/>
  <c r="O241" i="53" s="1"/>
  <c r="C241" i="53"/>
  <c r="L241" i="53" s="1"/>
  <c r="P241" i="53" s="1"/>
  <c r="A242" i="53"/>
  <c r="J242" i="53" s="1"/>
  <c r="N242" i="53" s="1"/>
  <c r="B242" i="53"/>
  <c r="K242" i="53" s="1"/>
  <c r="O242" i="53" s="1"/>
  <c r="C242" i="53"/>
  <c r="L242" i="53" s="1"/>
  <c r="P242" i="53" s="1"/>
  <c r="A243" i="53"/>
  <c r="J243" i="53" s="1"/>
  <c r="N243" i="53" s="1"/>
  <c r="B243" i="53"/>
  <c r="K243" i="53" s="1"/>
  <c r="O243" i="53" s="1"/>
  <c r="C243" i="53"/>
  <c r="L243" i="53" s="1"/>
  <c r="P243" i="53" s="1"/>
  <c r="A244" i="53"/>
  <c r="J244" i="53" s="1"/>
  <c r="N244" i="53" s="1"/>
  <c r="B244" i="53"/>
  <c r="K244" i="53" s="1"/>
  <c r="O244" i="53" s="1"/>
  <c r="C244" i="53"/>
  <c r="L244" i="53" s="1"/>
  <c r="P244" i="53" s="1"/>
  <c r="A245" i="53"/>
  <c r="J245" i="53" s="1"/>
  <c r="N245" i="53" s="1"/>
  <c r="B245" i="53"/>
  <c r="K245" i="53" s="1"/>
  <c r="O245" i="53" s="1"/>
  <c r="C245" i="53"/>
  <c r="L245" i="53" s="1"/>
  <c r="P245" i="53" s="1"/>
  <c r="A246" i="53"/>
  <c r="J246" i="53" s="1"/>
  <c r="N246" i="53" s="1"/>
  <c r="B246" i="53"/>
  <c r="K246" i="53" s="1"/>
  <c r="O246" i="53" s="1"/>
  <c r="C246" i="53"/>
  <c r="L246" i="53" s="1"/>
  <c r="P246" i="53" s="1"/>
  <c r="A247" i="53"/>
  <c r="J247" i="53" s="1"/>
  <c r="N247" i="53" s="1"/>
  <c r="B247" i="53"/>
  <c r="K247" i="53" s="1"/>
  <c r="O247" i="53" s="1"/>
  <c r="C247" i="53"/>
  <c r="L247" i="53" s="1"/>
  <c r="P247" i="53" s="1"/>
  <c r="A248" i="53"/>
  <c r="J248" i="53" s="1"/>
  <c r="N248" i="53" s="1"/>
  <c r="B248" i="53"/>
  <c r="K248" i="53" s="1"/>
  <c r="O248" i="53" s="1"/>
  <c r="C248" i="53"/>
  <c r="L248" i="53" s="1"/>
  <c r="P248" i="53" s="1"/>
  <c r="A249" i="53"/>
  <c r="J249" i="53" s="1"/>
  <c r="N249" i="53" s="1"/>
  <c r="B249" i="53"/>
  <c r="K249" i="53" s="1"/>
  <c r="O249" i="53" s="1"/>
  <c r="C249" i="53"/>
  <c r="L249" i="53" s="1"/>
  <c r="P249" i="53" s="1"/>
  <c r="A250" i="53"/>
  <c r="J250" i="53" s="1"/>
  <c r="N250" i="53" s="1"/>
  <c r="B250" i="53"/>
  <c r="K250" i="53" s="1"/>
  <c r="O250" i="53" s="1"/>
  <c r="C250" i="53"/>
  <c r="L250" i="53" s="1"/>
  <c r="P250" i="53" s="1"/>
  <c r="A251" i="53"/>
  <c r="J251" i="53" s="1"/>
  <c r="N251" i="53" s="1"/>
  <c r="B251" i="53"/>
  <c r="K251" i="53" s="1"/>
  <c r="O251" i="53" s="1"/>
  <c r="C251" i="53"/>
  <c r="L251" i="53" s="1"/>
  <c r="P251" i="53" s="1"/>
  <c r="A252" i="53"/>
  <c r="J252" i="53" s="1"/>
  <c r="N252" i="53" s="1"/>
  <c r="B252" i="53"/>
  <c r="K252" i="53" s="1"/>
  <c r="O252" i="53" s="1"/>
  <c r="C252" i="53"/>
  <c r="L252" i="53" s="1"/>
  <c r="P252" i="53" s="1"/>
  <c r="A253" i="53"/>
  <c r="J253" i="53" s="1"/>
  <c r="N253" i="53" s="1"/>
  <c r="B253" i="53"/>
  <c r="K253" i="53" s="1"/>
  <c r="O253" i="53" s="1"/>
  <c r="C253" i="53"/>
  <c r="L253" i="53" s="1"/>
  <c r="P253" i="53" s="1"/>
  <c r="A254" i="53"/>
  <c r="J254" i="53" s="1"/>
  <c r="N254" i="53" s="1"/>
  <c r="B254" i="53"/>
  <c r="K254" i="53" s="1"/>
  <c r="O254" i="53" s="1"/>
  <c r="C254" i="53"/>
  <c r="L254" i="53" s="1"/>
  <c r="P254" i="53" s="1"/>
  <c r="A255" i="53"/>
  <c r="J255" i="53" s="1"/>
  <c r="N255" i="53" s="1"/>
  <c r="B255" i="53"/>
  <c r="K255" i="53" s="1"/>
  <c r="O255" i="53" s="1"/>
  <c r="C255" i="53"/>
  <c r="L255" i="53" s="1"/>
  <c r="P255" i="53" s="1"/>
  <c r="A256" i="53"/>
  <c r="J256" i="53" s="1"/>
  <c r="N256" i="53" s="1"/>
  <c r="B256" i="53"/>
  <c r="K256" i="53" s="1"/>
  <c r="O256" i="53" s="1"/>
  <c r="C256" i="53"/>
  <c r="L256" i="53" s="1"/>
  <c r="P256" i="53" s="1"/>
  <c r="A257" i="53"/>
  <c r="J257" i="53" s="1"/>
  <c r="N257" i="53" s="1"/>
  <c r="B257" i="53"/>
  <c r="K257" i="53" s="1"/>
  <c r="O257" i="53" s="1"/>
  <c r="C257" i="53"/>
  <c r="L257" i="53" s="1"/>
  <c r="P257" i="53" s="1"/>
  <c r="A258" i="53"/>
  <c r="J258" i="53" s="1"/>
  <c r="N258" i="53" s="1"/>
  <c r="B258" i="53"/>
  <c r="K258" i="53" s="1"/>
  <c r="O258" i="53" s="1"/>
  <c r="C258" i="53"/>
  <c r="L258" i="53" s="1"/>
  <c r="P258" i="53" s="1"/>
  <c r="A259" i="53"/>
  <c r="J259" i="53" s="1"/>
  <c r="N259" i="53" s="1"/>
  <c r="B259" i="53"/>
  <c r="K259" i="53" s="1"/>
  <c r="O259" i="53" s="1"/>
  <c r="C259" i="53"/>
  <c r="L259" i="53" s="1"/>
  <c r="P259" i="53" s="1"/>
  <c r="A260" i="53"/>
  <c r="J260" i="53" s="1"/>
  <c r="N260" i="53" s="1"/>
  <c r="B260" i="53"/>
  <c r="K260" i="53" s="1"/>
  <c r="O260" i="53" s="1"/>
  <c r="C260" i="53"/>
  <c r="L260" i="53" s="1"/>
  <c r="P260" i="53" s="1"/>
  <c r="A261" i="53"/>
  <c r="J261" i="53" s="1"/>
  <c r="N261" i="53" s="1"/>
  <c r="B261" i="53"/>
  <c r="K261" i="53" s="1"/>
  <c r="O261" i="53" s="1"/>
  <c r="C261" i="53"/>
  <c r="L261" i="53" s="1"/>
  <c r="P261" i="53" s="1"/>
  <c r="A262" i="53"/>
  <c r="J262" i="53" s="1"/>
  <c r="N262" i="53" s="1"/>
  <c r="B262" i="53"/>
  <c r="K262" i="53" s="1"/>
  <c r="O262" i="53" s="1"/>
  <c r="C262" i="53"/>
  <c r="L262" i="53" s="1"/>
  <c r="P262" i="53" s="1"/>
  <c r="A263" i="53"/>
  <c r="J263" i="53" s="1"/>
  <c r="N263" i="53" s="1"/>
  <c r="B263" i="53"/>
  <c r="K263" i="53" s="1"/>
  <c r="O263" i="53" s="1"/>
  <c r="C263" i="53"/>
  <c r="L263" i="53" s="1"/>
  <c r="P263" i="53" s="1"/>
  <c r="A264" i="53"/>
  <c r="J264" i="53" s="1"/>
  <c r="N264" i="53" s="1"/>
  <c r="B264" i="53"/>
  <c r="K264" i="53" s="1"/>
  <c r="O264" i="53" s="1"/>
  <c r="C264" i="53"/>
  <c r="L264" i="53" s="1"/>
  <c r="P264" i="53" s="1"/>
  <c r="A265" i="53"/>
  <c r="J265" i="53" s="1"/>
  <c r="N265" i="53" s="1"/>
  <c r="B265" i="53"/>
  <c r="K265" i="53" s="1"/>
  <c r="O265" i="53" s="1"/>
  <c r="C265" i="53"/>
  <c r="L265" i="53" s="1"/>
  <c r="P265" i="53" s="1"/>
  <c r="A266" i="53"/>
  <c r="J266" i="53" s="1"/>
  <c r="N266" i="53" s="1"/>
  <c r="B266" i="53"/>
  <c r="K266" i="53" s="1"/>
  <c r="O266" i="53" s="1"/>
  <c r="C266" i="53"/>
  <c r="L266" i="53" s="1"/>
  <c r="P266" i="53" s="1"/>
  <c r="A267" i="53"/>
  <c r="J267" i="53" s="1"/>
  <c r="N267" i="53" s="1"/>
  <c r="B267" i="53"/>
  <c r="K267" i="53" s="1"/>
  <c r="O267" i="53" s="1"/>
  <c r="C267" i="53"/>
  <c r="L267" i="53" s="1"/>
  <c r="P267" i="53" s="1"/>
  <c r="A268" i="53"/>
  <c r="J268" i="53" s="1"/>
  <c r="N268" i="53" s="1"/>
  <c r="B268" i="53"/>
  <c r="K268" i="53" s="1"/>
  <c r="O268" i="53" s="1"/>
  <c r="C268" i="53"/>
  <c r="L268" i="53" s="1"/>
  <c r="P268" i="53" s="1"/>
  <c r="A269" i="53"/>
  <c r="J269" i="53" s="1"/>
  <c r="N269" i="53" s="1"/>
  <c r="B269" i="53"/>
  <c r="K269" i="53" s="1"/>
  <c r="O269" i="53" s="1"/>
  <c r="C269" i="53"/>
  <c r="L269" i="53" s="1"/>
  <c r="P269" i="53" s="1"/>
  <c r="A270" i="53"/>
  <c r="J270" i="53" s="1"/>
  <c r="N270" i="53" s="1"/>
  <c r="B270" i="53"/>
  <c r="K270" i="53" s="1"/>
  <c r="O270" i="53" s="1"/>
  <c r="C270" i="53"/>
  <c r="L270" i="53" s="1"/>
  <c r="P270" i="53" s="1"/>
  <c r="A271" i="53"/>
  <c r="J271" i="53" s="1"/>
  <c r="N271" i="53" s="1"/>
  <c r="B271" i="53"/>
  <c r="K271" i="53" s="1"/>
  <c r="O271" i="53" s="1"/>
  <c r="C271" i="53"/>
  <c r="L271" i="53" s="1"/>
  <c r="P271" i="53" s="1"/>
  <c r="A272" i="53"/>
  <c r="J272" i="53" s="1"/>
  <c r="N272" i="53" s="1"/>
  <c r="B272" i="53"/>
  <c r="K272" i="53" s="1"/>
  <c r="O272" i="53" s="1"/>
  <c r="C272" i="53"/>
  <c r="L272" i="53" s="1"/>
  <c r="P272" i="53" s="1"/>
  <c r="A273" i="53"/>
  <c r="J273" i="53" s="1"/>
  <c r="N273" i="53" s="1"/>
  <c r="B273" i="53"/>
  <c r="K273" i="53" s="1"/>
  <c r="O273" i="53" s="1"/>
  <c r="C273" i="53"/>
  <c r="L273" i="53" s="1"/>
  <c r="P273" i="53" s="1"/>
  <c r="A274" i="53"/>
  <c r="J274" i="53" s="1"/>
  <c r="N274" i="53" s="1"/>
  <c r="B274" i="53"/>
  <c r="K274" i="53" s="1"/>
  <c r="O274" i="53" s="1"/>
  <c r="C274" i="53"/>
  <c r="L274" i="53" s="1"/>
  <c r="P274" i="53" s="1"/>
  <c r="A275" i="53"/>
  <c r="J275" i="53" s="1"/>
  <c r="N275" i="53" s="1"/>
  <c r="B275" i="53"/>
  <c r="K275" i="53" s="1"/>
  <c r="O275" i="53" s="1"/>
  <c r="C275" i="53"/>
  <c r="L275" i="53" s="1"/>
  <c r="P275" i="53" s="1"/>
  <c r="A276" i="53"/>
  <c r="J276" i="53" s="1"/>
  <c r="N276" i="53" s="1"/>
  <c r="B276" i="53"/>
  <c r="K276" i="53" s="1"/>
  <c r="O276" i="53" s="1"/>
  <c r="C276" i="53"/>
  <c r="L276" i="53" s="1"/>
  <c r="P276" i="53" s="1"/>
  <c r="A277" i="53"/>
  <c r="J277" i="53" s="1"/>
  <c r="N277" i="53" s="1"/>
  <c r="B277" i="53"/>
  <c r="K277" i="53" s="1"/>
  <c r="O277" i="53" s="1"/>
  <c r="C277" i="53"/>
  <c r="L277" i="53" s="1"/>
  <c r="P277" i="53" s="1"/>
  <c r="A278" i="53"/>
  <c r="J278" i="53" s="1"/>
  <c r="N278" i="53" s="1"/>
  <c r="B278" i="53"/>
  <c r="K278" i="53" s="1"/>
  <c r="O278" i="53" s="1"/>
  <c r="C278" i="53"/>
  <c r="L278" i="53" s="1"/>
  <c r="P278" i="53" s="1"/>
  <c r="A279" i="53"/>
  <c r="J279" i="53" s="1"/>
  <c r="N279" i="53" s="1"/>
  <c r="B279" i="53"/>
  <c r="K279" i="53" s="1"/>
  <c r="O279" i="53" s="1"/>
  <c r="C279" i="53"/>
  <c r="L279" i="53" s="1"/>
  <c r="P279" i="53" s="1"/>
  <c r="A280" i="53"/>
  <c r="J280" i="53" s="1"/>
  <c r="N280" i="53" s="1"/>
  <c r="B280" i="53"/>
  <c r="K280" i="53" s="1"/>
  <c r="O280" i="53" s="1"/>
  <c r="C280" i="53"/>
  <c r="L280" i="53" s="1"/>
  <c r="P280" i="53" s="1"/>
  <c r="A281" i="53"/>
  <c r="J281" i="53" s="1"/>
  <c r="N281" i="53" s="1"/>
  <c r="B281" i="53"/>
  <c r="K281" i="53" s="1"/>
  <c r="O281" i="53" s="1"/>
  <c r="C281" i="53"/>
  <c r="L281" i="53" s="1"/>
  <c r="P281" i="53" s="1"/>
  <c r="A282" i="53"/>
  <c r="J282" i="53" s="1"/>
  <c r="N282" i="53" s="1"/>
  <c r="B282" i="53"/>
  <c r="K282" i="53" s="1"/>
  <c r="O282" i="53" s="1"/>
  <c r="C282" i="53"/>
  <c r="L282" i="53" s="1"/>
  <c r="P282" i="53" s="1"/>
  <c r="A283" i="53"/>
  <c r="J283" i="53" s="1"/>
  <c r="N283" i="53" s="1"/>
  <c r="B283" i="53"/>
  <c r="K283" i="53" s="1"/>
  <c r="O283" i="53" s="1"/>
  <c r="C283" i="53"/>
  <c r="L283" i="53" s="1"/>
  <c r="P283" i="53" s="1"/>
  <c r="A284" i="53"/>
  <c r="J284" i="53" s="1"/>
  <c r="N284" i="53" s="1"/>
  <c r="B284" i="53"/>
  <c r="K284" i="53" s="1"/>
  <c r="O284" i="53" s="1"/>
  <c r="C284" i="53"/>
  <c r="L284" i="53" s="1"/>
  <c r="P284" i="53" s="1"/>
  <c r="A285" i="53"/>
  <c r="J285" i="53" s="1"/>
  <c r="N285" i="53" s="1"/>
  <c r="B285" i="53"/>
  <c r="K285" i="53" s="1"/>
  <c r="O285" i="53" s="1"/>
  <c r="C285" i="53"/>
  <c r="L285" i="53" s="1"/>
  <c r="P285" i="53" s="1"/>
  <c r="A286" i="53"/>
  <c r="J286" i="53" s="1"/>
  <c r="N286" i="53" s="1"/>
  <c r="B286" i="53"/>
  <c r="K286" i="53" s="1"/>
  <c r="O286" i="53" s="1"/>
  <c r="C286" i="53"/>
  <c r="L286" i="53" s="1"/>
  <c r="P286" i="53" s="1"/>
  <c r="A287" i="53"/>
  <c r="J287" i="53" s="1"/>
  <c r="N287" i="53" s="1"/>
  <c r="B287" i="53"/>
  <c r="K287" i="53" s="1"/>
  <c r="O287" i="53" s="1"/>
  <c r="C287" i="53"/>
  <c r="L287" i="53" s="1"/>
  <c r="P287" i="53" s="1"/>
  <c r="A288" i="53"/>
  <c r="J288" i="53" s="1"/>
  <c r="N288" i="53" s="1"/>
  <c r="B288" i="53"/>
  <c r="K288" i="53" s="1"/>
  <c r="O288" i="53" s="1"/>
  <c r="C288" i="53"/>
  <c r="L288" i="53" s="1"/>
  <c r="P288" i="53" s="1"/>
  <c r="A289" i="53"/>
  <c r="J289" i="53" s="1"/>
  <c r="N289" i="53" s="1"/>
  <c r="B289" i="53"/>
  <c r="K289" i="53" s="1"/>
  <c r="O289" i="53" s="1"/>
  <c r="C289" i="53"/>
  <c r="L289" i="53" s="1"/>
  <c r="P289" i="53" s="1"/>
  <c r="A290" i="53"/>
  <c r="J290" i="53" s="1"/>
  <c r="N290" i="53" s="1"/>
  <c r="B290" i="53"/>
  <c r="K290" i="53" s="1"/>
  <c r="O290" i="53" s="1"/>
  <c r="C290" i="53"/>
  <c r="L290" i="53" s="1"/>
  <c r="P290" i="53" s="1"/>
  <c r="A291" i="53"/>
  <c r="J291" i="53" s="1"/>
  <c r="N291" i="53" s="1"/>
  <c r="B291" i="53"/>
  <c r="K291" i="53" s="1"/>
  <c r="O291" i="53" s="1"/>
  <c r="C291" i="53"/>
  <c r="L291" i="53" s="1"/>
  <c r="P291" i="53" s="1"/>
  <c r="A292" i="53"/>
  <c r="J292" i="53" s="1"/>
  <c r="N292" i="53" s="1"/>
  <c r="B292" i="53"/>
  <c r="K292" i="53" s="1"/>
  <c r="O292" i="53" s="1"/>
  <c r="C292" i="53"/>
  <c r="L292" i="53" s="1"/>
  <c r="P292" i="53" s="1"/>
  <c r="A293" i="53"/>
  <c r="J293" i="53" s="1"/>
  <c r="N293" i="53" s="1"/>
  <c r="B293" i="53"/>
  <c r="K293" i="53" s="1"/>
  <c r="O293" i="53" s="1"/>
  <c r="C293" i="53"/>
  <c r="L293" i="53" s="1"/>
  <c r="P293" i="53" s="1"/>
  <c r="A294" i="53"/>
  <c r="J294" i="53" s="1"/>
  <c r="N294" i="53" s="1"/>
  <c r="B294" i="53"/>
  <c r="K294" i="53" s="1"/>
  <c r="O294" i="53" s="1"/>
  <c r="C294" i="53"/>
  <c r="L294" i="53" s="1"/>
  <c r="P294" i="53" s="1"/>
  <c r="A295" i="53"/>
  <c r="J295" i="53" s="1"/>
  <c r="N295" i="53" s="1"/>
  <c r="B295" i="53"/>
  <c r="K295" i="53" s="1"/>
  <c r="O295" i="53" s="1"/>
  <c r="C295" i="53"/>
  <c r="L295" i="53" s="1"/>
  <c r="P295" i="53" s="1"/>
  <c r="A296" i="53"/>
  <c r="J296" i="53" s="1"/>
  <c r="N296" i="53" s="1"/>
  <c r="B296" i="53"/>
  <c r="K296" i="53" s="1"/>
  <c r="O296" i="53" s="1"/>
  <c r="C296" i="53"/>
  <c r="L296" i="53" s="1"/>
  <c r="P296" i="53" s="1"/>
  <c r="A297" i="53"/>
  <c r="J297" i="53" s="1"/>
  <c r="N297" i="53" s="1"/>
  <c r="B297" i="53"/>
  <c r="K297" i="53" s="1"/>
  <c r="O297" i="53" s="1"/>
  <c r="C297" i="53"/>
  <c r="L297" i="53" s="1"/>
  <c r="P297" i="53" s="1"/>
  <c r="A298" i="53"/>
  <c r="J298" i="53" s="1"/>
  <c r="N298" i="53" s="1"/>
  <c r="B298" i="53"/>
  <c r="K298" i="53" s="1"/>
  <c r="O298" i="53" s="1"/>
  <c r="C298" i="53"/>
  <c r="L298" i="53" s="1"/>
  <c r="P298" i="53" s="1"/>
  <c r="A299" i="53"/>
  <c r="J299" i="53" s="1"/>
  <c r="N299" i="53" s="1"/>
  <c r="B299" i="53"/>
  <c r="K299" i="53" s="1"/>
  <c r="O299" i="53" s="1"/>
  <c r="C299" i="53"/>
  <c r="L299" i="53" s="1"/>
  <c r="P299" i="53" s="1"/>
  <c r="A300" i="53"/>
  <c r="J300" i="53" s="1"/>
  <c r="N300" i="53" s="1"/>
  <c r="B300" i="53"/>
  <c r="K300" i="53" s="1"/>
  <c r="O300" i="53" s="1"/>
  <c r="C300" i="53"/>
  <c r="L300" i="53" s="1"/>
  <c r="P300" i="53" s="1"/>
  <c r="A301" i="53"/>
  <c r="J301" i="53" s="1"/>
  <c r="N301" i="53" s="1"/>
  <c r="B301" i="53"/>
  <c r="K301" i="53" s="1"/>
  <c r="O301" i="53" s="1"/>
  <c r="C301" i="53"/>
  <c r="L301" i="53" s="1"/>
  <c r="P301" i="53" s="1"/>
  <c r="A302" i="53"/>
  <c r="J302" i="53" s="1"/>
  <c r="N302" i="53" s="1"/>
  <c r="B302" i="53"/>
  <c r="K302" i="53" s="1"/>
  <c r="O302" i="53" s="1"/>
  <c r="C302" i="53"/>
  <c r="L302" i="53" s="1"/>
  <c r="P302" i="53" s="1"/>
  <c r="A303" i="53"/>
  <c r="J303" i="53" s="1"/>
  <c r="N303" i="53" s="1"/>
  <c r="B303" i="53"/>
  <c r="K303" i="53" s="1"/>
  <c r="O303" i="53" s="1"/>
  <c r="C303" i="53"/>
  <c r="L303" i="53" s="1"/>
  <c r="P303" i="53" s="1"/>
  <c r="A304" i="53"/>
  <c r="J304" i="53" s="1"/>
  <c r="N304" i="53" s="1"/>
  <c r="B304" i="53"/>
  <c r="K304" i="53" s="1"/>
  <c r="O304" i="53" s="1"/>
  <c r="C304" i="53"/>
  <c r="L304" i="53" s="1"/>
  <c r="P304" i="53" s="1"/>
  <c r="A305" i="53"/>
  <c r="J305" i="53" s="1"/>
  <c r="N305" i="53" s="1"/>
  <c r="B305" i="53"/>
  <c r="K305" i="53" s="1"/>
  <c r="O305" i="53" s="1"/>
  <c r="C305" i="53"/>
  <c r="L305" i="53" s="1"/>
  <c r="P305" i="53" s="1"/>
  <c r="A306" i="53"/>
  <c r="J306" i="53" s="1"/>
  <c r="N306" i="53" s="1"/>
  <c r="B306" i="53"/>
  <c r="K306" i="53" s="1"/>
  <c r="O306" i="53" s="1"/>
  <c r="C306" i="53"/>
  <c r="L306" i="53" s="1"/>
  <c r="P306" i="53" s="1"/>
  <c r="A307" i="53"/>
  <c r="J307" i="53" s="1"/>
  <c r="N307" i="53" s="1"/>
  <c r="B307" i="53"/>
  <c r="K307" i="53" s="1"/>
  <c r="O307" i="53" s="1"/>
  <c r="C307" i="53"/>
  <c r="L307" i="53" s="1"/>
  <c r="P307" i="53" s="1"/>
  <c r="A308" i="53"/>
  <c r="J308" i="53" s="1"/>
  <c r="N308" i="53" s="1"/>
  <c r="B308" i="53"/>
  <c r="K308" i="53" s="1"/>
  <c r="O308" i="53" s="1"/>
  <c r="C308" i="53"/>
  <c r="L308" i="53" s="1"/>
  <c r="P308" i="53" s="1"/>
  <c r="A309" i="53"/>
  <c r="J309" i="53" s="1"/>
  <c r="N309" i="53" s="1"/>
  <c r="B309" i="53"/>
  <c r="K309" i="53" s="1"/>
  <c r="O309" i="53" s="1"/>
  <c r="C309" i="53"/>
  <c r="L309" i="53" s="1"/>
  <c r="P309" i="53" s="1"/>
  <c r="A310" i="53"/>
  <c r="J310" i="53" s="1"/>
  <c r="N310" i="53" s="1"/>
  <c r="B310" i="53"/>
  <c r="K310" i="53" s="1"/>
  <c r="O310" i="53" s="1"/>
  <c r="C310" i="53"/>
  <c r="L310" i="53" s="1"/>
  <c r="P310" i="53" s="1"/>
  <c r="A311" i="53"/>
  <c r="J311" i="53" s="1"/>
  <c r="N311" i="53" s="1"/>
  <c r="B311" i="53"/>
  <c r="K311" i="53" s="1"/>
  <c r="O311" i="53" s="1"/>
  <c r="C311" i="53"/>
  <c r="L311" i="53" s="1"/>
  <c r="P311" i="53" s="1"/>
  <c r="A312" i="53"/>
  <c r="J312" i="53" s="1"/>
  <c r="N312" i="53" s="1"/>
  <c r="B312" i="53"/>
  <c r="K312" i="53" s="1"/>
  <c r="O312" i="53" s="1"/>
  <c r="C312" i="53"/>
  <c r="L312" i="53" s="1"/>
  <c r="P312" i="53" s="1"/>
  <c r="A313" i="53"/>
  <c r="J313" i="53" s="1"/>
  <c r="N313" i="53" s="1"/>
  <c r="B313" i="53"/>
  <c r="K313" i="53" s="1"/>
  <c r="O313" i="53" s="1"/>
  <c r="C313" i="53"/>
  <c r="L313" i="53" s="1"/>
  <c r="P313" i="53" s="1"/>
  <c r="A314" i="53"/>
  <c r="J314" i="53" s="1"/>
  <c r="N314" i="53" s="1"/>
  <c r="B314" i="53"/>
  <c r="K314" i="53" s="1"/>
  <c r="O314" i="53" s="1"/>
  <c r="C314" i="53"/>
  <c r="L314" i="53" s="1"/>
  <c r="P314" i="53" s="1"/>
  <c r="A315" i="53"/>
  <c r="J315" i="53" s="1"/>
  <c r="N315" i="53" s="1"/>
  <c r="B315" i="53"/>
  <c r="K315" i="53" s="1"/>
  <c r="O315" i="53" s="1"/>
  <c r="C315" i="53"/>
  <c r="L315" i="53" s="1"/>
  <c r="P315" i="53" s="1"/>
  <c r="A316" i="53"/>
  <c r="J316" i="53" s="1"/>
  <c r="N316" i="53" s="1"/>
  <c r="B316" i="53"/>
  <c r="K316" i="53" s="1"/>
  <c r="O316" i="53" s="1"/>
  <c r="C316" i="53"/>
  <c r="L316" i="53" s="1"/>
  <c r="P316" i="53" s="1"/>
  <c r="A317" i="53"/>
  <c r="J317" i="53" s="1"/>
  <c r="N317" i="53" s="1"/>
  <c r="B317" i="53"/>
  <c r="K317" i="53" s="1"/>
  <c r="O317" i="53" s="1"/>
  <c r="C317" i="53"/>
  <c r="L317" i="53" s="1"/>
  <c r="P317" i="53" s="1"/>
  <c r="A318" i="53"/>
  <c r="J318" i="53" s="1"/>
  <c r="N318" i="53" s="1"/>
  <c r="B318" i="53"/>
  <c r="K318" i="53" s="1"/>
  <c r="O318" i="53" s="1"/>
  <c r="C318" i="53"/>
  <c r="L318" i="53" s="1"/>
  <c r="P318" i="53" s="1"/>
  <c r="A319" i="53"/>
  <c r="J319" i="53" s="1"/>
  <c r="N319" i="53" s="1"/>
  <c r="B319" i="53"/>
  <c r="K319" i="53" s="1"/>
  <c r="O319" i="53" s="1"/>
  <c r="C319" i="53"/>
  <c r="L319" i="53" s="1"/>
  <c r="P319" i="53" s="1"/>
  <c r="A320" i="53"/>
  <c r="J320" i="53" s="1"/>
  <c r="N320" i="53" s="1"/>
  <c r="B320" i="53"/>
  <c r="K320" i="53" s="1"/>
  <c r="O320" i="53" s="1"/>
  <c r="C320" i="53"/>
  <c r="L320" i="53" s="1"/>
  <c r="P320" i="53" s="1"/>
  <c r="A321" i="53"/>
  <c r="J321" i="53" s="1"/>
  <c r="N321" i="53" s="1"/>
  <c r="B321" i="53"/>
  <c r="K321" i="53" s="1"/>
  <c r="O321" i="53" s="1"/>
  <c r="C321" i="53"/>
  <c r="L321" i="53" s="1"/>
  <c r="P321" i="53" s="1"/>
  <c r="A322" i="53"/>
  <c r="J322" i="53" s="1"/>
  <c r="N322" i="53" s="1"/>
  <c r="B322" i="53"/>
  <c r="K322" i="53" s="1"/>
  <c r="O322" i="53" s="1"/>
  <c r="C322" i="53"/>
  <c r="L322" i="53" s="1"/>
  <c r="P322" i="53" s="1"/>
  <c r="A323" i="53"/>
  <c r="J323" i="53" s="1"/>
  <c r="N323" i="53" s="1"/>
  <c r="B323" i="53"/>
  <c r="K323" i="53" s="1"/>
  <c r="O323" i="53" s="1"/>
  <c r="C323" i="53"/>
  <c r="L323" i="53" s="1"/>
  <c r="P323" i="53" s="1"/>
  <c r="A324" i="53"/>
  <c r="J324" i="53" s="1"/>
  <c r="N324" i="53" s="1"/>
  <c r="B324" i="53"/>
  <c r="K324" i="53" s="1"/>
  <c r="O324" i="53" s="1"/>
  <c r="C324" i="53"/>
  <c r="L324" i="53" s="1"/>
  <c r="P324" i="53" s="1"/>
  <c r="A325" i="53"/>
  <c r="J325" i="53" s="1"/>
  <c r="N325" i="53" s="1"/>
  <c r="B325" i="53"/>
  <c r="K325" i="53" s="1"/>
  <c r="O325" i="53" s="1"/>
  <c r="C325" i="53"/>
  <c r="L325" i="53" s="1"/>
  <c r="P325" i="53" s="1"/>
  <c r="A326" i="53"/>
  <c r="J326" i="53" s="1"/>
  <c r="N326" i="53" s="1"/>
  <c r="B326" i="53"/>
  <c r="K326" i="53" s="1"/>
  <c r="O326" i="53" s="1"/>
  <c r="C326" i="53"/>
  <c r="L326" i="53" s="1"/>
  <c r="P326" i="53" s="1"/>
  <c r="A327" i="53"/>
  <c r="J327" i="53" s="1"/>
  <c r="N327" i="53" s="1"/>
  <c r="B327" i="53"/>
  <c r="K327" i="53" s="1"/>
  <c r="O327" i="53" s="1"/>
  <c r="C327" i="53"/>
  <c r="L327" i="53" s="1"/>
  <c r="P327" i="53" s="1"/>
  <c r="A328" i="53"/>
  <c r="J328" i="53" s="1"/>
  <c r="N328" i="53" s="1"/>
  <c r="B328" i="53"/>
  <c r="K328" i="53" s="1"/>
  <c r="O328" i="53" s="1"/>
  <c r="C328" i="53"/>
  <c r="L328" i="53" s="1"/>
  <c r="P328" i="53" s="1"/>
  <c r="A329" i="53"/>
  <c r="J329" i="53" s="1"/>
  <c r="N329" i="53" s="1"/>
  <c r="B329" i="53"/>
  <c r="K329" i="53" s="1"/>
  <c r="O329" i="53" s="1"/>
  <c r="C329" i="53"/>
  <c r="L329" i="53" s="1"/>
  <c r="P329" i="53" s="1"/>
  <c r="A330" i="53"/>
  <c r="J330" i="53" s="1"/>
  <c r="N330" i="53" s="1"/>
  <c r="B330" i="53"/>
  <c r="K330" i="53" s="1"/>
  <c r="O330" i="53" s="1"/>
  <c r="C330" i="53"/>
  <c r="L330" i="53" s="1"/>
  <c r="P330" i="53" s="1"/>
  <c r="A331" i="53"/>
  <c r="J331" i="53" s="1"/>
  <c r="N331" i="53" s="1"/>
  <c r="B331" i="53"/>
  <c r="K331" i="53" s="1"/>
  <c r="O331" i="53" s="1"/>
  <c r="C331" i="53"/>
  <c r="L331" i="53" s="1"/>
  <c r="P331" i="53" s="1"/>
  <c r="A332" i="53"/>
  <c r="J332" i="53" s="1"/>
  <c r="N332" i="53" s="1"/>
  <c r="B332" i="53"/>
  <c r="K332" i="53" s="1"/>
  <c r="O332" i="53" s="1"/>
  <c r="C332" i="53"/>
  <c r="L332" i="53" s="1"/>
  <c r="P332" i="53" s="1"/>
  <c r="A333" i="53"/>
  <c r="J333" i="53" s="1"/>
  <c r="N333" i="53" s="1"/>
  <c r="B333" i="53"/>
  <c r="K333" i="53" s="1"/>
  <c r="O333" i="53" s="1"/>
  <c r="C333" i="53"/>
  <c r="L333" i="53" s="1"/>
  <c r="P333" i="53" s="1"/>
  <c r="A334" i="53"/>
  <c r="J334" i="53" s="1"/>
  <c r="N334" i="53" s="1"/>
  <c r="B334" i="53"/>
  <c r="K334" i="53" s="1"/>
  <c r="O334" i="53" s="1"/>
  <c r="C334" i="53"/>
  <c r="L334" i="53" s="1"/>
  <c r="P334" i="53" s="1"/>
  <c r="A335" i="53"/>
  <c r="J335" i="53" s="1"/>
  <c r="N335" i="53" s="1"/>
  <c r="B335" i="53"/>
  <c r="K335" i="53" s="1"/>
  <c r="O335" i="53" s="1"/>
  <c r="C335" i="53"/>
  <c r="L335" i="53" s="1"/>
  <c r="P335" i="53" s="1"/>
  <c r="A336" i="53"/>
  <c r="J336" i="53" s="1"/>
  <c r="N336" i="53" s="1"/>
  <c r="B336" i="53"/>
  <c r="K336" i="53" s="1"/>
  <c r="O336" i="53" s="1"/>
  <c r="C336" i="53"/>
  <c r="L336" i="53" s="1"/>
  <c r="P336" i="53" s="1"/>
  <c r="A337" i="53"/>
  <c r="J337" i="53" s="1"/>
  <c r="N337" i="53" s="1"/>
  <c r="B337" i="53"/>
  <c r="K337" i="53" s="1"/>
  <c r="O337" i="53" s="1"/>
  <c r="C337" i="53"/>
  <c r="L337" i="53" s="1"/>
  <c r="P337" i="53" s="1"/>
  <c r="A338" i="53"/>
  <c r="J338" i="53" s="1"/>
  <c r="N338" i="53" s="1"/>
  <c r="B338" i="53"/>
  <c r="K338" i="53" s="1"/>
  <c r="O338" i="53" s="1"/>
  <c r="C338" i="53"/>
  <c r="L338" i="53" s="1"/>
  <c r="P338" i="53" s="1"/>
  <c r="A339" i="53"/>
  <c r="J339" i="53" s="1"/>
  <c r="N339" i="53" s="1"/>
  <c r="B339" i="53"/>
  <c r="K339" i="53" s="1"/>
  <c r="O339" i="53" s="1"/>
  <c r="C339" i="53"/>
  <c r="L339" i="53" s="1"/>
  <c r="P339" i="53" s="1"/>
  <c r="A340" i="53"/>
  <c r="J340" i="53" s="1"/>
  <c r="N340" i="53" s="1"/>
  <c r="B340" i="53"/>
  <c r="K340" i="53" s="1"/>
  <c r="O340" i="53" s="1"/>
  <c r="C340" i="53"/>
  <c r="L340" i="53" s="1"/>
  <c r="P340" i="53" s="1"/>
  <c r="A341" i="53"/>
  <c r="J341" i="53" s="1"/>
  <c r="N341" i="53" s="1"/>
  <c r="B341" i="53"/>
  <c r="K341" i="53" s="1"/>
  <c r="O341" i="53" s="1"/>
  <c r="C341" i="53"/>
  <c r="L341" i="53" s="1"/>
  <c r="P341" i="53" s="1"/>
  <c r="A342" i="53"/>
  <c r="J342" i="53" s="1"/>
  <c r="N342" i="53" s="1"/>
  <c r="B342" i="53"/>
  <c r="K342" i="53" s="1"/>
  <c r="O342" i="53" s="1"/>
  <c r="C342" i="53"/>
  <c r="L342" i="53" s="1"/>
  <c r="P342" i="53" s="1"/>
  <c r="A343" i="53"/>
  <c r="J343" i="53" s="1"/>
  <c r="N343" i="53" s="1"/>
  <c r="B343" i="53"/>
  <c r="K343" i="53" s="1"/>
  <c r="O343" i="53" s="1"/>
  <c r="C343" i="53"/>
  <c r="L343" i="53" s="1"/>
  <c r="P343" i="53" s="1"/>
  <c r="A344" i="53"/>
  <c r="J344" i="53" s="1"/>
  <c r="N344" i="53" s="1"/>
  <c r="B344" i="53"/>
  <c r="K344" i="53" s="1"/>
  <c r="O344" i="53" s="1"/>
  <c r="C344" i="53"/>
  <c r="L344" i="53" s="1"/>
  <c r="P344" i="53" s="1"/>
  <c r="A345" i="53"/>
  <c r="J345" i="53" s="1"/>
  <c r="N345" i="53" s="1"/>
  <c r="B345" i="53"/>
  <c r="K345" i="53" s="1"/>
  <c r="O345" i="53" s="1"/>
  <c r="C345" i="53"/>
  <c r="L345" i="53" s="1"/>
  <c r="P345" i="53" s="1"/>
  <c r="A346" i="53"/>
  <c r="J346" i="53" s="1"/>
  <c r="N346" i="53" s="1"/>
  <c r="B346" i="53"/>
  <c r="K346" i="53" s="1"/>
  <c r="O346" i="53" s="1"/>
  <c r="C346" i="53"/>
  <c r="L346" i="53" s="1"/>
  <c r="P346" i="53" s="1"/>
  <c r="A347" i="53"/>
  <c r="J347" i="53" s="1"/>
  <c r="N347" i="53" s="1"/>
  <c r="B347" i="53"/>
  <c r="K347" i="53" s="1"/>
  <c r="O347" i="53" s="1"/>
  <c r="C347" i="53"/>
  <c r="L347" i="53" s="1"/>
  <c r="P347" i="53" s="1"/>
  <c r="A348" i="53"/>
  <c r="J348" i="53" s="1"/>
  <c r="N348" i="53" s="1"/>
  <c r="B348" i="53"/>
  <c r="K348" i="53" s="1"/>
  <c r="O348" i="53" s="1"/>
  <c r="C348" i="53"/>
  <c r="L348" i="53" s="1"/>
  <c r="P348" i="53" s="1"/>
  <c r="A349" i="53"/>
  <c r="J349" i="53" s="1"/>
  <c r="N349" i="53" s="1"/>
  <c r="B349" i="53"/>
  <c r="K349" i="53" s="1"/>
  <c r="O349" i="53" s="1"/>
  <c r="C349" i="53"/>
  <c r="L349" i="53" s="1"/>
  <c r="P349" i="53" s="1"/>
  <c r="A4" i="53"/>
  <c r="J4" i="53" s="1"/>
  <c r="N4" i="53" s="1"/>
  <c r="B4" i="53"/>
  <c r="K4" i="53" s="1"/>
  <c r="O4" i="53" s="1"/>
  <c r="C4" i="53"/>
  <c r="L4" i="53" s="1"/>
  <c r="P4" i="53" s="1"/>
  <c r="F3" i="53"/>
  <c r="G3" i="53"/>
  <c r="B3" i="53"/>
  <c r="K3" i="53" s="1"/>
  <c r="O3" i="53" s="1"/>
  <c r="C3" i="53"/>
  <c r="L3" i="53" s="1"/>
  <c r="P3" i="53" s="1"/>
  <c r="A3" i="53"/>
  <c r="J3" i="53" s="1"/>
  <c r="N3" i="53" s="1"/>
  <c r="T4" i="49"/>
  <c r="X8" i="46"/>
  <c r="V3" i="53" s="1"/>
  <c r="AA8" i="45"/>
  <c r="I3" i="53" s="1"/>
  <c r="Q3" i="53" s="1"/>
  <c r="N1" i="49" l="1"/>
  <c r="O1" i="49"/>
  <c r="P1" i="49"/>
  <c r="P6" i="49"/>
  <c r="P7" i="49"/>
  <c r="P8" i="49"/>
  <c r="P9" i="49"/>
  <c r="P10" i="49"/>
  <c r="P11" i="49"/>
  <c r="P12" i="49"/>
  <c r="P13" i="49"/>
  <c r="P14" i="49"/>
  <c r="P15" i="49"/>
  <c r="P16" i="49"/>
  <c r="P17" i="49"/>
  <c r="P18" i="49"/>
  <c r="P19" i="49"/>
  <c r="P20" i="49"/>
  <c r="P21" i="49"/>
  <c r="P22" i="49"/>
  <c r="P23" i="49"/>
  <c r="P24" i="49"/>
  <c r="P25" i="49"/>
  <c r="P26" i="49"/>
  <c r="P27" i="49"/>
  <c r="P28" i="49"/>
  <c r="P29" i="49"/>
  <c r="P30" i="49"/>
  <c r="P31" i="49"/>
  <c r="P32" i="49"/>
  <c r="P33" i="49"/>
  <c r="P34" i="49"/>
  <c r="P35" i="49"/>
  <c r="P36" i="49"/>
  <c r="P37" i="49"/>
  <c r="P38" i="49"/>
  <c r="P39" i="49"/>
  <c r="P40" i="49"/>
  <c r="P41" i="49"/>
  <c r="P42" i="49"/>
  <c r="P43" i="49"/>
  <c r="P44" i="49"/>
  <c r="P45" i="49"/>
  <c r="P46" i="49"/>
  <c r="P47" i="49"/>
  <c r="P48" i="49"/>
  <c r="P49" i="49"/>
  <c r="P50" i="49"/>
  <c r="P51" i="49"/>
  <c r="P52" i="49"/>
  <c r="P53" i="49"/>
  <c r="P54" i="49"/>
  <c r="P55" i="49"/>
  <c r="P56" i="49"/>
  <c r="P57" i="49"/>
  <c r="P58" i="49"/>
  <c r="P59" i="49"/>
  <c r="P60" i="49"/>
  <c r="P61" i="49"/>
  <c r="P62" i="49"/>
  <c r="P63" i="49"/>
  <c r="P64" i="49"/>
  <c r="P65" i="49"/>
  <c r="P66" i="49"/>
  <c r="P67" i="49"/>
  <c r="P68" i="49"/>
  <c r="P69" i="49"/>
  <c r="P70" i="49"/>
  <c r="P71" i="49"/>
  <c r="P72" i="49"/>
  <c r="P73" i="49"/>
  <c r="P74" i="49"/>
  <c r="P75" i="49"/>
  <c r="P76" i="49"/>
  <c r="P77" i="49"/>
  <c r="P78" i="49"/>
  <c r="P79" i="49"/>
  <c r="P80" i="49"/>
  <c r="P81" i="49"/>
  <c r="P82" i="49"/>
  <c r="P83" i="49"/>
  <c r="P84" i="49"/>
  <c r="P85" i="49"/>
  <c r="P86" i="49"/>
  <c r="P87" i="49"/>
  <c r="P88" i="49"/>
  <c r="P89" i="49"/>
  <c r="P90" i="49"/>
  <c r="P91" i="49"/>
  <c r="P92" i="49"/>
  <c r="P93" i="49"/>
  <c r="P94" i="49"/>
  <c r="P95" i="49"/>
  <c r="P96" i="49"/>
  <c r="P97" i="49"/>
  <c r="P98" i="49"/>
  <c r="P99" i="49"/>
  <c r="P100" i="49"/>
  <c r="P101" i="49"/>
  <c r="P102" i="49"/>
  <c r="P103" i="49"/>
  <c r="P104" i="49"/>
  <c r="P105" i="49"/>
  <c r="P106" i="49"/>
  <c r="P107" i="49"/>
  <c r="P108" i="49"/>
  <c r="P109" i="49"/>
  <c r="P110" i="49"/>
  <c r="P111" i="49"/>
  <c r="P112" i="49"/>
  <c r="P113" i="49"/>
  <c r="P114" i="49"/>
  <c r="P115" i="49"/>
  <c r="P116" i="49"/>
  <c r="P117" i="49"/>
  <c r="P118" i="49"/>
  <c r="P119" i="49"/>
  <c r="P120" i="49"/>
  <c r="P121" i="49"/>
  <c r="P122" i="49"/>
  <c r="P123" i="49"/>
  <c r="P124" i="49"/>
  <c r="P125" i="49"/>
  <c r="P126" i="49"/>
  <c r="P127" i="49"/>
  <c r="P128" i="49"/>
  <c r="P129" i="49"/>
  <c r="P130" i="49"/>
  <c r="P131" i="49"/>
  <c r="P132" i="49"/>
  <c r="P133" i="49"/>
  <c r="P134" i="49"/>
  <c r="P135" i="49"/>
  <c r="P136" i="49"/>
  <c r="P137" i="49"/>
  <c r="P138" i="49"/>
  <c r="P139" i="49"/>
  <c r="P140" i="49"/>
  <c r="P141" i="49"/>
  <c r="P142" i="49"/>
  <c r="P143" i="49"/>
  <c r="P144" i="49"/>
  <c r="P145" i="49"/>
  <c r="P146" i="49"/>
  <c r="P147" i="49"/>
  <c r="P148" i="49"/>
  <c r="P149" i="49"/>
  <c r="P150" i="49"/>
  <c r="P151" i="49"/>
  <c r="P152" i="49"/>
  <c r="P153" i="49"/>
  <c r="P154" i="49"/>
  <c r="P155" i="49"/>
  <c r="P156" i="49"/>
  <c r="P157" i="49"/>
  <c r="P158" i="49"/>
  <c r="P159" i="49"/>
  <c r="P160" i="49"/>
  <c r="P161" i="49"/>
  <c r="P162" i="49"/>
  <c r="P163" i="49"/>
  <c r="P164" i="49"/>
  <c r="P165" i="49"/>
  <c r="P166" i="49"/>
  <c r="P167" i="49"/>
  <c r="P168" i="49"/>
  <c r="P169" i="49"/>
  <c r="P170" i="49"/>
  <c r="P171" i="49"/>
  <c r="P172" i="49"/>
  <c r="P173" i="49"/>
  <c r="P174" i="49"/>
  <c r="P175" i="49"/>
  <c r="P176" i="49"/>
  <c r="P177" i="49"/>
  <c r="P178" i="49"/>
  <c r="P179" i="49"/>
  <c r="P180" i="49"/>
  <c r="P181" i="49"/>
  <c r="P182" i="49"/>
  <c r="P183" i="49"/>
  <c r="P184" i="49"/>
  <c r="P185" i="49"/>
  <c r="P186" i="49"/>
  <c r="P187" i="49"/>
  <c r="P188" i="49"/>
  <c r="P189" i="49"/>
  <c r="P190" i="49"/>
  <c r="P191" i="49"/>
  <c r="P192" i="49"/>
  <c r="P193" i="49"/>
  <c r="P194" i="49"/>
  <c r="P195" i="49"/>
  <c r="P196" i="49"/>
  <c r="P197" i="49"/>
  <c r="P198" i="49"/>
  <c r="P199" i="49"/>
  <c r="P200" i="49"/>
  <c r="P201" i="49"/>
  <c r="P202" i="49"/>
  <c r="P203" i="49"/>
  <c r="P204" i="49"/>
  <c r="P205" i="49"/>
  <c r="P206" i="49"/>
  <c r="P207" i="49"/>
  <c r="P208" i="49"/>
  <c r="P209" i="49"/>
  <c r="P210" i="49"/>
  <c r="P211" i="49"/>
  <c r="P212" i="49"/>
  <c r="P213" i="49"/>
  <c r="P214" i="49"/>
  <c r="P215" i="49"/>
  <c r="P216" i="49"/>
  <c r="P217" i="49"/>
  <c r="P218" i="49"/>
  <c r="P219" i="49"/>
  <c r="P220" i="49"/>
  <c r="P221" i="49"/>
  <c r="P222" i="49"/>
  <c r="P223" i="49"/>
  <c r="P224" i="49"/>
  <c r="P225" i="49"/>
  <c r="P226" i="49"/>
  <c r="P227" i="49"/>
  <c r="P228" i="49"/>
  <c r="P229" i="49"/>
  <c r="P230" i="49"/>
  <c r="P231" i="49"/>
  <c r="P232" i="49"/>
  <c r="P233" i="49"/>
  <c r="P234" i="49"/>
  <c r="P235" i="49"/>
  <c r="P236" i="49"/>
  <c r="P237" i="49"/>
  <c r="P238" i="49"/>
  <c r="P239" i="49"/>
  <c r="P240" i="49"/>
  <c r="P241" i="49"/>
  <c r="P242" i="49"/>
  <c r="P243" i="49"/>
  <c r="P244" i="49"/>
  <c r="P245" i="49"/>
  <c r="P246" i="49"/>
  <c r="P247" i="49"/>
  <c r="P248" i="49"/>
  <c r="P249" i="49"/>
  <c r="P250" i="49"/>
  <c r="P251" i="49"/>
  <c r="P252" i="49"/>
  <c r="P253" i="49"/>
  <c r="P254" i="49"/>
  <c r="P255" i="49"/>
  <c r="P256" i="49"/>
  <c r="P257" i="49"/>
  <c r="P258" i="49"/>
  <c r="P259" i="49"/>
  <c r="P260" i="49"/>
  <c r="P261" i="49"/>
  <c r="P262" i="49"/>
  <c r="P263" i="49"/>
  <c r="P264" i="49"/>
  <c r="P265" i="49"/>
  <c r="P266" i="49"/>
  <c r="P267" i="49"/>
  <c r="P268" i="49"/>
  <c r="P269" i="49"/>
  <c r="P270" i="49"/>
  <c r="P271" i="49"/>
  <c r="P272" i="49"/>
  <c r="P273" i="49"/>
  <c r="P274" i="49"/>
  <c r="P275" i="49"/>
  <c r="P276" i="49"/>
  <c r="P277" i="49"/>
  <c r="P278" i="49"/>
  <c r="P279" i="49"/>
  <c r="P280" i="49"/>
  <c r="P281" i="49"/>
  <c r="P282" i="49"/>
  <c r="P283" i="49"/>
  <c r="P284" i="49"/>
  <c r="P285" i="49"/>
  <c r="P286" i="49"/>
  <c r="P287" i="49"/>
  <c r="P288" i="49"/>
  <c r="P289" i="49"/>
  <c r="P290" i="49"/>
  <c r="P291" i="49"/>
  <c r="P292" i="49"/>
  <c r="P293" i="49"/>
  <c r="P294" i="49"/>
  <c r="P295" i="49"/>
  <c r="P296" i="49"/>
  <c r="P297" i="49"/>
  <c r="P298" i="49"/>
  <c r="P299" i="49"/>
  <c r="P300" i="49"/>
  <c r="P301" i="49"/>
  <c r="P302" i="49"/>
  <c r="P303" i="49"/>
  <c r="P304" i="49"/>
  <c r="P305" i="49"/>
  <c r="P306" i="49"/>
  <c r="P307" i="49"/>
  <c r="P308" i="49"/>
  <c r="P309" i="49"/>
  <c r="P310" i="49"/>
  <c r="P311" i="49"/>
  <c r="P312" i="49"/>
  <c r="P313" i="49"/>
  <c r="P314" i="49"/>
  <c r="P315" i="49"/>
  <c r="P316" i="49"/>
  <c r="P317" i="49"/>
  <c r="P318" i="49"/>
  <c r="P319" i="49"/>
  <c r="P320" i="49"/>
  <c r="P321" i="49"/>
  <c r="P322" i="49"/>
  <c r="P323" i="49"/>
  <c r="P324" i="49"/>
  <c r="P325" i="49"/>
  <c r="P326" i="49"/>
  <c r="P327" i="49"/>
  <c r="P328" i="49"/>
  <c r="P329" i="49"/>
  <c r="P330" i="49"/>
  <c r="P331" i="49"/>
  <c r="P332" i="49"/>
  <c r="P333" i="49"/>
  <c r="P334" i="49"/>
  <c r="P335" i="49"/>
  <c r="P336" i="49"/>
  <c r="P337" i="49"/>
  <c r="P338" i="49"/>
  <c r="P339" i="49"/>
  <c r="P340" i="49"/>
  <c r="P341" i="49"/>
  <c r="P342" i="49"/>
  <c r="P343" i="49"/>
  <c r="P344" i="49"/>
  <c r="P345" i="49"/>
  <c r="P346" i="49"/>
  <c r="P347" i="49"/>
  <c r="P348" i="49"/>
  <c r="P349" i="49"/>
  <c r="P350" i="49"/>
  <c r="P5" i="49"/>
  <c r="O6" i="49"/>
  <c r="D10" i="45" s="1"/>
  <c r="D5" i="53" s="1"/>
  <c r="O7" i="49"/>
  <c r="D11" i="45" s="1"/>
  <c r="D6" i="53" s="1"/>
  <c r="O8" i="49"/>
  <c r="D12" i="45" s="1"/>
  <c r="D7" i="53" s="1"/>
  <c r="O9" i="49"/>
  <c r="D13" i="45" s="1"/>
  <c r="D8" i="53" s="1"/>
  <c r="O10" i="49"/>
  <c r="D14" i="45" s="1"/>
  <c r="D9" i="53" s="1"/>
  <c r="O11" i="49"/>
  <c r="D15" i="45" s="1"/>
  <c r="D10" i="53" s="1"/>
  <c r="O12" i="49"/>
  <c r="D16" i="45" s="1"/>
  <c r="D11" i="53" s="1"/>
  <c r="O13" i="49"/>
  <c r="D17" i="45" s="1"/>
  <c r="D12" i="53" s="1"/>
  <c r="O14" i="49"/>
  <c r="D18" i="45" s="1"/>
  <c r="D13" i="53" s="1"/>
  <c r="O15" i="49"/>
  <c r="D19" i="45" s="1"/>
  <c r="D14" i="53" s="1"/>
  <c r="O16" i="49"/>
  <c r="D20" i="45" s="1"/>
  <c r="D15" i="53" s="1"/>
  <c r="O17" i="49"/>
  <c r="D21" i="45" s="1"/>
  <c r="D16" i="53" s="1"/>
  <c r="O18" i="49"/>
  <c r="D22" i="45" s="1"/>
  <c r="D17" i="53" s="1"/>
  <c r="O19" i="49"/>
  <c r="D23" i="45" s="1"/>
  <c r="D18" i="53" s="1"/>
  <c r="O20" i="49"/>
  <c r="D24" i="45" s="1"/>
  <c r="D19" i="53" s="1"/>
  <c r="O21" i="49"/>
  <c r="D25" i="45" s="1"/>
  <c r="D20" i="53" s="1"/>
  <c r="O22" i="49"/>
  <c r="D26" i="45" s="1"/>
  <c r="D21" i="53" s="1"/>
  <c r="O23" i="49"/>
  <c r="D27" i="45" s="1"/>
  <c r="D22" i="53" s="1"/>
  <c r="O24" i="49"/>
  <c r="D28" i="45" s="1"/>
  <c r="D23" i="53" s="1"/>
  <c r="O25" i="49"/>
  <c r="D29" i="45" s="1"/>
  <c r="D24" i="53" s="1"/>
  <c r="O26" i="49"/>
  <c r="D30" i="45" s="1"/>
  <c r="D25" i="53" s="1"/>
  <c r="O27" i="49"/>
  <c r="D31" i="45" s="1"/>
  <c r="D26" i="53" s="1"/>
  <c r="O28" i="49"/>
  <c r="D32" i="45" s="1"/>
  <c r="D27" i="53" s="1"/>
  <c r="O29" i="49"/>
  <c r="D33" i="45" s="1"/>
  <c r="D28" i="53" s="1"/>
  <c r="O30" i="49"/>
  <c r="D34" i="45" s="1"/>
  <c r="D29" i="53" s="1"/>
  <c r="O31" i="49"/>
  <c r="D35" i="45" s="1"/>
  <c r="D30" i="53" s="1"/>
  <c r="O32" i="49"/>
  <c r="D36" i="45" s="1"/>
  <c r="D31" i="53" s="1"/>
  <c r="O33" i="49"/>
  <c r="D37" i="45" s="1"/>
  <c r="D32" i="53" s="1"/>
  <c r="O34" i="49"/>
  <c r="D38" i="45" s="1"/>
  <c r="D33" i="53" s="1"/>
  <c r="O35" i="49"/>
  <c r="D39" i="45" s="1"/>
  <c r="D34" i="53" s="1"/>
  <c r="O36" i="49"/>
  <c r="D40" i="45" s="1"/>
  <c r="D35" i="53" s="1"/>
  <c r="O37" i="49"/>
  <c r="D41" i="45" s="1"/>
  <c r="D36" i="53" s="1"/>
  <c r="O38" i="49"/>
  <c r="D42" i="45" s="1"/>
  <c r="D37" i="53" s="1"/>
  <c r="O39" i="49"/>
  <c r="D43" i="45" s="1"/>
  <c r="D38" i="53" s="1"/>
  <c r="O40" i="49"/>
  <c r="D44" i="45" s="1"/>
  <c r="D39" i="53" s="1"/>
  <c r="O41" i="49"/>
  <c r="D45" i="45" s="1"/>
  <c r="D40" i="53" s="1"/>
  <c r="O42" i="49"/>
  <c r="D46" i="45" s="1"/>
  <c r="D41" i="53" s="1"/>
  <c r="O43" i="49"/>
  <c r="D47" i="45" s="1"/>
  <c r="D42" i="53" s="1"/>
  <c r="O44" i="49"/>
  <c r="D48" i="45" s="1"/>
  <c r="D43" i="53" s="1"/>
  <c r="O45" i="49"/>
  <c r="D49" i="45" s="1"/>
  <c r="D44" i="53" s="1"/>
  <c r="O46" i="49"/>
  <c r="D50" i="45" s="1"/>
  <c r="D45" i="53" s="1"/>
  <c r="O47" i="49"/>
  <c r="D51" i="45" s="1"/>
  <c r="D46" i="53" s="1"/>
  <c r="O48" i="49"/>
  <c r="D52" i="45" s="1"/>
  <c r="D47" i="53" s="1"/>
  <c r="O49" i="49"/>
  <c r="D53" i="45" s="1"/>
  <c r="D48" i="53" s="1"/>
  <c r="O50" i="49"/>
  <c r="D54" i="45" s="1"/>
  <c r="D49" i="53" s="1"/>
  <c r="O51" i="49"/>
  <c r="D55" i="45" s="1"/>
  <c r="D50" i="53" s="1"/>
  <c r="O52" i="49"/>
  <c r="D56" i="45" s="1"/>
  <c r="D51" i="53" s="1"/>
  <c r="O53" i="49"/>
  <c r="D57" i="45" s="1"/>
  <c r="D52" i="53" s="1"/>
  <c r="O54" i="49"/>
  <c r="D58" i="45" s="1"/>
  <c r="D53" i="53" s="1"/>
  <c r="O55" i="49"/>
  <c r="D59" i="45" s="1"/>
  <c r="D54" i="53" s="1"/>
  <c r="O56" i="49"/>
  <c r="D60" i="45" s="1"/>
  <c r="D55" i="53" s="1"/>
  <c r="O57" i="49"/>
  <c r="D61" i="45" s="1"/>
  <c r="D56" i="53" s="1"/>
  <c r="O58" i="49"/>
  <c r="D62" i="45" s="1"/>
  <c r="D57" i="53" s="1"/>
  <c r="O59" i="49"/>
  <c r="D63" i="45" s="1"/>
  <c r="D58" i="53" s="1"/>
  <c r="O60" i="49"/>
  <c r="D64" i="45" s="1"/>
  <c r="D59" i="53" s="1"/>
  <c r="O61" i="49"/>
  <c r="D65" i="45" s="1"/>
  <c r="D60" i="53" s="1"/>
  <c r="O62" i="49"/>
  <c r="D66" i="45" s="1"/>
  <c r="D61" i="53" s="1"/>
  <c r="O63" i="49"/>
  <c r="D67" i="45" s="1"/>
  <c r="D62" i="53" s="1"/>
  <c r="O64" i="49"/>
  <c r="D68" i="45" s="1"/>
  <c r="D63" i="53" s="1"/>
  <c r="O65" i="49"/>
  <c r="D69" i="45" s="1"/>
  <c r="D64" i="53" s="1"/>
  <c r="O66" i="49"/>
  <c r="D70" i="45" s="1"/>
  <c r="D65" i="53" s="1"/>
  <c r="O67" i="49"/>
  <c r="D71" i="45" s="1"/>
  <c r="D66" i="53" s="1"/>
  <c r="O68" i="49"/>
  <c r="D72" i="45" s="1"/>
  <c r="D67" i="53" s="1"/>
  <c r="O69" i="49"/>
  <c r="D73" i="45" s="1"/>
  <c r="D68" i="53" s="1"/>
  <c r="O70" i="49"/>
  <c r="D74" i="45" s="1"/>
  <c r="D69" i="53" s="1"/>
  <c r="O71" i="49"/>
  <c r="D75" i="45" s="1"/>
  <c r="D70" i="53" s="1"/>
  <c r="O72" i="49"/>
  <c r="D76" i="45" s="1"/>
  <c r="D71" i="53" s="1"/>
  <c r="O73" i="49"/>
  <c r="D77" i="45" s="1"/>
  <c r="D72" i="53" s="1"/>
  <c r="O74" i="49"/>
  <c r="D78" i="45" s="1"/>
  <c r="D73" i="53" s="1"/>
  <c r="O75" i="49"/>
  <c r="D79" i="45" s="1"/>
  <c r="D74" i="53" s="1"/>
  <c r="O76" i="49"/>
  <c r="D80" i="45" s="1"/>
  <c r="D75" i="53" s="1"/>
  <c r="O77" i="49"/>
  <c r="D81" i="45" s="1"/>
  <c r="D76" i="53" s="1"/>
  <c r="O78" i="49"/>
  <c r="D82" i="45" s="1"/>
  <c r="D77" i="53" s="1"/>
  <c r="O79" i="49"/>
  <c r="D83" i="45" s="1"/>
  <c r="D78" i="53" s="1"/>
  <c r="O80" i="49"/>
  <c r="D84" i="45" s="1"/>
  <c r="D79" i="53" s="1"/>
  <c r="O81" i="49"/>
  <c r="D85" i="45" s="1"/>
  <c r="D80" i="53" s="1"/>
  <c r="O82" i="49"/>
  <c r="D86" i="45" s="1"/>
  <c r="D81" i="53" s="1"/>
  <c r="O83" i="49"/>
  <c r="D87" i="45" s="1"/>
  <c r="D82" i="53" s="1"/>
  <c r="O84" i="49"/>
  <c r="D88" i="45" s="1"/>
  <c r="D83" i="53" s="1"/>
  <c r="O85" i="49"/>
  <c r="D89" i="45" s="1"/>
  <c r="D84" i="53" s="1"/>
  <c r="O86" i="49"/>
  <c r="D90" i="45" s="1"/>
  <c r="D85" i="53" s="1"/>
  <c r="O87" i="49"/>
  <c r="D91" i="45" s="1"/>
  <c r="D86" i="53" s="1"/>
  <c r="O88" i="49"/>
  <c r="D92" i="45" s="1"/>
  <c r="D87" i="53" s="1"/>
  <c r="O89" i="49"/>
  <c r="D93" i="45" s="1"/>
  <c r="D88" i="53" s="1"/>
  <c r="O90" i="49"/>
  <c r="D94" i="45" s="1"/>
  <c r="D89" i="53" s="1"/>
  <c r="O91" i="49"/>
  <c r="D95" i="45" s="1"/>
  <c r="D90" i="53" s="1"/>
  <c r="O92" i="49"/>
  <c r="D96" i="45" s="1"/>
  <c r="D91" i="53" s="1"/>
  <c r="O93" i="49"/>
  <c r="D97" i="45" s="1"/>
  <c r="D92" i="53" s="1"/>
  <c r="O94" i="49"/>
  <c r="D98" i="45" s="1"/>
  <c r="D93" i="53" s="1"/>
  <c r="O95" i="49"/>
  <c r="D99" i="45" s="1"/>
  <c r="D94" i="53" s="1"/>
  <c r="O96" i="49"/>
  <c r="D100" i="45" s="1"/>
  <c r="D95" i="53" s="1"/>
  <c r="O97" i="49"/>
  <c r="D101" i="45" s="1"/>
  <c r="D96" i="53" s="1"/>
  <c r="O98" i="49"/>
  <c r="D102" i="45" s="1"/>
  <c r="D97" i="53" s="1"/>
  <c r="O99" i="49"/>
  <c r="D103" i="45" s="1"/>
  <c r="D98" i="53" s="1"/>
  <c r="O100" i="49"/>
  <c r="D104" i="45" s="1"/>
  <c r="D99" i="53" s="1"/>
  <c r="O101" i="49"/>
  <c r="D105" i="45" s="1"/>
  <c r="D100" i="53" s="1"/>
  <c r="O102" i="49"/>
  <c r="D106" i="45" s="1"/>
  <c r="D101" i="53" s="1"/>
  <c r="O103" i="49"/>
  <c r="D107" i="45" s="1"/>
  <c r="D102" i="53" s="1"/>
  <c r="O104" i="49"/>
  <c r="D108" i="45" s="1"/>
  <c r="D103" i="53" s="1"/>
  <c r="O105" i="49"/>
  <c r="D109" i="45" s="1"/>
  <c r="D104" i="53" s="1"/>
  <c r="O106" i="49"/>
  <c r="D110" i="45" s="1"/>
  <c r="D105" i="53" s="1"/>
  <c r="O107" i="49"/>
  <c r="D111" i="45" s="1"/>
  <c r="D106" i="53" s="1"/>
  <c r="O108" i="49"/>
  <c r="D112" i="45" s="1"/>
  <c r="D107" i="53" s="1"/>
  <c r="O109" i="49"/>
  <c r="D113" i="45" s="1"/>
  <c r="D108" i="53" s="1"/>
  <c r="O110" i="49"/>
  <c r="D114" i="45" s="1"/>
  <c r="D109" i="53" s="1"/>
  <c r="O111" i="49"/>
  <c r="D115" i="45" s="1"/>
  <c r="D110" i="53" s="1"/>
  <c r="O112" i="49"/>
  <c r="D116" i="45" s="1"/>
  <c r="D111" i="53" s="1"/>
  <c r="O113" i="49"/>
  <c r="D117" i="45" s="1"/>
  <c r="D112" i="53" s="1"/>
  <c r="O114" i="49"/>
  <c r="D118" i="45" s="1"/>
  <c r="D113" i="53" s="1"/>
  <c r="O115" i="49"/>
  <c r="D119" i="45" s="1"/>
  <c r="D114" i="53" s="1"/>
  <c r="O116" i="49"/>
  <c r="D120" i="45" s="1"/>
  <c r="D115" i="53" s="1"/>
  <c r="O117" i="49"/>
  <c r="D121" i="45" s="1"/>
  <c r="D116" i="53" s="1"/>
  <c r="O118" i="49"/>
  <c r="D122" i="45" s="1"/>
  <c r="D117" i="53" s="1"/>
  <c r="O119" i="49"/>
  <c r="D123" i="45" s="1"/>
  <c r="D118" i="53" s="1"/>
  <c r="O120" i="49"/>
  <c r="D124" i="45" s="1"/>
  <c r="D119" i="53" s="1"/>
  <c r="O121" i="49"/>
  <c r="D125" i="45" s="1"/>
  <c r="D120" i="53" s="1"/>
  <c r="O122" i="49"/>
  <c r="D126" i="45" s="1"/>
  <c r="D121" i="53" s="1"/>
  <c r="O123" i="49"/>
  <c r="D127" i="45" s="1"/>
  <c r="D122" i="53" s="1"/>
  <c r="O124" i="49"/>
  <c r="D128" i="45" s="1"/>
  <c r="D123" i="53" s="1"/>
  <c r="O125" i="49"/>
  <c r="D129" i="45" s="1"/>
  <c r="D124" i="53" s="1"/>
  <c r="O126" i="49"/>
  <c r="D130" i="45" s="1"/>
  <c r="D125" i="53" s="1"/>
  <c r="O127" i="49"/>
  <c r="D131" i="45" s="1"/>
  <c r="D126" i="53" s="1"/>
  <c r="O128" i="49"/>
  <c r="D132" i="45" s="1"/>
  <c r="D127" i="53" s="1"/>
  <c r="O129" i="49"/>
  <c r="D133" i="45" s="1"/>
  <c r="D128" i="53" s="1"/>
  <c r="O130" i="49"/>
  <c r="D134" i="45" s="1"/>
  <c r="D129" i="53" s="1"/>
  <c r="O131" i="49"/>
  <c r="D135" i="45" s="1"/>
  <c r="D130" i="53" s="1"/>
  <c r="O132" i="49"/>
  <c r="D136" i="45" s="1"/>
  <c r="D131" i="53" s="1"/>
  <c r="O133" i="49"/>
  <c r="D137" i="45" s="1"/>
  <c r="D132" i="53" s="1"/>
  <c r="O134" i="49"/>
  <c r="D138" i="45" s="1"/>
  <c r="D133" i="53" s="1"/>
  <c r="O135" i="49"/>
  <c r="D139" i="45" s="1"/>
  <c r="D134" i="53" s="1"/>
  <c r="O136" i="49"/>
  <c r="D140" i="45" s="1"/>
  <c r="D135" i="53" s="1"/>
  <c r="O137" i="49"/>
  <c r="D141" i="45" s="1"/>
  <c r="D136" i="53" s="1"/>
  <c r="O138" i="49"/>
  <c r="D142" i="45" s="1"/>
  <c r="D137" i="53" s="1"/>
  <c r="O139" i="49"/>
  <c r="D143" i="45" s="1"/>
  <c r="D138" i="53" s="1"/>
  <c r="O140" i="49"/>
  <c r="D144" i="45" s="1"/>
  <c r="D139" i="53" s="1"/>
  <c r="O141" i="49"/>
  <c r="D145" i="45" s="1"/>
  <c r="D140" i="53" s="1"/>
  <c r="O142" i="49"/>
  <c r="D146" i="45" s="1"/>
  <c r="D141" i="53" s="1"/>
  <c r="O143" i="49"/>
  <c r="D147" i="45" s="1"/>
  <c r="D142" i="53" s="1"/>
  <c r="O144" i="49"/>
  <c r="D148" i="45" s="1"/>
  <c r="D143" i="53" s="1"/>
  <c r="O145" i="49"/>
  <c r="D149" i="45" s="1"/>
  <c r="D144" i="53" s="1"/>
  <c r="O146" i="49"/>
  <c r="D150" i="45" s="1"/>
  <c r="D145" i="53" s="1"/>
  <c r="O147" i="49"/>
  <c r="D151" i="45" s="1"/>
  <c r="D146" i="53" s="1"/>
  <c r="O148" i="49"/>
  <c r="D152" i="45" s="1"/>
  <c r="D147" i="53" s="1"/>
  <c r="O149" i="49"/>
  <c r="D153" i="45" s="1"/>
  <c r="D148" i="53" s="1"/>
  <c r="O150" i="49"/>
  <c r="D154" i="45" s="1"/>
  <c r="D149" i="53" s="1"/>
  <c r="O151" i="49"/>
  <c r="D155" i="45" s="1"/>
  <c r="D150" i="53" s="1"/>
  <c r="O152" i="49"/>
  <c r="D156" i="45" s="1"/>
  <c r="D151" i="53" s="1"/>
  <c r="O153" i="49"/>
  <c r="D157" i="45" s="1"/>
  <c r="D152" i="53" s="1"/>
  <c r="O154" i="49"/>
  <c r="D158" i="45" s="1"/>
  <c r="D153" i="53" s="1"/>
  <c r="O155" i="49"/>
  <c r="D159" i="45" s="1"/>
  <c r="D154" i="53" s="1"/>
  <c r="O156" i="49"/>
  <c r="D160" i="45" s="1"/>
  <c r="D155" i="53" s="1"/>
  <c r="O157" i="49"/>
  <c r="D161" i="45" s="1"/>
  <c r="D156" i="53" s="1"/>
  <c r="O158" i="49"/>
  <c r="D162" i="45" s="1"/>
  <c r="D157" i="53" s="1"/>
  <c r="O159" i="49"/>
  <c r="D163" i="45" s="1"/>
  <c r="D158" i="53" s="1"/>
  <c r="O160" i="49"/>
  <c r="D164" i="45" s="1"/>
  <c r="D159" i="53" s="1"/>
  <c r="O161" i="49"/>
  <c r="D165" i="45" s="1"/>
  <c r="D160" i="53" s="1"/>
  <c r="O162" i="49"/>
  <c r="D166" i="45" s="1"/>
  <c r="D161" i="53" s="1"/>
  <c r="O163" i="49"/>
  <c r="D167" i="45" s="1"/>
  <c r="D162" i="53" s="1"/>
  <c r="O164" i="49"/>
  <c r="D168" i="45" s="1"/>
  <c r="D163" i="53" s="1"/>
  <c r="O165" i="49"/>
  <c r="D169" i="45" s="1"/>
  <c r="D164" i="53" s="1"/>
  <c r="O166" i="49"/>
  <c r="D170" i="45" s="1"/>
  <c r="D165" i="53" s="1"/>
  <c r="O167" i="49"/>
  <c r="D171" i="45" s="1"/>
  <c r="D166" i="53" s="1"/>
  <c r="O168" i="49"/>
  <c r="D172" i="45" s="1"/>
  <c r="D167" i="53" s="1"/>
  <c r="O169" i="49"/>
  <c r="D173" i="45" s="1"/>
  <c r="D168" i="53" s="1"/>
  <c r="O170" i="49"/>
  <c r="D174" i="45" s="1"/>
  <c r="D169" i="53" s="1"/>
  <c r="O171" i="49"/>
  <c r="D175" i="45" s="1"/>
  <c r="D170" i="53" s="1"/>
  <c r="O172" i="49"/>
  <c r="D176" i="45" s="1"/>
  <c r="D171" i="53" s="1"/>
  <c r="O173" i="49"/>
  <c r="D177" i="45" s="1"/>
  <c r="D172" i="53" s="1"/>
  <c r="O174" i="49"/>
  <c r="D178" i="45" s="1"/>
  <c r="D173" i="53" s="1"/>
  <c r="O175" i="49"/>
  <c r="D179" i="45" s="1"/>
  <c r="D174" i="53" s="1"/>
  <c r="O176" i="49"/>
  <c r="D180" i="45" s="1"/>
  <c r="D175" i="53" s="1"/>
  <c r="O177" i="49"/>
  <c r="D181" i="45" s="1"/>
  <c r="D176" i="53" s="1"/>
  <c r="O178" i="49"/>
  <c r="D182" i="45" s="1"/>
  <c r="D177" i="53" s="1"/>
  <c r="O179" i="49"/>
  <c r="D183" i="45" s="1"/>
  <c r="D178" i="53" s="1"/>
  <c r="O180" i="49"/>
  <c r="D184" i="45" s="1"/>
  <c r="D179" i="53" s="1"/>
  <c r="O181" i="49"/>
  <c r="D185" i="45" s="1"/>
  <c r="D180" i="53" s="1"/>
  <c r="O182" i="49"/>
  <c r="D186" i="45" s="1"/>
  <c r="D181" i="53" s="1"/>
  <c r="O183" i="49"/>
  <c r="D187" i="45" s="1"/>
  <c r="D182" i="53" s="1"/>
  <c r="O184" i="49"/>
  <c r="D188" i="45" s="1"/>
  <c r="D183" i="53" s="1"/>
  <c r="O185" i="49"/>
  <c r="D189" i="45" s="1"/>
  <c r="D184" i="53" s="1"/>
  <c r="O186" i="49"/>
  <c r="D190" i="45" s="1"/>
  <c r="D185" i="53" s="1"/>
  <c r="O187" i="49"/>
  <c r="D191" i="45" s="1"/>
  <c r="D186" i="53" s="1"/>
  <c r="O188" i="49"/>
  <c r="D192" i="45" s="1"/>
  <c r="D187" i="53" s="1"/>
  <c r="O189" i="49"/>
  <c r="D193" i="45" s="1"/>
  <c r="D188" i="53" s="1"/>
  <c r="O190" i="49"/>
  <c r="D194" i="45" s="1"/>
  <c r="D189" i="53" s="1"/>
  <c r="O191" i="49"/>
  <c r="D195" i="45" s="1"/>
  <c r="D190" i="53" s="1"/>
  <c r="O192" i="49"/>
  <c r="D196" i="45" s="1"/>
  <c r="D191" i="53" s="1"/>
  <c r="O193" i="49"/>
  <c r="D197" i="45" s="1"/>
  <c r="D192" i="53" s="1"/>
  <c r="O194" i="49"/>
  <c r="D198" i="45" s="1"/>
  <c r="D193" i="53" s="1"/>
  <c r="O195" i="49"/>
  <c r="D199" i="45" s="1"/>
  <c r="D194" i="53" s="1"/>
  <c r="O196" i="49"/>
  <c r="D200" i="45" s="1"/>
  <c r="D195" i="53" s="1"/>
  <c r="O197" i="49"/>
  <c r="D201" i="45" s="1"/>
  <c r="D196" i="53" s="1"/>
  <c r="O198" i="49"/>
  <c r="D202" i="45" s="1"/>
  <c r="D197" i="53" s="1"/>
  <c r="O199" i="49"/>
  <c r="D203" i="45" s="1"/>
  <c r="D198" i="53" s="1"/>
  <c r="O200" i="49"/>
  <c r="D204" i="45" s="1"/>
  <c r="D199" i="53" s="1"/>
  <c r="O201" i="49"/>
  <c r="D205" i="45" s="1"/>
  <c r="D200" i="53" s="1"/>
  <c r="O202" i="49"/>
  <c r="D206" i="45" s="1"/>
  <c r="D201" i="53" s="1"/>
  <c r="O203" i="49"/>
  <c r="D207" i="45" s="1"/>
  <c r="D202" i="53" s="1"/>
  <c r="O204" i="49"/>
  <c r="D208" i="45" s="1"/>
  <c r="D203" i="53" s="1"/>
  <c r="O205" i="49"/>
  <c r="D209" i="45" s="1"/>
  <c r="D204" i="53" s="1"/>
  <c r="O206" i="49"/>
  <c r="D210" i="45" s="1"/>
  <c r="D205" i="53" s="1"/>
  <c r="O207" i="49"/>
  <c r="D211" i="45" s="1"/>
  <c r="D206" i="53" s="1"/>
  <c r="O208" i="49"/>
  <c r="D212" i="45" s="1"/>
  <c r="D207" i="53" s="1"/>
  <c r="O209" i="49"/>
  <c r="D213" i="45" s="1"/>
  <c r="D208" i="53" s="1"/>
  <c r="O210" i="49"/>
  <c r="D214" i="45" s="1"/>
  <c r="D209" i="53" s="1"/>
  <c r="O211" i="49"/>
  <c r="D215" i="45" s="1"/>
  <c r="D210" i="53" s="1"/>
  <c r="O212" i="49"/>
  <c r="D216" i="45" s="1"/>
  <c r="D211" i="53" s="1"/>
  <c r="O213" i="49"/>
  <c r="D217" i="45" s="1"/>
  <c r="D212" i="53" s="1"/>
  <c r="O214" i="49"/>
  <c r="D218" i="45" s="1"/>
  <c r="D213" i="53" s="1"/>
  <c r="O215" i="49"/>
  <c r="D219" i="45" s="1"/>
  <c r="D214" i="53" s="1"/>
  <c r="O216" i="49"/>
  <c r="D220" i="45" s="1"/>
  <c r="D215" i="53" s="1"/>
  <c r="O217" i="49"/>
  <c r="D221" i="45" s="1"/>
  <c r="D216" i="53" s="1"/>
  <c r="O218" i="49"/>
  <c r="D222" i="45" s="1"/>
  <c r="D217" i="53" s="1"/>
  <c r="O219" i="49"/>
  <c r="D223" i="45" s="1"/>
  <c r="D218" i="53" s="1"/>
  <c r="O220" i="49"/>
  <c r="D224" i="45" s="1"/>
  <c r="D219" i="53" s="1"/>
  <c r="O221" i="49"/>
  <c r="D225" i="45" s="1"/>
  <c r="D220" i="53" s="1"/>
  <c r="O222" i="49"/>
  <c r="D226" i="45" s="1"/>
  <c r="D221" i="53" s="1"/>
  <c r="O223" i="49"/>
  <c r="D227" i="45" s="1"/>
  <c r="D222" i="53" s="1"/>
  <c r="O224" i="49"/>
  <c r="D228" i="45" s="1"/>
  <c r="D223" i="53" s="1"/>
  <c r="O225" i="49"/>
  <c r="D229" i="45" s="1"/>
  <c r="D224" i="53" s="1"/>
  <c r="O226" i="49"/>
  <c r="D230" i="45" s="1"/>
  <c r="D225" i="53" s="1"/>
  <c r="O227" i="49"/>
  <c r="D231" i="45" s="1"/>
  <c r="D226" i="53" s="1"/>
  <c r="O228" i="49"/>
  <c r="D232" i="45" s="1"/>
  <c r="D227" i="53" s="1"/>
  <c r="O229" i="49"/>
  <c r="D233" i="45" s="1"/>
  <c r="D228" i="53" s="1"/>
  <c r="O230" i="49"/>
  <c r="D234" i="45" s="1"/>
  <c r="D229" i="53" s="1"/>
  <c r="O231" i="49"/>
  <c r="D235" i="45" s="1"/>
  <c r="D230" i="53" s="1"/>
  <c r="O232" i="49"/>
  <c r="D236" i="45" s="1"/>
  <c r="D231" i="53" s="1"/>
  <c r="O233" i="49"/>
  <c r="D237" i="45" s="1"/>
  <c r="D232" i="53" s="1"/>
  <c r="O234" i="49"/>
  <c r="D238" i="45" s="1"/>
  <c r="D233" i="53" s="1"/>
  <c r="O235" i="49"/>
  <c r="D239" i="45" s="1"/>
  <c r="D234" i="53" s="1"/>
  <c r="O236" i="49"/>
  <c r="D240" i="45" s="1"/>
  <c r="D235" i="53" s="1"/>
  <c r="O237" i="49"/>
  <c r="D241" i="45" s="1"/>
  <c r="D236" i="53" s="1"/>
  <c r="O238" i="49"/>
  <c r="D242" i="45" s="1"/>
  <c r="D237" i="53" s="1"/>
  <c r="O239" i="49"/>
  <c r="D243" i="45" s="1"/>
  <c r="D238" i="53" s="1"/>
  <c r="O240" i="49"/>
  <c r="D244" i="45" s="1"/>
  <c r="D239" i="53" s="1"/>
  <c r="O241" i="49"/>
  <c r="D245" i="45" s="1"/>
  <c r="D240" i="53" s="1"/>
  <c r="O242" i="49"/>
  <c r="D246" i="45" s="1"/>
  <c r="D241" i="53" s="1"/>
  <c r="O243" i="49"/>
  <c r="D247" i="45" s="1"/>
  <c r="D242" i="53" s="1"/>
  <c r="O244" i="49"/>
  <c r="D248" i="45" s="1"/>
  <c r="D243" i="53" s="1"/>
  <c r="O245" i="49"/>
  <c r="D249" i="45" s="1"/>
  <c r="D244" i="53" s="1"/>
  <c r="O246" i="49"/>
  <c r="D250" i="45" s="1"/>
  <c r="D245" i="53" s="1"/>
  <c r="O247" i="49"/>
  <c r="D251" i="45" s="1"/>
  <c r="D246" i="53" s="1"/>
  <c r="O248" i="49"/>
  <c r="D252" i="45" s="1"/>
  <c r="D247" i="53" s="1"/>
  <c r="O249" i="49"/>
  <c r="D253" i="45" s="1"/>
  <c r="D248" i="53" s="1"/>
  <c r="O250" i="49"/>
  <c r="D254" i="45" s="1"/>
  <c r="D249" i="53" s="1"/>
  <c r="O251" i="49"/>
  <c r="D255" i="45" s="1"/>
  <c r="D250" i="53" s="1"/>
  <c r="O252" i="49"/>
  <c r="D256" i="45" s="1"/>
  <c r="D251" i="53" s="1"/>
  <c r="O253" i="49"/>
  <c r="D257" i="45" s="1"/>
  <c r="D252" i="53" s="1"/>
  <c r="O254" i="49"/>
  <c r="D258" i="45" s="1"/>
  <c r="D253" i="53" s="1"/>
  <c r="O255" i="49"/>
  <c r="D259" i="45" s="1"/>
  <c r="D254" i="53" s="1"/>
  <c r="O256" i="49"/>
  <c r="D260" i="45" s="1"/>
  <c r="O257" i="49"/>
  <c r="D261" i="45" s="1"/>
  <c r="D256" i="53" s="1"/>
  <c r="O258" i="49"/>
  <c r="D262" i="45" s="1"/>
  <c r="D257" i="53" s="1"/>
  <c r="O259" i="49"/>
  <c r="D263" i="45" s="1"/>
  <c r="D258" i="53" s="1"/>
  <c r="O260" i="49"/>
  <c r="D264" i="45" s="1"/>
  <c r="D259" i="53" s="1"/>
  <c r="O261" i="49"/>
  <c r="D265" i="45" s="1"/>
  <c r="D260" i="53" s="1"/>
  <c r="O262" i="49"/>
  <c r="D266" i="45" s="1"/>
  <c r="D261" i="53" s="1"/>
  <c r="O263" i="49"/>
  <c r="D267" i="45" s="1"/>
  <c r="D262" i="53" s="1"/>
  <c r="O264" i="49"/>
  <c r="D268" i="45" s="1"/>
  <c r="D263" i="53" s="1"/>
  <c r="O265" i="49"/>
  <c r="D269" i="45" s="1"/>
  <c r="D264" i="53" s="1"/>
  <c r="O266" i="49"/>
  <c r="D270" i="45" s="1"/>
  <c r="D265" i="53" s="1"/>
  <c r="O267" i="49"/>
  <c r="D271" i="45" s="1"/>
  <c r="D266" i="53" s="1"/>
  <c r="O268" i="49"/>
  <c r="D272" i="45" s="1"/>
  <c r="D267" i="53" s="1"/>
  <c r="O269" i="49"/>
  <c r="D273" i="45" s="1"/>
  <c r="D268" i="53" s="1"/>
  <c r="O270" i="49"/>
  <c r="D274" i="45" s="1"/>
  <c r="D269" i="53" s="1"/>
  <c r="O271" i="49"/>
  <c r="D275" i="45" s="1"/>
  <c r="D270" i="53" s="1"/>
  <c r="O272" i="49"/>
  <c r="D276" i="45" s="1"/>
  <c r="D271" i="53" s="1"/>
  <c r="O273" i="49"/>
  <c r="D277" i="45" s="1"/>
  <c r="D272" i="53" s="1"/>
  <c r="O274" i="49"/>
  <c r="D278" i="45" s="1"/>
  <c r="D273" i="53" s="1"/>
  <c r="O275" i="49"/>
  <c r="D279" i="45" s="1"/>
  <c r="D274" i="53" s="1"/>
  <c r="O276" i="49"/>
  <c r="D280" i="45" s="1"/>
  <c r="D275" i="53" s="1"/>
  <c r="O277" i="49"/>
  <c r="D281" i="45" s="1"/>
  <c r="D276" i="53" s="1"/>
  <c r="O278" i="49"/>
  <c r="D282" i="45" s="1"/>
  <c r="D277" i="53" s="1"/>
  <c r="O279" i="49"/>
  <c r="D283" i="45" s="1"/>
  <c r="D278" i="53" s="1"/>
  <c r="O280" i="49"/>
  <c r="D284" i="45" s="1"/>
  <c r="D279" i="53" s="1"/>
  <c r="O281" i="49"/>
  <c r="D285" i="45" s="1"/>
  <c r="D280" i="53" s="1"/>
  <c r="O282" i="49"/>
  <c r="D286" i="45" s="1"/>
  <c r="D281" i="53" s="1"/>
  <c r="O283" i="49"/>
  <c r="D287" i="45" s="1"/>
  <c r="D282" i="53" s="1"/>
  <c r="O284" i="49"/>
  <c r="D288" i="45" s="1"/>
  <c r="D283" i="53" s="1"/>
  <c r="O285" i="49"/>
  <c r="D289" i="45" s="1"/>
  <c r="D284" i="53" s="1"/>
  <c r="O286" i="49"/>
  <c r="D290" i="45" s="1"/>
  <c r="D285" i="53" s="1"/>
  <c r="O287" i="49"/>
  <c r="D291" i="45" s="1"/>
  <c r="D286" i="53" s="1"/>
  <c r="O288" i="49"/>
  <c r="D292" i="45" s="1"/>
  <c r="D287" i="53" s="1"/>
  <c r="O289" i="49"/>
  <c r="D293" i="45" s="1"/>
  <c r="D288" i="53" s="1"/>
  <c r="O290" i="49"/>
  <c r="D294" i="45" s="1"/>
  <c r="D289" i="53" s="1"/>
  <c r="O291" i="49"/>
  <c r="D295" i="45" s="1"/>
  <c r="D290" i="53" s="1"/>
  <c r="O292" i="49"/>
  <c r="D296" i="45" s="1"/>
  <c r="D291" i="53" s="1"/>
  <c r="O293" i="49"/>
  <c r="D297" i="45" s="1"/>
  <c r="D292" i="53" s="1"/>
  <c r="O294" i="49"/>
  <c r="D298" i="45" s="1"/>
  <c r="D293" i="53" s="1"/>
  <c r="O295" i="49"/>
  <c r="D299" i="45" s="1"/>
  <c r="D294" i="53" s="1"/>
  <c r="O296" i="49"/>
  <c r="D300" i="45" s="1"/>
  <c r="D295" i="53" s="1"/>
  <c r="O297" i="49"/>
  <c r="D301" i="45" s="1"/>
  <c r="D296" i="53" s="1"/>
  <c r="O298" i="49"/>
  <c r="D302" i="45" s="1"/>
  <c r="D297" i="53" s="1"/>
  <c r="O299" i="49"/>
  <c r="D303" i="45" s="1"/>
  <c r="D298" i="53" s="1"/>
  <c r="O300" i="49"/>
  <c r="D304" i="45" s="1"/>
  <c r="D299" i="53" s="1"/>
  <c r="O301" i="49"/>
  <c r="D305" i="45" s="1"/>
  <c r="D300" i="53" s="1"/>
  <c r="O302" i="49"/>
  <c r="D306" i="45" s="1"/>
  <c r="D301" i="53" s="1"/>
  <c r="O303" i="49"/>
  <c r="D307" i="45" s="1"/>
  <c r="D302" i="53" s="1"/>
  <c r="O304" i="49"/>
  <c r="D308" i="45" s="1"/>
  <c r="D303" i="53" s="1"/>
  <c r="O305" i="49"/>
  <c r="D309" i="45" s="1"/>
  <c r="D304" i="53" s="1"/>
  <c r="O306" i="49"/>
  <c r="D310" i="45" s="1"/>
  <c r="D305" i="53" s="1"/>
  <c r="O307" i="49"/>
  <c r="D311" i="45" s="1"/>
  <c r="D306" i="53" s="1"/>
  <c r="O308" i="49"/>
  <c r="D312" i="45" s="1"/>
  <c r="D307" i="53" s="1"/>
  <c r="O309" i="49"/>
  <c r="D313" i="45" s="1"/>
  <c r="D308" i="53" s="1"/>
  <c r="O310" i="49"/>
  <c r="D314" i="45" s="1"/>
  <c r="D309" i="53" s="1"/>
  <c r="O311" i="49"/>
  <c r="D315" i="45" s="1"/>
  <c r="D310" i="53" s="1"/>
  <c r="O312" i="49"/>
  <c r="D316" i="45" s="1"/>
  <c r="D311" i="53" s="1"/>
  <c r="O313" i="49"/>
  <c r="D317" i="45" s="1"/>
  <c r="D312" i="53" s="1"/>
  <c r="O314" i="49"/>
  <c r="D318" i="45" s="1"/>
  <c r="D313" i="53" s="1"/>
  <c r="O315" i="49"/>
  <c r="D319" i="45" s="1"/>
  <c r="D314" i="53" s="1"/>
  <c r="O316" i="49"/>
  <c r="D320" i="45" s="1"/>
  <c r="D315" i="53" s="1"/>
  <c r="O317" i="49"/>
  <c r="D321" i="45" s="1"/>
  <c r="D316" i="53" s="1"/>
  <c r="O318" i="49"/>
  <c r="D322" i="45" s="1"/>
  <c r="D317" i="53" s="1"/>
  <c r="O319" i="49"/>
  <c r="D323" i="45" s="1"/>
  <c r="D318" i="53" s="1"/>
  <c r="O320" i="49"/>
  <c r="D324" i="45" s="1"/>
  <c r="D319" i="53" s="1"/>
  <c r="O321" i="49"/>
  <c r="D325" i="45" s="1"/>
  <c r="D320" i="53" s="1"/>
  <c r="O322" i="49"/>
  <c r="D326" i="45" s="1"/>
  <c r="D321" i="53" s="1"/>
  <c r="O323" i="49"/>
  <c r="D327" i="45" s="1"/>
  <c r="D322" i="53" s="1"/>
  <c r="O324" i="49"/>
  <c r="D328" i="45" s="1"/>
  <c r="D323" i="53" s="1"/>
  <c r="O325" i="49"/>
  <c r="D329" i="45" s="1"/>
  <c r="D324" i="53" s="1"/>
  <c r="O326" i="49"/>
  <c r="D330" i="45" s="1"/>
  <c r="D325" i="53" s="1"/>
  <c r="O327" i="49"/>
  <c r="D331" i="45" s="1"/>
  <c r="D326" i="53" s="1"/>
  <c r="O328" i="49"/>
  <c r="D332" i="45" s="1"/>
  <c r="D327" i="53" s="1"/>
  <c r="O329" i="49"/>
  <c r="D333" i="45" s="1"/>
  <c r="D328" i="53" s="1"/>
  <c r="O330" i="49"/>
  <c r="D334" i="45" s="1"/>
  <c r="D329" i="53" s="1"/>
  <c r="O331" i="49"/>
  <c r="D335" i="45" s="1"/>
  <c r="D330" i="53" s="1"/>
  <c r="O332" i="49"/>
  <c r="D336" i="45" s="1"/>
  <c r="D331" i="53" s="1"/>
  <c r="O333" i="49"/>
  <c r="D337" i="45" s="1"/>
  <c r="D332" i="53" s="1"/>
  <c r="O334" i="49"/>
  <c r="D338" i="45" s="1"/>
  <c r="D333" i="53" s="1"/>
  <c r="O335" i="49"/>
  <c r="D339" i="45" s="1"/>
  <c r="D334" i="53" s="1"/>
  <c r="O336" i="49"/>
  <c r="D340" i="45" s="1"/>
  <c r="D335" i="53" s="1"/>
  <c r="O337" i="49"/>
  <c r="D341" i="45" s="1"/>
  <c r="D336" i="53" s="1"/>
  <c r="O338" i="49"/>
  <c r="D342" i="45" s="1"/>
  <c r="D337" i="53" s="1"/>
  <c r="O339" i="49"/>
  <c r="D343" i="45" s="1"/>
  <c r="D338" i="53" s="1"/>
  <c r="O340" i="49"/>
  <c r="D344" i="45" s="1"/>
  <c r="D339" i="53" s="1"/>
  <c r="O341" i="49"/>
  <c r="D345" i="45" s="1"/>
  <c r="D340" i="53" s="1"/>
  <c r="O342" i="49"/>
  <c r="D346" i="45" s="1"/>
  <c r="D341" i="53" s="1"/>
  <c r="O343" i="49"/>
  <c r="D347" i="45" s="1"/>
  <c r="D342" i="53" s="1"/>
  <c r="O344" i="49"/>
  <c r="D348" i="45" s="1"/>
  <c r="D343" i="53" s="1"/>
  <c r="O345" i="49"/>
  <c r="D349" i="45" s="1"/>
  <c r="D344" i="53" s="1"/>
  <c r="O346" i="49"/>
  <c r="D350" i="45" s="1"/>
  <c r="D345" i="53" s="1"/>
  <c r="O347" i="49"/>
  <c r="D351" i="45" s="1"/>
  <c r="D346" i="53" s="1"/>
  <c r="O348" i="49"/>
  <c r="D352" i="45" s="1"/>
  <c r="D347" i="53" s="1"/>
  <c r="O349" i="49"/>
  <c r="D353" i="45" s="1"/>
  <c r="D348" i="53" s="1"/>
  <c r="O350" i="49"/>
  <c r="D354" i="45" s="1"/>
  <c r="D349" i="53" s="1"/>
  <c r="O5" i="49"/>
  <c r="D9" i="45" s="1"/>
  <c r="D4" i="53" s="1"/>
  <c r="N6" i="49"/>
  <c r="N7" i="49"/>
  <c r="N8" i="49"/>
  <c r="N9" i="49"/>
  <c r="N10" i="49"/>
  <c r="N11" i="49"/>
  <c r="N12" i="49"/>
  <c r="N13" i="49"/>
  <c r="N14" i="49"/>
  <c r="N15" i="49"/>
  <c r="N16" i="49"/>
  <c r="N17" i="49"/>
  <c r="N18" i="49"/>
  <c r="N19" i="49"/>
  <c r="N20" i="49"/>
  <c r="N21" i="49"/>
  <c r="N22" i="49"/>
  <c r="N23" i="49"/>
  <c r="N24" i="49"/>
  <c r="N25" i="49"/>
  <c r="N26" i="49"/>
  <c r="N27" i="49"/>
  <c r="N28" i="49"/>
  <c r="N29" i="49"/>
  <c r="N30" i="49"/>
  <c r="N31" i="49"/>
  <c r="N32" i="49"/>
  <c r="N33" i="49"/>
  <c r="N34" i="49"/>
  <c r="N35" i="49"/>
  <c r="N36" i="49"/>
  <c r="N37" i="49"/>
  <c r="N38" i="49"/>
  <c r="N39" i="49"/>
  <c r="N40" i="49"/>
  <c r="N41" i="49"/>
  <c r="N42" i="49"/>
  <c r="N43" i="49"/>
  <c r="N44" i="49"/>
  <c r="N45" i="49"/>
  <c r="N46" i="49"/>
  <c r="N47" i="49"/>
  <c r="N48" i="49"/>
  <c r="N49" i="49"/>
  <c r="N50" i="49"/>
  <c r="N51" i="49"/>
  <c r="N52" i="49"/>
  <c r="N53" i="49"/>
  <c r="N54" i="49"/>
  <c r="N55" i="49"/>
  <c r="N56" i="49"/>
  <c r="N57" i="49"/>
  <c r="N58" i="49"/>
  <c r="N59" i="49"/>
  <c r="N60" i="49"/>
  <c r="N61" i="49"/>
  <c r="N62" i="49"/>
  <c r="N63" i="49"/>
  <c r="N64" i="49"/>
  <c r="N65" i="49"/>
  <c r="N66" i="49"/>
  <c r="N67" i="49"/>
  <c r="N68" i="49"/>
  <c r="N69" i="49"/>
  <c r="N70" i="49"/>
  <c r="N71" i="49"/>
  <c r="N72" i="49"/>
  <c r="N73" i="49"/>
  <c r="N74" i="49"/>
  <c r="N75" i="49"/>
  <c r="N76" i="49"/>
  <c r="N77" i="49"/>
  <c r="N78" i="49"/>
  <c r="N79" i="49"/>
  <c r="N80" i="49"/>
  <c r="N81" i="49"/>
  <c r="N82" i="49"/>
  <c r="N83" i="49"/>
  <c r="N84" i="49"/>
  <c r="N85" i="49"/>
  <c r="N86" i="49"/>
  <c r="N87" i="49"/>
  <c r="N88" i="49"/>
  <c r="N89" i="49"/>
  <c r="N90" i="49"/>
  <c r="N91" i="49"/>
  <c r="N92" i="49"/>
  <c r="N93" i="49"/>
  <c r="N94" i="49"/>
  <c r="N95" i="49"/>
  <c r="N96" i="49"/>
  <c r="N97" i="49"/>
  <c r="N98" i="49"/>
  <c r="N99" i="49"/>
  <c r="N100" i="49"/>
  <c r="N101" i="49"/>
  <c r="N102" i="49"/>
  <c r="N103" i="49"/>
  <c r="N104" i="49"/>
  <c r="N105" i="49"/>
  <c r="N106" i="49"/>
  <c r="N107" i="49"/>
  <c r="N108" i="49"/>
  <c r="N109" i="49"/>
  <c r="N110" i="49"/>
  <c r="N111" i="49"/>
  <c r="N112" i="49"/>
  <c r="N113" i="49"/>
  <c r="N114" i="49"/>
  <c r="N115" i="49"/>
  <c r="N116" i="49"/>
  <c r="N117" i="49"/>
  <c r="N118" i="49"/>
  <c r="N119" i="49"/>
  <c r="N120" i="49"/>
  <c r="N121" i="49"/>
  <c r="N122" i="49"/>
  <c r="N123" i="49"/>
  <c r="N124" i="49"/>
  <c r="N125" i="49"/>
  <c r="N126" i="49"/>
  <c r="N127" i="49"/>
  <c r="N128" i="49"/>
  <c r="N129" i="49"/>
  <c r="N130" i="49"/>
  <c r="N131" i="49"/>
  <c r="N132" i="49"/>
  <c r="N133" i="49"/>
  <c r="N134" i="49"/>
  <c r="N135" i="49"/>
  <c r="N136" i="49"/>
  <c r="N137" i="49"/>
  <c r="N138" i="49"/>
  <c r="N139" i="49"/>
  <c r="N140" i="49"/>
  <c r="N141" i="49"/>
  <c r="N142" i="49"/>
  <c r="N143" i="49"/>
  <c r="N144" i="49"/>
  <c r="N145" i="49"/>
  <c r="N146" i="49"/>
  <c r="N147" i="49"/>
  <c r="N148" i="49"/>
  <c r="N149" i="49"/>
  <c r="N150" i="49"/>
  <c r="N151" i="49"/>
  <c r="N152" i="49"/>
  <c r="N153" i="49"/>
  <c r="N154" i="49"/>
  <c r="N155" i="49"/>
  <c r="N156" i="49"/>
  <c r="N157" i="49"/>
  <c r="N158" i="49"/>
  <c r="N159" i="49"/>
  <c r="N160" i="49"/>
  <c r="N161" i="49"/>
  <c r="N162" i="49"/>
  <c r="N163" i="49"/>
  <c r="N164" i="49"/>
  <c r="N165" i="49"/>
  <c r="N166" i="49"/>
  <c r="N167" i="49"/>
  <c r="N168" i="49"/>
  <c r="N169" i="49"/>
  <c r="N170" i="49"/>
  <c r="N171" i="49"/>
  <c r="N172" i="49"/>
  <c r="N173" i="49"/>
  <c r="N174" i="49"/>
  <c r="N175" i="49"/>
  <c r="N176" i="49"/>
  <c r="N177" i="49"/>
  <c r="N178" i="49"/>
  <c r="N179" i="49"/>
  <c r="N180" i="49"/>
  <c r="N181" i="49"/>
  <c r="N182" i="49"/>
  <c r="N183" i="49"/>
  <c r="N184" i="49"/>
  <c r="N185" i="49"/>
  <c r="N186" i="49"/>
  <c r="N187" i="49"/>
  <c r="N188" i="49"/>
  <c r="N189" i="49"/>
  <c r="N190" i="49"/>
  <c r="N191" i="49"/>
  <c r="N192" i="49"/>
  <c r="N193" i="49"/>
  <c r="N194" i="49"/>
  <c r="N195" i="49"/>
  <c r="N196" i="49"/>
  <c r="N197" i="49"/>
  <c r="N198" i="49"/>
  <c r="N199" i="49"/>
  <c r="N200" i="49"/>
  <c r="N201" i="49"/>
  <c r="N202" i="49"/>
  <c r="N203" i="49"/>
  <c r="N204" i="49"/>
  <c r="N205" i="49"/>
  <c r="N206" i="49"/>
  <c r="N207" i="49"/>
  <c r="N208" i="49"/>
  <c r="N209" i="49"/>
  <c r="N210" i="49"/>
  <c r="N211" i="49"/>
  <c r="N212" i="49"/>
  <c r="N213" i="49"/>
  <c r="N214" i="49"/>
  <c r="N215" i="49"/>
  <c r="N216" i="49"/>
  <c r="N217" i="49"/>
  <c r="N218" i="49"/>
  <c r="N219" i="49"/>
  <c r="N220" i="49"/>
  <c r="N221" i="49"/>
  <c r="N222" i="49"/>
  <c r="N223" i="49"/>
  <c r="N224" i="49"/>
  <c r="N225" i="49"/>
  <c r="N226" i="49"/>
  <c r="N227" i="49"/>
  <c r="N228" i="49"/>
  <c r="N229" i="49"/>
  <c r="N230" i="49"/>
  <c r="N231" i="49"/>
  <c r="N232" i="49"/>
  <c r="N233" i="49"/>
  <c r="N234" i="49"/>
  <c r="N235" i="49"/>
  <c r="N236" i="49"/>
  <c r="N237" i="49"/>
  <c r="N238" i="49"/>
  <c r="N239" i="49"/>
  <c r="N240" i="49"/>
  <c r="N241" i="49"/>
  <c r="N242" i="49"/>
  <c r="N243" i="49"/>
  <c r="N244" i="49"/>
  <c r="N245" i="49"/>
  <c r="N246" i="49"/>
  <c r="N247" i="49"/>
  <c r="N248" i="49"/>
  <c r="N249" i="49"/>
  <c r="N250" i="49"/>
  <c r="N251" i="49"/>
  <c r="N252" i="49"/>
  <c r="N253" i="49"/>
  <c r="N254" i="49"/>
  <c r="N255" i="49"/>
  <c r="N256" i="49"/>
  <c r="N257" i="49"/>
  <c r="N258" i="49"/>
  <c r="N259" i="49"/>
  <c r="N260" i="49"/>
  <c r="N261" i="49"/>
  <c r="N262" i="49"/>
  <c r="N263" i="49"/>
  <c r="N264" i="49"/>
  <c r="N265" i="49"/>
  <c r="N266" i="49"/>
  <c r="N267" i="49"/>
  <c r="N268" i="49"/>
  <c r="N269" i="49"/>
  <c r="N270" i="49"/>
  <c r="N271" i="49"/>
  <c r="N272" i="49"/>
  <c r="N273" i="49"/>
  <c r="N274" i="49"/>
  <c r="N275" i="49"/>
  <c r="N276" i="49"/>
  <c r="N277" i="49"/>
  <c r="N278" i="49"/>
  <c r="N279" i="49"/>
  <c r="N280" i="49"/>
  <c r="N281" i="49"/>
  <c r="N282" i="49"/>
  <c r="N283" i="49"/>
  <c r="N284" i="49"/>
  <c r="N285" i="49"/>
  <c r="N286" i="49"/>
  <c r="N287" i="49"/>
  <c r="N288" i="49"/>
  <c r="N289" i="49"/>
  <c r="N290" i="49"/>
  <c r="N291" i="49"/>
  <c r="N292" i="49"/>
  <c r="N293" i="49"/>
  <c r="N294" i="49"/>
  <c r="N295" i="49"/>
  <c r="N296" i="49"/>
  <c r="N297" i="49"/>
  <c r="N298" i="49"/>
  <c r="N299" i="49"/>
  <c r="N300" i="49"/>
  <c r="N301" i="49"/>
  <c r="N302" i="49"/>
  <c r="N303" i="49"/>
  <c r="N304" i="49"/>
  <c r="N305" i="49"/>
  <c r="N306" i="49"/>
  <c r="N307" i="49"/>
  <c r="N308" i="49"/>
  <c r="N309" i="49"/>
  <c r="N310" i="49"/>
  <c r="N311" i="49"/>
  <c r="N312" i="49"/>
  <c r="N313" i="49"/>
  <c r="N314" i="49"/>
  <c r="N315" i="49"/>
  <c r="N316" i="49"/>
  <c r="N317" i="49"/>
  <c r="N318" i="49"/>
  <c r="N319" i="49"/>
  <c r="N320" i="49"/>
  <c r="N321" i="49"/>
  <c r="N322" i="49"/>
  <c r="N323" i="49"/>
  <c r="N324" i="49"/>
  <c r="N325" i="49"/>
  <c r="N326" i="49"/>
  <c r="N327" i="49"/>
  <c r="N328" i="49"/>
  <c r="N329" i="49"/>
  <c r="N330" i="49"/>
  <c r="N331" i="49"/>
  <c r="N332" i="49"/>
  <c r="N333" i="49"/>
  <c r="N334" i="49"/>
  <c r="N335" i="49"/>
  <c r="N336" i="49"/>
  <c r="N337" i="49"/>
  <c r="N338" i="49"/>
  <c r="N339" i="49"/>
  <c r="N340" i="49"/>
  <c r="N341" i="49"/>
  <c r="N342" i="49"/>
  <c r="N343" i="49"/>
  <c r="N344" i="49"/>
  <c r="N345" i="49"/>
  <c r="N346" i="49"/>
  <c r="N347" i="49"/>
  <c r="N348" i="49"/>
  <c r="N349" i="49"/>
  <c r="N350" i="49"/>
  <c r="N4" i="49"/>
  <c r="Q8" i="46" s="1"/>
  <c r="N5" i="49"/>
  <c r="M4" i="49"/>
  <c r="L4" i="49"/>
  <c r="K4" i="49"/>
  <c r="P4" i="49"/>
  <c r="O4" i="49"/>
  <c r="D8" i="45" s="1"/>
  <c r="D3" i="53" s="1"/>
  <c r="L3" i="49"/>
  <c r="M3" i="49"/>
  <c r="K3" i="49"/>
  <c r="T9" i="44"/>
  <c r="Z1" i="46"/>
  <c r="AA1" i="46"/>
  <c r="AB1" i="46"/>
  <c r="AC1" i="46"/>
  <c r="AD1" i="46"/>
  <c r="F4" i="49"/>
  <c r="U6" i="49"/>
  <c r="U7" i="49"/>
  <c r="U8" i="49"/>
  <c r="U9" i="49"/>
  <c r="U10" i="49"/>
  <c r="U11" i="49"/>
  <c r="U12" i="49"/>
  <c r="U13" i="49"/>
  <c r="U14" i="49"/>
  <c r="U15" i="49"/>
  <c r="U16" i="49"/>
  <c r="U17" i="49"/>
  <c r="U18" i="49"/>
  <c r="U19" i="49"/>
  <c r="U20" i="49"/>
  <c r="U21" i="49"/>
  <c r="U22" i="49"/>
  <c r="U23" i="49"/>
  <c r="U24" i="49"/>
  <c r="U25" i="49"/>
  <c r="U26" i="49"/>
  <c r="U27" i="49"/>
  <c r="U28" i="49"/>
  <c r="U29" i="49"/>
  <c r="U30" i="49"/>
  <c r="U31" i="49"/>
  <c r="U32" i="49"/>
  <c r="U33" i="49"/>
  <c r="U34" i="49"/>
  <c r="U35" i="49"/>
  <c r="U36" i="49"/>
  <c r="U37" i="49"/>
  <c r="U38" i="49"/>
  <c r="U39" i="49"/>
  <c r="U40" i="49"/>
  <c r="U41" i="49"/>
  <c r="U42" i="49"/>
  <c r="U43" i="49"/>
  <c r="U44" i="49"/>
  <c r="U45" i="49"/>
  <c r="U46" i="49"/>
  <c r="U47" i="49"/>
  <c r="U48" i="49"/>
  <c r="U49" i="49"/>
  <c r="U50" i="49"/>
  <c r="U51" i="49"/>
  <c r="U52" i="49"/>
  <c r="U53" i="49"/>
  <c r="U54" i="49"/>
  <c r="U55" i="49"/>
  <c r="U56" i="49"/>
  <c r="U57" i="49"/>
  <c r="U58" i="49"/>
  <c r="U59" i="49"/>
  <c r="U60" i="49"/>
  <c r="U61" i="49"/>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U107" i="49"/>
  <c r="U108" i="49"/>
  <c r="U109" i="49"/>
  <c r="U110" i="49"/>
  <c r="U111" i="49"/>
  <c r="U112" i="49"/>
  <c r="U113" i="49"/>
  <c r="U114" i="49"/>
  <c r="U115" i="49"/>
  <c r="U116" i="49"/>
  <c r="U117" i="49"/>
  <c r="U118" i="49"/>
  <c r="U119" i="49"/>
  <c r="U120" i="49"/>
  <c r="U121" i="49"/>
  <c r="U122" i="49"/>
  <c r="U123" i="49"/>
  <c r="U124" i="49"/>
  <c r="U125" i="49"/>
  <c r="U126" i="49"/>
  <c r="U127" i="49"/>
  <c r="U128" i="49"/>
  <c r="U129" i="49"/>
  <c r="U130" i="49"/>
  <c r="U131" i="49"/>
  <c r="U132" i="49"/>
  <c r="U133" i="49"/>
  <c r="U134" i="49"/>
  <c r="U135" i="49"/>
  <c r="U136" i="49"/>
  <c r="U137" i="49"/>
  <c r="U138" i="49"/>
  <c r="U139" i="49"/>
  <c r="U140" i="49"/>
  <c r="U141" i="49"/>
  <c r="U142" i="49"/>
  <c r="U143" i="49"/>
  <c r="U144" i="49"/>
  <c r="U145" i="49"/>
  <c r="U146" i="49"/>
  <c r="U147" i="49"/>
  <c r="U148" i="49"/>
  <c r="U149" i="49"/>
  <c r="U150" i="49"/>
  <c r="U151" i="49"/>
  <c r="U152" i="49"/>
  <c r="U153" i="49"/>
  <c r="U154" i="49"/>
  <c r="U155" i="49"/>
  <c r="U156" i="49"/>
  <c r="U157" i="49"/>
  <c r="U158" i="49"/>
  <c r="U159" i="49"/>
  <c r="U160" i="49"/>
  <c r="U161" i="49"/>
  <c r="U162" i="49"/>
  <c r="U163" i="49"/>
  <c r="U164" i="49"/>
  <c r="U165" i="49"/>
  <c r="U166" i="49"/>
  <c r="U167" i="49"/>
  <c r="U168" i="49"/>
  <c r="U169" i="49"/>
  <c r="U170" i="49"/>
  <c r="U171" i="49"/>
  <c r="U172" i="49"/>
  <c r="U173" i="49"/>
  <c r="U174" i="49"/>
  <c r="U175" i="49"/>
  <c r="U176" i="49"/>
  <c r="U177" i="49"/>
  <c r="U178" i="49"/>
  <c r="U179" i="49"/>
  <c r="U180" i="49"/>
  <c r="U181" i="49"/>
  <c r="U182" i="49"/>
  <c r="U183" i="49"/>
  <c r="U184" i="49"/>
  <c r="U185" i="49"/>
  <c r="U186" i="49"/>
  <c r="U187" i="49"/>
  <c r="U188" i="49"/>
  <c r="U189" i="49"/>
  <c r="U190" i="49"/>
  <c r="U191" i="49"/>
  <c r="U192" i="49"/>
  <c r="U193" i="49"/>
  <c r="U194" i="49"/>
  <c r="U195" i="49"/>
  <c r="U196" i="49"/>
  <c r="U197" i="49"/>
  <c r="U198" i="49"/>
  <c r="U199" i="49"/>
  <c r="U200" i="49"/>
  <c r="U201" i="49"/>
  <c r="U202" i="49"/>
  <c r="U203" i="49"/>
  <c r="U204" i="49"/>
  <c r="U205" i="49"/>
  <c r="U206" i="49"/>
  <c r="U207" i="49"/>
  <c r="U208" i="49"/>
  <c r="U209" i="49"/>
  <c r="U210" i="49"/>
  <c r="U211" i="49"/>
  <c r="U212" i="49"/>
  <c r="U213" i="49"/>
  <c r="U214" i="49"/>
  <c r="U215" i="49"/>
  <c r="U216" i="49"/>
  <c r="U217" i="49"/>
  <c r="U218" i="49"/>
  <c r="U219" i="49"/>
  <c r="U220" i="49"/>
  <c r="U221" i="49"/>
  <c r="U222" i="49"/>
  <c r="U223" i="49"/>
  <c r="U224" i="49"/>
  <c r="U225" i="49"/>
  <c r="U226" i="49"/>
  <c r="U227" i="49"/>
  <c r="U228" i="49"/>
  <c r="U229" i="49"/>
  <c r="U230" i="49"/>
  <c r="U231" i="49"/>
  <c r="U232" i="49"/>
  <c r="U233" i="49"/>
  <c r="U234" i="49"/>
  <c r="U235" i="49"/>
  <c r="U236" i="49"/>
  <c r="U237" i="49"/>
  <c r="U238" i="49"/>
  <c r="U239" i="49"/>
  <c r="U240" i="49"/>
  <c r="U241" i="49"/>
  <c r="U242" i="49"/>
  <c r="U243" i="49"/>
  <c r="U244" i="49"/>
  <c r="U245" i="49"/>
  <c r="U246" i="49"/>
  <c r="U247" i="49"/>
  <c r="U248" i="49"/>
  <c r="U249" i="49"/>
  <c r="U250" i="49"/>
  <c r="U251" i="49"/>
  <c r="U252" i="49"/>
  <c r="U253" i="49"/>
  <c r="U254" i="49"/>
  <c r="U255" i="49"/>
  <c r="U256" i="49"/>
  <c r="U257" i="49"/>
  <c r="U258" i="49"/>
  <c r="U259" i="49"/>
  <c r="U260" i="49"/>
  <c r="U261" i="49"/>
  <c r="U262" i="49"/>
  <c r="U263" i="49"/>
  <c r="U264" i="49"/>
  <c r="U265" i="49"/>
  <c r="U266" i="49"/>
  <c r="U267" i="49"/>
  <c r="U268" i="49"/>
  <c r="U269" i="49"/>
  <c r="U270" i="49"/>
  <c r="U271" i="49"/>
  <c r="U272" i="49"/>
  <c r="U273" i="49"/>
  <c r="U274" i="49"/>
  <c r="U275" i="49"/>
  <c r="U276" i="49"/>
  <c r="U277" i="49"/>
  <c r="U278" i="49"/>
  <c r="U279" i="49"/>
  <c r="U280" i="49"/>
  <c r="U281" i="49"/>
  <c r="U282" i="49"/>
  <c r="U283" i="49"/>
  <c r="U284" i="49"/>
  <c r="U285" i="49"/>
  <c r="U286" i="49"/>
  <c r="U287" i="49"/>
  <c r="U288" i="49"/>
  <c r="U289" i="49"/>
  <c r="U290" i="49"/>
  <c r="U291" i="49"/>
  <c r="U292" i="49"/>
  <c r="U293" i="49"/>
  <c r="U294" i="49"/>
  <c r="U295" i="49"/>
  <c r="U296" i="49"/>
  <c r="U297" i="49"/>
  <c r="U298" i="49"/>
  <c r="U299" i="49"/>
  <c r="U300" i="49"/>
  <c r="U301" i="49"/>
  <c r="U302" i="49"/>
  <c r="U303" i="49"/>
  <c r="U304" i="49"/>
  <c r="U305" i="49"/>
  <c r="U306" i="49"/>
  <c r="U307" i="49"/>
  <c r="U308" i="49"/>
  <c r="U309" i="49"/>
  <c r="U310" i="49"/>
  <c r="U311" i="49"/>
  <c r="U312" i="49"/>
  <c r="U313" i="49"/>
  <c r="U314" i="49"/>
  <c r="U315" i="49"/>
  <c r="U316" i="49"/>
  <c r="U317" i="49"/>
  <c r="U318" i="49"/>
  <c r="U319" i="49"/>
  <c r="U320" i="49"/>
  <c r="U321" i="49"/>
  <c r="U322" i="49"/>
  <c r="U323" i="49"/>
  <c r="U324" i="49"/>
  <c r="U325" i="49"/>
  <c r="U326" i="49"/>
  <c r="U327" i="49"/>
  <c r="U328" i="49"/>
  <c r="U329" i="49"/>
  <c r="U330" i="49"/>
  <c r="U331" i="49"/>
  <c r="U332" i="49"/>
  <c r="U333" i="49"/>
  <c r="U334" i="49"/>
  <c r="U335" i="49"/>
  <c r="U336" i="49"/>
  <c r="U337" i="49"/>
  <c r="U338" i="49"/>
  <c r="U339" i="49"/>
  <c r="U340" i="49"/>
  <c r="U341" i="49"/>
  <c r="U342" i="49"/>
  <c r="U343" i="49"/>
  <c r="U344" i="49"/>
  <c r="U345" i="49"/>
  <c r="U346" i="49"/>
  <c r="U347" i="49"/>
  <c r="U348" i="49"/>
  <c r="U349" i="49"/>
  <c r="U350" i="49"/>
  <c r="U5" i="49"/>
  <c r="D9" i="15"/>
  <c r="D8" i="15"/>
  <c r="H36" i="2"/>
  <c r="H35" i="2" s="1"/>
  <c r="H25" i="2"/>
  <c r="H17" i="2"/>
  <c r="K16" i="2"/>
  <c r="H4" i="49"/>
  <c r="G4" i="49"/>
  <c r="V116" i="49"/>
  <c r="V117" i="49"/>
  <c r="V118" i="49"/>
  <c r="V119" i="49"/>
  <c r="V120" i="49"/>
  <c r="V121" i="49"/>
  <c r="V122" i="49"/>
  <c r="V123" i="49"/>
  <c r="V124" i="49"/>
  <c r="V125" i="49"/>
  <c r="V126" i="49"/>
  <c r="V127" i="49"/>
  <c r="V128" i="49"/>
  <c r="V129" i="49"/>
  <c r="V130" i="49"/>
  <c r="V131" i="49"/>
  <c r="V132" i="49"/>
  <c r="V133" i="49"/>
  <c r="V134" i="49"/>
  <c r="V135" i="49"/>
  <c r="V136" i="49"/>
  <c r="V137" i="49"/>
  <c r="V138" i="49"/>
  <c r="V139" i="49"/>
  <c r="V140" i="49"/>
  <c r="V141" i="49"/>
  <c r="V142" i="49"/>
  <c r="V143" i="49"/>
  <c r="V144" i="49"/>
  <c r="V145" i="49"/>
  <c r="V146" i="49"/>
  <c r="V147" i="49"/>
  <c r="V148" i="49"/>
  <c r="V149" i="49"/>
  <c r="V150" i="49"/>
  <c r="V151" i="49"/>
  <c r="V152" i="49"/>
  <c r="V153" i="49"/>
  <c r="V154" i="49"/>
  <c r="V155" i="49"/>
  <c r="V156" i="49"/>
  <c r="V157" i="49"/>
  <c r="V158" i="49"/>
  <c r="V159" i="49"/>
  <c r="V160" i="49"/>
  <c r="V161" i="49"/>
  <c r="V162" i="49"/>
  <c r="V163" i="49"/>
  <c r="V164" i="49"/>
  <c r="V165" i="49"/>
  <c r="V166" i="49"/>
  <c r="V167" i="49"/>
  <c r="V168" i="49"/>
  <c r="V169" i="49"/>
  <c r="V170" i="49"/>
  <c r="V171" i="49"/>
  <c r="V172" i="49"/>
  <c r="V173" i="49"/>
  <c r="V174" i="49"/>
  <c r="V175" i="49"/>
  <c r="V176" i="49"/>
  <c r="V177" i="49"/>
  <c r="V178" i="49"/>
  <c r="V179" i="49"/>
  <c r="V180" i="49"/>
  <c r="V181" i="49"/>
  <c r="V182" i="49"/>
  <c r="V183" i="49"/>
  <c r="V184" i="49"/>
  <c r="V185" i="49"/>
  <c r="V186" i="49"/>
  <c r="V187" i="49"/>
  <c r="V188" i="49"/>
  <c r="V189" i="49"/>
  <c r="V190" i="49"/>
  <c r="V191" i="49"/>
  <c r="V192" i="49"/>
  <c r="V193" i="49"/>
  <c r="V194" i="49"/>
  <c r="V195" i="49"/>
  <c r="V196" i="49"/>
  <c r="V197" i="49"/>
  <c r="V198" i="49"/>
  <c r="V199" i="49"/>
  <c r="V200" i="49"/>
  <c r="V201" i="49"/>
  <c r="V202" i="49"/>
  <c r="V203" i="49"/>
  <c r="V204" i="49"/>
  <c r="V205" i="49"/>
  <c r="V206" i="49"/>
  <c r="V207" i="49"/>
  <c r="V208" i="49"/>
  <c r="V209" i="49"/>
  <c r="V210" i="49"/>
  <c r="V211" i="49"/>
  <c r="V212" i="49"/>
  <c r="V213" i="49"/>
  <c r="V214" i="49"/>
  <c r="V215" i="49"/>
  <c r="V216" i="49"/>
  <c r="V217" i="49"/>
  <c r="V218" i="49"/>
  <c r="V219" i="49"/>
  <c r="V220" i="49"/>
  <c r="V221" i="49"/>
  <c r="V222" i="49"/>
  <c r="V223" i="49"/>
  <c r="V224" i="49"/>
  <c r="V225" i="49"/>
  <c r="V226" i="49"/>
  <c r="V227" i="49"/>
  <c r="V228" i="49"/>
  <c r="V229" i="49"/>
  <c r="V230" i="49"/>
  <c r="V231" i="49"/>
  <c r="V232" i="49"/>
  <c r="V233" i="49"/>
  <c r="V234" i="49"/>
  <c r="V235" i="49"/>
  <c r="V236" i="49"/>
  <c r="V237" i="49"/>
  <c r="V238" i="49"/>
  <c r="V239" i="49"/>
  <c r="V240" i="49"/>
  <c r="V241" i="49"/>
  <c r="V242" i="49"/>
  <c r="V243" i="49"/>
  <c r="V244" i="49"/>
  <c r="V245" i="49"/>
  <c r="V246" i="49"/>
  <c r="V247" i="49"/>
  <c r="V248" i="49"/>
  <c r="V249" i="49"/>
  <c r="V250" i="49"/>
  <c r="V251" i="49"/>
  <c r="V252" i="49"/>
  <c r="V253" i="49"/>
  <c r="V254" i="49"/>
  <c r="V255" i="49"/>
  <c r="V256" i="49"/>
  <c r="V257" i="49"/>
  <c r="V258" i="49"/>
  <c r="V259" i="49"/>
  <c r="V260" i="49"/>
  <c r="V261" i="49"/>
  <c r="V262" i="49"/>
  <c r="V263" i="49"/>
  <c r="V264" i="49"/>
  <c r="V265" i="49"/>
  <c r="V266" i="49"/>
  <c r="V267" i="49"/>
  <c r="V268" i="49"/>
  <c r="V269" i="49"/>
  <c r="V270" i="49"/>
  <c r="V271" i="49"/>
  <c r="V272" i="49"/>
  <c r="V273" i="49"/>
  <c r="V274" i="49"/>
  <c r="V275" i="49"/>
  <c r="V276" i="49"/>
  <c r="V277" i="49"/>
  <c r="V278" i="49"/>
  <c r="V279" i="49"/>
  <c r="V280" i="49"/>
  <c r="V281" i="49"/>
  <c r="V282" i="49"/>
  <c r="V283" i="49"/>
  <c r="V284" i="49"/>
  <c r="V285" i="49"/>
  <c r="V286" i="49"/>
  <c r="V287" i="49"/>
  <c r="V288" i="49"/>
  <c r="V289" i="49"/>
  <c r="V290" i="49"/>
  <c r="V291" i="49"/>
  <c r="V292" i="49"/>
  <c r="V293" i="49"/>
  <c r="V294" i="49"/>
  <c r="V295" i="49"/>
  <c r="V296" i="49"/>
  <c r="V297" i="49"/>
  <c r="V298" i="49"/>
  <c r="V299" i="49"/>
  <c r="V300" i="49"/>
  <c r="V301" i="49"/>
  <c r="V302" i="49"/>
  <c r="V303" i="49"/>
  <c r="V304" i="49"/>
  <c r="V305" i="49"/>
  <c r="V306" i="49"/>
  <c r="V307" i="49"/>
  <c r="V308" i="49"/>
  <c r="V309" i="49"/>
  <c r="V310" i="49"/>
  <c r="V311" i="49"/>
  <c r="V312" i="49"/>
  <c r="V313" i="49"/>
  <c r="V314" i="49"/>
  <c r="V315" i="49"/>
  <c r="V316" i="49"/>
  <c r="V317" i="49"/>
  <c r="V318" i="49"/>
  <c r="V319" i="49"/>
  <c r="V320" i="49"/>
  <c r="V321" i="49"/>
  <c r="V322" i="49"/>
  <c r="V323" i="49"/>
  <c r="V324" i="49"/>
  <c r="V325" i="49"/>
  <c r="V326" i="49"/>
  <c r="V327" i="49"/>
  <c r="V328" i="49"/>
  <c r="V329" i="49"/>
  <c r="V330" i="49"/>
  <c r="V331" i="49"/>
  <c r="V332" i="49"/>
  <c r="V333" i="49"/>
  <c r="V334" i="49"/>
  <c r="V335" i="49"/>
  <c r="V336" i="49"/>
  <c r="V337" i="49"/>
  <c r="V338" i="49"/>
  <c r="V339" i="49"/>
  <c r="V340" i="49"/>
  <c r="V341" i="49"/>
  <c r="V342" i="49"/>
  <c r="V343" i="49"/>
  <c r="V344" i="49"/>
  <c r="V345" i="49"/>
  <c r="V346" i="49"/>
  <c r="V347" i="49"/>
  <c r="V348" i="49"/>
  <c r="V349" i="49"/>
  <c r="V350" i="49"/>
  <c r="M25" i="15"/>
  <c r="M26" i="15"/>
  <c r="M27" i="15"/>
  <c r="M28" i="15"/>
  <c r="M29" i="15"/>
  <c r="M24" i="15"/>
  <c r="L29" i="15"/>
  <c r="K29" i="15"/>
  <c r="I29" i="15"/>
  <c r="O21" i="15"/>
  <c r="B32" i="2"/>
  <c r="J1" i="51" s="1"/>
  <c r="B21" i="2"/>
  <c r="V1" i="46"/>
  <c r="V8" i="46"/>
  <c r="W8" i="46" s="1"/>
  <c r="W328" i="46" l="1"/>
  <c r="W167" i="46"/>
  <c r="W306" i="46"/>
  <c r="W146" i="46"/>
  <c r="W265" i="46"/>
  <c r="W245" i="46"/>
  <c r="W225" i="46"/>
  <c r="W205" i="46"/>
  <c r="W185" i="46"/>
  <c r="W165" i="46"/>
  <c r="W145" i="46"/>
  <c r="W125" i="46"/>
  <c r="W227" i="46"/>
  <c r="W346" i="46"/>
  <c r="W186" i="46"/>
  <c r="W345" i="46"/>
  <c r="W344" i="46"/>
  <c r="W324" i="46"/>
  <c r="W304" i="46"/>
  <c r="W284" i="46"/>
  <c r="W264" i="46"/>
  <c r="W244" i="46"/>
  <c r="W224" i="46"/>
  <c r="W204" i="46"/>
  <c r="W184" i="46"/>
  <c r="W164" i="46"/>
  <c r="W144" i="46"/>
  <c r="W124" i="46"/>
  <c r="W206" i="46"/>
  <c r="W305" i="46"/>
  <c r="W283" i="46"/>
  <c r="W203" i="46"/>
  <c r="W143" i="46"/>
  <c r="W123" i="46"/>
  <c r="W288" i="46"/>
  <c r="W347" i="46"/>
  <c r="W127" i="46"/>
  <c r="W266" i="46"/>
  <c r="W285" i="46"/>
  <c r="W323" i="46"/>
  <c r="W263" i="46"/>
  <c r="W262" i="46"/>
  <c r="W182" i="46"/>
  <c r="W168" i="46"/>
  <c r="W247" i="46"/>
  <c r="W326" i="46"/>
  <c r="W166" i="46"/>
  <c r="W325" i="46"/>
  <c r="W303" i="46"/>
  <c r="W223" i="46"/>
  <c r="W282" i="46"/>
  <c r="W162" i="46"/>
  <c r="W341" i="46"/>
  <c r="W321" i="46"/>
  <c r="W301" i="46"/>
  <c r="W281" i="46"/>
  <c r="W261" i="46"/>
  <c r="W241" i="46"/>
  <c r="W221" i="46"/>
  <c r="W201" i="46"/>
  <c r="W181" i="46"/>
  <c r="W161" i="46"/>
  <c r="W141" i="46"/>
  <c r="W121" i="46"/>
  <c r="W348" i="46"/>
  <c r="W187" i="46"/>
  <c r="W246" i="46"/>
  <c r="W343" i="46"/>
  <c r="W243" i="46"/>
  <c r="W342" i="46"/>
  <c r="W222" i="46"/>
  <c r="W142" i="46"/>
  <c r="W300" i="46"/>
  <c r="W260" i="46"/>
  <c r="W240" i="46"/>
  <c r="W200" i="46"/>
  <c r="W180" i="46"/>
  <c r="W160" i="46"/>
  <c r="W140" i="46"/>
  <c r="W120" i="46"/>
  <c r="W163" i="46"/>
  <c r="W322" i="46"/>
  <c r="W242" i="46"/>
  <c r="W202" i="46"/>
  <c r="W122" i="46"/>
  <c r="W340" i="46"/>
  <c r="W320" i="46"/>
  <c r="W280" i="46"/>
  <c r="W220" i="46"/>
  <c r="W339" i="46"/>
  <c r="W319" i="46"/>
  <c r="W299" i="46"/>
  <c r="W279" i="46"/>
  <c r="W259" i="46"/>
  <c r="W239" i="46"/>
  <c r="W219" i="46"/>
  <c r="W199" i="46"/>
  <c r="W179" i="46"/>
  <c r="W159" i="46"/>
  <c r="W139" i="46"/>
  <c r="W208" i="46"/>
  <c r="W307" i="46"/>
  <c r="W147" i="46"/>
  <c r="W226" i="46"/>
  <c r="W126" i="46"/>
  <c r="W183" i="46"/>
  <c r="W302" i="46"/>
  <c r="W338" i="46"/>
  <c r="W318" i="46"/>
  <c r="W298" i="46"/>
  <c r="W278" i="46"/>
  <c r="W258" i="46"/>
  <c r="W238" i="46"/>
  <c r="W218" i="46"/>
  <c r="W198" i="46"/>
  <c r="W178" i="46"/>
  <c r="W158" i="46"/>
  <c r="W138" i="46"/>
  <c r="W188" i="46"/>
  <c r="W267" i="46"/>
  <c r="W286" i="46"/>
  <c r="W337" i="46"/>
  <c r="W317" i="46"/>
  <c r="W297" i="46"/>
  <c r="W277" i="46"/>
  <c r="W257" i="46"/>
  <c r="W237" i="46"/>
  <c r="W217" i="46"/>
  <c r="W197" i="46"/>
  <c r="W177" i="46"/>
  <c r="W157" i="46"/>
  <c r="W137" i="46"/>
  <c r="W268" i="46"/>
  <c r="W336" i="46"/>
  <c r="W316" i="46"/>
  <c r="W296" i="46"/>
  <c r="W276" i="46"/>
  <c r="W256" i="46"/>
  <c r="W236" i="46"/>
  <c r="W216" i="46"/>
  <c r="W196" i="46"/>
  <c r="W176" i="46"/>
  <c r="W156" i="46"/>
  <c r="W136" i="46"/>
  <c r="W335" i="46"/>
  <c r="W315" i="46"/>
  <c r="W295" i="46"/>
  <c r="W275" i="46"/>
  <c r="W255" i="46"/>
  <c r="W235" i="46"/>
  <c r="W215" i="46"/>
  <c r="W195" i="46"/>
  <c r="W175" i="46"/>
  <c r="W155" i="46"/>
  <c r="W135" i="46"/>
  <c r="W354" i="46"/>
  <c r="W334" i="46"/>
  <c r="W314" i="46"/>
  <c r="W294" i="46"/>
  <c r="W274" i="46"/>
  <c r="W254" i="46"/>
  <c r="W234" i="46"/>
  <c r="W214" i="46"/>
  <c r="W194" i="46"/>
  <c r="W174" i="46"/>
  <c r="W154" i="46"/>
  <c r="W134" i="46"/>
  <c r="W353" i="46"/>
  <c r="W333" i="46"/>
  <c r="W313" i="46"/>
  <c r="W293" i="46"/>
  <c r="W273" i="46"/>
  <c r="W253" i="46"/>
  <c r="W233" i="46"/>
  <c r="W213" i="46"/>
  <c r="W193" i="46"/>
  <c r="W173" i="46"/>
  <c r="W153" i="46"/>
  <c r="W133" i="46"/>
  <c r="W228" i="46"/>
  <c r="W207" i="46"/>
  <c r="W352" i="46"/>
  <c r="W292" i="46"/>
  <c r="W232" i="46"/>
  <c r="W192" i="46"/>
  <c r="W351" i="46"/>
  <c r="W331" i="46"/>
  <c r="W311" i="46"/>
  <c r="W291" i="46"/>
  <c r="W271" i="46"/>
  <c r="W251" i="46"/>
  <c r="W231" i="46"/>
  <c r="W211" i="46"/>
  <c r="W191" i="46"/>
  <c r="W171" i="46"/>
  <c r="W151" i="46"/>
  <c r="W131" i="46"/>
  <c r="W248" i="46"/>
  <c r="W287" i="46"/>
  <c r="W312" i="46"/>
  <c r="W252" i="46"/>
  <c r="W152" i="46"/>
  <c r="W350" i="46"/>
  <c r="W310" i="46"/>
  <c r="W270" i="46"/>
  <c r="W230" i="46"/>
  <c r="W190" i="46"/>
  <c r="W150" i="46"/>
  <c r="W308" i="46"/>
  <c r="W327" i="46"/>
  <c r="W332" i="46"/>
  <c r="W272" i="46"/>
  <c r="W212" i="46"/>
  <c r="W172" i="46"/>
  <c r="W132" i="46"/>
  <c r="W330" i="46"/>
  <c r="W290" i="46"/>
  <c r="W250" i="46"/>
  <c r="W210" i="46"/>
  <c r="W170" i="46"/>
  <c r="W130" i="46"/>
  <c r="W349" i="46"/>
  <c r="W329" i="46"/>
  <c r="W309" i="46"/>
  <c r="W289" i="46"/>
  <c r="W269" i="46"/>
  <c r="W249" i="46"/>
  <c r="W229" i="46"/>
  <c r="W209" i="46"/>
  <c r="W189" i="46"/>
  <c r="W169" i="46"/>
  <c r="W149" i="46"/>
  <c r="W129" i="46"/>
  <c r="W148" i="46"/>
  <c r="W128" i="46"/>
  <c r="V7" i="49"/>
  <c r="V8" i="49"/>
  <c r="V9" i="49"/>
  <c r="V15" i="49"/>
  <c r="V16" i="49"/>
  <c r="V17" i="49"/>
  <c r="V23" i="49"/>
  <c r="V24" i="49"/>
  <c r="V25" i="49"/>
  <c r="V31" i="49"/>
  <c r="V32" i="49"/>
  <c r="V33" i="49"/>
  <c r="V39" i="49"/>
  <c r="V40" i="49"/>
  <c r="V41" i="49"/>
  <c r="V47" i="49"/>
  <c r="V48" i="49"/>
  <c r="V49" i="49"/>
  <c r="V55" i="49"/>
  <c r="V56" i="49"/>
  <c r="V57" i="49"/>
  <c r="V63" i="49"/>
  <c r="V64" i="49"/>
  <c r="V65" i="49"/>
  <c r="V71" i="49"/>
  <c r="V72" i="49"/>
  <c r="V73" i="49"/>
  <c r="V79" i="49"/>
  <c r="V80" i="49"/>
  <c r="V81" i="49"/>
  <c r="V87" i="49"/>
  <c r="V88" i="49"/>
  <c r="V89" i="49"/>
  <c r="V95" i="49"/>
  <c r="V96" i="49"/>
  <c r="V97" i="49"/>
  <c r="V103" i="49"/>
  <c r="V104" i="49"/>
  <c r="V105" i="49"/>
  <c r="V111" i="49"/>
  <c r="V112" i="49"/>
  <c r="V113" i="49"/>
  <c r="I260" i="45"/>
  <c r="D255" i="53"/>
  <c r="H255" i="53" s="1"/>
  <c r="V110" i="49"/>
  <c r="V102" i="49"/>
  <c r="V94" i="49"/>
  <c r="V86" i="49"/>
  <c r="V78" i="49"/>
  <c r="V70" i="49"/>
  <c r="V62" i="49"/>
  <c r="V54" i="49"/>
  <c r="V46" i="49"/>
  <c r="V38" i="49"/>
  <c r="V30" i="49"/>
  <c r="V22" i="49"/>
  <c r="V14" i="49"/>
  <c r="V6" i="49"/>
  <c r="V109" i="49"/>
  <c r="V85" i="49"/>
  <c r="V69" i="49"/>
  <c r="V53" i="49"/>
  <c r="V37" i="49"/>
  <c r="V21" i="49"/>
  <c r="V13" i="49"/>
  <c r="V5" i="49"/>
  <c r="V101" i="49"/>
  <c r="V93" i="49"/>
  <c r="V77" i="49"/>
  <c r="V61" i="49"/>
  <c r="V45" i="49"/>
  <c r="V29" i="49"/>
  <c r="V108" i="49"/>
  <c r="V100" i="49"/>
  <c r="V92" i="49"/>
  <c r="V84" i="49"/>
  <c r="V76" i="49"/>
  <c r="V68" i="49"/>
  <c r="V60" i="49"/>
  <c r="V52" i="49"/>
  <c r="V44" i="49"/>
  <c r="V36" i="49"/>
  <c r="V28" i="49"/>
  <c r="V20" i="49"/>
  <c r="V12" i="49"/>
  <c r="U3" i="49"/>
  <c r="V115" i="49"/>
  <c r="V107" i="49"/>
  <c r="V99" i="49"/>
  <c r="V91" i="49"/>
  <c r="V83" i="49"/>
  <c r="V75" i="49"/>
  <c r="V67" i="49"/>
  <c r="V59" i="49"/>
  <c r="V51" i="49"/>
  <c r="V43" i="49"/>
  <c r="V35" i="49"/>
  <c r="V27" i="49"/>
  <c r="V19" i="49"/>
  <c r="V11" i="49"/>
  <c r="V114" i="49"/>
  <c r="V106" i="49"/>
  <c r="V98" i="49"/>
  <c r="V90" i="49"/>
  <c r="V82" i="49"/>
  <c r="V74" i="49"/>
  <c r="V66" i="49"/>
  <c r="V58" i="49"/>
  <c r="V50" i="49"/>
  <c r="V42" i="49"/>
  <c r="V34" i="49"/>
  <c r="V26" i="49"/>
  <c r="V18" i="49"/>
  <c r="V10" i="49"/>
  <c r="T1" i="44"/>
  <c r="W44" i="46" l="1"/>
  <c r="W75" i="46"/>
  <c r="W99" i="46"/>
  <c r="W94" i="46"/>
  <c r="W24" i="46"/>
  <c r="W25" i="46"/>
  <c r="W93" i="46"/>
  <c r="W68" i="46"/>
  <c r="W43" i="46"/>
  <c r="W13" i="46"/>
  <c r="W100" i="46"/>
  <c r="W105" i="46"/>
  <c r="W78" i="46"/>
  <c r="W114" i="46"/>
  <c r="W119" i="46"/>
  <c r="W110" i="46"/>
  <c r="W12" i="46"/>
  <c r="W111" i="46"/>
  <c r="W40" i="46"/>
  <c r="W86" i="46"/>
  <c r="W102" i="46"/>
  <c r="W67" i="46"/>
  <c r="W37" i="46"/>
  <c r="W48" i="46"/>
  <c r="W73" i="46"/>
  <c r="W56" i="46"/>
  <c r="W90" i="46"/>
  <c r="W41" i="46"/>
  <c r="W36" i="46"/>
  <c r="W85" i="46"/>
  <c r="W20" i="46"/>
  <c r="W57" i="46"/>
  <c r="W60" i="46"/>
  <c r="W80" i="46"/>
  <c r="W29" i="46"/>
  <c r="W69" i="46"/>
  <c r="W118" i="46"/>
  <c r="W91" i="46"/>
  <c r="W23" i="46"/>
  <c r="W26" i="46"/>
  <c r="W55" i="46"/>
  <c r="W62" i="46"/>
  <c r="W16" i="46"/>
  <c r="W117" i="46"/>
  <c r="W89" i="46"/>
  <c r="W64" i="46"/>
  <c r="W14" i="46"/>
  <c r="W19" i="46"/>
  <c r="W17" i="46"/>
  <c r="W32" i="46"/>
  <c r="W116" i="46"/>
  <c r="W113" i="46"/>
  <c r="W31" i="46"/>
  <c r="W88" i="46"/>
  <c r="W59" i="46"/>
  <c r="W96" i="46"/>
  <c r="W104" i="46"/>
  <c r="W53" i="46"/>
  <c r="W71" i="46"/>
  <c r="W45" i="46"/>
  <c r="W98" i="46"/>
  <c r="W72" i="46"/>
  <c r="W35" i="46"/>
  <c r="W39" i="46"/>
  <c r="W109" i="46"/>
  <c r="W108" i="46"/>
  <c r="W112" i="46"/>
  <c r="W107" i="46"/>
  <c r="W52" i="46"/>
  <c r="W27" i="46"/>
  <c r="W97" i="46"/>
  <c r="W70" i="46"/>
  <c r="W15" i="46"/>
  <c r="W10" i="46"/>
  <c r="W47" i="46"/>
  <c r="W84" i="46"/>
  <c r="W63" i="46"/>
  <c r="W83" i="46"/>
  <c r="W28" i="46"/>
  <c r="W50" i="46"/>
  <c r="W30" i="46"/>
  <c r="W33" i="46"/>
  <c r="W49" i="46"/>
  <c r="W9" i="46"/>
  <c r="W92" i="46"/>
  <c r="W61" i="46"/>
  <c r="W11" i="46"/>
  <c r="W115" i="46"/>
  <c r="W18" i="46"/>
  <c r="W34" i="46"/>
  <c r="W42" i="46"/>
  <c r="W22" i="46"/>
  <c r="W79" i="46"/>
  <c r="W58" i="46"/>
  <c r="W77" i="46"/>
  <c r="W38" i="46"/>
  <c r="W87" i="46"/>
  <c r="W66" i="46"/>
  <c r="W46" i="46"/>
  <c r="W95" i="46"/>
  <c r="W65" i="46"/>
  <c r="W74" i="46"/>
  <c r="W101" i="46"/>
  <c r="W76" i="46"/>
  <c r="W51" i="46"/>
  <c r="W21" i="46"/>
  <c r="W106" i="46"/>
  <c r="W54" i="46"/>
  <c r="W103" i="46"/>
  <c r="W81" i="46"/>
  <c r="W82" i="46"/>
  <c r="V3" i="49"/>
  <c r="D24" i="52"/>
  <c r="D2" i="52"/>
  <c r="D31" i="52"/>
  <c r="D28" i="52"/>
  <c r="D34" i="52"/>
  <c r="D43" i="52"/>
  <c r="D22" i="52"/>
  <c r="D3" i="52"/>
  <c r="D9" i="52"/>
  <c r="D12" i="52"/>
  <c r="D32" i="52"/>
  <c r="D25" i="52"/>
  <c r="D36" i="52"/>
  <c r="D35" i="52"/>
  <c r="D10" i="52"/>
  <c r="D26" i="52"/>
  <c r="D15" i="52"/>
  <c r="D27" i="52"/>
  <c r="D40" i="52"/>
  <c r="D44" i="52"/>
  <c r="D18" i="52"/>
  <c r="D37" i="52"/>
  <c r="D39" i="52"/>
  <c r="D20" i="52"/>
  <c r="D41" i="52"/>
  <c r="D38" i="52"/>
  <c r="D8" i="52"/>
  <c r="D16" i="52"/>
  <c r="D4" i="52"/>
  <c r="D42" i="52"/>
  <c r="D30" i="52"/>
  <c r="D21" i="52"/>
  <c r="D11" i="52"/>
  <c r="D14" i="52"/>
  <c r="D23" i="52"/>
  <c r="D45" i="52"/>
  <c r="D29" i="52"/>
  <c r="D13" i="52"/>
  <c r="D7" i="52"/>
  <c r="D5" i="52"/>
  <c r="D17" i="52"/>
  <c r="D33" i="52"/>
  <c r="D19" i="52"/>
  <c r="D46" i="52"/>
  <c r="D6" i="52"/>
  <c r="D9" i="46"/>
  <c r="W4" i="53" s="1"/>
  <c r="D8" i="46"/>
  <c r="W3" i="53" s="1"/>
  <c r="L9" i="46" l="1"/>
  <c r="M9" i="46"/>
  <c r="Q9" i="46"/>
  <c r="H9" i="46"/>
  <c r="G9" i="46"/>
  <c r="Y8" i="44"/>
  <c r="X8" i="44"/>
  <c r="V8" i="45" s="1"/>
  <c r="W8" i="44"/>
  <c r="D54" i="50"/>
  <c r="D55" i="50"/>
  <c r="D56" i="50"/>
  <c r="D57" i="50"/>
  <c r="D58" i="50"/>
  <c r="D59" i="50"/>
  <c r="Y6" i="46" l="1"/>
  <c r="AD1" i="45"/>
  <c r="AE1" i="45"/>
  <c r="AF1" i="45"/>
  <c r="AG1" i="45"/>
  <c r="AC1" i="45"/>
  <c r="K19" i="2"/>
  <c r="H24" i="2"/>
  <c r="AB6" i="45" s="1"/>
  <c r="K18" i="2"/>
  <c r="J2" i="42"/>
  <c r="K2" i="42"/>
  <c r="L2" i="42"/>
  <c r="M2" i="42"/>
  <c r="J3" i="42"/>
  <c r="K3" i="42"/>
  <c r="L3" i="42"/>
  <c r="J4" i="42"/>
  <c r="K4" i="42"/>
  <c r="L4" i="42"/>
  <c r="J5" i="42"/>
  <c r="K5" i="42"/>
  <c r="L5" i="42"/>
  <c r="J6" i="42"/>
  <c r="K6" i="42"/>
  <c r="L6" i="42"/>
  <c r="J7" i="42"/>
  <c r="K7" i="42"/>
  <c r="L7" i="42"/>
  <c r="J8" i="42"/>
  <c r="K8" i="42"/>
  <c r="L8" i="42"/>
  <c r="J9" i="42"/>
  <c r="K9" i="42"/>
  <c r="L9" i="42"/>
  <c r="J10" i="42"/>
  <c r="K10" i="42"/>
  <c r="L10" i="42"/>
  <c r="J11" i="42"/>
  <c r="K11" i="42"/>
  <c r="L11" i="42"/>
  <c r="J12" i="42"/>
  <c r="K12" i="42"/>
  <c r="L12" i="42"/>
  <c r="J13" i="42"/>
  <c r="K13" i="42"/>
  <c r="L13" i="42"/>
  <c r="J14" i="42"/>
  <c r="K14" i="42"/>
  <c r="L14" i="42"/>
  <c r="J15" i="42"/>
  <c r="K15" i="42"/>
  <c r="L15" i="42"/>
  <c r="J16" i="42"/>
  <c r="K16" i="42"/>
  <c r="L16" i="42"/>
  <c r="J17" i="42"/>
  <c r="K17" i="42"/>
  <c r="L17" i="42"/>
  <c r="J18" i="42"/>
  <c r="K18" i="42"/>
  <c r="L18" i="42"/>
  <c r="J19" i="42"/>
  <c r="K19" i="42"/>
  <c r="L19" i="42"/>
  <c r="J20" i="42"/>
  <c r="K20" i="42"/>
  <c r="L20" i="42"/>
  <c r="J21" i="42"/>
  <c r="K21" i="42"/>
  <c r="L21" i="42"/>
  <c r="J22" i="42"/>
  <c r="K22" i="42"/>
  <c r="L22" i="42"/>
  <c r="J23" i="42"/>
  <c r="K23" i="42"/>
  <c r="L23" i="42"/>
  <c r="J24" i="42"/>
  <c r="K24" i="42"/>
  <c r="L24" i="42"/>
  <c r="J25" i="42"/>
  <c r="K25" i="42"/>
  <c r="L25" i="42"/>
  <c r="J26" i="42"/>
  <c r="K26" i="42"/>
  <c r="L26" i="42"/>
  <c r="J27" i="42"/>
  <c r="K27" i="42"/>
  <c r="L27" i="42"/>
  <c r="J28" i="42"/>
  <c r="K28" i="42"/>
  <c r="L28" i="42"/>
  <c r="J29" i="42"/>
  <c r="K29" i="42"/>
  <c r="L29" i="42"/>
  <c r="J30" i="42"/>
  <c r="K30" i="42"/>
  <c r="L30" i="42"/>
  <c r="J31" i="42"/>
  <c r="K31" i="42"/>
  <c r="L31" i="42"/>
  <c r="J32" i="42"/>
  <c r="K32" i="42"/>
  <c r="L32" i="42"/>
  <c r="J33" i="42"/>
  <c r="K33" i="42"/>
  <c r="L33" i="42"/>
  <c r="J34" i="42"/>
  <c r="K34" i="42"/>
  <c r="L34" i="42"/>
  <c r="J35" i="42"/>
  <c r="K35" i="42"/>
  <c r="L35" i="42"/>
  <c r="J36" i="42"/>
  <c r="K36" i="42"/>
  <c r="L36" i="42"/>
  <c r="J37" i="42"/>
  <c r="K37" i="42"/>
  <c r="L37" i="42"/>
  <c r="J38" i="42"/>
  <c r="K38" i="42"/>
  <c r="L38" i="42"/>
  <c r="J39" i="42"/>
  <c r="K39" i="42"/>
  <c r="L39" i="42"/>
  <c r="J40" i="42"/>
  <c r="K40" i="42"/>
  <c r="L40" i="42"/>
  <c r="J41" i="42"/>
  <c r="K41" i="42"/>
  <c r="L41" i="42"/>
  <c r="J42" i="42"/>
  <c r="K42" i="42"/>
  <c r="L42" i="42"/>
  <c r="J43" i="42"/>
  <c r="K43" i="42"/>
  <c r="L43" i="42"/>
  <c r="J44" i="42"/>
  <c r="K44" i="42"/>
  <c r="L44" i="42"/>
  <c r="J45" i="42"/>
  <c r="K45" i="42"/>
  <c r="L45" i="42"/>
  <c r="J46" i="42"/>
  <c r="K46" i="42"/>
  <c r="L46" i="42"/>
  <c r="J47" i="42"/>
  <c r="K47" i="42"/>
  <c r="L47" i="42"/>
  <c r="J48" i="42"/>
  <c r="K48" i="42"/>
  <c r="L48" i="42"/>
  <c r="J49" i="42"/>
  <c r="K49" i="42"/>
  <c r="L49" i="42"/>
  <c r="J50" i="42"/>
  <c r="K50" i="42"/>
  <c r="L50" i="42"/>
  <c r="J51" i="42"/>
  <c r="K51" i="42"/>
  <c r="L51" i="42"/>
  <c r="J52" i="42"/>
  <c r="K52" i="42"/>
  <c r="L52" i="42"/>
  <c r="J53" i="42"/>
  <c r="K53" i="42"/>
  <c r="L53" i="42"/>
  <c r="J54" i="42"/>
  <c r="K54" i="42"/>
  <c r="L54" i="42"/>
  <c r="J55" i="42"/>
  <c r="K55" i="42"/>
  <c r="L55" i="42"/>
  <c r="J56" i="42"/>
  <c r="K56" i="42"/>
  <c r="L56" i="42"/>
  <c r="J57" i="42"/>
  <c r="K57" i="42"/>
  <c r="L57" i="42"/>
  <c r="J58" i="42"/>
  <c r="K58" i="42"/>
  <c r="L58" i="42"/>
  <c r="J59" i="42"/>
  <c r="K59" i="42"/>
  <c r="L59" i="42"/>
  <c r="J60" i="42"/>
  <c r="K60" i="42"/>
  <c r="L60" i="42"/>
  <c r="J61" i="42"/>
  <c r="K61" i="42"/>
  <c r="L61" i="42"/>
  <c r="J62" i="42"/>
  <c r="K62" i="42"/>
  <c r="L62" i="42"/>
  <c r="J63" i="42"/>
  <c r="K63" i="42"/>
  <c r="L63" i="42"/>
  <c r="J64" i="42"/>
  <c r="K64" i="42"/>
  <c r="L64" i="42"/>
  <c r="J65" i="42"/>
  <c r="K65" i="42"/>
  <c r="L65" i="42"/>
  <c r="J66" i="42"/>
  <c r="K66" i="42"/>
  <c r="L66" i="42"/>
  <c r="J67" i="42"/>
  <c r="K67" i="42"/>
  <c r="L67" i="42"/>
  <c r="J68" i="42"/>
  <c r="K68" i="42"/>
  <c r="L68" i="42"/>
  <c r="J69" i="42"/>
  <c r="K69" i="42"/>
  <c r="L69" i="42"/>
  <c r="J70" i="42"/>
  <c r="K70" i="42"/>
  <c r="L70" i="42"/>
  <c r="J71" i="42"/>
  <c r="K71" i="42"/>
  <c r="L71" i="42"/>
  <c r="J72" i="42"/>
  <c r="K72" i="42"/>
  <c r="L72" i="42"/>
  <c r="J73" i="42"/>
  <c r="K73" i="42"/>
  <c r="L73" i="42"/>
  <c r="J74" i="42"/>
  <c r="K74" i="42"/>
  <c r="L74" i="42"/>
  <c r="J75" i="42"/>
  <c r="K75" i="42"/>
  <c r="L75" i="42"/>
  <c r="J76" i="42"/>
  <c r="K76" i="42"/>
  <c r="L76" i="42"/>
  <c r="J77" i="42"/>
  <c r="K77" i="42"/>
  <c r="L77" i="42"/>
  <c r="J78" i="42"/>
  <c r="K78" i="42"/>
  <c r="L78" i="42"/>
  <c r="J79" i="42"/>
  <c r="K79" i="42"/>
  <c r="L79" i="42"/>
  <c r="J80" i="42"/>
  <c r="K80" i="42"/>
  <c r="L80" i="42"/>
  <c r="J81" i="42"/>
  <c r="K81" i="42"/>
  <c r="L81" i="42"/>
  <c r="J82" i="42"/>
  <c r="K82" i="42"/>
  <c r="L82" i="42"/>
  <c r="J83" i="42"/>
  <c r="K83" i="42"/>
  <c r="L83" i="42"/>
  <c r="J84" i="42"/>
  <c r="K84" i="42"/>
  <c r="L84" i="42"/>
  <c r="J85" i="42"/>
  <c r="K85" i="42"/>
  <c r="L85" i="42"/>
  <c r="J86" i="42"/>
  <c r="K86" i="42"/>
  <c r="L86" i="42"/>
  <c r="J87" i="42"/>
  <c r="K87" i="42"/>
  <c r="L87" i="42"/>
  <c r="J88" i="42"/>
  <c r="K88" i="42"/>
  <c r="L88" i="42"/>
  <c r="J89" i="42"/>
  <c r="K89" i="42"/>
  <c r="L89" i="42"/>
  <c r="J90" i="42"/>
  <c r="K90" i="42"/>
  <c r="L90" i="42"/>
  <c r="J91" i="42"/>
  <c r="K91" i="42"/>
  <c r="L91" i="42"/>
  <c r="J92" i="42"/>
  <c r="K92" i="42"/>
  <c r="L92" i="42"/>
  <c r="J93" i="42"/>
  <c r="K93" i="42"/>
  <c r="L93" i="42"/>
  <c r="J94" i="42"/>
  <c r="K94" i="42"/>
  <c r="L94" i="42"/>
  <c r="J95" i="42"/>
  <c r="K95" i="42"/>
  <c r="L95" i="42"/>
  <c r="J96" i="42"/>
  <c r="K96" i="42"/>
  <c r="L96" i="42"/>
  <c r="J97" i="42"/>
  <c r="K97" i="42"/>
  <c r="L97" i="42"/>
  <c r="J98" i="42"/>
  <c r="K98" i="42"/>
  <c r="L98" i="42"/>
  <c r="J99" i="42"/>
  <c r="K99" i="42"/>
  <c r="L99" i="42"/>
  <c r="J100" i="42"/>
  <c r="K100" i="42"/>
  <c r="L100" i="42"/>
  <c r="J101" i="42"/>
  <c r="K101" i="42"/>
  <c r="L101" i="42"/>
  <c r="J102" i="42"/>
  <c r="K102" i="42"/>
  <c r="L102" i="42"/>
  <c r="J103" i="42"/>
  <c r="K103" i="42"/>
  <c r="L103" i="42"/>
  <c r="J104" i="42"/>
  <c r="K104" i="42"/>
  <c r="L104" i="42"/>
  <c r="J105" i="42"/>
  <c r="K105" i="42"/>
  <c r="L105" i="42"/>
  <c r="J106" i="42"/>
  <c r="K106" i="42"/>
  <c r="L106" i="42"/>
  <c r="J107" i="42"/>
  <c r="K107" i="42"/>
  <c r="L107" i="42"/>
  <c r="J108" i="42"/>
  <c r="K108" i="42"/>
  <c r="L108" i="42"/>
  <c r="J109" i="42"/>
  <c r="K109" i="42"/>
  <c r="L109" i="42"/>
  <c r="J110" i="42"/>
  <c r="K110" i="42"/>
  <c r="L110" i="42"/>
  <c r="J111" i="42"/>
  <c r="K111" i="42"/>
  <c r="L111" i="42"/>
  <c r="J112" i="42"/>
  <c r="K112" i="42"/>
  <c r="L112" i="42"/>
  <c r="J113" i="42"/>
  <c r="K113" i="42"/>
  <c r="L113" i="42"/>
  <c r="J114" i="42"/>
  <c r="K114" i="42"/>
  <c r="L114" i="42"/>
  <c r="J115" i="42"/>
  <c r="K115" i="42"/>
  <c r="L115" i="42"/>
  <c r="J116" i="42"/>
  <c r="K116" i="42"/>
  <c r="L116" i="42"/>
  <c r="J117" i="42"/>
  <c r="K117" i="42"/>
  <c r="L117" i="42"/>
  <c r="J118" i="42"/>
  <c r="K118" i="42"/>
  <c r="L118" i="42"/>
  <c r="J119" i="42"/>
  <c r="K119" i="42"/>
  <c r="L119" i="42"/>
  <c r="J120" i="42"/>
  <c r="K120" i="42"/>
  <c r="L120" i="42"/>
  <c r="J121" i="42"/>
  <c r="K121" i="42"/>
  <c r="L121" i="42"/>
  <c r="J122" i="42"/>
  <c r="K122" i="42"/>
  <c r="L122" i="42"/>
  <c r="J123" i="42"/>
  <c r="K123" i="42"/>
  <c r="L123" i="42"/>
  <c r="J124" i="42"/>
  <c r="K124" i="42"/>
  <c r="L124" i="42"/>
  <c r="J125" i="42"/>
  <c r="K125" i="42"/>
  <c r="L125" i="42"/>
  <c r="J126" i="42"/>
  <c r="K126" i="42"/>
  <c r="L126" i="42"/>
  <c r="J127" i="42"/>
  <c r="K127" i="42"/>
  <c r="L127" i="42"/>
  <c r="J128" i="42"/>
  <c r="K128" i="42"/>
  <c r="L128" i="42"/>
  <c r="J129" i="42"/>
  <c r="K129" i="42"/>
  <c r="L129" i="42"/>
  <c r="J130" i="42"/>
  <c r="K130" i="42"/>
  <c r="L130" i="42"/>
  <c r="J131" i="42"/>
  <c r="K131" i="42"/>
  <c r="L131" i="42"/>
  <c r="J132" i="42"/>
  <c r="K132" i="42"/>
  <c r="L132" i="42"/>
  <c r="J133" i="42"/>
  <c r="K133" i="42"/>
  <c r="L133" i="42"/>
  <c r="J134" i="42"/>
  <c r="K134" i="42"/>
  <c r="L134" i="42"/>
  <c r="J135" i="42"/>
  <c r="K135" i="42"/>
  <c r="L135" i="42"/>
  <c r="J136" i="42"/>
  <c r="K136" i="42"/>
  <c r="L136" i="42"/>
  <c r="J137" i="42"/>
  <c r="K137" i="42"/>
  <c r="L137" i="42"/>
  <c r="J138" i="42"/>
  <c r="K138" i="42"/>
  <c r="L138" i="42"/>
  <c r="J139" i="42"/>
  <c r="K139" i="42"/>
  <c r="L139" i="42"/>
  <c r="J140" i="42"/>
  <c r="K140" i="42"/>
  <c r="L140" i="42"/>
  <c r="J141" i="42"/>
  <c r="K141" i="42"/>
  <c r="L141" i="42"/>
  <c r="J142" i="42"/>
  <c r="K142" i="42"/>
  <c r="L142" i="42"/>
  <c r="J143" i="42"/>
  <c r="K143" i="42"/>
  <c r="L143" i="42"/>
  <c r="J144" i="42"/>
  <c r="K144" i="42"/>
  <c r="L144" i="42"/>
  <c r="J145" i="42"/>
  <c r="K145" i="42"/>
  <c r="L145" i="42"/>
  <c r="J146" i="42"/>
  <c r="K146" i="42"/>
  <c r="L146" i="42"/>
  <c r="J147" i="42"/>
  <c r="K147" i="42"/>
  <c r="L147" i="42"/>
  <c r="J148" i="42"/>
  <c r="K148" i="42"/>
  <c r="L148" i="42"/>
  <c r="J149" i="42"/>
  <c r="K149" i="42"/>
  <c r="L149" i="42"/>
  <c r="J150" i="42"/>
  <c r="K150" i="42"/>
  <c r="L150" i="42"/>
  <c r="J151" i="42"/>
  <c r="K151" i="42"/>
  <c r="L151" i="42"/>
  <c r="J152" i="42"/>
  <c r="K152" i="42"/>
  <c r="L152" i="42"/>
  <c r="J153" i="42"/>
  <c r="K153" i="42"/>
  <c r="L153" i="42"/>
  <c r="J154" i="42"/>
  <c r="K154" i="42"/>
  <c r="L154" i="42"/>
  <c r="J155" i="42"/>
  <c r="K155" i="42"/>
  <c r="L155" i="42"/>
  <c r="J156" i="42"/>
  <c r="K156" i="42"/>
  <c r="L156" i="42"/>
  <c r="J157" i="42"/>
  <c r="K157" i="42"/>
  <c r="L157" i="42"/>
  <c r="J158" i="42"/>
  <c r="K158" i="42"/>
  <c r="L158" i="42"/>
  <c r="J159" i="42"/>
  <c r="K159" i="42"/>
  <c r="L159" i="42"/>
  <c r="J160" i="42"/>
  <c r="K160" i="42"/>
  <c r="L160" i="42"/>
  <c r="J161" i="42"/>
  <c r="K161" i="42"/>
  <c r="L161" i="42"/>
  <c r="J162" i="42"/>
  <c r="K162" i="42"/>
  <c r="L162" i="42"/>
  <c r="J163" i="42"/>
  <c r="K163" i="42"/>
  <c r="L163" i="42"/>
  <c r="J164" i="42"/>
  <c r="K164" i="42"/>
  <c r="L164" i="42"/>
  <c r="J165" i="42"/>
  <c r="K165" i="42"/>
  <c r="L165" i="42"/>
  <c r="J166" i="42"/>
  <c r="K166" i="42"/>
  <c r="L166" i="42"/>
  <c r="J167" i="42"/>
  <c r="K167" i="42"/>
  <c r="L167" i="42"/>
  <c r="J168" i="42"/>
  <c r="K168" i="42"/>
  <c r="L168" i="42"/>
  <c r="J169" i="42"/>
  <c r="K169" i="42"/>
  <c r="L169" i="42"/>
  <c r="J170" i="42"/>
  <c r="K170" i="42"/>
  <c r="L170" i="42"/>
  <c r="J171" i="42"/>
  <c r="K171" i="42"/>
  <c r="L171" i="42"/>
  <c r="J172" i="42"/>
  <c r="K172" i="42"/>
  <c r="L172" i="42"/>
  <c r="J173" i="42"/>
  <c r="K173" i="42"/>
  <c r="L173" i="42"/>
  <c r="J174" i="42"/>
  <c r="K174" i="42"/>
  <c r="L174" i="42"/>
  <c r="J175" i="42"/>
  <c r="K175" i="42"/>
  <c r="L175" i="42"/>
  <c r="J176" i="42"/>
  <c r="K176" i="42"/>
  <c r="L176" i="42"/>
  <c r="J177" i="42"/>
  <c r="K177" i="42"/>
  <c r="L177" i="42"/>
  <c r="J178" i="42"/>
  <c r="K178" i="42"/>
  <c r="L178" i="42"/>
  <c r="J179" i="42"/>
  <c r="K179" i="42"/>
  <c r="L179" i="42"/>
  <c r="J180" i="42"/>
  <c r="K180" i="42"/>
  <c r="L180" i="42"/>
  <c r="J181" i="42"/>
  <c r="K181" i="42"/>
  <c r="L181" i="42"/>
  <c r="J182" i="42"/>
  <c r="K182" i="42"/>
  <c r="L182" i="42"/>
  <c r="J183" i="42"/>
  <c r="K183" i="42"/>
  <c r="L183" i="42"/>
  <c r="J184" i="42"/>
  <c r="K184" i="42"/>
  <c r="L184" i="42"/>
  <c r="J185" i="42"/>
  <c r="K185" i="42"/>
  <c r="L185" i="42"/>
  <c r="J186" i="42"/>
  <c r="K186" i="42"/>
  <c r="L186" i="42"/>
  <c r="J187" i="42"/>
  <c r="K187" i="42"/>
  <c r="L187" i="42"/>
  <c r="J188" i="42"/>
  <c r="K188" i="42"/>
  <c r="L188" i="42"/>
  <c r="J189" i="42"/>
  <c r="K189" i="42"/>
  <c r="L189" i="42"/>
  <c r="J190" i="42"/>
  <c r="K190" i="42"/>
  <c r="L190" i="42"/>
  <c r="J191" i="42"/>
  <c r="K191" i="42"/>
  <c r="L191" i="42"/>
  <c r="J192" i="42"/>
  <c r="K192" i="42"/>
  <c r="L192" i="42"/>
  <c r="J193" i="42"/>
  <c r="K193" i="42"/>
  <c r="L193" i="42"/>
  <c r="J194" i="42"/>
  <c r="K194" i="42"/>
  <c r="L194" i="42"/>
  <c r="J195" i="42"/>
  <c r="K195" i="42"/>
  <c r="L195" i="42"/>
  <c r="J196" i="42"/>
  <c r="K196" i="42"/>
  <c r="L196" i="42"/>
  <c r="J197" i="42"/>
  <c r="K197" i="42"/>
  <c r="L197" i="42"/>
  <c r="J198" i="42"/>
  <c r="K198" i="42"/>
  <c r="L198" i="42"/>
  <c r="J199" i="42"/>
  <c r="K199" i="42"/>
  <c r="L199" i="42"/>
  <c r="J200" i="42"/>
  <c r="K200" i="42"/>
  <c r="L200" i="42"/>
  <c r="J201" i="42"/>
  <c r="K201" i="42"/>
  <c r="L201" i="42"/>
  <c r="J202" i="42"/>
  <c r="K202" i="42"/>
  <c r="L202" i="42"/>
  <c r="J203" i="42"/>
  <c r="K203" i="42"/>
  <c r="L203" i="42"/>
  <c r="J204" i="42"/>
  <c r="K204" i="42"/>
  <c r="L204" i="42"/>
  <c r="J205" i="42"/>
  <c r="K205" i="42"/>
  <c r="L205" i="42"/>
  <c r="J206" i="42"/>
  <c r="K206" i="42"/>
  <c r="L206" i="42"/>
  <c r="J207" i="42"/>
  <c r="K207" i="42"/>
  <c r="L207" i="42"/>
  <c r="J208" i="42"/>
  <c r="K208" i="42"/>
  <c r="L208" i="42"/>
  <c r="J209" i="42"/>
  <c r="K209" i="42"/>
  <c r="L209" i="42"/>
  <c r="J210" i="42"/>
  <c r="K210" i="42"/>
  <c r="L210" i="42"/>
  <c r="J211" i="42"/>
  <c r="K211" i="42"/>
  <c r="L211" i="42"/>
  <c r="J212" i="42"/>
  <c r="K212" i="42"/>
  <c r="L212" i="42"/>
  <c r="J213" i="42"/>
  <c r="K213" i="42"/>
  <c r="L213" i="42"/>
  <c r="J214" i="42"/>
  <c r="K214" i="42"/>
  <c r="L214" i="42"/>
  <c r="J215" i="42"/>
  <c r="K215" i="42"/>
  <c r="L215" i="42"/>
  <c r="J216" i="42"/>
  <c r="K216" i="42"/>
  <c r="L216" i="42"/>
  <c r="J217" i="42"/>
  <c r="K217" i="42"/>
  <c r="L217" i="42"/>
  <c r="J218" i="42"/>
  <c r="K218" i="42"/>
  <c r="L218" i="42"/>
  <c r="J219" i="42"/>
  <c r="K219" i="42"/>
  <c r="L219" i="42"/>
  <c r="J220" i="42"/>
  <c r="K220" i="42"/>
  <c r="L220" i="42"/>
  <c r="J221" i="42"/>
  <c r="K221" i="42"/>
  <c r="L221" i="42"/>
  <c r="J222" i="42"/>
  <c r="K222" i="42"/>
  <c r="L222" i="42"/>
  <c r="J223" i="42"/>
  <c r="K223" i="42"/>
  <c r="L223" i="42"/>
  <c r="J224" i="42"/>
  <c r="K224" i="42"/>
  <c r="L224" i="42"/>
  <c r="J225" i="42"/>
  <c r="K225" i="42"/>
  <c r="L225" i="42"/>
  <c r="J226" i="42"/>
  <c r="K226" i="42"/>
  <c r="L226" i="42"/>
  <c r="J227" i="42"/>
  <c r="K227" i="42"/>
  <c r="L227" i="42"/>
  <c r="J228" i="42"/>
  <c r="K228" i="42"/>
  <c r="L228" i="42"/>
  <c r="J229" i="42"/>
  <c r="K229" i="42"/>
  <c r="L229" i="42"/>
  <c r="J230" i="42"/>
  <c r="K230" i="42"/>
  <c r="L230" i="42"/>
  <c r="J231" i="42"/>
  <c r="K231" i="42"/>
  <c r="L231" i="42"/>
  <c r="J232" i="42"/>
  <c r="K232" i="42"/>
  <c r="L232" i="42"/>
  <c r="J233" i="42"/>
  <c r="K233" i="42"/>
  <c r="L233" i="42"/>
  <c r="J234" i="42"/>
  <c r="K234" i="42"/>
  <c r="L234" i="42"/>
  <c r="J235" i="42"/>
  <c r="K235" i="42"/>
  <c r="L235" i="42"/>
  <c r="J236" i="42"/>
  <c r="K236" i="42"/>
  <c r="L236" i="42"/>
  <c r="J237" i="42"/>
  <c r="K237" i="42"/>
  <c r="L237" i="42"/>
  <c r="J238" i="42"/>
  <c r="K238" i="42"/>
  <c r="L238" i="42"/>
  <c r="J239" i="42"/>
  <c r="K239" i="42"/>
  <c r="L239" i="42"/>
  <c r="J240" i="42"/>
  <c r="K240" i="42"/>
  <c r="L240" i="42"/>
  <c r="J241" i="42"/>
  <c r="K241" i="42"/>
  <c r="L241" i="42"/>
  <c r="J242" i="42"/>
  <c r="K242" i="42"/>
  <c r="L242" i="42"/>
  <c r="J243" i="42"/>
  <c r="K243" i="42"/>
  <c r="L243" i="42"/>
  <c r="J244" i="42"/>
  <c r="K244" i="42"/>
  <c r="L244" i="42"/>
  <c r="J245" i="42"/>
  <c r="K245" i="42"/>
  <c r="L245" i="42"/>
  <c r="J246" i="42"/>
  <c r="K246" i="42"/>
  <c r="L246" i="42"/>
  <c r="J247" i="42"/>
  <c r="K247" i="42"/>
  <c r="L247" i="42"/>
  <c r="J248" i="42"/>
  <c r="K248" i="42"/>
  <c r="L248" i="42"/>
  <c r="J249" i="42"/>
  <c r="K249" i="42"/>
  <c r="L249" i="42"/>
  <c r="J250" i="42"/>
  <c r="K250" i="42"/>
  <c r="L250" i="42"/>
  <c r="J251" i="42"/>
  <c r="K251" i="42"/>
  <c r="L251" i="42"/>
  <c r="J252" i="42"/>
  <c r="K252" i="42"/>
  <c r="L252" i="42"/>
  <c r="J253" i="42"/>
  <c r="K253" i="42"/>
  <c r="L253" i="42"/>
  <c r="J254" i="42"/>
  <c r="K254" i="42"/>
  <c r="L254" i="42"/>
  <c r="J255" i="42"/>
  <c r="K255" i="42"/>
  <c r="L255" i="42"/>
  <c r="J256" i="42"/>
  <c r="K256" i="42"/>
  <c r="L256" i="42"/>
  <c r="J257" i="42"/>
  <c r="K257" i="42"/>
  <c r="L257" i="42"/>
  <c r="J258" i="42"/>
  <c r="K258" i="42"/>
  <c r="L258" i="42"/>
  <c r="J259" i="42"/>
  <c r="K259" i="42"/>
  <c r="L259" i="42"/>
  <c r="J260" i="42"/>
  <c r="K260" i="42"/>
  <c r="L260" i="42"/>
  <c r="J261" i="42"/>
  <c r="K261" i="42"/>
  <c r="L261" i="42"/>
  <c r="J262" i="42"/>
  <c r="K262" i="42"/>
  <c r="L262" i="42"/>
  <c r="J263" i="42"/>
  <c r="K263" i="42"/>
  <c r="L263" i="42"/>
  <c r="J264" i="42"/>
  <c r="K264" i="42"/>
  <c r="L264" i="42"/>
  <c r="J265" i="42"/>
  <c r="K265" i="42"/>
  <c r="L265" i="42"/>
  <c r="J266" i="42"/>
  <c r="K266" i="42"/>
  <c r="L266" i="42"/>
  <c r="J267" i="42"/>
  <c r="K267" i="42"/>
  <c r="L267" i="42"/>
  <c r="J268" i="42"/>
  <c r="K268" i="42"/>
  <c r="L268" i="42"/>
  <c r="J269" i="42"/>
  <c r="K269" i="42"/>
  <c r="L269" i="42"/>
  <c r="J270" i="42"/>
  <c r="K270" i="42"/>
  <c r="L270" i="42"/>
  <c r="J271" i="42"/>
  <c r="K271" i="42"/>
  <c r="L271" i="42"/>
  <c r="J272" i="42"/>
  <c r="K272" i="42"/>
  <c r="L272" i="42"/>
  <c r="J273" i="42"/>
  <c r="K273" i="42"/>
  <c r="L273" i="42"/>
  <c r="J274" i="42"/>
  <c r="K274" i="42"/>
  <c r="L274" i="42"/>
  <c r="J275" i="42"/>
  <c r="K275" i="42"/>
  <c r="L275" i="42"/>
  <c r="J276" i="42"/>
  <c r="K276" i="42"/>
  <c r="L276" i="42"/>
  <c r="J277" i="42"/>
  <c r="K277" i="42"/>
  <c r="L277" i="42"/>
  <c r="J278" i="42"/>
  <c r="K278" i="42"/>
  <c r="L278" i="42"/>
  <c r="J279" i="42"/>
  <c r="K279" i="42"/>
  <c r="L279" i="42"/>
  <c r="J280" i="42"/>
  <c r="K280" i="42"/>
  <c r="L280" i="42"/>
  <c r="J281" i="42"/>
  <c r="K281" i="42"/>
  <c r="L281" i="42"/>
  <c r="J282" i="42"/>
  <c r="K282" i="42"/>
  <c r="L282" i="42"/>
  <c r="J283" i="42"/>
  <c r="K283" i="42"/>
  <c r="L283" i="42"/>
  <c r="J284" i="42"/>
  <c r="K284" i="42"/>
  <c r="L284" i="42"/>
  <c r="J285" i="42"/>
  <c r="K285" i="42"/>
  <c r="L285" i="42"/>
  <c r="J286" i="42"/>
  <c r="K286" i="42"/>
  <c r="L286" i="42"/>
  <c r="J287" i="42"/>
  <c r="K287" i="42"/>
  <c r="L287" i="42"/>
  <c r="J288" i="42"/>
  <c r="K288" i="42"/>
  <c r="L288" i="42"/>
  <c r="J289" i="42"/>
  <c r="K289" i="42"/>
  <c r="L289" i="42"/>
  <c r="J290" i="42"/>
  <c r="K290" i="42"/>
  <c r="L290" i="42"/>
  <c r="J291" i="42"/>
  <c r="K291" i="42"/>
  <c r="L291" i="42"/>
  <c r="J292" i="42"/>
  <c r="K292" i="42"/>
  <c r="L292" i="42"/>
  <c r="J293" i="42"/>
  <c r="K293" i="42"/>
  <c r="L293" i="42"/>
  <c r="J294" i="42"/>
  <c r="K294" i="42"/>
  <c r="L294" i="42"/>
  <c r="J295" i="42"/>
  <c r="K295" i="42"/>
  <c r="L295" i="42"/>
  <c r="J296" i="42"/>
  <c r="K296" i="42"/>
  <c r="L296" i="42"/>
  <c r="J297" i="42"/>
  <c r="K297" i="42"/>
  <c r="L297" i="42"/>
  <c r="J298" i="42"/>
  <c r="K298" i="42"/>
  <c r="L298" i="42"/>
  <c r="J299" i="42"/>
  <c r="K299" i="42"/>
  <c r="L299" i="42"/>
  <c r="J300" i="42"/>
  <c r="K300" i="42"/>
  <c r="L300" i="42"/>
  <c r="J301" i="42"/>
  <c r="K301" i="42"/>
  <c r="L301" i="42"/>
  <c r="J302" i="42"/>
  <c r="K302" i="42"/>
  <c r="L302" i="42"/>
  <c r="J303" i="42"/>
  <c r="K303" i="42"/>
  <c r="L303" i="42"/>
  <c r="J304" i="42"/>
  <c r="K304" i="42"/>
  <c r="L304" i="42"/>
  <c r="J305" i="42"/>
  <c r="K305" i="42"/>
  <c r="L305" i="42"/>
  <c r="J306" i="42"/>
  <c r="K306" i="42"/>
  <c r="L306" i="42"/>
  <c r="J307" i="42"/>
  <c r="K307" i="42"/>
  <c r="L307" i="42"/>
  <c r="J308" i="42"/>
  <c r="K308" i="42"/>
  <c r="L308" i="42"/>
  <c r="J309" i="42"/>
  <c r="K309" i="42"/>
  <c r="L309" i="42"/>
  <c r="J310" i="42"/>
  <c r="K310" i="42"/>
  <c r="L310" i="42"/>
  <c r="J311" i="42"/>
  <c r="K311" i="42"/>
  <c r="L311" i="42"/>
  <c r="J312" i="42"/>
  <c r="K312" i="42"/>
  <c r="L312" i="42"/>
  <c r="J313" i="42"/>
  <c r="K313" i="42"/>
  <c r="L313" i="42"/>
  <c r="J314" i="42"/>
  <c r="K314" i="42"/>
  <c r="L314" i="42"/>
  <c r="J315" i="42"/>
  <c r="K315" i="42"/>
  <c r="L315" i="42"/>
  <c r="J316" i="42"/>
  <c r="K316" i="42"/>
  <c r="L316" i="42"/>
  <c r="J317" i="42"/>
  <c r="K317" i="42"/>
  <c r="L317" i="42"/>
  <c r="J318" i="42"/>
  <c r="K318" i="42"/>
  <c r="L318" i="42"/>
  <c r="J319" i="42"/>
  <c r="K319" i="42"/>
  <c r="L319" i="42"/>
  <c r="J320" i="42"/>
  <c r="K320" i="42"/>
  <c r="L320" i="42"/>
  <c r="J321" i="42"/>
  <c r="K321" i="42"/>
  <c r="L321" i="42"/>
  <c r="J322" i="42"/>
  <c r="K322" i="42"/>
  <c r="L322" i="42"/>
  <c r="J323" i="42"/>
  <c r="K323" i="42"/>
  <c r="L323" i="42"/>
  <c r="J324" i="42"/>
  <c r="K324" i="42"/>
  <c r="L324" i="42"/>
  <c r="J325" i="42"/>
  <c r="K325" i="42"/>
  <c r="L325" i="42"/>
  <c r="J326" i="42"/>
  <c r="K326" i="42"/>
  <c r="L326" i="42"/>
  <c r="J327" i="42"/>
  <c r="K327" i="42"/>
  <c r="L327" i="42"/>
  <c r="J328" i="42"/>
  <c r="K328" i="42"/>
  <c r="L328" i="42"/>
  <c r="J329" i="42"/>
  <c r="K329" i="42"/>
  <c r="L329" i="42"/>
  <c r="J330" i="42"/>
  <c r="K330" i="42"/>
  <c r="L330" i="42"/>
  <c r="J331" i="42"/>
  <c r="K331" i="42"/>
  <c r="L331" i="42"/>
  <c r="J332" i="42"/>
  <c r="K332" i="42"/>
  <c r="L332" i="42"/>
  <c r="J333" i="42"/>
  <c r="K333" i="42"/>
  <c r="L333" i="42"/>
  <c r="J334" i="42"/>
  <c r="K334" i="42"/>
  <c r="L334" i="42"/>
  <c r="J335" i="42"/>
  <c r="K335" i="42"/>
  <c r="L335" i="42"/>
  <c r="J336" i="42"/>
  <c r="K336" i="42"/>
  <c r="L336" i="42"/>
  <c r="J337" i="42"/>
  <c r="K337" i="42"/>
  <c r="L337" i="42"/>
  <c r="J338" i="42"/>
  <c r="K338" i="42"/>
  <c r="L338" i="42"/>
  <c r="J339" i="42"/>
  <c r="K339" i="42"/>
  <c r="L339" i="42"/>
  <c r="J340" i="42"/>
  <c r="K340" i="42"/>
  <c r="L340" i="42"/>
  <c r="J341" i="42"/>
  <c r="K341" i="42"/>
  <c r="L341" i="42"/>
  <c r="J342" i="42"/>
  <c r="K342" i="42"/>
  <c r="L342" i="42"/>
  <c r="J343" i="42"/>
  <c r="K343" i="42"/>
  <c r="L343" i="42"/>
  <c r="J344" i="42"/>
  <c r="K344" i="42"/>
  <c r="L344" i="42"/>
  <c r="J345" i="42"/>
  <c r="K345" i="42"/>
  <c r="L345" i="42"/>
  <c r="J346" i="42"/>
  <c r="K346" i="42"/>
  <c r="L346" i="42"/>
  <c r="J347" i="42"/>
  <c r="K347" i="42"/>
  <c r="L347" i="42"/>
  <c r="J348" i="42"/>
  <c r="K348" i="42"/>
  <c r="L348" i="42"/>
  <c r="C6" i="44"/>
  <c r="H24" i="50"/>
  <c r="P24" i="50" s="1"/>
  <c r="G24" i="50"/>
  <c r="O24" i="50" s="1"/>
  <c r="M14" i="50"/>
  <c r="D48" i="50"/>
  <c r="D49" i="50"/>
  <c r="D50" i="50"/>
  <c r="D51" i="50"/>
  <c r="D52" i="50"/>
  <c r="D53" i="50"/>
  <c r="D60" i="50"/>
  <c r="D61" i="50"/>
  <c r="D62" i="50"/>
  <c r="C48" i="50"/>
  <c r="C49" i="50"/>
  <c r="C50" i="50"/>
  <c r="C51" i="50"/>
  <c r="C52" i="50"/>
  <c r="C53" i="50"/>
  <c r="C54" i="50"/>
  <c r="C55" i="50"/>
  <c r="C56" i="50"/>
  <c r="C57" i="50"/>
  <c r="C58" i="50"/>
  <c r="L8" i="50"/>
  <c r="Q3" i="50"/>
  <c r="S3" i="50"/>
  <c r="K20" i="2" l="1"/>
  <c r="D26" i="50"/>
  <c r="D27" i="50"/>
  <c r="D28" i="50"/>
  <c r="D29" i="50"/>
  <c r="D30" i="50"/>
  <c r="D31" i="50"/>
  <c r="D32" i="50"/>
  <c r="D33" i="50"/>
  <c r="D34" i="50"/>
  <c r="D35" i="50"/>
  <c r="D36" i="50"/>
  <c r="D37" i="50"/>
  <c r="D38" i="50"/>
  <c r="D39" i="50"/>
  <c r="D40" i="50"/>
  <c r="D41" i="50"/>
  <c r="D42" i="50"/>
  <c r="D43" i="50"/>
  <c r="D44" i="50"/>
  <c r="D45" i="50"/>
  <c r="D46" i="50"/>
  <c r="D47" i="50"/>
  <c r="D25" i="50"/>
  <c r="D2" i="50"/>
  <c r="C5" i="50"/>
  <c r="C6" i="50"/>
  <c r="C7" i="50"/>
  <c r="C8" i="50"/>
  <c r="C9" i="50"/>
  <c r="C10" i="50"/>
  <c r="C11" i="50"/>
  <c r="C12" i="50"/>
  <c r="C13"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B2" i="50"/>
  <c r="M54" i="50"/>
  <c r="M55" i="50" s="1"/>
  <c r="M26" i="50"/>
  <c r="M27" i="50"/>
  <c r="M28" i="50"/>
  <c r="M29" i="50"/>
  <c r="M43" i="50" s="1"/>
  <c r="M30" i="50"/>
  <c r="M31" i="50"/>
  <c r="M44" i="50" s="1"/>
  <c r="M32" i="50"/>
  <c r="M33" i="50"/>
  <c r="M34" i="50"/>
  <c r="M45" i="50" s="1"/>
  <c r="M35" i="50"/>
  <c r="M36" i="50"/>
  <c r="M46" i="50" s="1"/>
  <c r="M25" i="50"/>
  <c r="L7" i="50"/>
  <c r="AS8" i="41"/>
  <c r="AS9" i="41"/>
  <c r="AS10" i="41"/>
  <c r="AS11" i="41"/>
  <c r="AS12" i="41"/>
  <c r="AS13" i="41"/>
  <c r="AS14" i="41"/>
  <c r="AS15" i="41"/>
  <c r="AS16" i="41"/>
  <c r="AS17" i="41"/>
  <c r="AS18" i="41"/>
  <c r="AS19" i="41"/>
  <c r="AS20" i="41"/>
  <c r="AS21" i="41"/>
  <c r="AS22" i="41"/>
  <c r="AS23" i="41"/>
  <c r="AS24" i="41"/>
  <c r="AS25" i="41"/>
  <c r="AS26" i="41"/>
  <c r="AS27" i="41"/>
  <c r="AS28" i="41"/>
  <c r="AS29" i="41"/>
  <c r="AS30" i="41"/>
  <c r="AS31" i="41"/>
  <c r="AS32" i="41"/>
  <c r="AS33" i="41"/>
  <c r="AS34" i="41"/>
  <c r="AS35" i="41"/>
  <c r="AS36" i="41"/>
  <c r="AS37" i="41"/>
  <c r="AS38" i="41"/>
  <c r="AS39" i="41"/>
  <c r="AS40" i="41"/>
  <c r="AS41" i="41"/>
  <c r="AS42" i="41"/>
  <c r="AS43" i="41"/>
  <c r="AS44" i="41"/>
  <c r="AS45" i="41"/>
  <c r="AS46" i="41"/>
  <c r="AS47" i="41"/>
  <c r="AS48" i="41"/>
  <c r="AS49" i="41"/>
  <c r="AS50" i="41"/>
  <c r="AS51" i="41"/>
  <c r="AS52" i="41"/>
  <c r="AS53" i="41"/>
  <c r="AS54" i="41"/>
  <c r="AS55" i="41"/>
  <c r="AS56" i="41"/>
  <c r="AS57" i="41"/>
  <c r="AS58" i="41"/>
  <c r="AS59" i="41"/>
  <c r="AS60" i="41"/>
  <c r="AS61" i="41"/>
  <c r="AS62" i="41"/>
  <c r="AS63" i="41"/>
  <c r="AS64" i="41"/>
  <c r="AS65" i="41"/>
  <c r="AS66" i="41"/>
  <c r="AS67" i="41"/>
  <c r="AS68" i="41"/>
  <c r="AS69" i="41"/>
  <c r="AS70" i="41"/>
  <c r="AS71" i="41"/>
  <c r="AS72" i="41"/>
  <c r="AS73" i="41"/>
  <c r="AS74" i="41"/>
  <c r="AS75" i="41"/>
  <c r="AS76" i="41"/>
  <c r="AS77" i="41"/>
  <c r="AS78" i="41"/>
  <c r="AS79" i="41"/>
  <c r="AS80" i="41"/>
  <c r="AS81" i="41"/>
  <c r="AS82" i="41"/>
  <c r="AS83" i="41"/>
  <c r="AS84" i="41"/>
  <c r="AS85" i="41"/>
  <c r="AS86" i="41"/>
  <c r="AS87" i="41"/>
  <c r="AS88" i="41"/>
  <c r="AS89" i="41"/>
  <c r="AS90" i="41"/>
  <c r="AS91" i="41"/>
  <c r="AS92" i="41"/>
  <c r="AS93" i="41"/>
  <c r="AS94" i="41"/>
  <c r="AS95" i="41"/>
  <c r="AS96" i="41"/>
  <c r="AS97" i="41"/>
  <c r="AS98" i="41"/>
  <c r="AS99" i="41"/>
  <c r="AS100" i="41"/>
  <c r="AS101" i="41"/>
  <c r="AS102" i="41"/>
  <c r="AS103" i="41"/>
  <c r="AS104" i="41"/>
  <c r="AS105" i="41"/>
  <c r="AS106" i="41"/>
  <c r="AS107" i="41"/>
  <c r="AS108" i="41"/>
  <c r="AS109" i="41"/>
  <c r="AS110" i="41"/>
  <c r="AS111" i="41"/>
  <c r="AS112" i="41"/>
  <c r="AS113" i="41"/>
  <c r="AS114" i="41"/>
  <c r="AS115" i="41"/>
  <c r="AS116" i="41"/>
  <c r="AS117" i="41"/>
  <c r="AS118" i="41"/>
  <c r="AS119" i="41"/>
  <c r="AS120" i="41"/>
  <c r="AS121" i="41"/>
  <c r="AS122" i="41"/>
  <c r="AS123" i="41"/>
  <c r="AS124" i="41"/>
  <c r="AS125" i="41"/>
  <c r="AS126" i="41"/>
  <c r="AS127" i="41"/>
  <c r="AS128" i="41"/>
  <c r="AS129" i="41"/>
  <c r="AS130" i="41"/>
  <c r="AS131" i="41"/>
  <c r="AS132" i="41"/>
  <c r="AS133" i="41"/>
  <c r="AS134" i="41"/>
  <c r="AS135" i="41"/>
  <c r="AS136" i="41"/>
  <c r="AS137" i="41"/>
  <c r="AS138" i="41"/>
  <c r="AS139" i="41"/>
  <c r="AS140" i="41"/>
  <c r="AS141" i="41"/>
  <c r="AS142" i="41"/>
  <c r="AS143" i="41"/>
  <c r="AS144" i="41"/>
  <c r="AS145" i="41"/>
  <c r="AS146" i="41"/>
  <c r="AS147" i="41"/>
  <c r="AS148" i="41"/>
  <c r="AS149" i="41"/>
  <c r="AS150" i="41"/>
  <c r="AS151" i="41"/>
  <c r="AS152" i="41"/>
  <c r="AS153" i="41"/>
  <c r="AS154" i="41"/>
  <c r="AS155" i="41"/>
  <c r="AS156" i="41"/>
  <c r="AS157" i="41"/>
  <c r="AS158" i="41"/>
  <c r="AS159" i="41"/>
  <c r="AS160" i="41"/>
  <c r="AS161" i="41"/>
  <c r="AS162" i="41"/>
  <c r="AS163" i="41"/>
  <c r="AS164" i="41"/>
  <c r="AS165" i="41"/>
  <c r="AS166" i="41"/>
  <c r="AS167" i="41"/>
  <c r="AS168" i="41"/>
  <c r="AS169" i="41"/>
  <c r="AS170" i="41"/>
  <c r="AS171" i="41"/>
  <c r="AS172" i="41"/>
  <c r="AS173" i="41"/>
  <c r="AS174" i="41"/>
  <c r="AS175" i="41"/>
  <c r="AS176" i="41"/>
  <c r="AS177" i="41"/>
  <c r="AS178" i="41"/>
  <c r="AS179" i="41"/>
  <c r="AS180" i="41"/>
  <c r="AS181" i="41"/>
  <c r="AS182" i="41"/>
  <c r="AS183" i="41"/>
  <c r="AS184" i="41"/>
  <c r="AS185" i="41"/>
  <c r="AS186" i="41"/>
  <c r="AS187" i="41"/>
  <c r="AS188" i="41"/>
  <c r="AS189" i="41"/>
  <c r="AS190" i="41"/>
  <c r="AS191" i="41"/>
  <c r="AS192" i="41"/>
  <c r="AS193" i="41"/>
  <c r="AS194" i="41"/>
  <c r="AS195" i="41"/>
  <c r="AS196" i="41"/>
  <c r="AS197" i="41"/>
  <c r="AS198" i="41"/>
  <c r="AS199" i="41"/>
  <c r="AS200" i="41"/>
  <c r="AS201" i="41"/>
  <c r="AS202" i="41"/>
  <c r="AS203" i="41"/>
  <c r="AS204" i="41"/>
  <c r="AS205" i="41"/>
  <c r="AS206" i="41"/>
  <c r="AS207" i="41"/>
  <c r="AS208" i="41"/>
  <c r="AS209" i="41"/>
  <c r="AS210" i="41"/>
  <c r="AS211" i="41"/>
  <c r="AS212" i="41"/>
  <c r="AS213" i="41"/>
  <c r="AS214" i="41"/>
  <c r="AS215" i="41"/>
  <c r="AS216" i="41"/>
  <c r="AS217" i="41"/>
  <c r="AS218" i="41"/>
  <c r="AS219" i="41"/>
  <c r="AS220" i="41"/>
  <c r="AS221" i="41"/>
  <c r="AS222" i="41"/>
  <c r="AS223" i="41"/>
  <c r="AS224" i="41"/>
  <c r="AS225" i="41"/>
  <c r="AS226" i="41"/>
  <c r="AS227" i="41"/>
  <c r="AS228" i="41"/>
  <c r="AS229" i="41"/>
  <c r="AS230" i="41"/>
  <c r="AS231" i="41"/>
  <c r="AS232" i="41"/>
  <c r="AS233" i="41"/>
  <c r="AS234" i="41"/>
  <c r="AS235" i="41"/>
  <c r="AS236" i="41"/>
  <c r="AS237" i="41"/>
  <c r="AS238" i="41"/>
  <c r="AS239" i="41"/>
  <c r="AS240" i="41"/>
  <c r="AS241" i="41"/>
  <c r="AS242" i="41"/>
  <c r="AS243" i="41"/>
  <c r="AS244" i="41"/>
  <c r="AS245" i="41"/>
  <c r="AS246" i="41"/>
  <c r="AS247" i="41"/>
  <c r="AS248" i="41"/>
  <c r="AS249" i="41"/>
  <c r="AS250" i="41"/>
  <c r="AS251" i="41"/>
  <c r="AS252" i="41"/>
  <c r="AS253" i="41"/>
  <c r="AS254" i="41"/>
  <c r="AS255" i="41"/>
  <c r="AS256" i="41"/>
  <c r="AS257" i="41"/>
  <c r="AS258" i="41"/>
  <c r="AS259" i="41"/>
  <c r="AS260" i="41"/>
  <c r="AS261" i="41"/>
  <c r="AS262" i="41"/>
  <c r="AS263" i="41"/>
  <c r="AS264" i="41"/>
  <c r="AS265" i="41"/>
  <c r="AS266" i="41"/>
  <c r="AS267" i="41"/>
  <c r="AS268" i="41"/>
  <c r="AS269" i="41"/>
  <c r="AS270" i="41"/>
  <c r="AS271" i="41"/>
  <c r="AS272" i="41"/>
  <c r="AS273" i="41"/>
  <c r="AS274" i="41"/>
  <c r="AS275" i="41"/>
  <c r="AS276" i="41"/>
  <c r="AS277" i="41"/>
  <c r="AS278" i="41"/>
  <c r="AS279" i="41"/>
  <c r="AS280" i="41"/>
  <c r="AS281" i="41"/>
  <c r="AS282" i="41"/>
  <c r="AS283" i="41"/>
  <c r="AS284" i="41"/>
  <c r="AS285" i="41"/>
  <c r="AS286" i="41"/>
  <c r="AS287" i="41"/>
  <c r="AS288" i="41"/>
  <c r="AS289" i="41"/>
  <c r="AS290" i="41"/>
  <c r="AS291" i="41"/>
  <c r="AS292" i="41"/>
  <c r="AS293" i="41"/>
  <c r="AS294" i="41"/>
  <c r="AS295" i="41"/>
  <c r="AS296" i="41"/>
  <c r="AS297" i="41"/>
  <c r="AS298" i="41"/>
  <c r="AS299" i="41"/>
  <c r="AS300" i="41"/>
  <c r="AS301" i="41"/>
  <c r="AS302" i="41"/>
  <c r="AS303" i="41"/>
  <c r="AS304" i="41"/>
  <c r="AS305" i="41"/>
  <c r="AS306" i="41"/>
  <c r="AS307" i="41"/>
  <c r="AS308" i="41"/>
  <c r="AS309" i="41"/>
  <c r="AS310" i="41"/>
  <c r="AS311" i="41"/>
  <c r="AS312" i="41"/>
  <c r="AS313" i="41"/>
  <c r="AS314" i="41"/>
  <c r="AS315" i="41"/>
  <c r="AS316" i="41"/>
  <c r="AS317" i="41"/>
  <c r="AS318" i="41"/>
  <c r="AS319" i="41"/>
  <c r="AS320" i="41"/>
  <c r="AS321" i="41"/>
  <c r="AS322" i="41"/>
  <c r="AS323" i="41"/>
  <c r="AS324" i="41"/>
  <c r="AS325" i="41"/>
  <c r="AS326" i="41"/>
  <c r="AS327" i="41"/>
  <c r="AS328" i="41"/>
  <c r="AS329" i="41"/>
  <c r="AS330" i="41"/>
  <c r="AS331" i="41"/>
  <c r="AS332" i="41"/>
  <c r="AS333" i="41"/>
  <c r="AS334" i="41"/>
  <c r="AS335" i="41"/>
  <c r="AS336" i="41"/>
  <c r="AS337" i="41"/>
  <c r="AS338" i="41"/>
  <c r="AS339" i="41"/>
  <c r="AS340" i="41"/>
  <c r="AS341" i="41"/>
  <c r="AS342" i="41"/>
  <c r="AS343" i="41"/>
  <c r="AS344" i="41"/>
  <c r="AS345" i="41"/>
  <c r="AS346" i="41"/>
  <c r="AS347" i="41"/>
  <c r="AR8" i="41"/>
  <c r="AR9" i="41"/>
  <c r="AR10" i="41"/>
  <c r="AR11" i="41"/>
  <c r="AR12" i="41"/>
  <c r="AR13" i="41"/>
  <c r="AR14" i="41"/>
  <c r="AR15" i="41"/>
  <c r="AR16" i="41"/>
  <c r="AR17" i="41"/>
  <c r="AR18" i="41"/>
  <c r="AR19" i="41"/>
  <c r="AR20" i="41"/>
  <c r="AR21" i="41"/>
  <c r="AR22" i="41"/>
  <c r="AR23" i="41"/>
  <c r="AR24" i="41"/>
  <c r="AR25" i="41"/>
  <c r="AR26" i="41"/>
  <c r="AR27" i="41"/>
  <c r="AR28" i="41"/>
  <c r="AR29" i="41"/>
  <c r="AR30" i="41"/>
  <c r="AR31" i="41"/>
  <c r="AR32" i="41"/>
  <c r="AR33" i="41"/>
  <c r="AR34" i="41"/>
  <c r="AR35" i="41"/>
  <c r="AR36" i="41"/>
  <c r="AR37" i="41"/>
  <c r="AR38" i="41"/>
  <c r="AR39" i="41"/>
  <c r="AR40" i="41"/>
  <c r="AR41" i="41"/>
  <c r="AR42" i="41"/>
  <c r="AR43" i="41"/>
  <c r="AR44" i="41"/>
  <c r="AR45" i="41"/>
  <c r="AR46" i="41"/>
  <c r="AR47" i="41"/>
  <c r="AR48" i="41"/>
  <c r="AR49" i="41"/>
  <c r="AR50" i="41"/>
  <c r="AR51" i="41"/>
  <c r="AR52" i="41"/>
  <c r="AR53" i="41"/>
  <c r="AR54" i="41"/>
  <c r="AR55" i="41"/>
  <c r="AR56" i="41"/>
  <c r="AR57" i="41"/>
  <c r="AR58" i="41"/>
  <c r="AR59" i="41"/>
  <c r="AR60" i="41"/>
  <c r="AR61" i="41"/>
  <c r="AR62" i="41"/>
  <c r="AR63" i="41"/>
  <c r="AR64" i="41"/>
  <c r="AR65" i="41"/>
  <c r="AR66" i="41"/>
  <c r="AR67" i="41"/>
  <c r="AR68" i="41"/>
  <c r="AR69" i="41"/>
  <c r="AR70" i="41"/>
  <c r="AR71" i="41"/>
  <c r="AR72" i="41"/>
  <c r="AR73" i="41"/>
  <c r="AR74" i="41"/>
  <c r="AR75" i="41"/>
  <c r="AR76" i="41"/>
  <c r="AR77" i="41"/>
  <c r="AR78" i="41"/>
  <c r="AR79" i="41"/>
  <c r="AR80" i="41"/>
  <c r="AR81" i="41"/>
  <c r="AR82" i="41"/>
  <c r="AR83" i="41"/>
  <c r="AR84" i="41"/>
  <c r="AR85" i="41"/>
  <c r="AR86" i="41"/>
  <c r="AR87" i="41"/>
  <c r="AR88" i="41"/>
  <c r="AR89" i="41"/>
  <c r="AR90" i="41"/>
  <c r="AR91" i="41"/>
  <c r="AR92" i="41"/>
  <c r="AR93" i="41"/>
  <c r="AR94" i="41"/>
  <c r="AR95" i="41"/>
  <c r="AR96" i="41"/>
  <c r="AR97" i="41"/>
  <c r="AR98" i="41"/>
  <c r="AR99" i="41"/>
  <c r="AR100" i="41"/>
  <c r="AR101" i="41"/>
  <c r="AR102" i="41"/>
  <c r="AR103" i="41"/>
  <c r="AR104" i="41"/>
  <c r="AR105" i="41"/>
  <c r="AR106" i="41"/>
  <c r="AR107" i="41"/>
  <c r="AR108" i="41"/>
  <c r="AR109" i="41"/>
  <c r="AR110" i="41"/>
  <c r="AR111" i="41"/>
  <c r="AR112" i="41"/>
  <c r="AR113" i="41"/>
  <c r="AR114" i="41"/>
  <c r="AR115" i="41"/>
  <c r="AR116" i="41"/>
  <c r="AR117" i="41"/>
  <c r="AR118" i="41"/>
  <c r="AR119" i="41"/>
  <c r="AR120" i="41"/>
  <c r="AR121" i="41"/>
  <c r="AR122" i="41"/>
  <c r="AR123" i="41"/>
  <c r="AR124" i="41"/>
  <c r="AR125" i="41"/>
  <c r="AR126" i="41"/>
  <c r="AR127" i="41"/>
  <c r="AR128" i="41"/>
  <c r="AR129" i="41"/>
  <c r="AR130" i="41"/>
  <c r="AR131" i="41"/>
  <c r="AR132" i="41"/>
  <c r="AR133" i="41"/>
  <c r="AR134" i="41"/>
  <c r="AR135" i="41"/>
  <c r="AR136" i="41"/>
  <c r="AR137" i="41"/>
  <c r="AR138" i="41"/>
  <c r="AR139" i="41"/>
  <c r="AR140" i="41"/>
  <c r="AR141" i="41"/>
  <c r="AR142" i="41"/>
  <c r="AR143" i="41"/>
  <c r="AR144" i="41"/>
  <c r="AR145" i="41"/>
  <c r="AR146" i="41"/>
  <c r="AR147" i="41"/>
  <c r="AR148" i="41"/>
  <c r="AR149" i="41"/>
  <c r="AR150" i="41"/>
  <c r="AR151" i="41"/>
  <c r="AR152" i="41"/>
  <c r="AR153" i="41"/>
  <c r="AR154" i="41"/>
  <c r="AR155" i="41"/>
  <c r="AR156" i="41"/>
  <c r="AR157" i="41"/>
  <c r="AR158" i="41"/>
  <c r="AR159" i="41"/>
  <c r="AR160" i="41"/>
  <c r="AR161" i="41"/>
  <c r="AR162" i="41"/>
  <c r="AR163" i="41"/>
  <c r="AR164" i="41"/>
  <c r="AR165" i="41"/>
  <c r="AR166" i="41"/>
  <c r="AR167" i="41"/>
  <c r="AR168" i="41"/>
  <c r="AR169" i="41"/>
  <c r="AR170" i="41"/>
  <c r="AR171" i="41"/>
  <c r="AR172" i="41"/>
  <c r="AR173" i="41"/>
  <c r="AR174" i="41"/>
  <c r="AR175" i="41"/>
  <c r="AR176" i="41"/>
  <c r="AR177" i="41"/>
  <c r="AR178" i="41"/>
  <c r="AR179" i="41"/>
  <c r="AR180" i="41"/>
  <c r="AR181" i="41"/>
  <c r="AR182" i="41"/>
  <c r="AR183" i="41"/>
  <c r="AR184" i="41"/>
  <c r="AR185" i="41"/>
  <c r="AR186" i="41"/>
  <c r="AR187" i="41"/>
  <c r="AR188" i="41"/>
  <c r="AR189" i="41"/>
  <c r="AR190" i="41"/>
  <c r="AR191" i="41"/>
  <c r="AR192" i="41"/>
  <c r="AR193" i="41"/>
  <c r="AR194" i="41"/>
  <c r="AR195" i="41"/>
  <c r="AR196" i="41"/>
  <c r="AR197" i="41"/>
  <c r="AR198" i="41"/>
  <c r="AR199" i="41"/>
  <c r="AR200" i="41"/>
  <c r="AR201" i="41"/>
  <c r="AR202" i="41"/>
  <c r="AR203" i="41"/>
  <c r="AR204" i="41"/>
  <c r="AR205" i="41"/>
  <c r="AR206" i="41"/>
  <c r="AR207" i="41"/>
  <c r="AR208" i="41"/>
  <c r="AR209" i="41"/>
  <c r="AR210" i="41"/>
  <c r="AR211" i="41"/>
  <c r="AR212" i="41"/>
  <c r="AR213" i="41"/>
  <c r="AR214" i="41"/>
  <c r="AR215" i="41"/>
  <c r="AR216" i="41"/>
  <c r="AR217" i="41"/>
  <c r="AR218" i="41"/>
  <c r="AR219" i="41"/>
  <c r="AR220" i="41"/>
  <c r="AR221" i="41"/>
  <c r="AR222" i="41"/>
  <c r="AR223" i="41"/>
  <c r="AR224" i="41"/>
  <c r="AR225" i="41"/>
  <c r="AR226" i="41"/>
  <c r="AR227" i="41"/>
  <c r="AR228" i="41"/>
  <c r="AR229" i="41"/>
  <c r="AR230" i="41"/>
  <c r="AR231" i="41"/>
  <c r="AR232" i="41"/>
  <c r="AR233" i="41"/>
  <c r="AR234" i="41"/>
  <c r="AR235" i="41"/>
  <c r="AR236" i="41"/>
  <c r="AR237" i="41"/>
  <c r="AR238" i="41"/>
  <c r="AR239" i="41"/>
  <c r="AR240" i="41"/>
  <c r="AR241" i="41"/>
  <c r="AR242" i="41"/>
  <c r="AR243" i="41"/>
  <c r="AR244" i="41"/>
  <c r="AR245" i="41"/>
  <c r="AR246" i="41"/>
  <c r="AR247" i="41"/>
  <c r="AR248" i="41"/>
  <c r="AR249" i="41"/>
  <c r="AR250" i="41"/>
  <c r="AR251" i="41"/>
  <c r="AR252" i="41"/>
  <c r="AR253" i="41"/>
  <c r="AR254" i="41"/>
  <c r="AR255" i="41"/>
  <c r="AR256" i="41"/>
  <c r="AR257" i="41"/>
  <c r="AR258" i="41"/>
  <c r="AR259" i="41"/>
  <c r="AR260" i="41"/>
  <c r="AR261" i="41"/>
  <c r="AR262" i="41"/>
  <c r="AR263" i="41"/>
  <c r="AR264" i="41"/>
  <c r="AR265" i="41"/>
  <c r="AR266" i="41"/>
  <c r="AR267" i="41"/>
  <c r="AR268" i="41"/>
  <c r="AR269" i="41"/>
  <c r="AR270" i="41"/>
  <c r="AR271" i="41"/>
  <c r="AR272" i="41"/>
  <c r="AR273" i="41"/>
  <c r="AR274" i="41"/>
  <c r="AR275" i="41"/>
  <c r="AR276" i="41"/>
  <c r="AR277" i="41"/>
  <c r="AR278" i="41"/>
  <c r="AR279" i="41"/>
  <c r="AR280" i="41"/>
  <c r="AR281" i="41"/>
  <c r="AR282" i="41"/>
  <c r="AR283" i="41"/>
  <c r="AR284" i="41"/>
  <c r="AR285" i="41"/>
  <c r="AR286" i="41"/>
  <c r="AR287" i="41"/>
  <c r="AR288" i="41"/>
  <c r="AR289" i="41"/>
  <c r="AR290" i="41"/>
  <c r="AR291" i="41"/>
  <c r="AR292" i="41"/>
  <c r="AR293" i="41"/>
  <c r="AR294" i="41"/>
  <c r="AR295" i="41"/>
  <c r="AR296" i="41"/>
  <c r="AR297" i="41"/>
  <c r="AR298" i="41"/>
  <c r="AR299" i="41"/>
  <c r="AR300" i="41"/>
  <c r="AR301" i="41"/>
  <c r="AR302" i="41"/>
  <c r="AR303" i="41"/>
  <c r="AR304" i="41"/>
  <c r="AR305" i="41"/>
  <c r="AR306" i="41"/>
  <c r="AR307" i="41"/>
  <c r="AR308" i="41"/>
  <c r="AR309" i="41"/>
  <c r="AR310" i="41"/>
  <c r="AR311" i="41"/>
  <c r="AR312" i="41"/>
  <c r="AR313" i="41"/>
  <c r="AR314" i="41"/>
  <c r="AR315" i="41"/>
  <c r="AR316" i="41"/>
  <c r="AR317" i="41"/>
  <c r="AR318" i="41"/>
  <c r="AR319" i="41"/>
  <c r="AR320" i="41"/>
  <c r="AR321" i="41"/>
  <c r="AR322" i="41"/>
  <c r="AR323" i="41"/>
  <c r="AR324" i="41"/>
  <c r="AR325" i="41"/>
  <c r="AR326" i="41"/>
  <c r="AR327" i="41"/>
  <c r="AR328" i="41"/>
  <c r="AR329" i="41"/>
  <c r="AR330" i="41"/>
  <c r="AR331" i="41"/>
  <c r="AR332" i="41"/>
  <c r="AR333" i="41"/>
  <c r="AR334" i="41"/>
  <c r="AR335" i="41"/>
  <c r="AR336" i="41"/>
  <c r="AR337" i="41"/>
  <c r="AR338" i="41"/>
  <c r="AR339" i="41"/>
  <c r="AR340" i="41"/>
  <c r="AR341" i="41"/>
  <c r="AR342" i="41"/>
  <c r="AR343" i="41"/>
  <c r="AR344" i="41"/>
  <c r="AR345" i="41"/>
  <c r="AR346" i="41"/>
  <c r="AR347" i="41"/>
  <c r="AQ8" i="41"/>
  <c r="AQ9" i="41"/>
  <c r="AQ10" i="41"/>
  <c r="AQ11" i="41"/>
  <c r="AQ12" i="41"/>
  <c r="AQ13" i="41"/>
  <c r="AQ14" i="41"/>
  <c r="AQ15" i="41"/>
  <c r="AQ16" i="41"/>
  <c r="AQ17" i="41"/>
  <c r="AQ18" i="41"/>
  <c r="AQ19" i="41"/>
  <c r="AQ20" i="41"/>
  <c r="AQ21" i="41"/>
  <c r="AQ22" i="41"/>
  <c r="AQ23" i="41"/>
  <c r="AQ24" i="41"/>
  <c r="AQ25" i="41"/>
  <c r="AQ26" i="41"/>
  <c r="AQ27" i="41"/>
  <c r="AQ28" i="41"/>
  <c r="AQ29" i="41"/>
  <c r="AQ30" i="41"/>
  <c r="AQ31" i="41"/>
  <c r="AQ32" i="41"/>
  <c r="AQ33" i="41"/>
  <c r="AQ34" i="41"/>
  <c r="AQ35" i="41"/>
  <c r="AQ36" i="41"/>
  <c r="AQ37" i="41"/>
  <c r="AQ38" i="41"/>
  <c r="AQ39" i="41"/>
  <c r="AQ40" i="41"/>
  <c r="AQ41" i="41"/>
  <c r="AQ42" i="41"/>
  <c r="AQ43" i="41"/>
  <c r="AQ44" i="41"/>
  <c r="AQ45" i="41"/>
  <c r="AQ46" i="41"/>
  <c r="AQ47" i="41"/>
  <c r="AQ48" i="41"/>
  <c r="AQ49" i="41"/>
  <c r="AQ50" i="41"/>
  <c r="AQ51" i="41"/>
  <c r="AQ52" i="41"/>
  <c r="AQ53" i="41"/>
  <c r="AQ54" i="41"/>
  <c r="AQ55" i="41"/>
  <c r="AQ56" i="41"/>
  <c r="AQ57" i="41"/>
  <c r="AQ58" i="41"/>
  <c r="AQ59" i="41"/>
  <c r="AQ60" i="41"/>
  <c r="AQ61" i="41"/>
  <c r="AQ62" i="41"/>
  <c r="AQ63" i="41"/>
  <c r="AQ64" i="41"/>
  <c r="AQ65" i="41"/>
  <c r="AQ66" i="41"/>
  <c r="AQ67" i="41"/>
  <c r="AQ68" i="41"/>
  <c r="AQ69" i="41"/>
  <c r="AQ70" i="41"/>
  <c r="AQ71" i="41"/>
  <c r="AQ72" i="41"/>
  <c r="AQ73" i="41"/>
  <c r="AQ74" i="41"/>
  <c r="AQ75" i="41"/>
  <c r="AQ76" i="41"/>
  <c r="AQ77" i="41"/>
  <c r="AQ78" i="41"/>
  <c r="AQ79" i="41"/>
  <c r="AQ80" i="41"/>
  <c r="AQ81" i="41"/>
  <c r="AQ82" i="41"/>
  <c r="AQ83" i="41"/>
  <c r="AQ84" i="41"/>
  <c r="AQ85" i="41"/>
  <c r="AQ86" i="41"/>
  <c r="AQ87" i="41"/>
  <c r="AQ88" i="41"/>
  <c r="AQ89" i="41"/>
  <c r="AQ90" i="41"/>
  <c r="AQ91" i="41"/>
  <c r="AQ92" i="41"/>
  <c r="AQ93" i="41"/>
  <c r="AQ94" i="41"/>
  <c r="AQ95" i="41"/>
  <c r="AQ96" i="41"/>
  <c r="AQ97" i="41"/>
  <c r="AQ98" i="41"/>
  <c r="AQ99" i="41"/>
  <c r="AQ100" i="41"/>
  <c r="AQ101" i="41"/>
  <c r="AQ102" i="41"/>
  <c r="AQ103" i="41"/>
  <c r="AQ104" i="41"/>
  <c r="AQ105" i="41"/>
  <c r="AQ106" i="41"/>
  <c r="AQ107" i="41"/>
  <c r="AQ108" i="41"/>
  <c r="AQ109" i="41"/>
  <c r="AQ110" i="41"/>
  <c r="AQ111" i="41"/>
  <c r="AQ112" i="41"/>
  <c r="AQ113" i="41"/>
  <c r="AQ114" i="41"/>
  <c r="AQ115" i="41"/>
  <c r="AQ116" i="41"/>
  <c r="AQ117" i="41"/>
  <c r="AQ118" i="41"/>
  <c r="AQ119" i="41"/>
  <c r="AQ120" i="41"/>
  <c r="AQ121" i="41"/>
  <c r="AQ122" i="41"/>
  <c r="AQ123" i="41"/>
  <c r="AQ124" i="41"/>
  <c r="AQ125" i="41"/>
  <c r="AQ126" i="41"/>
  <c r="AQ127" i="41"/>
  <c r="AQ128" i="41"/>
  <c r="AQ129" i="41"/>
  <c r="AQ130" i="41"/>
  <c r="AQ131" i="41"/>
  <c r="AQ132" i="41"/>
  <c r="AQ133" i="41"/>
  <c r="AQ134" i="41"/>
  <c r="AQ135" i="41"/>
  <c r="AQ136" i="41"/>
  <c r="AQ137" i="41"/>
  <c r="AQ138" i="41"/>
  <c r="AQ139" i="41"/>
  <c r="AQ140" i="41"/>
  <c r="AQ141" i="41"/>
  <c r="AQ142" i="41"/>
  <c r="AQ143" i="41"/>
  <c r="AQ144" i="41"/>
  <c r="AQ145" i="41"/>
  <c r="AQ146" i="41"/>
  <c r="AQ147" i="41"/>
  <c r="AQ148" i="41"/>
  <c r="AQ149" i="41"/>
  <c r="AQ150" i="41"/>
  <c r="AQ151" i="41"/>
  <c r="AQ152" i="41"/>
  <c r="AQ153" i="41"/>
  <c r="AQ154" i="41"/>
  <c r="AQ155" i="41"/>
  <c r="AQ156" i="41"/>
  <c r="AQ157" i="41"/>
  <c r="AQ158" i="41"/>
  <c r="AQ159" i="41"/>
  <c r="AQ160" i="41"/>
  <c r="AQ161" i="41"/>
  <c r="AQ162" i="41"/>
  <c r="AQ163" i="41"/>
  <c r="AQ164" i="41"/>
  <c r="AQ165" i="41"/>
  <c r="AQ166" i="41"/>
  <c r="AQ167" i="41"/>
  <c r="AQ168" i="41"/>
  <c r="AQ169" i="41"/>
  <c r="AQ170" i="41"/>
  <c r="AQ171" i="41"/>
  <c r="AQ172" i="41"/>
  <c r="AQ173" i="41"/>
  <c r="AQ174" i="41"/>
  <c r="AQ175" i="41"/>
  <c r="AQ176" i="41"/>
  <c r="AQ177" i="41"/>
  <c r="AQ178" i="41"/>
  <c r="AQ179" i="41"/>
  <c r="AQ180" i="41"/>
  <c r="AQ181" i="41"/>
  <c r="AQ182" i="41"/>
  <c r="AQ183" i="41"/>
  <c r="AQ184" i="41"/>
  <c r="AQ185" i="41"/>
  <c r="AQ186" i="41"/>
  <c r="AQ187" i="41"/>
  <c r="AQ188" i="41"/>
  <c r="AQ189" i="41"/>
  <c r="AQ190" i="41"/>
  <c r="AQ191" i="41"/>
  <c r="AQ192" i="41"/>
  <c r="AQ193" i="41"/>
  <c r="AQ194" i="41"/>
  <c r="AQ195" i="41"/>
  <c r="AQ196" i="41"/>
  <c r="AQ197" i="41"/>
  <c r="AQ198" i="41"/>
  <c r="AQ199" i="41"/>
  <c r="AQ200" i="41"/>
  <c r="AQ201" i="41"/>
  <c r="AQ202" i="41"/>
  <c r="AQ203" i="41"/>
  <c r="AQ204" i="41"/>
  <c r="AQ205" i="41"/>
  <c r="AQ206" i="41"/>
  <c r="AQ207" i="41"/>
  <c r="AQ208" i="41"/>
  <c r="AQ209" i="41"/>
  <c r="AQ210" i="41"/>
  <c r="AQ211" i="41"/>
  <c r="AQ212" i="41"/>
  <c r="AQ213" i="41"/>
  <c r="AQ214" i="41"/>
  <c r="AQ215" i="41"/>
  <c r="AQ216" i="41"/>
  <c r="AQ217" i="41"/>
  <c r="AQ218" i="41"/>
  <c r="AQ219" i="41"/>
  <c r="AQ220" i="41"/>
  <c r="AQ221" i="41"/>
  <c r="AQ222" i="41"/>
  <c r="AQ223" i="41"/>
  <c r="AQ224" i="41"/>
  <c r="AQ225" i="41"/>
  <c r="AQ226" i="41"/>
  <c r="AQ227" i="41"/>
  <c r="AQ228" i="41"/>
  <c r="AQ229" i="41"/>
  <c r="AQ230" i="41"/>
  <c r="AQ231" i="41"/>
  <c r="AQ232" i="41"/>
  <c r="AQ233" i="41"/>
  <c r="AQ234" i="41"/>
  <c r="AQ235" i="41"/>
  <c r="AQ236" i="41"/>
  <c r="AQ237" i="41"/>
  <c r="AQ238" i="41"/>
  <c r="AQ239" i="41"/>
  <c r="AQ240" i="41"/>
  <c r="AQ241" i="41"/>
  <c r="AQ242" i="41"/>
  <c r="AQ243" i="41"/>
  <c r="AQ244" i="41"/>
  <c r="AQ245" i="41"/>
  <c r="AQ246" i="41"/>
  <c r="AQ247" i="41"/>
  <c r="AQ248" i="41"/>
  <c r="AQ249" i="41"/>
  <c r="AQ250" i="41"/>
  <c r="AQ251" i="41"/>
  <c r="AQ252" i="41"/>
  <c r="AQ253" i="41"/>
  <c r="AQ254" i="41"/>
  <c r="AQ255" i="41"/>
  <c r="AQ256" i="41"/>
  <c r="AQ257" i="41"/>
  <c r="AQ258" i="41"/>
  <c r="AQ259" i="41"/>
  <c r="AQ260" i="41"/>
  <c r="AQ261" i="41"/>
  <c r="AQ262" i="41"/>
  <c r="AQ263" i="41"/>
  <c r="AQ264" i="41"/>
  <c r="AQ265" i="41"/>
  <c r="AQ266" i="41"/>
  <c r="AQ267" i="41"/>
  <c r="AQ268" i="41"/>
  <c r="AQ269" i="41"/>
  <c r="AQ270" i="41"/>
  <c r="AQ271" i="41"/>
  <c r="AQ272" i="41"/>
  <c r="AQ273" i="41"/>
  <c r="AQ274" i="41"/>
  <c r="AQ275" i="41"/>
  <c r="AQ276" i="41"/>
  <c r="AQ277" i="41"/>
  <c r="AQ278" i="41"/>
  <c r="AQ279" i="41"/>
  <c r="AQ280" i="41"/>
  <c r="AQ281" i="41"/>
  <c r="AQ282" i="41"/>
  <c r="AQ283" i="41"/>
  <c r="AQ284" i="41"/>
  <c r="AQ285" i="41"/>
  <c r="AQ286" i="41"/>
  <c r="AQ287" i="41"/>
  <c r="AQ288" i="41"/>
  <c r="AQ289" i="41"/>
  <c r="AQ290" i="41"/>
  <c r="AQ291" i="41"/>
  <c r="AQ292" i="41"/>
  <c r="AQ293" i="41"/>
  <c r="AQ294" i="41"/>
  <c r="AQ295" i="41"/>
  <c r="AQ296" i="41"/>
  <c r="AQ297" i="41"/>
  <c r="AQ298" i="41"/>
  <c r="AQ299" i="41"/>
  <c r="AQ300" i="41"/>
  <c r="AQ301" i="41"/>
  <c r="AQ302" i="41"/>
  <c r="AQ303" i="41"/>
  <c r="AQ304" i="41"/>
  <c r="AQ305" i="41"/>
  <c r="AQ306" i="41"/>
  <c r="AQ307" i="41"/>
  <c r="AQ308" i="41"/>
  <c r="AQ309" i="41"/>
  <c r="AQ310" i="41"/>
  <c r="AQ311" i="41"/>
  <c r="AQ312" i="41"/>
  <c r="AQ313" i="41"/>
  <c r="AQ314" i="41"/>
  <c r="AQ315" i="41"/>
  <c r="AQ316" i="41"/>
  <c r="AQ317" i="41"/>
  <c r="AQ318" i="41"/>
  <c r="AQ319" i="41"/>
  <c r="AQ320" i="41"/>
  <c r="AQ321" i="41"/>
  <c r="AQ322" i="41"/>
  <c r="AQ323" i="41"/>
  <c r="AQ324" i="41"/>
  <c r="AQ325" i="41"/>
  <c r="AQ326" i="41"/>
  <c r="AQ327" i="41"/>
  <c r="AQ328" i="41"/>
  <c r="AQ329" i="41"/>
  <c r="AQ330" i="41"/>
  <c r="AQ331" i="41"/>
  <c r="AQ332" i="41"/>
  <c r="AQ333" i="41"/>
  <c r="AQ334" i="41"/>
  <c r="AQ335" i="41"/>
  <c r="AQ336" i="41"/>
  <c r="AQ337" i="41"/>
  <c r="AQ338" i="41"/>
  <c r="AQ339" i="41"/>
  <c r="AQ340" i="41"/>
  <c r="AQ341" i="41"/>
  <c r="AQ342" i="41"/>
  <c r="AQ343" i="41"/>
  <c r="AQ344" i="41"/>
  <c r="AQ345" i="41"/>
  <c r="AQ346" i="41"/>
  <c r="AQ347" i="41"/>
  <c r="W2" i="42"/>
  <c r="AM6" i="44"/>
  <c r="N6" i="29"/>
  <c r="Z21" i="29"/>
  <c r="Z22" i="29"/>
  <c r="Z23" i="29"/>
  <c r="Z24" i="29"/>
  <c r="Z25" i="29"/>
  <c r="Z26" i="29"/>
  <c r="Z27" i="29"/>
  <c r="Z28" i="29"/>
  <c r="Z29" i="29"/>
  <c r="Z30" i="29"/>
  <c r="Z20" i="29"/>
  <c r="L1" i="29"/>
  <c r="M1" i="29"/>
  <c r="I18" i="29"/>
  <c r="J57" i="29"/>
  <c r="J58" i="29"/>
  <c r="J59" i="29"/>
  <c r="J60" i="29"/>
  <c r="O1" i="29" l="1"/>
  <c r="N1" i="29"/>
  <c r="K1" i="29"/>
  <c r="I1" i="29"/>
  <c r="H1" i="29"/>
  <c r="G1" i="29"/>
  <c r="F1" i="29"/>
  <c r="E1" i="29"/>
  <c r="D1" i="29"/>
  <c r="A3" i="49"/>
  <c r="P14" i="50" l="1"/>
  <c r="G37" i="50"/>
  <c r="O37" i="50" s="1"/>
  <c r="U32" i="29" l="1"/>
  <c r="V32" i="29"/>
  <c r="W32" i="29"/>
  <c r="X32" i="29"/>
  <c r="Y32" i="29"/>
  <c r="T32" i="29"/>
  <c r="G37" i="29" l="1"/>
  <c r="M5" i="25" l="1"/>
  <c r="N5" i="25"/>
  <c r="O5" i="25"/>
  <c r="E1" i="46" l="1"/>
  <c r="F1" i="46"/>
  <c r="G1" i="46"/>
  <c r="H1" i="46"/>
  <c r="I1" i="46"/>
  <c r="J1" i="46"/>
  <c r="K1" i="46"/>
  <c r="L1" i="46"/>
  <c r="M1" i="46"/>
  <c r="N1" i="46"/>
  <c r="O1" i="46"/>
  <c r="P1" i="46"/>
  <c r="Q1" i="46"/>
  <c r="R1" i="46"/>
  <c r="S1" i="46"/>
  <c r="T1" i="46"/>
  <c r="U1" i="46"/>
  <c r="W1" i="46"/>
  <c r="X1" i="46"/>
  <c r="Y1" i="46"/>
  <c r="D1" i="46"/>
  <c r="AV32" i="44"/>
  <c r="AP25" i="41" s="1"/>
  <c r="AV44" i="44"/>
  <c r="AP37" i="41" s="1"/>
  <c r="AV56" i="44"/>
  <c r="AP49" i="41" s="1"/>
  <c r="AV68" i="44"/>
  <c r="AP61" i="41" s="1"/>
  <c r="AV80" i="44"/>
  <c r="AP73" i="41" s="1"/>
  <c r="AV92" i="44"/>
  <c r="AP85" i="41" s="1"/>
  <c r="AV104" i="44"/>
  <c r="AP97" i="41" s="1"/>
  <c r="AV116" i="44"/>
  <c r="AP109" i="41" s="1"/>
  <c r="AV128" i="44"/>
  <c r="AP121" i="41" s="1"/>
  <c r="AV140" i="44"/>
  <c r="AP133" i="41" s="1"/>
  <c r="AV152" i="44"/>
  <c r="AP145" i="41" s="1"/>
  <c r="AV164" i="44"/>
  <c r="AP157" i="41" s="1"/>
  <c r="AV176" i="44"/>
  <c r="AP169" i="41" s="1"/>
  <c r="AV200" i="44"/>
  <c r="AP193" i="41" s="1"/>
  <c r="AV212" i="44"/>
  <c r="AP205" i="41" s="1"/>
  <c r="AV224" i="44"/>
  <c r="AP217" i="41" s="1"/>
  <c r="AV236" i="44"/>
  <c r="AP229" i="41" s="1"/>
  <c r="AV248" i="44"/>
  <c r="AP241" i="41" s="1"/>
  <c r="AV260" i="44"/>
  <c r="AP253" i="41" s="1"/>
  <c r="AV272" i="44"/>
  <c r="AP265" i="41" s="1"/>
  <c r="AV284" i="44"/>
  <c r="AP277" i="41" s="1"/>
  <c r="AV296" i="44"/>
  <c r="AP289" i="41" s="1"/>
  <c r="AV308" i="44"/>
  <c r="AP301" i="41" s="1"/>
  <c r="AV320" i="44"/>
  <c r="AP313" i="41" s="1"/>
  <c r="AV332" i="44"/>
  <c r="AP325" i="41" s="1"/>
  <c r="AV344" i="44"/>
  <c r="AP337" i="41" s="1"/>
  <c r="AV20" i="44"/>
  <c r="AP13" i="41" s="1"/>
  <c r="AV188" i="44"/>
  <c r="AP181" i="41" s="1"/>
  <c r="AU20" i="44"/>
  <c r="AN13" i="41" s="1"/>
  <c r="AU32" i="44"/>
  <c r="AN25" i="41" s="1"/>
  <c r="AU44" i="44"/>
  <c r="AN37" i="41" s="1"/>
  <c r="AU56" i="44"/>
  <c r="AN49" i="41" s="1"/>
  <c r="AU80" i="44"/>
  <c r="AN73" i="41" s="1"/>
  <c r="AU92" i="44"/>
  <c r="AN85" i="41" s="1"/>
  <c r="AU104" i="44"/>
  <c r="AN97" i="41" s="1"/>
  <c r="AU116" i="44"/>
  <c r="AN109" i="41" s="1"/>
  <c r="AU128" i="44"/>
  <c r="AN121" i="41" s="1"/>
  <c r="AU140" i="44"/>
  <c r="AN133" i="41" s="1"/>
  <c r="AU152" i="44"/>
  <c r="AN145" i="41" s="1"/>
  <c r="AU164" i="44"/>
  <c r="AN157" i="41" s="1"/>
  <c r="AU188" i="44"/>
  <c r="AN181" i="41" s="1"/>
  <c r="AU200" i="44"/>
  <c r="AN193" i="41" s="1"/>
  <c r="AU212" i="44"/>
  <c r="AN205" i="41" s="1"/>
  <c r="AU224" i="44"/>
  <c r="AN217" i="41" s="1"/>
  <c r="AU236" i="44"/>
  <c r="AN229" i="41" s="1"/>
  <c r="AU260" i="44"/>
  <c r="AN253" i="41" s="1"/>
  <c r="AU272" i="44"/>
  <c r="AN265" i="41" s="1"/>
  <c r="AU284" i="44"/>
  <c r="AN277" i="41" s="1"/>
  <c r="AU296" i="44"/>
  <c r="AN289" i="41" s="1"/>
  <c r="AU308" i="44"/>
  <c r="AN301" i="41" s="1"/>
  <c r="AU320" i="44"/>
  <c r="AN313" i="41" s="1"/>
  <c r="AU332" i="44"/>
  <c r="AN325" i="41" s="1"/>
  <c r="AU344" i="44"/>
  <c r="AN337" i="41" s="1"/>
  <c r="AT20" i="44"/>
  <c r="AL13" i="41" s="1"/>
  <c r="AT32" i="44"/>
  <c r="AL25" i="41" s="1"/>
  <c r="AT44" i="44"/>
  <c r="AL37" i="41" s="1"/>
  <c r="AT56" i="44"/>
  <c r="AL49" i="41" s="1"/>
  <c r="AT68" i="44"/>
  <c r="AL61" i="41" s="1"/>
  <c r="AT80" i="44"/>
  <c r="AL73" i="41" s="1"/>
  <c r="AT92" i="44"/>
  <c r="AL85" i="41" s="1"/>
  <c r="AT104" i="44"/>
  <c r="AL97" i="41" s="1"/>
  <c r="AT128" i="44"/>
  <c r="AL121" i="41" s="1"/>
  <c r="AT140" i="44"/>
  <c r="AL133" i="41" s="1"/>
  <c r="AT152" i="44"/>
  <c r="AL145" i="41" s="1"/>
  <c r="AT164" i="44"/>
  <c r="AL157" i="41" s="1"/>
  <c r="AT176" i="44"/>
  <c r="AL169" i="41" s="1"/>
  <c r="AT200" i="44"/>
  <c r="AL193" i="41" s="1"/>
  <c r="AT212" i="44"/>
  <c r="AL205" i="41" s="1"/>
  <c r="AT224" i="44"/>
  <c r="AL217" i="41" s="1"/>
  <c r="AT236" i="44"/>
  <c r="AL229" i="41" s="1"/>
  <c r="AT248" i="44"/>
  <c r="AL241" i="41" s="1"/>
  <c r="AT260" i="44"/>
  <c r="AL253" i="41" s="1"/>
  <c r="AT272" i="44"/>
  <c r="AL265" i="41" s="1"/>
  <c r="AT284" i="44"/>
  <c r="AL277" i="41" s="1"/>
  <c r="AT296" i="44"/>
  <c r="AL289" i="41" s="1"/>
  <c r="AT320" i="44"/>
  <c r="AL313" i="41" s="1"/>
  <c r="AT332" i="44"/>
  <c r="AL325" i="41" s="1"/>
  <c r="AT344" i="44"/>
  <c r="AL337" i="41" s="1"/>
  <c r="AS19" i="44"/>
  <c r="AJ12" i="41" s="1"/>
  <c r="AS31" i="44"/>
  <c r="AJ24" i="41" s="1"/>
  <c r="AS32" i="44"/>
  <c r="AJ25" i="41" s="1"/>
  <c r="AS43" i="44"/>
  <c r="AJ36" i="41" s="1"/>
  <c r="AS44" i="44"/>
  <c r="AJ37" i="41" s="1"/>
  <c r="AS55" i="44"/>
  <c r="AJ48" i="41" s="1"/>
  <c r="AS56" i="44"/>
  <c r="AJ49" i="41" s="1"/>
  <c r="AS68" i="44"/>
  <c r="AJ61" i="41" s="1"/>
  <c r="AS80" i="44"/>
  <c r="AJ73" i="41" s="1"/>
  <c r="AS92" i="44"/>
  <c r="AJ85" i="41" s="1"/>
  <c r="AS103" i="44"/>
  <c r="AJ96" i="41" s="1"/>
  <c r="AS115" i="44"/>
  <c r="AJ108" i="41" s="1"/>
  <c r="AS116" i="44"/>
  <c r="AJ109" i="41" s="1"/>
  <c r="AS128" i="44"/>
  <c r="AJ121" i="41" s="1"/>
  <c r="AS140" i="44"/>
  <c r="AJ133" i="41" s="1"/>
  <c r="AS152" i="44"/>
  <c r="AJ145" i="41" s="1"/>
  <c r="AS164" i="44"/>
  <c r="AJ157" i="41" s="1"/>
  <c r="AS175" i="44"/>
  <c r="AJ168" i="41" s="1"/>
  <c r="AS176" i="44"/>
  <c r="AJ169" i="41" s="1"/>
  <c r="AS187" i="44"/>
  <c r="AJ180" i="41" s="1"/>
  <c r="AS199" i="44"/>
  <c r="AJ192" i="41" s="1"/>
  <c r="AS200" i="44"/>
  <c r="AJ193" i="41" s="1"/>
  <c r="AS201" i="44"/>
  <c r="AJ194" i="41" s="1"/>
  <c r="AS211" i="44"/>
  <c r="AJ204" i="41" s="1"/>
  <c r="AS212" i="44"/>
  <c r="AJ205" i="41" s="1"/>
  <c r="AS223" i="44"/>
  <c r="AJ216" i="41" s="1"/>
  <c r="AS224" i="44"/>
  <c r="AJ217" i="41" s="1"/>
  <c r="AS235" i="44"/>
  <c r="AJ228" i="41" s="1"/>
  <c r="AS236" i="44"/>
  <c r="AJ229" i="41" s="1"/>
  <c r="AS237" i="44"/>
  <c r="AJ230" i="41" s="1"/>
  <c r="AS247" i="44"/>
  <c r="AJ240" i="41" s="1"/>
  <c r="AS248" i="44"/>
  <c r="AJ241" i="41" s="1"/>
  <c r="AS249" i="44"/>
  <c r="AJ242" i="41" s="1"/>
  <c r="AS259" i="44"/>
  <c r="AJ252" i="41" s="1"/>
  <c r="AS260" i="44"/>
  <c r="AJ253" i="41" s="1"/>
  <c r="AS271" i="44"/>
  <c r="AJ264" i="41" s="1"/>
  <c r="AS272" i="44"/>
  <c r="AJ265" i="41" s="1"/>
  <c r="AS283" i="44"/>
  <c r="AJ276" i="41" s="1"/>
  <c r="AS284" i="44"/>
  <c r="AJ277" i="41" s="1"/>
  <c r="AS295" i="44"/>
  <c r="AJ288" i="41" s="1"/>
  <c r="AS296" i="44"/>
  <c r="AJ289" i="41" s="1"/>
  <c r="AS297" i="44"/>
  <c r="AJ290" i="41" s="1"/>
  <c r="AS307" i="44"/>
  <c r="AJ300" i="41" s="1"/>
  <c r="AS308" i="44"/>
  <c r="AJ301" i="41" s="1"/>
  <c r="AS319" i="44"/>
  <c r="AJ312" i="41" s="1"/>
  <c r="AS320" i="44"/>
  <c r="AJ313" i="41" s="1"/>
  <c r="AS321" i="44"/>
  <c r="AJ314" i="41" s="1"/>
  <c r="AS331" i="44"/>
  <c r="AJ324" i="41" s="1"/>
  <c r="AS332" i="44"/>
  <c r="AJ325" i="41" s="1"/>
  <c r="AS333" i="44"/>
  <c r="AJ326" i="41" s="1"/>
  <c r="AS343" i="44"/>
  <c r="AJ336" i="41" s="1"/>
  <c r="AS344" i="44"/>
  <c r="AJ337" i="41" s="1"/>
  <c r="AS20" i="44"/>
  <c r="AJ13" i="41" s="1"/>
  <c r="AS21" i="44"/>
  <c r="AJ14" i="41" s="1"/>
  <c r="AS33" i="44"/>
  <c r="AJ26" i="41" s="1"/>
  <c r="AS45" i="44"/>
  <c r="AJ38" i="41" s="1"/>
  <c r="AS57" i="44"/>
  <c r="AJ50" i="41" s="1"/>
  <c r="AS69" i="44"/>
  <c r="AJ62" i="41" s="1"/>
  <c r="AS81" i="44"/>
  <c r="AJ74" i="41" s="1"/>
  <c r="AS93" i="44"/>
  <c r="AJ86" i="41" s="1"/>
  <c r="AS104" i="44"/>
  <c r="AJ97" i="41" s="1"/>
  <c r="AS105" i="44"/>
  <c r="AJ98" i="41" s="1"/>
  <c r="AS117" i="44"/>
  <c r="AJ110" i="41" s="1"/>
  <c r="AS129" i="44"/>
  <c r="AJ122" i="41" s="1"/>
  <c r="AS141" i="44"/>
  <c r="AJ134" i="41" s="1"/>
  <c r="AS153" i="44"/>
  <c r="AJ146" i="41" s="1"/>
  <c r="AS165" i="44"/>
  <c r="AJ158" i="41" s="1"/>
  <c r="AS188" i="44"/>
  <c r="AJ181" i="41" s="1"/>
  <c r="AS189" i="44"/>
  <c r="AJ182" i="41" s="1"/>
  <c r="AS213" i="44"/>
  <c r="AJ206" i="41" s="1"/>
  <c r="AS225" i="44"/>
  <c r="AJ218" i="41" s="1"/>
  <c r="AS273" i="44"/>
  <c r="AJ266" i="41" s="1"/>
  <c r="AS285" i="44"/>
  <c r="AJ278" i="41" s="1"/>
  <c r="AS309" i="44"/>
  <c r="AJ302" i="41" s="1"/>
  <c r="AS345" i="44"/>
  <c r="AJ338" i="41" s="1"/>
  <c r="AR20" i="44"/>
  <c r="AH13" i="41" s="1"/>
  <c r="AR32" i="44"/>
  <c r="AH25" i="41" s="1"/>
  <c r="AR44" i="44"/>
  <c r="AH37" i="41" s="1"/>
  <c r="AR56" i="44"/>
  <c r="AH49" i="41" s="1"/>
  <c r="AR80" i="44"/>
  <c r="AH73" i="41" s="1"/>
  <c r="AR92" i="44"/>
  <c r="AH85" i="41" s="1"/>
  <c r="AR116" i="44"/>
  <c r="AH109" i="41" s="1"/>
  <c r="AR128" i="44"/>
  <c r="AH121" i="41" s="1"/>
  <c r="AR140" i="44"/>
  <c r="AH133" i="41" s="1"/>
  <c r="AR152" i="44"/>
  <c r="AH145" i="41" s="1"/>
  <c r="AR164" i="44"/>
  <c r="AH157" i="41" s="1"/>
  <c r="AR176" i="44"/>
  <c r="AH169" i="41" s="1"/>
  <c r="AR188" i="44"/>
  <c r="AH181" i="41" s="1"/>
  <c r="AR200" i="44"/>
  <c r="AH193" i="41" s="1"/>
  <c r="AR212" i="44"/>
  <c r="AH205" i="41" s="1"/>
  <c r="AR224" i="44"/>
  <c r="AH217" i="41" s="1"/>
  <c r="AR236" i="44"/>
  <c r="AH229" i="41" s="1"/>
  <c r="AR248" i="44"/>
  <c r="AH241" i="41" s="1"/>
  <c r="AR260" i="44"/>
  <c r="AH253" i="41" s="1"/>
  <c r="AR284" i="44"/>
  <c r="AH277" i="41" s="1"/>
  <c r="AR296" i="44"/>
  <c r="AH289" i="41" s="1"/>
  <c r="AR308" i="44"/>
  <c r="AH301" i="41" s="1"/>
  <c r="AR320" i="44"/>
  <c r="AH313" i="41" s="1"/>
  <c r="AR332" i="44"/>
  <c r="AH325" i="41" s="1"/>
  <c r="AR344" i="44"/>
  <c r="AH337" i="41" s="1"/>
  <c r="AR68" i="44"/>
  <c r="AH61" i="41" s="1"/>
  <c r="AQ32" i="44"/>
  <c r="AO25" i="41" s="1"/>
  <c r="AQ44" i="44"/>
  <c r="AO37" i="41" s="1"/>
  <c r="AQ56" i="44"/>
  <c r="AO49" i="41" s="1"/>
  <c r="AQ68" i="44"/>
  <c r="AO61" i="41" s="1"/>
  <c r="AQ80" i="44"/>
  <c r="AO73" i="41" s="1"/>
  <c r="AQ92" i="44"/>
  <c r="AO85" i="41" s="1"/>
  <c r="AQ104" i="44"/>
  <c r="AO97" i="41" s="1"/>
  <c r="AQ116" i="44"/>
  <c r="AO109" i="41" s="1"/>
  <c r="AQ128" i="44"/>
  <c r="AO121" i="41" s="1"/>
  <c r="AQ140" i="44"/>
  <c r="AO133" i="41" s="1"/>
  <c r="AQ152" i="44"/>
  <c r="AO145" i="41" s="1"/>
  <c r="AQ176" i="44"/>
  <c r="AO169" i="41" s="1"/>
  <c r="AQ188" i="44"/>
  <c r="AO181" i="41" s="1"/>
  <c r="AQ200" i="44"/>
  <c r="AO193" i="41" s="1"/>
  <c r="AQ212" i="44"/>
  <c r="AO205" i="41" s="1"/>
  <c r="AQ224" i="44"/>
  <c r="AO217" i="41" s="1"/>
  <c r="AQ236" i="44"/>
  <c r="AO229" i="41" s="1"/>
  <c r="AQ248" i="44"/>
  <c r="AO241" i="41" s="1"/>
  <c r="AQ260" i="44"/>
  <c r="AO253" i="41" s="1"/>
  <c r="AQ272" i="44"/>
  <c r="AO265" i="41" s="1"/>
  <c r="AQ284" i="44"/>
  <c r="AO277" i="41" s="1"/>
  <c r="AQ296" i="44"/>
  <c r="AO289" i="41" s="1"/>
  <c r="AQ320" i="44"/>
  <c r="AO313" i="41" s="1"/>
  <c r="AQ332" i="44"/>
  <c r="AO325" i="41" s="1"/>
  <c r="AQ344" i="44"/>
  <c r="AO337" i="41" s="1"/>
  <c r="AQ20" i="44"/>
  <c r="AO13" i="41" s="1"/>
  <c r="AQ164" i="44"/>
  <c r="AO157" i="41" s="1"/>
  <c r="AQ308" i="44"/>
  <c r="AO301" i="41" s="1"/>
  <c r="AQ21" i="44"/>
  <c r="AO14" i="41" s="1"/>
  <c r="AQ33" i="44"/>
  <c r="AO26" i="41" s="1"/>
  <c r="AQ45" i="44"/>
  <c r="AO38" i="41" s="1"/>
  <c r="AQ57" i="44"/>
  <c r="AO50" i="41" s="1"/>
  <c r="AQ69" i="44"/>
  <c r="AO62" i="41" s="1"/>
  <c r="AQ81" i="44"/>
  <c r="AO74" i="41" s="1"/>
  <c r="AQ93" i="44"/>
  <c r="AO86" i="41" s="1"/>
  <c r="AQ105" i="44"/>
  <c r="AO98" i="41" s="1"/>
  <c r="AQ117" i="44"/>
  <c r="AO110" i="41" s="1"/>
  <c r="AQ129" i="44"/>
  <c r="AO122" i="41" s="1"/>
  <c r="AQ141" i="44"/>
  <c r="AO134" i="41" s="1"/>
  <c r="AQ153" i="44"/>
  <c r="AO146" i="41" s="1"/>
  <c r="AQ177" i="44"/>
  <c r="AO170" i="41" s="1"/>
  <c r="AQ189" i="44"/>
  <c r="AO182" i="41" s="1"/>
  <c r="AQ201" i="44"/>
  <c r="AO194" i="41" s="1"/>
  <c r="AQ213" i="44"/>
  <c r="AO206" i="41" s="1"/>
  <c r="AQ225" i="44"/>
  <c r="AO218" i="41" s="1"/>
  <c r="AQ237" i="44"/>
  <c r="AO230" i="41" s="1"/>
  <c r="AQ249" i="44"/>
  <c r="AO242" i="41" s="1"/>
  <c r="AQ261" i="44"/>
  <c r="AO254" i="41" s="1"/>
  <c r="AQ273" i="44"/>
  <c r="AO266" i="41" s="1"/>
  <c r="AQ285" i="44"/>
  <c r="AO278" i="41" s="1"/>
  <c r="AQ297" i="44"/>
  <c r="AO290" i="41" s="1"/>
  <c r="AQ309" i="44"/>
  <c r="AO302" i="41" s="1"/>
  <c r="AQ321" i="44"/>
  <c r="AO314" i="41" s="1"/>
  <c r="AQ333" i="44"/>
  <c r="AO326" i="41" s="1"/>
  <c r="AQ345" i="44"/>
  <c r="AO338" i="41" s="1"/>
  <c r="AP20" i="44"/>
  <c r="AM13" i="41" s="1"/>
  <c r="AP31" i="44"/>
  <c r="AM24" i="41" s="1"/>
  <c r="AP32" i="44"/>
  <c r="AM25" i="41" s="1"/>
  <c r="AP43" i="44"/>
  <c r="AM36" i="41" s="1"/>
  <c r="AP44" i="44"/>
  <c r="AM37" i="41" s="1"/>
  <c r="AP55" i="44"/>
  <c r="AM48" i="41" s="1"/>
  <c r="AP56" i="44"/>
  <c r="AM49" i="41" s="1"/>
  <c r="AP67" i="44"/>
  <c r="AM60" i="41" s="1"/>
  <c r="AP68" i="44"/>
  <c r="AM61" i="41" s="1"/>
  <c r="AP79" i="44"/>
  <c r="AM72" i="41" s="1"/>
  <c r="AP80" i="44"/>
  <c r="AM73" i="41" s="1"/>
  <c r="AP91" i="44"/>
  <c r="AM84" i="41" s="1"/>
  <c r="AP92" i="44"/>
  <c r="AM85" i="41" s="1"/>
  <c r="AP103" i="44"/>
  <c r="AM96" i="41" s="1"/>
  <c r="AP104" i="44"/>
  <c r="AM97" i="41" s="1"/>
  <c r="AP115" i="44"/>
  <c r="AM108" i="41" s="1"/>
  <c r="AP116" i="44"/>
  <c r="AM109" i="41" s="1"/>
  <c r="AP127" i="44"/>
  <c r="AM120" i="41" s="1"/>
  <c r="AP128" i="44"/>
  <c r="AM121" i="41" s="1"/>
  <c r="AP139" i="44"/>
  <c r="AM132" i="41" s="1"/>
  <c r="AP140" i="44"/>
  <c r="AM133" i="41" s="1"/>
  <c r="AP151" i="44"/>
  <c r="AM144" i="41" s="1"/>
  <c r="AP152" i="44"/>
  <c r="AM145" i="41" s="1"/>
  <c r="AP163" i="44"/>
  <c r="AM156" i="41" s="1"/>
  <c r="AP176" i="44"/>
  <c r="AM169" i="41" s="1"/>
  <c r="AP187" i="44"/>
  <c r="AM180" i="41" s="1"/>
  <c r="AP188" i="44"/>
  <c r="AM181" i="41" s="1"/>
  <c r="AP199" i="44"/>
  <c r="AM192" i="41" s="1"/>
  <c r="AP200" i="44"/>
  <c r="AM193" i="41" s="1"/>
  <c r="AP211" i="44"/>
  <c r="AM204" i="41" s="1"/>
  <c r="AP212" i="44"/>
  <c r="AM205" i="41" s="1"/>
  <c r="AP223" i="44"/>
  <c r="AM216" i="41" s="1"/>
  <c r="AP224" i="44"/>
  <c r="AM217" i="41" s="1"/>
  <c r="AP235" i="44"/>
  <c r="AM228" i="41" s="1"/>
  <c r="AP236" i="44"/>
  <c r="AM229" i="41" s="1"/>
  <c r="AP247" i="44"/>
  <c r="AM240" i="41" s="1"/>
  <c r="AP248" i="44"/>
  <c r="AM241" i="41" s="1"/>
  <c r="AP259" i="44"/>
  <c r="AM252" i="41" s="1"/>
  <c r="AP260" i="44"/>
  <c r="AM253" i="41" s="1"/>
  <c r="AP271" i="44"/>
  <c r="AM264" i="41" s="1"/>
  <c r="AP272" i="44"/>
  <c r="AM265" i="41" s="1"/>
  <c r="AP283" i="44"/>
  <c r="AM276" i="41" s="1"/>
  <c r="AP284" i="44"/>
  <c r="AM277" i="41" s="1"/>
  <c r="AP295" i="44"/>
  <c r="AM288" i="41" s="1"/>
  <c r="AP296" i="44"/>
  <c r="AM289" i="41" s="1"/>
  <c r="AP308" i="44"/>
  <c r="AM301" i="41" s="1"/>
  <c r="AP319" i="44"/>
  <c r="AM312" i="41" s="1"/>
  <c r="AP320" i="44"/>
  <c r="AM313" i="41" s="1"/>
  <c r="AP332" i="44"/>
  <c r="AM325" i="41" s="1"/>
  <c r="AP343" i="44"/>
  <c r="AM336" i="41" s="1"/>
  <c r="AP344" i="44"/>
  <c r="AM337" i="41" s="1"/>
  <c r="AO20" i="44"/>
  <c r="AK13" i="41" s="1"/>
  <c r="AO44" i="44"/>
  <c r="AK37" i="41" s="1"/>
  <c r="AO56" i="44"/>
  <c r="AK49" i="41" s="1"/>
  <c r="AO68" i="44"/>
  <c r="AK61" i="41" s="1"/>
  <c r="AO80" i="44"/>
  <c r="AK73" i="41" s="1"/>
  <c r="AO104" i="44"/>
  <c r="AK97" i="41" s="1"/>
  <c r="AO116" i="44"/>
  <c r="AK109" i="41" s="1"/>
  <c r="AO128" i="44"/>
  <c r="AK121" i="41" s="1"/>
  <c r="AO140" i="44"/>
  <c r="AK133" i="41" s="1"/>
  <c r="AO152" i="44"/>
  <c r="AK145" i="41" s="1"/>
  <c r="AO164" i="44"/>
  <c r="AK157" i="41" s="1"/>
  <c r="AO176" i="44"/>
  <c r="AK169" i="41" s="1"/>
  <c r="AO200" i="44"/>
  <c r="AK193" i="41" s="1"/>
  <c r="AO212" i="44"/>
  <c r="AK205" i="41" s="1"/>
  <c r="AO224" i="44"/>
  <c r="AK217" i="41" s="1"/>
  <c r="AO236" i="44"/>
  <c r="AK229" i="41" s="1"/>
  <c r="AO248" i="44"/>
  <c r="AK241" i="41" s="1"/>
  <c r="AO260" i="44"/>
  <c r="AK253" i="41" s="1"/>
  <c r="AO272" i="44"/>
  <c r="AK265" i="41" s="1"/>
  <c r="AO284" i="44"/>
  <c r="AK277" i="41" s="1"/>
  <c r="AO296" i="44"/>
  <c r="AK289" i="41" s="1"/>
  <c r="AO308" i="44"/>
  <c r="AK301" i="41" s="1"/>
  <c r="AO320" i="44"/>
  <c r="AK313" i="41" s="1"/>
  <c r="AO332" i="44"/>
  <c r="AK325" i="41" s="1"/>
  <c r="AO344" i="44"/>
  <c r="AK337" i="41" s="1"/>
  <c r="AN20" i="44"/>
  <c r="AI13" i="41" s="1"/>
  <c r="AN32" i="44"/>
  <c r="AI25" i="41" s="1"/>
  <c r="AN44" i="44"/>
  <c r="AI37" i="41" s="1"/>
  <c r="AN56" i="44"/>
  <c r="AI49" i="41" s="1"/>
  <c r="AN68" i="44"/>
  <c r="AI61" i="41" s="1"/>
  <c r="AN80" i="44"/>
  <c r="AI73" i="41" s="1"/>
  <c r="AN92" i="44"/>
  <c r="AI85" i="41" s="1"/>
  <c r="AN104" i="44"/>
  <c r="AI97" i="41" s="1"/>
  <c r="AN116" i="44"/>
  <c r="AI109" i="41" s="1"/>
  <c r="AN128" i="44"/>
  <c r="AI121" i="41" s="1"/>
  <c r="AN140" i="44"/>
  <c r="AI133" i="41" s="1"/>
  <c r="AN164" i="44"/>
  <c r="AI157" i="41" s="1"/>
  <c r="AN176" i="44"/>
  <c r="AI169" i="41" s="1"/>
  <c r="AN200" i="44"/>
  <c r="AI193" i="41" s="1"/>
  <c r="AN212" i="44"/>
  <c r="AI205" i="41" s="1"/>
  <c r="AN224" i="44"/>
  <c r="AI217" i="41" s="1"/>
  <c r="AN236" i="44"/>
  <c r="AI229" i="41" s="1"/>
  <c r="AN248" i="44"/>
  <c r="AI241" i="41" s="1"/>
  <c r="AN260" i="44"/>
  <c r="AI253" i="41" s="1"/>
  <c r="AN272" i="44"/>
  <c r="AI265" i="41" s="1"/>
  <c r="AN284" i="44"/>
  <c r="AI277" i="41" s="1"/>
  <c r="AN296" i="44"/>
  <c r="AI289" i="41" s="1"/>
  <c r="AN320" i="44"/>
  <c r="AI313" i="41" s="1"/>
  <c r="AN332" i="44"/>
  <c r="AI325" i="41" s="1"/>
  <c r="AM20" i="44"/>
  <c r="AG13" i="41" s="1"/>
  <c r="AM44" i="44"/>
  <c r="AG37" i="41" s="1"/>
  <c r="AM56" i="44"/>
  <c r="AG49" i="41" s="1"/>
  <c r="AM68" i="44"/>
  <c r="AG61" i="41" s="1"/>
  <c r="AM80" i="44"/>
  <c r="AG73" i="41" s="1"/>
  <c r="AM92" i="44"/>
  <c r="AG85" i="41" s="1"/>
  <c r="AM104" i="44"/>
  <c r="AG97" i="41" s="1"/>
  <c r="AM116" i="44"/>
  <c r="AG109" i="41" s="1"/>
  <c r="AM128" i="44"/>
  <c r="AG121" i="41" s="1"/>
  <c r="AM140" i="44"/>
  <c r="AG133" i="41" s="1"/>
  <c r="AM152" i="44"/>
  <c r="AG145" i="41" s="1"/>
  <c r="AM164" i="44"/>
  <c r="AG157" i="41" s="1"/>
  <c r="AM188" i="44"/>
  <c r="AG181" i="41" s="1"/>
  <c r="AM200" i="44"/>
  <c r="AG193" i="41" s="1"/>
  <c r="AM212" i="44"/>
  <c r="AG205" i="41" s="1"/>
  <c r="AM224" i="44"/>
  <c r="AG217" i="41" s="1"/>
  <c r="AM236" i="44"/>
  <c r="AG229" i="41" s="1"/>
  <c r="AM248" i="44"/>
  <c r="AG241" i="41" s="1"/>
  <c r="AM260" i="44"/>
  <c r="AG253" i="41" s="1"/>
  <c r="AM272" i="44"/>
  <c r="AG265" i="41" s="1"/>
  <c r="AM284" i="44"/>
  <c r="AG277" i="41" s="1"/>
  <c r="AM296" i="44"/>
  <c r="AG289" i="41" s="1"/>
  <c r="AM308" i="44"/>
  <c r="AG301" i="41" s="1"/>
  <c r="AM320" i="44"/>
  <c r="AG313" i="41" s="1"/>
  <c r="AM332" i="44"/>
  <c r="AG325" i="41" s="1"/>
  <c r="AM32" i="44"/>
  <c r="AG25" i="41" s="1"/>
  <c r="AM176" i="44"/>
  <c r="AG169" i="41" s="1"/>
  <c r="AM344" i="44"/>
  <c r="AG337" i="41" s="1"/>
  <c r="AM21" i="44"/>
  <c r="AG14" i="41" s="1"/>
  <c r="AM33" i="44"/>
  <c r="AG26" i="41" s="1"/>
  <c r="AM45" i="44"/>
  <c r="AG38" i="41" s="1"/>
  <c r="AM57" i="44"/>
  <c r="AG50" i="41" s="1"/>
  <c r="AM69" i="44"/>
  <c r="AG62" i="41" s="1"/>
  <c r="AM81" i="44"/>
  <c r="AG74" i="41" s="1"/>
  <c r="AM93" i="44"/>
  <c r="AG86" i="41" s="1"/>
  <c r="AM105" i="44"/>
  <c r="AG98" i="41" s="1"/>
  <c r="AM117" i="44"/>
  <c r="AG110" i="41" s="1"/>
  <c r="AM129" i="44"/>
  <c r="AG122" i="41" s="1"/>
  <c r="AM141" i="44"/>
  <c r="AG134" i="41" s="1"/>
  <c r="AM153" i="44"/>
  <c r="AG146" i="41" s="1"/>
  <c r="AM165" i="44"/>
  <c r="AG158" i="41" s="1"/>
  <c r="AM177" i="44"/>
  <c r="AG170" i="41" s="1"/>
  <c r="AM189" i="44"/>
  <c r="AG182" i="41" s="1"/>
  <c r="AM201" i="44"/>
  <c r="AG194" i="41" s="1"/>
  <c r="AM213" i="44"/>
  <c r="AG206" i="41" s="1"/>
  <c r="AM225" i="44"/>
  <c r="AG218" i="41" s="1"/>
  <c r="AM237" i="44"/>
  <c r="AG230" i="41" s="1"/>
  <c r="AM249" i="44"/>
  <c r="AG242" i="41" s="1"/>
  <c r="AM261" i="44"/>
  <c r="AG254" i="41" s="1"/>
  <c r="AM273" i="44"/>
  <c r="AG266" i="41" s="1"/>
  <c r="AM285" i="44"/>
  <c r="AG278" i="41" s="1"/>
  <c r="AM297" i="44"/>
  <c r="AG290" i="41" s="1"/>
  <c r="AM309" i="44"/>
  <c r="AG302" i="41" s="1"/>
  <c r="AM321" i="44"/>
  <c r="AG314" i="41" s="1"/>
  <c r="AM333" i="44"/>
  <c r="AG326" i="41" s="1"/>
  <c r="AM345" i="44"/>
  <c r="AG338" i="41" s="1"/>
  <c r="AM18" i="44"/>
  <c r="AG11" i="41" s="1"/>
  <c r="AM30" i="44"/>
  <c r="AG23" i="41" s="1"/>
  <c r="AM31" i="44"/>
  <c r="AG24" i="41" s="1"/>
  <c r="AM43" i="44"/>
  <c r="AG36" i="41" s="1"/>
  <c r="AM54" i="44"/>
  <c r="AG47" i="41" s="1"/>
  <c r="AM55" i="44"/>
  <c r="AG48" i="41" s="1"/>
  <c r="AM66" i="44"/>
  <c r="AG59" i="41" s="1"/>
  <c r="AM67" i="44"/>
  <c r="AG60" i="41" s="1"/>
  <c r="AM78" i="44"/>
  <c r="AG71" i="41" s="1"/>
  <c r="AM79" i="44"/>
  <c r="AG72" i="41" s="1"/>
  <c r="AM90" i="44"/>
  <c r="AG83" i="41" s="1"/>
  <c r="AM91" i="44"/>
  <c r="AG84" i="41" s="1"/>
  <c r="AM103" i="44"/>
  <c r="AG96" i="41" s="1"/>
  <c r="AM114" i="44"/>
  <c r="AG107" i="41" s="1"/>
  <c r="AM115" i="44"/>
  <c r="AG108" i="41" s="1"/>
  <c r="AM126" i="44"/>
  <c r="AG119" i="41" s="1"/>
  <c r="AM127" i="44"/>
  <c r="AG120" i="41" s="1"/>
  <c r="AM138" i="44"/>
  <c r="AG131" i="41" s="1"/>
  <c r="AM139" i="44"/>
  <c r="AG132" i="41" s="1"/>
  <c r="AM151" i="44"/>
  <c r="AG144" i="41" s="1"/>
  <c r="AM162" i="44"/>
  <c r="AG155" i="41" s="1"/>
  <c r="AM163" i="44"/>
  <c r="AG156" i="41" s="1"/>
  <c r="AM174" i="44"/>
  <c r="AG167" i="41" s="1"/>
  <c r="AM186" i="44"/>
  <c r="AG179" i="41" s="1"/>
  <c r="AM187" i="44"/>
  <c r="AG180" i="41" s="1"/>
  <c r="AM199" i="44"/>
  <c r="AG192" i="41" s="1"/>
  <c r="AM211" i="44"/>
  <c r="AG204" i="41" s="1"/>
  <c r="AM222" i="44"/>
  <c r="AG215" i="41" s="1"/>
  <c r="AM223" i="44"/>
  <c r="AG216" i="41" s="1"/>
  <c r="AM234" i="44"/>
  <c r="AG227" i="41" s="1"/>
  <c r="AM235" i="44"/>
  <c r="AG228" i="41" s="1"/>
  <c r="AM246" i="44"/>
  <c r="AG239" i="41" s="1"/>
  <c r="AM247" i="44"/>
  <c r="AG240" i="41" s="1"/>
  <c r="AM259" i="44"/>
  <c r="AG252" i="41" s="1"/>
  <c r="AM270" i="44"/>
  <c r="AG263" i="41" s="1"/>
  <c r="AM271" i="44"/>
  <c r="AG264" i="41" s="1"/>
  <c r="AM282" i="44"/>
  <c r="AG275" i="41" s="1"/>
  <c r="AM283" i="44"/>
  <c r="AG276" i="41" s="1"/>
  <c r="AM294" i="44"/>
  <c r="AG287" i="41" s="1"/>
  <c r="AM295" i="44"/>
  <c r="AG288" i="41" s="1"/>
  <c r="AM307" i="44"/>
  <c r="AG300" i="41" s="1"/>
  <c r="AM318" i="44"/>
  <c r="AG311" i="41" s="1"/>
  <c r="AM319" i="44"/>
  <c r="AG312" i="41" s="1"/>
  <c r="AM330" i="44"/>
  <c r="AG323" i="41" s="1"/>
  <c r="AM331" i="44"/>
  <c r="AG324" i="41" s="1"/>
  <c r="AM342" i="44"/>
  <c r="AG335" i="41" s="1"/>
  <c r="AM343" i="44"/>
  <c r="AG336" i="41" s="1"/>
  <c r="AM354" i="44"/>
  <c r="AG347" i="41" s="1"/>
  <c r="AM19" i="44"/>
  <c r="AG12" i="41" s="1"/>
  <c r="AM175" i="44"/>
  <c r="AG168" i="41" s="1"/>
  <c r="Z20" i="44"/>
  <c r="Z31" i="44"/>
  <c r="Z32" i="44"/>
  <c r="Z44" i="44"/>
  <c r="Z67" i="44"/>
  <c r="Z68" i="44"/>
  <c r="Z80" i="44"/>
  <c r="Z92" i="44"/>
  <c r="Z104" i="44"/>
  <c r="Z116" i="44"/>
  <c r="Z128" i="44"/>
  <c r="Z140" i="44"/>
  <c r="Z152" i="44"/>
  <c r="Z164" i="44"/>
  <c r="Z176" i="44"/>
  <c r="Z188" i="44"/>
  <c r="Z200" i="44"/>
  <c r="Z212" i="44"/>
  <c r="Z224" i="44"/>
  <c r="Z236" i="44"/>
  <c r="Z248" i="44"/>
  <c r="Z272" i="44"/>
  <c r="Z284" i="44"/>
  <c r="Z296" i="44"/>
  <c r="Z308" i="44"/>
  <c r="Z320" i="44"/>
  <c r="Z332" i="44"/>
  <c r="Z344" i="44"/>
  <c r="Z159" i="44"/>
  <c r="Z171" i="44"/>
  <c r="Z183" i="44"/>
  <c r="Z195" i="44"/>
  <c r="Z207" i="44"/>
  <c r="Z219" i="44"/>
  <c r="Z231" i="44"/>
  <c r="Z243" i="44"/>
  <c r="Z255" i="44"/>
  <c r="Z267" i="44"/>
  <c r="Z279" i="44"/>
  <c r="Z291" i="44"/>
  <c r="Z303" i="44"/>
  <c r="Z315" i="44"/>
  <c r="Z327" i="44"/>
  <c r="Z339" i="44"/>
  <c r="Z351" i="44"/>
  <c r="Z19" i="44"/>
  <c r="Z43" i="44"/>
  <c r="Z55" i="44"/>
  <c r="Z56" i="44"/>
  <c r="Z79" i="44"/>
  <c r="Z91" i="44"/>
  <c r="V68" i="44"/>
  <c r="V80" i="44"/>
  <c r="V92" i="44"/>
  <c r="V104" i="44"/>
  <c r="V212" i="44"/>
  <c r="V224" i="44"/>
  <c r="V236" i="44"/>
  <c r="V248" i="44"/>
  <c r="N20" i="44"/>
  <c r="N32" i="44"/>
  <c r="N44" i="44"/>
  <c r="N68" i="44"/>
  <c r="N80" i="44"/>
  <c r="N92" i="44"/>
  <c r="N104" i="44"/>
  <c r="N116" i="44"/>
  <c r="N128" i="44"/>
  <c r="N140" i="44"/>
  <c r="N152" i="44"/>
  <c r="N164" i="44"/>
  <c r="N176" i="44"/>
  <c r="N188" i="44"/>
  <c r="N200" i="44"/>
  <c r="N224" i="44"/>
  <c r="N236" i="44"/>
  <c r="N248" i="44"/>
  <c r="N260" i="44"/>
  <c r="N272" i="44"/>
  <c r="N284" i="44"/>
  <c r="N296" i="44"/>
  <c r="N308" i="44"/>
  <c r="N320" i="44"/>
  <c r="N332" i="44"/>
  <c r="N344" i="44"/>
  <c r="M20" i="44"/>
  <c r="M32" i="44"/>
  <c r="M44" i="44"/>
  <c r="M56" i="44"/>
  <c r="M68" i="44"/>
  <c r="M80" i="44"/>
  <c r="M92" i="44"/>
  <c r="M104" i="44"/>
  <c r="M116" i="44"/>
  <c r="M128" i="44"/>
  <c r="M152" i="44"/>
  <c r="M164" i="44"/>
  <c r="M176" i="44"/>
  <c r="M188" i="44"/>
  <c r="M200" i="44"/>
  <c r="M224" i="44"/>
  <c r="M236" i="44"/>
  <c r="M248" i="44"/>
  <c r="M260" i="44"/>
  <c r="M272" i="44"/>
  <c r="M284" i="44"/>
  <c r="M296" i="44"/>
  <c r="M308" i="44"/>
  <c r="M320" i="44"/>
  <c r="M332" i="44"/>
  <c r="M344" i="44"/>
  <c r="L20" i="44"/>
  <c r="L32" i="44"/>
  <c r="L44" i="44"/>
  <c r="L56" i="44"/>
  <c r="L68" i="44"/>
  <c r="L92" i="44"/>
  <c r="L104" i="44"/>
  <c r="L116" i="44"/>
  <c r="L128" i="44"/>
  <c r="L140" i="44"/>
  <c r="L152" i="44"/>
  <c r="L164" i="44"/>
  <c r="L176" i="44"/>
  <c r="L188" i="44"/>
  <c r="L200" i="44"/>
  <c r="L212" i="44"/>
  <c r="L236" i="44"/>
  <c r="L248" i="44"/>
  <c r="L260" i="44"/>
  <c r="L272" i="44"/>
  <c r="L284" i="44"/>
  <c r="L296" i="44"/>
  <c r="L308" i="44"/>
  <c r="L320" i="44"/>
  <c r="L332" i="44"/>
  <c r="L344" i="44"/>
  <c r="K32" i="44"/>
  <c r="K44" i="44"/>
  <c r="K56" i="44"/>
  <c r="K68" i="44"/>
  <c r="K80" i="44"/>
  <c r="K92" i="44"/>
  <c r="K104" i="44"/>
  <c r="K116" i="44"/>
  <c r="K128" i="44"/>
  <c r="K140" i="44"/>
  <c r="K152" i="44"/>
  <c r="K176" i="44"/>
  <c r="K188" i="44"/>
  <c r="K200" i="44"/>
  <c r="K212" i="44"/>
  <c r="K224" i="44"/>
  <c r="K236" i="44"/>
  <c r="K248" i="44"/>
  <c r="K260" i="44"/>
  <c r="K272" i="44"/>
  <c r="K284" i="44"/>
  <c r="K296" i="44"/>
  <c r="K320" i="44"/>
  <c r="K332" i="44"/>
  <c r="K344" i="44"/>
  <c r="K20" i="44"/>
  <c r="K164" i="44"/>
  <c r="K308" i="44"/>
  <c r="G20" i="44"/>
  <c r="G32" i="44"/>
  <c r="G44" i="44"/>
  <c r="G56" i="44"/>
  <c r="G68" i="44"/>
  <c r="G92" i="44"/>
  <c r="G104" i="44"/>
  <c r="G116" i="44"/>
  <c r="G128" i="44"/>
  <c r="G140" i="44"/>
  <c r="G152" i="44"/>
  <c r="G164" i="44"/>
  <c r="G176" i="44"/>
  <c r="G188" i="44"/>
  <c r="G212" i="44"/>
  <c r="G224" i="44"/>
  <c r="G236" i="44"/>
  <c r="G248" i="44"/>
  <c r="G260" i="44"/>
  <c r="G271" i="44"/>
  <c r="G272" i="44"/>
  <c r="G284" i="44"/>
  <c r="G295" i="44"/>
  <c r="G296" i="44"/>
  <c r="G308" i="44"/>
  <c r="G320" i="44"/>
  <c r="G332" i="44"/>
  <c r="G344" i="44"/>
  <c r="G9" i="44"/>
  <c r="G19" i="44"/>
  <c r="G54" i="44"/>
  <c r="G55" i="44"/>
  <c r="G66" i="44"/>
  <c r="G67" i="44"/>
  <c r="G78" i="44"/>
  <c r="G79" i="44"/>
  <c r="G80" i="44"/>
  <c r="G90" i="44"/>
  <c r="G91" i="44"/>
  <c r="G102" i="44"/>
  <c r="G103" i="44"/>
  <c r="G114" i="44"/>
  <c r="G115" i="44"/>
  <c r="G126" i="44"/>
  <c r="G127" i="44"/>
  <c r="G139" i="44"/>
  <c r="G174" i="44"/>
  <c r="G175" i="44"/>
  <c r="G186" i="44"/>
  <c r="G187" i="44"/>
  <c r="G198" i="44"/>
  <c r="G199" i="44"/>
  <c r="G200" i="44"/>
  <c r="G210" i="44"/>
  <c r="G211" i="44"/>
  <c r="G222" i="44"/>
  <c r="G223" i="44"/>
  <c r="G234" i="44"/>
  <c r="G235" i="44"/>
  <c r="G247" i="44"/>
  <c r="G270" i="44"/>
  <c r="G282" i="44"/>
  <c r="G283" i="44"/>
  <c r="G294" i="44"/>
  <c r="G306" i="44"/>
  <c r="G307" i="44"/>
  <c r="G318" i="44"/>
  <c r="G330" i="44"/>
  <c r="G331" i="44"/>
  <c r="G21" i="44"/>
  <c r="G33" i="44"/>
  <c r="G45" i="44"/>
  <c r="G57" i="44"/>
  <c r="G69" i="44"/>
  <c r="G81" i="44"/>
  <c r="G93" i="44"/>
  <c r="G105" i="44"/>
  <c r="G117" i="44"/>
  <c r="G129" i="44"/>
  <c r="G141" i="44"/>
  <c r="G153" i="44"/>
  <c r="G165" i="44"/>
  <c r="G177" i="44"/>
  <c r="G189" i="44"/>
  <c r="G201" i="44"/>
  <c r="G213" i="44"/>
  <c r="G225" i="44"/>
  <c r="G237" i="44"/>
  <c r="G249" i="44"/>
  <c r="G261" i="44"/>
  <c r="G273" i="44"/>
  <c r="G285" i="44"/>
  <c r="G297" i="44"/>
  <c r="G309" i="44"/>
  <c r="G321" i="44"/>
  <c r="G333" i="44"/>
  <c r="G10" i="44"/>
  <c r="G12" i="44"/>
  <c r="G13" i="44"/>
  <c r="G14" i="44"/>
  <c r="G15" i="44"/>
  <c r="G16" i="44"/>
  <c r="G17" i="44"/>
  <c r="G18" i="44"/>
  <c r="G22" i="44"/>
  <c r="G23" i="44"/>
  <c r="G24" i="44"/>
  <c r="G25" i="44"/>
  <c r="G26" i="44"/>
  <c r="G27" i="44"/>
  <c r="G28" i="44"/>
  <c r="G29" i="44"/>
  <c r="G30" i="44"/>
  <c r="G31" i="44"/>
  <c r="G34" i="44"/>
  <c r="G35" i="44"/>
  <c r="G36" i="44"/>
  <c r="G37" i="44"/>
  <c r="G38" i="44"/>
  <c r="G39" i="44"/>
  <c r="G40" i="44"/>
  <c r="G41" i="44"/>
  <c r="G42" i="44"/>
  <c r="G43" i="44"/>
  <c r="G46" i="44"/>
  <c r="G47" i="44"/>
  <c r="G48" i="44"/>
  <c r="G49" i="44"/>
  <c r="G50" i="44"/>
  <c r="G51" i="44"/>
  <c r="G52" i="44"/>
  <c r="G53" i="44"/>
  <c r="G58" i="44"/>
  <c r="G59" i="44"/>
  <c r="G60" i="44"/>
  <c r="G61" i="44"/>
  <c r="G62" i="44"/>
  <c r="G63" i="44"/>
  <c r="G64" i="44"/>
  <c r="G65" i="44"/>
  <c r="G70" i="44"/>
  <c r="G71" i="44"/>
  <c r="G72" i="44"/>
  <c r="G73" i="44"/>
  <c r="G74" i="44"/>
  <c r="G75" i="44"/>
  <c r="G76" i="44"/>
  <c r="G77" i="44"/>
  <c r="G82" i="44"/>
  <c r="G83" i="44"/>
  <c r="G84" i="44"/>
  <c r="G85" i="44"/>
  <c r="G86" i="44"/>
  <c r="G87" i="44"/>
  <c r="G88" i="44"/>
  <c r="G89" i="44"/>
  <c r="G94" i="44"/>
  <c r="G96" i="44"/>
  <c r="G97" i="44"/>
  <c r="G98" i="44"/>
  <c r="G99" i="44"/>
  <c r="G100" i="44"/>
  <c r="G101" i="44"/>
  <c r="G106" i="44"/>
  <c r="G107" i="44"/>
  <c r="G108" i="44"/>
  <c r="G109" i="44"/>
  <c r="G110" i="44"/>
  <c r="G111" i="44"/>
  <c r="G112" i="44"/>
  <c r="G113" i="44"/>
  <c r="G118" i="44"/>
  <c r="G119" i="44"/>
  <c r="G120" i="44"/>
  <c r="G121" i="44"/>
  <c r="G122" i="44"/>
  <c r="G123" i="44"/>
  <c r="G124" i="44"/>
  <c r="G125" i="44"/>
  <c r="G130" i="44"/>
  <c r="G131" i="44"/>
  <c r="G132" i="44"/>
  <c r="G133" i="44"/>
  <c r="G134" i="44"/>
  <c r="G135" i="44"/>
  <c r="G136" i="44"/>
  <c r="G137" i="44"/>
  <c r="G138" i="44"/>
  <c r="G142" i="44"/>
  <c r="G143" i="44"/>
  <c r="G144" i="44"/>
  <c r="G145" i="44"/>
  <c r="G146" i="44"/>
  <c r="G147" i="44"/>
  <c r="G148" i="44"/>
  <c r="G149" i="44"/>
  <c r="G150" i="44"/>
  <c r="G151" i="44"/>
  <c r="G154" i="44"/>
  <c r="G155" i="44"/>
  <c r="G156" i="44"/>
  <c r="G157" i="44"/>
  <c r="G158" i="44"/>
  <c r="G159" i="44"/>
  <c r="G160" i="44"/>
  <c r="G161" i="44"/>
  <c r="G162" i="44"/>
  <c r="G163" i="44"/>
  <c r="G166" i="44"/>
  <c r="G168" i="44"/>
  <c r="G169" i="44"/>
  <c r="G170" i="44"/>
  <c r="G171" i="44"/>
  <c r="G172" i="44"/>
  <c r="G173" i="44"/>
  <c r="G178" i="44"/>
  <c r="G179" i="44"/>
  <c r="G181" i="44"/>
  <c r="G182" i="44"/>
  <c r="G183" i="44"/>
  <c r="G184" i="44"/>
  <c r="G185" i="44"/>
  <c r="G190" i="44"/>
  <c r="G191" i="44"/>
  <c r="G192" i="44"/>
  <c r="G194" i="44"/>
  <c r="G195" i="44"/>
  <c r="G196" i="44"/>
  <c r="G197" i="44"/>
  <c r="G202" i="44"/>
  <c r="G203" i="44"/>
  <c r="G204" i="44"/>
  <c r="G205" i="44"/>
  <c r="G206" i="44"/>
  <c r="G207" i="44"/>
  <c r="G208" i="44"/>
  <c r="G209" i="44"/>
  <c r="G214" i="44"/>
  <c r="G215" i="44"/>
  <c r="G216" i="44"/>
  <c r="G217" i="44"/>
  <c r="G218" i="44"/>
  <c r="G219" i="44"/>
  <c r="G220" i="44"/>
  <c r="G221" i="44"/>
  <c r="G226" i="44"/>
  <c r="G227" i="44"/>
  <c r="G228" i="44"/>
  <c r="G229" i="44"/>
  <c r="G230" i="44"/>
  <c r="G231" i="44"/>
  <c r="G232" i="44"/>
  <c r="G233" i="44"/>
  <c r="G238" i="44"/>
  <c r="G239" i="44"/>
  <c r="G240" i="44"/>
  <c r="G241" i="44"/>
  <c r="G242" i="44"/>
  <c r="G243" i="44"/>
  <c r="G244" i="44"/>
  <c r="G245" i="44"/>
  <c r="G246" i="44"/>
  <c r="G250" i="44"/>
  <c r="G251" i="44"/>
  <c r="G252" i="44"/>
  <c r="G253" i="44"/>
  <c r="G254" i="44"/>
  <c r="G255" i="44"/>
  <c r="G257" i="44"/>
  <c r="G258" i="44"/>
  <c r="G259" i="44"/>
  <c r="G262" i="44"/>
  <c r="G263" i="44"/>
  <c r="G264" i="44"/>
  <c r="G265" i="44"/>
  <c r="G266" i="44"/>
  <c r="G267" i="44"/>
  <c r="G268" i="44"/>
  <c r="G269" i="44"/>
  <c r="G274" i="44"/>
  <c r="G275" i="44"/>
  <c r="G276" i="44"/>
  <c r="G277" i="44"/>
  <c r="G278" i="44"/>
  <c r="G279" i="44"/>
  <c r="G280" i="44"/>
  <c r="G281" i="44"/>
  <c r="G286" i="44"/>
  <c r="G287" i="44"/>
  <c r="G288" i="44"/>
  <c r="G289" i="44"/>
  <c r="G290" i="44"/>
  <c r="G291" i="44"/>
  <c r="G292" i="44"/>
  <c r="G293" i="44"/>
  <c r="G298" i="44"/>
  <c r="G299" i="44"/>
  <c r="G300" i="44"/>
  <c r="G301" i="44"/>
  <c r="G302" i="44"/>
  <c r="G303" i="44"/>
  <c r="G304" i="44"/>
  <c r="G305" i="44"/>
  <c r="G310" i="44"/>
  <c r="G311" i="44"/>
  <c r="G312" i="44"/>
  <c r="G313" i="44"/>
  <c r="G315" i="44"/>
  <c r="G316" i="44"/>
  <c r="G317" i="44"/>
  <c r="G322" i="44"/>
  <c r="G323" i="44"/>
  <c r="G324" i="44"/>
  <c r="G325" i="44"/>
  <c r="G326" i="44"/>
  <c r="G327" i="44"/>
  <c r="G328" i="44"/>
  <c r="G329" i="44"/>
  <c r="G334" i="44"/>
  <c r="G336" i="44"/>
  <c r="G337" i="44"/>
  <c r="G338" i="44"/>
  <c r="G339" i="44"/>
  <c r="G341" i="44"/>
  <c r="G342" i="44"/>
  <c r="G343" i="44"/>
  <c r="G345" i="44"/>
  <c r="G346" i="44"/>
  <c r="G348" i="44"/>
  <c r="G349" i="44"/>
  <c r="G350" i="44"/>
  <c r="G351" i="44"/>
  <c r="G352" i="44"/>
  <c r="G353" i="44"/>
  <c r="G354" i="44"/>
  <c r="L25" i="15"/>
  <c r="L26" i="15"/>
  <c r="L27" i="15"/>
  <c r="L28" i="15"/>
  <c r="L24" i="15"/>
  <c r="D15" i="15"/>
  <c r="N21" i="15"/>
  <c r="I28" i="15" s="1"/>
  <c r="K28" i="15" s="1"/>
  <c r="K27" i="15"/>
  <c r="I27" i="15"/>
  <c r="M21" i="15"/>
  <c r="A2" i="15"/>
  <c r="C11" i="15"/>
  <c r="E1" i="49"/>
  <c r="G1" i="49"/>
  <c r="H1" i="49"/>
  <c r="I1" i="49"/>
  <c r="J1" i="49"/>
  <c r="K1" i="49"/>
  <c r="L1" i="49"/>
  <c r="M1" i="49"/>
  <c r="F1" i="49"/>
  <c r="Q1" i="49"/>
  <c r="R1" i="49"/>
  <c r="S1" i="49"/>
  <c r="T1" i="49"/>
  <c r="U1" i="49"/>
  <c r="V1" i="49"/>
  <c r="W1" i="49"/>
  <c r="X1" i="49"/>
  <c r="Y1" i="49"/>
  <c r="Z1" i="49"/>
  <c r="AA1" i="49"/>
  <c r="AB1" i="49"/>
  <c r="AC1" i="49"/>
  <c r="AD1" i="49"/>
  <c r="AE1" i="49"/>
  <c r="AF1" i="49"/>
  <c r="AG1" i="49"/>
  <c r="AH1" i="49"/>
  <c r="D1" i="49"/>
  <c r="AH11" i="44"/>
  <c r="AH77" i="44"/>
  <c r="AH83" i="44"/>
  <c r="AH101" i="44"/>
  <c r="AH102" i="44"/>
  <c r="AH9" i="44"/>
  <c r="E8" i="45"/>
  <c r="E3" i="53" s="1"/>
  <c r="H8" i="46"/>
  <c r="D10" i="46"/>
  <c r="W5" i="53" s="1"/>
  <c r="D11" i="46"/>
  <c r="W6" i="53" s="1"/>
  <c r="D12" i="46"/>
  <c r="W7" i="53" s="1"/>
  <c r="D13" i="46"/>
  <c r="W8" i="53" s="1"/>
  <c r="D14" i="46"/>
  <c r="W9" i="53" s="1"/>
  <c r="D15" i="46"/>
  <c r="W10" i="53" s="1"/>
  <c r="D16" i="46"/>
  <c r="W11" i="53" s="1"/>
  <c r="D17" i="46"/>
  <c r="W12" i="53" s="1"/>
  <c r="D18" i="46"/>
  <c r="W13" i="53" s="1"/>
  <c r="D19" i="46"/>
  <c r="W14" i="53" s="1"/>
  <c r="D20" i="46"/>
  <c r="W15" i="53" s="1"/>
  <c r="D21" i="46"/>
  <c r="W16" i="53" s="1"/>
  <c r="D22" i="46"/>
  <c r="W17" i="53" s="1"/>
  <c r="D23" i="46"/>
  <c r="W18" i="53" s="1"/>
  <c r="D24" i="46"/>
  <c r="W19" i="53" s="1"/>
  <c r="D25" i="46"/>
  <c r="W20" i="53" s="1"/>
  <c r="D26" i="46"/>
  <c r="W21" i="53" s="1"/>
  <c r="D27" i="46"/>
  <c r="W22" i="53" s="1"/>
  <c r="D28" i="46"/>
  <c r="W23" i="53" s="1"/>
  <c r="D29" i="46"/>
  <c r="W24" i="53" s="1"/>
  <c r="D30" i="46"/>
  <c r="W25" i="53" s="1"/>
  <c r="D31" i="46"/>
  <c r="W26" i="53" s="1"/>
  <c r="D32" i="46"/>
  <c r="W27" i="53" s="1"/>
  <c r="D33" i="46"/>
  <c r="W28" i="53" s="1"/>
  <c r="D34" i="46"/>
  <c r="W29" i="53" s="1"/>
  <c r="D35" i="46"/>
  <c r="W30" i="53" s="1"/>
  <c r="D36" i="46"/>
  <c r="W31" i="53" s="1"/>
  <c r="D37" i="46"/>
  <c r="W32" i="53" s="1"/>
  <c r="D38" i="46"/>
  <c r="W33" i="53" s="1"/>
  <c r="D39" i="46"/>
  <c r="W34" i="53" s="1"/>
  <c r="D40" i="46"/>
  <c r="W35" i="53" s="1"/>
  <c r="D41" i="46"/>
  <c r="W36" i="53" s="1"/>
  <c r="D42" i="46"/>
  <c r="W37" i="53" s="1"/>
  <c r="D43" i="46"/>
  <c r="W38" i="53" s="1"/>
  <c r="D44" i="46"/>
  <c r="W39" i="53" s="1"/>
  <c r="D45" i="46"/>
  <c r="W40" i="53" s="1"/>
  <c r="D46" i="46"/>
  <c r="W41" i="53" s="1"/>
  <c r="D47" i="46"/>
  <c r="W42" i="53" s="1"/>
  <c r="D48" i="46"/>
  <c r="W43" i="53" s="1"/>
  <c r="D49" i="46"/>
  <c r="W44" i="53" s="1"/>
  <c r="D50" i="46"/>
  <c r="W45" i="53" s="1"/>
  <c r="D51" i="46"/>
  <c r="W46" i="53" s="1"/>
  <c r="D52" i="46"/>
  <c r="W47" i="53" s="1"/>
  <c r="D53" i="46"/>
  <c r="W48" i="53" s="1"/>
  <c r="D54" i="46"/>
  <c r="W49" i="53" s="1"/>
  <c r="D55" i="46"/>
  <c r="W50" i="53" s="1"/>
  <c r="D56" i="46"/>
  <c r="W51" i="53" s="1"/>
  <c r="D57" i="46"/>
  <c r="W52" i="53" s="1"/>
  <c r="D58" i="46"/>
  <c r="W53" i="53" s="1"/>
  <c r="D59" i="46"/>
  <c r="W54" i="53" s="1"/>
  <c r="D60" i="46"/>
  <c r="W55" i="53" s="1"/>
  <c r="D61" i="46"/>
  <c r="W56" i="53" s="1"/>
  <c r="D62" i="46"/>
  <c r="W57" i="53" s="1"/>
  <c r="D63" i="46"/>
  <c r="W58" i="53" s="1"/>
  <c r="D64" i="46"/>
  <c r="W59" i="53" s="1"/>
  <c r="D65" i="46"/>
  <c r="W60" i="53" s="1"/>
  <c r="D66" i="46"/>
  <c r="W61" i="53" s="1"/>
  <c r="D67" i="46"/>
  <c r="W62" i="53" s="1"/>
  <c r="D68" i="46"/>
  <c r="W63" i="53" s="1"/>
  <c r="D69" i="46"/>
  <c r="W64" i="53" s="1"/>
  <c r="D70" i="46"/>
  <c r="W65" i="53" s="1"/>
  <c r="D71" i="46"/>
  <c r="W66" i="53" s="1"/>
  <c r="D72" i="46"/>
  <c r="W67" i="53" s="1"/>
  <c r="D73" i="46"/>
  <c r="W68" i="53" s="1"/>
  <c r="D74" i="46"/>
  <c r="W69" i="53" s="1"/>
  <c r="D75" i="46"/>
  <c r="W70" i="53" s="1"/>
  <c r="D76" i="46"/>
  <c r="W71" i="53" s="1"/>
  <c r="D77" i="46"/>
  <c r="W72" i="53" s="1"/>
  <c r="D78" i="46"/>
  <c r="W73" i="53" s="1"/>
  <c r="D79" i="46"/>
  <c r="W74" i="53" s="1"/>
  <c r="D80" i="46"/>
  <c r="W75" i="53" s="1"/>
  <c r="D81" i="46"/>
  <c r="W76" i="53" s="1"/>
  <c r="D82" i="46"/>
  <c r="W77" i="53" s="1"/>
  <c r="D83" i="46"/>
  <c r="W78" i="53" s="1"/>
  <c r="D84" i="46"/>
  <c r="W79" i="53" s="1"/>
  <c r="D85" i="46"/>
  <c r="W80" i="53" s="1"/>
  <c r="D86" i="46"/>
  <c r="W81" i="53" s="1"/>
  <c r="D87" i="46"/>
  <c r="W82" i="53" s="1"/>
  <c r="D88" i="46"/>
  <c r="W83" i="53" s="1"/>
  <c r="D89" i="46"/>
  <c r="W84" i="53" s="1"/>
  <c r="D90" i="46"/>
  <c r="W85" i="53" s="1"/>
  <c r="D91" i="46"/>
  <c r="W86" i="53" s="1"/>
  <c r="D92" i="46"/>
  <c r="W87" i="53" s="1"/>
  <c r="D93" i="46"/>
  <c r="W88" i="53" s="1"/>
  <c r="D94" i="46"/>
  <c r="W89" i="53" s="1"/>
  <c r="D95" i="46"/>
  <c r="W90" i="53" s="1"/>
  <c r="D96" i="46"/>
  <c r="W91" i="53" s="1"/>
  <c r="D97" i="46"/>
  <c r="W92" i="53" s="1"/>
  <c r="D98" i="46"/>
  <c r="W93" i="53" s="1"/>
  <c r="D99" i="46"/>
  <c r="W94" i="53" s="1"/>
  <c r="D100" i="46"/>
  <c r="W95" i="53" s="1"/>
  <c r="D101" i="46"/>
  <c r="W96" i="53" s="1"/>
  <c r="D102" i="46"/>
  <c r="W97" i="53" s="1"/>
  <c r="D103" i="46"/>
  <c r="W98" i="53" s="1"/>
  <c r="D104" i="46"/>
  <c r="W99" i="53" s="1"/>
  <c r="D105" i="46"/>
  <c r="W100" i="53" s="1"/>
  <c r="D106" i="46"/>
  <c r="W101" i="53" s="1"/>
  <c r="D107" i="46"/>
  <c r="W102" i="53" s="1"/>
  <c r="D108" i="46"/>
  <c r="W103" i="53" s="1"/>
  <c r="D109" i="46"/>
  <c r="W104" i="53" s="1"/>
  <c r="D110" i="46"/>
  <c r="W105" i="53" s="1"/>
  <c r="D111" i="46"/>
  <c r="W106" i="53" s="1"/>
  <c r="D112" i="46"/>
  <c r="W107" i="53" s="1"/>
  <c r="D113" i="46"/>
  <c r="W108" i="53" s="1"/>
  <c r="D114" i="46"/>
  <c r="W109" i="53" s="1"/>
  <c r="D115" i="46"/>
  <c r="W110" i="53" s="1"/>
  <c r="D116" i="46"/>
  <c r="W111" i="53" s="1"/>
  <c r="D117" i="46"/>
  <c r="W112" i="53" s="1"/>
  <c r="D118" i="46"/>
  <c r="W113" i="53" s="1"/>
  <c r="D119" i="46"/>
  <c r="W114" i="53" s="1"/>
  <c r="D120" i="46"/>
  <c r="W115" i="53" s="1"/>
  <c r="D121" i="46"/>
  <c r="W116" i="53" s="1"/>
  <c r="D122" i="46"/>
  <c r="W117" i="53" s="1"/>
  <c r="D123" i="46"/>
  <c r="W118" i="53" s="1"/>
  <c r="D124" i="46"/>
  <c r="W119" i="53" s="1"/>
  <c r="D125" i="46"/>
  <c r="W120" i="53" s="1"/>
  <c r="D126" i="46"/>
  <c r="W121" i="53" s="1"/>
  <c r="D127" i="46"/>
  <c r="W122" i="53" s="1"/>
  <c r="D128" i="46"/>
  <c r="W123" i="53" s="1"/>
  <c r="D129" i="46"/>
  <c r="W124" i="53" s="1"/>
  <c r="D130" i="46"/>
  <c r="W125" i="53" s="1"/>
  <c r="D131" i="46"/>
  <c r="W126" i="53" s="1"/>
  <c r="D132" i="46"/>
  <c r="W127" i="53" s="1"/>
  <c r="D133" i="46"/>
  <c r="W128" i="53" s="1"/>
  <c r="D134" i="46"/>
  <c r="W129" i="53" s="1"/>
  <c r="D135" i="46"/>
  <c r="W130" i="53" s="1"/>
  <c r="D136" i="46"/>
  <c r="W131" i="53" s="1"/>
  <c r="D137" i="46"/>
  <c r="W132" i="53" s="1"/>
  <c r="D138" i="46"/>
  <c r="W133" i="53" s="1"/>
  <c r="D139" i="46"/>
  <c r="W134" i="53" s="1"/>
  <c r="D140" i="46"/>
  <c r="W135" i="53" s="1"/>
  <c r="D141" i="46"/>
  <c r="W136" i="53" s="1"/>
  <c r="D142" i="46"/>
  <c r="W137" i="53" s="1"/>
  <c r="D143" i="46"/>
  <c r="W138" i="53" s="1"/>
  <c r="D144" i="46"/>
  <c r="W139" i="53" s="1"/>
  <c r="D145" i="46"/>
  <c r="W140" i="53" s="1"/>
  <c r="D146" i="46"/>
  <c r="W141" i="53" s="1"/>
  <c r="D147" i="46"/>
  <c r="W142" i="53" s="1"/>
  <c r="D148" i="46"/>
  <c r="W143" i="53" s="1"/>
  <c r="D149" i="46"/>
  <c r="W144" i="53" s="1"/>
  <c r="D150" i="46"/>
  <c r="W145" i="53" s="1"/>
  <c r="D151" i="46"/>
  <c r="W146" i="53" s="1"/>
  <c r="D152" i="46"/>
  <c r="W147" i="53" s="1"/>
  <c r="D153" i="46"/>
  <c r="W148" i="53" s="1"/>
  <c r="D154" i="46"/>
  <c r="W149" i="53" s="1"/>
  <c r="D155" i="46"/>
  <c r="W150" i="53" s="1"/>
  <c r="D156" i="46"/>
  <c r="W151" i="53" s="1"/>
  <c r="D157" i="46"/>
  <c r="W152" i="53" s="1"/>
  <c r="D158" i="46"/>
  <c r="W153" i="53" s="1"/>
  <c r="D159" i="46"/>
  <c r="W154" i="53" s="1"/>
  <c r="D160" i="46"/>
  <c r="W155" i="53" s="1"/>
  <c r="D161" i="46"/>
  <c r="W156" i="53" s="1"/>
  <c r="D162" i="46"/>
  <c r="W157" i="53" s="1"/>
  <c r="D163" i="46"/>
  <c r="W158" i="53" s="1"/>
  <c r="D164" i="46"/>
  <c r="W159" i="53" s="1"/>
  <c r="D165" i="46"/>
  <c r="W160" i="53" s="1"/>
  <c r="D166" i="46"/>
  <c r="W161" i="53" s="1"/>
  <c r="D167" i="46"/>
  <c r="W162" i="53" s="1"/>
  <c r="D168" i="46"/>
  <c r="W163" i="53" s="1"/>
  <c r="D169" i="46"/>
  <c r="W164" i="53" s="1"/>
  <c r="D170" i="46"/>
  <c r="W165" i="53" s="1"/>
  <c r="D171" i="46"/>
  <c r="W166" i="53" s="1"/>
  <c r="D172" i="46"/>
  <c r="W167" i="53" s="1"/>
  <c r="D173" i="46"/>
  <c r="W168" i="53" s="1"/>
  <c r="D174" i="46"/>
  <c r="W169" i="53" s="1"/>
  <c r="D175" i="46"/>
  <c r="W170" i="53" s="1"/>
  <c r="D176" i="46"/>
  <c r="W171" i="53" s="1"/>
  <c r="D177" i="46"/>
  <c r="W172" i="53" s="1"/>
  <c r="D178" i="46"/>
  <c r="W173" i="53" s="1"/>
  <c r="D179" i="46"/>
  <c r="W174" i="53" s="1"/>
  <c r="D180" i="46"/>
  <c r="W175" i="53" s="1"/>
  <c r="D181" i="46"/>
  <c r="W176" i="53" s="1"/>
  <c r="D182" i="46"/>
  <c r="W177" i="53" s="1"/>
  <c r="D183" i="46"/>
  <c r="W178" i="53" s="1"/>
  <c r="D184" i="46"/>
  <c r="W179" i="53" s="1"/>
  <c r="D185" i="46"/>
  <c r="W180" i="53" s="1"/>
  <c r="D186" i="46"/>
  <c r="W181" i="53" s="1"/>
  <c r="D187" i="46"/>
  <c r="W182" i="53" s="1"/>
  <c r="D188" i="46"/>
  <c r="W183" i="53" s="1"/>
  <c r="D189" i="46"/>
  <c r="W184" i="53" s="1"/>
  <c r="D190" i="46"/>
  <c r="W185" i="53" s="1"/>
  <c r="D191" i="46"/>
  <c r="W186" i="53" s="1"/>
  <c r="D192" i="46"/>
  <c r="W187" i="53" s="1"/>
  <c r="D193" i="46"/>
  <c r="W188" i="53" s="1"/>
  <c r="D194" i="46"/>
  <c r="W189" i="53" s="1"/>
  <c r="D195" i="46"/>
  <c r="W190" i="53" s="1"/>
  <c r="D196" i="46"/>
  <c r="W191" i="53" s="1"/>
  <c r="D197" i="46"/>
  <c r="W192" i="53" s="1"/>
  <c r="D198" i="46"/>
  <c r="W193" i="53" s="1"/>
  <c r="D199" i="46"/>
  <c r="W194" i="53" s="1"/>
  <c r="D200" i="46"/>
  <c r="W195" i="53" s="1"/>
  <c r="D201" i="46"/>
  <c r="W196" i="53" s="1"/>
  <c r="D202" i="46"/>
  <c r="W197" i="53" s="1"/>
  <c r="D203" i="46"/>
  <c r="W198" i="53" s="1"/>
  <c r="D204" i="46"/>
  <c r="W199" i="53" s="1"/>
  <c r="D205" i="46"/>
  <c r="W200" i="53" s="1"/>
  <c r="D206" i="46"/>
  <c r="W201" i="53" s="1"/>
  <c r="D207" i="46"/>
  <c r="W202" i="53" s="1"/>
  <c r="D208" i="46"/>
  <c r="W203" i="53" s="1"/>
  <c r="D209" i="46"/>
  <c r="W204" i="53" s="1"/>
  <c r="D210" i="46"/>
  <c r="W205" i="53" s="1"/>
  <c r="D211" i="46"/>
  <c r="W206" i="53" s="1"/>
  <c r="D212" i="46"/>
  <c r="W207" i="53" s="1"/>
  <c r="D213" i="46"/>
  <c r="W208" i="53" s="1"/>
  <c r="D214" i="46"/>
  <c r="W209" i="53" s="1"/>
  <c r="D215" i="46"/>
  <c r="W210" i="53" s="1"/>
  <c r="D216" i="46"/>
  <c r="W211" i="53" s="1"/>
  <c r="D217" i="46"/>
  <c r="W212" i="53" s="1"/>
  <c r="D218" i="46"/>
  <c r="W213" i="53" s="1"/>
  <c r="D219" i="46"/>
  <c r="W214" i="53" s="1"/>
  <c r="D220" i="46"/>
  <c r="W215" i="53" s="1"/>
  <c r="D221" i="46"/>
  <c r="W216" i="53" s="1"/>
  <c r="D222" i="46"/>
  <c r="W217" i="53" s="1"/>
  <c r="D223" i="46"/>
  <c r="W218" i="53" s="1"/>
  <c r="D224" i="46"/>
  <c r="W219" i="53" s="1"/>
  <c r="D225" i="46"/>
  <c r="W220" i="53" s="1"/>
  <c r="D226" i="46"/>
  <c r="W221" i="53" s="1"/>
  <c r="D227" i="46"/>
  <c r="W222" i="53" s="1"/>
  <c r="D228" i="46"/>
  <c r="W223" i="53" s="1"/>
  <c r="D229" i="46"/>
  <c r="W224" i="53" s="1"/>
  <c r="D230" i="46"/>
  <c r="W225" i="53" s="1"/>
  <c r="D231" i="46"/>
  <c r="W226" i="53" s="1"/>
  <c r="D232" i="46"/>
  <c r="W227" i="53" s="1"/>
  <c r="D233" i="46"/>
  <c r="W228" i="53" s="1"/>
  <c r="D234" i="46"/>
  <c r="W229" i="53" s="1"/>
  <c r="D235" i="46"/>
  <c r="W230" i="53" s="1"/>
  <c r="D236" i="46"/>
  <c r="W231" i="53" s="1"/>
  <c r="D237" i="46"/>
  <c r="W232" i="53" s="1"/>
  <c r="D238" i="46"/>
  <c r="W233" i="53" s="1"/>
  <c r="D239" i="46"/>
  <c r="W234" i="53" s="1"/>
  <c r="D240" i="46"/>
  <c r="W235" i="53" s="1"/>
  <c r="D241" i="46"/>
  <c r="W236" i="53" s="1"/>
  <c r="D242" i="46"/>
  <c r="W237" i="53" s="1"/>
  <c r="D243" i="46"/>
  <c r="W238" i="53" s="1"/>
  <c r="D244" i="46"/>
  <c r="W239" i="53" s="1"/>
  <c r="D245" i="46"/>
  <c r="W240" i="53" s="1"/>
  <c r="D246" i="46"/>
  <c r="W241" i="53" s="1"/>
  <c r="D247" i="46"/>
  <c r="W242" i="53" s="1"/>
  <c r="D248" i="46"/>
  <c r="W243" i="53" s="1"/>
  <c r="D249" i="46"/>
  <c r="W244" i="53" s="1"/>
  <c r="D250" i="46"/>
  <c r="W245" i="53" s="1"/>
  <c r="D251" i="46"/>
  <c r="W246" i="53" s="1"/>
  <c r="D252" i="46"/>
  <c r="W247" i="53" s="1"/>
  <c r="D253" i="46"/>
  <c r="W248" i="53" s="1"/>
  <c r="D254" i="46"/>
  <c r="W249" i="53" s="1"/>
  <c r="D255" i="46"/>
  <c r="W250" i="53" s="1"/>
  <c r="D256" i="46"/>
  <c r="W251" i="53" s="1"/>
  <c r="D257" i="46"/>
  <c r="W252" i="53" s="1"/>
  <c r="D258" i="46"/>
  <c r="W253" i="53" s="1"/>
  <c r="D259" i="46"/>
  <c r="W254" i="53" s="1"/>
  <c r="D260" i="46"/>
  <c r="W255" i="53" s="1"/>
  <c r="D261" i="46"/>
  <c r="W256" i="53" s="1"/>
  <c r="D262" i="46"/>
  <c r="W257" i="53" s="1"/>
  <c r="D263" i="46"/>
  <c r="W258" i="53" s="1"/>
  <c r="D264" i="46"/>
  <c r="W259" i="53" s="1"/>
  <c r="D265" i="46"/>
  <c r="W260" i="53" s="1"/>
  <c r="D266" i="46"/>
  <c r="W261" i="53" s="1"/>
  <c r="D267" i="46"/>
  <c r="W262" i="53" s="1"/>
  <c r="D268" i="46"/>
  <c r="W263" i="53" s="1"/>
  <c r="D269" i="46"/>
  <c r="W264" i="53" s="1"/>
  <c r="D270" i="46"/>
  <c r="W265" i="53" s="1"/>
  <c r="D271" i="46"/>
  <c r="W266" i="53" s="1"/>
  <c r="D272" i="46"/>
  <c r="W267" i="53" s="1"/>
  <c r="D273" i="46"/>
  <c r="W268" i="53" s="1"/>
  <c r="D274" i="46"/>
  <c r="W269" i="53" s="1"/>
  <c r="D275" i="46"/>
  <c r="W270" i="53" s="1"/>
  <c r="D276" i="46"/>
  <c r="W271" i="53" s="1"/>
  <c r="D277" i="46"/>
  <c r="W272" i="53" s="1"/>
  <c r="D278" i="46"/>
  <c r="W273" i="53" s="1"/>
  <c r="D279" i="46"/>
  <c r="W274" i="53" s="1"/>
  <c r="D280" i="46"/>
  <c r="W275" i="53" s="1"/>
  <c r="D281" i="46"/>
  <c r="W276" i="53" s="1"/>
  <c r="D282" i="46"/>
  <c r="W277" i="53" s="1"/>
  <c r="D283" i="46"/>
  <c r="W278" i="53" s="1"/>
  <c r="D284" i="46"/>
  <c r="W279" i="53" s="1"/>
  <c r="D285" i="46"/>
  <c r="W280" i="53" s="1"/>
  <c r="D286" i="46"/>
  <c r="W281" i="53" s="1"/>
  <c r="D287" i="46"/>
  <c r="W282" i="53" s="1"/>
  <c r="D288" i="46"/>
  <c r="W283" i="53" s="1"/>
  <c r="D289" i="46"/>
  <c r="W284" i="53" s="1"/>
  <c r="D290" i="46"/>
  <c r="W285" i="53" s="1"/>
  <c r="D291" i="46"/>
  <c r="W286" i="53" s="1"/>
  <c r="D292" i="46"/>
  <c r="W287" i="53" s="1"/>
  <c r="D293" i="46"/>
  <c r="W288" i="53" s="1"/>
  <c r="D294" i="46"/>
  <c r="W289" i="53" s="1"/>
  <c r="D295" i="46"/>
  <c r="W290" i="53" s="1"/>
  <c r="D296" i="46"/>
  <c r="W291" i="53" s="1"/>
  <c r="D297" i="46"/>
  <c r="W292" i="53" s="1"/>
  <c r="D298" i="46"/>
  <c r="W293" i="53" s="1"/>
  <c r="D299" i="46"/>
  <c r="W294" i="53" s="1"/>
  <c r="D300" i="46"/>
  <c r="W295" i="53" s="1"/>
  <c r="D301" i="46"/>
  <c r="W296" i="53" s="1"/>
  <c r="D302" i="46"/>
  <c r="W297" i="53" s="1"/>
  <c r="D303" i="46"/>
  <c r="W298" i="53" s="1"/>
  <c r="D304" i="46"/>
  <c r="W299" i="53" s="1"/>
  <c r="D305" i="46"/>
  <c r="W300" i="53" s="1"/>
  <c r="D306" i="46"/>
  <c r="W301" i="53" s="1"/>
  <c r="D307" i="46"/>
  <c r="W302" i="53" s="1"/>
  <c r="D308" i="46"/>
  <c r="W303" i="53" s="1"/>
  <c r="D309" i="46"/>
  <c r="W304" i="53" s="1"/>
  <c r="D310" i="46"/>
  <c r="W305" i="53" s="1"/>
  <c r="D311" i="46"/>
  <c r="W306" i="53" s="1"/>
  <c r="D312" i="46"/>
  <c r="W307" i="53" s="1"/>
  <c r="D313" i="46"/>
  <c r="W308" i="53" s="1"/>
  <c r="D314" i="46"/>
  <c r="W309" i="53" s="1"/>
  <c r="D315" i="46"/>
  <c r="W310" i="53" s="1"/>
  <c r="D316" i="46"/>
  <c r="W311" i="53" s="1"/>
  <c r="D317" i="46"/>
  <c r="W312" i="53" s="1"/>
  <c r="D318" i="46"/>
  <c r="W313" i="53" s="1"/>
  <c r="D319" i="46"/>
  <c r="W314" i="53" s="1"/>
  <c r="D320" i="46"/>
  <c r="W315" i="53" s="1"/>
  <c r="D321" i="46"/>
  <c r="W316" i="53" s="1"/>
  <c r="D322" i="46"/>
  <c r="W317" i="53" s="1"/>
  <c r="D323" i="46"/>
  <c r="W318" i="53" s="1"/>
  <c r="D324" i="46"/>
  <c r="W319" i="53" s="1"/>
  <c r="D325" i="46"/>
  <c r="W320" i="53" s="1"/>
  <c r="D326" i="46"/>
  <c r="W321" i="53" s="1"/>
  <c r="D327" i="46"/>
  <c r="W322" i="53" s="1"/>
  <c r="D328" i="46"/>
  <c r="W323" i="53" s="1"/>
  <c r="D329" i="46"/>
  <c r="W324" i="53" s="1"/>
  <c r="D330" i="46"/>
  <c r="W325" i="53" s="1"/>
  <c r="D331" i="46"/>
  <c r="W326" i="53" s="1"/>
  <c r="D332" i="46"/>
  <c r="W327" i="53" s="1"/>
  <c r="D333" i="46"/>
  <c r="W328" i="53" s="1"/>
  <c r="D334" i="46"/>
  <c r="W329" i="53" s="1"/>
  <c r="D335" i="46"/>
  <c r="W330" i="53" s="1"/>
  <c r="D336" i="46"/>
  <c r="W331" i="53" s="1"/>
  <c r="D337" i="46"/>
  <c r="W332" i="53" s="1"/>
  <c r="D338" i="46"/>
  <c r="W333" i="53" s="1"/>
  <c r="D339" i="46"/>
  <c r="W334" i="53" s="1"/>
  <c r="D340" i="46"/>
  <c r="W335" i="53" s="1"/>
  <c r="D341" i="46"/>
  <c r="W336" i="53" s="1"/>
  <c r="D342" i="46"/>
  <c r="W337" i="53" s="1"/>
  <c r="D343" i="46"/>
  <c r="W338" i="53" s="1"/>
  <c r="D344" i="46"/>
  <c r="W339" i="53" s="1"/>
  <c r="D345" i="46"/>
  <c r="W340" i="53" s="1"/>
  <c r="D346" i="46"/>
  <c r="W341" i="53" s="1"/>
  <c r="D347" i="46"/>
  <c r="W342" i="53" s="1"/>
  <c r="D348" i="46"/>
  <c r="W343" i="53" s="1"/>
  <c r="D349" i="46"/>
  <c r="W344" i="53" s="1"/>
  <c r="D350" i="46"/>
  <c r="W345" i="53" s="1"/>
  <c r="D351" i="46"/>
  <c r="W346" i="53" s="1"/>
  <c r="D352" i="46"/>
  <c r="W347" i="53" s="1"/>
  <c r="D353" i="46"/>
  <c r="W348" i="53" s="1"/>
  <c r="D354" i="46"/>
  <c r="W349" i="53" s="1"/>
  <c r="M8" i="45"/>
  <c r="E1" i="45"/>
  <c r="F1" i="45"/>
  <c r="G1" i="45"/>
  <c r="H1" i="45"/>
  <c r="I1" i="45"/>
  <c r="J1" i="45"/>
  <c r="K1" i="45"/>
  <c r="L1" i="45"/>
  <c r="M1" i="45"/>
  <c r="N1" i="45"/>
  <c r="O1" i="45"/>
  <c r="P1" i="45"/>
  <c r="Q1" i="45"/>
  <c r="R1" i="45"/>
  <c r="S1" i="45"/>
  <c r="T1" i="45"/>
  <c r="U1" i="45"/>
  <c r="V1" i="45"/>
  <c r="W1" i="45"/>
  <c r="X1" i="45"/>
  <c r="Y1" i="45"/>
  <c r="Z1" i="45"/>
  <c r="AA1" i="45"/>
  <c r="AB1" i="45"/>
  <c r="D1" i="45"/>
  <c r="AM10" i="44"/>
  <c r="AN10" i="44"/>
  <c r="AO10" i="44"/>
  <c r="AP10" i="44"/>
  <c r="AQ10" i="44"/>
  <c r="AR10" i="44"/>
  <c r="AS10" i="44"/>
  <c r="AT10" i="44"/>
  <c r="AU10" i="44"/>
  <c r="AV10" i="44"/>
  <c r="AM11" i="44"/>
  <c r="AN11" i="44"/>
  <c r="AO11" i="44"/>
  <c r="AP11" i="44"/>
  <c r="AQ11" i="44"/>
  <c r="AR11" i="44"/>
  <c r="AS11" i="44"/>
  <c r="AT11" i="44"/>
  <c r="AU11" i="44"/>
  <c r="AV11" i="44"/>
  <c r="AM12" i="44"/>
  <c r="AN12" i="44"/>
  <c r="AO12" i="44"/>
  <c r="AP12" i="44"/>
  <c r="AQ12" i="44"/>
  <c r="AR12" i="44"/>
  <c r="AS12" i="44"/>
  <c r="AT12" i="44"/>
  <c r="AU12" i="44"/>
  <c r="AV12" i="44"/>
  <c r="AM13" i="44"/>
  <c r="AN13" i="44"/>
  <c r="AO13" i="44"/>
  <c r="AP13" i="44"/>
  <c r="AQ13" i="44"/>
  <c r="AR13" i="44"/>
  <c r="AS13" i="44"/>
  <c r="AT13" i="44"/>
  <c r="AU13" i="44"/>
  <c r="AV13" i="44"/>
  <c r="AM14" i="44"/>
  <c r="AN14" i="44"/>
  <c r="AO14" i="44"/>
  <c r="AP14" i="44"/>
  <c r="AQ14" i="44"/>
  <c r="AR14" i="44"/>
  <c r="AS14" i="44"/>
  <c r="AT14" i="44"/>
  <c r="AU14" i="44"/>
  <c r="AV14" i="44"/>
  <c r="AM15" i="44"/>
  <c r="AG8" i="41" s="1"/>
  <c r="AN15" i="44"/>
  <c r="AI8" i="41" s="1"/>
  <c r="AO15" i="44"/>
  <c r="AK8" i="41" s="1"/>
  <c r="AP15" i="44"/>
  <c r="AM8" i="41" s="1"/>
  <c r="AQ15" i="44"/>
  <c r="AO8" i="41" s="1"/>
  <c r="AR15" i="44"/>
  <c r="AH8" i="41" s="1"/>
  <c r="AS15" i="44"/>
  <c r="AJ8" i="41" s="1"/>
  <c r="AT15" i="44"/>
  <c r="AL8" i="41" s="1"/>
  <c r="AU15" i="44"/>
  <c r="AN8" i="41" s="1"/>
  <c r="AV15" i="44"/>
  <c r="AP8" i="41" s="1"/>
  <c r="AM16" i="44"/>
  <c r="AG9" i="41" s="1"/>
  <c r="AN16" i="44"/>
  <c r="AI9" i="41" s="1"/>
  <c r="AO16" i="44"/>
  <c r="AK9" i="41" s="1"/>
  <c r="AP16" i="44"/>
  <c r="AM9" i="41" s="1"/>
  <c r="AQ16" i="44"/>
  <c r="AO9" i="41" s="1"/>
  <c r="AR16" i="44"/>
  <c r="AH9" i="41" s="1"/>
  <c r="AS16" i="44"/>
  <c r="AJ9" i="41" s="1"/>
  <c r="AT16" i="44"/>
  <c r="AL9" i="41" s="1"/>
  <c r="AU16" i="44"/>
  <c r="AN9" i="41" s="1"/>
  <c r="AV16" i="44"/>
  <c r="AP9" i="41" s="1"/>
  <c r="AM17" i="44"/>
  <c r="AG10" i="41" s="1"/>
  <c r="AN17" i="44"/>
  <c r="AI10" i="41" s="1"/>
  <c r="AO17" i="44"/>
  <c r="AK10" i="41" s="1"/>
  <c r="AP17" i="44"/>
  <c r="AM10" i="41" s="1"/>
  <c r="AQ17" i="44"/>
  <c r="AO10" i="41" s="1"/>
  <c r="AR17" i="44"/>
  <c r="AH10" i="41" s="1"/>
  <c r="AS17" i="44"/>
  <c r="AJ10" i="41" s="1"/>
  <c r="AT17" i="44"/>
  <c r="AL10" i="41" s="1"/>
  <c r="AU17" i="44"/>
  <c r="AN10" i="41" s="1"/>
  <c r="AV17" i="44"/>
  <c r="AP10" i="41" s="1"/>
  <c r="AN18" i="44"/>
  <c r="AI11" i="41" s="1"/>
  <c r="AO18" i="44"/>
  <c r="AK11" i="41" s="1"/>
  <c r="AP18" i="44"/>
  <c r="AM11" i="41" s="1"/>
  <c r="AQ18" i="44"/>
  <c r="AO11" i="41" s="1"/>
  <c r="AR18" i="44"/>
  <c r="AH11" i="41" s="1"/>
  <c r="AS18" i="44"/>
  <c r="AJ11" i="41" s="1"/>
  <c r="AT18" i="44"/>
  <c r="AL11" i="41" s="1"/>
  <c r="AU18" i="44"/>
  <c r="AN11" i="41" s="1"/>
  <c r="AV18" i="44"/>
  <c r="AP11" i="41" s="1"/>
  <c r="AN19" i="44"/>
  <c r="AI12" i="41" s="1"/>
  <c r="AO19" i="44"/>
  <c r="AK12" i="41" s="1"/>
  <c r="AP19" i="44"/>
  <c r="AM12" i="41" s="1"/>
  <c r="AQ19" i="44"/>
  <c r="AO12" i="41" s="1"/>
  <c r="AR19" i="44"/>
  <c r="AH12" i="41" s="1"/>
  <c r="AT19" i="44"/>
  <c r="AL12" i="41" s="1"/>
  <c r="AU19" i="44"/>
  <c r="AN12" i="41" s="1"/>
  <c r="AV19" i="44"/>
  <c r="AP12" i="41" s="1"/>
  <c r="AN21" i="44"/>
  <c r="AI14" i="41" s="1"/>
  <c r="AO21" i="44"/>
  <c r="AK14" i="41" s="1"/>
  <c r="AP21" i="44"/>
  <c r="AM14" i="41" s="1"/>
  <c r="AR21" i="44"/>
  <c r="AH14" i="41" s="1"/>
  <c r="AT21" i="44"/>
  <c r="AL14" i="41" s="1"/>
  <c r="AU21" i="44"/>
  <c r="AN14" i="41" s="1"/>
  <c r="AV21" i="44"/>
  <c r="AP14" i="41" s="1"/>
  <c r="AM22" i="44"/>
  <c r="AG15" i="41" s="1"/>
  <c r="AN22" i="44"/>
  <c r="AI15" i="41" s="1"/>
  <c r="AO22" i="44"/>
  <c r="AK15" i="41" s="1"/>
  <c r="AP22" i="44"/>
  <c r="AM15" i="41" s="1"/>
  <c r="AQ22" i="44"/>
  <c r="AO15" i="41" s="1"/>
  <c r="AR22" i="44"/>
  <c r="AH15" i="41" s="1"/>
  <c r="AS22" i="44"/>
  <c r="AJ15" i="41" s="1"/>
  <c r="AT22" i="44"/>
  <c r="AL15" i="41" s="1"/>
  <c r="AU22" i="44"/>
  <c r="AN15" i="41" s="1"/>
  <c r="AV22" i="44"/>
  <c r="AP15" i="41" s="1"/>
  <c r="AM23" i="44"/>
  <c r="AG16" i="41" s="1"/>
  <c r="AN23" i="44"/>
  <c r="AI16" i="41" s="1"/>
  <c r="AO23" i="44"/>
  <c r="AK16" i="41" s="1"/>
  <c r="AP23" i="44"/>
  <c r="AM16" i="41" s="1"/>
  <c r="AQ23" i="44"/>
  <c r="AO16" i="41" s="1"/>
  <c r="AR23" i="44"/>
  <c r="AH16" i="41" s="1"/>
  <c r="AS23" i="44"/>
  <c r="AJ16" i="41" s="1"/>
  <c r="AT23" i="44"/>
  <c r="AL16" i="41" s="1"/>
  <c r="AU23" i="44"/>
  <c r="AN16" i="41" s="1"/>
  <c r="AV23" i="44"/>
  <c r="AP16" i="41" s="1"/>
  <c r="AM24" i="44"/>
  <c r="AG17" i="41" s="1"/>
  <c r="AN24" i="44"/>
  <c r="AI17" i="41" s="1"/>
  <c r="AO24" i="44"/>
  <c r="AK17" i="41" s="1"/>
  <c r="AP24" i="44"/>
  <c r="AM17" i="41" s="1"/>
  <c r="AQ24" i="44"/>
  <c r="AO17" i="41" s="1"/>
  <c r="AR24" i="44"/>
  <c r="AH17" i="41" s="1"/>
  <c r="AS24" i="44"/>
  <c r="AJ17" i="41" s="1"/>
  <c r="AT24" i="44"/>
  <c r="AL17" i="41" s="1"/>
  <c r="AU24" i="44"/>
  <c r="AN17" i="41" s="1"/>
  <c r="AV24" i="44"/>
  <c r="AP17" i="41" s="1"/>
  <c r="AM25" i="44"/>
  <c r="AG18" i="41" s="1"/>
  <c r="AN25" i="44"/>
  <c r="AI18" i="41" s="1"/>
  <c r="AO25" i="44"/>
  <c r="AK18" i="41" s="1"/>
  <c r="AP25" i="44"/>
  <c r="AM18" i="41" s="1"/>
  <c r="AQ25" i="44"/>
  <c r="AO18" i="41" s="1"/>
  <c r="AR25" i="44"/>
  <c r="AH18" i="41" s="1"/>
  <c r="AS25" i="44"/>
  <c r="AJ18" i="41" s="1"/>
  <c r="AT25" i="44"/>
  <c r="AL18" i="41" s="1"/>
  <c r="AU25" i="44"/>
  <c r="AN18" i="41" s="1"/>
  <c r="AV25" i="44"/>
  <c r="AP18" i="41" s="1"/>
  <c r="AM26" i="44"/>
  <c r="AG19" i="41" s="1"/>
  <c r="AN26" i="44"/>
  <c r="AI19" i="41" s="1"/>
  <c r="AO26" i="44"/>
  <c r="AK19" i="41" s="1"/>
  <c r="AP26" i="44"/>
  <c r="AM19" i="41" s="1"/>
  <c r="AQ26" i="44"/>
  <c r="AO19" i="41" s="1"/>
  <c r="AR26" i="44"/>
  <c r="AH19" i="41" s="1"/>
  <c r="AS26" i="44"/>
  <c r="AJ19" i="41" s="1"/>
  <c r="AT26" i="44"/>
  <c r="AL19" i="41" s="1"/>
  <c r="AU26" i="44"/>
  <c r="AN19" i="41" s="1"/>
  <c r="AV26" i="44"/>
  <c r="AP19" i="41" s="1"/>
  <c r="AM27" i="44"/>
  <c r="AG20" i="41" s="1"/>
  <c r="AN27" i="44"/>
  <c r="AI20" i="41" s="1"/>
  <c r="AO27" i="44"/>
  <c r="AK20" i="41" s="1"/>
  <c r="AP27" i="44"/>
  <c r="AM20" i="41" s="1"/>
  <c r="AQ27" i="44"/>
  <c r="AO20" i="41" s="1"/>
  <c r="AR27" i="44"/>
  <c r="AH20" i="41" s="1"/>
  <c r="AS27" i="44"/>
  <c r="AJ20" i="41" s="1"/>
  <c r="AT27" i="44"/>
  <c r="AL20" i="41" s="1"/>
  <c r="AU27" i="44"/>
  <c r="AN20" i="41" s="1"/>
  <c r="AV27" i="44"/>
  <c r="AP20" i="41" s="1"/>
  <c r="AM28" i="44"/>
  <c r="AG21" i="41" s="1"/>
  <c r="AN28" i="44"/>
  <c r="AI21" i="41" s="1"/>
  <c r="AO28" i="44"/>
  <c r="AK21" i="41" s="1"/>
  <c r="AP28" i="44"/>
  <c r="AM21" i="41" s="1"/>
  <c r="AQ28" i="44"/>
  <c r="AO21" i="41" s="1"/>
  <c r="AR28" i="44"/>
  <c r="AH21" i="41" s="1"/>
  <c r="AS28" i="44"/>
  <c r="AJ21" i="41" s="1"/>
  <c r="AT28" i="44"/>
  <c r="AL21" i="41" s="1"/>
  <c r="AU28" i="44"/>
  <c r="AN21" i="41" s="1"/>
  <c r="AV28" i="44"/>
  <c r="AP21" i="41" s="1"/>
  <c r="AM29" i="44"/>
  <c r="AG22" i="41" s="1"/>
  <c r="AN29" i="44"/>
  <c r="AI22" i="41" s="1"/>
  <c r="AO29" i="44"/>
  <c r="AK22" i="41" s="1"/>
  <c r="AP29" i="44"/>
  <c r="AM22" i="41" s="1"/>
  <c r="AQ29" i="44"/>
  <c r="AO22" i="41" s="1"/>
  <c r="AR29" i="44"/>
  <c r="AH22" i="41" s="1"/>
  <c r="AS29" i="44"/>
  <c r="AJ22" i="41" s="1"/>
  <c r="AT29" i="44"/>
  <c r="AL22" i="41" s="1"/>
  <c r="AU29" i="44"/>
  <c r="AN22" i="41" s="1"/>
  <c r="AV29" i="44"/>
  <c r="AP22" i="41" s="1"/>
  <c r="AN30" i="44"/>
  <c r="AI23" i="41" s="1"/>
  <c r="AO30" i="44"/>
  <c r="AK23" i="41" s="1"/>
  <c r="AP30" i="44"/>
  <c r="AM23" i="41" s="1"/>
  <c r="AQ30" i="44"/>
  <c r="AO23" i="41" s="1"/>
  <c r="AR30" i="44"/>
  <c r="AH23" i="41" s="1"/>
  <c r="AS30" i="44"/>
  <c r="AJ23" i="41" s="1"/>
  <c r="AT30" i="44"/>
  <c r="AL23" i="41" s="1"/>
  <c r="AU30" i="44"/>
  <c r="AN23" i="41" s="1"/>
  <c r="AV30" i="44"/>
  <c r="AP23" i="41" s="1"/>
  <c r="AN31" i="44"/>
  <c r="AI24" i="41" s="1"/>
  <c r="AO31" i="44"/>
  <c r="AK24" i="41" s="1"/>
  <c r="AQ31" i="44"/>
  <c r="AO24" i="41" s="1"/>
  <c r="AR31" i="44"/>
  <c r="AH24" i="41" s="1"/>
  <c r="AT31" i="44"/>
  <c r="AL24" i="41" s="1"/>
  <c r="AU31" i="44"/>
  <c r="AN24" i="41" s="1"/>
  <c r="AV31" i="44"/>
  <c r="AP24" i="41" s="1"/>
  <c r="AO32" i="44"/>
  <c r="AK25" i="41" s="1"/>
  <c r="AN33" i="44"/>
  <c r="AI26" i="41" s="1"/>
  <c r="AO33" i="44"/>
  <c r="AK26" i="41" s="1"/>
  <c r="AP33" i="44"/>
  <c r="AM26" i="41" s="1"/>
  <c r="AR33" i="44"/>
  <c r="AH26" i="41" s="1"/>
  <c r="AT33" i="44"/>
  <c r="AL26" i="41" s="1"/>
  <c r="AU33" i="44"/>
  <c r="AN26" i="41" s="1"/>
  <c r="AV33" i="44"/>
  <c r="AP26" i="41" s="1"/>
  <c r="AM34" i="44"/>
  <c r="AG27" i="41" s="1"/>
  <c r="AN34" i="44"/>
  <c r="AI27" i="41" s="1"/>
  <c r="AO34" i="44"/>
  <c r="AK27" i="41" s="1"/>
  <c r="AP34" i="44"/>
  <c r="AM27" i="41" s="1"/>
  <c r="AQ34" i="44"/>
  <c r="AO27" i="41" s="1"/>
  <c r="AR34" i="44"/>
  <c r="AH27" i="41" s="1"/>
  <c r="AS34" i="44"/>
  <c r="AJ27" i="41" s="1"/>
  <c r="AT34" i="44"/>
  <c r="AL27" i="41" s="1"/>
  <c r="AU34" i="44"/>
  <c r="AN27" i="41" s="1"/>
  <c r="AV34" i="44"/>
  <c r="AP27" i="41" s="1"/>
  <c r="AM35" i="44"/>
  <c r="AG28" i="41" s="1"/>
  <c r="AN35" i="44"/>
  <c r="AI28" i="41" s="1"/>
  <c r="AO35" i="44"/>
  <c r="AK28" i="41" s="1"/>
  <c r="AP35" i="44"/>
  <c r="AM28" i="41" s="1"/>
  <c r="AQ35" i="44"/>
  <c r="AO28" i="41" s="1"/>
  <c r="AR35" i="44"/>
  <c r="AH28" i="41" s="1"/>
  <c r="AS35" i="44"/>
  <c r="AJ28" i="41" s="1"/>
  <c r="AT35" i="44"/>
  <c r="AL28" i="41" s="1"/>
  <c r="AU35" i="44"/>
  <c r="AN28" i="41" s="1"/>
  <c r="AV35" i="44"/>
  <c r="AP28" i="41" s="1"/>
  <c r="AM36" i="44"/>
  <c r="AG29" i="41" s="1"/>
  <c r="AN36" i="44"/>
  <c r="AI29" i="41" s="1"/>
  <c r="AO36" i="44"/>
  <c r="AK29" i="41" s="1"/>
  <c r="AP36" i="44"/>
  <c r="AM29" i="41" s="1"/>
  <c r="AQ36" i="44"/>
  <c r="AO29" i="41" s="1"/>
  <c r="AR36" i="44"/>
  <c r="AH29" i="41" s="1"/>
  <c r="AS36" i="44"/>
  <c r="AJ29" i="41" s="1"/>
  <c r="AT36" i="44"/>
  <c r="AL29" i="41" s="1"/>
  <c r="AU36" i="44"/>
  <c r="AN29" i="41" s="1"/>
  <c r="AV36" i="44"/>
  <c r="AP29" i="41" s="1"/>
  <c r="AM37" i="44"/>
  <c r="AG30" i="41" s="1"/>
  <c r="AN37" i="44"/>
  <c r="AI30" i="41" s="1"/>
  <c r="AO37" i="44"/>
  <c r="AK30" i="41" s="1"/>
  <c r="AP37" i="44"/>
  <c r="AM30" i="41" s="1"/>
  <c r="AQ37" i="44"/>
  <c r="AO30" i="41" s="1"/>
  <c r="AR37" i="44"/>
  <c r="AH30" i="41" s="1"/>
  <c r="AS37" i="44"/>
  <c r="AJ30" i="41" s="1"/>
  <c r="AT37" i="44"/>
  <c r="AL30" i="41" s="1"/>
  <c r="AU37" i="44"/>
  <c r="AN30" i="41" s="1"/>
  <c r="AV37" i="44"/>
  <c r="AP30" i="41" s="1"/>
  <c r="AM38" i="44"/>
  <c r="AG31" i="41" s="1"/>
  <c r="AN38" i="44"/>
  <c r="AI31" i="41" s="1"/>
  <c r="AO38" i="44"/>
  <c r="AK31" i="41" s="1"/>
  <c r="AP38" i="44"/>
  <c r="AM31" i="41" s="1"/>
  <c r="AQ38" i="44"/>
  <c r="AO31" i="41" s="1"/>
  <c r="AR38" i="44"/>
  <c r="AH31" i="41" s="1"/>
  <c r="AS38" i="44"/>
  <c r="AJ31" i="41" s="1"/>
  <c r="AT38" i="44"/>
  <c r="AL31" i="41" s="1"/>
  <c r="AU38" i="44"/>
  <c r="AN31" i="41" s="1"/>
  <c r="AV38" i="44"/>
  <c r="AP31" i="41" s="1"/>
  <c r="AM39" i="44"/>
  <c r="AG32" i="41" s="1"/>
  <c r="AN39" i="44"/>
  <c r="AI32" i="41" s="1"/>
  <c r="AO39" i="44"/>
  <c r="AK32" i="41" s="1"/>
  <c r="AP39" i="44"/>
  <c r="AM32" i="41" s="1"/>
  <c r="AQ39" i="44"/>
  <c r="AO32" i="41" s="1"/>
  <c r="AR39" i="44"/>
  <c r="AH32" i="41" s="1"/>
  <c r="AS39" i="44"/>
  <c r="AJ32" i="41" s="1"/>
  <c r="AT39" i="44"/>
  <c r="AL32" i="41" s="1"/>
  <c r="AU39" i="44"/>
  <c r="AN32" i="41" s="1"/>
  <c r="AV39" i="44"/>
  <c r="AP32" i="41" s="1"/>
  <c r="AM40" i="44"/>
  <c r="AG33" i="41" s="1"/>
  <c r="AN40" i="44"/>
  <c r="AI33" i="41" s="1"/>
  <c r="AO40" i="44"/>
  <c r="AK33" i="41" s="1"/>
  <c r="AP40" i="44"/>
  <c r="AM33" i="41" s="1"/>
  <c r="AQ40" i="44"/>
  <c r="AO33" i="41" s="1"/>
  <c r="AR40" i="44"/>
  <c r="AH33" i="41" s="1"/>
  <c r="AS40" i="44"/>
  <c r="AJ33" i="41" s="1"/>
  <c r="AT40" i="44"/>
  <c r="AL33" i="41" s="1"/>
  <c r="AU40" i="44"/>
  <c r="AN33" i="41" s="1"/>
  <c r="AV40" i="44"/>
  <c r="AP33" i="41" s="1"/>
  <c r="AM41" i="44"/>
  <c r="AG34" i="41" s="1"/>
  <c r="AN41" i="44"/>
  <c r="AI34" i="41" s="1"/>
  <c r="AO41" i="44"/>
  <c r="AK34" i="41" s="1"/>
  <c r="AP41" i="44"/>
  <c r="AM34" i="41" s="1"/>
  <c r="AQ41" i="44"/>
  <c r="AO34" i="41" s="1"/>
  <c r="AR41" i="44"/>
  <c r="AH34" i="41" s="1"/>
  <c r="AS41" i="44"/>
  <c r="AJ34" i="41" s="1"/>
  <c r="AT41" i="44"/>
  <c r="AL34" i="41" s="1"/>
  <c r="AU41" i="44"/>
  <c r="AN34" i="41" s="1"/>
  <c r="AV41" i="44"/>
  <c r="AP34" i="41" s="1"/>
  <c r="AM42" i="44"/>
  <c r="AG35" i="41" s="1"/>
  <c r="AN42" i="44"/>
  <c r="AI35" i="41" s="1"/>
  <c r="AO42" i="44"/>
  <c r="AK35" i="41" s="1"/>
  <c r="AP42" i="44"/>
  <c r="AM35" i="41" s="1"/>
  <c r="AQ42" i="44"/>
  <c r="AO35" i="41" s="1"/>
  <c r="AR42" i="44"/>
  <c r="AH35" i="41" s="1"/>
  <c r="AS42" i="44"/>
  <c r="AJ35" i="41" s="1"/>
  <c r="AT42" i="44"/>
  <c r="AL35" i="41" s="1"/>
  <c r="AU42" i="44"/>
  <c r="AN35" i="41" s="1"/>
  <c r="AV42" i="44"/>
  <c r="AP35" i="41" s="1"/>
  <c r="AN43" i="44"/>
  <c r="AI36" i="41" s="1"/>
  <c r="AO43" i="44"/>
  <c r="AK36" i="41" s="1"/>
  <c r="AQ43" i="44"/>
  <c r="AO36" i="41" s="1"/>
  <c r="AR43" i="44"/>
  <c r="AH36" i="41" s="1"/>
  <c r="AT43" i="44"/>
  <c r="AL36" i="41" s="1"/>
  <c r="AU43" i="44"/>
  <c r="AN36" i="41" s="1"/>
  <c r="AV43" i="44"/>
  <c r="AP36" i="41" s="1"/>
  <c r="AN45" i="44"/>
  <c r="AI38" i="41" s="1"/>
  <c r="AO45" i="44"/>
  <c r="AK38" i="41" s="1"/>
  <c r="AP45" i="44"/>
  <c r="AM38" i="41" s="1"/>
  <c r="AR45" i="44"/>
  <c r="AH38" i="41" s="1"/>
  <c r="AT45" i="44"/>
  <c r="AL38" i="41" s="1"/>
  <c r="AU45" i="44"/>
  <c r="AN38" i="41" s="1"/>
  <c r="AV45" i="44"/>
  <c r="AP38" i="41" s="1"/>
  <c r="AM46" i="44"/>
  <c r="AG39" i="41" s="1"/>
  <c r="AN46" i="44"/>
  <c r="AI39" i="41" s="1"/>
  <c r="AO46" i="44"/>
  <c r="AK39" i="41" s="1"/>
  <c r="AP46" i="44"/>
  <c r="AM39" i="41" s="1"/>
  <c r="AQ46" i="44"/>
  <c r="AO39" i="41" s="1"/>
  <c r="AR46" i="44"/>
  <c r="AH39" i="41" s="1"/>
  <c r="AS46" i="44"/>
  <c r="AJ39" i="41" s="1"/>
  <c r="AT46" i="44"/>
  <c r="AL39" i="41" s="1"/>
  <c r="AU46" i="44"/>
  <c r="AN39" i="41" s="1"/>
  <c r="AV46" i="44"/>
  <c r="AP39" i="41" s="1"/>
  <c r="AM47" i="44"/>
  <c r="AG40" i="41" s="1"/>
  <c r="AN47" i="44"/>
  <c r="AI40" i="41" s="1"/>
  <c r="AO47" i="44"/>
  <c r="AK40" i="41" s="1"/>
  <c r="AP47" i="44"/>
  <c r="AM40" i="41" s="1"/>
  <c r="AQ47" i="44"/>
  <c r="AO40" i="41" s="1"/>
  <c r="AR47" i="44"/>
  <c r="AH40" i="41" s="1"/>
  <c r="AS47" i="44"/>
  <c r="AJ40" i="41" s="1"/>
  <c r="AT47" i="44"/>
  <c r="AL40" i="41" s="1"/>
  <c r="AU47" i="44"/>
  <c r="AN40" i="41" s="1"/>
  <c r="AV47" i="44"/>
  <c r="AP40" i="41" s="1"/>
  <c r="AM48" i="44"/>
  <c r="AG41" i="41" s="1"/>
  <c r="AN48" i="44"/>
  <c r="AI41" i="41" s="1"/>
  <c r="AO48" i="44"/>
  <c r="AK41" i="41" s="1"/>
  <c r="AP48" i="44"/>
  <c r="AM41" i="41" s="1"/>
  <c r="AQ48" i="44"/>
  <c r="AO41" i="41" s="1"/>
  <c r="AR48" i="44"/>
  <c r="AH41" i="41" s="1"/>
  <c r="AS48" i="44"/>
  <c r="AJ41" i="41" s="1"/>
  <c r="AT48" i="44"/>
  <c r="AL41" i="41" s="1"/>
  <c r="AU48" i="44"/>
  <c r="AN41" i="41" s="1"/>
  <c r="AV48" i="44"/>
  <c r="AP41" i="41" s="1"/>
  <c r="AM49" i="44"/>
  <c r="AG42" i="41" s="1"/>
  <c r="AN49" i="44"/>
  <c r="AI42" i="41" s="1"/>
  <c r="AO49" i="44"/>
  <c r="AK42" i="41" s="1"/>
  <c r="AP49" i="44"/>
  <c r="AM42" i="41" s="1"/>
  <c r="AQ49" i="44"/>
  <c r="AO42" i="41" s="1"/>
  <c r="AR49" i="44"/>
  <c r="AH42" i="41" s="1"/>
  <c r="AS49" i="44"/>
  <c r="AJ42" i="41" s="1"/>
  <c r="AT49" i="44"/>
  <c r="AL42" i="41" s="1"/>
  <c r="AU49" i="44"/>
  <c r="AN42" i="41" s="1"/>
  <c r="AV49" i="44"/>
  <c r="AP42" i="41" s="1"/>
  <c r="AM50" i="44"/>
  <c r="AG43" i="41" s="1"/>
  <c r="AN50" i="44"/>
  <c r="AI43" i="41" s="1"/>
  <c r="AO50" i="44"/>
  <c r="AK43" i="41" s="1"/>
  <c r="AP50" i="44"/>
  <c r="AM43" i="41" s="1"/>
  <c r="AQ50" i="44"/>
  <c r="AO43" i="41" s="1"/>
  <c r="AR50" i="44"/>
  <c r="AH43" i="41" s="1"/>
  <c r="AS50" i="44"/>
  <c r="AJ43" i="41" s="1"/>
  <c r="AT50" i="44"/>
  <c r="AL43" i="41" s="1"/>
  <c r="AU50" i="44"/>
  <c r="AN43" i="41" s="1"/>
  <c r="AV50" i="44"/>
  <c r="AP43" i="41" s="1"/>
  <c r="AM51" i="44"/>
  <c r="AG44" i="41" s="1"/>
  <c r="AN51" i="44"/>
  <c r="AI44" i="41" s="1"/>
  <c r="AO51" i="44"/>
  <c r="AK44" i="41" s="1"/>
  <c r="AP51" i="44"/>
  <c r="AM44" i="41" s="1"/>
  <c r="AQ51" i="44"/>
  <c r="AO44" i="41" s="1"/>
  <c r="AR51" i="44"/>
  <c r="AH44" i="41" s="1"/>
  <c r="AS51" i="44"/>
  <c r="AJ44" i="41" s="1"/>
  <c r="AT51" i="44"/>
  <c r="AL44" i="41" s="1"/>
  <c r="AU51" i="44"/>
  <c r="AN44" i="41" s="1"/>
  <c r="AV51" i="44"/>
  <c r="AP44" i="41" s="1"/>
  <c r="AM52" i="44"/>
  <c r="AG45" i="41" s="1"/>
  <c r="AN52" i="44"/>
  <c r="AI45" i="41" s="1"/>
  <c r="AO52" i="44"/>
  <c r="AK45" i="41" s="1"/>
  <c r="AP52" i="44"/>
  <c r="AM45" i="41" s="1"/>
  <c r="AQ52" i="44"/>
  <c r="AO45" i="41" s="1"/>
  <c r="AR52" i="44"/>
  <c r="AH45" i="41" s="1"/>
  <c r="AS52" i="44"/>
  <c r="AJ45" i="41" s="1"/>
  <c r="AT52" i="44"/>
  <c r="AL45" i="41" s="1"/>
  <c r="AU52" i="44"/>
  <c r="AN45" i="41" s="1"/>
  <c r="AV52" i="44"/>
  <c r="AP45" i="41" s="1"/>
  <c r="AM53" i="44"/>
  <c r="AG46" i="41" s="1"/>
  <c r="AN53" i="44"/>
  <c r="AI46" i="41" s="1"/>
  <c r="AO53" i="44"/>
  <c r="AK46" i="41" s="1"/>
  <c r="AP53" i="44"/>
  <c r="AM46" i="41" s="1"/>
  <c r="AQ53" i="44"/>
  <c r="AO46" i="41" s="1"/>
  <c r="AR53" i="44"/>
  <c r="AH46" i="41" s="1"/>
  <c r="AS53" i="44"/>
  <c r="AJ46" i="41" s="1"/>
  <c r="AT53" i="44"/>
  <c r="AL46" i="41" s="1"/>
  <c r="AU53" i="44"/>
  <c r="AN46" i="41" s="1"/>
  <c r="AV53" i="44"/>
  <c r="AP46" i="41" s="1"/>
  <c r="AN54" i="44"/>
  <c r="AI47" i="41" s="1"/>
  <c r="AO54" i="44"/>
  <c r="AK47" i="41" s="1"/>
  <c r="AP54" i="44"/>
  <c r="AM47" i="41" s="1"/>
  <c r="AQ54" i="44"/>
  <c r="AO47" i="41" s="1"/>
  <c r="AR54" i="44"/>
  <c r="AH47" i="41" s="1"/>
  <c r="AS54" i="44"/>
  <c r="AJ47" i="41" s="1"/>
  <c r="AT54" i="44"/>
  <c r="AL47" i="41" s="1"/>
  <c r="AU54" i="44"/>
  <c r="AN47" i="41" s="1"/>
  <c r="AV54" i="44"/>
  <c r="AP47" i="41" s="1"/>
  <c r="AN55" i="44"/>
  <c r="AI48" i="41" s="1"/>
  <c r="AO55" i="44"/>
  <c r="AK48" i="41" s="1"/>
  <c r="AQ55" i="44"/>
  <c r="AO48" i="41" s="1"/>
  <c r="AR55" i="44"/>
  <c r="AH48" i="41" s="1"/>
  <c r="AT55" i="44"/>
  <c r="AL48" i="41" s="1"/>
  <c r="AU55" i="44"/>
  <c r="AN48" i="41" s="1"/>
  <c r="AV55" i="44"/>
  <c r="AP48" i="41" s="1"/>
  <c r="AN57" i="44"/>
  <c r="AI50" i="41" s="1"/>
  <c r="AO57" i="44"/>
  <c r="AK50" i="41" s="1"/>
  <c r="AP57" i="44"/>
  <c r="AM50" i="41" s="1"/>
  <c r="AR57" i="44"/>
  <c r="AH50" i="41" s="1"/>
  <c r="AT57" i="44"/>
  <c r="AL50" i="41" s="1"/>
  <c r="AU57" i="44"/>
  <c r="AN50" i="41" s="1"/>
  <c r="AV57" i="44"/>
  <c r="AP50" i="41" s="1"/>
  <c r="AM58" i="44"/>
  <c r="AG51" i="41" s="1"/>
  <c r="AN58" i="44"/>
  <c r="AI51" i="41" s="1"/>
  <c r="AO58" i="44"/>
  <c r="AK51" i="41" s="1"/>
  <c r="AP58" i="44"/>
  <c r="AM51" i="41" s="1"/>
  <c r="AQ58" i="44"/>
  <c r="AO51" i="41" s="1"/>
  <c r="AR58" i="44"/>
  <c r="AH51" i="41" s="1"/>
  <c r="AS58" i="44"/>
  <c r="AJ51" i="41" s="1"/>
  <c r="AT58" i="44"/>
  <c r="AL51" i="41" s="1"/>
  <c r="AU58" i="44"/>
  <c r="AN51" i="41" s="1"/>
  <c r="AV58" i="44"/>
  <c r="AP51" i="41" s="1"/>
  <c r="AM59" i="44"/>
  <c r="AG52" i="41" s="1"/>
  <c r="AN59" i="44"/>
  <c r="AI52" i="41" s="1"/>
  <c r="AO59" i="44"/>
  <c r="AK52" i="41" s="1"/>
  <c r="AP59" i="44"/>
  <c r="AM52" i="41" s="1"/>
  <c r="AQ59" i="44"/>
  <c r="AO52" i="41" s="1"/>
  <c r="AR59" i="44"/>
  <c r="AH52" i="41" s="1"/>
  <c r="AS59" i="44"/>
  <c r="AJ52" i="41" s="1"/>
  <c r="AT59" i="44"/>
  <c r="AL52" i="41" s="1"/>
  <c r="AU59" i="44"/>
  <c r="AN52" i="41" s="1"/>
  <c r="AV59" i="44"/>
  <c r="AP52" i="41" s="1"/>
  <c r="AM60" i="44"/>
  <c r="AG53" i="41" s="1"/>
  <c r="AN60" i="44"/>
  <c r="AI53" i="41" s="1"/>
  <c r="AO60" i="44"/>
  <c r="AK53" i="41" s="1"/>
  <c r="AP60" i="44"/>
  <c r="AM53" i="41" s="1"/>
  <c r="AQ60" i="44"/>
  <c r="AO53" i="41" s="1"/>
  <c r="AR60" i="44"/>
  <c r="AH53" i="41" s="1"/>
  <c r="AS60" i="44"/>
  <c r="AJ53" i="41" s="1"/>
  <c r="AT60" i="44"/>
  <c r="AL53" i="41" s="1"/>
  <c r="AU60" i="44"/>
  <c r="AN53" i="41" s="1"/>
  <c r="AV60" i="44"/>
  <c r="AP53" i="41" s="1"/>
  <c r="AM61" i="44"/>
  <c r="AG54" i="41" s="1"/>
  <c r="AN61" i="44"/>
  <c r="AI54" i="41" s="1"/>
  <c r="AO61" i="44"/>
  <c r="AK54" i="41" s="1"/>
  <c r="AP61" i="44"/>
  <c r="AM54" i="41" s="1"/>
  <c r="AQ61" i="44"/>
  <c r="AO54" i="41" s="1"/>
  <c r="AR61" i="44"/>
  <c r="AH54" i="41" s="1"/>
  <c r="AS61" i="44"/>
  <c r="AJ54" i="41" s="1"/>
  <c r="AT61" i="44"/>
  <c r="AL54" i="41" s="1"/>
  <c r="AU61" i="44"/>
  <c r="AN54" i="41" s="1"/>
  <c r="AV61" i="44"/>
  <c r="AP54" i="41" s="1"/>
  <c r="AM62" i="44"/>
  <c r="AG55" i="41" s="1"/>
  <c r="AN62" i="44"/>
  <c r="AI55" i="41" s="1"/>
  <c r="AO62" i="44"/>
  <c r="AK55" i="41" s="1"/>
  <c r="AP62" i="44"/>
  <c r="AM55" i="41" s="1"/>
  <c r="AQ62" i="44"/>
  <c r="AO55" i="41" s="1"/>
  <c r="AR62" i="44"/>
  <c r="AH55" i="41" s="1"/>
  <c r="AS62" i="44"/>
  <c r="AJ55" i="41" s="1"/>
  <c r="AT62" i="44"/>
  <c r="AL55" i="41" s="1"/>
  <c r="AU62" i="44"/>
  <c r="AN55" i="41" s="1"/>
  <c r="AV62" i="44"/>
  <c r="AP55" i="41" s="1"/>
  <c r="AM63" i="44"/>
  <c r="AG56" i="41" s="1"/>
  <c r="AN63" i="44"/>
  <c r="AI56" i="41" s="1"/>
  <c r="AO63" i="44"/>
  <c r="AK56" i="41" s="1"/>
  <c r="AP63" i="44"/>
  <c r="AM56" i="41" s="1"/>
  <c r="AQ63" i="44"/>
  <c r="AO56" i="41" s="1"/>
  <c r="AR63" i="44"/>
  <c r="AH56" i="41" s="1"/>
  <c r="AS63" i="44"/>
  <c r="AJ56" i="41" s="1"/>
  <c r="AT63" i="44"/>
  <c r="AL56" i="41" s="1"/>
  <c r="AU63" i="44"/>
  <c r="AN56" i="41" s="1"/>
  <c r="AV63" i="44"/>
  <c r="AP56" i="41" s="1"/>
  <c r="AM64" i="44"/>
  <c r="AG57" i="41" s="1"/>
  <c r="AN64" i="44"/>
  <c r="AI57" i="41" s="1"/>
  <c r="AO64" i="44"/>
  <c r="AK57" i="41" s="1"/>
  <c r="AP64" i="44"/>
  <c r="AM57" i="41" s="1"/>
  <c r="AQ64" i="44"/>
  <c r="AO57" i="41" s="1"/>
  <c r="AR64" i="44"/>
  <c r="AH57" i="41" s="1"/>
  <c r="AS64" i="44"/>
  <c r="AJ57" i="41" s="1"/>
  <c r="AT64" i="44"/>
  <c r="AL57" i="41" s="1"/>
  <c r="AU64" i="44"/>
  <c r="AN57" i="41" s="1"/>
  <c r="AV64" i="44"/>
  <c r="AP57" i="41" s="1"/>
  <c r="AM65" i="44"/>
  <c r="AG58" i="41" s="1"/>
  <c r="AN65" i="44"/>
  <c r="AI58" i="41" s="1"/>
  <c r="AO65" i="44"/>
  <c r="AK58" i="41" s="1"/>
  <c r="AP65" i="44"/>
  <c r="AM58" i="41" s="1"/>
  <c r="AQ65" i="44"/>
  <c r="AO58" i="41" s="1"/>
  <c r="AR65" i="44"/>
  <c r="AH58" i="41" s="1"/>
  <c r="AS65" i="44"/>
  <c r="AJ58" i="41" s="1"/>
  <c r="AT65" i="44"/>
  <c r="AL58" i="41" s="1"/>
  <c r="AU65" i="44"/>
  <c r="AN58" i="41" s="1"/>
  <c r="AV65" i="44"/>
  <c r="AP58" i="41" s="1"/>
  <c r="AN66" i="44"/>
  <c r="AI59" i="41" s="1"/>
  <c r="AO66" i="44"/>
  <c r="AK59" i="41" s="1"/>
  <c r="AP66" i="44"/>
  <c r="AM59" i="41" s="1"/>
  <c r="AQ66" i="44"/>
  <c r="AO59" i="41" s="1"/>
  <c r="AR66" i="44"/>
  <c r="AH59" i="41" s="1"/>
  <c r="AS66" i="44"/>
  <c r="AJ59" i="41" s="1"/>
  <c r="AT66" i="44"/>
  <c r="AL59" i="41" s="1"/>
  <c r="AU66" i="44"/>
  <c r="AN59" i="41" s="1"/>
  <c r="AV66" i="44"/>
  <c r="AP59" i="41" s="1"/>
  <c r="AN67" i="44"/>
  <c r="AI60" i="41" s="1"/>
  <c r="AO67" i="44"/>
  <c r="AK60" i="41" s="1"/>
  <c r="AQ67" i="44"/>
  <c r="AO60" i="41" s="1"/>
  <c r="AR67" i="44"/>
  <c r="AH60" i="41" s="1"/>
  <c r="AS67" i="44"/>
  <c r="AJ60" i="41" s="1"/>
  <c r="AT67" i="44"/>
  <c r="AL60" i="41" s="1"/>
  <c r="AU67" i="44"/>
  <c r="AN60" i="41" s="1"/>
  <c r="AV67" i="44"/>
  <c r="AP60" i="41" s="1"/>
  <c r="AU68" i="44"/>
  <c r="AN61" i="41" s="1"/>
  <c r="AN69" i="44"/>
  <c r="AI62" i="41" s="1"/>
  <c r="AO69" i="44"/>
  <c r="AK62" i="41" s="1"/>
  <c r="AP69" i="44"/>
  <c r="AM62" i="41" s="1"/>
  <c r="AR69" i="44"/>
  <c r="AH62" i="41" s="1"/>
  <c r="AT69" i="44"/>
  <c r="AL62" i="41" s="1"/>
  <c r="AU69" i="44"/>
  <c r="AN62" i="41" s="1"/>
  <c r="AV69" i="44"/>
  <c r="AP62" i="41" s="1"/>
  <c r="AM70" i="44"/>
  <c r="AG63" i="41" s="1"/>
  <c r="AN70" i="44"/>
  <c r="AI63" i="41" s="1"/>
  <c r="AO70" i="44"/>
  <c r="AK63" i="41" s="1"/>
  <c r="AP70" i="44"/>
  <c r="AM63" i="41" s="1"/>
  <c r="AQ70" i="44"/>
  <c r="AO63" i="41" s="1"/>
  <c r="AR70" i="44"/>
  <c r="AH63" i="41" s="1"/>
  <c r="AS70" i="44"/>
  <c r="AJ63" i="41" s="1"/>
  <c r="AT70" i="44"/>
  <c r="AL63" i="41" s="1"/>
  <c r="AU70" i="44"/>
  <c r="AN63" i="41" s="1"/>
  <c r="AV70" i="44"/>
  <c r="AP63" i="41" s="1"/>
  <c r="AM71" i="44"/>
  <c r="AG64" i="41" s="1"/>
  <c r="AN71" i="44"/>
  <c r="AI64" i="41" s="1"/>
  <c r="AO71" i="44"/>
  <c r="AK64" i="41" s="1"/>
  <c r="AP71" i="44"/>
  <c r="AM64" i="41" s="1"/>
  <c r="AQ71" i="44"/>
  <c r="AO64" i="41" s="1"/>
  <c r="AR71" i="44"/>
  <c r="AH64" i="41" s="1"/>
  <c r="AS71" i="44"/>
  <c r="AJ64" i="41" s="1"/>
  <c r="AT71" i="44"/>
  <c r="AL64" i="41" s="1"/>
  <c r="AU71" i="44"/>
  <c r="AN64" i="41" s="1"/>
  <c r="AV71" i="44"/>
  <c r="AP64" i="41" s="1"/>
  <c r="AM72" i="44"/>
  <c r="AG65" i="41" s="1"/>
  <c r="AN72" i="44"/>
  <c r="AI65" i="41" s="1"/>
  <c r="AO72" i="44"/>
  <c r="AK65" i="41" s="1"/>
  <c r="AP72" i="44"/>
  <c r="AM65" i="41" s="1"/>
  <c r="AQ72" i="44"/>
  <c r="AO65" i="41" s="1"/>
  <c r="AR72" i="44"/>
  <c r="AH65" i="41" s="1"/>
  <c r="AS72" i="44"/>
  <c r="AJ65" i="41" s="1"/>
  <c r="AT72" i="44"/>
  <c r="AL65" i="41" s="1"/>
  <c r="AU72" i="44"/>
  <c r="AN65" i="41" s="1"/>
  <c r="AV72" i="44"/>
  <c r="AP65" i="41" s="1"/>
  <c r="AM73" i="44"/>
  <c r="AG66" i="41" s="1"/>
  <c r="AN73" i="44"/>
  <c r="AI66" i="41" s="1"/>
  <c r="AO73" i="44"/>
  <c r="AK66" i="41" s="1"/>
  <c r="AP73" i="44"/>
  <c r="AM66" i="41" s="1"/>
  <c r="AQ73" i="44"/>
  <c r="AO66" i="41" s="1"/>
  <c r="AR73" i="44"/>
  <c r="AH66" i="41" s="1"/>
  <c r="AS73" i="44"/>
  <c r="AJ66" i="41" s="1"/>
  <c r="AT73" i="44"/>
  <c r="AL66" i="41" s="1"/>
  <c r="AU73" i="44"/>
  <c r="AN66" i="41" s="1"/>
  <c r="AV73" i="44"/>
  <c r="AP66" i="41" s="1"/>
  <c r="AM74" i="44"/>
  <c r="AG67" i="41" s="1"/>
  <c r="AN74" i="44"/>
  <c r="AI67" i="41" s="1"/>
  <c r="AO74" i="44"/>
  <c r="AK67" i="41" s="1"/>
  <c r="AP74" i="44"/>
  <c r="AM67" i="41" s="1"/>
  <c r="AQ74" i="44"/>
  <c r="AO67" i="41" s="1"/>
  <c r="AR74" i="44"/>
  <c r="AH67" i="41" s="1"/>
  <c r="AS74" i="44"/>
  <c r="AJ67" i="41" s="1"/>
  <c r="AT74" i="44"/>
  <c r="AL67" i="41" s="1"/>
  <c r="AU74" i="44"/>
  <c r="AN67" i="41" s="1"/>
  <c r="AV74" i="44"/>
  <c r="AP67" i="41" s="1"/>
  <c r="AM75" i="44"/>
  <c r="AG68" i="41" s="1"/>
  <c r="AN75" i="44"/>
  <c r="AI68" i="41" s="1"/>
  <c r="AO75" i="44"/>
  <c r="AK68" i="41" s="1"/>
  <c r="AP75" i="44"/>
  <c r="AM68" i="41" s="1"/>
  <c r="AQ75" i="44"/>
  <c r="AO68" i="41" s="1"/>
  <c r="AR75" i="44"/>
  <c r="AH68" i="41" s="1"/>
  <c r="AS75" i="44"/>
  <c r="AJ68" i="41" s="1"/>
  <c r="AT75" i="44"/>
  <c r="AL68" i="41" s="1"/>
  <c r="AU75" i="44"/>
  <c r="AN68" i="41" s="1"/>
  <c r="AV75" i="44"/>
  <c r="AP68" i="41" s="1"/>
  <c r="AM76" i="44"/>
  <c r="AG69" i="41" s="1"/>
  <c r="AN76" i="44"/>
  <c r="AI69" i="41" s="1"/>
  <c r="AO76" i="44"/>
  <c r="AK69" i="41" s="1"/>
  <c r="AP76" i="44"/>
  <c r="AM69" i="41" s="1"/>
  <c r="AQ76" i="44"/>
  <c r="AO69" i="41" s="1"/>
  <c r="AR76" i="44"/>
  <c r="AH69" i="41" s="1"/>
  <c r="AS76" i="44"/>
  <c r="AJ69" i="41" s="1"/>
  <c r="AT76" i="44"/>
  <c r="AL69" i="41" s="1"/>
  <c r="AU76" i="44"/>
  <c r="AN69" i="41" s="1"/>
  <c r="AV76" i="44"/>
  <c r="AP69" i="41" s="1"/>
  <c r="AM77" i="44"/>
  <c r="AG70" i="41" s="1"/>
  <c r="AN77" i="44"/>
  <c r="AI70" i="41" s="1"/>
  <c r="AO77" i="44"/>
  <c r="AK70" i="41" s="1"/>
  <c r="AP77" i="44"/>
  <c r="AM70" i="41" s="1"/>
  <c r="AQ77" i="44"/>
  <c r="AO70" i="41" s="1"/>
  <c r="AR77" i="44"/>
  <c r="AH70" i="41" s="1"/>
  <c r="AS77" i="44"/>
  <c r="AJ70" i="41" s="1"/>
  <c r="AT77" i="44"/>
  <c r="AL70" i="41" s="1"/>
  <c r="AU77" i="44"/>
  <c r="AN70" i="41" s="1"/>
  <c r="AV77" i="44"/>
  <c r="AP70" i="41" s="1"/>
  <c r="AN78" i="44"/>
  <c r="AI71" i="41" s="1"/>
  <c r="AO78" i="44"/>
  <c r="AK71" i="41" s="1"/>
  <c r="AP78" i="44"/>
  <c r="AM71" i="41" s="1"/>
  <c r="AQ78" i="44"/>
  <c r="AO71" i="41" s="1"/>
  <c r="AR78" i="44"/>
  <c r="AH71" i="41" s="1"/>
  <c r="AS78" i="44"/>
  <c r="AJ71" i="41" s="1"/>
  <c r="AT78" i="44"/>
  <c r="AL71" i="41" s="1"/>
  <c r="AU78" i="44"/>
  <c r="AN71" i="41" s="1"/>
  <c r="AV78" i="44"/>
  <c r="AP71" i="41" s="1"/>
  <c r="AN79" i="44"/>
  <c r="AI72" i="41" s="1"/>
  <c r="AO79" i="44"/>
  <c r="AK72" i="41" s="1"/>
  <c r="AQ79" i="44"/>
  <c r="AO72" i="41" s="1"/>
  <c r="AR79" i="44"/>
  <c r="AH72" i="41" s="1"/>
  <c r="AS79" i="44"/>
  <c r="AJ72" i="41" s="1"/>
  <c r="AT79" i="44"/>
  <c r="AL72" i="41" s="1"/>
  <c r="AU79" i="44"/>
  <c r="AN72" i="41" s="1"/>
  <c r="AV79" i="44"/>
  <c r="AP72" i="41" s="1"/>
  <c r="AN81" i="44"/>
  <c r="AI74" i="41" s="1"/>
  <c r="AO81" i="44"/>
  <c r="AK74" i="41" s="1"/>
  <c r="AP81" i="44"/>
  <c r="AM74" i="41" s="1"/>
  <c r="AR81" i="44"/>
  <c r="AH74" i="41" s="1"/>
  <c r="AT81" i="44"/>
  <c r="AL74" i="41" s="1"/>
  <c r="AU81" i="44"/>
  <c r="AN74" i="41" s="1"/>
  <c r="AV81" i="44"/>
  <c r="AP74" i="41" s="1"/>
  <c r="AM82" i="44"/>
  <c r="AG75" i="41" s="1"/>
  <c r="AN82" i="44"/>
  <c r="AI75" i="41" s="1"/>
  <c r="AO82" i="44"/>
  <c r="AK75" i="41" s="1"/>
  <c r="AP82" i="44"/>
  <c r="AM75" i="41" s="1"/>
  <c r="AQ82" i="44"/>
  <c r="AO75" i="41" s="1"/>
  <c r="AR82" i="44"/>
  <c r="AH75" i="41" s="1"/>
  <c r="AS82" i="44"/>
  <c r="AJ75" i="41" s="1"/>
  <c r="AT82" i="44"/>
  <c r="AL75" i="41" s="1"/>
  <c r="AU82" i="44"/>
  <c r="AN75" i="41" s="1"/>
  <c r="AV82" i="44"/>
  <c r="AP75" i="41" s="1"/>
  <c r="AM83" i="44"/>
  <c r="AG76" i="41" s="1"/>
  <c r="AN83" i="44"/>
  <c r="AI76" i="41" s="1"/>
  <c r="AO83" i="44"/>
  <c r="AK76" i="41" s="1"/>
  <c r="AP83" i="44"/>
  <c r="AM76" i="41" s="1"/>
  <c r="AQ83" i="44"/>
  <c r="AO76" i="41" s="1"/>
  <c r="AR83" i="44"/>
  <c r="AH76" i="41" s="1"/>
  <c r="AS83" i="44"/>
  <c r="AJ76" i="41" s="1"/>
  <c r="AT83" i="44"/>
  <c r="AL76" i="41" s="1"/>
  <c r="AU83" i="44"/>
  <c r="AN76" i="41" s="1"/>
  <c r="AV83" i="44"/>
  <c r="AP76" i="41" s="1"/>
  <c r="AM84" i="44"/>
  <c r="AG77" i="41" s="1"/>
  <c r="AN84" i="44"/>
  <c r="AI77" i="41" s="1"/>
  <c r="AO84" i="44"/>
  <c r="AK77" i="41" s="1"/>
  <c r="AP84" i="44"/>
  <c r="AM77" i="41" s="1"/>
  <c r="AQ84" i="44"/>
  <c r="AO77" i="41" s="1"/>
  <c r="AR84" i="44"/>
  <c r="AH77" i="41" s="1"/>
  <c r="AS84" i="44"/>
  <c r="AJ77" i="41" s="1"/>
  <c r="AT84" i="44"/>
  <c r="AL77" i="41" s="1"/>
  <c r="AU84" i="44"/>
  <c r="AN77" i="41" s="1"/>
  <c r="AV84" i="44"/>
  <c r="AP77" i="41" s="1"/>
  <c r="AM85" i="44"/>
  <c r="AG78" i="41" s="1"/>
  <c r="AN85" i="44"/>
  <c r="AI78" i="41" s="1"/>
  <c r="AO85" i="44"/>
  <c r="AK78" i="41" s="1"/>
  <c r="AP85" i="44"/>
  <c r="AM78" i="41" s="1"/>
  <c r="AQ85" i="44"/>
  <c r="AO78" i="41" s="1"/>
  <c r="AR85" i="44"/>
  <c r="AH78" i="41" s="1"/>
  <c r="AS85" i="44"/>
  <c r="AJ78" i="41" s="1"/>
  <c r="AT85" i="44"/>
  <c r="AL78" i="41" s="1"/>
  <c r="AU85" i="44"/>
  <c r="AN78" i="41" s="1"/>
  <c r="AV85" i="44"/>
  <c r="AP78" i="41" s="1"/>
  <c r="AM86" i="44"/>
  <c r="AG79" i="41" s="1"/>
  <c r="AN86" i="44"/>
  <c r="AI79" i="41" s="1"/>
  <c r="AO86" i="44"/>
  <c r="AK79" i="41" s="1"/>
  <c r="AP86" i="44"/>
  <c r="AM79" i="41" s="1"/>
  <c r="AQ86" i="44"/>
  <c r="AO79" i="41" s="1"/>
  <c r="AR86" i="44"/>
  <c r="AH79" i="41" s="1"/>
  <c r="AS86" i="44"/>
  <c r="AJ79" i="41" s="1"/>
  <c r="AT86" i="44"/>
  <c r="AL79" i="41" s="1"/>
  <c r="AU86" i="44"/>
  <c r="AN79" i="41" s="1"/>
  <c r="AV86" i="44"/>
  <c r="AP79" i="41" s="1"/>
  <c r="AM87" i="44"/>
  <c r="AG80" i="41" s="1"/>
  <c r="AN87" i="44"/>
  <c r="AI80" i="41" s="1"/>
  <c r="AO87" i="44"/>
  <c r="AK80" i="41" s="1"/>
  <c r="AP87" i="44"/>
  <c r="AM80" i="41" s="1"/>
  <c r="AQ87" i="44"/>
  <c r="AO80" i="41" s="1"/>
  <c r="AR87" i="44"/>
  <c r="AH80" i="41" s="1"/>
  <c r="AS87" i="44"/>
  <c r="AJ80" i="41" s="1"/>
  <c r="AT87" i="44"/>
  <c r="AL80" i="41" s="1"/>
  <c r="AU87" i="44"/>
  <c r="AN80" i="41" s="1"/>
  <c r="AV87" i="44"/>
  <c r="AP80" i="41" s="1"/>
  <c r="AM88" i="44"/>
  <c r="AG81" i="41" s="1"/>
  <c r="AN88" i="44"/>
  <c r="AI81" i="41" s="1"/>
  <c r="AO88" i="44"/>
  <c r="AK81" i="41" s="1"/>
  <c r="AP88" i="44"/>
  <c r="AM81" i="41" s="1"/>
  <c r="AQ88" i="44"/>
  <c r="AO81" i="41" s="1"/>
  <c r="AR88" i="44"/>
  <c r="AH81" i="41" s="1"/>
  <c r="AS88" i="44"/>
  <c r="AJ81" i="41" s="1"/>
  <c r="AT88" i="44"/>
  <c r="AL81" i="41" s="1"/>
  <c r="AU88" i="44"/>
  <c r="AN81" i="41" s="1"/>
  <c r="AV88" i="44"/>
  <c r="AP81" i="41" s="1"/>
  <c r="AM89" i="44"/>
  <c r="AG82" i="41" s="1"/>
  <c r="AN89" i="44"/>
  <c r="AI82" i="41" s="1"/>
  <c r="AO89" i="44"/>
  <c r="AK82" i="41" s="1"/>
  <c r="AP89" i="44"/>
  <c r="AM82" i="41" s="1"/>
  <c r="AQ89" i="44"/>
  <c r="AO82" i="41" s="1"/>
  <c r="AR89" i="44"/>
  <c r="AH82" i="41" s="1"/>
  <c r="AS89" i="44"/>
  <c r="AJ82" i="41" s="1"/>
  <c r="AT89" i="44"/>
  <c r="AL82" i="41" s="1"/>
  <c r="AU89" i="44"/>
  <c r="AN82" i="41" s="1"/>
  <c r="AV89" i="44"/>
  <c r="AP82" i="41" s="1"/>
  <c r="AN90" i="44"/>
  <c r="AI83" i="41" s="1"/>
  <c r="AO90" i="44"/>
  <c r="AK83" i="41" s="1"/>
  <c r="AP90" i="44"/>
  <c r="AM83" i="41" s="1"/>
  <c r="AQ90" i="44"/>
  <c r="AO83" i="41" s="1"/>
  <c r="AR90" i="44"/>
  <c r="AH83" i="41" s="1"/>
  <c r="AS90" i="44"/>
  <c r="AJ83" i="41" s="1"/>
  <c r="AT90" i="44"/>
  <c r="AL83" i="41" s="1"/>
  <c r="AU90" i="44"/>
  <c r="AN83" i="41" s="1"/>
  <c r="AV90" i="44"/>
  <c r="AP83" i="41" s="1"/>
  <c r="AN91" i="44"/>
  <c r="AI84" i="41" s="1"/>
  <c r="AO91" i="44"/>
  <c r="AK84" i="41" s="1"/>
  <c r="AQ91" i="44"/>
  <c r="AO84" i="41" s="1"/>
  <c r="AR91" i="44"/>
  <c r="AH84" i="41" s="1"/>
  <c r="AS91" i="44"/>
  <c r="AJ84" i="41" s="1"/>
  <c r="AT91" i="44"/>
  <c r="AL84" i="41" s="1"/>
  <c r="AU91" i="44"/>
  <c r="AN84" i="41" s="1"/>
  <c r="AV91" i="44"/>
  <c r="AP84" i="41" s="1"/>
  <c r="AO92" i="44"/>
  <c r="AK85" i="41" s="1"/>
  <c r="AN93" i="44"/>
  <c r="AI86" i="41" s="1"/>
  <c r="AO93" i="44"/>
  <c r="AK86" i="41" s="1"/>
  <c r="AP93" i="44"/>
  <c r="AM86" i="41" s="1"/>
  <c r="AR93" i="44"/>
  <c r="AH86" i="41" s="1"/>
  <c r="AT93" i="44"/>
  <c r="AL86" i="41" s="1"/>
  <c r="AU93" i="44"/>
  <c r="AN86" i="41" s="1"/>
  <c r="AV93" i="44"/>
  <c r="AP86" i="41" s="1"/>
  <c r="AM94" i="44"/>
  <c r="AG87" i="41" s="1"/>
  <c r="AN94" i="44"/>
  <c r="AI87" i="41" s="1"/>
  <c r="AO94" i="44"/>
  <c r="AK87" i="41" s="1"/>
  <c r="AP94" i="44"/>
  <c r="AM87" i="41" s="1"/>
  <c r="AQ94" i="44"/>
  <c r="AO87" i="41" s="1"/>
  <c r="AR94" i="44"/>
  <c r="AH87" i="41" s="1"/>
  <c r="AS94" i="44"/>
  <c r="AJ87" i="41" s="1"/>
  <c r="AT94" i="44"/>
  <c r="AL87" i="41" s="1"/>
  <c r="AU94" i="44"/>
  <c r="AN87" i="41" s="1"/>
  <c r="AV94" i="44"/>
  <c r="AP87" i="41" s="1"/>
  <c r="AM95" i="44"/>
  <c r="AG88" i="41" s="1"/>
  <c r="AN95" i="44"/>
  <c r="AI88" i="41" s="1"/>
  <c r="AO95" i="44"/>
  <c r="AK88" i="41" s="1"/>
  <c r="AP95" i="44"/>
  <c r="AM88" i="41" s="1"/>
  <c r="AQ95" i="44"/>
  <c r="AO88" i="41" s="1"/>
  <c r="AR95" i="44"/>
  <c r="AH88" i="41" s="1"/>
  <c r="AS95" i="44"/>
  <c r="AJ88" i="41" s="1"/>
  <c r="AT95" i="44"/>
  <c r="AL88" i="41" s="1"/>
  <c r="AU95" i="44"/>
  <c r="AN88" i="41" s="1"/>
  <c r="AV95" i="44"/>
  <c r="AP88" i="41" s="1"/>
  <c r="AM96" i="44"/>
  <c r="AG89" i="41" s="1"/>
  <c r="AN96" i="44"/>
  <c r="AI89" i="41" s="1"/>
  <c r="AO96" i="44"/>
  <c r="AK89" i="41" s="1"/>
  <c r="AP96" i="44"/>
  <c r="AM89" i="41" s="1"/>
  <c r="AQ96" i="44"/>
  <c r="AO89" i="41" s="1"/>
  <c r="AR96" i="44"/>
  <c r="AH89" i="41" s="1"/>
  <c r="AS96" i="44"/>
  <c r="AJ89" i="41" s="1"/>
  <c r="AT96" i="44"/>
  <c r="AL89" i="41" s="1"/>
  <c r="AU96" i="44"/>
  <c r="AN89" i="41" s="1"/>
  <c r="AV96" i="44"/>
  <c r="AP89" i="41" s="1"/>
  <c r="AM97" i="44"/>
  <c r="AG90" i="41" s="1"/>
  <c r="AN97" i="44"/>
  <c r="AI90" i="41" s="1"/>
  <c r="AO97" i="44"/>
  <c r="AK90" i="41" s="1"/>
  <c r="AP97" i="44"/>
  <c r="AM90" i="41" s="1"/>
  <c r="AQ97" i="44"/>
  <c r="AO90" i="41" s="1"/>
  <c r="AR97" i="44"/>
  <c r="AH90" i="41" s="1"/>
  <c r="AS97" i="44"/>
  <c r="AJ90" i="41" s="1"/>
  <c r="AT97" i="44"/>
  <c r="AL90" i="41" s="1"/>
  <c r="AU97" i="44"/>
  <c r="AN90" i="41" s="1"/>
  <c r="AV97" i="44"/>
  <c r="AP90" i="41" s="1"/>
  <c r="AM98" i="44"/>
  <c r="AG91" i="41" s="1"/>
  <c r="AN98" i="44"/>
  <c r="AI91" i="41" s="1"/>
  <c r="AO98" i="44"/>
  <c r="AK91" i="41" s="1"/>
  <c r="AP98" i="44"/>
  <c r="AM91" i="41" s="1"/>
  <c r="AQ98" i="44"/>
  <c r="AO91" i="41" s="1"/>
  <c r="AR98" i="44"/>
  <c r="AH91" i="41" s="1"/>
  <c r="AS98" i="44"/>
  <c r="AJ91" i="41" s="1"/>
  <c r="AT98" i="44"/>
  <c r="AL91" i="41" s="1"/>
  <c r="AU98" i="44"/>
  <c r="AN91" i="41" s="1"/>
  <c r="AV98" i="44"/>
  <c r="AP91" i="41" s="1"/>
  <c r="AM99" i="44"/>
  <c r="AG92" i="41" s="1"/>
  <c r="AN99" i="44"/>
  <c r="AI92" i="41" s="1"/>
  <c r="AO99" i="44"/>
  <c r="AK92" i="41" s="1"/>
  <c r="AP99" i="44"/>
  <c r="AM92" i="41" s="1"/>
  <c r="AQ99" i="44"/>
  <c r="AO92" i="41" s="1"/>
  <c r="AR99" i="44"/>
  <c r="AH92" i="41" s="1"/>
  <c r="AS99" i="44"/>
  <c r="AJ92" i="41" s="1"/>
  <c r="AT99" i="44"/>
  <c r="AL92" i="41" s="1"/>
  <c r="AU99" i="44"/>
  <c r="AN92" i="41" s="1"/>
  <c r="AV99" i="44"/>
  <c r="AP92" i="41" s="1"/>
  <c r="AM100" i="44"/>
  <c r="AG93" i="41" s="1"/>
  <c r="AN100" i="44"/>
  <c r="AI93" i="41" s="1"/>
  <c r="AO100" i="44"/>
  <c r="AK93" i="41" s="1"/>
  <c r="AP100" i="44"/>
  <c r="AM93" i="41" s="1"/>
  <c r="AQ100" i="44"/>
  <c r="AO93" i="41" s="1"/>
  <c r="AR100" i="44"/>
  <c r="AH93" i="41" s="1"/>
  <c r="AS100" i="44"/>
  <c r="AJ93" i="41" s="1"/>
  <c r="AT100" i="44"/>
  <c r="AL93" i="41" s="1"/>
  <c r="AU100" i="44"/>
  <c r="AN93" i="41" s="1"/>
  <c r="AV100" i="44"/>
  <c r="AP93" i="41" s="1"/>
  <c r="AM101" i="44"/>
  <c r="AG94" i="41" s="1"/>
  <c r="AN101" i="44"/>
  <c r="AI94" i="41" s="1"/>
  <c r="AO101" i="44"/>
  <c r="AK94" i="41" s="1"/>
  <c r="AP101" i="44"/>
  <c r="AM94" i="41" s="1"/>
  <c r="AQ101" i="44"/>
  <c r="AO94" i="41" s="1"/>
  <c r="AR101" i="44"/>
  <c r="AH94" i="41" s="1"/>
  <c r="AS101" i="44"/>
  <c r="AJ94" i="41" s="1"/>
  <c r="AT101" i="44"/>
  <c r="AL94" i="41" s="1"/>
  <c r="AU101" i="44"/>
  <c r="AN94" i="41" s="1"/>
  <c r="AV101" i="44"/>
  <c r="AP94" i="41" s="1"/>
  <c r="AM102" i="44"/>
  <c r="AG95" i="41" s="1"/>
  <c r="AN102" i="44"/>
  <c r="AI95" i="41" s="1"/>
  <c r="AO102" i="44"/>
  <c r="AK95" i="41" s="1"/>
  <c r="AP102" i="44"/>
  <c r="AM95" i="41" s="1"/>
  <c r="AQ102" i="44"/>
  <c r="AO95" i="41" s="1"/>
  <c r="AR102" i="44"/>
  <c r="AH95" i="41" s="1"/>
  <c r="AS102" i="44"/>
  <c r="AJ95" i="41" s="1"/>
  <c r="AT102" i="44"/>
  <c r="AL95" i="41" s="1"/>
  <c r="AU102" i="44"/>
  <c r="AN95" i="41" s="1"/>
  <c r="AV102" i="44"/>
  <c r="AP95" i="41" s="1"/>
  <c r="AN103" i="44"/>
  <c r="AI96" i="41" s="1"/>
  <c r="AO103" i="44"/>
  <c r="AK96" i="41" s="1"/>
  <c r="AQ103" i="44"/>
  <c r="AO96" i="41" s="1"/>
  <c r="AR103" i="44"/>
  <c r="AH96" i="41" s="1"/>
  <c r="AT103" i="44"/>
  <c r="AL96" i="41" s="1"/>
  <c r="AU103" i="44"/>
  <c r="AN96" i="41" s="1"/>
  <c r="AV103" i="44"/>
  <c r="AP96" i="41" s="1"/>
  <c r="AR104" i="44"/>
  <c r="AH97" i="41" s="1"/>
  <c r="AN105" i="44"/>
  <c r="AI98" i="41" s="1"/>
  <c r="AO105" i="44"/>
  <c r="AK98" i="41" s="1"/>
  <c r="AP105" i="44"/>
  <c r="AM98" i="41" s="1"/>
  <c r="AR105" i="44"/>
  <c r="AH98" i="41" s="1"/>
  <c r="AT105" i="44"/>
  <c r="AL98" i="41" s="1"/>
  <c r="AU105" i="44"/>
  <c r="AN98" i="41" s="1"/>
  <c r="AV105" i="44"/>
  <c r="AP98" i="41" s="1"/>
  <c r="AM106" i="44"/>
  <c r="AG99" i="41" s="1"/>
  <c r="AN106" i="44"/>
  <c r="AI99" i="41" s="1"/>
  <c r="AO106" i="44"/>
  <c r="AK99" i="41" s="1"/>
  <c r="AP106" i="44"/>
  <c r="AM99" i="41" s="1"/>
  <c r="AQ106" i="44"/>
  <c r="AO99" i="41" s="1"/>
  <c r="AR106" i="44"/>
  <c r="AH99" i="41" s="1"/>
  <c r="AS106" i="44"/>
  <c r="AJ99" i="41" s="1"/>
  <c r="AT106" i="44"/>
  <c r="AL99" i="41" s="1"/>
  <c r="AU106" i="44"/>
  <c r="AN99" i="41" s="1"/>
  <c r="AV106" i="44"/>
  <c r="AP99" i="41" s="1"/>
  <c r="AM107" i="44"/>
  <c r="AG100" i="41" s="1"/>
  <c r="AN107" i="44"/>
  <c r="AI100" i="41" s="1"/>
  <c r="AO107" i="44"/>
  <c r="AK100" i="41" s="1"/>
  <c r="AP107" i="44"/>
  <c r="AM100" i="41" s="1"/>
  <c r="AQ107" i="44"/>
  <c r="AO100" i="41" s="1"/>
  <c r="AR107" i="44"/>
  <c r="AH100" i="41" s="1"/>
  <c r="AS107" i="44"/>
  <c r="AJ100" i="41" s="1"/>
  <c r="AT107" i="44"/>
  <c r="AL100" i="41" s="1"/>
  <c r="AU107" i="44"/>
  <c r="AN100" i="41" s="1"/>
  <c r="AV107" i="44"/>
  <c r="AP100" i="41" s="1"/>
  <c r="AM108" i="44"/>
  <c r="AG101" i="41" s="1"/>
  <c r="AN108" i="44"/>
  <c r="AI101" i="41" s="1"/>
  <c r="AO108" i="44"/>
  <c r="AK101" i="41" s="1"/>
  <c r="AP108" i="44"/>
  <c r="AM101" i="41" s="1"/>
  <c r="AQ108" i="44"/>
  <c r="AO101" i="41" s="1"/>
  <c r="AR108" i="44"/>
  <c r="AH101" i="41" s="1"/>
  <c r="AS108" i="44"/>
  <c r="AJ101" i="41" s="1"/>
  <c r="AT108" i="44"/>
  <c r="AL101" i="41" s="1"/>
  <c r="AU108" i="44"/>
  <c r="AN101" i="41" s="1"/>
  <c r="AV108" i="44"/>
  <c r="AP101" i="41" s="1"/>
  <c r="AM109" i="44"/>
  <c r="AG102" i="41" s="1"/>
  <c r="AN109" i="44"/>
  <c r="AI102" i="41" s="1"/>
  <c r="AO109" i="44"/>
  <c r="AK102" i="41" s="1"/>
  <c r="AP109" i="44"/>
  <c r="AM102" i="41" s="1"/>
  <c r="AQ109" i="44"/>
  <c r="AO102" i="41" s="1"/>
  <c r="AR109" i="44"/>
  <c r="AH102" i="41" s="1"/>
  <c r="AS109" i="44"/>
  <c r="AJ102" i="41" s="1"/>
  <c r="AT109" i="44"/>
  <c r="AL102" i="41" s="1"/>
  <c r="AU109" i="44"/>
  <c r="AN102" i="41" s="1"/>
  <c r="AV109" i="44"/>
  <c r="AP102" i="41" s="1"/>
  <c r="AM110" i="44"/>
  <c r="AG103" i="41" s="1"/>
  <c r="AN110" i="44"/>
  <c r="AI103" i="41" s="1"/>
  <c r="AO110" i="44"/>
  <c r="AK103" i="41" s="1"/>
  <c r="AP110" i="44"/>
  <c r="AM103" i="41" s="1"/>
  <c r="AQ110" i="44"/>
  <c r="AO103" i="41" s="1"/>
  <c r="AR110" i="44"/>
  <c r="AH103" i="41" s="1"/>
  <c r="AS110" i="44"/>
  <c r="AJ103" i="41" s="1"/>
  <c r="AT110" i="44"/>
  <c r="AL103" i="41" s="1"/>
  <c r="AU110" i="44"/>
  <c r="AN103" i="41" s="1"/>
  <c r="AV110" i="44"/>
  <c r="AP103" i="41" s="1"/>
  <c r="AM111" i="44"/>
  <c r="AG104" i="41" s="1"/>
  <c r="AN111" i="44"/>
  <c r="AI104" i="41" s="1"/>
  <c r="AO111" i="44"/>
  <c r="AK104" i="41" s="1"/>
  <c r="AP111" i="44"/>
  <c r="AM104" i="41" s="1"/>
  <c r="AQ111" i="44"/>
  <c r="AO104" i="41" s="1"/>
  <c r="AR111" i="44"/>
  <c r="AH104" i="41" s="1"/>
  <c r="AS111" i="44"/>
  <c r="AJ104" i="41" s="1"/>
  <c r="AT111" i="44"/>
  <c r="AL104" i="41" s="1"/>
  <c r="AU111" i="44"/>
  <c r="AN104" i="41" s="1"/>
  <c r="AV111" i="44"/>
  <c r="AP104" i="41" s="1"/>
  <c r="AM112" i="44"/>
  <c r="AG105" i="41" s="1"/>
  <c r="AN112" i="44"/>
  <c r="AI105" i="41" s="1"/>
  <c r="AO112" i="44"/>
  <c r="AK105" i="41" s="1"/>
  <c r="AP112" i="44"/>
  <c r="AM105" i="41" s="1"/>
  <c r="AQ112" i="44"/>
  <c r="AO105" i="41" s="1"/>
  <c r="AR112" i="44"/>
  <c r="AH105" i="41" s="1"/>
  <c r="AS112" i="44"/>
  <c r="AJ105" i="41" s="1"/>
  <c r="AT112" i="44"/>
  <c r="AL105" i="41" s="1"/>
  <c r="AU112" i="44"/>
  <c r="AN105" i="41" s="1"/>
  <c r="AV112" i="44"/>
  <c r="AP105" i="41" s="1"/>
  <c r="AM113" i="44"/>
  <c r="AG106" i="41" s="1"/>
  <c r="AN113" i="44"/>
  <c r="AI106" i="41" s="1"/>
  <c r="AO113" i="44"/>
  <c r="AK106" i="41" s="1"/>
  <c r="AP113" i="44"/>
  <c r="AM106" i="41" s="1"/>
  <c r="AQ113" i="44"/>
  <c r="AO106" i="41" s="1"/>
  <c r="AR113" i="44"/>
  <c r="AH106" i="41" s="1"/>
  <c r="AS113" i="44"/>
  <c r="AJ106" i="41" s="1"/>
  <c r="AT113" i="44"/>
  <c r="AL106" i="41" s="1"/>
  <c r="AU113" i="44"/>
  <c r="AN106" i="41" s="1"/>
  <c r="AV113" i="44"/>
  <c r="AP106" i="41" s="1"/>
  <c r="AN114" i="44"/>
  <c r="AI107" i="41" s="1"/>
  <c r="AO114" i="44"/>
  <c r="AK107" i="41" s="1"/>
  <c r="AP114" i="44"/>
  <c r="AM107" i="41" s="1"/>
  <c r="AQ114" i="44"/>
  <c r="AO107" i="41" s="1"/>
  <c r="AR114" i="44"/>
  <c r="AH107" i="41" s="1"/>
  <c r="AS114" i="44"/>
  <c r="AJ107" i="41" s="1"/>
  <c r="AT114" i="44"/>
  <c r="AL107" i="41" s="1"/>
  <c r="AU114" i="44"/>
  <c r="AN107" i="41" s="1"/>
  <c r="AV114" i="44"/>
  <c r="AP107" i="41" s="1"/>
  <c r="AN115" i="44"/>
  <c r="AI108" i="41" s="1"/>
  <c r="AO115" i="44"/>
  <c r="AK108" i="41" s="1"/>
  <c r="AQ115" i="44"/>
  <c r="AO108" i="41" s="1"/>
  <c r="AR115" i="44"/>
  <c r="AH108" i="41" s="1"/>
  <c r="AT115" i="44"/>
  <c r="AL108" i="41" s="1"/>
  <c r="AU115" i="44"/>
  <c r="AN108" i="41" s="1"/>
  <c r="AV115" i="44"/>
  <c r="AP108" i="41" s="1"/>
  <c r="AT116" i="44"/>
  <c r="AL109" i="41" s="1"/>
  <c r="AN117" i="44"/>
  <c r="AI110" i="41" s="1"/>
  <c r="AO117" i="44"/>
  <c r="AK110" i="41" s="1"/>
  <c r="AP117" i="44"/>
  <c r="AM110" i="41" s="1"/>
  <c r="AR117" i="44"/>
  <c r="AH110" i="41" s="1"/>
  <c r="AT117" i="44"/>
  <c r="AL110" i="41" s="1"/>
  <c r="AU117" i="44"/>
  <c r="AN110" i="41" s="1"/>
  <c r="AV117" i="44"/>
  <c r="AP110" i="41" s="1"/>
  <c r="AM118" i="44"/>
  <c r="AG111" i="41" s="1"/>
  <c r="AN118" i="44"/>
  <c r="AI111" i="41" s="1"/>
  <c r="AO118" i="44"/>
  <c r="AK111" i="41" s="1"/>
  <c r="AP118" i="44"/>
  <c r="AM111" i="41" s="1"/>
  <c r="AQ118" i="44"/>
  <c r="AO111" i="41" s="1"/>
  <c r="AR118" i="44"/>
  <c r="AH111" i="41" s="1"/>
  <c r="AS118" i="44"/>
  <c r="AJ111" i="41" s="1"/>
  <c r="AT118" i="44"/>
  <c r="AL111" i="41" s="1"/>
  <c r="AU118" i="44"/>
  <c r="AN111" i="41" s="1"/>
  <c r="AV118" i="44"/>
  <c r="AP111" i="41" s="1"/>
  <c r="AM119" i="44"/>
  <c r="AG112" i="41" s="1"/>
  <c r="AN119" i="44"/>
  <c r="AI112" i="41" s="1"/>
  <c r="AO119" i="44"/>
  <c r="AK112" i="41" s="1"/>
  <c r="AP119" i="44"/>
  <c r="AM112" i="41" s="1"/>
  <c r="AQ119" i="44"/>
  <c r="AO112" i="41" s="1"/>
  <c r="AR119" i="44"/>
  <c r="AH112" i="41" s="1"/>
  <c r="AS119" i="44"/>
  <c r="AJ112" i="41" s="1"/>
  <c r="AT119" i="44"/>
  <c r="AL112" i="41" s="1"/>
  <c r="AU119" i="44"/>
  <c r="AN112" i="41" s="1"/>
  <c r="AV119" i="44"/>
  <c r="AP112" i="41" s="1"/>
  <c r="AM120" i="44"/>
  <c r="AG113" i="41" s="1"/>
  <c r="AN120" i="44"/>
  <c r="AI113" i="41" s="1"/>
  <c r="AO120" i="44"/>
  <c r="AK113" i="41" s="1"/>
  <c r="AP120" i="44"/>
  <c r="AM113" i="41" s="1"/>
  <c r="AQ120" i="44"/>
  <c r="AO113" i="41" s="1"/>
  <c r="AR120" i="44"/>
  <c r="AH113" i="41" s="1"/>
  <c r="AS120" i="44"/>
  <c r="AJ113" i="41" s="1"/>
  <c r="AT120" i="44"/>
  <c r="AL113" i="41" s="1"/>
  <c r="AU120" i="44"/>
  <c r="AN113" i="41" s="1"/>
  <c r="AV120" i="44"/>
  <c r="AP113" i="41" s="1"/>
  <c r="AM121" i="44"/>
  <c r="AG114" i="41" s="1"/>
  <c r="AN121" i="44"/>
  <c r="AI114" i="41" s="1"/>
  <c r="AO121" i="44"/>
  <c r="AK114" i="41" s="1"/>
  <c r="AP121" i="44"/>
  <c r="AM114" i="41" s="1"/>
  <c r="AQ121" i="44"/>
  <c r="AO114" i="41" s="1"/>
  <c r="AR121" i="44"/>
  <c r="AH114" i="41" s="1"/>
  <c r="AS121" i="44"/>
  <c r="AJ114" i="41" s="1"/>
  <c r="AT121" i="44"/>
  <c r="AL114" i="41" s="1"/>
  <c r="AU121" i="44"/>
  <c r="AN114" i="41" s="1"/>
  <c r="AV121" i="44"/>
  <c r="AP114" i="41" s="1"/>
  <c r="AM122" i="44"/>
  <c r="AG115" i="41" s="1"/>
  <c r="AN122" i="44"/>
  <c r="AI115" i="41" s="1"/>
  <c r="AO122" i="44"/>
  <c r="AK115" i="41" s="1"/>
  <c r="AP122" i="44"/>
  <c r="AM115" i="41" s="1"/>
  <c r="AQ122" i="44"/>
  <c r="AO115" i="41" s="1"/>
  <c r="AR122" i="44"/>
  <c r="AH115" i="41" s="1"/>
  <c r="AS122" i="44"/>
  <c r="AJ115" i="41" s="1"/>
  <c r="AT122" i="44"/>
  <c r="AL115" i="41" s="1"/>
  <c r="AU122" i="44"/>
  <c r="AN115" i="41" s="1"/>
  <c r="AV122" i="44"/>
  <c r="AP115" i="41" s="1"/>
  <c r="AM123" i="44"/>
  <c r="AG116" i="41" s="1"/>
  <c r="AN123" i="44"/>
  <c r="AI116" i="41" s="1"/>
  <c r="AO123" i="44"/>
  <c r="AK116" i="41" s="1"/>
  <c r="AP123" i="44"/>
  <c r="AM116" i="41" s="1"/>
  <c r="AQ123" i="44"/>
  <c r="AO116" i="41" s="1"/>
  <c r="AR123" i="44"/>
  <c r="AH116" i="41" s="1"/>
  <c r="AS123" i="44"/>
  <c r="AJ116" i="41" s="1"/>
  <c r="AT123" i="44"/>
  <c r="AL116" i="41" s="1"/>
  <c r="AU123" i="44"/>
  <c r="AN116" i="41" s="1"/>
  <c r="AV123" i="44"/>
  <c r="AP116" i="41" s="1"/>
  <c r="AM124" i="44"/>
  <c r="AG117" i="41" s="1"/>
  <c r="AN124" i="44"/>
  <c r="AI117" i="41" s="1"/>
  <c r="AO124" i="44"/>
  <c r="AK117" i="41" s="1"/>
  <c r="AP124" i="44"/>
  <c r="AM117" i="41" s="1"/>
  <c r="AQ124" i="44"/>
  <c r="AO117" i="41" s="1"/>
  <c r="AR124" i="44"/>
  <c r="AH117" i="41" s="1"/>
  <c r="AS124" i="44"/>
  <c r="AJ117" i="41" s="1"/>
  <c r="AT124" i="44"/>
  <c r="AL117" i="41" s="1"/>
  <c r="AU124" i="44"/>
  <c r="AN117" i="41" s="1"/>
  <c r="AV124" i="44"/>
  <c r="AP117" i="41" s="1"/>
  <c r="AM125" i="44"/>
  <c r="AG118" i="41" s="1"/>
  <c r="AN125" i="44"/>
  <c r="AI118" i="41" s="1"/>
  <c r="AO125" i="44"/>
  <c r="AK118" i="41" s="1"/>
  <c r="AP125" i="44"/>
  <c r="AM118" i="41" s="1"/>
  <c r="AQ125" i="44"/>
  <c r="AO118" i="41" s="1"/>
  <c r="AR125" i="44"/>
  <c r="AH118" i="41" s="1"/>
  <c r="AS125" i="44"/>
  <c r="AJ118" i="41" s="1"/>
  <c r="AT125" i="44"/>
  <c r="AL118" i="41" s="1"/>
  <c r="AU125" i="44"/>
  <c r="AN118" i="41" s="1"/>
  <c r="AV125" i="44"/>
  <c r="AP118" i="41" s="1"/>
  <c r="AN126" i="44"/>
  <c r="AI119" i="41" s="1"/>
  <c r="AO126" i="44"/>
  <c r="AK119" i="41" s="1"/>
  <c r="AP126" i="44"/>
  <c r="AM119" i="41" s="1"/>
  <c r="AQ126" i="44"/>
  <c r="AO119" i="41" s="1"/>
  <c r="AR126" i="44"/>
  <c r="AH119" i="41" s="1"/>
  <c r="AS126" i="44"/>
  <c r="AJ119" i="41" s="1"/>
  <c r="AT126" i="44"/>
  <c r="AL119" i="41" s="1"/>
  <c r="AU126" i="44"/>
  <c r="AN119" i="41" s="1"/>
  <c r="AV126" i="44"/>
  <c r="AP119" i="41" s="1"/>
  <c r="AN127" i="44"/>
  <c r="AI120" i="41" s="1"/>
  <c r="AO127" i="44"/>
  <c r="AK120" i="41" s="1"/>
  <c r="AQ127" i="44"/>
  <c r="AO120" i="41" s="1"/>
  <c r="AR127" i="44"/>
  <c r="AH120" i="41" s="1"/>
  <c r="AS127" i="44"/>
  <c r="AJ120" i="41" s="1"/>
  <c r="AT127" i="44"/>
  <c r="AL120" i="41" s="1"/>
  <c r="AU127" i="44"/>
  <c r="AN120" i="41" s="1"/>
  <c r="AV127" i="44"/>
  <c r="AP120" i="41" s="1"/>
  <c r="AN129" i="44"/>
  <c r="AI122" i="41" s="1"/>
  <c r="AO129" i="44"/>
  <c r="AK122" i="41" s="1"/>
  <c r="AP129" i="44"/>
  <c r="AM122" i="41" s="1"/>
  <c r="AR129" i="44"/>
  <c r="AH122" i="41" s="1"/>
  <c r="AT129" i="44"/>
  <c r="AL122" i="41" s="1"/>
  <c r="AU129" i="44"/>
  <c r="AN122" i="41" s="1"/>
  <c r="AV129" i="44"/>
  <c r="AP122" i="41" s="1"/>
  <c r="AM130" i="44"/>
  <c r="AG123" i="41" s="1"/>
  <c r="AN130" i="44"/>
  <c r="AI123" i="41" s="1"/>
  <c r="AO130" i="44"/>
  <c r="AK123" i="41" s="1"/>
  <c r="AP130" i="44"/>
  <c r="AM123" i="41" s="1"/>
  <c r="AQ130" i="44"/>
  <c r="AO123" i="41" s="1"/>
  <c r="AR130" i="44"/>
  <c r="AH123" i="41" s="1"/>
  <c r="AS130" i="44"/>
  <c r="AJ123" i="41" s="1"/>
  <c r="AT130" i="44"/>
  <c r="AL123" i="41" s="1"/>
  <c r="AU130" i="44"/>
  <c r="AN123" i="41" s="1"/>
  <c r="AV130" i="44"/>
  <c r="AP123" i="41" s="1"/>
  <c r="AM131" i="44"/>
  <c r="AG124" i="41" s="1"/>
  <c r="AN131" i="44"/>
  <c r="AI124" i="41" s="1"/>
  <c r="AO131" i="44"/>
  <c r="AK124" i="41" s="1"/>
  <c r="AP131" i="44"/>
  <c r="AM124" i="41" s="1"/>
  <c r="AQ131" i="44"/>
  <c r="AO124" i="41" s="1"/>
  <c r="AR131" i="44"/>
  <c r="AH124" i="41" s="1"/>
  <c r="AS131" i="44"/>
  <c r="AJ124" i="41" s="1"/>
  <c r="AT131" i="44"/>
  <c r="AL124" i="41" s="1"/>
  <c r="AU131" i="44"/>
  <c r="AN124" i="41" s="1"/>
  <c r="AV131" i="44"/>
  <c r="AP124" i="41" s="1"/>
  <c r="AM132" i="44"/>
  <c r="AG125" i="41" s="1"/>
  <c r="AN132" i="44"/>
  <c r="AI125" i="41" s="1"/>
  <c r="AO132" i="44"/>
  <c r="AK125" i="41" s="1"/>
  <c r="AP132" i="44"/>
  <c r="AM125" i="41" s="1"/>
  <c r="AQ132" i="44"/>
  <c r="AO125" i="41" s="1"/>
  <c r="AR132" i="44"/>
  <c r="AH125" i="41" s="1"/>
  <c r="AS132" i="44"/>
  <c r="AJ125" i="41" s="1"/>
  <c r="AT132" i="44"/>
  <c r="AL125" i="41" s="1"/>
  <c r="AU132" i="44"/>
  <c r="AN125" i="41" s="1"/>
  <c r="AV132" i="44"/>
  <c r="AP125" i="41" s="1"/>
  <c r="AM133" i="44"/>
  <c r="AG126" i="41" s="1"/>
  <c r="AN133" i="44"/>
  <c r="AI126" i="41" s="1"/>
  <c r="AO133" i="44"/>
  <c r="AK126" i="41" s="1"/>
  <c r="AP133" i="44"/>
  <c r="AM126" i="41" s="1"/>
  <c r="AQ133" i="44"/>
  <c r="AO126" i="41" s="1"/>
  <c r="AR133" i="44"/>
  <c r="AH126" i="41" s="1"/>
  <c r="AS133" i="44"/>
  <c r="AJ126" i="41" s="1"/>
  <c r="AT133" i="44"/>
  <c r="AL126" i="41" s="1"/>
  <c r="AU133" i="44"/>
  <c r="AN126" i="41" s="1"/>
  <c r="AV133" i="44"/>
  <c r="AP126" i="41" s="1"/>
  <c r="AM134" i="44"/>
  <c r="AG127" i="41" s="1"/>
  <c r="AN134" i="44"/>
  <c r="AI127" i="41" s="1"/>
  <c r="AO134" i="44"/>
  <c r="AK127" i="41" s="1"/>
  <c r="AP134" i="44"/>
  <c r="AM127" i="41" s="1"/>
  <c r="AQ134" i="44"/>
  <c r="AO127" i="41" s="1"/>
  <c r="AR134" i="44"/>
  <c r="AH127" i="41" s="1"/>
  <c r="AS134" i="44"/>
  <c r="AJ127" i="41" s="1"/>
  <c r="AT134" i="44"/>
  <c r="AL127" i="41" s="1"/>
  <c r="AU134" i="44"/>
  <c r="AN127" i="41" s="1"/>
  <c r="AV134" i="44"/>
  <c r="AP127" i="41" s="1"/>
  <c r="AM135" i="44"/>
  <c r="AG128" i="41" s="1"/>
  <c r="AN135" i="44"/>
  <c r="AI128" i="41" s="1"/>
  <c r="AO135" i="44"/>
  <c r="AK128" i="41" s="1"/>
  <c r="AP135" i="44"/>
  <c r="AM128" i="41" s="1"/>
  <c r="AQ135" i="44"/>
  <c r="AO128" i="41" s="1"/>
  <c r="AR135" i="44"/>
  <c r="AH128" i="41" s="1"/>
  <c r="AS135" i="44"/>
  <c r="AJ128" i="41" s="1"/>
  <c r="AT135" i="44"/>
  <c r="AL128" i="41" s="1"/>
  <c r="AU135" i="44"/>
  <c r="AN128" i="41" s="1"/>
  <c r="AV135" i="44"/>
  <c r="AP128" i="41" s="1"/>
  <c r="AM136" i="44"/>
  <c r="AG129" i="41" s="1"/>
  <c r="AN136" i="44"/>
  <c r="AI129" i="41" s="1"/>
  <c r="AO136" i="44"/>
  <c r="AK129" i="41" s="1"/>
  <c r="AP136" i="44"/>
  <c r="AM129" i="41" s="1"/>
  <c r="AQ136" i="44"/>
  <c r="AO129" i="41" s="1"/>
  <c r="AR136" i="44"/>
  <c r="AH129" i="41" s="1"/>
  <c r="AS136" i="44"/>
  <c r="AJ129" i="41" s="1"/>
  <c r="AT136" i="44"/>
  <c r="AL129" i="41" s="1"/>
  <c r="AU136" i="44"/>
  <c r="AN129" i="41" s="1"/>
  <c r="AV136" i="44"/>
  <c r="AP129" i="41" s="1"/>
  <c r="AM137" i="44"/>
  <c r="AG130" i="41" s="1"/>
  <c r="AN137" i="44"/>
  <c r="AI130" i="41" s="1"/>
  <c r="AO137" i="44"/>
  <c r="AK130" i="41" s="1"/>
  <c r="AP137" i="44"/>
  <c r="AM130" i="41" s="1"/>
  <c r="AQ137" i="44"/>
  <c r="AO130" i="41" s="1"/>
  <c r="AR137" i="44"/>
  <c r="AH130" i="41" s="1"/>
  <c r="AS137" i="44"/>
  <c r="AJ130" i="41" s="1"/>
  <c r="AT137" i="44"/>
  <c r="AL130" i="41" s="1"/>
  <c r="AU137" i="44"/>
  <c r="AN130" i="41" s="1"/>
  <c r="AV137" i="44"/>
  <c r="AP130" i="41" s="1"/>
  <c r="AN138" i="44"/>
  <c r="AI131" i="41" s="1"/>
  <c r="AO138" i="44"/>
  <c r="AK131" i="41" s="1"/>
  <c r="AP138" i="44"/>
  <c r="AM131" i="41" s="1"/>
  <c r="AQ138" i="44"/>
  <c r="AO131" i="41" s="1"/>
  <c r="AR138" i="44"/>
  <c r="AH131" i="41" s="1"/>
  <c r="AS138" i="44"/>
  <c r="AJ131" i="41" s="1"/>
  <c r="AT138" i="44"/>
  <c r="AL131" i="41" s="1"/>
  <c r="AU138" i="44"/>
  <c r="AN131" i="41" s="1"/>
  <c r="AV138" i="44"/>
  <c r="AP131" i="41" s="1"/>
  <c r="AN139" i="44"/>
  <c r="AI132" i="41" s="1"/>
  <c r="AO139" i="44"/>
  <c r="AK132" i="41" s="1"/>
  <c r="AQ139" i="44"/>
  <c r="AO132" i="41" s="1"/>
  <c r="AR139" i="44"/>
  <c r="AH132" i="41" s="1"/>
  <c r="AS139" i="44"/>
  <c r="AJ132" i="41" s="1"/>
  <c r="AT139" i="44"/>
  <c r="AL132" i="41" s="1"/>
  <c r="AU139" i="44"/>
  <c r="AN132" i="41" s="1"/>
  <c r="AV139" i="44"/>
  <c r="AP132" i="41" s="1"/>
  <c r="AN141" i="44"/>
  <c r="AI134" i="41" s="1"/>
  <c r="AO141" i="44"/>
  <c r="AK134" i="41" s="1"/>
  <c r="AP141" i="44"/>
  <c r="AM134" i="41" s="1"/>
  <c r="AR141" i="44"/>
  <c r="AH134" i="41" s="1"/>
  <c r="AT141" i="44"/>
  <c r="AL134" i="41" s="1"/>
  <c r="AU141" i="44"/>
  <c r="AN134" i="41" s="1"/>
  <c r="AV141" i="44"/>
  <c r="AP134" i="41" s="1"/>
  <c r="AM142" i="44"/>
  <c r="AG135" i="41" s="1"/>
  <c r="AN142" i="44"/>
  <c r="AI135" i="41" s="1"/>
  <c r="AO142" i="44"/>
  <c r="AK135" i="41" s="1"/>
  <c r="AP142" i="44"/>
  <c r="AM135" i="41" s="1"/>
  <c r="AQ142" i="44"/>
  <c r="AO135" i="41" s="1"/>
  <c r="AR142" i="44"/>
  <c r="AH135" i="41" s="1"/>
  <c r="AS142" i="44"/>
  <c r="AJ135" i="41" s="1"/>
  <c r="AT142" i="44"/>
  <c r="AL135" i="41" s="1"/>
  <c r="AU142" i="44"/>
  <c r="AN135" i="41" s="1"/>
  <c r="AV142" i="44"/>
  <c r="AP135" i="41" s="1"/>
  <c r="AM143" i="44"/>
  <c r="AG136" i="41" s="1"/>
  <c r="AN143" i="44"/>
  <c r="AI136" i="41" s="1"/>
  <c r="AO143" i="44"/>
  <c r="AK136" i="41" s="1"/>
  <c r="AP143" i="44"/>
  <c r="AM136" i="41" s="1"/>
  <c r="AQ143" i="44"/>
  <c r="AO136" i="41" s="1"/>
  <c r="AR143" i="44"/>
  <c r="AH136" i="41" s="1"/>
  <c r="AS143" i="44"/>
  <c r="AJ136" i="41" s="1"/>
  <c r="AT143" i="44"/>
  <c r="AL136" i="41" s="1"/>
  <c r="AU143" i="44"/>
  <c r="AN136" i="41" s="1"/>
  <c r="AV143" i="44"/>
  <c r="AP136" i="41" s="1"/>
  <c r="AM144" i="44"/>
  <c r="AG137" i="41" s="1"/>
  <c r="AN144" i="44"/>
  <c r="AI137" i="41" s="1"/>
  <c r="AO144" i="44"/>
  <c r="AK137" i="41" s="1"/>
  <c r="AP144" i="44"/>
  <c r="AM137" i="41" s="1"/>
  <c r="AQ144" i="44"/>
  <c r="AO137" i="41" s="1"/>
  <c r="AR144" i="44"/>
  <c r="AH137" i="41" s="1"/>
  <c r="AS144" i="44"/>
  <c r="AJ137" i="41" s="1"/>
  <c r="AT144" i="44"/>
  <c r="AL137" i="41" s="1"/>
  <c r="AU144" i="44"/>
  <c r="AN137" i="41" s="1"/>
  <c r="AV144" i="44"/>
  <c r="AP137" i="41" s="1"/>
  <c r="AM145" i="44"/>
  <c r="AG138" i="41" s="1"/>
  <c r="AN145" i="44"/>
  <c r="AI138" i="41" s="1"/>
  <c r="AO145" i="44"/>
  <c r="AK138" i="41" s="1"/>
  <c r="AP145" i="44"/>
  <c r="AM138" i="41" s="1"/>
  <c r="AQ145" i="44"/>
  <c r="AO138" i="41" s="1"/>
  <c r="AR145" i="44"/>
  <c r="AH138" i="41" s="1"/>
  <c r="AS145" i="44"/>
  <c r="AJ138" i="41" s="1"/>
  <c r="AT145" i="44"/>
  <c r="AL138" i="41" s="1"/>
  <c r="AU145" i="44"/>
  <c r="AN138" i="41" s="1"/>
  <c r="AV145" i="44"/>
  <c r="AP138" i="41" s="1"/>
  <c r="AM146" i="44"/>
  <c r="AG139" i="41" s="1"/>
  <c r="AN146" i="44"/>
  <c r="AI139" i="41" s="1"/>
  <c r="AO146" i="44"/>
  <c r="AK139" i="41" s="1"/>
  <c r="AP146" i="44"/>
  <c r="AM139" i="41" s="1"/>
  <c r="AQ146" i="44"/>
  <c r="AO139" i="41" s="1"/>
  <c r="AR146" i="44"/>
  <c r="AH139" i="41" s="1"/>
  <c r="AS146" i="44"/>
  <c r="AJ139" i="41" s="1"/>
  <c r="AT146" i="44"/>
  <c r="AL139" i="41" s="1"/>
  <c r="AU146" i="44"/>
  <c r="AN139" i="41" s="1"/>
  <c r="AV146" i="44"/>
  <c r="AP139" i="41" s="1"/>
  <c r="AM147" i="44"/>
  <c r="AG140" i="41" s="1"/>
  <c r="AN147" i="44"/>
  <c r="AI140" i="41" s="1"/>
  <c r="AO147" i="44"/>
  <c r="AK140" i="41" s="1"/>
  <c r="AP147" i="44"/>
  <c r="AM140" i="41" s="1"/>
  <c r="AQ147" i="44"/>
  <c r="AO140" i="41" s="1"/>
  <c r="AR147" i="44"/>
  <c r="AH140" i="41" s="1"/>
  <c r="AS147" i="44"/>
  <c r="AJ140" i="41" s="1"/>
  <c r="AT147" i="44"/>
  <c r="AL140" i="41" s="1"/>
  <c r="AU147" i="44"/>
  <c r="AN140" i="41" s="1"/>
  <c r="AV147" i="44"/>
  <c r="AP140" i="41" s="1"/>
  <c r="AM148" i="44"/>
  <c r="AG141" i="41" s="1"/>
  <c r="AN148" i="44"/>
  <c r="AI141" i="41" s="1"/>
  <c r="AO148" i="44"/>
  <c r="AK141" i="41" s="1"/>
  <c r="AP148" i="44"/>
  <c r="AM141" i="41" s="1"/>
  <c r="AQ148" i="44"/>
  <c r="AO141" i="41" s="1"/>
  <c r="AR148" i="44"/>
  <c r="AH141" i="41" s="1"/>
  <c r="AS148" i="44"/>
  <c r="AJ141" i="41" s="1"/>
  <c r="AT148" i="44"/>
  <c r="AL141" i="41" s="1"/>
  <c r="AU148" i="44"/>
  <c r="AN141" i="41" s="1"/>
  <c r="AV148" i="44"/>
  <c r="AP141" i="41" s="1"/>
  <c r="AM149" i="44"/>
  <c r="AG142" i="41" s="1"/>
  <c r="AN149" i="44"/>
  <c r="AI142" i="41" s="1"/>
  <c r="AO149" i="44"/>
  <c r="AK142" i="41" s="1"/>
  <c r="AP149" i="44"/>
  <c r="AM142" i="41" s="1"/>
  <c r="AQ149" i="44"/>
  <c r="AO142" i="41" s="1"/>
  <c r="AR149" i="44"/>
  <c r="AH142" i="41" s="1"/>
  <c r="AS149" i="44"/>
  <c r="AJ142" i="41" s="1"/>
  <c r="AT149" i="44"/>
  <c r="AL142" i="41" s="1"/>
  <c r="AU149" i="44"/>
  <c r="AN142" i="41" s="1"/>
  <c r="AV149" i="44"/>
  <c r="AP142" i="41" s="1"/>
  <c r="AM150" i="44"/>
  <c r="AG143" i="41" s="1"/>
  <c r="AN150" i="44"/>
  <c r="AI143" i="41" s="1"/>
  <c r="AO150" i="44"/>
  <c r="AK143" i="41" s="1"/>
  <c r="AP150" i="44"/>
  <c r="AM143" i="41" s="1"/>
  <c r="AQ150" i="44"/>
  <c r="AO143" i="41" s="1"/>
  <c r="AR150" i="44"/>
  <c r="AH143" i="41" s="1"/>
  <c r="AS150" i="44"/>
  <c r="AJ143" i="41" s="1"/>
  <c r="AT150" i="44"/>
  <c r="AL143" i="41" s="1"/>
  <c r="AU150" i="44"/>
  <c r="AN143" i="41" s="1"/>
  <c r="AV150" i="44"/>
  <c r="AP143" i="41" s="1"/>
  <c r="AN151" i="44"/>
  <c r="AI144" i="41" s="1"/>
  <c r="AO151" i="44"/>
  <c r="AK144" i="41" s="1"/>
  <c r="AQ151" i="44"/>
  <c r="AO144" i="41" s="1"/>
  <c r="AR151" i="44"/>
  <c r="AH144" i="41" s="1"/>
  <c r="AS151" i="44"/>
  <c r="AJ144" i="41" s="1"/>
  <c r="AT151" i="44"/>
  <c r="AL144" i="41" s="1"/>
  <c r="AU151" i="44"/>
  <c r="AN144" i="41" s="1"/>
  <c r="AV151" i="44"/>
  <c r="AP144" i="41" s="1"/>
  <c r="AN152" i="44"/>
  <c r="AI145" i="41" s="1"/>
  <c r="AN153" i="44"/>
  <c r="AI146" i="41" s="1"/>
  <c r="AO153" i="44"/>
  <c r="AK146" i="41" s="1"/>
  <c r="AP153" i="44"/>
  <c r="AM146" i="41" s="1"/>
  <c r="AR153" i="44"/>
  <c r="AH146" i="41" s="1"/>
  <c r="AT153" i="44"/>
  <c r="AL146" i="41" s="1"/>
  <c r="AU153" i="44"/>
  <c r="AN146" i="41" s="1"/>
  <c r="AV153" i="44"/>
  <c r="AP146" i="41" s="1"/>
  <c r="AM154" i="44"/>
  <c r="AG147" i="41" s="1"/>
  <c r="AN154" i="44"/>
  <c r="AI147" i="41" s="1"/>
  <c r="AO154" i="44"/>
  <c r="AK147" i="41" s="1"/>
  <c r="AP154" i="44"/>
  <c r="AM147" i="41" s="1"/>
  <c r="AQ154" i="44"/>
  <c r="AO147" i="41" s="1"/>
  <c r="AR154" i="44"/>
  <c r="AH147" i="41" s="1"/>
  <c r="AS154" i="44"/>
  <c r="AJ147" i="41" s="1"/>
  <c r="AT154" i="44"/>
  <c r="AL147" i="41" s="1"/>
  <c r="AU154" i="44"/>
  <c r="AN147" i="41" s="1"/>
  <c r="AV154" i="44"/>
  <c r="AP147" i="41" s="1"/>
  <c r="AM155" i="44"/>
  <c r="AG148" i="41" s="1"/>
  <c r="AN155" i="44"/>
  <c r="AI148" i="41" s="1"/>
  <c r="AO155" i="44"/>
  <c r="AK148" i="41" s="1"/>
  <c r="AP155" i="44"/>
  <c r="AM148" i="41" s="1"/>
  <c r="AQ155" i="44"/>
  <c r="AO148" i="41" s="1"/>
  <c r="AR155" i="44"/>
  <c r="AH148" i="41" s="1"/>
  <c r="AS155" i="44"/>
  <c r="AJ148" i="41" s="1"/>
  <c r="AT155" i="44"/>
  <c r="AL148" i="41" s="1"/>
  <c r="AU155" i="44"/>
  <c r="AN148" i="41" s="1"/>
  <c r="AV155" i="44"/>
  <c r="AP148" i="41" s="1"/>
  <c r="AM156" i="44"/>
  <c r="AG149" i="41" s="1"/>
  <c r="AN156" i="44"/>
  <c r="AI149" i="41" s="1"/>
  <c r="AO156" i="44"/>
  <c r="AK149" i="41" s="1"/>
  <c r="AP156" i="44"/>
  <c r="AM149" i="41" s="1"/>
  <c r="AQ156" i="44"/>
  <c r="AO149" i="41" s="1"/>
  <c r="AR156" i="44"/>
  <c r="AH149" i="41" s="1"/>
  <c r="AS156" i="44"/>
  <c r="AJ149" i="41" s="1"/>
  <c r="AT156" i="44"/>
  <c r="AL149" i="41" s="1"/>
  <c r="AU156" i="44"/>
  <c r="AN149" i="41" s="1"/>
  <c r="AV156" i="44"/>
  <c r="AP149" i="41" s="1"/>
  <c r="AM157" i="44"/>
  <c r="AG150" i="41" s="1"/>
  <c r="AN157" i="44"/>
  <c r="AI150" i="41" s="1"/>
  <c r="AO157" i="44"/>
  <c r="AK150" i="41" s="1"/>
  <c r="AP157" i="44"/>
  <c r="AM150" i="41" s="1"/>
  <c r="AQ157" i="44"/>
  <c r="AO150" i="41" s="1"/>
  <c r="AR157" i="44"/>
  <c r="AH150" i="41" s="1"/>
  <c r="AS157" i="44"/>
  <c r="AJ150" i="41" s="1"/>
  <c r="AT157" i="44"/>
  <c r="AL150" i="41" s="1"/>
  <c r="AU157" i="44"/>
  <c r="AN150" i="41" s="1"/>
  <c r="AV157" i="44"/>
  <c r="AP150" i="41" s="1"/>
  <c r="AM158" i="44"/>
  <c r="AG151" i="41" s="1"/>
  <c r="AN158" i="44"/>
  <c r="AI151" i="41" s="1"/>
  <c r="AO158" i="44"/>
  <c r="AK151" i="41" s="1"/>
  <c r="AP158" i="44"/>
  <c r="AM151" i="41" s="1"/>
  <c r="AQ158" i="44"/>
  <c r="AO151" i="41" s="1"/>
  <c r="AR158" i="44"/>
  <c r="AH151" i="41" s="1"/>
  <c r="AS158" i="44"/>
  <c r="AJ151" i="41" s="1"/>
  <c r="AT158" i="44"/>
  <c r="AL151" i="41" s="1"/>
  <c r="AU158" i="44"/>
  <c r="AN151" i="41" s="1"/>
  <c r="AV158" i="44"/>
  <c r="AP151" i="41" s="1"/>
  <c r="AM159" i="44"/>
  <c r="AG152" i="41" s="1"/>
  <c r="AN159" i="44"/>
  <c r="AI152" i="41" s="1"/>
  <c r="AO159" i="44"/>
  <c r="AK152" i="41" s="1"/>
  <c r="AP159" i="44"/>
  <c r="AM152" i="41" s="1"/>
  <c r="AQ159" i="44"/>
  <c r="AO152" i="41" s="1"/>
  <c r="AR159" i="44"/>
  <c r="AH152" i="41" s="1"/>
  <c r="AS159" i="44"/>
  <c r="AJ152" i="41" s="1"/>
  <c r="AT159" i="44"/>
  <c r="AL152" i="41" s="1"/>
  <c r="AU159" i="44"/>
  <c r="AN152" i="41" s="1"/>
  <c r="AV159" i="44"/>
  <c r="AP152" i="41" s="1"/>
  <c r="AM160" i="44"/>
  <c r="AG153" i="41" s="1"/>
  <c r="AN160" i="44"/>
  <c r="AI153" i="41" s="1"/>
  <c r="AO160" i="44"/>
  <c r="AK153" i="41" s="1"/>
  <c r="AP160" i="44"/>
  <c r="AM153" i="41" s="1"/>
  <c r="AQ160" i="44"/>
  <c r="AO153" i="41" s="1"/>
  <c r="AR160" i="44"/>
  <c r="AH153" i="41" s="1"/>
  <c r="AS160" i="44"/>
  <c r="AJ153" i="41" s="1"/>
  <c r="AT160" i="44"/>
  <c r="AL153" i="41" s="1"/>
  <c r="AU160" i="44"/>
  <c r="AN153" i="41" s="1"/>
  <c r="AV160" i="44"/>
  <c r="AP153" i="41" s="1"/>
  <c r="AM161" i="44"/>
  <c r="AG154" i="41" s="1"/>
  <c r="AN161" i="44"/>
  <c r="AI154" i="41" s="1"/>
  <c r="AO161" i="44"/>
  <c r="AK154" i="41" s="1"/>
  <c r="AP161" i="44"/>
  <c r="AM154" i="41" s="1"/>
  <c r="AQ161" i="44"/>
  <c r="AO154" i="41" s="1"/>
  <c r="AR161" i="44"/>
  <c r="AH154" i="41" s="1"/>
  <c r="AS161" i="44"/>
  <c r="AJ154" i="41" s="1"/>
  <c r="AT161" i="44"/>
  <c r="AL154" i="41" s="1"/>
  <c r="AU161" i="44"/>
  <c r="AN154" i="41" s="1"/>
  <c r="AV161" i="44"/>
  <c r="AP154" i="41" s="1"/>
  <c r="AN162" i="44"/>
  <c r="AI155" i="41" s="1"/>
  <c r="AO162" i="44"/>
  <c r="AK155" i="41" s="1"/>
  <c r="AP162" i="44"/>
  <c r="AM155" i="41" s="1"/>
  <c r="AQ162" i="44"/>
  <c r="AO155" i="41" s="1"/>
  <c r="AR162" i="44"/>
  <c r="AH155" i="41" s="1"/>
  <c r="AS162" i="44"/>
  <c r="AJ155" i="41" s="1"/>
  <c r="AT162" i="44"/>
  <c r="AL155" i="41" s="1"/>
  <c r="AU162" i="44"/>
  <c r="AN155" i="41" s="1"/>
  <c r="AV162" i="44"/>
  <c r="AP155" i="41" s="1"/>
  <c r="AN163" i="44"/>
  <c r="AI156" i="41" s="1"/>
  <c r="AO163" i="44"/>
  <c r="AK156" i="41" s="1"/>
  <c r="AQ163" i="44"/>
  <c r="AO156" i="41" s="1"/>
  <c r="AR163" i="44"/>
  <c r="AH156" i="41" s="1"/>
  <c r="AS163" i="44"/>
  <c r="AJ156" i="41" s="1"/>
  <c r="AT163" i="44"/>
  <c r="AL156" i="41" s="1"/>
  <c r="AU163" i="44"/>
  <c r="AN156" i="41" s="1"/>
  <c r="AV163" i="44"/>
  <c r="AP156" i="41" s="1"/>
  <c r="AP164" i="44"/>
  <c r="AM157" i="41" s="1"/>
  <c r="AN165" i="44"/>
  <c r="AI158" i="41" s="1"/>
  <c r="AO165" i="44"/>
  <c r="AK158" i="41" s="1"/>
  <c r="AP165" i="44"/>
  <c r="AM158" i="41" s="1"/>
  <c r="AQ165" i="44"/>
  <c r="AO158" i="41" s="1"/>
  <c r="AR165" i="44"/>
  <c r="AH158" i="41" s="1"/>
  <c r="AT165" i="44"/>
  <c r="AL158" i="41" s="1"/>
  <c r="AU165" i="44"/>
  <c r="AN158" i="41" s="1"/>
  <c r="AV165" i="44"/>
  <c r="AP158" i="41" s="1"/>
  <c r="AM166" i="44"/>
  <c r="AG159" i="41" s="1"/>
  <c r="AN166" i="44"/>
  <c r="AI159" i="41" s="1"/>
  <c r="AO166" i="44"/>
  <c r="AK159" i="41" s="1"/>
  <c r="AP166" i="44"/>
  <c r="AM159" i="41" s="1"/>
  <c r="AQ166" i="44"/>
  <c r="AO159" i="41" s="1"/>
  <c r="AR166" i="44"/>
  <c r="AH159" i="41" s="1"/>
  <c r="AS166" i="44"/>
  <c r="AJ159" i="41" s="1"/>
  <c r="AT166" i="44"/>
  <c r="AL159" i="41" s="1"/>
  <c r="AU166" i="44"/>
  <c r="AN159" i="41" s="1"/>
  <c r="AV166" i="44"/>
  <c r="AP159" i="41" s="1"/>
  <c r="AM167" i="44"/>
  <c r="AG160" i="41" s="1"/>
  <c r="AN167" i="44"/>
  <c r="AI160" i="41" s="1"/>
  <c r="AO167" i="44"/>
  <c r="AK160" i="41" s="1"/>
  <c r="AP167" i="44"/>
  <c r="AM160" i="41" s="1"/>
  <c r="AQ167" i="44"/>
  <c r="AO160" i="41" s="1"/>
  <c r="AR167" i="44"/>
  <c r="AH160" i="41" s="1"/>
  <c r="AS167" i="44"/>
  <c r="AJ160" i="41" s="1"/>
  <c r="AT167" i="44"/>
  <c r="AL160" i="41" s="1"/>
  <c r="AU167" i="44"/>
  <c r="AN160" i="41" s="1"/>
  <c r="AV167" i="44"/>
  <c r="AP160" i="41" s="1"/>
  <c r="AM168" i="44"/>
  <c r="AG161" i="41" s="1"/>
  <c r="AN168" i="44"/>
  <c r="AI161" i="41" s="1"/>
  <c r="AO168" i="44"/>
  <c r="AK161" i="41" s="1"/>
  <c r="AP168" i="44"/>
  <c r="AM161" i="41" s="1"/>
  <c r="AQ168" i="44"/>
  <c r="AO161" i="41" s="1"/>
  <c r="AR168" i="44"/>
  <c r="AH161" i="41" s="1"/>
  <c r="AS168" i="44"/>
  <c r="AJ161" i="41" s="1"/>
  <c r="AT168" i="44"/>
  <c r="AL161" i="41" s="1"/>
  <c r="AU168" i="44"/>
  <c r="AN161" i="41" s="1"/>
  <c r="AV168" i="44"/>
  <c r="AP161" i="41" s="1"/>
  <c r="AM169" i="44"/>
  <c r="AG162" i="41" s="1"/>
  <c r="AN169" i="44"/>
  <c r="AI162" i="41" s="1"/>
  <c r="AO169" i="44"/>
  <c r="AK162" i="41" s="1"/>
  <c r="AP169" i="44"/>
  <c r="AM162" i="41" s="1"/>
  <c r="AQ169" i="44"/>
  <c r="AO162" i="41" s="1"/>
  <c r="AR169" i="44"/>
  <c r="AH162" i="41" s="1"/>
  <c r="AS169" i="44"/>
  <c r="AJ162" i="41" s="1"/>
  <c r="AT169" i="44"/>
  <c r="AL162" i="41" s="1"/>
  <c r="AU169" i="44"/>
  <c r="AN162" i="41" s="1"/>
  <c r="AV169" i="44"/>
  <c r="AP162" i="41" s="1"/>
  <c r="AM170" i="44"/>
  <c r="AG163" i="41" s="1"/>
  <c r="AN170" i="44"/>
  <c r="AI163" i="41" s="1"/>
  <c r="AO170" i="44"/>
  <c r="AK163" i="41" s="1"/>
  <c r="AP170" i="44"/>
  <c r="AM163" i="41" s="1"/>
  <c r="AQ170" i="44"/>
  <c r="AO163" i="41" s="1"/>
  <c r="AR170" i="44"/>
  <c r="AH163" i="41" s="1"/>
  <c r="AS170" i="44"/>
  <c r="AJ163" i="41" s="1"/>
  <c r="AT170" i="44"/>
  <c r="AL163" i="41" s="1"/>
  <c r="AU170" i="44"/>
  <c r="AN163" i="41" s="1"/>
  <c r="AV170" i="44"/>
  <c r="AP163" i="41" s="1"/>
  <c r="AM171" i="44"/>
  <c r="AG164" i="41" s="1"/>
  <c r="AN171" i="44"/>
  <c r="AI164" i="41" s="1"/>
  <c r="AO171" i="44"/>
  <c r="AK164" i="41" s="1"/>
  <c r="AP171" i="44"/>
  <c r="AM164" i="41" s="1"/>
  <c r="AQ171" i="44"/>
  <c r="AO164" i="41" s="1"/>
  <c r="AR171" i="44"/>
  <c r="AH164" i="41" s="1"/>
  <c r="AS171" i="44"/>
  <c r="AJ164" i="41" s="1"/>
  <c r="AT171" i="44"/>
  <c r="AL164" i="41" s="1"/>
  <c r="AU171" i="44"/>
  <c r="AN164" i="41" s="1"/>
  <c r="AV171" i="44"/>
  <c r="AP164" i="41" s="1"/>
  <c r="AM172" i="44"/>
  <c r="AG165" i="41" s="1"/>
  <c r="AN172" i="44"/>
  <c r="AI165" i="41" s="1"/>
  <c r="AO172" i="44"/>
  <c r="AK165" i="41" s="1"/>
  <c r="AP172" i="44"/>
  <c r="AM165" i="41" s="1"/>
  <c r="AQ172" i="44"/>
  <c r="AO165" i="41" s="1"/>
  <c r="AR172" i="44"/>
  <c r="AH165" i="41" s="1"/>
  <c r="AS172" i="44"/>
  <c r="AJ165" i="41" s="1"/>
  <c r="AT172" i="44"/>
  <c r="AL165" i="41" s="1"/>
  <c r="AU172" i="44"/>
  <c r="AN165" i="41" s="1"/>
  <c r="AV172" i="44"/>
  <c r="AP165" i="41" s="1"/>
  <c r="AM173" i="44"/>
  <c r="AG166" i="41" s="1"/>
  <c r="AN173" i="44"/>
  <c r="AI166" i="41" s="1"/>
  <c r="AO173" i="44"/>
  <c r="AK166" i="41" s="1"/>
  <c r="AP173" i="44"/>
  <c r="AM166" i="41" s="1"/>
  <c r="AQ173" i="44"/>
  <c r="AO166" i="41" s="1"/>
  <c r="AR173" i="44"/>
  <c r="AH166" i="41" s="1"/>
  <c r="AS173" i="44"/>
  <c r="AJ166" i="41" s="1"/>
  <c r="AT173" i="44"/>
  <c r="AL166" i="41" s="1"/>
  <c r="AU173" i="44"/>
  <c r="AN166" i="41" s="1"/>
  <c r="AV173" i="44"/>
  <c r="AP166" i="41" s="1"/>
  <c r="AN174" i="44"/>
  <c r="AI167" i="41" s="1"/>
  <c r="AO174" i="44"/>
  <c r="AK167" i="41" s="1"/>
  <c r="AP174" i="44"/>
  <c r="AM167" i="41" s="1"/>
  <c r="AQ174" i="44"/>
  <c r="AO167" i="41" s="1"/>
  <c r="AR174" i="44"/>
  <c r="AH167" i="41" s="1"/>
  <c r="AS174" i="44"/>
  <c r="AJ167" i="41" s="1"/>
  <c r="AT174" i="44"/>
  <c r="AL167" i="41" s="1"/>
  <c r="AU174" i="44"/>
  <c r="AN167" i="41" s="1"/>
  <c r="AV174" i="44"/>
  <c r="AP167" i="41" s="1"/>
  <c r="AN175" i="44"/>
  <c r="AI168" i="41" s="1"/>
  <c r="AO175" i="44"/>
  <c r="AK168" i="41" s="1"/>
  <c r="AP175" i="44"/>
  <c r="AM168" i="41" s="1"/>
  <c r="AQ175" i="44"/>
  <c r="AO168" i="41" s="1"/>
  <c r="AR175" i="44"/>
  <c r="AH168" i="41" s="1"/>
  <c r="AT175" i="44"/>
  <c r="AL168" i="41" s="1"/>
  <c r="AU175" i="44"/>
  <c r="AN168" i="41" s="1"/>
  <c r="AV175" i="44"/>
  <c r="AP168" i="41" s="1"/>
  <c r="AU176" i="44"/>
  <c r="AN169" i="41" s="1"/>
  <c r="AN177" i="44"/>
  <c r="AI170" i="41" s="1"/>
  <c r="AO177" i="44"/>
  <c r="AK170" i="41" s="1"/>
  <c r="AP177" i="44"/>
  <c r="AM170" i="41" s="1"/>
  <c r="AR177" i="44"/>
  <c r="AH170" i="41" s="1"/>
  <c r="AS177" i="44"/>
  <c r="AJ170" i="41" s="1"/>
  <c r="AT177" i="44"/>
  <c r="AL170" i="41" s="1"/>
  <c r="AU177" i="44"/>
  <c r="AN170" i="41" s="1"/>
  <c r="AV177" i="44"/>
  <c r="AP170" i="41" s="1"/>
  <c r="AM178" i="44"/>
  <c r="AG171" i="41" s="1"/>
  <c r="AN178" i="44"/>
  <c r="AI171" i="41" s="1"/>
  <c r="AO178" i="44"/>
  <c r="AK171" i="41" s="1"/>
  <c r="AP178" i="44"/>
  <c r="AM171" i="41" s="1"/>
  <c r="AQ178" i="44"/>
  <c r="AO171" i="41" s="1"/>
  <c r="AR178" i="44"/>
  <c r="AH171" i="41" s="1"/>
  <c r="AS178" i="44"/>
  <c r="AJ171" i="41" s="1"/>
  <c r="AT178" i="44"/>
  <c r="AL171" i="41" s="1"/>
  <c r="AU178" i="44"/>
  <c r="AN171" i="41" s="1"/>
  <c r="AV178" i="44"/>
  <c r="AP171" i="41" s="1"/>
  <c r="AM179" i="44"/>
  <c r="AG172" i="41" s="1"/>
  <c r="AN179" i="44"/>
  <c r="AI172" i="41" s="1"/>
  <c r="AO179" i="44"/>
  <c r="AK172" i="41" s="1"/>
  <c r="AP179" i="44"/>
  <c r="AM172" i="41" s="1"/>
  <c r="AQ179" i="44"/>
  <c r="AO172" i="41" s="1"/>
  <c r="AR179" i="44"/>
  <c r="AH172" i="41" s="1"/>
  <c r="AS179" i="44"/>
  <c r="AJ172" i="41" s="1"/>
  <c r="AT179" i="44"/>
  <c r="AL172" i="41" s="1"/>
  <c r="AU179" i="44"/>
  <c r="AN172" i="41" s="1"/>
  <c r="AV179" i="44"/>
  <c r="AP172" i="41" s="1"/>
  <c r="AM180" i="44"/>
  <c r="AG173" i="41" s="1"/>
  <c r="AN180" i="44"/>
  <c r="AI173" i="41" s="1"/>
  <c r="AO180" i="44"/>
  <c r="AK173" i="41" s="1"/>
  <c r="AP180" i="44"/>
  <c r="AM173" i="41" s="1"/>
  <c r="AQ180" i="44"/>
  <c r="AO173" i="41" s="1"/>
  <c r="AR180" i="44"/>
  <c r="AH173" i="41" s="1"/>
  <c r="AS180" i="44"/>
  <c r="AJ173" i="41" s="1"/>
  <c r="AT180" i="44"/>
  <c r="AL173" i="41" s="1"/>
  <c r="AU180" i="44"/>
  <c r="AN173" i="41" s="1"/>
  <c r="AV180" i="44"/>
  <c r="AP173" i="41" s="1"/>
  <c r="AM181" i="44"/>
  <c r="AG174" i="41" s="1"/>
  <c r="AN181" i="44"/>
  <c r="AI174" i="41" s="1"/>
  <c r="AO181" i="44"/>
  <c r="AK174" i="41" s="1"/>
  <c r="AP181" i="44"/>
  <c r="AM174" i="41" s="1"/>
  <c r="AQ181" i="44"/>
  <c r="AO174" i="41" s="1"/>
  <c r="AR181" i="44"/>
  <c r="AH174" i="41" s="1"/>
  <c r="AS181" i="44"/>
  <c r="AJ174" i="41" s="1"/>
  <c r="AT181" i="44"/>
  <c r="AL174" i="41" s="1"/>
  <c r="AU181" i="44"/>
  <c r="AN174" i="41" s="1"/>
  <c r="AV181" i="44"/>
  <c r="AP174" i="41" s="1"/>
  <c r="AM182" i="44"/>
  <c r="AG175" i="41" s="1"/>
  <c r="AN182" i="44"/>
  <c r="AI175" i="41" s="1"/>
  <c r="AO182" i="44"/>
  <c r="AK175" i="41" s="1"/>
  <c r="AP182" i="44"/>
  <c r="AM175" i="41" s="1"/>
  <c r="AQ182" i="44"/>
  <c r="AO175" i="41" s="1"/>
  <c r="AR182" i="44"/>
  <c r="AH175" i="41" s="1"/>
  <c r="AS182" i="44"/>
  <c r="AJ175" i="41" s="1"/>
  <c r="AT182" i="44"/>
  <c r="AL175" i="41" s="1"/>
  <c r="AU182" i="44"/>
  <c r="AN175" i="41" s="1"/>
  <c r="AV182" i="44"/>
  <c r="AP175" i="41" s="1"/>
  <c r="AM183" i="44"/>
  <c r="AG176" i="41" s="1"/>
  <c r="AN183" i="44"/>
  <c r="AI176" i="41" s="1"/>
  <c r="AO183" i="44"/>
  <c r="AK176" i="41" s="1"/>
  <c r="AP183" i="44"/>
  <c r="AM176" i="41" s="1"/>
  <c r="AQ183" i="44"/>
  <c r="AO176" i="41" s="1"/>
  <c r="AR183" i="44"/>
  <c r="AH176" i="41" s="1"/>
  <c r="AS183" i="44"/>
  <c r="AJ176" i="41" s="1"/>
  <c r="AT183" i="44"/>
  <c r="AL176" i="41" s="1"/>
  <c r="AU183" i="44"/>
  <c r="AN176" i="41" s="1"/>
  <c r="AV183" i="44"/>
  <c r="AP176" i="41" s="1"/>
  <c r="AM184" i="44"/>
  <c r="AG177" i="41" s="1"/>
  <c r="AN184" i="44"/>
  <c r="AI177" i="41" s="1"/>
  <c r="AO184" i="44"/>
  <c r="AK177" i="41" s="1"/>
  <c r="AP184" i="44"/>
  <c r="AM177" i="41" s="1"/>
  <c r="AQ184" i="44"/>
  <c r="AO177" i="41" s="1"/>
  <c r="AR184" i="44"/>
  <c r="AH177" i="41" s="1"/>
  <c r="AS184" i="44"/>
  <c r="AJ177" i="41" s="1"/>
  <c r="AT184" i="44"/>
  <c r="AL177" i="41" s="1"/>
  <c r="AU184" i="44"/>
  <c r="AN177" i="41" s="1"/>
  <c r="AV184" i="44"/>
  <c r="AP177" i="41" s="1"/>
  <c r="AM185" i="44"/>
  <c r="AG178" i="41" s="1"/>
  <c r="AN185" i="44"/>
  <c r="AI178" i="41" s="1"/>
  <c r="AO185" i="44"/>
  <c r="AK178" i="41" s="1"/>
  <c r="AP185" i="44"/>
  <c r="AM178" i="41" s="1"/>
  <c r="AQ185" i="44"/>
  <c r="AO178" i="41" s="1"/>
  <c r="AR185" i="44"/>
  <c r="AH178" i="41" s="1"/>
  <c r="AS185" i="44"/>
  <c r="AJ178" i="41" s="1"/>
  <c r="AT185" i="44"/>
  <c r="AL178" i="41" s="1"/>
  <c r="AU185" i="44"/>
  <c r="AN178" i="41" s="1"/>
  <c r="AV185" i="44"/>
  <c r="AP178" i="41" s="1"/>
  <c r="AN186" i="44"/>
  <c r="AI179" i="41" s="1"/>
  <c r="AO186" i="44"/>
  <c r="AK179" i="41" s="1"/>
  <c r="AP186" i="44"/>
  <c r="AM179" i="41" s="1"/>
  <c r="AQ186" i="44"/>
  <c r="AO179" i="41" s="1"/>
  <c r="AR186" i="44"/>
  <c r="AH179" i="41" s="1"/>
  <c r="AS186" i="44"/>
  <c r="AJ179" i="41" s="1"/>
  <c r="AT186" i="44"/>
  <c r="AL179" i="41" s="1"/>
  <c r="AU186" i="44"/>
  <c r="AN179" i="41" s="1"/>
  <c r="AV186" i="44"/>
  <c r="AP179" i="41" s="1"/>
  <c r="AN187" i="44"/>
  <c r="AI180" i="41" s="1"/>
  <c r="AO187" i="44"/>
  <c r="AK180" i="41" s="1"/>
  <c r="AQ187" i="44"/>
  <c r="AO180" i="41" s="1"/>
  <c r="AR187" i="44"/>
  <c r="AH180" i="41" s="1"/>
  <c r="AT187" i="44"/>
  <c r="AL180" i="41" s="1"/>
  <c r="AU187" i="44"/>
  <c r="AN180" i="41" s="1"/>
  <c r="AV187" i="44"/>
  <c r="AP180" i="41" s="1"/>
  <c r="AN188" i="44"/>
  <c r="AI181" i="41" s="1"/>
  <c r="AO188" i="44"/>
  <c r="AK181" i="41" s="1"/>
  <c r="AT188" i="44"/>
  <c r="AL181" i="41" s="1"/>
  <c r="AN189" i="44"/>
  <c r="AI182" i="41" s="1"/>
  <c r="AO189" i="44"/>
  <c r="AK182" i="41" s="1"/>
  <c r="AP189" i="44"/>
  <c r="AM182" i="41" s="1"/>
  <c r="AR189" i="44"/>
  <c r="AH182" i="41" s="1"/>
  <c r="AT189" i="44"/>
  <c r="AL182" i="41" s="1"/>
  <c r="AU189" i="44"/>
  <c r="AN182" i="41" s="1"/>
  <c r="AV189" i="44"/>
  <c r="AP182" i="41" s="1"/>
  <c r="AM190" i="44"/>
  <c r="AG183" i="41" s="1"/>
  <c r="AN190" i="44"/>
  <c r="AI183" i="41" s="1"/>
  <c r="AO190" i="44"/>
  <c r="AK183" i="41" s="1"/>
  <c r="AP190" i="44"/>
  <c r="AM183" i="41" s="1"/>
  <c r="AQ190" i="44"/>
  <c r="AO183" i="41" s="1"/>
  <c r="AR190" i="44"/>
  <c r="AH183" i="41" s="1"/>
  <c r="AS190" i="44"/>
  <c r="AJ183" i="41" s="1"/>
  <c r="AT190" i="44"/>
  <c r="AL183" i="41" s="1"/>
  <c r="AU190" i="44"/>
  <c r="AN183" i="41" s="1"/>
  <c r="AV190" i="44"/>
  <c r="AP183" i="41" s="1"/>
  <c r="AM191" i="44"/>
  <c r="AG184" i="41" s="1"/>
  <c r="AN191" i="44"/>
  <c r="AI184" i="41" s="1"/>
  <c r="AO191" i="44"/>
  <c r="AK184" i="41" s="1"/>
  <c r="AP191" i="44"/>
  <c r="AM184" i="41" s="1"/>
  <c r="AQ191" i="44"/>
  <c r="AO184" i="41" s="1"/>
  <c r="AR191" i="44"/>
  <c r="AH184" i="41" s="1"/>
  <c r="AS191" i="44"/>
  <c r="AJ184" i="41" s="1"/>
  <c r="AT191" i="44"/>
  <c r="AL184" i="41" s="1"/>
  <c r="AU191" i="44"/>
  <c r="AN184" i="41" s="1"/>
  <c r="AV191" i="44"/>
  <c r="AP184" i="41" s="1"/>
  <c r="AM192" i="44"/>
  <c r="AG185" i="41" s="1"/>
  <c r="AN192" i="44"/>
  <c r="AI185" i="41" s="1"/>
  <c r="AO192" i="44"/>
  <c r="AK185" i="41" s="1"/>
  <c r="AP192" i="44"/>
  <c r="AM185" i="41" s="1"/>
  <c r="AQ192" i="44"/>
  <c r="AO185" i="41" s="1"/>
  <c r="AR192" i="44"/>
  <c r="AH185" i="41" s="1"/>
  <c r="AS192" i="44"/>
  <c r="AJ185" i="41" s="1"/>
  <c r="AT192" i="44"/>
  <c r="AL185" i="41" s="1"/>
  <c r="AU192" i="44"/>
  <c r="AN185" i="41" s="1"/>
  <c r="AV192" i="44"/>
  <c r="AP185" i="41" s="1"/>
  <c r="AM193" i="44"/>
  <c r="AG186" i="41" s="1"/>
  <c r="AN193" i="44"/>
  <c r="AI186" i="41" s="1"/>
  <c r="AO193" i="44"/>
  <c r="AK186" i="41" s="1"/>
  <c r="AP193" i="44"/>
  <c r="AM186" i="41" s="1"/>
  <c r="AQ193" i="44"/>
  <c r="AO186" i="41" s="1"/>
  <c r="AR193" i="44"/>
  <c r="AH186" i="41" s="1"/>
  <c r="AS193" i="44"/>
  <c r="AJ186" i="41" s="1"/>
  <c r="AT193" i="44"/>
  <c r="AL186" i="41" s="1"/>
  <c r="AU193" i="44"/>
  <c r="AN186" i="41" s="1"/>
  <c r="AV193" i="44"/>
  <c r="AP186" i="41" s="1"/>
  <c r="AM194" i="44"/>
  <c r="AG187" i="41" s="1"/>
  <c r="AN194" i="44"/>
  <c r="AI187" i="41" s="1"/>
  <c r="AO194" i="44"/>
  <c r="AK187" i="41" s="1"/>
  <c r="AP194" i="44"/>
  <c r="AM187" i="41" s="1"/>
  <c r="AQ194" i="44"/>
  <c r="AO187" i="41" s="1"/>
  <c r="AR194" i="44"/>
  <c r="AH187" i="41" s="1"/>
  <c r="AS194" i="44"/>
  <c r="AJ187" i="41" s="1"/>
  <c r="AT194" i="44"/>
  <c r="AL187" i="41" s="1"/>
  <c r="AU194" i="44"/>
  <c r="AN187" i="41" s="1"/>
  <c r="AV194" i="44"/>
  <c r="AP187" i="41" s="1"/>
  <c r="AM195" i="44"/>
  <c r="AG188" i="41" s="1"/>
  <c r="AN195" i="44"/>
  <c r="AI188" i="41" s="1"/>
  <c r="AO195" i="44"/>
  <c r="AK188" i="41" s="1"/>
  <c r="AP195" i="44"/>
  <c r="AM188" i="41" s="1"/>
  <c r="AQ195" i="44"/>
  <c r="AO188" i="41" s="1"/>
  <c r="AR195" i="44"/>
  <c r="AH188" i="41" s="1"/>
  <c r="AS195" i="44"/>
  <c r="AJ188" i="41" s="1"/>
  <c r="AT195" i="44"/>
  <c r="AL188" i="41" s="1"/>
  <c r="AU195" i="44"/>
  <c r="AN188" i="41" s="1"/>
  <c r="AV195" i="44"/>
  <c r="AP188" i="41" s="1"/>
  <c r="AM196" i="44"/>
  <c r="AG189" i="41" s="1"/>
  <c r="AN196" i="44"/>
  <c r="AI189" i="41" s="1"/>
  <c r="AO196" i="44"/>
  <c r="AK189" i="41" s="1"/>
  <c r="AP196" i="44"/>
  <c r="AM189" i="41" s="1"/>
  <c r="AQ196" i="44"/>
  <c r="AO189" i="41" s="1"/>
  <c r="AR196" i="44"/>
  <c r="AH189" i="41" s="1"/>
  <c r="AS196" i="44"/>
  <c r="AJ189" i="41" s="1"/>
  <c r="AT196" i="44"/>
  <c r="AL189" i="41" s="1"/>
  <c r="AU196" i="44"/>
  <c r="AN189" i="41" s="1"/>
  <c r="AV196" i="44"/>
  <c r="AP189" i="41" s="1"/>
  <c r="AM197" i="44"/>
  <c r="AG190" i="41" s="1"/>
  <c r="AN197" i="44"/>
  <c r="AI190" i="41" s="1"/>
  <c r="AO197" i="44"/>
  <c r="AK190" i="41" s="1"/>
  <c r="AP197" i="44"/>
  <c r="AM190" i="41" s="1"/>
  <c r="AQ197" i="44"/>
  <c r="AO190" i="41" s="1"/>
  <c r="AR197" i="44"/>
  <c r="AH190" i="41" s="1"/>
  <c r="AS197" i="44"/>
  <c r="AJ190" i="41" s="1"/>
  <c r="AT197" i="44"/>
  <c r="AL190" i="41" s="1"/>
  <c r="AU197" i="44"/>
  <c r="AN190" i="41" s="1"/>
  <c r="AV197" i="44"/>
  <c r="AP190" i="41" s="1"/>
  <c r="AM198" i="44"/>
  <c r="AG191" i="41" s="1"/>
  <c r="AN198" i="44"/>
  <c r="AI191" i="41" s="1"/>
  <c r="AO198" i="44"/>
  <c r="AK191" i="41" s="1"/>
  <c r="AP198" i="44"/>
  <c r="AM191" i="41" s="1"/>
  <c r="AQ198" i="44"/>
  <c r="AO191" i="41" s="1"/>
  <c r="AR198" i="44"/>
  <c r="AH191" i="41" s="1"/>
  <c r="AS198" i="44"/>
  <c r="AJ191" i="41" s="1"/>
  <c r="AT198" i="44"/>
  <c r="AL191" i="41" s="1"/>
  <c r="AU198" i="44"/>
  <c r="AN191" i="41" s="1"/>
  <c r="AV198" i="44"/>
  <c r="AP191" i="41" s="1"/>
  <c r="AN199" i="44"/>
  <c r="AI192" i="41" s="1"/>
  <c r="AO199" i="44"/>
  <c r="AK192" i="41" s="1"/>
  <c r="AQ199" i="44"/>
  <c r="AO192" i="41" s="1"/>
  <c r="AR199" i="44"/>
  <c r="AH192" i="41" s="1"/>
  <c r="AT199" i="44"/>
  <c r="AL192" i="41" s="1"/>
  <c r="AU199" i="44"/>
  <c r="AN192" i="41" s="1"/>
  <c r="AV199" i="44"/>
  <c r="AP192" i="41" s="1"/>
  <c r="AN201" i="44"/>
  <c r="AI194" i="41" s="1"/>
  <c r="AO201" i="44"/>
  <c r="AK194" i="41" s="1"/>
  <c r="AP201" i="44"/>
  <c r="AM194" i="41" s="1"/>
  <c r="AR201" i="44"/>
  <c r="AH194" i="41" s="1"/>
  <c r="AT201" i="44"/>
  <c r="AL194" i="41" s="1"/>
  <c r="AU201" i="44"/>
  <c r="AN194" i="41" s="1"/>
  <c r="AV201" i="44"/>
  <c r="AP194" i="41" s="1"/>
  <c r="AM202" i="44"/>
  <c r="AG195" i="41" s="1"/>
  <c r="AN202" i="44"/>
  <c r="AI195" i="41" s="1"/>
  <c r="AO202" i="44"/>
  <c r="AK195" i="41" s="1"/>
  <c r="AP202" i="44"/>
  <c r="AM195" i="41" s="1"/>
  <c r="AQ202" i="44"/>
  <c r="AO195" i="41" s="1"/>
  <c r="AR202" i="44"/>
  <c r="AH195" i="41" s="1"/>
  <c r="AS202" i="44"/>
  <c r="AJ195" i="41" s="1"/>
  <c r="AT202" i="44"/>
  <c r="AL195" i="41" s="1"/>
  <c r="AU202" i="44"/>
  <c r="AN195" i="41" s="1"/>
  <c r="AV202" i="44"/>
  <c r="AP195" i="41" s="1"/>
  <c r="AM203" i="44"/>
  <c r="AG196" i="41" s="1"/>
  <c r="AN203" i="44"/>
  <c r="AI196" i="41" s="1"/>
  <c r="AO203" i="44"/>
  <c r="AK196" i="41" s="1"/>
  <c r="AP203" i="44"/>
  <c r="AM196" i="41" s="1"/>
  <c r="AQ203" i="44"/>
  <c r="AO196" i="41" s="1"/>
  <c r="AR203" i="44"/>
  <c r="AH196" i="41" s="1"/>
  <c r="AS203" i="44"/>
  <c r="AJ196" i="41" s="1"/>
  <c r="AT203" i="44"/>
  <c r="AL196" i="41" s="1"/>
  <c r="AU203" i="44"/>
  <c r="AN196" i="41" s="1"/>
  <c r="AV203" i="44"/>
  <c r="AP196" i="41" s="1"/>
  <c r="AM204" i="44"/>
  <c r="AG197" i="41" s="1"/>
  <c r="AN204" i="44"/>
  <c r="AI197" i="41" s="1"/>
  <c r="AO204" i="44"/>
  <c r="AK197" i="41" s="1"/>
  <c r="AP204" i="44"/>
  <c r="AM197" i="41" s="1"/>
  <c r="AQ204" i="44"/>
  <c r="AO197" i="41" s="1"/>
  <c r="AR204" i="44"/>
  <c r="AH197" i="41" s="1"/>
  <c r="AS204" i="44"/>
  <c r="AJ197" i="41" s="1"/>
  <c r="AT204" i="44"/>
  <c r="AL197" i="41" s="1"/>
  <c r="AU204" i="44"/>
  <c r="AN197" i="41" s="1"/>
  <c r="AV204" i="44"/>
  <c r="AP197" i="41" s="1"/>
  <c r="AM205" i="44"/>
  <c r="AG198" i="41" s="1"/>
  <c r="AN205" i="44"/>
  <c r="AI198" i="41" s="1"/>
  <c r="AO205" i="44"/>
  <c r="AK198" i="41" s="1"/>
  <c r="AP205" i="44"/>
  <c r="AM198" i="41" s="1"/>
  <c r="AQ205" i="44"/>
  <c r="AO198" i="41" s="1"/>
  <c r="AR205" i="44"/>
  <c r="AH198" i="41" s="1"/>
  <c r="AS205" i="44"/>
  <c r="AJ198" i="41" s="1"/>
  <c r="AT205" i="44"/>
  <c r="AL198" i="41" s="1"/>
  <c r="AU205" i="44"/>
  <c r="AN198" i="41" s="1"/>
  <c r="AV205" i="44"/>
  <c r="AP198" i="41" s="1"/>
  <c r="AM206" i="44"/>
  <c r="AG199" i="41" s="1"/>
  <c r="AN206" i="44"/>
  <c r="AI199" i="41" s="1"/>
  <c r="AO206" i="44"/>
  <c r="AK199" i="41" s="1"/>
  <c r="AP206" i="44"/>
  <c r="AM199" i="41" s="1"/>
  <c r="AQ206" i="44"/>
  <c r="AO199" i="41" s="1"/>
  <c r="AR206" i="44"/>
  <c r="AH199" i="41" s="1"/>
  <c r="AS206" i="44"/>
  <c r="AJ199" i="41" s="1"/>
  <c r="AT206" i="44"/>
  <c r="AL199" i="41" s="1"/>
  <c r="AU206" i="44"/>
  <c r="AN199" i="41" s="1"/>
  <c r="AV206" i="44"/>
  <c r="AP199" i="41" s="1"/>
  <c r="AM207" i="44"/>
  <c r="AG200" i="41" s="1"/>
  <c r="AN207" i="44"/>
  <c r="AI200" i="41" s="1"/>
  <c r="AO207" i="44"/>
  <c r="AK200" i="41" s="1"/>
  <c r="AP207" i="44"/>
  <c r="AM200" i="41" s="1"/>
  <c r="AQ207" i="44"/>
  <c r="AO200" i="41" s="1"/>
  <c r="AR207" i="44"/>
  <c r="AH200" i="41" s="1"/>
  <c r="AS207" i="44"/>
  <c r="AJ200" i="41" s="1"/>
  <c r="AT207" i="44"/>
  <c r="AL200" i="41" s="1"/>
  <c r="AU207" i="44"/>
  <c r="AN200" i="41" s="1"/>
  <c r="AV207" i="44"/>
  <c r="AP200" i="41" s="1"/>
  <c r="AM208" i="44"/>
  <c r="AG201" i="41" s="1"/>
  <c r="AN208" i="44"/>
  <c r="AI201" i="41" s="1"/>
  <c r="AO208" i="44"/>
  <c r="AK201" i="41" s="1"/>
  <c r="AP208" i="44"/>
  <c r="AM201" i="41" s="1"/>
  <c r="AQ208" i="44"/>
  <c r="AO201" i="41" s="1"/>
  <c r="AR208" i="44"/>
  <c r="AH201" i="41" s="1"/>
  <c r="AS208" i="44"/>
  <c r="AJ201" i="41" s="1"/>
  <c r="AT208" i="44"/>
  <c r="AL201" i="41" s="1"/>
  <c r="AU208" i="44"/>
  <c r="AN201" i="41" s="1"/>
  <c r="AV208" i="44"/>
  <c r="AP201" i="41" s="1"/>
  <c r="AM209" i="44"/>
  <c r="AG202" i="41" s="1"/>
  <c r="AN209" i="44"/>
  <c r="AI202" i="41" s="1"/>
  <c r="AO209" i="44"/>
  <c r="AK202" i="41" s="1"/>
  <c r="AP209" i="44"/>
  <c r="AM202" i="41" s="1"/>
  <c r="AQ209" i="44"/>
  <c r="AO202" i="41" s="1"/>
  <c r="AR209" i="44"/>
  <c r="AH202" i="41" s="1"/>
  <c r="AS209" i="44"/>
  <c r="AJ202" i="41" s="1"/>
  <c r="AT209" i="44"/>
  <c r="AL202" i="41" s="1"/>
  <c r="AU209" i="44"/>
  <c r="AN202" i="41" s="1"/>
  <c r="AV209" i="44"/>
  <c r="AP202" i="41" s="1"/>
  <c r="AM210" i="44"/>
  <c r="AG203" i="41" s="1"/>
  <c r="AN210" i="44"/>
  <c r="AI203" i="41" s="1"/>
  <c r="AO210" i="44"/>
  <c r="AK203" i="41" s="1"/>
  <c r="AP210" i="44"/>
  <c r="AM203" i="41" s="1"/>
  <c r="AQ210" i="44"/>
  <c r="AO203" i="41" s="1"/>
  <c r="AR210" i="44"/>
  <c r="AH203" i="41" s="1"/>
  <c r="AS210" i="44"/>
  <c r="AJ203" i="41" s="1"/>
  <c r="AT210" i="44"/>
  <c r="AL203" i="41" s="1"/>
  <c r="AU210" i="44"/>
  <c r="AN203" i="41" s="1"/>
  <c r="AV210" i="44"/>
  <c r="AP203" i="41" s="1"/>
  <c r="AN211" i="44"/>
  <c r="AI204" i="41" s="1"/>
  <c r="AO211" i="44"/>
  <c r="AK204" i="41" s="1"/>
  <c r="AQ211" i="44"/>
  <c r="AO204" i="41" s="1"/>
  <c r="AR211" i="44"/>
  <c r="AH204" i="41" s="1"/>
  <c r="AT211" i="44"/>
  <c r="AL204" i="41" s="1"/>
  <c r="AU211" i="44"/>
  <c r="AN204" i="41" s="1"/>
  <c r="AV211" i="44"/>
  <c r="AP204" i="41" s="1"/>
  <c r="AN213" i="44"/>
  <c r="AI206" i="41" s="1"/>
  <c r="AO213" i="44"/>
  <c r="AK206" i="41" s="1"/>
  <c r="AP213" i="44"/>
  <c r="AM206" i="41" s="1"/>
  <c r="AR213" i="44"/>
  <c r="AH206" i="41" s="1"/>
  <c r="AT213" i="44"/>
  <c r="AL206" i="41" s="1"/>
  <c r="AU213" i="44"/>
  <c r="AN206" i="41" s="1"/>
  <c r="AV213" i="44"/>
  <c r="AP206" i="41" s="1"/>
  <c r="AM214" i="44"/>
  <c r="AG207" i="41" s="1"/>
  <c r="AN214" i="44"/>
  <c r="AI207" i="41" s="1"/>
  <c r="AO214" i="44"/>
  <c r="AK207" i="41" s="1"/>
  <c r="AP214" i="44"/>
  <c r="AM207" i="41" s="1"/>
  <c r="AQ214" i="44"/>
  <c r="AO207" i="41" s="1"/>
  <c r="AR214" i="44"/>
  <c r="AH207" i="41" s="1"/>
  <c r="AS214" i="44"/>
  <c r="AJ207" i="41" s="1"/>
  <c r="AT214" i="44"/>
  <c r="AL207" i="41" s="1"/>
  <c r="AU214" i="44"/>
  <c r="AN207" i="41" s="1"/>
  <c r="AV214" i="44"/>
  <c r="AP207" i="41" s="1"/>
  <c r="AM215" i="44"/>
  <c r="AG208" i="41" s="1"/>
  <c r="AN215" i="44"/>
  <c r="AI208" i="41" s="1"/>
  <c r="AO215" i="44"/>
  <c r="AK208" i="41" s="1"/>
  <c r="AP215" i="44"/>
  <c r="AM208" i="41" s="1"/>
  <c r="AQ215" i="44"/>
  <c r="AO208" i="41" s="1"/>
  <c r="AR215" i="44"/>
  <c r="AH208" i="41" s="1"/>
  <c r="AS215" i="44"/>
  <c r="AJ208" i="41" s="1"/>
  <c r="AT215" i="44"/>
  <c r="AL208" i="41" s="1"/>
  <c r="AU215" i="44"/>
  <c r="AN208" i="41" s="1"/>
  <c r="AV215" i="44"/>
  <c r="AP208" i="41" s="1"/>
  <c r="AM216" i="44"/>
  <c r="AG209" i="41" s="1"/>
  <c r="AN216" i="44"/>
  <c r="AI209" i="41" s="1"/>
  <c r="AO216" i="44"/>
  <c r="AK209" i="41" s="1"/>
  <c r="AP216" i="44"/>
  <c r="AM209" i="41" s="1"/>
  <c r="AQ216" i="44"/>
  <c r="AO209" i="41" s="1"/>
  <c r="AR216" i="44"/>
  <c r="AH209" i="41" s="1"/>
  <c r="AS216" i="44"/>
  <c r="AJ209" i="41" s="1"/>
  <c r="AT216" i="44"/>
  <c r="AL209" i="41" s="1"/>
  <c r="AU216" i="44"/>
  <c r="AN209" i="41" s="1"/>
  <c r="AV216" i="44"/>
  <c r="AP209" i="41" s="1"/>
  <c r="AM217" i="44"/>
  <c r="AG210" i="41" s="1"/>
  <c r="AN217" i="44"/>
  <c r="AI210" i="41" s="1"/>
  <c r="AO217" i="44"/>
  <c r="AK210" i="41" s="1"/>
  <c r="AP217" i="44"/>
  <c r="AM210" i="41" s="1"/>
  <c r="AQ217" i="44"/>
  <c r="AO210" i="41" s="1"/>
  <c r="AR217" i="44"/>
  <c r="AH210" i="41" s="1"/>
  <c r="AS217" i="44"/>
  <c r="AJ210" i="41" s="1"/>
  <c r="AT217" i="44"/>
  <c r="AL210" i="41" s="1"/>
  <c r="AU217" i="44"/>
  <c r="AN210" i="41" s="1"/>
  <c r="AV217" i="44"/>
  <c r="AP210" i="41" s="1"/>
  <c r="AM218" i="44"/>
  <c r="AG211" i="41" s="1"/>
  <c r="AN218" i="44"/>
  <c r="AI211" i="41" s="1"/>
  <c r="AO218" i="44"/>
  <c r="AK211" i="41" s="1"/>
  <c r="AP218" i="44"/>
  <c r="AM211" i="41" s="1"/>
  <c r="AQ218" i="44"/>
  <c r="AO211" i="41" s="1"/>
  <c r="AR218" i="44"/>
  <c r="AH211" i="41" s="1"/>
  <c r="AS218" i="44"/>
  <c r="AJ211" i="41" s="1"/>
  <c r="AT218" i="44"/>
  <c r="AL211" i="41" s="1"/>
  <c r="AU218" i="44"/>
  <c r="AN211" i="41" s="1"/>
  <c r="AV218" i="44"/>
  <c r="AP211" i="41" s="1"/>
  <c r="AM219" i="44"/>
  <c r="AG212" i="41" s="1"/>
  <c r="AN219" i="44"/>
  <c r="AI212" i="41" s="1"/>
  <c r="AO219" i="44"/>
  <c r="AK212" i="41" s="1"/>
  <c r="AP219" i="44"/>
  <c r="AM212" i="41" s="1"/>
  <c r="AQ219" i="44"/>
  <c r="AO212" i="41" s="1"/>
  <c r="AR219" i="44"/>
  <c r="AH212" i="41" s="1"/>
  <c r="AS219" i="44"/>
  <c r="AJ212" i="41" s="1"/>
  <c r="AT219" i="44"/>
  <c r="AL212" i="41" s="1"/>
  <c r="AU219" i="44"/>
  <c r="AN212" i="41" s="1"/>
  <c r="AV219" i="44"/>
  <c r="AP212" i="41" s="1"/>
  <c r="AM220" i="44"/>
  <c r="AG213" i="41" s="1"/>
  <c r="AN220" i="44"/>
  <c r="AI213" i="41" s="1"/>
  <c r="AO220" i="44"/>
  <c r="AK213" i="41" s="1"/>
  <c r="AP220" i="44"/>
  <c r="AM213" i="41" s="1"/>
  <c r="AQ220" i="44"/>
  <c r="AO213" i="41" s="1"/>
  <c r="AR220" i="44"/>
  <c r="AH213" i="41" s="1"/>
  <c r="AS220" i="44"/>
  <c r="AJ213" i="41" s="1"/>
  <c r="AT220" i="44"/>
  <c r="AL213" i="41" s="1"/>
  <c r="AU220" i="44"/>
  <c r="AN213" i="41" s="1"/>
  <c r="AV220" i="44"/>
  <c r="AP213" i="41" s="1"/>
  <c r="AM221" i="44"/>
  <c r="AG214" i="41" s="1"/>
  <c r="AN221" i="44"/>
  <c r="AI214" i="41" s="1"/>
  <c r="AO221" i="44"/>
  <c r="AK214" i="41" s="1"/>
  <c r="AP221" i="44"/>
  <c r="AM214" i="41" s="1"/>
  <c r="AQ221" i="44"/>
  <c r="AO214" i="41" s="1"/>
  <c r="AR221" i="44"/>
  <c r="AH214" i="41" s="1"/>
  <c r="AS221" i="44"/>
  <c r="AJ214" i="41" s="1"/>
  <c r="AT221" i="44"/>
  <c r="AL214" i="41" s="1"/>
  <c r="AU221" i="44"/>
  <c r="AN214" i="41" s="1"/>
  <c r="AV221" i="44"/>
  <c r="AP214" i="41" s="1"/>
  <c r="AN222" i="44"/>
  <c r="AI215" i="41" s="1"/>
  <c r="AO222" i="44"/>
  <c r="AK215" i="41" s="1"/>
  <c r="AP222" i="44"/>
  <c r="AM215" i="41" s="1"/>
  <c r="AQ222" i="44"/>
  <c r="AO215" i="41" s="1"/>
  <c r="AR222" i="44"/>
  <c r="AH215" i="41" s="1"/>
  <c r="AS222" i="44"/>
  <c r="AJ215" i="41" s="1"/>
  <c r="AT222" i="44"/>
  <c r="AL215" i="41" s="1"/>
  <c r="AU222" i="44"/>
  <c r="AN215" i="41" s="1"/>
  <c r="AV222" i="44"/>
  <c r="AP215" i="41" s="1"/>
  <c r="AN223" i="44"/>
  <c r="AI216" i="41" s="1"/>
  <c r="AO223" i="44"/>
  <c r="AK216" i="41" s="1"/>
  <c r="AQ223" i="44"/>
  <c r="AO216" i="41" s="1"/>
  <c r="AR223" i="44"/>
  <c r="AH216" i="41" s="1"/>
  <c r="AT223" i="44"/>
  <c r="AL216" i="41" s="1"/>
  <c r="AU223" i="44"/>
  <c r="AN216" i="41" s="1"/>
  <c r="AV223" i="44"/>
  <c r="AP216" i="41" s="1"/>
  <c r="AN225" i="44"/>
  <c r="AI218" i="41" s="1"/>
  <c r="AO225" i="44"/>
  <c r="AK218" i="41" s="1"/>
  <c r="AP225" i="44"/>
  <c r="AM218" i="41" s="1"/>
  <c r="AR225" i="44"/>
  <c r="AH218" i="41" s="1"/>
  <c r="AT225" i="44"/>
  <c r="AL218" i="41" s="1"/>
  <c r="AU225" i="44"/>
  <c r="AN218" i="41" s="1"/>
  <c r="AV225" i="44"/>
  <c r="AP218" i="41" s="1"/>
  <c r="AM226" i="44"/>
  <c r="AG219" i="41" s="1"/>
  <c r="AN226" i="44"/>
  <c r="AI219" i="41" s="1"/>
  <c r="AO226" i="44"/>
  <c r="AK219" i="41" s="1"/>
  <c r="AP226" i="44"/>
  <c r="AM219" i="41" s="1"/>
  <c r="AQ226" i="44"/>
  <c r="AO219" i="41" s="1"/>
  <c r="AR226" i="44"/>
  <c r="AH219" i="41" s="1"/>
  <c r="AS226" i="44"/>
  <c r="AJ219" i="41" s="1"/>
  <c r="AT226" i="44"/>
  <c r="AL219" i="41" s="1"/>
  <c r="AU226" i="44"/>
  <c r="AN219" i="41" s="1"/>
  <c r="AV226" i="44"/>
  <c r="AP219" i="41" s="1"/>
  <c r="AM227" i="44"/>
  <c r="AG220" i="41" s="1"/>
  <c r="AN227" i="44"/>
  <c r="AI220" i="41" s="1"/>
  <c r="AO227" i="44"/>
  <c r="AK220" i="41" s="1"/>
  <c r="AP227" i="44"/>
  <c r="AM220" i="41" s="1"/>
  <c r="AQ227" i="44"/>
  <c r="AO220" i="41" s="1"/>
  <c r="AR227" i="44"/>
  <c r="AH220" i="41" s="1"/>
  <c r="AS227" i="44"/>
  <c r="AJ220" i="41" s="1"/>
  <c r="AT227" i="44"/>
  <c r="AL220" i="41" s="1"/>
  <c r="AU227" i="44"/>
  <c r="AN220" i="41" s="1"/>
  <c r="AV227" i="44"/>
  <c r="AP220" i="41" s="1"/>
  <c r="AM228" i="44"/>
  <c r="AG221" i="41" s="1"/>
  <c r="AN228" i="44"/>
  <c r="AI221" i="41" s="1"/>
  <c r="AO228" i="44"/>
  <c r="AK221" i="41" s="1"/>
  <c r="AP228" i="44"/>
  <c r="AM221" i="41" s="1"/>
  <c r="AQ228" i="44"/>
  <c r="AO221" i="41" s="1"/>
  <c r="AR228" i="44"/>
  <c r="AH221" i="41" s="1"/>
  <c r="AS228" i="44"/>
  <c r="AJ221" i="41" s="1"/>
  <c r="AT228" i="44"/>
  <c r="AL221" i="41" s="1"/>
  <c r="AU228" i="44"/>
  <c r="AN221" i="41" s="1"/>
  <c r="AV228" i="44"/>
  <c r="AP221" i="41" s="1"/>
  <c r="AM229" i="44"/>
  <c r="AG222" i="41" s="1"/>
  <c r="AN229" i="44"/>
  <c r="AI222" i="41" s="1"/>
  <c r="AO229" i="44"/>
  <c r="AK222" i="41" s="1"/>
  <c r="AP229" i="44"/>
  <c r="AM222" i="41" s="1"/>
  <c r="AQ229" i="44"/>
  <c r="AO222" i="41" s="1"/>
  <c r="AR229" i="44"/>
  <c r="AH222" i="41" s="1"/>
  <c r="AS229" i="44"/>
  <c r="AJ222" i="41" s="1"/>
  <c r="AT229" i="44"/>
  <c r="AL222" i="41" s="1"/>
  <c r="AU229" i="44"/>
  <c r="AN222" i="41" s="1"/>
  <c r="AV229" i="44"/>
  <c r="AP222" i="41" s="1"/>
  <c r="AM230" i="44"/>
  <c r="AG223" i="41" s="1"/>
  <c r="AN230" i="44"/>
  <c r="AI223" i="41" s="1"/>
  <c r="AO230" i="44"/>
  <c r="AK223" i="41" s="1"/>
  <c r="AP230" i="44"/>
  <c r="AM223" i="41" s="1"/>
  <c r="AQ230" i="44"/>
  <c r="AO223" i="41" s="1"/>
  <c r="AR230" i="44"/>
  <c r="AH223" i="41" s="1"/>
  <c r="AS230" i="44"/>
  <c r="AJ223" i="41" s="1"/>
  <c r="AT230" i="44"/>
  <c r="AL223" i="41" s="1"/>
  <c r="AU230" i="44"/>
  <c r="AN223" i="41" s="1"/>
  <c r="AV230" i="44"/>
  <c r="AP223" i="41" s="1"/>
  <c r="AM231" i="44"/>
  <c r="AG224" i="41" s="1"/>
  <c r="AN231" i="44"/>
  <c r="AI224" i="41" s="1"/>
  <c r="AO231" i="44"/>
  <c r="AK224" i="41" s="1"/>
  <c r="AP231" i="44"/>
  <c r="AM224" i="41" s="1"/>
  <c r="AQ231" i="44"/>
  <c r="AO224" i="41" s="1"/>
  <c r="AR231" i="44"/>
  <c r="AH224" i="41" s="1"/>
  <c r="AS231" i="44"/>
  <c r="AJ224" i="41" s="1"/>
  <c r="AT231" i="44"/>
  <c r="AL224" i="41" s="1"/>
  <c r="AU231" i="44"/>
  <c r="AN224" i="41" s="1"/>
  <c r="AV231" i="44"/>
  <c r="AP224" i="41" s="1"/>
  <c r="AM232" i="44"/>
  <c r="AG225" i="41" s="1"/>
  <c r="AN232" i="44"/>
  <c r="AI225" i="41" s="1"/>
  <c r="AO232" i="44"/>
  <c r="AK225" i="41" s="1"/>
  <c r="AP232" i="44"/>
  <c r="AM225" i="41" s="1"/>
  <c r="AQ232" i="44"/>
  <c r="AO225" i="41" s="1"/>
  <c r="AR232" i="44"/>
  <c r="AH225" i="41" s="1"/>
  <c r="AS232" i="44"/>
  <c r="AJ225" i="41" s="1"/>
  <c r="AT232" i="44"/>
  <c r="AL225" i="41" s="1"/>
  <c r="AU232" i="44"/>
  <c r="AN225" i="41" s="1"/>
  <c r="AV232" i="44"/>
  <c r="AP225" i="41" s="1"/>
  <c r="AM233" i="44"/>
  <c r="AG226" i="41" s="1"/>
  <c r="AN233" i="44"/>
  <c r="AI226" i="41" s="1"/>
  <c r="AO233" i="44"/>
  <c r="AK226" i="41" s="1"/>
  <c r="AP233" i="44"/>
  <c r="AM226" i="41" s="1"/>
  <c r="AQ233" i="44"/>
  <c r="AO226" i="41" s="1"/>
  <c r="AR233" i="44"/>
  <c r="AH226" i="41" s="1"/>
  <c r="AS233" i="44"/>
  <c r="AJ226" i="41" s="1"/>
  <c r="AT233" i="44"/>
  <c r="AL226" i="41" s="1"/>
  <c r="AU233" i="44"/>
  <c r="AN226" i="41" s="1"/>
  <c r="AV233" i="44"/>
  <c r="AP226" i="41" s="1"/>
  <c r="AN234" i="44"/>
  <c r="AI227" i="41" s="1"/>
  <c r="AO234" i="44"/>
  <c r="AK227" i="41" s="1"/>
  <c r="AP234" i="44"/>
  <c r="AM227" i="41" s="1"/>
  <c r="AQ234" i="44"/>
  <c r="AO227" i="41" s="1"/>
  <c r="AR234" i="44"/>
  <c r="AH227" i="41" s="1"/>
  <c r="AS234" i="44"/>
  <c r="AJ227" i="41" s="1"/>
  <c r="AT234" i="44"/>
  <c r="AL227" i="41" s="1"/>
  <c r="AU234" i="44"/>
  <c r="AN227" i="41" s="1"/>
  <c r="AV234" i="44"/>
  <c r="AP227" i="41" s="1"/>
  <c r="AN235" i="44"/>
  <c r="AI228" i="41" s="1"/>
  <c r="AO235" i="44"/>
  <c r="AK228" i="41" s="1"/>
  <c r="AQ235" i="44"/>
  <c r="AO228" i="41" s="1"/>
  <c r="AR235" i="44"/>
  <c r="AH228" i="41" s="1"/>
  <c r="AT235" i="44"/>
  <c r="AL228" i="41" s="1"/>
  <c r="AU235" i="44"/>
  <c r="AN228" i="41" s="1"/>
  <c r="AV235" i="44"/>
  <c r="AP228" i="41" s="1"/>
  <c r="AN237" i="44"/>
  <c r="AI230" i="41" s="1"/>
  <c r="AO237" i="44"/>
  <c r="AK230" i="41" s="1"/>
  <c r="AP237" i="44"/>
  <c r="AM230" i="41" s="1"/>
  <c r="AR237" i="44"/>
  <c r="AH230" i="41" s="1"/>
  <c r="AT237" i="44"/>
  <c r="AL230" i="41" s="1"/>
  <c r="AU237" i="44"/>
  <c r="AN230" i="41" s="1"/>
  <c r="AV237" i="44"/>
  <c r="AP230" i="41" s="1"/>
  <c r="AM238" i="44"/>
  <c r="AG231" i="41" s="1"/>
  <c r="AN238" i="44"/>
  <c r="AI231" i="41" s="1"/>
  <c r="AO238" i="44"/>
  <c r="AK231" i="41" s="1"/>
  <c r="AP238" i="44"/>
  <c r="AM231" i="41" s="1"/>
  <c r="AQ238" i="44"/>
  <c r="AO231" i="41" s="1"/>
  <c r="AR238" i="44"/>
  <c r="AH231" i="41" s="1"/>
  <c r="AS238" i="44"/>
  <c r="AJ231" i="41" s="1"/>
  <c r="AT238" i="44"/>
  <c r="AL231" i="41" s="1"/>
  <c r="AU238" i="44"/>
  <c r="AN231" i="41" s="1"/>
  <c r="AV238" i="44"/>
  <c r="AP231" i="41" s="1"/>
  <c r="AM239" i="44"/>
  <c r="AG232" i="41" s="1"/>
  <c r="AN239" i="44"/>
  <c r="AI232" i="41" s="1"/>
  <c r="AO239" i="44"/>
  <c r="AK232" i="41" s="1"/>
  <c r="AP239" i="44"/>
  <c r="AM232" i="41" s="1"/>
  <c r="AQ239" i="44"/>
  <c r="AO232" i="41" s="1"/>
  <c r="AR239" i="44"/>
  <c r="AH232" i="41" s="1"/>
  <c r="AS239" i="44"/>
  <c r="AJ232" i="41" s="1"/>
  <c r="AT239" i="44"/>
  <c r="AL232" i="41" s="1"/>
  <c r="AU239" i="44"/>
  <c r="AN232" i="41" s="1"/>
  <c r="AV239" i="44"/>
  <c r="AP232" i="41" s="1"/>
  <c r="AM240" i="44"/>
  <c r="AG233" i="41" s="1"/>
  <c r="AN240" i="44"/>
  <c r="AI233" i="41" s="1"/>
  <c r="AO240" i="44"/>
  <c r="AK233" i="41" s="1"/>
  <c r="AP240" i="44"/>
  <c r="AM233" i="41" s="1"/>
  <c r="AQ240" i="44"/>
  <c r="AO233" i="41" s="1"/>
  <c r="AR240" i="44"/>
  <c r="AH233" i="41" s="1"/>
  <c r="AS240" i="44"/>
  <c r="AJ233" i="41" s="1"/>
  <c r="AT240" i="44"/>
  <c r="AL233" i="41" s="1"/>
  <c r="AU240" i="44"/>
  <c r="AN233" i="41" s="1"/>
  <c r="AV240" i="44"/>
  <c r="AP233" i="41" s="1"/>
  <c r="AM241" i="44"/>
  <c r="AG234" i="41" s="1"/>
  <c r="AN241" i="44"/>
  <c r="AI234" i="41" s="1"/>
  <c r="AO241" i="44"/>
  <c r="AK234" i="41" s="1"/>
  <c r="AP241" i="44"/>
  <c r="AM234" i="41" s="1"/>
  <c r="AQ241" i="44"/>
  <c r="AO234" i="41" s="1"/>
  <c r="AR241" i="44"/>
  <c r="AH234" i="41" s="1"/>
  <c r="AS241" i="44"/>
  <c r="AJ234" i="41" s="1"/>
  <c r="AT241" i="44"/>
  <c r="AL234" i="41" s="1"/>
  <c r="AU241" i="44"/>
  <c r="AN234" i="41" s="1"/>
  <c r="AV241" i="44"/>
  <c r="AP234" i="41" s="1"/>
  <c r="AM242" i="44"/>
  <c r="AG235" i="41" s="1"/>
  <c r="AN242" i="44"/>
  <c r="AI235" i="41" s="1"/>
  <c r="AO242" i="44"/>
  <c r="AK235" i="41" s="1"/>
  <c r="AP242" i="44"/>
  <c r="AM235" i="41" s="1"/>
  <c r="AQ242" i="44"/>
  <c r="AO235" i="41" s="1"/>
  <c r="AR242" i="44"/>
  <c r="AH235" i="41" s="1"/>
  <c r="AS242" i="44"/>
  <c r="AJ235" i="41" s="1"/>
  <c r="AT242" i="44"/>
  <c r="AL235" i="41" s="1"/>
  <c r="AU242" i="44"/>
  <c r="AN235" i="41" s="1"/>
  <c r="AV242" i="44"/>
  <c r="AP235" i="41" s="1"/>
  <c r="AM243" i="44"/>
  <c r="AG236" i="41" s="1"/>
  <c r="AN243" i="44"/>
  <c r="AI236" i="41" s="1"/>
  <c r="AO243" i="44"/>
  <c r="AK236" i="41" s="1"/>
  <c r="AP243" i="44"/>
  <c r="AM236" i="41" s="1"/>
  <c r="AQ243" i="44"/>
  <c r="AO236" i="41" s="1"/>
  <c r="AR243" i="44"/>
  <c r="AH236" i="41" s="1"/>
  <c r="AS243" i="44"/>
  <c r="AJ236" i="41" s="1"/>
  <c r="AT243" i="44"/>
  <c r="AL236" i="41" s="1"/>
  <c r="AU243" i="44"/>
  <c r="AN236" i="41" s="1"/>
  <c r="AV243" i="44"/>
  <c r="AP236" i="41" s="1"/>
  <c r="AM244" i="44"/>
  <c r="AG237" i="41" s="1"/>
  <c r="AN244" i="44"/>
  <c r="AI237" i="41" s="1"/>
  <c r="AO244" i="44"/>
  <c r="AK237" i="41" s="1"/>
  <c r="AP244" i="44"/>
  <c r="AM237" i="41" s="1"/>
  <c r="AQ244" i="44"/>
  <c r="AO237" i="41" s="1"/>
  <c r="AR244" i="44"/>
  <c r="AH237" i="41" s="1"/>
  <c r="AS244" i="44"/>
  <c r="AJ237" i="41" s="1"/>
  <c r="AT244" i="44"/>
  <c r="AL237" i="41" s="1"/>
  <c r="AU244" i="44"/>
  <c r="AN237" i="41" s="1"/>
  <c r="AV244" i="44"/>
  <c r="AP237" i="41" s="1"/>
  <c r="AM245" i="44"/>
  <c r="AG238" i="41" s="1"/>
  <c r="AN245" i="44"/>
  <c r="AI238" i="41" s="1"/>
  <c r="AO245" i="44"/>
  <c r="AK238" i="41" s="1"/>
  <c r="AP245" i="44"/>
  <c r="AM238" i="41" s="1"/>
  <c r="AQ245" i="44"/>
  <c r="AO238" i="41" s="1"/>
  <c r="AR245" i="44"/>
  <c r="AH238" i="41" s="1"/>
  <c r="AS245" i="44"/>
  <c r="AJ238" i="41" s="1"/>
  <c r="AT245" i="44"/>
  <c r="AL238" i="41" s="1"/>
  <c r="AU245" i="44"/>
  <c r="AN238" i="41" s="1"/>
  <c r="AV245" i="44"/>
  <c r="AP238" i="41" s="1"/>
  <c r="AN246" i="44"/>
  <c r="AI239" i="41" s="1"/>
  <c r="AO246" i="44"/>
  <c r="AK239" i="41" s="1"/>
  <c r="AP246" i="44"/>
  <c r="AM239" i="41" s="1"/>
  <c r="AQ246" i="44"/>
  <c r="AO239" i="41" s="1"/>
  <c r="AR246" i="44"/>
  <c r="AH239" i="41" s="1"/>
  <c r="AS246" i="44"/>
  <c r="AJ239" i="41" s="1"/>
  <c r="AT246" i="44"/>
  <c r="AL239" i="41" s="1"/>
  <c r="AU246" i="44"/>
  <c r="AN239" i="41" s="1"/>
  <c r="AV246" i="44"/>
  <c r="AP239" i="41" s="1"/>
  <c r="AN247" i="44"/>
  <c r="AI240" i="41" s="1"/>
  <c r="AO247" i="44"/>
  <c r="AK240" i="41" s="1"/>
  <c r="AQ247" i="44"/>
  <c r="AO240" i="41" s="1"/>
  <c r="AR247" i="44"/>
  <c r="AH240" i="41" s="1"/>
  <c r="AT247" i="44"/>
  <c r="AL240" i="41" s="1"/>
  <c r="AU247" i="44"/>
  <c r="AN240" i="41" s="1"/>
  <c r="AV247" i="44"/>
  <c r="AP240" i="41" s="1"/>
  <c r="AU248" i="44"/>
  <c r="AN241" i="41" s="1"/>
  <c r="AN249" i="44"/>
  <c r="AI242" i="41" s="1"/>
  <c r="AO249" i="44"/>
  <c r="AK242" i="41" s="1"/>
  <c r="AP249" i="44"/>
  <c r="AM242" i="41" s="1"/>
  <c r="AR249" i="44"/>
  <c r="AH242" i="41" s="1"/>
  <c r="AT249" i="44"/>
  <c r="AL242" i="41" s="1"/>
  <c r="AU249" i="44"/>
  <c r="AN242" i="41" s="1"/>
  <c r="AV249" i="44"/>
  <c r="AP242" i="41" s="1"/>
  <c r="AM250" i="44"/>
  <c r="AG243" i="41" s="1"/>
  <c r="AN250" i="44"/>
  <c r="AI243" i="41" s="1"/>
  <c r="AO250" i="44"/>
  <c r="AK243" i="41" s="1"/>
  <c r="AP250" i="44"/>
  <c r="AM243" i="41" s="1"/>
  <c r="AQ250" i="44"/>
  <c r="AO243" i="41" s="1"/>
  <c r="AR250" i="44"/>
  <c r="AH243" i="41" s="1"/>
  <c r="AS250" i="44"/>
  <c r="AJ243" i="41" s="1"/>
  <c r="AT250" i="44"/>
  <c r="AL243" i="41" s="1"/>
  <c r="AU250" i="44"/>
  <c r="AN243" i="41" s="1"/>
  <c r="AV250" i="44"/>
  <c r="AP243" i="41" s="1"/>
  <c r="AM251" i="44"/>
  <c r="AG244" i="41" s="1"/>
  <c r="AN251" i="44"/>
  <c r="AI244" i="41" s="1"/>
  <c r="AO251" i="44"/>
  <c r="AK244" i="41" s="1"/>
  <c r="AP251" i="44"/>
  <c r="AM244" i="41" s="1"/>
  <c r="AQ251" i="44"/>
  <c r="AO244" i="41" s="1"/>
  <c r="AR251" i="44"/>
  <c r="AH244" i="41" s="1"/>
  <c r="AS251" i="44"/>
  <c r="AJ244" i="41" s="1"/>
  <c r="AT251" i="44"/>
  <c r="AL244" i="41" s="1"/>
  <c r="AU251" i="44"/>
  <c r="AN244" i="41" s="1"/>
  <c r="AV251" i="44"/>
  <c r="AP244" i="41" s="1"/>
  <c r="AM252" i="44"/>
  <c r="AG245" i="41" s="1"/>
  <c r="AN252" i="44"/>
  <c r="AI245" i="41" s="1"/>
  <c r="AO252" i="44"/>
  <c r="AK245" i="41" s="1"/>
  <c r="AP252" i="44"/>
  <c r="AM245" i="41" s="1"/>
  <c r="AQ252" i="44"/>
  <c r="AO245" i="41" s="1"/>
  <c r="AR252" i="44"/>
  <c r="AH245" i="41" s="1"/>
  <c r="AS252" i="44"/>
  <c r="AJ245" i="41" s="1"/>
  <c r="AT252" i="44"/>
  <c r="AL245" i="41" s="1"/>
  <c r="AU252" i="44"/>
  <c r="AN245" i="41" s="1"/>
  <c r="AV252" i="44"/>
  <c r="AP245" i="41" s="1"/>
  <c r="AM253" i="44"/>
  <c r="AG246" i="41" s="1"/>
  <c r="AN253" i="44"/>
  <c r="AI246" i="41" s="1"/>
  <c r="AO253" i="44"/>
  <c r="AK246" i="41" s="1"/>
  <c r="AP253" i="44"/>
  <c r="AM246" i="41" s="1"/>
  <c r="AQ253" i="44"/>
  <c r="AO246" i="41" s="1"/>
  <c r="AR253" i="44"/>
  <c r="AH246" i="41" s="1"/>
  <c r="AS253" i="44"/>
  <c r="AJ246" i="41" s="1"/>
  <c r="AT253" i="44"/>
  <c r="AL246" i="41" s="1"/>
  <c r="AU253" i="44"/>
  <c r="AN246" i="41" s="1"/>
  <c r="AV253" i="44"/>
  <c r="AP246" i="41" s="1"/>
  <c r="AM254" i="44"/>
  <c r="AG247" i="41" s="1"/>
  <c r="AN254" i="44"/>
  <c r="AI247" i="41" s="1"/>
  <c r="AO254" i="44"/>
  <c r="AK247" i="41" s="1"/>
  <c r="AP254" i="44"/>
  <c r="AM247" i="41" s="1"/>
  <c r="AQ254" i="44"/>
  <c r="AO247" i="41" s="1"/>
  <c r="AR254" i="44"/>
  <c r="AH247" i="41" s="1"/>
  <c r="AS254" i="44"/>
  <c r="AJ247" i="41" s="1"/>
  <c r="AT254" i="44"/>
  <c r="AL247" i="41" s="1"/>
  <c r="AU254" i="44"/>
  <c r="AN247" i="41" s="1"/>
  <c r="AV254" i="44"/>
  <c r="AP247" i="41" s="1"/>
  <c r="AM255" i="44"/>
  <c r="AG248" i="41" s="1"/>
  <c r="AN255" i="44"/>
  <c r="AI248" i="41" s="1"/>
  <c r="AO255" i="44"/>
  <c r="AK248" i="41" s="1"/>
  <c r="AP255" i="44"/>
  <c r="AM248" i="41" s="1"/>
  <c r="AQ255" i="44"/>
  <c r="AO248" i="41" s="1"/>
  <c r="AR255" i="44"/>
  <c r="AH248" i="41" s="1"/>
  <c r="AS255" i="44"/>
  <c r="AJ248" i="41" s="1"/>
  <c r="AT255" i="44"/>
  <c r="AL248" i="41" s="1"/>
  <c r="AU255" i="44"/>
  <c r="AN248" i="41" s="1"/>
  <c r="AV255" i="44"/>
  <c r="AP248" i="41" s="1"/>
  <c r="AM256" i="44"/>
  <c r="AG249" i="41" s="1"/>
  <c r="AN256" i="44"/>
  <c r="AI249" i="41" s="1"/>
  <c r="AO256" i="44"/>
  <c r="AK249" i="41" s="1"/>
  <c r="AP256" i="44"/>
  <c r="AM249" i="41" s="1"/>
  <c r="AQ256" i="44"/>
  <c r="AO249" i="41" s="1"/>
  <c r="AR256" i="44"/>
  <c r="AH249" i="41" s="1"/>
  <c r="AS256" i="44"/>
  <c r="AJ249" i="41" s="1"/>
  <c r="AT256" i="44"/>
  <c r="AL249" i="41" s="1"/>
  <c r="AU256" i="44"/>
  <c r="AN249" i="41" s="1"/>
  <c r="AV256" i="44"/>
  <c r="AP249" i="41" s="1"/>
  <c r="AM257" i="44"/>
  <c r="AG250" i="41" s="1"/>
  <c r="AN257" i="44"/>
  <c r="AI250" i="41" s="1"/>
  <c r="AO257" i="44"/>
  <c r="AK250" i="41" s="1"/>
  <c r="AP257" i="44"/>
  <c r="AM250" i="41" s="1"/>
  <c r="AQ257" i="44"/>
  <c r="AO250" i="41" s="1"/>
  <c r="AR257" i="44"/>
  <c r="AH250" i="41" s="1"/>
  <c r="AS257" i="44"/>
  <c r="AJ250" i="41" s="1"/>
  <c r="AT257" i="44"/>
  <c r="AL250" i="41" s="1"/>
  <c r="AU257" i="44"/>
  <c r="AN250" i="41" s="1"/>
  <c r="AV257" i="44"/>
  <c r="AP250" i="41" s="1"/>
  <c r="AM258" i="44"/>
  <c r="AG251" i="41" s="1"/>
  <c r="AN258" i="44"/>
  <c r="AI251" i="41" s="1"/>
  <c r="AO258" i="44"/>
  <c r="AK251" i="41" s="1"/>
  <c r="AP258" i="44"/>
  <c r="AM251" i="41" s="1"/>
  <c r="AQ258" i="44"/>
  <c r="AO251" i="41" s="1"/>
  <c r="AR258" i="44"/>
  <c r="AH251" i="41" s="1"/>
  <c r="AS258" i="44"/>
  <c r="AJ251" i="41" s="1"/>
  <c r="AT258" i="44"/>
  <c r="AL251" i="41" s="1"/>
  <c r="AU258" i="44"/>
  <c r="AN251" i="41" s="1"/>
  <c r="AV258" i="44"/>
  <c r="AP251" i="41" s="1"/>
  <c r="AN259" i="44"/>
  <c r="AI252" i="41" s="1"/>
  <c r="AO259" i="44"/>
  <c r="AK252" i="41" s="1"/>
  <c r="AQ259" i="44"/>
  <c r="AO252" i="41" s="1"/>
  <c r="AR259" i="44"/>
  <c r="AH252" i="41" s="1"/>
  <c r="AT259" i="44"/>
  <c r="AL252" i="41" s="1"/>
  <c r="AU259" i="44"/>
  <c r="AN252" i="41" s="1"/>
  <c r="AV259" i="44"/>
  <c r="AP252" i="41" s="1"/>
  <c r="AN261" i="44"/>
  <c r="AI254" i="41" s="1"/>
  <c r="AO261" i="44"/>
  <c r="AK254" i="41" s="1"/>
  <c r="AP261" i="44"/>
  <c r="AM254" i="41" s="1"/>
  <c r="AR261" i="44"/>
  <c r="AH254" i="41" s="1"/>
  <c r="AS261" i="44"/>
  <c r="AJ254" i="41" s="1"/>
  <c r="AT261" i="44"/>
  <c r="AL254" i="41" s="1"/>
  <c r="AU261" i="44"/>
  <c r="AN254" i="41" s="1"/>
  <c r="AV261" i="44"/>
  <c r="AP254" i="41" s="1"/>
  <c r="AM262" i="44"/>
  <c r="AG255" i="41" s="1"/>
  <c r="AN262" i="44"/>
  <c r="AI255" i="41" s="1"/>
  <c r="AO262" i="44"/>
  <c r="AK255" i="41" s="1"/>
  <c r="AP262" i="44"/>
  <c r="AM255" i="41" s="1"/>
  <c r="AQ262" i="44"/>
  <c r="AO255" i="41" s="1"/>
  <c r="AR262" i="44"/>
  <c r="AH255" i="41" s="1"/>
  <c r="AS262" i="44"/>
  <c r="AJ255" i="41" s="1"/>
  <c r="AT262" i="44"/>
  <c r="AL255" i="41" s="1"/>
  <c r="AU262" i="44"/>
  <c r="AN255" i="41" s="1"/>
  <c r="AV262" i="44"/>
  <c r="AP255" i="41" s="1"/>
  <c r="AM263" i="44"/>
  <c r="AG256" i="41" s="1"/>
  <c r="AN263" i="44"/>
  <c r="AI256" i="41" s="1"/>
  <c r="AO263" i="44"/>
  <c r="AK256" i="41" s="1"/>
  <c r="AP263" i="44"/>
  <c r="AM256" i="41" s="1"/>
  <c r="AQ263" i="44"/>
  <c r="AO256" i="41" s="1"/>
  <c r="AR263" i="44"/>
  <c r="AH256" i="41" s="1"/>
  <c r="AS263" i="44"/>
  <c r="AJ256" i="41" s="1"/>
  <c r="AT263" i="44"/>
  <c r="AL256" i="41" s="1"/>
  <c r="AU263" i="44"/>
  <c r="AN256" i="41" s="1"/>
  <c r="AV263" i="44"/>
  <c r="AP256" i="41" s="1"/>
  <c r="AM264" i="44"/>
  <c r="AG257" i="41" s="1"/>
  <c r="AN264" i="44"/>
  <c r="AI257" i="41" s="1"/>
  <c r="AO264" i="44"/>
  <c r="AK257" i="41" s="1"/>
  <c r="AP264" i="44"/>
  <c r="AM257" i="41" s="1"/>
  <c r="AQ264" i="44"/>
  <c r="AO257" i="41" s="1"/>
  <c r="AR264" i="44"/>
  <c r="AH257" i="41" s="1"/>
  <c r="AS264" i="44"/>
  <c r="AJ257" i="41" s="1"/>
  <c r="AT264" i="44"/>
  <c r="AL257" i="41" s="1"/>
  <c r="AU264" i="44"/>
  <c r="AN257" i="41" s="1"/>
  <c r="AV264" i="44"/>
  <c r="AP257" i="41" s="1"/>
  <c r="AM265" i="44"/>
  <c r="AG258" i="41" s="1"/>
  <c r="AN265" i="44"/>
  <c r="AI258" i="41" s="1"/>
  <c r="AO265" i="44"/>
  <c r="AK258" i="41" s="1"/>
  <c r="AP265" i="44"/>
  <c r="AM258" i="41" s="1"/>
  <c r="AQ265" i="44"/>
  <c r="AO258" i="41" s="1"/>
  <c r="AR265" i="44"/>
  <c r="AH258" i="41" s="1"/>
  <c r="AS265" i="44"/>
  <c r="AJ258" i="41" s="1"/>
  <c r="AT265" i="44"/>
  <c r="AL258" i="41" s="1"/>
  <c r="AU265" i="44"/>
  <c r="AN258" i="41" s="1"/>
  <c r="AV265" i="44"/>
  <c r="AP258" i="41" s="1"/>
  <c r="AM266" i="44"/>
  <c r="AG259" i="41" s="1"/>
  <c r="AN266" i="44"/>
  <c r="AI259" i="41" s="1"/>
  <c r="AO266" i="44"/>
  <c r="AK259" i="41" s="1"/>
  <c r="AP266" i="44"/>
  <c r="AM259" i="41" s="1"/>
  <c r="AQ266" i="44"/>
  <c r="AO259" i="41" s="1"/>
  <c r="AR266" i="44"/>
  <c r="AH259" i="41" s="1"/>
  <c r="AS266" i="44"/>
  <c r="AJ259" i="41" s="1"/>
  <c r="AT266" i="44"/>
  <c r="AL259" i="41" s="1"/>
  <c r="AU266" i="44"/>
  <c r="AN259" i="41" s="1"/>
  <c r="AV266" i="44"/>
  <c r="AP259" i="41" s="1"/>
  <c r="AM267" i="44"/>
  <c r="AG260" i="41" s="1"/>
  <c r="AN267" i="44"/>
  <c r="AI260" i="41" s="1"/>
  <c r="AO267" i="44"/>
  <c r="AK260" i="41" s="1"/>
  <c r="AP267" i="44"/>
  <c r="AM260" i="41" s="1"/>
  <c r="AQ267" i="44"/>
  <c r="AO260" i="41" s="1"/>
  <c r="AR267" i="44"/>
  <c r="AH260" i="41" s="1"/>
  <c r="AS267" i="44"/>
  <c r="AJ260" i="41" s="1"/>
  <c r="AT267" i="44"/>
  <c r="AL260" i="41" s="1"/>
  <c r="AU267" i="44"/>
  <c r="AN260" i="41" s="1"/>
  <c r="AV267" i="44"/>
  <c r="AP260" i="41" s="1"/>
  <c r="AM268" i="44"/>
  <c r="AG261" i="41" s="1"/>
  <c r="AN268" i="44"/>
  <c r="AI261" i="41" s="1"/>
  <c r="AO268" i="44"/>
  <c r="AK261" i="41" s="1"/>
  <c r="AP268" i="44"/>
  <c r="AM261" i="41" s="1"/>
  <c r="AQ268" i="44"/>
  <c r="AO261" i="41" s="1"/>
  <c r="AR268" i="44"/>
  <c r="AH261" i="41" s="1"/>
  <c r="AS268" i="44"/>
  <c r="AJ261" i="41" s="1"/>
  <c r="AT268" i="44"/>
  <c r="AL261" i="41" s="1"/>
  <c r="AU268" i="44"/>
  <c r="AN261" i="41" s="1"/>
  <c r="AV268" i="44"/>
  <c r="AP261" i="41" s="1"/>
  <c r="AM269" i="44"/>
  <c r="AG262" i="41" s="1"/>
  <c r="AN269" i="44"/>
  <c r="AI262" i="41" s="1"/>
  <c r="AO269" i="44"/>
  <c r="AK262" i="41" s="1"/>
  <c r="AP269" i="44"/>
  <c r="AM262" i="41" s="1"/>
  <c r="AQ269" i="44"/>
  <c r="AO262" i="41" s="1"/>
  <c r="AR269" i="44"/>
  <c r="AH262" i="41" s="1"/>
  <c r="AS269" i="44"/>
  <c r="AJ262" i="41" s="1"/>
  <c r="AT269" i="44"/>
  <c r="AL262" i="41" s="1"/>
  <c r="AU269" i="44"/>
  <c r="AN262" i="41" s="1"/>
  <c r="AV269" i="44"/>
  <c r="AP262" i="41" s="1"/>
  <c r="AN270" i="44"/>
  <c r="AI263" i="41" s="1"/>
  <c r="AO270" i="44"/>
  <c r="AK263" i="41" s="1"/>
  <c r="AP270" i="44"/>
  <c r="AM263" i="41" s="1"/>
  <c r="AQ270" i="44"/>
  <c r="AO263" i="41" s="1"/>
  <c r="AR270" i="44"/>
  <c r="AH263" i="41" s="1"/>
  <c r="AS270" i="44"/>
  <c r="AJ263" i="41" s="1"/>
  <c r="AT270" i="44"/>
  <c r="AL263" i="41" s="1"/>
  <c r="AU270" i="44"/>
  <c r="AN263" i="41" s="1"/>
  <c r="AV270" i="44"/>
  <c r="AP263" i="41" s="1"/>
  <c r="AN271" i="44"/>
  <c r="AI264" i="41" s="1"/>
  <c r="AO271" i="44"/>
  <c r="AK264" i="41" s="1"/>
  <c r="AQ271" i="44"/>
  <c r="AO264" i="41" s="1"/>
  <c r="AR271" i="44"/>
  <c r="AH264" i="41" s="1"/>
  <c r="AT271" i="44"/>
  <c r="AL264" i="41" s="1"/>
  <c r="AU271" i="44"/>
  <c r="AN264" i="41" s="1"/>
  <c r="AV271" i="44"/>
  <c r="AP264" i="41" s="1"/>
  <c r="AR272" i="44"/>
  <c r="AH265" i="41" s="1"/>
  <c r="AN273" i="44"/>
  <c r="AI266" i="41" s="1"/>
  <c r="AO273" i="44"/>
  <c r="AK266" i="41" s="1"/>
  <c r="AP273" i="44"/>
  <c r="AM266" i="41" s="1"/>
  <c r="AR273" i="44"/>
  <c r="AH266" i="41" s="1"/>
  <c r="AT273" i="44"/>
  <c r="AL266" i="41" s="1"/>
  <c r="AU273" i="44"/>
  <c r="AN266" i="41" s="1"/>
  <c r="AV273" i="44"/>
  <c r="AP266" i="41" s="1"/>
  <c r="AM274" i="44"/>
  <c r="AG267" i="41" s="1"/>
  <c r="AN274" i="44"/>
  <c r="AI267" i="41" s="1"/>
  <c r="AO274" i="44"/>
  <c r="AK267" i="41" s="1"/>
  <c r="AP274" i="44"/>
  <c r="AM267" i="41" s="1"/>
  <c r="AQ274" i="44"/>
  <c r="AO267" i="41" s="1"/>
  <c r="AR274" i="44"/>
  <c r="AH267" i="41" s="1"/>
  <c r="AS274" i="44"/>
  <c r="AJ267" i="41" s="1"/>
  <c r="AT274" i="44"/>
  <c r="AL267" i="41" s="1"/>
  <c r="AU274" i="44"/>
  <c r="AN267" i="41" s="1"/>
  <c r="AV274" i="44"/>
  <c r="AP267" i="41" s="1"/>
  <c r="AM275" i="44"/>
  <c r="AG268" i="41" s="1"/>
  <c r="AN275" i="44"/>
  <c r="AI268" i="41" s="1"/>
  <c r="AO275" i="44"/>
  <c r="AK268" i="41" s="1"/>
  <c r="AP275" i="44"/>
  <c r="AM268" i="41" s="1"/>
  <c r="AQ275" i="44"/>
  <c r="AO268" i="41" s="1"/>
  <c r="AR275" i="44"/>
  <c r="AH268" i="41" s="1"/>
  <c r="AS275" i="44"/>
  <c r="AJ268" i="41" s="1"/>
  <c r="AT275" i="44"/>
  <c r="AL268" i="41" s="1"/>
  <c r="AU275" i="44"/>
  <c r="AN268" i="41" s="1"/>
  <c r="AV275" i="44"/>
  <c r="AP268" i="41" s="1"/>
  <c r="AM276" i="44"/>
  <c r="AG269" i="41" s="1"/>
  <c r="AN276" i="44"/>
  <c r="AI269" i="41" s="1"/>
  <c r="AO276" i="44"/>
  <c r="AK269" i="41" s="1"/>
  <c r="AP276" i="44"/>
  <c r="AM269" i="41" s="1"/>
  <c r="AQ276" i="44"/>
  <c r="AO269" i="41" s="1"/>
  <c r="AR276" i="44"/>
  <c r="AH269" i="41" s="1"/>
  <c r="AS276" i="44"/>
  <c r="AJ269" i="41" s="1"/>
  <c r="AT276" i="44"/>
  <c r="AL269" i="41" s="1"/>
  <c r="AU276" i="44"/>
  <c r="AN269" i="41" s="1"/>
  <c r="AV276" i="44"/>
  <c r="AP269" i="41" s="1"/>
  <c r="AM277" i="44"/>
  <c r="AG270" i="41" s="1"/>
  <c r="AN277" i="44"/>
  <c r="AI270" i="41" s="1"/>
  <c r="AO277" i="44"/>
  <c r="AK270" i="41" s="1"/>
  <c r="AP277" i="44"/>
  <c r="AM270" i="41" s="1"/>
  <c r="AQ277" i="44"/>
  <c r="AO270" i="41" s="1"/>
  <c r="AR277" i="44"/>
  <c r="AH270" i="41" s="1"/>
  <c r="AS277" i="44"/>
  <c r="AJ270" i="41" s="1"/>
  <c r="AT277" i="44"/>
  <c r="AL270" i="41" s="1"/>
  <c r="AU277" i="44"/>
  <c r="AN270" i="41" s="1"/>
  <c r="AV277" i="44"/>
  <c r="AP270" i="41" s="1"/>
  <c r="AM278" i="44"/>
  <c r="AG271" i="41" s="1"/>
  <c r="AN278" i="44"/>
  <c r="AI271" i="41" s="1"/>
  <c r="AO278" i="44"/>
  <c r="AK271" i="41" s="1"/>
  <c r="AP278" i="44"/>
  <c r="AM271" i="41" s="1"/>
  <c r="AQ278" i="44"/>
  <c r="AO271" i="41" s="1"/>
  <c r="AR278" i="44"/>
  <c r="AH271" i="41" s="1"/>
  <c r="AS278" i="44"/>
  <c r="AJ271" i="41" s="1"/>
  <c r="AT278" i="44"/>
  <c r="AL271" i="41" s="1"/>
  <c r="AU278" i="44"/>
  <c r="AN271" i="41" s="1"/>
  <c r="AV278" i="44"/>
  <c r="AP271" i="41" s="1"/>
  <c r="AM279" i="44"/>
  <c r="AG272" i="41" s="1"/>
  <c r="AN279" i="44"/>
  <c r="AI272" i="41" s="1"/>
  <c r="AO279" i="44"/>
  <c r="AK272" i="41" s="1"/>
  <c r="AP279" i="44"/>
  <c r="AM272" i="41" s="1"/>
  <c r="AQ279" i="44"/>
  <c r="AO272" i="41" s="1"/>
  <c r="AR279" i="44"/>
  <c r="AH272" i="41" s="1"/>
  <c r="AS279" i="44"/>
  <c r="AJ272" i="41" s="1"/>
  <c r="AT279" i="44"/>
  <c r="AL272" i="41" s="1"/>
  <c r="AU279" i="44"/>
  <c r="AN272" i="41" s="1"/>
  <c r="AV279" i="44"/>
  <c r="AP272" i="41" s="1"/>
  <c r="AM280" i="44"/>
  <c r="AG273" i="41" s="1"/>
  <c r="AN280" i="44"/>
  <c r="AI273" i="41" s="1"/>
  <c r="AO280" i="44"/>
  <c r="AK273" i="41" s="1"/>
  <c r="AP280" i="44"/>
  <c r="AM273" i="41" s="1"/>
  <c r="AQ280" i="44"/>
  <c r="AO273" i="41" s="1"/>
  <c r="AR280" i="44"/>
  <c r="AH273" i="41" s="1"/>
  <c r="AS280" i="44"/>
  <c r="AJ273" i="41" s="1"/>
  <c r="AT280" i="44"/>
  <c r="AL273" i="41" s="1"/>
  <c r="AU280" i="44"/>
  <c r="AN273" i="41" s="1"/>
  <c r="AV280" i="44"/>
  <c r="AP273" i="41" s="1"/>
  <c r="AM281" i="44"/>
  <c r="AG274" i="41" s="1"/>
  <c r="AN281" i="44"/>
  <c r="AI274" i="41" s="1"/>
  <c r="AO281" i="44"/>
  <c r="AK274" i="41" s="1"/>
  <c r="AP281" i="44"/>
  <c r="AM274" i="41" s="1"/>
  <c r="AQ281" i="44"/>
  <c r="AO274" i="41" s="1"/>
  <c r="AR281" i="44"/>
  <c r="AH274" i="41" s="1"/>
  <c r="AS281" i="44"/>
  <c r="AJ274" i="41" s="1"/>
  <c r="AT281" i="44"/>
  <c r="AL274" i="41" s="1"/>
  <c r="AU281" i="44"/>
  <c r="AN274" i="41" s="1"/>
  <c r="AV281" i="44"/>
  <c r="AP274" i="41" s="1"/>
  <c r="AN282" i="44"/>
  <c r="AI275" i="41" s="1"/>
  <c r="AO282" i="44"/>
  <c r="AK275" i="41" s="1"/>
  <c r="AP282" i="44"/>
  <c r="AM275" i="41" s="1"/>
  <c r="AQ282" i="44"/>
  <c r="AO275" i="41" s="1"/>
  <c r="AR282" i="44"/>
  <c r="AH275" i="41" s="1"/>
  <c r="AS282" i="44"/>
  <c r="AJ275" i="41" s="1"/>
  <c r="AT282" i="44"/>
  <c r="AL275" i="41" s="1"/>
  <c r="AU282" i="44"/>
  <c r="AN275" i="41" s="1"/>
  <c r="AV282" i="44"/>
  <c r="AP275" i="41" s="1"/>
  <c r="AN283" i="44"/>
  <c r="AI276" i="41" s="1"/>
  <c r="AO283" i="44"/>
  <c r="AK276" i="41" s="1"/>
  <c r="AQ283" i="44"/>
  <c r="AO276" i="41" s="1"/>
  <c r="AR283" i="44"/>
  <c r="AH276" i="41" s="1"/>
  <c r="AT283" i="44"/>
  <c r="AL276" i="41" s="1"/>
  <c r="AU283" i="44"/>
  <c r="AN276" i="41" s="1"/>
  <c r="AV283" i="44"/>
  <c r="AP276" i="41" s="1"/>
  <c r="AN285" i="44"/>
  <c r="AI278" i="41" s="1"/>
  <c r="AO285" i="44"/>
  <c r="AK278" i="41" s="1"/>
  <c r="AP285" i="44"/>
  <c r="AM278" i="41" s="1"/>
  <c r="AR285" i="44"/>
  <c r="AH278" i="41" s="1"/>
  <c r="AT285" i="44"/>
  <c r="AL278" i="41" s="1"/>
  <c r="AU285" i="44"/>
  <c r="AN278" i="41" s="1"/>
  <c r="AV285" i="44"/>
  <c r="AP278" i="41" s="1"/>
  <c r="AM286" i="44"/>
  <c r="AG279" i="41" s="1"/>
  <c r="AN286" i="44"/>
  <c r="AI279" i="41" s="1"/>
  <c r="AO286" i="44"/>
  <c r="AK279" i="41" s="1"/>
  <c r="AP286" i="44"/>
  <c r="AM279" i="41" s="1"/>
  <c r="AQ286" i="44"/>
  <c r="AO279" i="41" s="1"/>
  <c r="AR286" i="44"/>
  <c r="AH279" i="41" s="1"/>
  <c r="AS286" i="44"/>
  <c r="AJ279" i="41" s="1"/>
  <c r="AT286" i="44"/>
  <c r="AL279" i="41" s="1"/>
  <c r="AU286" i="44"/>
  <c r="AN279" i="41" s="1"/>
  <c r="AV286" i="44"/>
  <c r="AP279" i="41" s="1"/>
  <c r="AM287" i="44"/>
  <c r="AG280" i="41" s="1"/>
  <c r="AN287" i="44"/>
  <c r="AI280" i="41" s="1"/>
  <c r="AO287" i="44"/>
  <c r="AK280" i="41" s="1"/>
  <c r="AP287" i="44"/>
  <c r="AM280" i="41" s="1"/>
  <c r="AQ287" i="44"/>
  <c r="AO280" i="41" s="1"/>
  <c r="AR287" i="44"/>
  <c r="AH280" i="41" s="1"/>
  <c r="AS287" i="44"/>
  <c r="AJ280" i="41" s="1"/>
  <c r="AT287" i="44"/>
  <c r="AL280" i="41" s="1"/>
  <c r="AU287" i="44"/>
  <c r="AN280" i="41" s="1"/>
  <c r="AV287" i="44"/>
  <c r="AP280" i="41" s="1"/>
  <c r="AM288" i="44"/>
  <c r="AG281" i="41" s="1"/>
  <c r="AN288" i="44"/>
  <c r="AI281" i="41" s="1"/>
  <c r="AO288" i="44"/>
  <c r="AK281" i="41" s="1"/>
  <c r="AP288" i="44"/>
  <c r="AM281" i="41" s="1"/>
  <c r="AQ288" i="44"/>
  <c r="AO281" i="41" s="1"/>
  <c r="AR288" i="44"/>
  <c r="AH281" i="41" s="1"/>
  <c r="AS288" i="44"/>
  <c r="AJ281" i="41" s="1"/>
  <c r="AT288" i="44"/>
  <c r="AL281" i="41" s="1"/>
  <c r="AU288" i="44"/>
  <c r="AN281" i="41" s="1"/>
  <c r="AV288" i="44"/>
  <c r="AP281" i="41" s="1"/>
  <c r="AM289" i="44"/>
  <c r="AG282" i="41" s="1"/>
  <c r="AN289" i="44"/>
  <c r="AI282" i="41" s="1"/>
  <c r="AO289" i="44"/>
  <c r="AK282" i="41" s="1"/>
  <c r="AP289" i="44"/>
  <c r="AM282" i="41" s="1"/>
  <c r="AQ289" i="44"/>
  <c r="AO282" i="41" s="1"/>
  <c r="AR289" i="44"/>
  <c r="AH282" i="41" s="1"/>
  <c r="AS289" i="44"/>
  <c r="AJ282" i="41" s="1"/>
  <c r="AT289" i="44"/>
  <c r="AL282" i="41" s="1"/>
  <c r="AU289" i="44"/>
  <c r="AN282" i="41" s="1"/>
  <c r="AV289" i="44"/>
  <c r="AP282" i="41" s="1"/>
  <c r="AM290" i="44"/>
  <c r="AG283" i="41" s="1"/>
  <c r="AN290" i="44"/>
  <c r="AI283" i="41" s="1"/>
  <c r="AO290" i="44"/>
  <c r="AK283" i="41" s="1"/>
  <c r="AP290" i="44"/>
  <c r="AM283" i="41" s="1"/>
  <c r="AQ290" i="44"/>
  <c r="AO283" i="41" s="1"/>
  <c r="AR290" i="44"/>
  <c r="AH283" i="41" s="1"/>
  <c r="AS290" i="44"/>
  <c r="AJ283" i="41" s="1"/>
  <c r="AT290" i="44"/>
  <c r="AL283" i="41" s="1"/>
  <c r="AU290" i="44"/>
  <c r="AN283" i="41" s="1"/>
  <c r="AV290" i="44"/>
  <c r="AP283" i="41" s="1"/>
  <c r="AM291" i="44"/>
  <c r="AG284" i="41" s="1"/>
  <c r="AN291" i="44"/>
  <c r="AI284" i="41" s="1"/>
  <c r="AO291" i="44"/>
  <c r="AK284" i="41" s="1"/>
  <c r="AP291" i="44"/>
  <c r="AM284" i="41" s="1"/>
  <c r="AQ291" i="44"/>
  <c r="AO284" i="41" s="1"/>
  <c r="AR291" i="44"/>
  <c r="AH284" i="41" s="1"/>
  <c r="AS291" i="44"/>
  <c r="AJ284" i="41" s="1"/>
  <c r="AT291" i="44"/>
  <c r="AL284" i="41" s="1"/>
  <c r="AU291" i="44"/>
  <c r="AN284" i="41" s="1"/>
  <c r="AV291" i="44"/>
  <c r="AP284" i="41" s="1"/>
  <c r="AM292" i="44"/>
  <c r="AG285" i="41" s="1"/>
  <c r="AN292" i="44"/>
  <c r="AI285" i="41" s="1"/>
  <c r="AO292" i="44"/>
  <c r="AK285" i="41" s="1"/>
  <c r="AP292" i="44"/>
  <c r="AM285" i="41" s="1"/>
  <c r="AQ292" i="44"/>
  <c r="AO285" i="41" s="1"/>
  <c r="AR292" i="44"/>
  <c r="AH285" i="41" s="1"/>
  <c r="AS292" i="44"/>
  <c r="AJ285" i="41" s="1"/>
  <c r="AT292" i="44"/>
  <c r="AL285" i="41" s="1"/>
  <c r="AU292" i="44"/>
  <c r="AN285" i="41" s="1"/>
  <c r="AV292" i="44"/>
  <c r="AP285" i="41" s="1"/>
  <c r="AM293" i="44"/>
  <c r="AG286" i="41" s="1"/>
  <c r="AN293" i="44"/>
  <c r="AI286" i="41" s="1"/>
  <c r="AO293" i="44"/>
  <c r="AK286" i="41" s="1"/>
  <c r="AP293" i="44"/>
  <c r="AM286" i="41" s="1"/>
  <c r="AQ293" i="44"/>
  <c r="AO286" i="41" s="1"/>
  <c r="AR293" i="44"/>
  <c r="AH286" i="41" s="1"/>
  <c r="AS293" i="44"/>
  <c r="AJ286" i="41" s="1"/>
  <c r="AT293" i="44"/>
  <c r="AL286" i="41" s="1"/>
  <c r="AU293" i="44"/>
  <c r="AN286" i="41" s="1"/>
  <c r="AV293" i="44"/>
  <c r="AP286" i="41" s="1"/>
  <c r="AN294" i="44"/>
  <c r="AI287" i="41" s="1"/>
  <c r="AO294" i="44"/>
  <c r="AK287" i="41" s="1"/>
  <c r="AP294" i="44"/>
  <c r="AM287" i="41" s="1"/>
  <c r="AQ294" i="44"/>
  <c r="AO287" i="41" s="1"/>
  <c r="AR294" i="44"/>
  <c r="AH287" i="41" s="1"/>
  <c r="AS294" i="44"/>
  <c r="AJ287" i="41" s="1"/>
  <c r="AT294" i="44"/>
  <c r="AL287" i="41" s="1"/>
  <c r="AU294" i="44"/>
  <c r="AN287" i="41" s="1"/>
  <c r="AV294" i="44"/>
  <c r="AP287" i="41" s="1"/>
  <c r="AN295" i="44"/>
  <c r="AI288" i="41" s="1"/>
  <c r="AO295" i="44"/>
  <c r="AK288" i="41" s="1"/>
  <c r="AQ295" i="44"/>
  <c r="AO288" i="41" s="1"/>
  <c r="AR295" i="44"/>
  <c r="AH288" i="41" s="1"/>
  <c r="AT295" i="44"/>
  <c r="AL288" i="41" s="1"/>
  <c r="AU295" i="44"/>
  <c r="AN288" i="41" s="1"/>
  <c r="AV295" i="44"/>
  <c r="AP288" i="41" s="1"/>
  <c r="AN297" i="44"/>
  <c r="AI290" i="41" s="1"/>
  <c r="AO297" i="44"/>
  <c r="AK290" i="41" s="1"/>
  <c r="AP297" i="44"/>
  <c r="AM290" i="41" s="1"/>
  <c r="AR297" i="44"/>
  <c r="AH290" i="41" s="1"/>
  <c r="AT297" i="44"/>
  <c r="AL290" i="41" s="1"/>
  <c r="AU297" i="44"/>
  <c r="AN290" i="41" s="1"/>
  <c r="AV297" i="44"/>
  <c r="AP290" i="41" s="1"/>
  <c r="AM298" i="44"/>
  <c r="AG291" i="41" s="1"/>
  <c r="AN298" i="44"/>
  <c r="AI291" i="41" s="1"/>
  <c r="AO298" i="44"/>
  <c r="AK291" i="41" s="1"/>
  <c r="AP298" i="44"/>
  <c r="AM291" i="41" s="1"/>
  <c r="AQ298" i="44"/>
  <c r="AO291" i="41" s="1"/>
  <c r="AR298" i="44"/>
  <c r="AH291" i="41" s="1"/>
  <c r="AS298" i="44"/>
  <c r="AJ291" i="41" s="1"/>
  <c r="AT298" i="44"/>
  <c r="AL291" i="41" s="1"/>
  <c r="AU298" i="44"/>
  <c r="AN291" i="41" s="1"/>
  <c r="AV298" i="44"/>
  <c r="AP291" i="41" s="1"/>
  <c r="AM299" i="44"/>
  <c r="AG292" i="41" s="1"/>
  <c r="AN299" i="44"/>
  <c r="AI292" i="41" s="1"/>
  <c r="AO299" i="44"/>
  <c r="AK292" i="41" s="1"/>
  <c r="AP299" i="44"/>
  <c r="AM292" i="41" s="1"/>
  <c r="AQ299" i="44"/>
  <c r="AO292" i="41" s="1"/>
  <c r="AR299" i="44"/>
  <c r="AH292" i="41" s="1"/>
  <c r="AS299" i="44"/>
  <c r="AJ292" i="41" s="1"/>
  <c r="AT299" i="44"/>
  <c r="AL292" i="41" s="1"/>
  <c r="AU299" i="44"/>
  <c r="AN292" i="41" s="1"/>
  <c r="AV299" i="44"/>
  <c r="AP292" i="41" s="1"/>
  <c r="AM300" i="44"/>
  <c r="AG293" i="41" s="1"/>
  <c r="AN300" i="44"/>
  <c r="AI293" i="41" s="1"/>
  <c r="AO300" i="44"/>
  <c r="AK293" i="41" s="1"/>
  <c r="AP300" i="44"/>
  <c r="AM293" i="41" s="1"/>
  <c r="AQ300" i="44"/>
  <c r="AO293" i="41" s="1"/>
  <c r="AR300" i="44"/>
  <c r="AH293" i="41" s="1"/>
  <c r="AS300" i="44"/>
  <c r="AJ293" i="41" s="1"/>
  <c r="AT300" i="44"/>
  <c r="AL293" i="41" s="1"/>
  <c r="AU300" i="44"/>
  <c r="AN293" i="41" s="1"/>
  <c r="AV300" i="44"/>
  <c r="AP293" i="41" s="1"/>
  <c r="AM301" i="44"/>
  <c r="AG294" i="41" s="1"/>
  <c r="AN301" i="44"/>
  <c r="AI294" i="41" s="1"/>
  <c r="AO301" i="44"/>
  <c r="AK294" i="41" s="1"/>
  <c r="AP301" i="44"/>
  <c r="AM294" i="41" s="1"/>
  <c r="AQ301" i="44"/>
  <c r="AO294" i="41" s="1"/>
  <c r="AR301" i="44"/>
  <c r="AH294" i="41" s="1"/>
  <c r="AS301" i="44"/>
  <c r="AJ294" i="41" s="1"/>
  <c r="AT301" i="44"/>
  <c r="AL294" i="41" s="1"/>
  <c r="AU301" i="44"/>
  <c r="AN294" i="41" s="1"/>
  <c r="AV301" i="44"/>
  <c r="AP294" i="41" s="1"/>
  <c r="AM302" i="44"/>
  <c r="AG295" i="41" s="1"/>
  <c r="AN302" i="44"/>
  <c r="AI295" i="41" s="1"/>
  <c r="AO302" i="44"/>
  <c r="AK295" i="41" s="1"/>
  <c r="AP302" i="44"/>
  <c r="AM295" i="41" s="1"/>
  <c r="AQ302" i="44"/>
  <c r="AO295" i="41" s="1"/>
  <c r="AR302" i="44"/>
  <c r="AH295" i="41" s="1"/>
  <c r="AS302" i="44"/>
  <c r="AJ295" i="41" s="1"/>
  <c r="AT302" i="44"/>
  <c r="AL295" i="41" s="1"/>
  <c r="AU302" i="44"/>
  <c r="AN295" i="41" s="1"/>
  <c r="AV302" i="44"/>
  <c r="AP295" i="41" s="1"/>
  <c r="AM303" i="44"/>
  <c r="AG296" i="41" s="1"/>
  <c r="AN303" i="44"/>
  <c r="AI296" i="41" s="1"/>
  <c r="AO303" i="44"/>
  <c r="AK296" i="41" s="1"/>
  <c r="AP303" i="44"/>
  <c r="AM296" i="41" s="1"/>
  <c r="AQ303" i="44"/>
  <c r="AO296" i="41" s="1"/>
  <c r="AR303" i="44"/>
  <c r="AH296" i="41" s="1"/>
  <c r="AS303" i="44"/>
  <c r="AJ296" i="41" s="1"/>
  <c r="AT303" i="44"/>
  <c r="AL296" i="41" s="1"/>
  <c r="AU303" i="44"/>
  <c r="AN296" i="41" s="1"/>
  <c r="AV303" i="44"/>
  <c r="AP296" i="41" s="1"/>
  <c r="AM304" i="44"/>
  <c r="AG297" i="41" s="1"/>
  <c r="AN304" i="44"/>
  <c r="AI297" i="41" s="1"/>
  <c r="AO304" i="44"/>
  <c r="AK297" i="41" s="1"/>
  <c r="AP304" i="44"/>
  <c r="AM297" i="41" s="1"/>
  <c r="AQ304" i="44"/>
  <c r="AO297" i="41" s="1"/>
  <c r="AR304" i="44"/>
  <c r="AH297" i="41" s="1"/>
  <c r="AS304" i="44"/>
  <c r="AJ297" i="41" s="1"/>
  <c r="AT304" i="44"/>
  <c r="AL297" i="41" s="1"/>
  <c r="AU304" i="44"/>
  <c r="AN297" i="41" s="1"/>
  <c r="AV304" i="44"/>
  <c r="AP297" i="41" s="1"/>
  <c r="AM305" i="44"/>
  <c r="AG298" i="41" s="1"/>
  <c r="AN305" i="44"/>
  <c r="AI298" i="41" s="1"/>
  <c r="AO305" i="44"/>
  <c r="AK298" i="41" s="1"/>
  <c r="AP305" i="44"/>
  <c r="AM298" i="41" s="1"/>
  <c r="AQ305" i="44"/>
  <c r="AO298" i="41" s="1"/>
  <c r="AR305" i="44"/>
  <c r="AH298" i="41" s="1"/>
  <c r="AS305" i="44"/>
  <c r="AJ298" i="41" s="1"/>
  <c r="AT305" i="44"/>
  <c r="AL298" i="41" s="1"/>
  <c r="AU305" i="44"/>
  <c r="AN298" i="41" s="1"/>
  <c r="AV305" i="44"/>
  <c r="AP298" i="41" s="1"/>
  <c r="AM306" i="44"/>
  <c r="AG299" i="41" s="1"/>
  <c r="AN306" i="44"/>
  <c r="AI299" i="41" s="1"/>
  <c r="AO306" i="44"/>
  <c r="AK299" i="41" s="1"/>
  <c r="AP306" i="44"/>
  <c r="AM299" i="41" s="1"/>
  <c r="AQ306" i="44"/>
  <c r="AO299" i="41" s="1"/>
  <c r="AR306" i="44"/>
  <c r="AH299" i="41" s="1"/>
  <c r="AS306" i="44"/>
  <c r="AJ299" i="41" s="1"/>
  <c r="AT306" i="44"/>
  <c r="AL299" i="41" s="1"/>
  <c r="AU306" i="44"/>
  <c r="AN299" i="41" s="1"/>
  <c r="AV306" i="44"/>
  <c r="AP299" i="41" s="1"/>
  <c r="AN307" i="44"/>
  <c r="AI300" i="41" s="1"/>
  <c r="AO307" i="44"/>
  <c r="AK300" i="41" s="1"/>
  <c r="AP307" i="44"/>
  <c r="AM300" i="41" s="1"/>
  <c r="AQ307" i="44"/>
  <c r="AO300" i="41" s="1"/>
  <c r="AR307" i="44"/>
  <c r="AH300" i="41" s="1"/>
  <c r="AT307" i="44"/>
  <c r="AL300" i="41" s="1"/>
  <c r="AU307" i="44"/>
  <c r="AN300" i="41" s="1"/>
  <c r="AV307" i="44"/>
  <c r="AP300" i="41" s="1"/>
  <c r="AN308" i="44"/>
  <c r="AI301" i="41" s="1"/>
  <c r="AT308" i="44"/>
  <c r="AL301" i="41" s="1"/>
  <c r="AN309" i="44"/>
  <c r="AI302" i="41" s="1"/>
  <c r="AO309" i="44"/>
  <c r="AK302" i="41" s="1"/>
  <c r="AP309" i="44"/>
  <c r="AM302" i="41" s="1"/>
  <c r="AR309" i="44"/>
  <c r="AH302" i="41" s="1"/>
  <c r="AT309" i="44"/>
  <c r="AL302" i="41" s="1"/>
  <c r="AU309" i="44"/>
  <c r="AN302" i="41" s="1"/>
  <c r="AV309" i="44"/>
  <c r="AP302" i="41" s="1"/>
  <c r="AM310" i="44"/>
  <c r="AG303" i="41" s="1"/>
  <c r="AN310" i="44"/>
  <c r="AI303" i="41" s="1"/>
  <c r="AO310" i="44"/>
  <c r="AK303" i="41" s="1"/>
  <c r="AP310" i="44"/>
  <c r="AM303" i="41" s="1"/>
  <c r="AQ310" i="44"/>
  <c r="AO303" i="41" s="1"/>
  <c r="AR310" i="44"/>
  <c r="AH303" i="41" s="1"/>
  <c r="AS310" i="44"/>
  <c r="AJ303" i="41" s="1"/>
  <c r="AT310" i="44"/>
  <c r="AL303" i="41" s="1"/>
  <c r="AU310" i="44"/>
  <c r="AN303" i="41" s="1"/>
  <c r="AV310" i="44"/>
  <c r="AP303" i="41" s="1"/>
  <c r="AM311" i="44"/>
  <c r="AG304" i="41" s="1"/>
  <c r="AN311" i="44"/>
  <c r="AI304" i="41" s="1"/>
  <c r="AO311" i="44"/>
  <c r="AK304" i="41" s="1"/>
  <c r="AP311" i="44"/>
  <c r="AM304" i="41" s="1"/>
  <c r="AQ311" i="44"/>
  <c r="AO304" i="41" s="1"/>
  <c r="AR311" i="44"/>
  <c r="AH304" i="41" s="1"/>
  <c r="AS311" i="44"/>
  <c r="AJ304" i="41" s="1"/>
  <c r="AT311" i="44"/>
  <c r="AL304" i="41" s="1"/>
  <c r="AU311" i="44"/>
  <c r="AN304" i="41" s="1"/>
  <c r="AV311" i="44"/>
  <c r="AP304" i="41" s="1"/>
  <c r="AM312" i="44"/>
  <c r="AG305" i="41" s="1"/>
  <c r="AN312" i="44"/>
  <c r="AI305" i="41" s="1"/>
  <c r="AO312" i="44"/>
  <c r="AK305" i="41" s="1"/>
  <c r="AP312" i="44"/>
  <c r="AM305" i="41" s="1"/>
  <c r="AQ312" i="44"/>
  <c r="AO305" i="41" s="1"/>
  <c r="AR312" i="44"/>
  <c r="AH305" i="41" s="1"/>
  <c r="AS312" i="44"/>
  <c r="AJ305" i="41" s="1"/>
  <c r="AT312" i="44"/>
  <c r="AL305" i="41" s="1"/>
  <c r="AU312" i="44"/>
  <c r="AN305" i="41" s="1"/>
  <c r="AV312" i="44"/>
  <c r="AP305" i="41" s="1"/>
  <c r="AM313" i="44"/>
  <c r="AG306" i="41" s="1"/>
  <c r="AN313" i="44"/>
  <c r="AI306" i="41" s="1"/>
  <c r="AO313" i="44"/>
  <c r="AK306" i="41" s="1"/>
  <c r="AP313" i="44"/>
  <c r="AM306" i="41" s="1"/>
  <c r="AQ313" i="44"/>
  <c r="AO306" i="41" s="1"/>
  <c r="AR313" i="44"/>
  <c r="AH306" i="41" s="1"/>
  <c r="AS313" i="44"/>
  <c r="AJ306" i="41" s="1"/>
  <c r="AT313" i="44"/>
  <c r="AL306" i="41" s="1"/>
  <c r="AU313" i="44"/>
  <c r="AN306" i="41" s="1"/>
  <c r="AV313" i="44"/>
  <c r="AP306" i="41" s="1"/>
  <c r="AM314" i="44"/>
  <c r="AG307" i="41" s="1"/>
  <c r="AN314" i="44"/>
  <c r="AI307" i="41" s="1"/>
  <c r="AO314" i="44"/>
  <c r="AK307" i="41" s="1"/>
  <c r="AP314" i="44"/>
  <c r="AM307" i="41" s="1"/>
  <c r="AQ314" i="44"/>
  <c r="AO307" i="41" s="1"/>
  <c r="AR314" i="44"/>
  <c r="AH307" i="41" s="1"/>
  <c r="AS314" i="44"/>
  <c r="AJ307" i="41" s="1"/>
  <c r="AT314" i="44"/>
  <c r="AL307" i="41" s="1"/>
  <c r="AU314" i="44"/>
  <c r="AN307" i="41" s="1"/>
  <c r="AV314" i="44"/>
  <c r="AP307" i="41" s="1"/>
  <c r="AM315" i="44"/>
  <c r="AG308" i="41" s="1"/>
  <c r="AN315" i="44"/>
  <c r="AI308" i="41" s="1"/>
  <c r="AO315" i="44"/>
  <c r="AK308" i="41" s="1"/>
  <c r="AP315" i="44"/>
  <c r="AM308" i="41" s="1"/>
  <c r="AQ315" i="44"/>
  <c r="AO308" i="41" s="1"/>
  <c r="AR315" i="44"/>
  <c r="AH308" i="41" s="1"/>
  <c r="AS315" i="44"/>
  <c r="AJ308" i="41" s="1"/>
  <c r="AT315" i="44"/>
  <c r="AL308" i="41" s="1"/>
  <c r="AU315" i="44"/>
  <c r="AN308" i="41" s="1"/>
  <c r="AV315" i="44"/>
  <c r="AP308" i="41" s="1"/>
  <c r="AM316" i="44"/>
  <c r="AG309" i="41" s="1"/>
  <c r="AN316" i="44"/>
  <c r="AI309" i="41" s="1"/>
  <c r="AO316" i="44"/>
  <c r="AK309" i="41" s="1"/>
  <c r="AP316" i="44"/>
  <c r="AM309" i="41" s="1"/>
  <c r="AQ316" i="44"/>
  <c r="AO309" i="41" s="1"/>
  <c r="AR316" i="44"/>
  <c r="AH309" i="41" s="1"/>
  <c r="AS316" i="44"/>
  <c r="AJ309" i="41" s="1"/>
  <c r="AT316" i="44"/>
  <c r="AL309" i="41" s="1"/>
  <c r="AU316" i="44"/>
  <c r="AN309" i="41" s="1"/>
  <c r="AV316" i="44"/>
  <c r="AP309" i="41" s="1"/>
  <c r="AM317" i="44"/>
  <c r="AG310" i="41" s="1"/>
  <c r="AN317" i="44"/>
  <c r="AI310" i="41" s="1"/>
  <c r="AO317" i="44"/>
  <c r="AK310" i="41" s="1"/>
  <c r="AP317" i="44"/>
  <c r="AM310" i="41" s="1"/>
  <c r="AQ317" i="44"/>
  <c r="AO310" i="41" s="1"/>
  <c r="AR317" i="44"/>
  <c r="AH310" i="41" s="1"/>
  <c r="AS317" i="44"/>
  <c r="AJ310" i="41" s="1"/>
  <c r="AT317" i="44"/>
  <c r="AL310" i="41" s="1"/>
  <c r="AU317" i="44"/>
  <c r="AN310" i="41" s="1"/>
  <c r="AV317" i="44"/>
  <c r="AP310" i="41" s="1"/>
  <c r="AN318" i="44"/>
  <c r="AI311" i="41" s="1"/>
  <c r="AO318" i="44"/>
  <c r="AK311" i="41" s="1"/>
  <c r="AP318" i="44"/>
  <c r="AM311" i="41" s="1"/>
  <c r="AQ318" i="44"/>
  <c r="AO311" i="41" s="1"/>
  <c r="AR318" i="44"/>
  <c r="AH311" i="41" s="1"/>
  <c r="AS318" i="44"/>
  <c r="AJ311" i="41" s="1"/>
  <c r="AT318" i="44"/>
  <c r="AL311" i="41" s="1"/>
  <c r="AU318" i="44"/>
  <c r="AN311" i="41" s="1"/>
  <c r="AV318" i="44"/>
  <c r="AP311" i="41" s="1"/>
  <c r="AN319" i="44"/>
  <c r="AI312" i="41" s="1"/>
  <c r="AO319" i="44"/>
  <c r="AK312" i="41" s="1"/>
  <c r="AQ319" i="44"/>
  <c r="AO312" i="41" s="1"/>
  <c r="AR319" i="44"/>
  <c r="AH312" i="41" s="1"/>
  <c r="AT319" i="44"/>
  <c r="AL312" i="41" s="1"/>
  <c r="AU319" i="44"/>
  <c r="AN312" i="41" s="1"/>
  <c r="AV319" i="44"/>
  <c r="AP312" i="41" s="1"/>
  <c r="AN321" i="44"/>
  <c r="AI314" i="41" s="1"/>
  <c r="AO321" i="44"/>
  <c r="AK314" i="41" s="1"/>
  <c r="AP321" i="44"/>
  <c r="AM314" i="41" s="1"/>
  <c r="AR321" i="44"/>
  <c r="AH314" i="41" s="1"/>
  <c r="AT321" i="44"/>
  <c r="AL314" i="41" s="1"/>
  <c r="AU321" i="44"/>
  <c r="AN314" i="41" s="1"/>
  <c r="AV321" i="44"/>
  <c r="AP314" i="41" s="1"/>
  <c r="AM322" i="44"/>
  <c r="AG315" i="41" s="1"/>
  <c r="AN322" i="44"/>
  <c r="AI315" i="41" s="1"/>
  <c r="AO322" i="44"/>
  <c r="AK315" i="41" s="1"/>
  <c r="AP322" i="44"/>
  <c r="AM315" i="41" s="1"/>
  <c r="AQ322" i="44"/>
  <c r="AO315" i="41" s="1"/>
  <c r="AR322" i="44"/>
  <c r="AH315" i="41" s="1"/>
  <c r="AS322" i="44"/>
  <c r="AJ315" i="41" s="1"/>
  <c r="AT322" i="44"/>
  <c r="AL315" i="41" s="1"/>
  <c r="AU322" i="44"/>
  <c r="AN315" i="41" s="1"/>
  <c r="AV322" i="44"/>
  <c r="AP315" i="41" s="1"/>
  <c r="AM323" i="44"/>
  <c r="AG316" i="41" s="1"/>
  <c r="AN323" i="44"/>
  <c r="AI316" i="41" s="1"/>
  <c r="AO323" i="44"/>
  <c r="AK316" i="41" s="1"/>
  <c r="AP323" i="44"/>
  <c r="AM316" i="41" s="1"/>
  <c r="AQ323" i="44"/>
  <c r="AO316" i="41" s="1"/>
  <c r="AR323" i="44"/>
  <c r="AH316" i="41" s="1"/>
  <c r="AS323" i="44"/>
  <c r="AJ316" i="41" s="1"/>
  <c r="AT323" i="44"/>
  <c r="AL316" i="41" s="1"/>
  <c r="AU323" i="44"/>
  <c r="AN316" i="41" s="1"/>
  <c r="AV323" i="44"/>
  <c r="AP316" i="41" s="1"/>
  <c r="AM324" i="44"/>
  <c r="AG317" i="41" s="1"/>
  <c r="AN324" i="44"/>
  <c r="AI317" i="41" s="1"/>
  <c r="AO324" i="44"/>
  <c r="AK317" i="41" s="1"/>
  <c r="AP324" i="44"/>
  <c r="AM317" i="41" s="1"/>
  <c r="AQ324" i="44"/>
  <c r="AO317" i="41" s="1"/>
  <c r="AR324" i="44"/>
  <c r="AH317" i="41" s="1"/>
  <c r="AS324" i="44"/>
  <c r="AJ317" i="41" s="1"/>
  <c r="AT324" i="44"/>
  <c r="AL317" i="41" s="1"/>
  <c r="AU324" i="44"/>
  <c r="AN317" i="41" s="1"/>
  <c r="AV324" i="44"/>
  <c r="AP317" i="41" s="1"/>
  <c r="AM325" i="44"/>
  <c r="AG318" i="41" s="1"/>
  <c r="AN325" i="44"/>
  <c r="AI318" i="41" s="1"/>
  <c r="AO325" i="44"/>
  <c r="AK318" i="41" s="1"/>
  <c r="AP325" i="44"/>
  <c r="AM318" i="41" s="1"/>
  <c r="AQ325" i="44"/>
  <c r="AO318" i="41" s="1"/>
  <c r="AR325" i="44"/>
  <c r="AH318" i="41" s="1"/>
  <c r="AS325" i="44"/>
  <c r="AJ318" i="41" s="1"/>
  <c r="AT325" i="44"/>
  <c r="AL318" i="41" s="1"/>
  <c r="AU325" i="44"/>
  <c r="AN318" i="41" s="1"/>
  <c r="AV325" i="44"/>
  <c r="AP318" i="41" s="1"/>
  <c r="AM326" i="44"/>
  <c r="AG319" i="41" s="1"/>
  <c r="AN326" i="44"/>
  <c r="AI319" i="41" s="1"/>
  <c r="AO326" i="44"/>
  <c r="AK319" i="41" s="1"/>
  <c r="AP326" i="44"/>
  <c r="AM319" i="41" s="1"/>
  <c r="AQ326" i="44"/>
  <c r="AO319" i="41" s="1"/>
  <c r="AR326" i="44"/>
  <c r="AH319" i="41" s="1"/>
  <c r="AS326" i="44"/>
  <c r="AJ319" i="41" s="1"/>
  <c r="AT326" i="44"/>
  <c r="AL319" i="41" s="1"/>
  <c r="AU326" i="44"/>
  <c r="AN319" i="41" s="1"/>
  <c r="AV326" i="44"/>
  <c r="AP319" i="41" s="1"/>
  <c r="AM327" i="44"/>
  <c r="AG320" i="41" s="1"/>
  <c r="AN327" i="44"/>
  <c r="AI320" i="41" s="1"/>
  <c r="AO327" i="44"/>
  <c r="AK320" i="41" s="1"/>
  <c r="AP327" i="44"/>
  <c r="AM320" i="41" s="1"/>
  <c r="AQ327" i="44"/>
  <c r="AO320" i="41" s="1"/>
  <c r="AR327" i="44"/>
  <c r="AH320" i="41" s="1"/>
  <c r="AS327" i="44"/>
  <c r="AJ320" i="41" s="1"/>
  <c r="AT327" i="44"/>
  <c r="AL320" i="41" s="1"/>
  <c r="AU327" i="44"/>
  <c r="AN320" i="41" s="1"/>
  <c r="AV327" i="44"/>
  <c r="AP320" i="41" s="1"/>
  <c r="AM328" i="44"/>
  <c r="AG321" i="41" s="1"/>
  <c r="AN328" i="44"/>
  <c r="AI321" i="41" s="1"/>
  <c r="AO328" i="44"/>
  <c r="AK321" i="41" s="1"/>
  <c r="AP328" i="44"/>
  <c r="AM321" i="41" s="1"/>
  <c r="AQ328" i="44"/>
  <c r="AO321" i="41" s="1"/>
  <c r="AR328" i="44"/>
  <c r="AH321" i="41" s="1"/>
  <c r="AS328" i="44"/>
  <c r="AJ321" i="41" s="1"/>
  <c r="AT328" i="44"/>
  <c r="AL321" i="41" s="1"/>
  <c r="AU328" i="44"/>
  <c r="AN321" i="41" s="1"/>
  <c r="AV328" i="44"/>
  <c r="AP321" i="41" s="1"/>
  <c r="AM329" i="44"/>
  <c r="AG322" i="41" s="1"/>
  <c r="AN329" i="44"/>
  <c r="AI322" i="41" s="1"/>
  <c r="AO329" i="44"/>
  <c r="AK322" i="41" s="1"/>
  <c r="AP329" i="44"/>
  <c r="AM322" i="41" s="1"/>
  <c r="AQ329" i="44"/>
  <c r="AO322" i="41" s="1"/>
  <c r="AR329" i="44"/>
  <c r="AH322" i="41" s="1"/>
  <c r="AS329" i="44"/>
  <c r="AJ322" i="41" s="1"/>
  <c r="AT329" i="44"/>
  <c r="AL322" i="41" s="1"/>
  <c r="AU329" i="44"/>
  <c r="AN322" i="41" s="1"/>
  <c r="AV329" i="44"/>
  <c r="AP322" i="41" s="1"/>
  <c r="AN330" i="44"/>
  <c r="AI323" i="41" s="1"/>
  <c r="AO330" i="44"/>
  <c r="AK323" i="41" s="1"/>
  <c r="AP330" i="44"/>
  <c r="AM323" i="41" s="1"/>
  <c r="AQ330" i="44"/>
  <c r="AO323" i="41" s="1"/>
  <c r="AR330" i="44"/>
  <c r="AH323" i="41" s="1"/>
  <c r="AS330" i="44"/>
  <c r="AJ323" i="41" s="1"/>
  <c r="AT330" i="44"/>
  <c r="AL323" i="41" s="1"/>
  <c r="AU330" i="44"/>
  <c r="AN323" i="41" s="1"/>
  <c r="AV330" i="44"/>
  <c r="AP323" i="41" s="1"/>
  <c r="AN331" i="44"/>
  <c r="AI324" i="41" s="1"/>
  <c r="AO331" i="44"/>
  <c r="AK324" i="41" s="1"/>
  <c r="AP331" i="44"/>
  <c r="AM324" i="41" s="1"/>
  <c r="AQ331" i="44"/>
  <c r="AO324" i="41" s="1"/>
  <c r="AR331" i="44"/>
  <c r="AH324" i="41" s="1"/>
  <c r="AT331" i="44"/>
  <c r="AL324" i="41" s="1"/>
  <c r="AU331" i="44"/>
  <c r="AN324" i="41" s="1"/>
  <c r="AV331" i="44"/>
  <c r="AP324" i="41" s="1"/>
  <c r="AN333" i="44"/>
  <c r="AI326" i="41" s="1"/>
  <c r="AO333" i="44"/>
  <c r="AK326" i="41" s="1"/>
  <c r="AP333" i="44"/>
  <c r="AM326" i="41" s="1"/>
  <c r="AR333" i="44"/>
  <c r="AH326" i="41" s="1"/>
  <c r="AT333" i="44"/>
  <c r="AL326" i="41" s="1"/>
  <c r="AU333" i="44"/>
  <c r="AN326" i="41" s="1"/>
  <c r="AV333" i="44"/>
  <c r="AP326" i="41" s="1"/>
  <c r="AM334" i="44"/>
  <c r="AG327" i="41" s="1"/>
  <c r="AN334" i="44"/>
  <c r="AI327" i="41" s="1"/>
  <c r="AO334" i="44"/>
  <c r="AK327" i="41" s="1"/>
  <c r="AP334" i="44"/>
  <c r="AM327" i="41" s="1"/>
  <c r="AQ334" i="44"/>
  <c r="AO327" i="41" s="1"/>
  <c r="AR334" i="44"/>
  <c r="AH327" i="41" s="1"/>
  <c r="AS334" i="44"/>
  <c r="AJ327" i="41" s="1"/>
  <c r="AT334" i="44"/>
  <c r="AL327" i="41" s="1"/>
  <c r="AU334" i="44"/>
  <c r="AN327" i="41" s="1"/>
  <c r="AV334" i="44"/>
  <c r="AP327" i="41" s="1"/>
  <c r="AM335" i="44"/>
  <c r="AG328" i="41" s="1"/>
  <c r="AN335" i="44"/>
  <c r="AI328" i="41" s="1"/>
  <c r="AO335" i="44"/>
  <c r="AK328" i="41" s="1"/>
  <c r="AP335" i="44"/>
  <c r="AM328" i="41" s="1"/>
  <c r="AQ335" i="44"/>
  <c r="AO328" i="41" s="1"/>
  <c r="AR335" i="44"/>
  <c r="AH328" i="41" s="1"/>
  <c r="AS335" i="44"/>
  <c r="AJ328" i="41" s="1"/>
  <c r="AT335" i="44"/>
  <c r="AL328" i="41" s="1"/>
  <c r="AU335" i="44"/>
  <c r="AN328" i="41" s="1"/>
  <c r="AV335" i="44"/>
  <c r="AP328" i="41" s="1"/>
  <c r="AM336" i="44"/>
  <c r="AG329" i="41" s="1"/>
  <c r="AN336" i="44"/>
  <c r="AI329" i="41" s="1"/>
  <c r="AO336" i="44"/>
  <c r="AK329" i="41" s="1"/>
  <c r="AP336" i="44"/>
  <c r="AM329" i="41" s="1"/>
  <c r="AQ336" i="44"/>
  <c r="AO329" i="41" s="1"/>
  <c r="AR336" i="44"/>
  <c r="AH329" i="41" s="1"/>
  <c r="AS336" i="44"/>
  <c r="AJ329" i="41" s="1"/>
  <c r="AT336" i="44"/>
  <c r="AL329" i="41" s="1"/>
  <c r="AU336" i="44"/>
  <c r="AN329" i="41" s="1"/>
  <c r="AV336" i="44"/>
  <c r="AP329" i="41" s="1"/>
  <c r="AM337" i="44"/>
  <c r="AG330" i="41" s="1"/>
  <c r="AN337" i="44"/>
  <c r="AI330" i="41" s="1"/>
  <c r="AO337" i="44"/>
  <c r="AK330" i="41" s="1"/>
  <c r="AP337" i="44"/>
  <c r="AM330" i="41" s="1"/>
  <c r="AQ337" i="44"/>
  <c r="AO330" i="41" s="1"/>
  <c r="AR337" i="44"/>
  <c r="AH330" i="41" s="1"/>
  <c r="AS337" i="44"/>
  <c r="AJ330" i="41" s="1"/>
  <c r="AT337" i="44"/>
  <c r="AL330" i="41" s="1"/>
  <c r="AU337" i="44"/>
  <c r="AN330" i="41" s="1"/>
  <c r="AV337" i="44"/>
  <c r="AP330" i="41" s="1"/>
  <c r="AM338" i="44"/>
  <c r="AG331" i="41" s="1"/>
  <c r="AN338" i="44"/>
  <c r="AI331" i="41" s="1"/>
  <c r="AO338" i="44"/>
  <c r="AK331" i="41" s="1"/>
  <c r="AP338" i="44"/>
  <c r="AM331" i="41" s="1"/>
  <c r="AQ338" i="44"/>
  <c r="AO331" i="41" s="1"/>
  <c r="AR338" i="44"/>
  <c r="AH331" i="41" s="1"/>
  <c r="AS338" i="44"/>
  <c r="AJ331" i="41" s="1"/>
  <c r="AT338" i="44"/>
  <c r="AL331" i="41" s="1"/>
  <c r="AU338" i="44"/>
  <c r="AN331" i="41" s="1"/>
  <c r="AV338" i="44"/>
  <c r="AP331" i="41" s="1"/>
  <c r="AM339" i="44"/>
  <c r="AG332" i="41" s="1"/>
  <c r="AN339" i="44"/>
  <c r="AI332" i="41" s="1"/>
  <c r="AO339" i="44"/>
  <c r="AK332" i="41" s="1"/>
  <c r="AP339" i="44"/>
  <c r="AM332" i="41" s="1"/>
  <c r="AQ339" i="44"/>
  <c r="AO332" i="41" s="1"/>
  <c r="AR339" i="44"/>
  <c r="AH332" i="41" s="1"/>
  <c r="AS339" i="44"/>
  <c r="AJ332" i="41" s="1"/>
  <c r="AT339" i="44"/>
  <c r="AL332" i="41" s="1"/>
  <c r="AU339" i="44"/>
  <c r="AN332" i="41" s="1"/>
  <c r="AV339" i="44"/>
  <c r="AP332" i="41" s="1"/>
  <c r="AM340" i="44"/>
  <c r="AG333" i="41" s="1"/>
  <c r="AN340" i="44"/>
  <c r="AI333" i="41" s="1"/>
  <c r="AO340" i="44"/>
  <c r="AK333" i="41" s="1"/>
  <c r="AP340" i="44"/>
  <c r="AM333" i="41" s="1"/>
  <c r="AQ340" i="44"/>
  <c r="AO333" i="41" s="1"/>
  <c r="AR340" i="44"/>
  <c r="AH333" i="41" s="1"/>
  <c r="AS340" i="44"/>
  <c r="AJ333" i="41" s="1"/>
  <c r="AT340" i="44"/>
  <c r="AL333" i="41" s="1"/>
  <c r="AU340" i="44"/>
  <c r="AN333" i="41" s="1"/>
  <c r="AV340" i="44"/>
  <c r="AP333" i="41" s="1"/>
  <c r="AM341" i="44"/>
  <c r="AG334" i="41" s="1"/>
  <c r="AN341" i="44"/>
  <c r="AI334" i="41" s="1"/>
  <c r="AO341" i="44"/>
  <c r="AK334" i="41" s="1"/>
  <c r="AP341" i="44"/>
  <c r="AM334" i="41" s="1"/>
  <c r="AQ341" i="44"/>
  <c r="AO334" i="41" s="1"/>
  <c r="AR341" i="44"/>
  <c r="AH334" i="41" s="1"/>
  <c r="AS341" i="44"/>
  <c r="AJ334" i="41" s="1"/>
  <c r="AT341" i="44"/>
  <c r="AL334" i="41" s="1"/>
  <c r="AU341" i="44"/>
  <c r="AN334" i="41" s="1"/>
  <c r="AV341" i="44"/>
  <c r="AP334" i="41" s="1"/>
  <c r="AN342" i="44"/>
  <c r="AI335" i="41" s="1"/>
  <c r="AO342" i="44"/>
  <c r="AK335" i="41" s="1"/>
  <c r="AP342" i="44"/>
  <c r="AM335" i="41" s="1"/>
  <c r="AQ342" i="44"/>
  <c r="AO335" i="41" s="1"/>
  <c r="AR342" i="44"/>
  <c r="AH335" i="41" s="1"/>
  <c r="AS342" i="44"/>
  <c r="AJ335" i="41" s="1"/>
  <c r="AT342" i="44"/>
  <c r="AL335" i="41" s="1"/>
  <c r="AU342" i="44"/>
  <c r="AN335" i="41" s="1"/>
  <c r="AV342" i="44"/>
  <c r="AP335" i="41" s="1"/>
  <c r="AN343" i="44"/>
  <c r="AI336" i="41" s="1"/>
  <c r="AO343" i="44"/>
  <c r="AK336" i="41" s="1"/>
  <c r="AQ343" i="44"/>
  <c r="AO336" i="41" s="1"/>
  <c r="AR343" i="44"/>
  <c r="AH336" i="41" s="1"/>
  <c r="AT343" i="44"/>
  <c r="AL336" i="41" s="1"/>
  <c r="AU343" i="44"/>
  <c r="AN336" i="41" s="1"/>
  <c r="AV343" i="44"/>
  <c r="AP336" i="41" s="1"/>
  <c r="AN344" i="44"/>
  <c r="AI337" i="41" s="1"/>
  <c r="AN345" i="44"/>
  <c r="AI338" i="41" s="1"/>
  <c r="AO345" i="44"/>
  <c r="AK338" i="41" s="1"/>
  <c r="AP345" i="44"/>
  <c r="AM338" i="41" s="1"/>
  <c r="AR345" i="44"/>
  <c r="AH338" i="41" s="1"/>
  <c r="AT345" i="44"/>
  <c r="AL338" i="41" s="1"/>
  <c r="AU345" i="44"/>
  <c r="AN338" i="41" s="1"/>
  <c r="AV345" i="44"/>
  <c r="AP338" i="41" s="1"/>
  <c r="AM346" i="44"/>
  <c r="AG339" i="41" s="1"/>
  <c r="AN346" i="44"/>
  <c r="AI339" i="41" s="1"/>
  <c r="AO346" i="44"/>
  <c r="AK339" i="41" s="1"/>
  <c r="AP346" i="44"/>
  <c r="AM339" i="41" s="1"/>
  <c r="AQ346" i="44"/>
  <c r="AO339" i="41" s="1"/>
  <c r="AR346" i="44"/>
  <c r="AH339" i="41" s="1"/>
  <c r="AS346" i="44"/>
  <c r="AJ339" i="41" s="1"/>
  <c r="AT346" i="44"/>
  <c r="AL339" i="41" s="1"/>
  <c r="AU346" i="44"/>
  <c r="AN339" i="41" s="1"/>
  <c r="AV346" i="44"/>
  <c r="AP339" i="41" s="1"/>
  <c r="AM347" i="44"/>
  <c r="AG340" i="41" s="1"/>
  <c r="AN347" i="44"/>
  <c r="AI340" i="41" s="1"/>
  <c r="AO347" i="44"/>
  <c r="AK340" i="41" s="1"/>
  <c r="AP347" i="44"/>
  <c r="AM340" i="41" s="1"/>
  <c r="AQ347" i="44"/>
  <c r="AO340" i="41" s="1"/>
  <c r="AR347" i="44"/>
  <c r="AH340" i="41" s="1"/>
  <c r="AS347" i="44"/>
  <c r="AJ340" i="41" s="1"/>
  <c r="AT347" i="44"/>
  <c r="AL340" i="41" s="1"/>
  <c r="AU347" i="44"/>
  <c r="AN340" i="41" s="1"/>
  <c r="AV347" i="44"/>
  <c r="AP340" i="41" s="1"/>
  <c r="AM348" i="44"/>
  <c r="AG341" i="41" s="1"/>
  <c r="AN348" i="44"/>
  <c r="AI341" i="41" s="1"/>
  <c r="AO348" i="44"/>
  <c r="AK341" i="41" s="1"/>
  <c r="AP348" i="44"/>
  <c r="AM341" i="41" s="1"/>
  <c r="AQ348" i="44"/>
  <c r="AO341" i="41" s="1"/>
  <c r="AR348" i="44"/>
  <c r="AH341" i="41" s="1"/>
  <c r="AS348" i="44"/>
  <c r="AJ341" i="41" s="1"/>
  <c r="AT348" i="44"/>
  <c r="AL341" i="41" s="1"/>
  <c r="AU348" i="44"/>
  <c r="AN341" i="41" s="1"/>
  <c r="AV348" i="44"/>
  <c r="AP341" i="41" s="1"/>
  <c r="AM349" i="44"/>
  <c r="AG342" i="41" s="1"/>
  <c r="AN349" i="44"/>
  <c r="AI342" i="41" s="1"/>
  <c r="AO349" i="44"/>
  <c r="AK342" i="41" s="1"/>
  <c r="AP349" i="44"/>
  <c r="AM342" i="41" s="1"/>
  <c r="AQ349" i="44"/>
  <c r="AO342" i="41" s="1"/>
  <c r="AR349" i="44"/>
  <c r="AH342" i="41" s="1"/>
  <c r="AS349" i="44"/>
  <c r="AJ342" i="41" s="1"/>
  <c r="AT349" i="44"/>
  <c r="AL342" i="41" s="1"/>
  <c r="AU349" i="44"/>
  <c r="AN342" i="41" s="1"/>
  <c r="AV349" i="44"/>
  <c r="AP342" i="41" s="1"/>
  <c r="AM350" i="44"/>
  <c r="AG343" i="41" s="1"/>
  <c r="AN350" i="44"/>
  <c r="AI343" i="41" s="1"/>
  <c r="AO350" i="44"/>
  <c r="AK343" i="41" s="1"/>
  <c r="AP350" i="44"/>
  <c r="AM343" i="41" s="1"/>
  <c r="AQ350" i="44"/>
  <c r="AO343" i="41" s="1"/>
  <c r="AR350" i="44"/>
  <c r="AH343" i="41" s="1"/>
  <c r="AS350" i="44"/>
  <c r="AJ343" i="41" s="1"/>
  <c r="AT350" i="44"/>
  <c r="AL343" i="41" s="1"/>
  <c r="AU350" i="44"/>
  <c r="AN343" i="41" s="1"/>
  <c r="AV350" i="44"/>
  <c r="AP343" i="41" s="1"/>
  <c r="AM351" i="44"/>
  <c r="AG344" i="41" s="1"/>
  <c r="AN351" i="44"/>
  <c r="AI344" i="41" s="1"/>
  <c r="AO351" i="44"/>
  <c r="AK344" i="41" s="1"/>
  <c r="AP351" i="44"/>
  <c r="AM344" i="41" s="1"/>
  <c r="AQ351" i="44"/>
  <c r="AO344" i="41" s="1"/>
  <c r="AR351" i="44"/>
  <c r="AH344" i="41" s="1"/>
  <c r="AS351" i="44"/>
  <c r="AJ344" i="41" s="1"/>
  <c r="AT351" i="44"/>
  <c r="AL344" i="41" s="1"/>
  <c r="AU351" i="44"/>
  <c r="AN344" i="41" s="1"/>
  <c r="AV351" i="44"/>
  <c r="AP344" i="41" s="1"/>
  <c r="AM352" i="44"/>
  <c r="AG345" i="41" s="1"/>
  <c r="AN352" i="44"/>
  <c r="AI345" i="41" s="1"/>
  <c r="AO352" i="44"/>
  <c r="AK345" i="41" s="1"/>
  <c r="AP352" i="44"/>
  <c r="AM345" i="41" s="1"/>
  <c r="AQ352" i="44"/>
  <c r="AO345" i="41" s="1"/>
  <c r="AR352" i="44"/>
  <c r="AH345" i="41" s="1"/>
  <c r="AS352" i="44"/>
  <c r="AJ345" i="41" s="1"/>
  <c r="AT352" i="44"/>
  <c r="AL345" i="41" s="1"/>
  <c r="AU352" i="44"/>
  <c r="AN345" i="41" s="1"/>
  <c r="AV352" i="44"/>
  <c r="AP345" i="41" s="1"/>
  <c r="AM353" i="44"/>
  <c r="AG346" i="41" s="1"/>
  <c r="AN353" i="44"/>
  <c r="AI346" i="41" s="1"/>
  <c r="AO353" i="44"/>
  <c r="AK346" i="41" s="1"/>
  <c r="AP353" i="44"/>
  <c r="AM346" i="41" s="1"/>
  <c r="AQ353" i="44"/>
  <c r="AO346" i="41" s="1"/>
  <c r="AR353" i="44"/>
  <c r="AH346" i="41" s="1"/>
  <c r="AS353" i="44"/>
  <c r="AJ346" i="41" s="1"/>
  <c r="AT353" i="44"/>
  <c r="AL346" i="41" s="1"/>
  <c r="AU353" i="44"/>
  <c r="AN346" i="41" s="1"/>
  <c r="AV353" i="44"/>
  <c r="AP346" i="41" s="1"/>
  <c r="AN354" i="44"/>
  <c r="AI347" i="41" s="1"/>
  <c r="AO354" i="44"/>
  <c r="AK347" i="41" s="1"/>
  <c r="AP354" i="44"/>
  <c r="AM347" i="41" s="1"/>
  <c r="AQ354" i="44"/>
  <c r="AO347" i="41" s="1"/>
  <c r="AR354" i="44"/>
  <c r="AH347" i="41" s="1"/>
  <c r="AS354" i="44"/>
  <c r="AJ347" i="41" s="1"/>
  <c r="AT354" i="44"/>
  <c r="AL347" i="41" s="1"/>
  <c r="AU354" i="44"/>
  <c r="AN347" i="41" s="1"/>
  <c r="AV354" i="44"/>
  <c r="AP347" i="41" s="1"/>
  <c r="AN9" i="44"/>
  <c r="AO9" i="44"/>
  <c r="AP9" i="44"/>
  <c r="AQ9" i="44"/>
  <c r="AR9" i="44"/>
  <c r="AS9" i="44"/>
  <c r="AT9" i="44"/>
  <c r="AU9" i="44"/>
  <c r="AV9" i="44"/>
  <c r="AM9" i="44"/>
  <c r="AN8" i="44"/>
  <c r="AO8" i="44"/>
  <c r="AP8" i="44"/>
  <c r="AQ8" i="44"/>
  <c r="AR8" i="44"/>
  <c r="AS8" i="44"/>
  <c r="AT8" i="44"/>
  <c r="AU8" i="44"/>
  <c r="AV8" i="44"/>
  <c r="AM8" i="44"/>
  <c r="Z10" i="44"/>
  <c r="Z11" i="44"/>
  <c r="Z12" i="44"/>
  <c r="Z13" i="44"/>
  <c r="Z14" i="44"/>
  <c r="Z15" i="44"/>
  <c r="Z16" i="44"/>
  <c r="Z17" i="44"/>
  <c r="Z18" i="44"/>
  <c r="Z21" i="44"/>
  <c r="Z22" i="44"/>
  <c r="Z23" i="44"/>
  <c r="Z24" i="44"/>
  <c r="Z25" i="44"/>
  <c r="Z26" i="44"/>
  <c r="Z27" i="44"/>
  <c r="Z28" i="44"/>
  <c r="Z29" i="44"/>
  <c r="Z30" i="44"/>
  <c r="Z33" i="44"/>
  <c r="Z34" i="44"/>
  <c r="Z35" i="44"/>
  <c r="Z36" i="44"/>
  <c r="Z37" i="44"/>
  <c r="Z38" i="44"/>
  <c r="Z39" i="44"/>
  <c r="Z40" i="44"/>
  <c r="Z41" i="44"/>
  <c r="Z42" i="44"/>
  <c r="Z45" i="44"/>
  <c r="Z46" i="44"/>
  <c r="Z47" i="44"/>
  <c r="Z48" i="44"/>
  <c r="Z49" i="44"/>
  <c r="Z50" i="44"/>
  <c r="Z51" i="44"/>
  <c r="Z52" i="44"/>
  <c r="Z53" i="44"/>
  <c r="Z54" i="44"/>
  <c r="Z57" i="44"/>
  <c r="Z58" i="44"/>
  <c r="Z59" i="44"/>
  <c r="Z60" i="44"/>
  <c r="Z61" i="44"/>
  <c r="Z62" i="44"/>
  <c r="Z63" i="44"/>
  <c r="Z64" i="44"/>
  <c r="Z65" i="44"/>
  <c r="Z66" i="44"/>
  <c r="Z69" i="44"/>
  <c r="Z70" i="44"/>
  <c r="Z71" i="44"/>
  <c r="Z72" i="44"/>
  <c r="Z73" i="44"/>
  <c r="Z74" i="44"/>
  <c r="Z75" i="44"/>
  <c r="Z76" i="44"/>
  <c r="Z77" i="44"/>
  <c r="Z78" i="44"/>
  <c r="Z81" i="44"/>
  <c r="Z82" i="44"/>
  <c r="Z83" i="44"/>
  <c r="Z84" i="44"/>
  <c r="Z85" i="44"/>
  <c r="Z86" i="44"/>
  <c r="Z87" i="44"/>
  <c r="Z88" i="44"/>
  <c r="Z89" i="44"/>
  <c r="Z90" i="44"/>
  <c r="Z93" i="44"/>
  <c r="Z94" i="44"/>
  <c r="Z95" i="44"/>
  <c r="Z96" i="44"/>
  <c r="Z97" i="44"/>
  <c r="Z98" i="44"/>
  <c r="Z99" i="44"/>
  <c r="Z100" i="44"/>
  <c r="Z101" i="44"/>
  <c r="Z102" i="44"/>
  <c r="Z103" i="44"/>
  <c r="Z105" i="44"/>
  <c r="Z106" i="44"/>
  <c r="Z107" i="44"/>
  <c r="Z108" i="44"/>
  <c r="Z109" i="44"/>
  <c r="Z110" i="44"/>
  <c r="Z111" i="44"/>
  <c r="Z112" i="44"/>
  <c r="Z113" i="44"/>
  <c r="Z114" i="44"/>
  <c r="Z115" i="44"/>
  <c r="Z117" i="44"/>
  <c r="Z118" i="44"/>
  <c r="Z119" i="44"/>
  <c r="Z120" i="44"/>
  <c r="Z121" i="44"/>
  <c r="Z122" i="44"/>
  <c r="Z123" i="44"/>
  <c r="Z124" i="44"/>
  <c r="Z125" i="44"/>
  <c r="Z126" i="44"/>
  <c r="Z127" i="44"/>
  <c r="Z129" i="44"/>
  <c r="Z130" i="44"/>
  <c r="Z131" i="44"/>
  <c r="Z132" i="44"/>
  <c r="Z133" i="44"/>
  <c r="Z134" i="44"/>
  <c r="Z135" i="44"/>
  <c r="Z136" i="44"/>
  <c r="Z137" i="44"/>
  <c r="Z138" i="44"/>
  <c r="Z139" i="44"/>
  <c r="Z141" i="44"/>
  <c r="Z142" i="44"/>
  <c r="Z143" i="44"/>
  <c r="Z144" i="44"/>
  <c r="Z145" i="44"/>
  <c r="Z146" i="44"/>
  <c r="Z147" i="44"/>
  <c r="Z148" i="44"/>
  <c r="Z149" i="44"/>
  <c r="Z150" i="44"/>
  <c r="Z151" i="44"/>
  <c r="Z153" i="44"/>
  <c r="Z154" i="44"/>
  <c r="Z155" i="44"/>
  <c r="Z156" i="44"/>
  <c r="Z157" i="44"/>
  <c r="Z158" i="44"/>
  <c r="Z160" i="44"/>
  <c r="Z161" i="44"/>
  <c r="Z162" i="44"/>
  <c r="Z163" i="44"/>
  <c r="Z165" i="44"/>
  <c r="Z166" i="44"/>
  <c r="Z167" i="44"/>
  <c r="Z168" i="44"/>
  <c r="Z169" i="44"/>
  <c r="Z170" i="44"/>
  <c r="Z172" i="44"/>
  <c r="Z173" i="44"/>
  <c r="Z174" i="44"/>
  <c r="Z175" i="44"/>
  <c r="Z177" i="44"/>
  <c r="Z178" i="44"/>
  <c r="Z179" i="44"/>
  <c r="Z180" i="44"/>
  <c r="Z181" i="44"/>
  <c r="Z182" i="44"/>
  <c r="Z184" i="44"/>
  <c r="Z185" i="44"/>
  <c r="Z186" i="44"/>
  <c r="Z187" i="44"/>
  <c r="Z189" i="44"/>
  <c r="Z190" i="44"/>
  <c r="Z191" i="44"/>
  <c r="Z192" i="44"/>
  <c r="Z193" i="44"/>
  <c r="Z194" i="44"/>
  <c r="Z196" i="44"/>
  <c r="Z197" i="44"/>
  <c r="Z198" i="44"/>
  <c r="Z199" i="44"/>
  <c r="Z201" i="44"/>
  <c r="Z202" i="44"/>
  <c r="Z203" i="44"/>
  <c r="Z204" i="44"/>
  <c r="Z205" i="44"/>
  <c r="Z206" i="44"/>
  <c r="Z208" i="44"/>
  <c r="Z209" i="44"/>
  <c r="Z210" i="44"/>
  <c r="Z211" i="44"/>
  <c r="Z213" i="44"/>
  <c r="Z214" i="44"/>
  <c r="Z215" i="44"/>
  <c r="Z216" i="44"/>
  <c r="Z217" i="44"/>
  <c r="Z218" i="44"/>
  <c r="Z220" i="44"/>
  <c r="Z221" i="44"/>
  <c r="Z222" i="44"/>
  <c r="Z223" i="44"/>
  <c r="Z225" i="44"/>
  <c r="Z226" i="44"/>
  <c r="Z227" i="44"/>
  <c r="Z228" i="44"/>
  <c r="Z229" i="44"/>
  <c r="Z230" i="44"/>
  <c r="Z232" i="44"/>
  <c r="Z233" i="44"/>
  <c r="Z234" i="44"/>
  <c r="Z235" i="44"/>
  <c r="Z237" i="44"/>
  <c r="Z238" i="44"/>
  <c r="Z239" i="44"/>
  <c r="Z240" i="44"/>
  <c r="Z241" i="44"/>
  <c r="Z242" i="44"/>
  <c r="Z244" i="44"/>
  <c r="Z245" i="44"/>
  <c r="Z246" i="44"/>
  <c r="Z247" i="44"/>
  <c r="Z249" i="44"/>
  <c r="Z250" i="44"/>
  <c r="Z251" i="44"/>
  <c r="Z252" i="44"/>
  <c r="Z253" i="44"/>
  <c r="Z254" i="44"/>
  <c r="Z256" i="44"/>
  <c r="Z257" i="44"/>
  <c r="Z258" i="44"/>
  <c r="Z259" i="44"/>
  <c r="Z260" i="44"/>
  <c r="Z261" i="44"/>
  <c r="Z262" i="44"/>
  <c r="Z263" i="44"/>
  <c r="Z264" i="44"/>
  <c r="Z265" i="44"/>
  <c r="Z266" i="44"/>
  <c r="Z268" i="44"/>
  <c r="Z269" i="44"/>
  <c r="Z270" i="44"/>
  <c r="Z271" i="44"/>
  <c r="Z273" i="44"/>
  <c r="Z274" i="44"/>
  <c r="Z275" i="44"/>
  <c r="Z276" i="44"/>
  <c r="Z277" i="44"/>
  <c r="Z278" i="44"/>
  <c r="Z280" i="44"/>
  <c r="Z281" i="44"/>
  <c r="Z282" i="44"/>
  <c r="Z283" i="44"/>
  <c r="Z285" i="44"/>
  <c r="Z286" i="44"/>
  <c r="Z287" i="44"/>
  <c r="Z288" i="44"/>
  <c r="Z289" i="44"/>
  <c r="Z290" i="44"/>
  <c r="Z292" i="44"/>
  <c r="Z293" i="44"/>
  <c r="Z294" i="44"/>
  <c r="Z295" i="44"/>
  <c r="Z297" i="44"/>
  <c r="Z298" i="44"/>
  <c r="Z299" i="44"/>
  <c r="Z300" i="44"/>
  <c r="Z301" i="44"/>
  <c r="Z302" i="44"/>
  <c r="Z304" i="44"/>
  <c r="Z305" i="44"/>
  <c r="Z306" i="44"/>
  <c r="Z307" i="44"/>
  <c r="Z309" i="44"/>
  <c r="Z310" i="44"/>
  <c r="Z311" i="44"/>
  <c r="Z312" i="44"/>
  <c r="Z313" i="44"/>
  <c r="Z314" i="44"/>
  <c r="Z316" i="44"/>
  <c r="Z317" i="44"/>
  <c r="Z318" i="44"/>
  <c r="Z319" i="44"/>
  <c r="Z321" i="44"/>
  <c r="Z322" i="44"/>
  <c r="Z323" i="44"/>
  <c r="Z324" i="44"/>
  <c r="Z325" i="44"/>
  <c r="Z326" i="44"/>
  <c r="Z328" i="44"/>
  <c r="Z329" i="44"/>
  <c r="Z330" i="44"/>
  <c r="Z331" i="44"/>
  <c r="Z333" i="44"/>
  <c r="Z334" i="44"/>
  <c r="Z335" i="44"/>
  <c r="Z336" i="44"/>
  <c r="Z337" i="44"/>
  <c r="Z338" i="44"/>
  <c r="Z340" i="44"/>
  <c r="Z341" i="44"/>
  <c r="Z342" i="44"/>
  <c r="Z343" i="44"/>
  <c r="Z345" i="44"/>
  <c r="Z346" i="44"/>
  <c r="Z347" i="44"/>
  <c r="Z348" i="44"/>
  <c r="Z349" i="44"/>
  <c r="Z350" i="44"/>
  <c r="Z352" i="44"/>
  <c r="Z353" i="44"/>
  <c r="Z354" i="44"/>
  <c r="Z9" i="44"/>
  <c r="T10" i="44"/>
  <c r="U10" i="44"/>
  <c r="V10" i="44"/>
  <c r="T11" i="44"/>
  <c r="U11" i="44"/>
  <c r="V11" i="44"/>
  <c r="T12" i="44"/>
  <c r="U12" i="44"/>
  <c r="V12" i="44"/>
  <c r="T13" i="44"/>
  <c r="U13" i="44"/>
  <c r="V13" i="44"/>
  <c r="T14" i="44"/>
  <c r="U14" i="44"/>
  <c r="V14" i="44"/>
  <c r="T15" i="44"/>
  <c r="U15" i="44"/>
  <c r="V15" i="44"/>
  <c r="T16" i="44"/>
  <c r="U16" i="44"/>
  <c r="V16" i="44"/>
  <c r="T17" i="44"/>
  <c r="U17" i="44"/>
  <c r="V17" i="44"/>
  <c r="T18" i="44"/>
  <c r="U18" i="44"/>
  <c r="V18" i="44"/>
  <c r="T19" i="44"/>
  <c r="U19" i="44"/>
  <c r="V19" i="44"/>
  <c r="T20" i="44"/>
  <c r="U20" i="44"/>
  <c r="T21" i="44"/>
  <c r="U21" i="44"/>
  <c r="V21" i="44"/>
  <c r="T22" i="44"/>
  <c r="U22" i="44"/>
  <c r="V22" i="44"/>
  <c r="T23" i="44"/>
  <c r="U23" i="44"/>
  <c r="V23" i="44"/>
  <c r="T24" i="44"/>
  <c r="U24" i="44"/>
  <c r="V24" i="44"/>
  <c r="T25" i="44"/>
  <c r="U25" i="44"/>
  <c r="V25" i="44"/>
  <c r="T26" i="44"/>
  <c r="U26" i="44"/>
  <c r="V26" i="44"/>
  <c r="T27" i="44"/>
  <c r="U27" i="44"/>
  <c r="V27" i="44"/>
  <c r="T28" i="44"/>
  <c r="U28" i="44"/>
  <c r="V28" i="44"/>
  <c r="T29" i="44"/>
  <c r="U29" i="44"/>
  <c r="V29" i="44"/>
  <c r="T30" i="44"/>
  <c r="U30" i="44"/>
  <c r="V30" i="44"/>
  <c r="T31" i="44"/>
  <c r="U31" i="44"/>
  <c r="V31" i="44"/>
  <c r="T32" i="44"/>
  <c r="U32" i="44"/>
  <c r="T33" i="44"/>
  <c r="U33" i="44"/>
  <c r="V33" i="44"/>
  <c r="T34" i="44"/>
  <c r="U34" i="44"/>
  <c r="V34" i="44"/>
  <c r="T35" i="44"/>
  <c r="U35" i="44"/>
  <c r="V35" i="44"/>
  <c r="T36" i="44"/>
  <c r="U36" i="44"/>
  <c r="V36" i="44"/>
  <c r="T37" i="44"/>
  <c r="U37" i="44"/>
  <c r="V37" i="44"/>
  <c r="T38" i="44"/>
  <c r="U38" i="44"/>
  <c r="V38" i="44"/>
  <c r="T39" i="44"/>
  <c r="U39" i="44"/>
  <c r="V39" i="44"/>
  <c r="T40" i="44"/>
  <c r="U40" i="44"/>
  <c r="V40" i="44"/>
  <c r="T41" i="44"/>
  <c r="U41" i="44"/>
  <c r="V41" i="44"/>
  <c r="T42" i="44"/>
  <c r="U42" i="44"/>
  <c r="V42" i="44"/>
  <c r="T43" i="44"/>
  <c r="U43" i="44"/>
  <c r="V43" i="44"/>
  <c r="T44" i="44"/>
  <c r="U44" i="44"/>
  <c r="T45" i="44"/>
  <c r="U45" i="44"/>
  <c r="V45" i="44"/>
  <c r="T46" i="44"/>
  <c r="U46" i="44"/>
  <c r="V46" i="44"/>
  <c r="T47" i="44"/>
  <c r="U47" i="44"/>
  <c r="V47" i="44"/>
  <c r="T48" i="44"/>
  <c r="U48" i="44"/>
  <c r="V48" i="44"/>
  <c r="T49" i="44"/>
  <c r="U49" i="44"/>
  <c r="V49" i="44"/>
  <c r="T50" i="44"/>
  <c r="U50" i="44"/>
  <c r="V50" i="44"/>
  <c r="T51" i="44"/>
  <c r="U51" i="44"/>
  <c r="V51" i="44"/>
  <c r="T52" i="44"/>
  <c r="U52" i="44"/>
  <c r="V52" i="44"/>
  <c r="T53" i="44"/>
  <c r="U53" i="44"/>
  <c r="V53" i="44"/>
  <c r="T54" i="44"/>
  <c r="U54" i="44"/>
  <c r="V54" i="44"/>
  <c r="T55" i="44"/>
  <c r="U55" i="44"/>
  <c r="V55" i="44"/>
  <c r="T56" i="44"/>
  <c r="U56" i="44"/>
  <c r="T57" i="44"/>
  <c r="U57" i="44"/>
  <c r="V57" i="44"/>
  <c r="T58" i="44"/>
  <c r="U58" i="44"/>
  <c r="V58" i="44"/>
  <c r="T59" i="44"/>
  <c r="U59" i="44"/>
  <c r="V59" i="44"/>
  <c r="T60" i="44"/>
  <c r="U60" i="44"/>
  <c r="V60" i="44"/>
  <c r="T61" i="44"/>
  <c r="U61" i="44"/>
  <c r="V61" i="44"/>
  <c r="T62" i="44"/>
  <c r="U62" i="44"/>
  <c r="V62" i="44"/>
  <c r="T63" i="44"/>
  <c r="U63" i="44"/>
  <c r="V63" i="44"/>
  <c r="T64" i="44"/>
  <c r="U64" i="44"/>
  <c r="V64" i="44"/>
  <c r="T65" i="44"/>
  <c r="U65" i="44"/>
  <c r="V65" i="44"/>
  <c r="T66" i="44"/>
  <c r="U66" i="44"/>
  <c r="V66" i="44"/>
  <c r="T67" i="44"/>
  <c r="U67" i="44"/>
  <c r="V67" i="44"/>
  <c r="T68" i="44"/>
  <c r="U68" i="44"/>
  <c r="T69" i="44"/>
  <c r="U69" i="44"/>
  <c r="V69" i="44"/>
  <c r="T70" i="44"/>
  <c r="U70" i="44"/>
  <c r="V70" i="44"/>
  <c r="T71" i="44"/>
  <c r="U71" i="44"/>
  <c r="V71" i="44"/>
  <c r="T72" i="44"/>
  <c r="U72" i="44"/>
  <c r="V72" i="44"/>
  <c r="T73" i="44"/>
  <c r="U73" i="44"/>
  <c r="V73" i="44"/>
  <c r="T74" i="44"/>
  <c r="U74" i="44"/>
  <c r="V74" i="44"/>
  <c r="T75" i="44"/>
  <c r="U75" i="44"/>
  <c r="V75" i="44"/>
  <c r="T76" i="44"/>
  <c r="U76" i="44"/>
  <c r="V76" i="44"/>
  <c r="T77" i="44"/>
  <c r="U77" i="44"/>
  <c r="V77" i="44"/>
  <c r="T78" i="44"/>
  <c r="U78" i="44"/>
  <c r="V78" i="44"/>
  <c r="T79" i="44"/>
  <c r="U79" i="44"/>
  <c r="V79" i="44"/>
  <c r="T80" i="44"/>
  <c r="U80" i="44"/>
  <c r="T81" i="44"/>
  <c r="U81" i="44"/>
  <c r="V81" i="44"/>
  <c r="T82" i="44"/>
  <c r="U82" i="44"/>
  <c r="V82" i="44"/>
  <c r="T83" i="44"/>
  <c r="U83" i="44"/>
  <c r="V83" i="44"/>
  <c r="T84" i="44"/>
  <c r="U84" i="44"/>
  <c r="V84" i="44"/>
  <c r="T85" i="44"/>
  <c r="U85" i="44"/>
  <c r="V85" i="44"/>
  <c r="T86" i="44"/>
  <c r="U86" i="44"/>
  <c r="V86" i="44"/>
  <c r="T87" i="44"/>
  <c r="U87" i="44"/>
  <c r="V87" i="44"/>
  <c r="T88" i="44"/>
  <c r="U88" i="44"/>
  <c r="V88" i="44"/>
  <c r="T89" i="44"/>
  <c r="U89" i="44"/>
  <c r="V89" i="44"/>
  <c r="T90" i="44"/>
  <c r="U90" i="44"/>
  <c r="V90" i="44"/>
  <c r="T91" i="44"/>
  <c r="U91" i="44"/>
  <c r="V91" i="44"/>
  <c r="T92" i="44"/>
  <c r="U92" i="44"/>
  <c r="T93" i="44"/>
  <c r="U93" i="44"/>
  <c r="V93" i="44"/>
  <c r="T94" i="44"/>
  <c r="U94" i="44"/>
  <c r="V94" i="44"/>
  <c r="T95" i="44"/>
  <c r="U95" i="44"/>
  <c r="V95" i="44"/>
  <c r="T96" i="44"/>
  <c r="U96" i="44"/>
  <c r="V96" i="44"/>
  <c r="T97" i="44"/>
  <c r="U97" i="44"/>
  <c r="V97" i="44"/>
  <c r="T98" i="44"/>
  <c r="U98" i="44"/>
  <c r="V98" i="44"/>
  <c r="T99" i="44"/>
  <c r="U99" i="44"/>
  <c r="V99" i="44"/>
  <c r="T100" i="44"/>
  <c r="U100" i="44"/>
  <c r="V100" i="44"/>
  <c r="T101" i="44"/>
  <c r="U101" i="44"/>
  <c r="V101" i="44"/>
  <c r="T102" i="44"/>
  <c r="U102" i="44"/>
  <c r="V102" i="44"/>
  <c r="T103" i="44"/>
  <c r="U103" i="44"/>
  <c r="V103" i="44"/>
  <c r="T104" i="44"/>
  <c r="U104" i="44"/>
  <c r="T105" i="44"/>
  <c r="U105" i="44"/>
  <c r="V105" i="44"/>
  <c r="T106" i="44"/>
  <c r="U106" i="44"/>
  <c r="V106" i="44"/>
  <c r="T107" i="44"/>
  <c r="U107" i="44"/>
  <c r="V107" i="44"/>
  <c r="T108" i="44"/>
  <c r="U108" i="44"/>
  <c r="V108" i="44"/>
  <c r="T109" i="44"/>
  <c r="U109" i="44"/>
  <c r="V109" i="44"/>
  <c r="T110" i="44"/>
  <c r="U110" i="44"/>
  <c r="V110" i="44"/>
  <c r="T111" i="44"/>
  <c r="U111" i="44"/>
  <c r="V111" i="44"/>
  <c r="T112" i="44"/>
  <c r="U112" i="44"/>
  <c r="V112" i="44"/>
  <c r="T113" i="44"/>
  <c r="U113" i="44"/>
  <c r="V113" i="44"/>
  <c r="T114" i="44"/>
  <c r="U114" i="44"/>
  <c r="V114" i="44"/>
  <c r="T115" i="44"/>
  <c r="U115" i="44"/>
  <c r="V115" i="44"/>
  <c r="T116" i="44"/>
  <c r="U116" i="44"/>
  <c r="T117" i="44"/>
  <c r="U117" i="44"/>
  <c r="V117" i="44"/>
  <c r="T118" i="44"/>
  <c r="U118" i="44"/>
  <c r="V118" i="44"/>
  <c r="T119" i="44"/>
  <c r="U119" i="44"/>
  <c r="V119" i="44"/>
  <c r="T120" i="44"/>
  <c r="U120" i="44"/>
  <c r="V120" i="44"/>
  <c r="T121" i="44"/>
  <c r="U121" i="44"/>
  <c r="V121" i="44"/>
  <c r="T122" i="44"/>
  <c r="U122" i="44"/>
  <c r="V122" i="44"/>
  <c r="T123" i="44"/>
  <c r="U123" i="44"/>
  <c r="V123" i="44"/>
  <c r="T124" i="44"/>
  <c r="U124" i="44"/>
  <c r="V124" i="44"/>
  <c r="T125" i="44"/>
  <c r="U125" i="44"/>
  <c r="V125" i="44"/>
  <c r="T126" i="44"/>
  <c r="U126" i="44"/>
  <c r="V126" i="44"/>
  <c r="T127" i="44"/>
  <c r="U127" i="44"/>
  <c r="V127" i="44"/>
  <c r="T128" i="44"/>
  <c r="U128" i="44"/>
  <c r="T129" i="44"/>
  <c r="U129" i="44"/>
  <c r="V129" i="44"/>
  <c r="T130" i="44"/>
  <c r="U130" i="44"/>
  <c r="V130" i="44"/>
  <c r="T131" i="44"/>
  <c r="U131" i="44"/>
  <c r="V131" i="44"/>
  <c r="T132" i="44"/>
  <c r="U132" i="44"/>
  <c r="V132" i="44"/>
  <c r="T133" i="44"/>
  <c r="U133" i="44"/>
  <c r="V133" i="44"/>
  <c r="T134" i="44"/>
  <c r="U134" i="44"/>
  <c r="V134" i="44"/>
  <c r="T135" i="44"/>
  <c r="U135" i="44"/>
  <c r="V135" i="44"/>
  <c r="T136" i="44"/>
  <c r="U136" i="44"/>
  <c r="V136" i="44"/>
  <c r="T137" i="44"/>
  <c r="U137" i="44"/>
  <c r="V137" i="44"/>
  <c r="T138" i="44"/>
  <c r="U138" i="44"/>
  <c r="V138" i="44"/>
  <c r="T139" i="44"/>
  <c r="U139" i="44"/>
  <c r="V139" i="44"/>
  <c r="T140" i="44"/>
  <c r="U140" i="44"/>
  <c r="T141" i="44"/>
  <c r="U141" i="44"/>
  <c r="V141" i="44"/>
  <c r="T142" i="44"/>
  <c r="U142" i="44"/>
  <c r="V142" i="44"/>
  <c r="T143" i="44"/>
  <c r="U143" i="44"/>
  <c r="V143" i="44"/>
  <c r="T144" i="44"/>
  <c r="U144" i="44"/>
  <c r="V144" i="44"/>
  <c r="T145" i="44"/>
  <c r="U145" i="44"/>
  <c r="V145" i="44"/>
  <c r="T146" i="44"/>
  <c r="U146" i="44"/>
  <c r="V146" i="44"/>
  <c r="T147" i="44"/>
  <c r="U147" i="44"/>
  <c r="V147" i="44"/>
  <c r="T148" i="44"/>
  <c r="U148" i="44"/>
  <c r="V148" i="44"/>
  <c r="T149" i="44"/>
  <c r="U149" i="44"/>
  <c r="V149" i="44"/>
  <c r="T150" i="44"/>
  <c r="U150" i="44"/>
  <c r="V150" i="44"/>
  <c r="T151" i="44"/>
  <c r="U151" i="44"/>
  <c r="V151" i="44"/>
  <c r="T152" i="44"/>
  <c r="U152" i="44"/>
  <c r="T153" i="44"/>
  <c r="U153" i="44"/>
  <c r="V153" i="44"/>
  <c r="T154" i="44"/>
  <c r="U154" i="44"/>
  <c r="V154" i="44"/>
  <c r="T155" i="44"/>
  <c r="U155" i="44"/>
  <c r="V155" i="44"/>
  <c r="T156" i="44"/>
  <c r="U156" i="44"/>
  <c r="V156" i="44"/>
  <c r="T157" i="44"/>
  <c r="U157" i="44"/>
  <c r="V157" i="44"/>
  <c r="T158" i="44"/>
  <c r="U158" i="44"/>
  <c r="V158" i="44"/>
  <c r="T159" i="44"/>
  <c r="U159" i="44"/>
  <c r="V159" i="44"/>
  <c r="T160" i="44"/>
  <c r="U160" i="44"/>
  <c r="V160" i="44"/>
  <c r="T161" i="44"/>
  <c r="U161" i="44"/>
  <c r="V161" i="44"/>
  <c r="T162" i="44"/>
  <c r="U162" i="44"/>
  <c r="V162" i="44"/>
  <c r="T163" i="44"/>
  <c r="U163" i="44"/>
  <c r="V163" i="44"/>
  <c r="T164" i="44"/>
  <c r="U164" i="44"/>
  <c r="T165" i="44"/>
  <c r="U165" i="44"/>
  <c r="V165" i="44"/>
  <c r="T166" i="44"/>
  <c r="U166" i="44"/>
  <c r="V166" i="44"/>
  <c r="T167" i="44"/>
  <c r="U167" i="44"/>
  <c r="V167" i="44"/>
  <c r="T168" i="44"/>
  <c r="U168" i="44"/>
  <c r="V168" i="44"/>
  <c r="T169" i="44"/>
  <c r="U169" i="44"/>
  <c r="V169" i="44"/>
  <c r="T170" i="44"/>
  <c r="U170" i="44"/>
  <c r="V170" i="44"/>
  <c r="T171" i="44"/>
  <c r="U171" i="44"/>
  <c r="V171" i="44"/>
  <c r="T172" i="44"/>
  <c r="U172" i="44"/>
  <c r="V172" i="44"/>
  <c r="T173" i="44"/>
  <c r="U173" i="44"/>
  <c r="V173" i="44"/>
  <c r="T174" i="44"/>
  <c r="U174" i="44"/>
  <c r="V174" i="44"/>
  <c r="T175" i="44"/>
  <c r="U175" i="44"/>
  <c r="V175" i="44"/>
  <c r="T176" i="44"/>
  <c r="U176" i="44"/>
  <c r="T177" i="44"/>
  <c r="U177" i="44"/>
  <c r="V177" i="44"/>
  <c r="T178" i="44"/>
  <c r="U178" i="44"/>
  <c r="V178" i="44"/>
  <c r="T179" i="44"/>
  <c r="U179" i="44"/>
  <c r="V179" i="44"/>
  <c r="T180" i="44"/>
  <c r="U180" i="44"/>
  <c r="V180" i="44"/>
  <c r="T181" i="44"/>
  <c r="U181" i="44"/>
  <c r="V181" i="44"/>
  <c r="T182" i="44"/>
  <c r="U182" i="44"/>
  <c r="V182" i="44"/>
  <c r="T183" i="44"/>
  <c r="U183" i="44"/>
  <c r="V183" i="44"/>
  <c r="T184" i="44"/>
  <c r="U184" i="44"/>
  <c r="V184" i="44"/>
  <c r="T185" i="44"/>
  <c r="U185" i="44"/>
  <c r="V185" i="44"/>
  <c r="T186" i="44"/>
  <c r="U186" i="44"/>
  <c r="V186" i="44"/>
  <c r="T187" i="44"/>
  <c r="U187" i="44"/>
  <c r="V187" i="44"/>
  <c r="T188" i="44"/>
  <c r="U188" i="44"/>
  <c r="T189" i="44"/>
  <c r="U189" i="44"/>
  <c r="V189" i="44"/>
  <c r="T190" i="44"/>
  <c r="U190" i="44"/>
  <c r="V190" i="44"/>
  <c r="T191" i="44"/>
  <c r="U191" i="44"/>
  <c r="V191" i="44"/>
  <c r="T192" i="44"/>
  <c r="U192" i="44"/>
  <c r="V192" i="44"/>
  <c r="T193" i="44"/>
  <c r="U193" i="44"/>
  <c r="V193" i="44"/>
  <c r="T194" i="44"/>
  <c r="U194" i="44"/>
  <c r="V194" i="44"/>
  <c r="T195" i="44"/>
  <c r="U195" i="44"/>
  <c r="V195" i="44"/>
  <c r="T196" i="44"/>
  <c r="U196" i="44"/>
  <c r="V196" i="44"/>
  <c r="T197" i="44"/>
  <c r="U197" i="44"/>
  <c r="V197" i="44"/>
  <c r="T198" i="44"/>
  <c r="U198" i="44"/>
  <c r="V198" i="44"/>
  <c r="T199" i="44"/>
  <c r="U199" i="44"/>
  <c r="V199" i="44"/>
  <c r="T200" i="44"/>
  <c r="U200" i="44"/>
  <c r="T201" i="44"/>
  <c r="U201" i="44"/>
  <c r="V201" i="44"/>
  <c r="T202" i="44"/>
  <c r="U202" i="44"/>
  <c r="V202" i="44"/>
  <c r="T203" i="44"/>
  <c r="U203" i="44"/>
  <c r="V203" i="44"/>
  <c r="T204" i="44"/>
  <c r="U204" i="44"/>
  <c r="V204" i="44"/>
  <c r="T205" i="44"/>
  <c r="U205" i="44"/>
  <c r="V205" i="44"/>
  <c r="T206" i="44"/>
  <c r="U206" i="44"/>
  <c r="V206" i="44"/>
  <c r="T207" i="44"/>
  <c r="U207" i="44"/>
  <c r="V207" i="44"/>
  <c r="T208" i="44"/>
  <c r="U208" i="44"/>
  <c r="V208" i="44"/>
  <c r="T209" i="44"/>
  <c r="U209" i="44"/>
  <c r="V209" i="44"/>
  <c r="T210" i="44"/>
  <c r="U210" i="44"/>
  <c r="V210" i="44"/>
  <c r="T211" i="44"/>
  <c r="U211" i="44"/>
  <c r="V211" i="44"/>
  <c r="T212" i="44"/>
  <c r="U212" i="44"/>
  <c r="T213" i="44"/>
  <c r="U213" i="44"/>
  <c r="V213" i="44"/>
  <c r="T214" i="44"/>
  <c r="U214" i="44"/>
  <c r="V214" i="44"/>
  <c r="T215" i="44"/>
  <c r="U215" i="44"/>
  <c r="V215" i="44"/>
  <c r="T216" i="44"/>
  <c r="U216" i="44"/>
  <c r="V216" i="44"/>
  <c r="T217" i="44"/>
  <c r="U217" i="44"/>
  <c r="V217" i="44"/>
  <c r="T218" i="44"/>
  <c r="U218" i="44"/>
  <c r="V218" i="44"/>
  <c r="T219" i="44"/>
  <c r="U219" i="44"/>
  <c r="V219" i="44"/>
  <c r="T220" i="44"/>
  <c r="U220" i="44"/>
  <c r="V220" i="44"/>
  <c r="T221" i="44"/>
  <c r="U221" i="44"/>
  <c r="V221" i="44"/>
  <c r="T222" i="44"/>
  <c r="U222" i="44"/>
  <c r="V222" i="44"/>
  <c r="T223" i="44"/>
  <c r="U223" i="44"/>
  <c r="V223" i="44"/>
  <c r="T224" i="44"/>
  <c r="U224" i="44"/>
  <c r="T225" i="44"/>
  <c r="U225" i="44"/>
  <c r="V225" i="44"/>
  <c r="T226" i="44"/>
  <c r="U226" i="44"/>
  <c r="V226" i="44"/>
  <c r="T227" i="44"/>
  <c r="U227" i="44"/>
  <c r="V227" i="44"/>
  <c r="T228" i="44"/>
  <c r="U228" i="44"/>
  <c r="V228" i="44"/>
  <c r="T229" i="44"/>
  <c r="U229" i="44"/>
  <c r="V229" i="44"/>
  <c r="T230" i="44"/>
  <c r="U230" i="44"/>
  <c r="V230" i="44"/>
  <c r="T231" i="44"/>
  <c r="U231" i="44"/>
  <c r="V231" i="44"/>
  <c r="T232" i="44"/>
  <c r="U232" i="44"/>
  <c r="V232" i="44"/>
  <c r="T233" i="44"/>
  <c r="U233" i="44"/>
  <c r="V233" i="44"/>
  <c r="T234" i="44"/>
  <c r="U234" i="44"/>
  <c r="V234" i="44"/>
  <c r="T235" i="44"/>
  <c r="U235" i="44"/>
  <c r="V235" i="44"/>
  <c r="T236" i="44"/>
  <c r="U236" i="44"/>
  <c r="T237" i="44"/>
  <c r="U237" i="44"/>
  <c r="V237" i="44"/>
  <c r="T238" i="44"/>
  <c r="U238" i="44"/>
  <c r="V238" i="44"/>
  <c r="T239" i="44"/>
  <c r="U239" i="44"/>
  <c r="V239" i="44"/>
  <c r="T240" i="44"/>
  <c r="U240" i="44"/>
  <c r="V240" i="44"/>
  <c r="T241" i="44"/>
  <c r="U241" i="44"/>
  <c r="V241" i="44"/>
  <c r="T242" i="44"/>
  <c r="U242" i="44"/>
  <c r="V242" i="44"/>
  <c r="T243" i="44"/>
  <c r="U243" i="44"/>
  <c r="V243" i="44"/>
  <c r="T244" i="44"/>
  <c r="U244" i="44"/>
  <c r="V244" i="44"/>
  <c r="T245" i="44"/>
  <c r="U245" i="44"/>
  <c r="V245" i="44"/>
  <c r="T246" i="44"/>
  <c r="U246" i="44"/>
  <c r="V246" i="44"/>
  <c r="T247" i="44"/>
  <c r="U247" i="44"/>
  <c r="V247" i="44"/>
  <c r="T248" i="44"/>
  <c r="U248" i="44"/>
  <c r="T249" i="44"/>
  <c r="U249" i="44"/>
  <c r="V249" i="44"/>
  <c r="T250" i="44"/>
  <c r="U250" i="44"/>
  <c r="V250" i="44"/>
  <c r="T251" i="44"/>
  <c r="U251" i="44"/>
  <c r="V251" i="44"/>
  <c r="T252" i="44"/>
  <c r="U252" i="44"/>
  <c r="V252" i="44"/>
  <c r="T253" i="44"/>
  <c r="U253" i="44"/>
  <c r="V253" i="44"/>
  <c r="T254" i="44"/>
  <c r="U254" i="44"/>
  <c r="V254" i="44"/>
  <c r="T255" i="44"/>
  <c r="U255" i="44"/>
  <c r="V255" i="44"/>
  <c r="T256" i="44"/>
  <c r="U256" i="44"/>
  <c r="V256" i="44"/>
  <c r="T257" i="44"/>
  <c r="U257" i="44"/>
  <c r="V257" i="44"/>
  <c r="T258" i="44"/>
  <c r="U258" i="44"/>
  <c r="V258" i="44"/>
  <c r="T259" i="44"/>
  <c r="U259" i="44"/>
  <c r="V259" i="44"/>
  <c r="T260" i="44"/>
  <c r="U260" i="44"/>
  <c r="T261" i="44"/>
  <c r="U261" i="44"/>
  <c r="V261" i="44"/>
  <c r="T262" i="44"/>
  <c r="U262" i="44"/>
  <c r="V262" i="44"/>
  <c r="T263" i="44"/>
  <c r="U263" i="44"/>
  <c r="V263" i="44"/>
  <c r="T264" i="44"/>
  <c r="U264" i="44"/>
  <c r="V264" i="44"/>
  <c r="T265" i="44"/>
  <c r="U265" i="44"/>
  <c r="V265" i="44"/>
  <c r="T266" i="44"/>
  <c r="U266" i="44"/>
  <c r="V266" i="44"/>
  <c r="T267" i="44"/>
  <c r="U267" i="44"/>
  <c r="V267" i="44"/>
  <c r="T268" i="44"/>
  <c r="U268" i="44"/>
  <c r="V268" i="44"/>
  <c r="T269" i="44"/>
  <c r="U269" i="44"/>
  <c r="V269" i="44"/>
  <c r="T270" i="44"/>
  <c r="U270" i="44"/>
  <c r="V270" i="44"/>
  <c r="T271" i="44"/>
  <c r="U271" i="44"/>
  <c r="V271" i="44"/>
  <c r="T272" i="44"/>
  <c r="U272" i="44"/>
  <c r="T273" i="44"/>
  <c r="U273" i="44"/>
  <c r="V273" i="44"/>
  <c r="T274" i="44"/>
  <c r="U274" i="44"/>
  <c r="V274" i="44"/>
  <c r="T275" i="44"/>
  <c r="U275" i="44"/>
  <c r="V275" i="44"/>
  <c r="T276" i="44"/>
  <c r="U276" i="44"/>
  <c r="V276" i="44"/>
  <c r="T277" i="44"/>
  <c r="U277" i="44"/>
  <c r="V277" i="44"/>
  <c r="T278" i="44"/>
  <c r="U278" i="44"/>
  <c r="V278" i="44"/>
  <c r="T279" i="44"/>
  <c r="U279" i="44"/>
  <c r="V279" i="44"/>
  <c r="T280" i="44"/>
  <c r="U280" i="44"/>
  <c r="V280" i="44"/>
  <c r="T281" i="44"/>
  <c r="U281" i="44"/>
  <c r="V281" i="44"/>
  <c r="T282" i="44"/>
  <c r="U282" i="44"/>
  <c r="V282" i="44"/>
  <c r="T283" i="44"/>
  <c r="U283" i="44"/>
  <c r="V283" i="44"/>
  <c r="T284" i="44"/>
  <c r="U284" i="44"/>
  <c r="T285" i="44"/>
  <c r="U285" i="44"/>
  <c r="V285" i="44"/>
  <c r="T286" i="44"/>
  <c r="U286" i="44"/>
  <c r="V286" i="44"/>
  <c r="T287" i="44"/>
  <c r="U287" i="44"/>
  <c r="V287" i="44"/>
  <c r="T288" i="44"/>
  <c r="U288" i="44"/>
  <c r="V288" i="44"/>
  <c r="T289" i="44"/>
  <c r="U289" i="44"/>
  <c r="V289" i="44"/>
  <c r="T290" i="44"/>
  <c r="U290" i="44"/>
  <c r="V290" i="44"/>
  <c r="T291" i="44"/>
  <c r="U291" i="44"/>
  <c r="V291" i="44"/>
  <c r="T292" i="44"/>
  <c r="U292" i="44"/>
  <c r="V292" i="44"/>
  <c r="T293" i="44"/>
  <c r="U293" i="44"/>
  <c r="V293" i="44"/>
  <c r="T294" i="44"/>
  <c r="U294" i="44"/>
  <c r="V294" i="44"/>
  <c r="T295" i="44"/>
  <c r="U295" i="44"/>
  <c r="V295" i="44"/>
  <c r="T296" i="44"/>
  <c r="U296" i="44"/>
  <c r="T297" i="44"/>
  <c r="U297" i="44"/>
  <c r="V297" i="44"/>
  <c r="T298" i="44"/>
  <c r="U298" i="44"/>
  <c r="V298" i="44"/>
  <c r="T299" i="44"/>
  <c r="U299" i="44"/>
  <c r="V299" i="44"/>
  <c r="T300" i="44"/>
  <c r="U300" i="44"/>
  <c r="V300" i="44"/>
  <c r="T301" i="44"/>
  <c r="U301" i="44"/>
  <c r="V301" i="44"/>
  <c r="T302" i="44"/>
  <c r="U302" i="44"/>
  <c r="V302" i="44"/>
  <c r="T303" i="44"/>
  <c r="U303" i="44"/>
  <c r="V303" i="44"/>
  <c r="T304" i="44"/>
  <c r="U304" i="44"/>
  <c r="V304" i="44"/>
  <c r="T305" i="44"/>
  <c r="U305" i="44"/>
  <c r="V305" i="44"/>
  <c r="T306" i="44"/>
  <c r="U306" i="44"/>
  <c r="V306" i="44"/>
  <c r="T307" i="44"/>
  <c r="U307" i="44"/>
  <c r="V307" i="44"/>
  <c r="T308" i="44"/>
  <c r="U308" i="44"/>
  <c r="T309" i="44"/>
  <c r="U309" i="44"/>
  <c r="V309" i="44"/>
  <c r="T310" i="44"/>
  <c r="U310" i="44"/>
  <c r="V310" i="44"/>
  <c r="T311" i="44"/>
  <c r="U311" i="44"/>
  <c r="V311" i="44"/>
  <c r="T312" i="44"/>
  <c r="U312" i="44"/>
  <c r="V312" i="44"/>
  <c r="T313" i="44"/>
  <c r="U313" i="44"/>
  <c r="V313" i="44"/>
  <c r="T314" i="44"/>
  <c r="U314" i="44"/>
  <c r="V314" i="44"/>
  <c r="T315" i="44"/>
  <c r="U315" i="44"/>
  <c r="V315" i="44"/>
  <c r="T316" i="44"/>
  <c r="U316" i="44"/>
  <c r="V316" i="44"/>
  <c r="T317" i="44"/>
  <c r="U317" i="44"/>
  <c r="V317" i="44"/>
  <c r="T318" i="44"/>
  <c r="U318" i="44"/>
  <c r="V318" i="44"/>
  <c r="T319" i="44"/>
  <c r="U319" i="44"/>
  <c r="V319" i="44"/>
  <c r="T320" i="44"/>
  <c r="U320" i="44"/>
  <c r="T321" i="44"/>
  <c r="U321" i="44"/>
  <c r="V321" i="44"/>
  <c r="T322" i="44"/>
  <c r="U322" i="44"/>
  <c r="V322" i="44"/>
  <c r="T323" i="44"/>
  <c r="U323" i="44"/>
  <c r="V323" i="44"/>
  <c r="T324" i="44"/>
  <c r="U324" i="44"/>
  <c r="V324" i="44"/>
  <c r="T325" i="44"/>
  <c r="U325" i="44"/>
  <c r="V325" i="44"/>
  <c r="T326" i="44"/>
  <c r="U326" i="44"/>
  <c r="V326" i="44"/>
  <c r="T327" i="44"/>
  <c r="U327" i="44"/>
  <c r="V327" i="44"/>
  <c r="T328" i="44"/>
  <c r="U328" i="44"/>
  <c r="V328" i="44"/>
  <c r="T329" i="44"/>
  <c r="U329" i="44"/>
  <c r="V329" i="44"/>
  <c r="T330" i="44"/>
  <c r="U330" i="44"/>
  <c r="V330" i="44"/>
  <c r="T331" i="44"/>
  <c r="U331" i="44"/>
  <c r="V331" i="44"/>
  <c r="T332" i="44"/>
  <c r="U332" i="44"/>
  <c r="T333" i="44"/>
  <c r="U333" i="44"/>
  <c r="V333" i="44"/>
  <c r="T334" i="44"/>
  <c r="U334" i="44"/>
  <c r="V334" i="44"/>
  <c r="T335" i="44"/>
  <c r="U335" i="44"/>
  <c r="V335" i="44"/>
  <c r="T336" i="44"/>
  <c r="U336" i="44"/>
  <c r="V336" i="44"/>
  <c r="T337" i="44"/>
  <c r="U337" i="44"/>
  <c r="V337" i="44"/>
  <c r="T338" i="44"/>
  <c r="U338" i="44"/>
  <c r="V338" i="44"/>
  <c r="T339" i="44"/>
  <c r="U339" i="44"/>
  <c r="V339" i="44"/>
  <c r="T340" i="44"/>
  <c r="U340" i="44"/>
  <c r="V340" i="44"/>
  <c r="T341" i="44"/>
  <c r="U341" i="44"/>
  <c r="V341" i="44"/>
  <c r="T342" i="44"/>
  <c r="U342" i="44"/>
  <c r="V342" i="44"/>
  <c r="T343" i="44"/>
  <c r="U343" i="44"/>
  <c r="V343" i="44"/>
  <c r="T344" i="44"/>
  <c r="U344" i="44"/>
  <c r="T345" i="44"/>
  <c r="U345" i="44"/>
  <c r="V345" i="44"/>
  <c r="T346" i="44"/>
  <c r="U346" i="44"/>
  <c r="V346" i="44"/>
  <c r="T347" i="44"/>
  <c r="U347" i="44"/>
  <c r="V347" i="44"/>
  <c r="T348" i="44"/>
  <c r="U348" i="44"/>
  <c r="V348" i="44"/>
  <c r="T349" i="44"/>
  <c r="U349" i="44"/>
  <c r="V349" i="44"/>
  <c r="T350" i="44"/>
  <c r="U350" i="44"/>
  <c r="V350" i="44"/>
  <c r="T351" i="44"/>
  <c r="U351" i="44"/>
  <c r="V351" i="44"/>
  <c r="T352" i="44"/>
  <c r="U352" i="44"/>
  <c r="V352" i="44"/>
  <c r="T353" i="44"/>
  <c r="U353" i="44"/>
  <c r="V353" i="44"/>
  <c r="T354" i="44"/>
  <c r="U354" i="44"/>
  <c r="V354" i="44"/>
  <c r="U9" i="44"/>
  <c r="V9" i="44"/>
  <c r="K10" i="44"/>
  <c r="L10" i="44"/>
  <c r="M10" i="44"/>
  <c r="N10" i="44"/>
  <c r="K11" i="44"/>
  <c r="L11" i="44"/>
  <c r="M11" i="44"/>
  <c r="N11" i="44"/>
  <c r="K12" i="44"/>
  <c r="L12" i="44"/>
  <c r="M12" i="44"/>
  <c r="N12" i="44"/>
  <c r="K13" i="44"/>
  <c r="L13" i="44"/>
  <c r="M13" i="44"/>
  <c r="N13" i="44"/>
  <c r="K14" i="44"/>
  <c r="L14" i="44"/>
  <c r="M14" i="44"/>
  <c r="N14" i="44"/>
  <c r="K15" i="44"/>
  <c r="L15" i="44"/>
  <c r="M15" i="44"/>
  <c r="N15" i="44"/>
  <c r="K16" i="44"/>
  <c r="L16" i="44"/>
  <c r="M16" i="44"/>
  <c r="N16" i="44"/>
  <c r="K17" i="44"/>
  <c r="L17" i="44"/>
  <c r="M17" i="44"/>
  <c r="N17" i="44"/>
  <c r="K18" i="44"/>
  <c r="L18" i="44"/>
  <c r="M18" i="44"/>
  <c r="N18" i="44"/>
  <c r="K19" i="44"/>
  <c r="L19" i="44"/>
  <c r="M19" i="44"/>
  <c r="N19" i="44"/>
  <c r="K21" i="44"/>
  <c r="L21" i="44"/>
  <c r="M21" i="44"/>
  <c r="N21" i="44"/>
  <c r="K22" i="44"/>
  <c r="L22" i="44"/>
  <c r="M22" i="44"/>
  <c r="N22" i="44"/>
  <c r="K23" i="44"/>
  <c r="L23" i="44"/>
  <c r="M23" i="44"/>
  <c r="N23" i="44"/>
  <c r="K24" i="44"/>
  <c r="L24" i="44"/>
  <c r="M24" i="44"/>
  <c r="N24" i="44"/>
  <c r="K25" i="44"/>
  <c r="L25" i="44"/>
  <c r="M25" i="44"/>
  <c r="N25" i="44"/>
  <c r="K26" i="44"/>
  <c r="L26" i="44"/>
  <c r="M26" i="44"/>
  <c r="N26" i="44"/>
  <c r="K27" i="44"/>
  <c r="L27" i="44"/>
  <c r="M27" i="44"/>
  <c r="N27" i="44"/>
  <c r="K28" i="44"/>
  <c r="L28" i="44"/>
  <c r="M28" i="44"/>
  <c r="N28" i="44"/>
  <c r="K29" i="44"/>
  <c r="L29" i="44"/>
  <c r="M29" i="44"/>
  <c r="N29" i="44"/>
  <c r="K30" i="44"/>
  <c r="L30" i="44"/>
  <c r="M30" i="44"/>
  <c r="N30" i="44"/>
  <c r="K31" i="44"/>
  <c r="L31" i="44"/>
  <c r="M31" i="44"/>
  <c r="N31" i="44"/>
  <c r="K33" i="44"/>
  <c r="L33" i="44"/>
  <c r="M33" i="44"/>
  <c r="N33" i="44"/>
  <c r="K34" i="44"/>
  <c r="L34" i="44"/>
  <c r="M34" i="44"/>
  <c r="N34" i="44"/>
  <c r="K35" i="44"/>
  <c r="L35" i="44"/>
  <c r="M35" i="44"/>
  <c r="N35" i="44"/>
  <c r="K36" i="44"/>
  <c r="L36" i="44"/>
  <c r="M36" i="44"/>
  <c r="N36" i="44"/>
  <c r="K37" i="44"/>
  <c r="L37" i="44"/>
  <c r="M37" i="44"/>
  <c r="N37" i="44"/>
  <c r="K38" i="44"/>
  <c r="L38" i="44"/>
  <c r="M38" i="44"/>
  <c r="N38" i="44"/>
  <c r="K39" i="44"/>
  <c r="L39" i="44"/>
  <c r="M39" i="44"/>
  <c r="N39" i="44"/>
  <c r="K40" i="44"/>
  <c r="L40" i="44"/>
  <c r="M40" i="44"/>
  <c r="N40" i="44"/>
  <c r="K41" i="44"/>
  <c r="L41" i="44"/>
  <c r="M41" i="44"/>
  <c r="N41" i="44"/>
  <c r="K42" i="44"/>
  <c r="L42" i="44"/>
  <c r="M42" i="44"/>
  <c r="N42" i="44"/>
  <c r="K43" i="44"/>
  <c r="L43" i="44"/>
  <c r="M43" i="44"/>
  <c r="N43" i="44"/>
  <c r="K45" i="44"/>
  <c r="L45" i="44"/>
  <c r="M45" i="44"/>
  <c r="N45" i="44"/>
  <c r="K46" i="44"/>
  <c r="L46" i="44"/>
  <c r="M46" i="44"/>
  <c r="N46" i="44"/>
  <c r="K47" i="44"/>
  <c r="L47" i="44"/>
  <c r="M47" i="44"/>
  <c r="N47" i="44"/>
  <c r="K48" i="44"/>
  <c r="L48" i="44"/>
  <c r="M48" i="44"/>
  <c r="N48" i="44"/>
  <c r="K49" i="44"/>
  <c r="L49" i="44"/>
  <c r="M49" i="44"/>
  <c r="N49" i="44"/>
  <c r="K50" i="44"/>
  <c r="L50" i="44"/>
  <c r="M50" i="44"/>
  <c r="N50" i="44"/>
  <c r="K51" i="44"/>
  <c r="L51" i="44"/>
  <c r="M51" i="44"/>
  <c r="N51" i="44"/>
  <c r="K52" i="44"/>
  <c r="L52" i="44"/>
  <c r="M52" i="44"/>
  <c r="N52" i="44"/>
  <c r="K53" i="44"/>
  <c r="L53" i="44"/>
  <c r="M53" i="44"/>
  <c r="N53" i="44"/>
  <c r="K54" i="44"/>
  <c r="L54" i="44"/>
  <c r="M54" i="44"/>
  <c r="N54" i="44"/>
  <c r="K55" i="44"/>
  <c r="L55" i="44"/>
  <c r="M55" i="44"/>
  <c r="N55" i="44"/>
  <c r="N56" i="44"/>
  <c r="K57" i="44"/>
  <c r="L57" i="44"/>
  <c r="M57" i="44"/>
  <c r="N57" i="44"/>
  <c r="K58" i="44"/>
  <c r="L58" i="44"/>
  <c r="M58" i="44"/>
  <c r="N58" i="44"/>
  <c r="K59" i="44"/>
  <c r="L59" i="44"/>
  <c r="M59" i="44"/>
  <c r="N59" i="44"/>
  <c r="K60" i="44"/>
  <c r="L60" i="44"/>
  <c r="M60" i="44"/>
  <c r="N60" i="44"/>
  <c r="K61" i="44"/>
  <c r="L61" i="44"/>
  <c r="M61" i="44"/>
  <c r="N61" i="44"/>
  <c r="K62" i="44"/>
  <c r="L62" i="44"/>
  <c r="M62" i="44"/>
  <c r="N62" i="44"/>
  <c r="K63" i="44"/>
  <c r="L63" i="44"/>
  <c r="M63" i="44"/>
  <c r="N63" i="44"/>
  <c r="K64" i="44"/>
  <c r="L64" i="44"/>
  <c r="M64" i="44"/>
  <c r="N64" i="44"/>
  <c r="K65" i="44"/>
  <c r="L65" i="44"/>
  <c r="M65" i="44"/>
  <c r="N65" i="44"/>
  <c r="K66" i="44"/>
  <c r="L66" i="44"/>
  <c r="M66" i="44"/>
  <c r="N66" i="44"/>
  <c r="K67" i="44"/>
  <c r="L67" i="44"/>
  <c r="M67" i="44"/>
  <c r="N67" i="44"/>
  <c r="K69" i="44"/>
  <c r="L69" i="44"/>
  <c r="M69" i="44"/>
  <c r="N69" i="44"/>
  <c r="K70" i="44"/>
  <c r="L70" i="44"/>
  <c r="M70" i="44"/>
  <c r="N70" i="44"/>
  <c r="K71" i="44"/>
  <c r="L71" i="44"/>
  <c r="M71" i="44"/>
  <c r="N71" i="44"/>
  <c r="K72" i="44"/>
  <c r="L72" i="44"/>
  <c r="M72" i="44"/>
  <c r="N72" i="44"/>
  <c r="K73" i="44"/>
  <c r="L73" i="44"/>
  <c r="M73" i="44"/>
  <c r="N73" i="44"/>
  <c r="K74" i="44"/>
  <c r="L74" i="44"/>
  <c r="M74" i="44"/>
  <c r="N74" i="44"/>
  <c r="K75" i="44"/>
  <c r="L75" i="44"/>
  <c r="M75" i="44"/>
  <c r="N75" i="44"/>
  <c r="K76" i="44"/>
  <c r="L76" i="44"/>
  <c r="M76" i="44"/>
  <c r="N76" i="44"/>
  <c r="K77" i="44"/>
  <c r="L77" i="44"/>
  <c r="M77" i="44"/>
  <c r="N77" i="44"/>
  <c r="K78" i="44"/>
  <c r="L78" i="44"/>
  <c r="M78" i="44"/>
  <c r="N78" i="44"/>
  <c r="K79" i="44"/>
  <c r="L79" i="44"/>
  <c r="M79" i="44"/>
  <c r="N79" i="44"/>
  <c r="L80" i="44"/>
  <c r="K81" i="44"/>
  <c r="L81" i="44"/>
  <c r="M81" i="44"/>
  <c r="N81" i="44"/>
  <c r="K82" i="44"/>
  <c r="L82" i="44"/>
  <c r="M82" i="44"/>
  <c r="N82" i="44"/>
  <c r="K83" i="44"/>
  <c r="L83" i="44"/>
  <c r="M83" i="44"/>
  <c r="N83" i="44"/>
  <c r="K84" i="44"/>
  <c r="L84" i="44"/>
  <c r="M84" i="44"/>
  <c r="N84" i="44"/>
  <c r="K85" i="44"/>
  <c r="L85" i="44"/>
  <c r="M85" i="44"/>
  <c r="N85" i="44"/>
  <c r="K86" i="44"/>
  <c r="L86" i="44"/>
  <c r="M86" i="44"/>
  <c r="N86" i="44"/>
  <c r="K87" i="44"/>
  <c r="L87" i="44"/>
  <c r="M87" i="44"/>
  <c r="N87" i="44"/>
  <c r="K88" i="44"/>
  <c r="L88" i="44"/>
  <c r="M88" i="44"/>
  <c r="N88" i="44"/>
  <c r="K89" i="44"/>
  <c r="L89" i="44"/>
  <c r="M89" i="44"/>
  <c r="N89" i="44"/>
  <c r="K90" i="44"/>
  <c r="L90" i="44"/>
  <c r="M90" i="44"/>
  <c r="N90" i="44"/>
  <c r="K91" i="44"/>
  <c r="L91" i="44"/>
  <c r="M91" i="44"/>
  <c r="N91" i="44"/>
  <c r="K93" i="44"/>
  <c r="L93" i="44"/>
  <c r="M93" i="44"/>
  <c r="N93" i="44"/>
  <c r="K94" i="44"/>
  <c r="L94" i="44"/>
  <c r="M94" i="44"/>
  <c r="N94" i="44"/>
  <c r="K95" i="44"/>
  <c r="L95" i="44"/>
  <c r="M95" i="44"/>
  <c r="N95" i="44"/>
  <c r="K96" i="44"/>
  <c r="L96" i="44"/>
  <c r="M96" i="44"/>
  <c r="N96" i="44"/>
  <c r="K97" i="44"/>
  <c r="L97" i="44"/>
  <c r="M97" i="44"/>
  <c r="N97" i="44"/>
  <c r="K98" i="44"/>
  <c r="L98" i="44"/>
  <c r="M98" i="44"/>
  <c r="N98" i="44"/>
  <c r="K99" i="44"/>
  <c r="L99" i="44"/>
  <c r="M99" i="44"/>
  <c r="N99" i="44"/>
  <c r="K100" i="44"/>
  <c r="L100" i="44"/>
  <c r="M100" i="44"/>
  <c r="N100" i="44"/>
  <c r="K101" i="44"/>
  <c r="L101" i="44"/>
  <c r="M101" i="44"/>
  <c r="N101" i="44"/>
  <c r="K102" i="44"/>
  <c r="L102" i="44"/>
  <c r="M102" i="44"/>
  <c r="N102" i="44"/>
  <c r="K103" i="44"/>
  <c r="L103" i="44"/>
  <c r="M103" i="44"/>
  <c r="N103" i="44"/>
  <c r="K105" i="44"/>
  <c r="L105" i="44"/>
  <c r="M105" i="44"/>
  <c r="N105" i="44"/>
  <c r="K106" i="44"/>
  <c r="L106" i="44"/>
  <c r="M106" i="44"/>
  <c r="N106" i="44"/>
  <c r="K107" i="44"/>
  <c r="L107" i="44"/>
  <c r="M107" i="44"/>
  <c r="N107" i="44"/>
  <c r="K108" i="44"/>
  <c r="L108" i="44"/>
  <c r="M108" i="44"/>
  <c r="N108" i="44"/>
  <c r="K109" i="44"/>
  <c r="L109" i="44"/>
  <c r="M109" i="44"/>
  <c r="N109" i="44"/>
  <c r="K110" i="44"/>
  <c r="L110" i="44"/>
  <c r="M110" i="44"/>
  <c r="N110" i="44"/>
  <c r="K111" i="44"/>
  <c r="L111" i="44"/>
  <c r="M111" i="44"/>
  <c r="N111" i="44"/>
  <c r="K112" i="44"/>
  <c r="L112" i="44"/>
  <c r="M112" i="44"/>
  <c r="N112" i="44"/>
  <c r="K113" i="44"/>
  <c r="L113" i="44"/>
  <c r="M113" i="44"/>
  <c r="N113" i="44"/>
  <c r="K114" i="44"/>
  <c r="L114" i="44"/>
  <c r="M114" i="44"/>
  <c r="N114" i="44"/>
  <c r="K115" i="44"/>
  <c r="L115" i="44"/>
  <c r="M115" i="44"/>
  <c r="N115" i="44"/>
  <c r="K117" i="44"/>
  <c r="L117" i="44"/>
  <c r="M117" i="44"/>
  <c r="N117" i="44"/>
  <c r="K118" i="44"/>
  <c r="L118" i="44"/>
  <c r="M118" i="44"/>
  <c r="N118" i="44"/>
  <c r="K119" i="44"/>
  <c r="L119" i="44"/>
  <c r="M119" i="44"/>
  <c r="N119" i="44"/>
  <c r="K120" i="44"/>
  <c r="L120" i="44"/>
  <c r="M120" i="44"/>
  <c r="N120" i="44"/>
  <c r="K121" i="44"/>
  <c r="L121" i="44"/>
  <c r="M121" i="44"/>
  <c r="N121" i="44"/>
  <c r="K122" i="44"/>
  <c r="L122" i="44"/>
  <c r="M122" i="44"/>
  <c r="N122" i="44"/>
  <c r="K123" i="44"/>
  <c r="L123" i="44"/>
  <c r="M123" i="44"/>
  <c r="N123" i="44"/>
  <c r="K124" i="44"/>
  <c r="L124" i="44"/>
  <c r="M124" i="44"/>
  <c r="N124" i="44"/>
  <c r="K125" i="44"/>
  <c r="L125" i="44"/>
  <c r="M125" i="44"/>
  <c r="N125" i="44"/>
  <c r="K126" i="44"/>
  <c r="L126" i="44"/>
  <c r="M126" i="44"/>
  <c r="N126" i="44"/>
  <c r="K127" i="44"/>
  <c r="L127" i="44"/>
  <c r="M127" i="44"/>
  <c r="N127" i="44"/>
  <c r="K129" i="44"/>
  <c r="L129" i="44"/>
  <c r="M129" i="44"/>
  <c r="N129" i="44"/>
  <c r="K130" i="44"/>
  <c r="L130" i="44"/>
  <c r="M130" i="44"/>
  <c r="N130" i="44"/>
  <c r="K131" i="44"/>
  <c r="L131" i="44"/>
  <c r="M131" i="44"/>
  <c r="N131" i="44"/>
  <c r="K132" i="44"/>
  <c r="L132" i="44"/>
  <c r="M132" i="44"/>
  <c r="N132" i="44"/>
  <c r="K133" i="44"/>
  <c r="L133" i="44"/>
  <c r="M133" i="44"/>
  <c r="N133" i="44"/>
  <c r="K134" i="44"/>
  <c r="L134" i="44"/>
  <c r="M134" i="44"/>
  <c r="N134" i="44"/>
  <c r="K135" i="44"/>
  <c r="L135" i="44"/>
  <c r="M135" i="44"/>
  <c r="N135" i="44"/>
  <c r="K136" i="44"/>
  <c r="L136" i="44"/>
  <c r="M136" i="44"/>
  <c r="N136" i="44"/>
  <c r="K137" i="44"/>
  <c r="L137" i="44"/>
  <c r="M137" i="44"/>
  <c r="N137" i="44"/>
  <c r="K138" i="44"/>
  <c r="L138" i="44"/>
  <c r="M138" i="44"/>
  <c r="N138" i="44"/>
  <c r="K139" i="44"/>
  <c r="L139" i="44"/>
  <c r="M139" i="44"/>
  <c r="N139" i="44"/>
  <c r="M140" i="44"/>
  <c r="K141" i="44"/>
  <c r="L141" i="44"/>
  <c r="M141" i="44"/>
  <c r="N141" i="44"/>
  <c r="K142" i="44"/>
  <c r="L142" i="44"/>
  <c r="M142" i="44"/>
  <c r="N142" i="44"/>
  <c r="K143" i="44"/>
  <c r="L143" i="44"/>
  <c r="M143" i="44"/>
  <c r="N143" i="44"/>
  <c r="K144" i="44"/>
  <c r="L144" i="44"/>
  <c r="M144" i="44"/>
  <c r="N144" i="44"/>
  <c r="K145" i="44"/>
  <c r="L145" i="44"/>
  <c r="M145" i="44"/>
  <c r="N145" i="44"/>
  <c r="K146" i="44"/>
  <c r="L146" i="44"/>
  <c r="M146" i="44"/>
  <c r="N146" i="44"/>
  <c r="K147" i="44"/>
  <c r="L147" i="44"/>
  <c r="M147" i="44"/>
  <c r="N147" i="44"/>
  <c r="K148" i="44"/>
  <c r="L148" i="44"/>
  <c r="M148" i="44"/>
  <c r="N148" i="44"/>
  <c r="K149" i="44"/>
  <c r="L149" i="44"/>
  <c r="M149" i="44"/>
  <c r="N149" i="44"/>
  <c r="K150" i="44"/>
  <c r="L150" i="44"/>
  <c r="M150" i="44"/>
  <c r="N150" i="44"/>
  <c r="K151" i="44"/>
  <c r="L151" i="44"/>
  <c r="M151" i="44"/>
  <c r="N151" i="44"/>
  <c r="K153" i="44"/>
  <c r="L153" i="44"/>
  <c r="M153" i="44"/>
  <c r="N153" i="44"/>
  <c r="K154" i="44"/>
  <c r="L154" i="44"/>
  <c r="M154" i="44"/>
  <c r="N154" i="44"/>
  <c r="K155" i="44"/>
  <c r="L155" i="44"/>
  <c r="M155" i="44"/>
  <c r="N155" i="44"/>
  <c r="K156" i="44"/>
  <c r="L156" i="44"/>
  <c r="M156" i="44"/>
  <c r="N156" i="44"/>
  <c r="K157" i="44"/>
  <c r="L157" i="44"/>
  <c r="M157" i="44"/>
  <c r="N157" i="44"/>
  <c r="K158" i="44"/>
  <c r="L158" i="44"/>
  <c r="M158" i="44"/>
  <c r="N158" i="44"/>
  <c r="K159" i="44"/>
  <c r="L159" i="44"/>
  <c r="M159" i="44"/>
  <c r="N159" i="44"/>
  <c r="K160" i="44"/>
  <c r="L160" i="44"/>
  <c r="M160" i="44"/>
  <c r="N160" i="44"/>
  <c r="K161" i="44"/>
  <c r="L161" i="44"/>
  <c r="M161" i="44"/>
  <c r="N161" i="44"/>
  <c r="K162" i="44"/>
  <c r="L162" i="44"/>
  <c r="M162" i="44"/>
  <c r="N162" i="44"/>
  <c r="K163" i="44"/>
  <c r="L163" i="44"/>
  <c r="M163" i="44"/>
  <c r="N163" i="44"/>
  <c r="K165" i="44"/>
  <c r="L165" i="44"/>
  <c r="M165" i="44"/>
  <c r="N165" i="44"/>
  <c r="K166" i="44"/>
  <c r="L166" i="44"/>
  <c r="M166" i="44"/>
  <c r="N166" i="44"/>
  <c r="K167" i="44"/>
  <c r="L167" i="44"/>
  <c r="M167" i="44"/>
  <c r="N167" i="44"/>
  <c r="K168" i="44"/>
  <c r="L168" i="44"/>
  <c r="M168" i="44"/>
  <c r="N168" i="44"/>
  <c r="K169" i="44"/>
  <c r="L169" i="44"/>
  <c r="M169" i="44"/>
  <c r="N169" i="44"/>
  <c r="K170" i="44"/>
  <c r="L170" i="44"/>
  <c r="M170" i="44"/>
  <c r="N170" i="44"/>
  <c r="K171" i="44"/>
  <c r="L171" i="44"/>
  <c r="M171" i="44"/>
  <c r="N171" i="44"/>
  <c r="K172" i="44"/>
  <c r="L172" i="44"/>
  <c r="M172" i="44"/>
  <c r="N172" i="44"/>
  <c r="K173" i="44"/>
  <c r="L173" i="44"/>
  <c r="M173" i="44"/>
  <c r="N173" i="44"/>
  <c r="K174" i="44"/>
  <c r="L174" i="44"/>
  <c r="M174" i="44"/>
  <c r="N174" i="44"/>
  <c r="K175" i="44"/>
  <c r="L175" i="44"/>
  <c r="M175" i="44"/>
  <c r="N175" i="44"/>
  <c r="K177" i="44"/>
  <c r="L177" i="44"/>
  <c r="M177" i="44"/>
  <c r="N177" i="44"/>
  <c r="K178" i="44"/>
  <c r="L178" i="44"/>
  <c r="M178" i="44"/>
  <c r="N178" i="44"/>
  <c r="K179" i="44"/>
  <c r="L179" i="44"/>
  <c r="M179" i="44"/>
  <c r="N179" i="44"/>
  <c r="K180" i="44"/>
  <c r="L180" i="44"/>
  <c r="M180" i="44"/>
  <c r="N180" i="44"/>
  <c r="K181" i="44"/>
  <c r="L181" i="44"/>
  <c r="M181" i="44"/>
  <c r="N181" i="44"/>
  <c r="K182" i="44"/>
  <c r="L182" i="44"/>
  <c r="M182" i="44"/>
  <c r="N182" i="44"/>
  <c r="K183" i="44"/>
  <c r="L183" i="44"/>
  <c r="M183" i="44"/>
  <c r="N183" i="44"/>
  <c r="K184" i="44"/>
  <c r="L184" i="44"/>
  <c r="M184" i="44"/>
  <c r="N184" i="44"/>
  <c r="K185" i="44"/>
  <c r="L185" i="44"/>
  <c r="M185" i="44"/>
  <c r="N185" i="44"/>
  <c r="K186" i="44"/>
  <c r="L186" i="44"/>
  <c r="M186" i="44"/>
  <c r="N186" i="44"/>
  <c r="K187" i="44"/>
  <c r="L187" i="44"/>
  <c r="M187" i="44"/>
  <c r="N187" i="44"/>
  <c r="K189" i="44"/>
  <c r="L189" i="44"/>
  <c r="M189" i="44"/>
  <c r="N189" i="44"/>
  <c r="K190" i="44"/>
  <c r="L190" i="44"/>
  <c r="M190" i="44"/>
  <c r="N190" i="44"/>
  <c r="K191" i="44"/>
  <c r="L191" i="44"/>
  <c r="M191" i="44"/>
  <c r="N191" i="44"/>
  <c r="K192" i="44"/>
  <c r="L192" i="44"/>
  <c r="M192" i="44"/>
  <c r="N192" i="44"/>
  <c r="K193" i="44"/>
  <c r="L193" i="44"/>
  <c r="M193" i="44"/>
  <c r="N193" i="44"/>
  <c r="K194" i="44"/>
  <c r="L194" i="44"/>
  <c r="M194" i="44"/>
  <c r="N194" i="44"/>
  <c r="K195" i="44"/>
  <c r="L195" i="44"/>
  <c r="M195" i="44"/>
  <c r="N195" i="44"/>
  <c r="K196" i="44"/>
  <c r="L196" i="44"/>
  <c r="M196" i="44"/>
  <c r="N196" i="44"/>
  <c r="K197" i="44"/>
  <c r="L197" i="44"/>
  <c r="M197" i="44"/>
  <c r="N197" i="44"/>
  <c r="K198" i="44"/>
  <c r="L198" i="44"/>
  <c r="M198" i="44"/>
  <c r="N198" i="44"/>
  <c r="K199" i="44"/>
  <c r="L199" i="44"/>
  <c r="M199" i="44"/>
  <c r="N199" i="44"/>
  <c r="K201" i="44"/>
  <c r="L201" i="44"/>
  <c r="M201" i="44"/>
  <c r="N201" i="44"/>
  <c r="K202" i="44"/>
  <c r="L202" i="44"/>
  <c r="M202" i="44"/>
  <c r="N202" i="44"/>
  <c r="K203" i="44"/>
  <c r="L203" i="44"/>
  <c r="M203" i="44"/>
  <c r="N203" i="44"/>
  <c r="K204" i="44"/>
  <c r="L204" i="44"/>
  <c r="M204" i="44"/>
  <c r="N204" i="44"/>
  <c r="K205" i="44"/>
  <c r="L205" i="44"/>
  <c r="M205" i="44"/>
  <c r="N205" i="44"/>
  <c r="K206" i="44"/>
  <c r="L206" i="44"/>
  <c r="M206" i="44"/>
  <c r="N206" i="44"/>
  <c r="K207" i="44"/>
  <c r="L207" i="44"/>
  <c r="M207" i="44"/>
  <c r="N207" i="44"/>
  <c r="K208" i="44"/>
  <c r="L208" i="44"/>
  <c r="M208" i="44"/>
  <c r="N208" i="44"/>
  <c r="K209" i="44"/>
  <c r="L209" i="44"/>
  <c r="M209" i="44"/>
  <c r="N209" i="44"/>
  <c r="K210" i="44"/>
  <c r="L210" i="44"/>
  <c r="M210" i="44"/>
  <c r="N210" i="44"/>
  <c r="K211" i="44"/>
  <c r="L211" i="44"/>
  <c r="M211" i="44"/>
  <c r="N211" i="44"/>
  <c r="M212" i="44"/>
  <c r="N212" i="44"/>
  <c r="K213" i="44"/>
  <c r="L213" i="44"/>
  <c r="M213" i="44"/>
  <c r="N213" i="44"/>
  <c r="K214" i="44"/>
  <c r="L214" i="44"/>
  <c r="M214" i="44"/>
  <c r="N214" i="44"/>
  <c r="K215" i="44"/>
  <c r="L215" i="44"/>
  <c r="M215" i="44"/>
  <c r="N215" i="44"/>
  <c r="K216" i="44"/>
  <c r="L216" i="44"/>
  <c r="M216" i="44"/>
  <c r="N216" i="44"/>
  <c r="K217" i="44"/>
  <c r="L217" i="44"/>
  <c r="M217" i="44"/>
  <c r="N217" i="44"/>
  <c r="K218" i="44"/>
  <c r="L218" i="44"/>
  <c r="M218" i="44"/>
  <c r="N218" i="44"/>
  <c r="K219" i="44"/>
  <c r="L219" i="44"/>
  <c r="M219" i="44"/>
  <c r="N219" i="44"/>
  <c r="K220" i="44"/>
  <c r="L220" i="44"/>
  <c r="M220" i="44"/>
  <c r="N220" i="44"/>
  <c r="K221" i="44"/>
  <c r="L221" i="44"/>
  <c r="M221" i="44"/>
  <c r="N221" i="44"/>
  <c r="K222" i="44"/>
  <c r="L222" i="44"/>
  <c r="M222" i="44"/>
  <c r="N222" i="44"/>
  <c r="K223" i="44"/>
  <c r="L223" i="44"/>
  <c r="M223" i="44"/>
  <c r="N223" i="44"/>
  <c r="L224" i="44"/>
  <c r="K225" i="44"/>
  <c r="L225" i="44"/>
  <c r="M225" i="44"/>
  <c r="N225" i="44"/>
  <c r="K226" i="44"/>
  <c r="L226" i="44"/>
  <c r="M226" i="44"/>
  <c r="N226" i="44"/>
  <c r="K227" i="44"/>
  <c r="L227" i="44"/>
  <c r="M227" i="44"/>
  <c r="N227" i="44"/>
  <c r="K228" i="44"/>
  <c r="L228" i="44"/>
  <c r="M228" i="44"/>
  <c r="N228" i="44"/>
  <c r="K229" i="44"/>
  <c r="L229" i="44"/>
  <c r="M229" i="44"/>
  <c r="N229" i="44"/>
  <c r="K230" i="44"/>
  <c r="L230" i="44"/>
  <c r="M230" i="44"/>
  <c r="N230" i="44"/>
  <c r="K231" i="44"/>
  <c r="L231" i="44"/>
  <c r="M231" i="44"/>
  <c r="N231" i="44"/>
  <c r="K232" i="44"/>
  <c r="L232" i="44"/>
  <c r="M232" i="44"/>
  <c r="N232" i="44"/>
  <c r="K233" i="44"/>
  <c r="L233" i="44"/>
  <c r="M233" i="44"/>
  <c r="N233" i="44"/>
  <c r="K234" i="44"/>
  <c r="L234" i="44"/>
  <c r="M234" i="44"/>
  <c r="N234" i="44"/>
  <c r="K235" i="44"/>
  <c r="L235" i="44"/>
  <c r="M235" i="44"/>
  <c r="N235" i="44"/>
  <c r="K237" i="44"/>
  <c r="L237" i="44"/>
  <c r="M237" i="44"/>
  <c r="N237" i="44"/>
  <c r="K238" i="44"/>
  <c r="L238" i="44"/>
  <c r="M238" i="44"/>
  <c r="N238" i="44"/>
  <c r="K239" i="44"/>
  <c r="L239" i="44"/>
  <c r="M239" i="44"/>
  <c r="N239" i="44"/>
  <c r="K240" i="44"/>
  <c r="L240" i="44"/>
  <c r="M240" i="44"/>
  <c r="N240" i="44"/>
  <c r="K241" i="44"/>
  <c r="L241" i="44"/>
  <c r="M241" i="44"/>
  <c r="N241" i="44"/>
  <c r="K242" i="44"/>
  <c r="L242" i="44"/>
  <c r="M242" i="44"/>
  <c r="N242" i="44"/>
  <c r="K243" i="44"/>
  <c r="L243" i="44"/>
  <c r="M243" i="44"/>
  <c r="N243" i="44"/>
  <c r="K244" i="44"/>
  <c r="L244" i="44"/>
  <c r="M244" i="44"/>
  <c r="N244" i="44"/>
  <c r="K245" i="44"/>
  <c r="L245" i="44"/>
  <c r="M245" i="44"/>
  <c r="N245" i="44"/>
  <c r="K246" i="44"/>
  <c r="L246" i="44"/>
  <c r="M246" i="44"/>
  <c r="N246" i="44"/>
  <c r="K247" i="44"/>
  <c r="L247" i="44"/>
  <c r="M247" i="44"/>
  <c r="N247" i="44"/>
  <c r="K249" i="44"/>
  <c r="L249" i="44"/>
  <c r="M249" i="44"/>
  <c r="N249" i="44"/>
  <c r="K250" i="44"/>
  <c r="L250" i="44"/>
  <c r="M250" i="44"/>
  <c r="N250" i="44"/>
  <c r="K251" i="44"/>
  <c r="L251" i="44"/>
  <c r="M251" i="44"/>
  <c r="N251" i="44"/>
  <c r="K252" i="44"/>
  <c r="L252" i="44"/>
  <c r="M252" i="44"/>
  <c r="N252" i="44"/>
  <c r="K253" i="44"/>
  <c r="L253" i="44"/>
  <c r="M253" i="44"/>
  <c r="N253" i="44"/>
  <c r="K254" i="44"/>
  <c r="L254" i="44"/>
  <c r="M254" i="44"/>
  <c r="N254" i="44"/>
  <c r="K255" i="44"/>
  <c r="L255" i="44"/>
  <c r="M255" i="44"/>
  <c r="N255" i="44"/>
  <c r="K256" i="44"/>
  <c r="L256" i="44"/>
  <c r="M256" i="44"/>
  <c r="N256" i="44"/>
  <c r="K257" i="44"/>
  <c r="L257" i="44"/>
  <c r="M257" i="44"/>
  <c r="N257" i="44"/>
  <c r="K258" i="44"/>
  <c r="L258" i="44"/>
  <c r="M258" i="44"/>
  <c r="N258" i="44"/>
  <c r="K259" i="44"/>
  <c r="L259" i="44"/>
  <c r="M259" i="44"/>
  <c r="N259" i="44"/>
  <c r="K261" i="44"/>
  <c r="L261" i="44"/>
  <c r="M261" i="44"/>
  <c r="N261" i="44"/>
  <c r="K262" i="44"/>
  <c r="L262" i="44"/>
  <c r="M262" i="44"/>
  <c r="N262" i="44"/>
  <c r="K263" i="44"/>
  <c r="L263" i="44"/>
  <c r="M263" i="44"/>
  <c r="N263" i="44"/>
  <c r="K264" i="44"/>
  <c r="L264" i="44"/>
  <c r="M264" i="44"/>
  <c r="N264" i="44"/>
  <c r="K265" i="44"/>
  <c r="L265" i="44"/>
  <c r="M265" i="44"/>
  <c r="N265" i="44"/>
  <c r="K266" i="44"/>
  <c r="L266" i="44"/>
  <c r="M266" i="44"/>
  <c r="N266" i="44"/>
  <c r="K267" i="44"/>
  <c r="L267" i="44"/>
  <c r="M267" i="44"/>
  <c r="N267" i="44"/>
  <c r="K268" i="44"/>
  <c r="L268" i="44"/>
  <c r="M268" i="44"/>
  <c r="N268" i="44"/>
  <c r="K269" i="44"/>
  <c r="L269" i="44"/>
  <c r="M269" i="44"/>
  <c r="N269" i="44"/>
  <c r="K270" i="44"/>
  <c r="L270" i="44"/>
  <c r="M270" i="44"/>
  <c r="N270" i="44"/>
  <c r="K271" i="44"/>
  <c r="L271" i="44"/>
  <c r="M271" i="44"/>
  <c r="N271" i="44"/>
  <c r="K273" i="44"/>
  <c r="L273" i="44"/>
  <c r="M273" i="44"/>
  <c r="N273" i="44"/>
  <c r="K274" i="44"/>
  <c r="L274" i="44"/>
  <c r="M274" i="44"/>
  <c r="N274" i="44"/>
  <c r="K275" i="44"/>
  <c r="L275" i="44"/>
  <c r="M275" i="44"/>
  <c r="N275" i="44"/>
  <c r="K276" i="44"/>
  <c r="L276" i="44"/>
  <c r="M276" i="44"/>
  <c r="N276" i="44"/>
  <c r="K277" i="44"/>
  <c r="L277" i="44"/>
  <c r="M277" i="44"/>
  <c r="N277" i="44"/>
  <c r="K278" i="44"/>
  <c r="L278" i="44"/>
  <c r="M278" i="44"/>
  <c r="N278" i="44"/>
  <c r="K279" i="44"/>
  <c r="L279" i="44"/>
  <c r="M279" i="44"/>
  <c r="N279" i="44"/>
  <c r="K280" i="44"/>
  <c r="L280" i="44"/>
  <c r="M280" i="44"/>
  <c r="N280" i="44"/>
  <c r="K281" i="44"/>
  <c r="L281" i="44"/>
  <c r="M281" i="44"/>
  <c r="N281" i="44"/>
  <c r="K282" i="44"/>
  <c r="L282" i="44"/>
  <c r="M282" i="44"/>
  <c r="N282" i="44"/>
  <c r="K283" i="44"/>
  <c r="L283" i="44"/>
  <c r="M283" i="44"/>
  <c r="N283" i="44"/>
  <c r="K285" i="44"/>
  <c r="L285" i="44"/>
  <c r="M285" i="44"/>
  <c r="N285" i="44"/>
  <c r="K286" i="44"/>
  <c r="L286" i="44"/>
  <c r="M286" i="44"/>
  <c r="N286" i="44"/>
  <c r="K287" i="44"/>
  <c r="L287" i="44"/>
  <c r="M287" i="44"/>
  <c r="N287" i="44"/>
  <c r="K288" i="44"/>
  <c r="L288" i="44"/>
  <c r="M288" i="44"/>
  <c r="N288" i="44"/>
  <c r="K289" i="44"/>
  <c r="L289" i="44"/>
  <c r="M289" i="44"/>
  <c r="N289" i="44"/>
  <c r="K290" i="44"/>
  <c r="L290" i="44"/>
  <c r="M290" i="44"/>
  <c r="N290" i="44"/>
  <c r="K291" i="44"/>
  <c r="L291" i="44"/>
  <c r="M291" i="44"/>
  <c r="N291" i="44"/>
  <c r="K292" i="44"/>
  <c r="L292" i="44"/>
  <c r="M292" i="44"/>
  <c r="N292" i="44"/>
  <c r="K293" i="44"/>
  <c r="L293" i="44"/>
  <c r="M293" i="44"/>
  <c r="N293" i="44"/>
  <c r="K294" i="44"/>
  <c r="L294" i="44"/>
  <c r="M294" i="44"/>
  <c r="N294" i="44"/>
  <c r="K295" i="44"/>
  <c r="L295" i="44"/>
  <c r="M295" i="44"/>
  <c r="N295" i="44"/>
  <c r="K297" i="44"/>
  <c r="L297" i="44"/>
  <c r="M297" i="44"/>
  <c r="N297" i="44"/>
  <c r="K298" i="44"/>
  <c r="L298" i="44"/>
  <c r="M298" i="44"/>
  <c r="N298" i="44"/>
  <c r="K299" i="44"/>
  <c r="L299" i="44"/>
  <c r="M299" i="44"/>
  <c r="N299" i="44"/>
  <c r="K300" i="44"/>
  <c r="L300" i="44"/>
  <c r="M300" i="44"/>
  <c r="N300" i="44"/>
  <c r="K301" i="44"/>
  <c r="L301" i="44"/>
  <c r="M301" i="44"/>
  <c r="N301" i="44"/>
  <c r="K302" i="44"/>
  <c r="L302" i="44"/>
  <c r="M302" i="44"/>
  <c r="N302" i="44"/>
  <c r="K303" i="44"/>
  <c r="L303" i="44"/>
  <c r="M303" i="44"/>
  <c r="N303" i="44"/>
  <c r="K304" i="44"/>
  <c r="L304" i="44"/>
  <c r="M304" i="44"/>
  <c r="N304" i="44"/>
  <c r="K305" i="44"/>
  <c r="L305" i="44"/>
  <c r="M305" i="44"/>
  <c r="N305" i="44"/>
  <c r="K306" i="44"/>
  <c r="L306" i="44"/>
  <c r="M306" i="44"/>
  <c r="N306" i="44"/>
  <c r="K307" i="44"/>
  <c r="L307" i="44"/>
  <c r="M307" i="44"/>
  <c r="N307" i="44"/>
  <c r="K309" i="44"/>
  <c r="L309" i="44"/>
  <c r="M309" i="44"/>
  <c r="N309" i="44"/>
  <c r="K310" i="44"/>
  <c r="L310" i="44"/>
  <c r="M310" i="44"/>
  <c r="N310" i="44"/>
  <c r="K311" i="44"/>
  <c r="L311" i="44"/>
  <c r="M311" i="44"/>
  <c r="N311" i="44"/>
  <c r="K312" i="44"/>
  <c r="L312" i="44"/>
  <c r="M312" i="44"/>
  <c r="N312" i="44"/>
  <c r="K313" i="44"/>
  <c r="L313" i="44"/>
  <c r="M313" i="44"/>
  <c r="N313" i="44"/>
  <c r="K314" i="44"/>
  <c r="L314" i="44"/>
  <c r="M314" i="44"/>
  <c r="N314" i="44"/>
  <c r="K315" i="44"/>
  <c r="L315" i="44"/>
  <c r="M315" i="44"/>
  <c r="N315" i="44"/>
  <c r="K316" i="44"/>
  <c r="L316" i="44"/>
  <c r="M316" i="44"/>
  <c r="N316" i="44"/>
  <c r="K317" i="44"/>
  <c r="L317" i="44"/>
  <c r="M317" i="44"/>
  <c r="N317" i="44"/>
  <c r="K318" i="44"/>
  <c r="L318" i="44"/>
  <c r="M318" i="44"/>
  <c r="N318" i="44"/>
  <c r="K319" i="44"/>
  <c r="L319" i="44"/>
  <c r="M319" i="44"/>
  <c r="N319" i="44"/>
  <c r="K321" i="44"/>
  <c r="L321" i="44"/>
  <c r="M321" i="44"/>
  <c r="N321" i="44"/>
  <c r="K322" i="44"/>
  <c r="L322" i="44"/>
  <c r="M322" i="44"/>
  <c r="N322" i="44"/>
  <c r="K323" i="44"/>
  <c r="L323" i="44"/>
  <c r="M323" i="44"/>
  <c r="N323" i="44"/>
  <c r="K324" i="44"/>
  <c r="L324" i="44"/>
  <c r="M324" i="44"/>
  <c r="N324" i="44"/>
  <c r="K325" i="44"/>
  <c r="L325" i="44"/>
  <c r="M325" i="44"/>
  <c r="N325" i="44"/>
  <c r="K326" i="44"/>
  <c r="L326" i="44"/>
  <c r="M326" i="44"/>
  <c r="N326" i="44"/>
  <c r="K327" i="44"/>
  <c r="L327" i="44"/>
  <c r="M327" i="44"/>
  <c r="N327" i="44"/>
  <c r="K328" i="44"/>
  <c r="L328" i="44"/>
  <c r="M328" i="44"/>
  <c r="N328" i="44"/>
  <c r="K329" i="44"/>
  <c r="L329" i="44"/>
  <c r="M329" i="44"/>
  <c r="N329" i="44"/>
  <c r="K330" i="44"/>
  <c r="L330" i="44"/>
  <c r="M330" i="44"/>
  <c r="N330" i="44"/>
  <c r="K331" i="44"/>
  <c r="L331" i="44"/>
  <c r="M331" i="44"/>
  <c r="N331" i="44"/>
  <c r="K333" i="44"/>
  <c r="L333" i="44"/>
  <c r="M333" i="44"/>
  <c r="N333" i="44"/>
  <c r="K334" i="44"/>
  <c r="L334" i="44"/>
  <c r="M334" i="44"/>
  <c r="N334" i="44"/>
  <c r="K335" i="44"/>
  <c r="L335" i="44"/>
  <c r="M335" i="44"/>
  <c r="N335" i="44"/>
  <c r="K336" i="44"/>
  <c r="L336" i="44"/>
  <c r="M336" i="44"/>
  <c r="N336" i="44"/>
  <c r="K337" i="44"/>
  <c r="L337" i="44"/>
  <c r="M337" i="44"/>
  <c r="N337" i="44"/>
  <c r="K338" i="44"/>
  <c r="L338" i="44"/>
  <c r="M338" i="44"/>
  <c r="N338" i="44"/>
  <c r="K339" i="44"/>
  <c r="L339" i="44"/>
  <c r="M339" i="44"/>
  <c r="N339" i="44"/>
  <c r="K340" i="44"/>
  <c r="L340" i="44"/>
  <c r="M340" i="44"/>
  <c r="N340" i="44"/>
  <c r="K341" i="44"/>
  <c r="L341" i="44"/>
  <c r="M341" i="44"/>
  <c r="N341" i="44"/>
  <c r="K342" i="44"/>
  <c r="L342" i="44"/>
  <c r="M342" i="44"/>
  <c r="N342" i="44"/>
  <c r="K343" i="44"/>
  <c r="L343" i="44"/>
  <c r="M343" i="44"/>
  <c r="N343" i="44"/>
  <c r="K345" i="44"/>
  <c r="L345" i="44"/>
  <c r="M345" i="44"/>
  <c r="N345" i="44"/>
  <c r="K346" i="44"/>
  <c r="L346" i="44"/>
  <c r="M346" i="44"/>
  <c r="N346" i="44"/>
  <c r="K347" i="44"/>
  <c r="L347" i="44"/>
  <c r="M347" i="44"/>
  <c r="N347" i="44"/>
  <c r="K348" i="44"/>
  <c r="L348" i="44"/>
  <c r="M348" i="44"/>
  <c r="N348" i="44"/>
  <c r="K349" i="44"/>
  <c r="L349" i="44"/>
  <c r="M349" i="44"/>
  <c r="N349" i="44"/>
  <c r="K350" i="44"/>
  <c r="L350" i="44"/>
  <c r="M350" i="44"/>
  <c r="N350" i="44"/>
  <c r="K351" i="44"/>
  <c r="L351" i="44"/>
  <c r="M351" i="44"/>
  <c r="N351" i="44"/>
  <c r="K352" i="44"/>
  <c r="L352" i="44"/>
  <c r="M352" i="44"/>
  <c r="N352" i="44"/>
  <c r="K353" i="44"/>
  <c r="L353" i="44"/>
  <c r="M353" i="44"/>
  <c r="N353" i="44"/>
  <c r="K354" i="44"/>
  <c r="L354" i="44"/>
  <c r="M354" i="44"/>
  <c r="N354" i="44"/>
  <c r="L9" i="44"/>
  <c r="M9" i="44"/>
  <c r="N9" i="44"/>
  <c r="K9" i="44"/>
  <c r="G11" i="44"/>
  <c r="G95" i="44"/>
  <c r="G167" i="44"/>
  <c r="G180" i="44"/>
  <c r="G193" i="44"/>
  <c r="G256" i="44"/>
  <c r="G314" i="44"/>
  <c r="G319" i="44"/>
  <c r="G335" i="44"/>
  <c r="G340" i="44"/>
  <c r="G347" i="44"/>
  <c r="G8" i="44"/>
  <c r="F10" i="44"/>
  <c r="F11" i="44"/>
  <c r="F12" i="44"/>
  <c r="F13" i="44"/>
  <c r="F14" i="44"/>
  <c r="F15" i="44"/>
  <c r="F16" i="44"/>
  <c r="F17" i="44"/>
  <c r="F18" i="44"/>
  <c r="F19" i="44"/>
  <c r="F20" i="44"/>
  <c r="F21" i="44"/>
  <c r="F22" i="44"/>
  <c r="F23" i="44"/>
  <c r="F24" i="44"/>
  <c r="F25" i="44"/>
  <c r="F26" i="44"/>
  <c r="F27" i="44"/>
  <c r="F28" i="44"/>
  <c r="F29" i="44"/>
  <c r="F30" i="44"/>
  <c r="F31" i="44"/>
  <c r="F32" i="44"/>
  <c r="F33" i="44"/>
  <c r="F34" i="44"/>
  <c r="F35" i="44"/>
  <c r="F36" i="44"/>
  <c r="F37" i="44"/>
  <c r="F38" i="44"/>
  <c r="F39" i="44"/>
  <c r="F40" i="44"/>
  <c r="F41" i="44"/>
  <c r="F42" i="44"/>
  <c r="F43" i="44"/>
  <c r="F44" i="44"/>
  <c r="F45" i="44"/>
  <c r="F46" i="44"/>
  <c r="F47" i="44"/>
  <c r="F48" i="44"/>
  <c r="F49" i="44"/>
  <c r="F50" i="44"/>
  <c r="F51" i="44"/>
  <c r="F52" i="44"/>
  <c r="F53" i="44"/>
  <c r="F54" i="44"/>
  <c r="F55" i="44"/>
  <c r="F56" i="44"/>
  <c r="F57" i="44"/>
  <c r="F58" i="44"/>
  <c r="F59" i="44"/>
  <c r="F60" i="44"/>
  <c r="F61" i="44"/>
  <c r="F62" i="44"/>
  <c r="F63" i="44"/>
  <c r="F64" i="44"/>
  <c r="F65" i="44"/>
  <c r="F66" i="44"/>
  <c r="F67" i="44"/>
  <c r="F68" i="44"/>
  <c r="F69" i="44"/>
  <c r="F70" i="44"/>
  <c r="F71" i="44"/>
  <c r="F72" i="44"/>
  <c r="F73" i="44"/>
  <c r="F74" i="44"/>
  <c r="F75" i="44"/>
  <c r="F76" i="44"/>
  <c r="F77" i="44"/>
  <c r="F78" i="44"/>
  <c r="F79" i="44"/>
  <c r="F80" i="44"/>
  <c r="F81" i="44"/>
  <c r="F82" i="44"/>
  <c r="F83" i="44"/>
  <c r="F84" i="44"/>
  <c r="F85" i="44"/>
  <c r="F86" i="44"/>
  <c r="F87" i="44"/>
  <c r="F88" i="44"/>
  <c r="F89" i="44"/>
  <c r="F90" i="44"/>
  <c r="F91" i="44"/>
  <c r="F92" i="44"/>
  <c r="F93" i="44"/>
  <c r="F94" i="44"/>
  <c r="F95" i="44"/>
  <c r="F96" i="44"/>
  <c r="F97" i="44"/>
  <c r="F98" i="44"/>
  <c r="F99" i="44"/>
  <c r="F100" i="44"/>
  <c r="F101" i="44"/>
  <c r="F102" i="44"/>
  <c r="F103" i="44"/>
  <c r="F104" i="44"/>
  <c r="F105" i="44"/>
  <c r="F106" i="44"/>
  <c r="F107" i="44"/>
  <c r="F108" i="44"/>
  <c r="F109" i="44"/>
  <c r="F110" i="44"/>
  <c r="F111" i="44"/>
  <c r="F112" i="44"/>
  <c r="F113" i="44"/>
  <c r="F114" i="44"/>
  <c r="F115" i="44"/>
  <c r="F116" i="44"/>
  <c r="F117" i="44"/>
  <c r="F118" i="44"/>
  <c r="F119" i="44"/>
  <c r="F120" i="44"/>
  <c r="F121" i="44"/>
  <c r="F122" i="44"/>
  <c r="F123" i="44"/>
  <c r="F124" i="44"/>
  <c r="F125" i="44"/>
  <c r="F126" i="44"/>
  <c r="F127" i="44"/>
  <c r="F128" i="44"/>
  <c r="F129" i="44"/>
  <c r="F130" i="44"/>
  <c r="F131" i="44"/>
  <c r="F132" i="44"/>
  <c r="F133" i="44"/>
  <c r="F134" i="44"/>
  <c r="F135" i="44"/>
  <c r="F136" i="44"/>
  <c r="F137" i="44"/>
  <c r="F138" i="44"/>
  <c r="F139" i="44"/>
  <c r="F140" i="44"/>
  <c r="F141" i="44"/>
  <c r="F142" i="44"/>
  <c r="F143" i="44"/>
  <c r="F144" i="44"/>
  <c r="F145" i="44"/>
  <c r="F146" i="44"/>
  <c r="F147" i="44"/>
  <c r="F148" i="44"/>
  <c r="F149" i="44"/>
  <c r="F150" i="44"/>
  <c r="F151" i="44"/>
  <c r="F152" i="44"/>
  <c r="F153" i="44"/>
  <c r="F154" i="44"/>
  <c r="F155" i="44"/>
  <c r="F156" i="44"/>
  <c r="F157" i="44"/>
  <c r="F158" i="44"/>
  <c r="F159" i="44"/>
  <c r="F160" i="44"/>
  <c r="F161" i="44"/>
  <c r="F162" i="44"/>
  <c r="F163" i="44"/>
  <c r="F164" i="44"/>
  <c r="F165" i="44"/>
  <c r="F166" i="44"/>
  <c r="F167" i="44"/>
  <c r="F168" i="44"/>
  <c r="F169" i="44"/>
  <c r="F170" i="44"/>
  <c r="F171" i="44"/>
  <c r="F172" i="44"/>
  <c r="F173" i="44"/>
  <c r="F174" i="44"/>
  <c r="F175" i="44"/>
  <c r="F176" i="44"/>
  <c r="F177" i="44"/>
  <c r="F178" i="44"/>
  <c r="F179" i="44"/>
  <c r="F180" i="44"/>
  <c r="F181" i="44"/>
  <c r="F182" i="44"/>
  <c r="F183" i="44"/>
  <c r="F184" i="44"/>
  <c r="F185" i="44"/>
  <c r="F186" i="44"/>
  <c r="F187" i="44"/>
  <c r="F188" i="44"/>
  <c r="F189" i="44"/>
  <c r="F190" i="44"/>
  <c r="F191" i="44"/>
  <c r="F192" i="44"/>
  <c r="F193" i="44"/>
  <c r="F194" i="44"/>
  <c r="F195" i="44"/>
  <c r="F196" i="44"/>
  <c r="F197" i="44"/>
  <c r="F198" i="44"/>
  <c r="F199" i="44"/>
  <c r="F200" i="44"/>
  <c r="F201" i="44"/>
  <c r="F202" i="44"/>
  <c r="F203" i="44"/>
  <c r="F204" i="44"/>
  <c r="F205" i="44"/>
  <c r="F206" i="44"/>
  <c r="F207" i="44"/>
  <c r="F208" i="44"/>
  <c r="F209" i="44"/>
  <c r="F210" i="44"/>
  <c r="F211" i="44"/>
  <c r="F212" i="44"/>
  <c r="F213" i="44"/>
  <c r="F214" i="44"/>
  <c r="F215" i="44"/>
  <c r="F216" i="44"/>
  <c r="F217" i="44"/>
  <c r="F218" i="44"/>
  <c r="F219" i="44"/>
  <c r="F220" i="44"/>
  <c r="F221" i="44"/>
  <c r="F222" i="44"/>
  <c r="F223" i="44"/>
  <c r="F224" i="44"/>
  <c r="F225" i="44"/>
  <c r="F226" i="44"/>
  <c r="F227" i="44"/>
  <c r="F228" i="44"/>
  <c r="F229" i="44"/>
  <c r="F230" i="44"/>
  <c r="F231" i="44"/>
  <c r="F232" i="44"/>
  <c r="F233" i="44"/>
  <c r="F234" i="44"/>
  <c r="F235" i="44"/>
  <c r="F236" i="44"/>
  <c r="F237" i="44"/>
  <c r="F238" i="44"/>
  <c r="F239" i="44"/>
  <c r="F240" i="44"/>
  <c r="F241" i="44"/>
  <c r="F242" i="44"/>
  <c r="F243" i="44"/>
  <c r="F244" i="44"/>
  <c r="F245" i="44"/>
  <c r="F246" i="44"/>
  <c r="F247" i="44"/>
  <c r="F248" i="44"/>
  <c r="F249" i="44"/>
  <c r="F250" i="44"/>
  <c r="F251" i="44"/>
  <c r="F252" i="44"/>
  <c r="F253" i="44"/>
  <c r="F254" i="44"/>
  <c r="F255" i="44"/>
  <c r="F256" i="44"/>
  <c r="F257" i="44"/>
  <c r="F258" i="44"/>
  <c r="F259" i="44"/>
  <c r="F260" i="44"/>
  <c r="F261" i="44"/>
  <c r="F262" i="44"/>
  <c r="F263" i="44"/>
  <c r="F264" i="44"/>
  <c r="F265" i="44"/>
  <c r="F266" i="44"/>
  <c r="F267" i="44"/>
  <c r="F268" i="44"/>
  <c r="F269" i="44"/>
  <c r="F270" i="44"/>
  <c r="F271" i="44"/>
  <c r="F272" i="44"/>
  <c r="F273" i="44"/>
  <c r="F274" i="44"/>
  <c r="F275" i="44"/>
  <c r="F276" i="44"/>
  <c r="F277" i="44"/>
  <c r="F278" i="44"/>
  <c r="F279" i="44"/>
  <c r="F280" i="44"/>
  <c r="F281" i="44"/>
  <c r="F282" i="44"/>
  <c r="F283" i="44"/>
  <c r="F284" i="44"/>
  <c r="F285" i="44"/>
  <c r="F286" i="44"/>
  <c r="F287" i="44"/>
  <c r="F288" i="44"/>
  <c r="F289" i="44"/>
  <c r="F290" i="44"/>
  <c r="F291" i="44"/>
  <c r="F292" i="44"/>
  <c r="F293" i="44"/>
  <c r="F294" i="44"/>
  <c r="F295" i="44"/>
  <c r="F296" i="44"/>
  <c r="F297" i="44"/>
  <c r="F298" i="44"/>
  <c r="F299" i="44"/>
  <c r="F300" i="44"/>
  <c r="F301" i="44"/>
  <c r="F302" i="44"/>
  <c r="F303" i="44"/>
  <c r="F304" i="44"/>
  <c r="F305" i="44"/>
  <c r="F306" i="44"/>
  <c r="F307" i="44"/>
  <c r="F308" i="44"/>
  <c r="F309" i="44"/>
  <c r="F310" i="44"/>
  <c r="F311" i="44"/>
  <c r="F312" i="44"/>
  <c r="F313" i="44"/>
  <c r="F314" i="44"/>
  <c r="F315" i="44"/>
  <c r="F316" i="44"/>
  <c r="F317" i="44"/>
  <c r="F318" i="44"/>
  <c r="F319" i="44"/>
  <c r="F320" i="44"/>
  <c r="F321" i="44"/>
  <c r="F322" i="44"/>
  <c r="F323" i="44"/>
  <c r="F324" i="44"/>
  <c r="F325" i="44"/>
  <c r="F326" i="44"/>
  <c r="F327" i="44"/>
  <c r="F328" i="44"/>
  <c r="F329" i="44"/>
  <c r="F330" i="44"/>
  <c r="F331" i="44"/>
  <c r="F332" i="44"/>
  <c r="F333" i="44"/>
  <c r="F334" i="44"/>
  <c r="F335" i="44"/>
  <c r="F336" i="44"/>
  <c r="F337" i="44"/>
  <c r="F338" i="44"/>
  <c r="F339" i="44"/>
  <c r="F340" i="44"/>
  <c r="F341" i="44"/>
  <c r="F342" i="44"/>
  <c r="F343" i="44"/>
  <c r="F344" i="44"/>
  <c r="F345" i="44"/>
  <c r="F346" i="44"/>
  <c r="F347" i="44"/>
  <c r="F348" i="44"/>
  <c r="F349" i="44"/>
  <c r="F350" i="44"/>
  <c r="F351" i="44"/>
  <c r="F352" i="44"/>
  <c r="F353" i="44"/>
  <c r="F354" i="44"/>
  <c r="F9" i="44"/>
  <c r="Z8" i="44"/>
  <c r="U8" i="44"/>
  <c r="T8" i="44"/>
  <c r="J4" i="49"/>
  <c r="N8" i="44" s="1"/>
  <c r="I4" i="49"/>
  <c r="M8" i="44" s="1"/>
  <c r="L8" i="44"/>
  <c r="D4" i="49"/>
  <c r="F8" i="44" s="1"/>
  <c r="W7" i="46"/>
  <c r="U7" i="46"/>
  <c r="P7" i="46"/>
  <c r="K7" i="46"/>
  <c r="F7" i="46"/>
  <c r="T345" i="49" l="1"/>
  <c r="E349" i="45" s="1"/>
  <c r="E344" i="53" s="1"/>
  <c r="T325" i="49"/>
  <c r="E329" i="45" s="1"/>
  <c r="E324" i="53" s="1"/>
  <c r="T305" i="49"/>
  <c r="E309" i="45" s="1"/>
  <c r="E304" i="53" s="1"/>
  <c r="T285" i="49"/>
  <c r="E289" i="45" s="1"/>
  <c r="E284" i="53" s="1"/>
  <c r="T265" i="49"/>
  <c r="E269" i="45" s="1"/>
  <c r="E264" i="53" s="1"/>
  <c r="T245" i="49"/>
  <c r="E249" i="45" s="1"/>
  <c r="E244" i="53" s="1"/>
  <c r="T225" i="49"/>
  <c r="E229" i="45" s="1"/>
  <c r="E224" i="53" s="1"/>
  <c r="T205" i="49"/>
  <c r="E209" i="45" s="1"/>
  <c r="E204" i="53" s="1"/>
  <c r="T185" i="49"/>
  <c r="E189" i="45" s="1"/>
  <c r="E184" i="53" s="1"/>
  <c r="T165" i="49"/>
  <c r="E169" i="45" s="1"/>
  <c r="E164" i="53" s="1"/>
  <c r="T145" i="49"/>
  <c r="E149" i="45" s="1"/>
  <c r="E144" i="53" s="1"/>
  <c r="T25" i="49"/>
  <c r="E29" i="45" s="1"/>
  <c r="E24" i="53" s="1"/>
  <c r="T344" i="49"/>
  <c r="E348" i="45" s="1"/>
  <c r="E343" i="53" s="1"/>
  <c r="T324" i="49"/>
  <c r="E328" i="45" s="1"/>
  <c r="E323" i="53" s="1"/>
  <c r="T304" i="49"/>
  <c r="E308" i="45" s="1"/>
  <c r="E303" i="53" s="1"/>
  <c r="T284" i="49"/>
  <c r="E288" i="45" s="1"/>
  <c r="E283" i="53" s="1"/>
  <c r="T264" i="49"/>
  <c r="E268" i="45" s="1"/>
  <c r="E263" i="53" s="1"/>
  <c r="T244" i="49"/>
  <c r="E248" i="45" s="1"/>
  <c r="E243" i="53" s="1"/>
  <c r="T224" i="49"/>
  <c r="E228" i="45" s="1"/>
  <c r="E223" i="53" s="1"/>
  <c r="T204" i="49"/>
  <c r="E208" i="45" s="1"/>
  <c r="E203" i="53" s="1"/>
  <c r="T184" i="49"/>
  <c r="E188" i="45" s="1"/>
  <c r="E183" i="53" s="1"/>
  <c r="T164" i="49"/>
  <c r="E168" i="45" s="1"/>
  <c r="E163" i="53" s="1"/>
  <c r="T144" i="49"/>
  <c r="E148" i="45" s="1"/>
  <c r="E143" i="53" s="1"/>
  <c r="T24" i="49"/>
  <c r="E28" i="45" s="1"/>
  <c r="E23" i="53" s="1"/>
  <c r="T343" i="49"/>
  <c r="E347" i="45" s="1"/>
  <c r="E342" i="53" s="1"/>
  <c r="T323" i="49"/>
  <c r="E327" i="45" s="1"/>
  <c r="E322" i="53" s="1"/>
  <c r="T303" i="49"/>
  <c r="E307" i="45" s="1"/>
  <c r="E302" i="53" s="1"/>
  <c r="T283" i="49"/>
  <c r="E287" i="45" s="1"/>
  <c r="E282" i="53" s="1"/>
  <c r="T263" i="49"/>
  <c r="E267" i="45" s="1"/>
  <c r="E262" i="53" s="1"/>
  <c r="T243" i="49"/>
  <c r="E247" i="45" s="1"/>
  <c r="E242" i="53" s="1"/>
  <c r="T223" i="49"/>
  <c r="E227" i="45" s="1"/>
  <c r="E222" i="53" s="1"/>
  <c r="T203" i="49"/>
  <c r="E207" i="45" s="1"/>
  <c r="E202" i="53" s="1"/>
  <c r="T183" i="49"/>
  <c r="E187" i="45" s="1"/>
  <c r="E182" i="53" s="1"/>
  <c r="T163" i="49"/>
  <c r="E167" i="45" s="1"/>
  <c r="E162" i="53" s="1"/>
  <c r="T143" i="49"/>
  <c r="E147" i="45" s="1"/>
  <c r="E142" i="53" s="1"/>
  <c r="T123" i="49"/>
  <c r="E127" i="45" s="1"/>
  <c r="E122" i="53" s="1"/>
  <c r="T103" i="49"/>
  <c r="E107" i="45" s="1"/>
  <c r="E102" i="53" s="1"/>
  <c r="T83" i="49"/>
  <c r="E87" i="45" s="1"/>
  <c r="E82" i="53" s="1"/>
  <c r="T63" i="49"/>
  <c r="E67" i="45" s="1"/>
  <c r="E62" i="53" s="1"/>
  <c r="T43" i="49"/>
  <c r="E47" i="45" s="1"/>
  <c r="E42" i="53" s="1"/>
  <c r="T23" i="49"/>
  <c r="E27" i="45" s="1"/>
  <c r="E22" i="53" s="1"/>
  <c r="T342" i="49"/>
  <c r="E346" i="45" s="1"/>
  <c r="E341" i="53" s="1"/>
  <c r="T322" i="49"/>
  <c r="E326" i="45" s="1"/>
  <c r="E321" i="53" s="1"/>
  <c r="T302" i="49"/>
  <c r="E306" i="45" s="1"/>
  <c r="E301" i="53" s="1"/>
  <c r="T282" i="49"/>
  <c r="E286" i="45" s="1"/>
  <c r="E281" i="53" s="1"/>
  <c r="T262" i="49"/>
  <c r="E266" i="45" s="1"/>
  <c r="E261" i="53" s="1"/>
  <c r="T242" i="49"/>
  <c r="E246" i="45" s="1"/>
  <c r="E241" i="53" s="1"/>
  <c r="T222" i="49"/>
  <c r="E226" i="45" s="1"/>
  <c r="E221" i="53" s="1"/>
  <c r="T202" i="49"/>
  <c r="E206" i="45" s="1"/>
  <c r="E201" i="53" s="1"/>
  <c r="T182" i="49"/>
  <c r="E186" i="45" s="1"/>
  <c r="E181" i="53" s="1"/>
  <c r="T162" i="49"/>
  <c r="E166" i="45" s="1"/>
  <c r="E161" i="53" s="1"/>
  <c r="T142" i="49"/>
  <c r="E146" i="45" s="1"/>
  <c r="E141" i="53" s="1"/>
  <c r="T122" i="49"/>
  <c r="E126" i="45" s="1"/>
  <c r="E121" i="53" s="1"/>
  <c r="T102" i="49"/>
  <c r="E106" i="45" s="1"/>
  <c r="E101" i="53" s="1"/>
  <c r="T82" i="49"/>
  <c r="E86" i="45" s="1"/>
  <c r="E81" i="53" s="1"/>
  <c r="T62" i="49"/>
  <c r="E66" i="45" s="1"/>
  <c r="E61" i="53" s="1"/>
  <c r="T42" i="49"/>
  <c r="E46" i="45" s="1"/>
  <c r="E41" i="53" s="1"/>
  <c r="T22" i="49"/>
  <c r="E26" i="45" s="1"/>
  <c r="E21" i="53" s="1"/>
  <c r="T341" i="49"/>
  <c r="E345" i="45" s="1"/>
  <c r="E340" i="53" s="1"/>
  <c r="T321" i="49"/>
  <c r="E325" i="45" s="1"/>
  <c r="E320" i="53" s="1"/>
  <c r="T301" i="49"/>
  <c r="E305" i="45" s="1"/>
  <c r="E300" i="53" s="1"/>
  <c r="T281" i="49"/>
  <c r="E285" i="45" s="1"/>
  <c r="E280" i="53" s="1"/>
  <c r="T261" i="49"/>
  <c r="E265" i="45" s="1"/>
  <c r="E260" i="53" s="1"/>
  <c r="T241" i="49"/>
  <c r="E245" i="45" s="1"/>
  <c r="E240" i="53" s="1"/>
  <c r="T221" i="49"/>
  <c r="E225" i="45" s="1"/>
  <c r="E220" i="53" s="1"/>
  <c r="T201" i="49"/>
  <c r="E205" i="45" s="1"/>
  <c r="E200" i="53" s="1"/>
  <c r="T181" i="49"/>
  <c r="E185" i="45" s="1"/>
  <c r="E180" i="53" s="1"/>
  <c r="T161" i="49"/>
  <c r="E165" i="45" s="1"/>
  <c r="E160" i="53" s="1"/>
  <c r="T141" i="49"/>
  <c r="E145" i="45" s="1"/>
  <c r="E140" i="53" s="1"/>
  <c r="T121" i="49"/>
  <c r="E125" i="45" s="1"/>
  <c r="E120" i="53" s="1"/>
  <c r="T101" i="49"/>
  <c r="E105" i="45" s="1"/>
  <c r="E100" i="53" s="1"/>
  <c r="T81" i="49"/>
  <c r="E85" i="45" s="1"/>
  <c r="E80" i="53" s="1"/>
  <c r="T61" i="49"/>
  <c r="E65" i="45" s="1"/>
  <c r="E60" i="53" s="1"/>
  <c r="T41" i="49"/>
  <c r="E45" i="45" s="1"/>
  <c r="E40" i="53" s="1"/>
  <c r="T21" i="49"/>
  <c r="E25" i="45" s="1"/>
  <c r="E20" i="53" s="1"/>
  <c r="T340" i="49"/>
  <c r="E344" i="45" s="1"/>
  <c r="E339" i="53" s="1"/>
  <c r="T320" i="49"/>
  <c r="E324" i="45" s="1"/>
  <c r="E319" i="53" s="1"/>
  <c r="T300" i="49"/>
  <c r="E304" i="45" s="1"/>
  <c r="E299" i="53" s="1"/>
  <c r="T280" i="49"/>
  <c r="E284" i="45" s="1"/>
  <c r="E279" i="53" s="1"/>
  <c r="T260" i="49"/>
  <c r="E264" i="45" s="1"/>
  <c r="E259" i="53" s="1"/>
  <c r="T240" i="49"/>
  <c r="E244" i="45" s="1"/>
  <c r="E239" i="53" s="1"/>
  <c r="T220" i="49"/>
  <c r="E224" i="45" s="1"/>
  <c r="E219" i="53" s="1"/>
  <c r="T200" i="49"/>
  <c r="E204" i="45" s="1"/>
  <c r="E199" i="53" s="1"/>
  <c r="T180" i="49"/>
  <c r="E184" i="45" s="1"/>
  <c r="E179" i="53" s="1"/>
  <c r="T160" i="49"/>
  <c r="E164" i="45" s="1"/>
  <c r="E159" i="53" s="1"/>
  <c r="T140" i="49"/>
  <c r="E144" i="45" s="1"/>
  <c r="E139" i="53" s="1"/>
  <c r="T120" i="49"/>
  <c r="E124" i="45" s="1"/>
  <c r="E119" i="53" s="1"/>
  <c r="T100" i="49"/>
  <c r="E104" i="45" s="1"/>
  <c r="E99" i="53" s="1"/>
  <c r="T80" i="49"/>
  <c r="E84" i="45" s="1"/>
  <c r="E79" i="53" s="1"/>
  <c r="T60" i="49"/>
  <c r="E64" i="45" s="1"/>
  <c r="E59" i="53" s="1"/>
  <c r="T40" i="49"/>
  <c r="E44" i="45" s="1"/>
  <c r="E39" i="53" s="1"/>
  <c r="T20" i="49"/>
  <c r="E24" i="45" s="1"/>
  <c r="E19" i="53" s="1"/>
  <c r="T339" i="49"/>
  <c r="E343" i="45" s="1"/>
  <c r="E338" i="53" s="1"/>
  <c r="T319" i="49"/>
  <c r="E323" i="45" s="1"/>
  <c r="E318" i="53" s="1"/>
  <c r="T299" i="49"/>
  <c r="E303" i="45" s="1"/>
  <c r="E298" i="53" s="1"/>
  <c r="T279" i="49"/>
  <c r="E283" i="45" s="1"/>
  <c r="E278" i="53" s="1"/>
  <c r="T259" i="49"/>
  <c r="E263" i="45" s="1"/>
  <c r="E258" i="53" s="1"/>
  <c r="T239" i="49"/>
  <c r="E243" i="45" s="1"/>
  <c r="E238" i="53" s="1"/>
  <c r="T219" i="49"/>
  <c r="E223" i="45" s="1"/>
  <c r="E218" i="53" s="1"/>
  <c r="T199" i="49"/>
  <c r="E203" i="45" s="1"/>
  <c r="E198" i="53" s="1"/>
  <c r="T179" i="49"/>
  <c r="E183" i="45" s="1"/>
  <c r="E178" i="53" s="1"/>
  <c r="T159" i="49"/>
  <c r="E163" i="45" s="1"/>
  <c r="E158" i="53" s="1"/>
  <c r="T139" i="49"/>
  <c r="E143" i="45" s="1"/>
  <c r="E138" i="53" s="1"/>
  <c r="T119" i="49"/>
  <c r="E123" i="45" s="1"/>
  <c r="E118" i="53" s="1"/>
  <c r="T99" i="49"/>
  <c r="E103" i="45" s="1"/>
  <c r="E98" i="53" s="1"/>
  <c r="T79" i="49"/>
  <c r="E83" i="45" s="1"/>
  <c r="E78" i="53" s="1"/>
  <c r="T59" i="49"/>
  <c r="E63" i="45" s="1"/>
  <c r="E58" i="53" s="1"/>
  <c r="T39" i="49"/>
  <c r="E43" i="45" s="1"/>
  <c r="E38" i="53" s="1"/>
  <c r="T19" i="49"/>
  <c r="E23" i="45" s="1"/>
  <c r="E18" i="53" s="1"/>
  <c r="T338" i="49"/>
  <c r="E342" i="45" s="1"/>
  <c r="E337" i="53" s="1"/>
  <c r="T318" i="49"/>
  <c r="E322" i="45" s="1"/>
  <c r="E317" i="53" s="1"/>
  <c r="T298" i="49"/>
  <c r="E302" i="45" s="1"/>
  <c r="E297" i="53" s="1"/>
  <c r="T278" i="49"/>
  <c r="E282" i="45" s="1"/>
  <c r="E277" i="53" s="1"/>
  <c r="T258" i="49"/>
  <c r="E262" i="45" s="1"/>
  <c r="E257" i="53" s="1"/>
  <c r="T238" i="49"/>
  <c r="E242" i="45" s="1"/>
  <c r="E237" i="53" s="1"/>
  <c r="T218" i="49"/>
  <c r="E222" i="45" s="1"/>
  <c r="E217" i="53" s="1"/>
  <c r="T198" i="49"/>
  <c r="E202" i="45" s="1"/>
  <c r="E197" i="53" s="1"/>
  <c r="T178" i="49"/>
  <c r="E182" i="45" s="1"/>
  <c r="E177" i="53" s="1"/>
  <c r="T158" i="49"/>
  <c r="E162" i="45" s="1"/>
  <c r="E157" i="53" s="1"/>
  <c r="T138" i="49"/>
  <c r="E142" i="45" s="1"/>
  <c r="E137" i="53" s="1"/>
  <c r="T118" i="49"/>
  <c r="E122" i="45" s="1"/>
  <c r="E117" i="53" s="1"/>
  <c r="T98" i="49"/>
  <c r="E102" i="45" s="1"/>
  <c r="E97" i="53" s="1"/>
  <c r="T78" i="49"/>
  <c r="E82" i="45" s="1"/>
  <c r="E77" i="53" s="1"/>
  <c r="T58" i="49"/>
  <c r="E62" i="45" s="1"/>
  <c r="E57" i="53" s="1"/>
  <c r="T38" i="49"/>
  <c r="E42" i="45" s="1"/>
  <c r="E37" i="53" s="1"/>
  <c r="T18" i="49"/>
  <c r="E22" i="45" s="1"/>
  <c r="E17" i="53" s="1"/>
  <c r="T337" i="49"/>
  <c r="E341" i="45" s="1"/>
  <c r="E336" i="53" s="1"/>
  <c r="T317" i="49"/>
  <c r="E321" i="45" s="1"/>
  <c r="E316" i="53" s="1"/>
  <c r="T297" i="49"/>
  <c r="E301" i="45" s="1"/>
  <c r="E296" i="53" s="1"/>
  <c r="T277" i="49"/>
  <c r="E281" i="45" s="1"/>
  <c r="E276" i="53" s="1"/>
  <c r="T257" i="49"/>
  <c r="E261" i="45" s="1"/>
  <c r="E256" i="53" s="1"/>
  <c r="T237" i="49"/>
  <c r="E241" i="45" s="1"/>
  <c r="E236" i="53" s="1"/>
  <c r="T217" i="49"/>
  <c r="E221" i="45" s="1"/>
  <c r="E216" i="53" s="1"/>
  <c r="T197" i="49"/>
  <c r="E201" i="45" s="1"/>
  <c r="E196" i="53" s="1"/>
  <c r="T177" i="49"/>
  <c r="E181" i="45" s="1"/>
  <c r="E176" i="53" s="1"/>
  <c r="T157" i="49"/>
  <c r="E161" i="45" s="1"/>
  <c r="E156" i="53" s="1"/>
  <c r="T137" i="49"/>
  <c r="E141" i="45" s="1"/>
  <c r="E136" i="53" s="1"/>
  <c r="T117" i="49"/>
  <c r="E121" i="45" s="1"/>
  <c r="E116" i="53" s="1"/>
  <c r="T97" i="49"/>
  <c r="E101" i="45" s="1"/>
  <c r="E96" i="53" s="1"/>
  <c r="T77" i="49"/>
  <c r="E81" i="45" s="1"/>
  <c r="E76" i="53" s="1"/>
  <c r="T57" i="49"/>
  <c r="E61" i="45" s="1"/>
  <c r="E56" i="53" s="1"/>
  <c r="T37" i="49"/>
  <c r="E41" i="45" s="1"/>
  <c r="E36" i="53" s="1"/>
  <c r="T17" i="49"/>
  <c r="E21" i="45" s="1"/>
  <c r="E16" i="53" s="1"/>
  <c r="T125" i="49"/>
  <c r="E129" i="45" s="1"/>
  <c r="E124" i="53" s="1"/>
  <c r="T64" i="49"/>
  <c r="E68" i="45" s="1"/>
  <c r="E63" i="53" s="1"/>
  <c r="T216" i="49"/>
  <c r="E220" i="45" s="1"/>
  <c r="E215" i="53" s="1"/>
  <c r="T16" i="49"/>
  <c r="E20" i="45" s="1"/>
  <c r="E15" i="53" s="1"/>
  <c r="T335" i="49"/>
  <c r="E339" i="45" s="1"/>
  <c r="E334" i="53" s="1"/>
  <c r="T315" i="49"/>
  <c r="E319" i="45" s="1"/>
  <c r="E314" i="53" s="1"/>
  <c r="T235" i="49"/>
  <c r="E239" i="45" s="1"/>
  <c r="E234" i="53" s="1"/>
  <c r="T155" i="49"/>
  <c r="E159" i="45" s="1"/>
  <c r="E154" i="53" s="1"/>
  <c r="T75" i="49"/>
  <c r="E79" i="45" s="1"/>
  <c r="E74" i="53" s="1"/>
  <c r="T334" i="49"/>
  <c r="E338" i="45" s="1"/>
  <c r="E333" i="53" s="1"/>
  <c r="T294" i="49"/>
  <c r="E298" i="45" s="1"/>
  <c r="E293" i="53" s="1"/>
  <c r="T254" i="49"/>
  <c r="E258" i="45" s="1"/>
  <c r="E253" i="53" s="1"/>
  <c r="T214" i="49"/>
  <c r="E218" i="45" s="1"/>
  <c r="E213" i="53" s="1"/>
  <c r="T154" i="49"/>
  <c r="E158" i="45" s="1"/>
  <c r="E153" i="53" s="1"/>
  <c r="T94" i="49"/>
  <c r="E98" i="45" s="1"/>
  <c r="E93" i="53" s="1"/>
  <c r="T273" i="49"/>
  <c r="E277" i="45" s="1"/>
  <c r="E272" i="53" s="1"/>
  <c r="T153" i="49"/>
  <c r="E157" i="45" s="1"/>
  <c r="E152" i="53" s="1"/>
  <c r="T33" i="49"/>
  <c r="E37" i="45" s="1"/>
  <c r="E32" i="53" s="1"/>
  <c r="T292" i="49"/>
  <c r="E296" i="45" s="1"/>
  <c r="E291" i="53" s="1"/>
  <c r="T152" i="49"/>
  <c r="E156" i="45" s="1"/>
  <c r="E151" i="53" s="1"/>
  <c r="T52" i="49"/>
  <c r="E56" i="45" s="1"/>
  <c r="E51" i="53" s="1"/>
  <c r="T331" i="49"/>
  <c r="E335" i="45" s="1"/>
  <c r="E330" i="53" s="1"/>
  <c r="T311" i="49"/>
  <c r="E315" i="45" s="1"/>
  <c r="E310" i="53" s="1"/>
  <c r="T231" i="49"/>
  <c r="E235" i="45" s="1"/>
  <c r="E230" i="53" s="1"/>
  <c r="T191" i="49"/>
  <c r="E195" i="45" s="1"/>
  <c r="E190" i="53" s="1"/>
  <c r="T151" i="49"/>
  <c r="E155" i="45" s="1"/>
  <c r="E150" i="53" s="1"/>
  <c r="T111" i="49"/>
  <c r="E115" i="45" s="1"/>
  <c r="E110" i="53" s="1"/>
  <c r="T11" i="49"/>
  <c r="E15" i="45" s="1"/>
  <c r="E10" i="53" s="1"/>
  <c r="T350" i="49"/>
  <c r="E354" i="45" s="1"/>
  <c r="E349" i="53" s="1"/>
  <c r="T330" i="49"/>
  <c r="E334" i="45" s="1"/>
  <c r="E329" i="53" s="1"/>
  <c r="T310" i="49"/>
  <c r="E314" i="45" s="1"/>
  <c r="E309" i="53" s="1"/>
  <c r="T290" i="49"/>
  <c r="E294" i="45" s="1"/>
  <c r="E289" i="53" s="1"/>
  <c r="T270" i="49"/>
  <c r="E274" i="45" s="1"/>
  <c r="E269" i="53" s="1"/>
  <c r="T250" i="49"/>
  <c r="E254" i="45" s="1"/>
  <c r="E249" i="53" s="1"/>
  <c r="T230" i="49"/>
  <c r="E234" i="45" s="1"/>
  <c r="E229" i="53" s="1"/>
  <c r="T210" i="49"/>
  <c r="E214" i="45" s="1"/>
  <c r="E209" i="53" s="1"/>
  <c r="T190" i="49"/>
  <c r="E194" i="45" s="1"/>
  <c r="E189" i="53" s="1"/>
  <c r="T170" i="49"/>
  <c r="E174" i="45" s="1"/>
  <c r="E169" i="53" s="1"/>
  <c r="T150" i="49"/>
  <c r="E154" i="45" s="1"/>
  <c r="E149" i="53" s="1"/>
  <c r="T130" i="49"/>
  <c r="E134" i="45" s="1"/>
  <c r="E129" i="53" s="1"/>
  <c r="T110" i="49"/>
  <c r="E114" i="45" s="1"/>
  <c r="E109" i="53" s="1"/>
  <c r="T90" i="49"/>
  <c r="E94" i="45" s="1"/>
  <c r="E89" i="53" s="1"/>
  <c r="T70" i="49"/>
  <c r="E74" i="45" s="1"/>
  <c r="E69" i="53" s="1"/>
  <c r="T50" i="49"/>
  <c r="E54" i="45" s="1"/>
  <c r="E49" i="53" s="1"/>
  <c r="T30" i="49"/>
  <c r="E34" i="45" s="1"/>
  <c r="E29" i="53" s="1"/>
  <c r="T10" i="49"/>
  <c r="E14" i="45" s="1"/>
  <c r="E9" i="53" s="1"/>
  <c r="T105" i="49"/>
  <c r="E109" i="45" s="1"/>
  <c r="E104" i="53" s="1"/>
  <c r="T44" i="49"/>
  <c r="E48" i="45" s="1"/>
  <c r="E43" i="53" s="1"/>
  <c r="T316" i="49"/>
  <c r="E320" i="45" s="1"/>
  <c r="E315" i="53" s="1"/>
  <c r="T196" i="49"/>
  <c r="E200" i="45" s="1"/>
  <c r="E195" i="53" s="1"/>
  <c r="T36" i="49"/>
  <c r="E40" i="45" s="1"/>
  <c r="E35" i="53" s="1"/>
  <c r="T295" i="49"/>
  <c r="E299" i="45" s="1"/>
  <c r="E294" i="53" s="1"/>
  <c r="T195" i="49"/>
  <c r="E199" i="45" s="1"/>
  <c r="E194" i="53" s="1"/>
  <c r="T115" i="49"/>
  <c r="E119" i="45" s="1"/>
  <c r="E114" i="53" s="1"/>
  <c r="T95" i="49"/>
  <c r="E99" i="45" s="1"/>
  <c r="E94" i="53" s="1"/>
  <c r="T274" i="49"/>
  <c r="E278" i="45" s="1"/>
  <c r="E273" i="53" s="1"/>
  <c r="T134" i="49"/>
  <c r="E138" i="45" s="1"/>
  <c r="E133" i="53" s="1"/>
  <c r="T34" i="49"/>
  <c r="E38" i="45" s="1"/>
  <c r="E33" i="53" s="1"/>
  <c r="T213" i="49"/>
  <c r="E217" i="45" s="1"/>
  <c r="E212" i="53" s="1"/>
  <c r="T13" i="49"/>
  <c r="E17" i="45" s="1"/>
  <c r="E12" i="53" s="1"/>
  <c r="T232" i="49"/>
  <c r="E236" i="45" s="1"/>
  <c r="E231" i="53" s="1"/>
  <c r="T92" i="49"/>
  <c r="E96" i="45" s="1"/>
  <c r="E91" i="53" s="1"/>
  <c r="T31" i="49"/>
  <c r="E35" i="45" s="1"/>
  <c r="E30" i="53" s="1"/>
  <c r="T349" i="49"/>
  <c r="E353" i="45" s="1"/>
  <c r="E348" i="53" s="1"/>
  <c r="T329" i="49"/>
  <c r="E333" i="45" s="1"/>
  <c r="E328" i="53" s="1"/>
  <c r="T309" i="49"/>
  <c r="E313" i="45" s="1"/>
  <c r="E308" i="53" s="1"/>
  <c r="T289" i="49"/>
  <c r="E293" i="45" s="1"/>
  <c r="E288" i="53" s="1"/>
  <c r="T269" i="49"/>
  <c r="E273" i="45" s="1"/>
  <c r="E268" i="53" s="1"/>
  <c r="T249" i="49"/>
  <c r="E253" i="45" s="1"/>
  <c r="E248" i="53" s="1"/>
  <c r="T229" i="49"/>
  <c r="E233" i="45" s="1"/>
  <c r="E228" i="53" s="1"/>
  <c r="T209" i="49"/>
  <c r="E213" i="45" s="1"/>
  <c r="E208" i="53" s="1"/>
  <c r="T189" i="49"/>
  <c r="E193" i="45" s="1"/>
  <c r="E188" i="53" s="1"/>
  <c r="T169" i="49"/>
  <c r="E173" i="45" s="1"/>
  <c r="E168" i="53" s="1"/>
  <c r="T149" i="49"/>
  <c r="E153" i="45" s="1"/>
  <c r="E148" i="53" s="1"/>
  <c r="T129" i="49"/>
  <c r="E133" i="45" s="1"/>
  <c r="E128" i="53" s="1"/>
  <c r="T109" i="49"/>
  <c r="E113" i="45" s="1"/>
  <c r="E108" i="53" s="1"/>
  <c r="T89" i="49"/>
  <c r="E93" i="45" s="1"/>
  <c r="E88" i="53" s="1"/>
  <c r="T69" i="49"/>
  <c r="E73" i="45" s="1"/>
  <c r="E68" i="53" s="1"/>
  <c r="T49" i="49"/>
  <c r="E53" i="45" s="1"/>
  <c r="E48" i="53" s="1"/>
  <c r="T29" i="49"/>
  <c r="E33" i="45" s="1"/>
  <c r="E28" i="53" s="1"/>
  <c r="T9" i="49"/>
  <c r="E13" i="45" s="1"/>
  <c r="E8" i="53" s="1"/>
  <c r="T45" i="49"/>
  <c r="E49" i="45" s="1"/>
  <c r="E44" i="53" s="1"/>
  <c r="T124" i="49"/>
  <c r="E128" i="45" s="1"/>
  <c r="E123" i="53" s="1"/>
  <c r="T276" i="49"/>
  <c r="E280" i="45" s="1"/>
  <c r="E275" i="53" s="1"/>
  <c r="T156" i="49"/>
  <c r="E160" i="45" s="1"/>
  <c r="E155" i="53" s="1"/>
  <c r="T96" i="49"/>
  <c r="E100" i="45" s="1"/>
  <c r="E95" i="53" s="1"/>
  <c r="T275" i="49"/>
  <c r="E279" i="45" s="1"/>
  <c r="E274" i="53" s="1"/>
  <c r="T135" i="49"/>
  <c r="E139" i="45" s="1"/>
  <c r="E134" i="53" s="1"/>
  <c r="T35" i="49"/>
  <c r="E39" i="45" s="1"/>
  <c r="E34" i="53" s="1"/>
  <c r="T194" i="49"/>
  <c r="E198" i="45" s="1"/>
  <c r="E193" i="53" s="1"/>
  <c r="T14" i="49"/>
  <c r="E18" i="45" s="1"/>
  <c r="E13" i="53" s="1"/>
  <c r="T333" i="49"/>
  <c r="E337" i="45" s="1"/>
  <c r="E332" i="53" s="1"/>
  <c r="T233" i="49"/>
  <c r="E237" i="45" s="1"/>
  <c r="E232" i="53" s="1"/>
  <c r="T113" i="49"/>
  <c r="E117" i="45" s="1"/>
  <c r="E112" i="53" s="1"/>
  <c r="T53" i="49"/>
  <c r="E57" i="45" s="1"/>
  <c r="E52" i="53" s="1"/>
  <c r="T212" i="49"/>
  <c r="E216" i="45" s="1"/>
  <c r="E211" i="53" s="1"/>
  <c r="T112" i="49"/>
  <c r="E116" i="45" s="1"/>
  <c r="E111" i="53" s="1"/>
  <c r="T12" i="49"/>
  <c r="E16" i="45" s="1"/>
  <c r="E11" i="53" s="1"/>
  <c r="T251" i="49"/>
  <c r="E255" i="45" s="1"/>
  <c r="E250" i="53" s="1"/>
  <c r="T51" i="49"/>
  <c r="E55" i="45" s="1"/>
  <c r="E50" i="53" s="1"/>
  <c r="T348" i="49"/>
  <c r="E352" i="45" s="1"/>
  <c r="E347" i="53" s="1"/>
  <c r="T328" i="49"/>
  <c r="E332" i="45" s="1"/>
  <c r="E327" i="53" s="1"/>
  <c r="T308" i="49"/>
  <c r="E312" i="45" s="1"/>
  <c r="E307" i="53" s="1"/>
  <c r="T288" i="49"/>
  <c r="E292" i="45" s="1"/>
  <c r="E287" i="53" s="1"/>
  <c r="T268" i="49"/>
  <c r="E272" i="45" s="1"/>
  <c r="E267" i="53" s="1"/>
  <c r="T248" i="49"/>
  <c r="E252" i="45" s="1"/>
  <c r="E247" i="53" s="1"/>
  <c r="T228" i="49"/>
  <c r="E232" i="45" s="1"/>
  <c r="E227" i="53" s="1"/>
  <c r="T208" i="49"/>
  <c r="E212" i="45" s="1"/>
  <c r="E207" i="53" s="1"/>
  <c r="T188" i="49"/>
  <c r="E192" i="45" s="1"/>
  <c r="E187" i="53" s="1"/>
  <c r="T168" i="49"/>
  <c r="E172" i="45" s="1"/>
  <c r="E167" i="53" s="1"/>
  <c r="T148" i="49"/>
  <c r="E152" i="45" s="1"/>
  <c r="E147" i="53" s="1"/>
  <c r="T128" i="49"/>
  <c r="E132" i="45" s="1"/>
  <c r="E127" i="53" s="1"/>
  <c r="T108" i="49"/>
  <c r="E112" i="45" s="1"/>
  <c r="E107" i="53" s="1"/>
  <c r="T88" i="49"/>
  <c r="E92" i="45" s="1"/>
  <c r="E87" i="53" s="1"/>
  <c r="T68" i="49"/>
  <c r="E72" i="45" s="1"/>
  <c r="E67" i="53" s="1"/>
  <c r="T48" i="49"/>
  <c r="E52" i="45" s="1"/>
  <c r="E47" i="53" s="1"/>
  <c r="T28" i="49"/>
  <c r="E32" i="45" s="1"/>
  <c r="E27" i="53" s="1"/>
  <c r="T8" i="49"/>
  <c r="E12" i="45" s="1"/>
  <c r="E7" i="53" s="1"/>
  <c r="T85" i="49"/>
  <c r="E89" i="45" s="1"/>
  <c r="E84" i="53" s="1"/>
  <c r="T104" i="49"/>
  <c r="E108" i="45" s="1"/>
  <c r="E103" i="53" s="1"/>
  <c r="T256" i="49"/>
  <c r="E260" i="45" s="1"/>
  <c r="T136" i="49"/>
  <c r="E140" i="45" s="1"/>
  <c r="E135" i="53" s="1"/>
  <c r="T56" i="49"/>
  <c r="E60" i="45" s="1"/>
  <c r="E55" i="53" s="1"/>
  <c r="T255" i="49"/>
  <c r="E259" i="45" s="1"/>
  <c r="E254" i="53" s="1"/>
  <c r="T175" i="49"/>
  <c r="E179" i="45" s="1"/>
  <c r="E174" i="53" s="1"/>
  <c r="T55" i="49"/>
  <c r="E59" i="45" s="1"/>
  <c r="E54" i="53" s="1"/>
  <c r="T314" i="49"/>
  <c r="E318" i="45" s="1"/>
  <c r="E313" i="53" s="1"/>
  <c r="T174" i="49"/>
  <c r="E178" i="45" s="1"/>
  <c r="E173" i="53" s="1"/>
  <c r="T74" i="49"/>
  <c r="E78" i="45" s="1"/>
  <c r="E73" i="53" s="1"/>
  <c r="T313" i="49"/>
  <c r="E317" i="45" s="1"/>
  <c r="E312" i="53" s="1"/>
  <c r="T253" i="49"/>
  <c r="E257" i="45" s="1"/>
  <c r="E252" i="53" s="1"/>
  <c r="T173" i="49"/>
  <c r="E177" i="45" s="1"/>
  <c r="E172" i="53" s="1"/>
  <c r="T133" i="49"/>
  <c r="E137" i="45" s="1"/>
  <c r="E132" i="53" s="1"/>
  <c r="T73" i="49"/>
  <c r="E77" i="45" s="1"/>
  <c r="E72" i="53" s="1"/>
  <c r="T332" i="49"/>
  <c r="E336" i="45" s="1"/>
  <c r="E331" i="53" s="1"/>
  <c r="T272" i="49"/>
  <c r="E276" i="45" s="1"/>
  <c r="E271" i="53" s="1"/>
  <c r="T252" i="49"/>
  <c r="E256" i="45" s="1"/>
  <c r="E251" i="53" s="1"/>
  <c r="T192" i="49"/>
  <c r="E196" i="45" s="1"/>
  <c r="E191" i="53" s="1"/>
  <c r="T132" i="49"/>
  <c r="E136" i="45" s="1"/>
  <c r="E131" i="53" s="1"/>
  <c r="T72" i="49"/>
  <c r="E76" i="45" s="1"/>
  <c r="E71" i="53" s="1"/>
  <c r="T271" i="49"/>
  <c r="E275" i="45" s="1"/>
  <c r="E270" i="53" s="1"/>
  <c r="T71" i="49"/>
  <c r="E75" i="45" s="1"/>
  <c r="E70" i="53" s="1"/>
  <c r="T347" i="49"/>
  <c r="E351" i="45" s="1"/>
  <c r="E346" i="53" s="1"/>
  <c r="T327" i="49"/>
  <c r="E331" i="45" s="1"/>
  <c r="E326" i="53" s="1"/>
  <c r="T307" i="49"/>
  <c r="E311" i="45" s="1"/>
  <c r="E306" i="53" s="1"/>
  <c r="T287" i="49"/>
  <c r="E291" i="45" s="1"/>
  <c r="E286" i="53" s="1"/>
  <c r="T267" i="49"/>
  <c r="E271" i="45" s="1"/>
  <c r="E266" i="53" s="1"/>
  <c r="T247" i="49"/>
  <c r="E251" i="45" s="1"/>
  <c r="E246" i="53" s="1"/>
  <c r="T227" i="49"/>
  <c r="E231" i="45" s="1"/>
  <c r="E226" i="53" s="1"/>
  <c r="T207" i="49"/>
  <c r="E211" i="45" s="1"/>
  <c r="E206" i="53" s="1"/>
  <c r="T187" i="49"/>
  <c r="E191" i="45" s="1"/>
  <c r="E186" i="53" s="1"/>
  <c r="T167" i="49"/>
  <c r="E171" i="45" s="1"/>
  <c r="E166" i="53" s="1"/>
  <c r="T147" i="49"/>
  <c r="E151" i="45" s="1"/>
  <c r="E146" i="53" s="1"/>
  <c r="T127" i="49"/>
  <c r="E131" i="45" s="1"/>
  <c r="E126" i="53" s="1"/>
  <c r="T107" i="49"/>
  <c r="E111" i="45" s="1"/>
  <c r="E106" i="53" s="1"/>
  <c r="T87" i="49"/>
  <c r="E91" i="45" s="1"/>
  <c r="E86" i="53" s="1"/>
  <c r="T67" i="49"/>
  <c r="E71" i="45" s="1"/>
  <c r="E66" i="53" s="1"/>
  <c r="T47" i="49"/>
  <c r="E51" i="45" s="1"/>
  <c r="E46" i="53" s="1"/>
  <c r="T27" i="49"/>
  <c r="E31" i="45" s="1"/>
  <c r="E26" i="53" s="1"/>
  <c r="T7" i="49"/>
  <c r="E11" i="45" s="1"/>
  <c r="E6" i="53" s="1"/>
  <c r="T65" i="49"/>
  <c r="E69" i="45" s="1"/>
  <c r="E64" i="53" s="1"/>
  <c r="T84" i="49"/>
  <c r="E88" i="45" s="1"/>
  <c r="E83" i="53" s="1"/>
  <c r="T336" i="49"/>
  <c r="E340" i="45" s="1"/>
  <c r="E335" i="53" s="1"/>
  <c r="T296" i="49"/>
  <c r="E300" i="45" s="1"/>
  <c r="E295" i="53" s="1"/>
  <c r="T236" i="49"/>
  <c r="E240" i="45" s="1"/>
  <c r="E235" i="53" s="1"/>
  <c r="T176" i="49"/>
  <c r="E180" i="45" s="1"/>
  <c r="E175" i="53" s="1"/>
  <c r="T116" i="49"/>
  <c r="E120" i="45" s="1"/>
  <c r="E115" i="53" s="1"/>
  <c r="T76" i="49"/>
  <c r="E80" i="45" s="1"/>
  <c r="E75" i="53" s="1"/>
  <c r="T215" i="49"/>
  <c r="E219" i="45" s="1"/>
  <c r="E214" i="53" s="1"/>
  <c r="T15" i="49"/>
  <c r="E19" i="45" s="1"/>
  <c r="E14" i="53" s="1"/>
  <c r="T234" i="49"/>
  <c r="E238" i="45" s="1"/>
  <c r="E233" i="53" s="1"/>
  <c r="T114" i="49"/>
  <c r="E118" i="45" s="1"/>
  <c r="E113" i="53" s="1"/>
  <c r="T54" i="49"/>
  <c r="E58" i="45" s="1"/>
  <c r="E53" i="53" s="1"/>
  <c r="T293" i="49"/>
  <c r="E297" i="45" s="1"/>
  <c r="E292" i="53" s="1"/>
  <c r="T193" i="49"/>
  <c r="E197" i="45" s="1"/>
  <c r="E192" i="53" s="1"/>
  <c r="T93" i="49"/>
  <c r="E97" i="45" s="1"/>
  <c r="E92" i="53" s="1"/>
  <c r="T312" i="49"/>
  <c r="E316" i="45" s="1"/>
  <c r="E311" i="53" s="1"/>
  <c r="T172" i="49"/>
  <c r="E176" i="45" s="1"/>
  <c r="E171" i="53" s="1"/>
  <c r="T32" i="49"/>
  <c r="E36" i="45" s="1"/>
  <c r="E31" i="53" s="1"/>
  <c r="T291" i="49"/>
  <c r="E295" i="45" s="1"/>
  <c r="E290" i="53" s="1"/>
  <c r="T211" i="49"/>
  <c r="E215" i="45" s="1"/>
  <c r="E210" i="53" s="1"/>
  <c r="T171" i="49"/>
  <c r="E175" i="45" s="1"/>
  <c r="E170" i="53" s="1"/>
  <c r="T131" i="49"/>
  <c r="E135" i="45" s="1"/>
  <c r="E130" i="53" s="1"/>
  <c r="T91" i="49"/>
  <c r="E95" i="45" s="1"/>
  <c r="E90" i="53" s="1"/>
  <c r="T346" i="49"/>
  <c r="E350" i="45" s="1"/>
  <c r="E345" i="53" s="1"/>
  <c r="T326" i="49"/>
  <c r="E330" i="45" s="1"/>
  <c r="E325" i="53" s="1"/>
  <c r="T306" i="49"/>
  <c r="E310" i="45" s="1"/>
  <c r="E305" i="53" s="1"/>
  <c r="T286" i="49"/>
  <c r="E290" i="45" s="1"/>
  <c r="E285" i="53" s="1"/>
  <c r="T266" i="49"/>
  <c r="E270" i="45" s="1"/>
  <c r="E265" i="53" s="1"/>
  <c r="T246" i="49"/>
  <c r="E250" i="45" s="1"/>
  <c r="E245" i="53" s="1"/>
  <c r="T226" i="49"/>
  <c r="E230" i="45" s="1"/>
  <c r="E225" i="53" s="1"/>
  <c r="T206" i="49"/>
  <c r="E210" i="45" s="1"/>
  <c r="E205" i="53" s="1"/>
  <c r="T186" i="49"/>
  <c r="E190" i="45" s="1"/>
  <c r="E185" i="53" s="1"/>
  <c r="T166" i="49"/>
  <c r="E170" i="45" s="1"/>
  <c r="E165" i="53" s="1"/>
  <c r="T146" i="49"/>
  <c r="E150" i="45" s="1"/>
  <c r="E145" i="53" s="1"/>
  <c r="T126" i="49"/>
  <c r="E130" i="45" s="1"/>
  <c r="E125" i="53" s="1"/>
  <c r="T106" i="49"/>
  <c r="E110" i="45" s="1"/>
  <c r="E105" i="53" s="1"/>
  <c r="T86" i="49"/>
  <c r="E90" i="45" s="1"/>
  <c r="E85" i="53" s="1"/>
  <c r="T66" i="49"/>
  <c r="E70" i="45" s="1"/>
  <c r="E65" i="53" s="1"/>
  <c r="T46" i="49"/>
  <c r="E50" i="45" s="1"/>
  <c r="E45" i="53" s="1"/>
  <c r="T26" i="49"/>
  <c r="E30" i="45" s="1"/>
  <c r="E25" i="53" s="1"/>
  <c r="T6" i="49"/>
  <c r="E10" i="45" s="1"/>
  <c r="E5" i="53" s="1"/>
  <c r="V137" i="46"/>
  <c r="V352" i="46"/>
  <c r="V349" i="46"/>
  <c r="V317" i="46"/>
  <c r="V253" i="46"/>
  <c r="V212" i="46"/>
  <c r="V121" i="46"/>
  <c r="V218" i="46"/>
  <c r="V194" i="46"/>
  <c r="V191" i="46"/>
  <c r="V148" i="46"/>
  <c r="V164" i="46"/>
  <c r="V315" i="46"/>
  <c r="V269" i="46"/>
  <c r="V225" i="46"/>
  <c r="V302" i="46"/>
  <c r="V331" i="46"/>
  <c r="V160" i="46"/>
  <c r="V275" i="46"/>
  <c r="V250" i="46"/>
  <c r="V223" i="46"/>
  <c r="V339" i="46"/>
  <c r="V313" i="46"/>
  <c r="V328" i="46"/>
  <c r="V145" i="46"/>
  <c r="V264" i="46"/>
  <c r="V283" i="46"/>
  <c r="V263" i="46"/>
  <c r="V282" i="46"/>
  <c r="V181" i="46"/>
  <c r="V222" i="46"/>
  <c r="V163" i="46"/>
  <c r="V319" i="46"/>
  <c r="V208" i="46"/>
  <c r="V278" i="46"/>
  <c r="V286" i="46"/>
  <c r="V157" i="46"/>
  <c r="V196" i="46"/>
  <c r="V215" i="46"/>
  <c r="V254" i="46"/>
  <c r="V293" i="46"/>
  <c r="V207" i="46"/>
  <c r="V251" i="46"/>
  <c r="V252" i="46"/>
  <c r="V332" i="46"/>
  <c r="V130" i="46"/>
  <c r="V169" i="46"/>
  <c r="V176" i="46"/>
  <c r="V273" i="46"/>
  <c r="V152" i="46"/>
  <c r="V272" i="46"/>
  <c r="V238" i="46"/>
  <c r="V214" i="46"/>
  <c r="V350" i="46"/>
  <c r="V346" i="46"/>
  <c r="V155" i="46"/>
  <c r="V310" i="46"/>
  <c r="V245" i="46"/>
  <c r="V219" i="46"/>
  <c r="V296" i="46"/>
  <c r="V351" i="46"/>
  <c r="V246" i="46"/>
  <c r="V190" i="46"/>
  <c r="V205" i="46"/>
  <c r="V353" i="46"/>
  <c r="V165" i="46"/>
  <c r="V216" i="46"/>
  <c r="V312" i="46"/>
  <c r="V147" i="46"/>
  <c r="V292" i="46"/>
  <c r="V168" i="46"/>
  <c r="V259" i="46"/>
  <c r="V136" i="46"/>
  <c r="V233" i="46"/>
  <c r="V309" i="46"/>
  <c r="V192" i="46"/>
  <c r="V128" i="46"/>
  <c r="V281" i="46"/>
  <c r="V183" i="46"/>
  <c r="V257" i="46"/>
  <c r="V193" i="46"/>
  <c r="V344" i="46"/>
  <c r="V295" i="46"/>
  <c r="V124" i="46"/>
  <c r="V280" i="46"/>
  <c r="V314" i="46"/>
  <c r="V308" i="46"/>
  <c r="V201" i="46"/>
  <c r="V274" i="46"/>
  <c r="V189" i="46"/>
  <c r="V167" i="46"/>
  <c r="V125" i="46"/>
  <c r="V244" i="46"/>
  <c r="V203" i="46"/>
  <c r="V262" i="46"/>
  <c r="V162" i="46"/>
  <c r="V161" i="46"/>
  <c r="V142" i="46"/>
  <c r="V322" i="46"/>
  <c r="V299" i="46"/>
  <c r="V307" i="46"/>
  <c r="V258" i="46"/>
  <c r="V337" i="46"/>
  <c r="V195" i="46"/>
  <c r="V234" i="46"/>
  <c r="V231" i="46"/>
  <c r="V149" i="46"/>
  <c r="V175" i="46"/>
  <c r="V329" i="46"/>
  <c r="V123" i="46"/>
  <c r="V202" i="46"/>
  <c r="V297" i="46"/>
  <c r="V232" i="46"/>
  <c r="V289" i="46"/>
  <c r="V345" i="46"/>
  <c r="V330" i="46"/>
  <c r="V180" i="46"/>
  <c r="V276" i="46"/>
  <c r="V290" i="46"/>
  <c r="V343" i="46"/>
  <c r="V153" i="46"/>
  <c r="V305" i="46"/>
  <c r="V267" i="46"/>
  <c r="V271" i="46"/>
  <c r="V306" i="46"/>
  <c r="V227" i="46"/>
  <c r="V224" i="46"/>
  <c r="V143" i="46"/>
  <c r="V182" i="46"/>
  <c r="V341" i="46"/>
  <c r="V141" i="46"/>
  <c r="V300" i="46"/>
  <c r="V242" i="46"/>
  <c r="V279" i="46"/>
  <c r="V268" i="46"/>
  <c r="V156" i="46"/>
  <c r="V211" i="46"/>
  <c r="V129" i="46"/>
  <c r="V321" i="46"/>
  <c r="V336" i="46"/>
  <c r="V172" i="46"/>
  <c r="V171" i="46"/>
  <c r="V347" i="46"/>
  <c r="V178" i="46"/>
  <c r="V261" i="46"/>
  <c r="V173" i="46"/>
  <c r="V324" i="46"/>
  <c r="V217" i="46"/>
  <c r="V210" i="46"/>
  <c r="V342" i="46"/>
  <c r="V260" i="46"/>
  <c r="V270" i="46"/>
  <c r="V187" i="46"/>
  <c r="V340" i="46"/>
  <c r="V354" i="46"/>
  <c r="V166" i="46"/>
  <c r="V158" i="46"/>
  <c r="V334" i="46"/>
  <c r="V266" i="46"/>
  <c r="V338" i="46"/>
  <c r="V311" i="46"/>
  <c r="V287" i="46"/>
  <c r="V323" i="46"/>
  <c r="V235" i="46"/>
  <c r="V327" i="46"/>
  <c r="V146" i="46"/>
  <c r="V204" i="46"/>
  <c r="V226" i="46"/>
  <c r="V320" i="46"/>
  <c r="V179" i="46"/>
  <c r="V229" i="46"/>
  <c r="V209" i="46"/>
  <c r="V177" i="46"/>
  <c r="V326" i="46"/>
  <c r="V151" i="46"/>
  <c r="V127" i="46"/>
  <c r="V199" i="46"/>
  <c r="V237" i="46"/>
  <c r="V131" i="46"/>
  <c r="V241" i="46"/>
  <c r="V256" i="46"/>
  <c r="V150" i="46"/>
  <c r="V284" i="46"/>
  <c r="V298" i="46"/>
  <c r="V228" i="46"/>
  <c r="V265" i="46"/>
  <c r="V186" i="46"/>
  <c r="V184" i="46"/>
  <c r="V288" i="46"/>
  <c r="V247" i="46"/>
  <c r="V301" i="46"/>
  <c r="V348" i="46"/>
  <c r="V240" i="46"/>
  <c r="V122" i="46"/>
  <c r="V239" i="46"/>
  <c r="V126" i="46"/>
  <c r="V198" i="46"/>
  <c r="V277" i="46"/>
  <c r="V316" i="46"/>
  <c r="V335" i="46"/>
  <c r="V135" i="46"/>
  <c r="V174" i="46"/>
  <c r="V213" i="46"/>
  <c r="V132" i="46"/>
  <c r="V200" i="46"/>
  <c r="V154" i="46"/>
  <c r="V230" i="46"/>
  <c r="V144" i="46"/>
  <c r="V134" i="46"/>
  <c r="V249" i="46"/>
  <c r="V325" i="46"/>
  <c r="V138" i="46"/>
  <c r="V248" i="46"/>
  <c r="V120" i="46"/>
  <c r="V185" i="46"/>
  <c r="V304" i="46"/>
  <c r="V206" i="46"/>
  <c r="V285" i="46"/>
  <c r="V303" i="46"/>
  <c r="V221" i="46"/>
  <c r="V243" i="46"/>
  <c r="V140" i="46"/>
  <c r="V220" i="46"/>
  <c r="V159" i="46"/>
  <c r="V318" i="46"/>
  <c r="V188" i="46"/>
  <c r="V197" i="46"/>
  <c r="V236" i="46"/>
  <c r="V255" i="46"/>
  <c r="V294" i="46"/>
  <c r="V333" i="46"/>
  <c r="V133" i="46"/>
  <c r="V291" i="46"/>
  <c r="V139" i="46"/>
  <c r="V170" i="46"/>
  <c r="V57" i="46"/>
  <c r="V70" i="46"/>
  <c r="V74" i="46"/>
  <c r="V99" i="46"/>
  <c r="V37" i="46"/>
  <c r="V16" i="46"/>
  <c r="V35" i="46"/>
  <c r="V79" i="46"/>
  <c r="V114" i="46"/>
  <c r="V88" i="46"/>
  <c r="V9" i="46"/>
  <c r="V119" i="46"/>
  <c r="V29" i="46"/>
  <c r="V59" i="46"/>
  <c r="V47" i="46"/>
  <c r="V77" i="46"/>
  <c r="V56" i="46"/>
  <c r="V69" i="46"/>
  <c r="V108" i="46"/>
  <c r="V38" i="46"/>
  <c r="V12" i="46"/>
  <c r="V14" i="46"/>
  <c r="V112" i="46"/>
  <c r="V11" i="46"/>
  <c r="V41" i="46"/>
  <c r="V91" i="46"/>
  <c r="V107" i="46"/>
  <c r="V66" i="46"/>
  <c r="V40" i="46"/>
  <c r="V17" i="46"/>
  <c r="V46" i="46"/>
  <c r="V13" i="46"/>
  <c r="V26" i="46"/>
  <c r="V32" i="46"/>
  <c r="V27" i="46"/>
  <c r="V81" i="46"/>
  <c r="V44" i="46"/>
  <c r="V100" i="46"/>
  <c r="V102" i="46"/>
  <c r="V20" i="46"/>
  <c r="V55" i="46"/>
  <c r="V116" i="46"/>
  <c r="V98" i="46"/>
  <c r="V97" i="46"/>
  <c r="V30" i="46"/>
  <c r="V42" i="46"/>
  <c r="V65" i="46"/>
  <c r="V82" i="46"/>
  <c r="V75" i="46"/>
  <c r="V105" i="46"/>
  <c r="V67" i="46"/>
  <c r="V62" i="46"/>
  <c r="V113" i="46"/>
  <c r="V72" i="46"/>
  <c r="V33" i="46"/>
  <c r="V22" i="46"/>
  <c r="V78" i="46"/>
  <c r="V60" i="46"/>
  <c r="V31" i="46"/>
  <c r="V15" i="46"/>
  <c r="V49" i="46"/>
  <c r="V48" i="46"/>
  <c r="V80" i="46"/>
  <c r="V39" i="46"/>
  <c r="V10" i="46"/>
  <c r="V76" i="46"/>
  <c r="V109" i="46"/>
  <c r="V51" i="46"/>
  <c r="V110" i="46"/>
  <c r="V96" i="46"/>
  <c r="V61" i="46"/>
  <c r="V93" i="46"/>
  <c r="V118" i="46"/>
  <c r="V63" i="46"/>
  <c r="V106" i="46"/>
  <c r="V111" i="46"/>
  <c r="V53" i="46"/>
  <c r="V115" i="46"/>
  <c r="V43" i="46"/>
  <c r="V23" i="46"/>
  <c r="V28" i="46"/>
  <c r="V103" i="46"/>
  <c r="V85" i="46"/>
  <c r="V50" i="46"/>
  <c r="V18" i="46"/>
  <c r="V34" i="46"/>
  <c r="V52" i="46"/>
  <c r="V101" i="46"/>
  <c r="V94" i="46"/>
  <c r="V117" i="46"/>
  <c r="V58" i="46"/>
  <c r="V24" i="46"/>
  <c r="V73" i="46"/>
  <c r="V89" i="46"/>
  <c r="V92" i="46"/>
  <c r="V25" i="46"/>
  <c r="V64" i="46"/>
  <c r="V84" i="46"/>
  <c r="V21" i="46"/>
  <c r="V90" i="46"/>
  <c r="V104" i="46"/>
  <c r="V87" i="46"/>
  <c r="V68" i="46"/>
  <c r="V19" i="46"/>
  <c r="V83" i="46"/>
  <c r="V54" i="46"/>
  <c r="V36" i="46"/>
  <c r="V71" i="46"/>
  <c r="V86" i="46"/>
  <c r="V45" i="46"/>
  <c r="V95" i="46"/>
  <c r="W1" i="53"/>
  <c r="T7" i="44"/>
  <c r="U7" i="44"/>
  <c r="M10" i="46"/>
  <c r="N10" i="46" s="1"/>
  <c r="L10" i="46"/>
  <c r="Q10" i="46"/>
  <c r="Q11" i="46"/>
  <c r="M11" i="46"/>
  <c r="N11" i="46" s="1"/>
  <c r="L11" i="46"/>
  <c r="M12" i="46"/>
  <c r="N12" i="46" s="1"/>
  <c r="L12" i="46"/>
  <c r="Q12" i="46"/>
  <c r="M13" i="46"/>
  <c r="N13" i="46" s="1"/>
  <c r="L13" i="46"/>
  <c r="Q13" i="46"/>
  <c r="M14" i="46"/>
  <c r="N14" i="46" s="1"/>
  <c r="L14" i="46"/>
  <c r="Q14" i="46"/>
  <c r="M15" i="46"/>
  <c r="Q15" i="46"/>
  <c r="L15" i="46"/>
  <c r="M16" i="46"/>
  <c r="Q16" i="46"/>
  <c r="L16" i="46"/>
  <c r="M17" i="46"/>
  <c r="Q17" i="46"/>
  <c r="L17" i="46"/>
  <c r="M18" i="46"/>
  <c r="Q18" i="46"/>
  <c r="L18" i="46"/>
  <c r="M19" i="46"/>
  <c r="Q19" i="46"/>
  <c r="L19" i="46"/>
  <c r="M20" i="46"/>
  <c r="Q20" i="46"/>
  <c r="L20" i="46"/>
  <c r="M21" i="46"/>
  <c r="Q21" i="46"/>
  <c r="L21" i="46"/>
  <c r="Q22" i="46"/>
  <c r="M22" i="46"/>
  <c r="L22" i="46"/>
  <c r="L23" i="46"/>
  <c r="Q23" i="46"/>
  <c r="M23" i="46"/>
  <c r="L24" i="46"/>
  <c r="Q24" i="46"/>
  <c r="M24" i="46"/>
  <c r="L25" i="46"/>
  <c r="Q25" i="46"/>
  <c r="M25" i="46"/>
  <c r="Q26" i="46"/>
  <c r="L26" i="46"/>
  <c r="M26" i="46"/>
  <c r="L27" i="46"/>
  <c r="Q27" i="46"/>
  <c r="M27" i="46"/>
  <c r="L28" i="46"/>
  <c r="Q28" i="46"/>
  <c r="M28" i="46"/>
  <c r="Q29" i="46"/>
  <c r="M29" i="46"/>
  <c r="L29" i="46"/>
  <c r="M30" i="46"/>
  <c r="L30" i="46"/>
  <c r="Q30" i="46"/>
  <c r="M31" i="46"/>
  <c r="N31" i="46" s="1"/>
  <c r="L31" i="46"/>
  <c r="Q31" i="46"/>
  <c r="Q32" i="46"/>
  <c r="M32" i="46"/>
  <c r="L32" i="46"/>
  <c r="L33" i="46"/>
  <c r="Q33" i="46"/>
  <c r="M33" i="46"/>
  <c r="M34" i="46"/>
  <c r="Q34" i="46"/>
  <c r="L34" i="46"/>
  <c r="M35" i="46"/>
  <c r="Q35" i="46"/>
  <c r="L35" i="46"/>
  <c r="L36" i="46"/>
  <c r="M36" i="46"/>
  <c r="Q36" i="46"/>
  <c r="M37" i="46"/>
  <c r="L37" i="46"/>
  <c r="Q37" i="46"/>
  <c r="L38" i="46"/>
  <c r="Q38" i="46"/>
  <c r="M38" i="46"/>
  <c r="N38" i="46" s="1"/>
  <c r="Q39" i="46"/>
  <c r="M39" i="46"/>
  <c r="N39" i="46" s="1"/>
  <c r="L39" i="46"/>
  <c r="Q40" i="46"/>
  <c r="M40" i="46"/>
  <c r="L40" i="46"/>
  <c r="Q41" i="46"/>
  <c r="M41" i="46"/>
  <c r="L41" i="46"/>
  <c r="L42" i="46"/>
  <c r="Q42" i="46"/>
  <c r="M42" i="46"/>
  <c r="L43" i="46"/>
  <c r="Q43" i="46"/>
  <c r="M43" i="46"/>
  <c r="M44" i="46"/>
  <c r="N44" i="46" s="1"/>
  <c r="L44" i="46"/>
  <c r="Q44" i="46"/>
  <c r="L45" i="46"/>
  <c r="Q45" i="46"/>
  <c r="M45" i="46"/>
  <c r="Q46" i="46"/>
  <c r="L46" i="46"/>
  <c r="M46" i="46"/>
  <c r="L47" i="46"/>
  <c r="Q47" i="46"/>
  <c r="M47" i="46"/>
  <c r="Q48" i="46"/>
  <c r="L48" i="46"/>
  <c r="M48" i="46"/>
  <c r="N48" i="46" s="1"/>
  <c r="L49" i="46"/>
  <c r="Q49" i="46"/>
  <c r="M49" i="46"/>
  <c r="N49" i="46" s="1"/>
  <c r="Q50" i="46"/>
  <c r="L50" i="46"/>
  <c r="M50" i="46"/>
  <c r="N50" i="46" s="1"/>
  <c r="L51" i="46"/>
  <c r="M51" i="46"/>
  <c r="N51" i="46" s="1"/>
  <c r="Q51" i="46"/>
  <c r="L52" i="46"/>
  <c r="Q52" i="46"/>
  <c r="M52" i="46"/>
  <c r="N52" i="46" s="1"/>
  <c r="Q53" i="46"/>
  <c r="M53" i="46"/>
  <c r="L53" i="46"/>
  <c r="L54" i="46"/>
  <c r="Q54" i="46"/>
  <c r="M54" i="46"/>
  <c r="L55" i="46"/>
  <c r="M55" i="46"/>
  <c r="N55" i="46" s="1"/>
  <c r="Q55" i="46"/>
  <c r="L56" i="46"/>
  <c r="M56" i="46"/>
  <c r="N56" i="46" s="1"/>
  <c r="Q56" i="46"/>
  <c r="Q57" i="46"/>
  <c r="M57" i="46"/>
  <c r="L57" i="46"/>
  <c r="L58" i="46"/>
  <c r="Q58" i="46"/>
  <c r="M58" i="46"/>
  <c r="L59" i="46"/>
  <c r="M59" i="46"/>
  <c r="N59" i="46" s="1"/>
  <c r="Q59" i="46"/>
  <c r="M60" i="46"/>
  <c r="N60" i="46" s="1"/>
  <c r="L60" i="46"/>
  <c r="Q60" i="46"/>
  <c r="M61" i="46"/>
  <c r="N61" i="46" s="1"/>
  <c r="Q61" i="46"/>
  <c r="L61" i="46"/>
  <c r="L62" i="46"/>
  <c r="Q62" i="46"/>
  <c r="M62" i="46"/>
  <c r="M63" i="46"/>
  <c r="N63" i="46" s="1"/>
  <c r="L63" i="46"/>
  <c r="Q63" i="46"/>
  <c r="M64" i="46"/>
  <c r="L64" i="46"/>
  <c r="Q64" i="46"/>
  <c r="L65" i="46"/>
  <c r="M65" i="46"/>
  <c r="N65" i="46" s="1"/>
  <c r="Q65" i="46"/>
  <c r="M66" i="46"/>
  <c r="N66" i="46" s="1"/>
  <c r="L66" i="46"/>
  <c r="Q66" i="46"/>
  <c r="Q67" i="46"/>
  <c r="M67" i="46"/>
  <c r="L67" i="46"/>
  <c r="L68" i="46"/>
  <c r="M68" i="46"/>
  <c r="N68" i="46" s="1"/>
  <c r="Q68" i="46"/>
  <c r="Q69" i="46"/>
  <c r="M69" i="46"/>
  <c r="N69" i="46" s="1"/>
  <c r="L69" i="46"/>
  <c r="Q70" i="46"/>
  <c r="M70" i="46"/>
  <c r="L70" i="46"/>
  <c r="L71" i="46"/>
  <c r="M71" i="46"/>
  <c r="N71" i="46" s="1"/>
  <c r="Q71" i="46"/>
  <c r="L72" i="46"/>
  <c r="M72" i="46"/>
  <c r="N72" i="46" s="1"/>
  <c r="Q72" i="46"/>
  <c r="L73" i="46"/>
  <c r="M73" i="46"/>
  <c r="N73" i="46" s="1"/>
  <c r="Q73" i="46"/>
  <c r="L74" i="46"/>
  <c r="M74" i="46"/>
  <c r="N74" i="46" s="1"/>
  <c r="Q74" i="46"/>
  <c r="Q75" i="46"/>
  <c r="M75" i="46"/>
  <c r="N75" i="46" s="1"/>
  <c r="L75" i="46"/>
  <c r="M76" i="46"/>
  <c r="N76" i="46" s="1"/>
  <c r="L76" i="46"/>
  <c r="Q76" i="46"/>
  <c r="M77" i="46"/>
  <c r="L77" i="46"/>
  <c r="Q77" i="46"/>
  <c r="M78" i="46"/>
  <c r="L78" i="46"/>
  <c r="Q78" i="46"/>
  <c r="M79" i="46"/>
  <c r="N79" i="46" s="1"/>
  <c r="L79" i="46"/>
  <c r="Q79" i="46"/>
  <c r="M80" i="46"/>
  <c r="N80" i="46" s="1"/>
  <c r="L80" i="46"/>
  <c r="Q80" i="46"/>
  <c r="L81" i="46"/>
  <c r="M81" i="46"/>
  <c r="N81" i="46" s="1"/>
  <c r="Q81" i="46"/>
  <c r="L82" i="46"/>
  <c r="M82" i="46"/>
  <c r="N82" i="46" s="1"/>
  <c r="Q82" i="46"/>
  <c r="M83" i="46"/>
  <c r="N83" i="46" s="1"/>
  <c r="L83" i="46"/>
  <c r="Q83" i="46"/>
  <c r="Q84" i="46"/>
  <c r="L84" i="46"/>
  <c r="M84" i="46"/>
  <c r="N84" i="46" s="1"/>
  <c r="Q85" i="46"/>
  <c r="M85" i="46"/>
  <c r="N85" i="46" s="1"/>
  <c r="L85" i="46"/>
  <c r="Q86" i="46"/>
  <c r="L86" i="46"/>
  <c r="M86" i="46"/>
  <c r="N86" i="46" s="1"/>
  <c r="L87" i="46"/>
  <c r="M87" i="46"/>
  <c r="Q87" i="46"/>
  <c r="M88" i="46"/>
  <c r="N88" i="46" s="1"/>
  <c r="L88" i="46"/>
  <c r="Q88" i="46"/>
  <c r="Q89" i="46"/>
  <c r="L89" i="46"/>
  <c r="M89" i="46"/>
  <c r="N89" i="46" s="1"/>
  <c r="L90" i="46"/>
  <c r="M90" i="46"/>
  <c r="Q90" i="46"/>
  <c r="L91" i="46"/>
  <c r="Q91" i="46"/>
  <c r="M91" i="46"/>
  <c r="Q92" i="46"/>
  <c r="M92" i="46"/>
  <c r="N92" i="46" s="1"/>
  <c r="L92" i="46"/>
  <c r="Q93" i="46"/>
  <c r="M93" i="46"/>
  <c r="N93" i="46" s="1"/>
  <c r="L93" i="46"/>
  <c r="L94" i="46"/>
  <c r="Q94" i="46"/>
  <c r="M94" i="46"/>
  <c r="L95" i="46"/>
  <c r="M95" i="46"/>
  <c r="N95" i="46" s="1"/>
  <c r="Q95" i="46"/>
  <c r="L96" i="46"/>
  <c r="M96" i="46"/>
  <c r="N96" i="46" s="1"/>
  <c r="Q96" i="46"/>
  <c r="M97" i="46"/>
  <c r="N97" i="46" s="1"/>
  <c r="L97" i="46"/>
  <c r="Q97" i="46"/>
  <c r="M98" i="46"/>
  <c r="N98" i="46" s="1"/>
  <c r="L98" i="46"/>
  <c r="Q98" i="46"/>
  <c r="M99" i="46"/>
  <c r="N99" i="46" s="1"/>
  <c r="L99" i="46"/>
  <c r="Q99" i="46"/>
  <c r="L100" i="46"/>
  <c r="M100" i="46"/>
  <c r="N100" i="46" s="1"/>
  <c r="Q100" i="46"/>
  <c r="L101" i="46"/>
  <c r="M101" i="46"/>
  <c r="N101" i="46" s="1"/>
  <c r="Q101" i="46"/>
  <c r="L102" i="46"/>
  <c r="M102" i="46"/>
  <c r="Q102" i="46"/>
  <c r="M103" i="46"/>
  <c r="N103" i="46" s="1"/>
  <c r="L103" i="46"/>
  <c r="Q103" i="46"/>
  <c r="M104" i="46"/>
  <c r="N104" i="46" s="1"/>
  <c r="Q104" i="46"/>
  <c r="L104" i="46"/>
  <c r="M105" i="46"/>
  <c r="N105" i="46" s="1"/>
  <c r="Q105" i="46"/>
  <c r="L105" i="46"/>
  <c r="L106" i="46"/>
  <c r="M106" i="46"/>
  <c r="Q106" i="46"/>
  <c r="L107" i="46"/>
  <c r="M107" i="46"/>
  <c r="N107" i="46" s="1"/>
  <c r="Q107" i="46"/>
  <c r="Q108" i="46"/>
  <c r="L108" i="46"/>
  <c r="M108" i="46"/>
  <c r="N108" i="46" s="1"/>
  <c r="Q109" i="46"/>
  <c r="L109" i="46"/>
  <c r="M109" i="46"/>
  <c r="N109" i="46" s="1"/>
  <c r="M110" i="46"/>
  <c r="N110" i="46" s="1"/>
  <c r="L110" i="46"/>
  <c r="Q110" i="46"/>
  <c r="M111" i="46"/>
  <c r="N111" i="46" s="1"/>
  <c r="L111" i="46"/>
  <c r="Q111" i="46"/>
  <c r="M112" i="46"/>
  <c r="N112" i="46" s="1"/>
  <c r="L112" i="46"/>
  <c r="Q112" i="46"/>
  <c r="M113" i="46"/>
  <c r="N113" i="46" s="1"/>
  <c r="L113" i="46"/>
  <c r="Q113" i="46"/>
  <c r="Q114" i="46"/>
  <c r="M114" i="46"/>
  <c r="N114" i="46" s="1"/>
  <c r="L114" i="46"/>
  <c r="M115" i="46"/>
  <c r="N115" i="46" s="1"/>
  <c r="Q115" i="46"/>
  <c r="L115" i="46"/>
  <c r="L116" i="46"/>
  <c r="Q116" i="46"/>
  <c r="M116" i="46"/>
  <c r="N116" i="46" s="1"/>
  <c r="Q117" i="46"/>
  <c r="M117" i="46"/>
  <c r="N117" i="46" s="1"/>
  <c r="L117" i="46"/>
  <c r="M118" i="46"/>
  <c r="N118" i="46" s="1"/>
  <c r="Q118" i="46"/>
  <c r="L118" i="46"/>
  <c r="L119" i="46"/>
  <c r="M119" i="46"/>
  <c r="N119" i="46" s="1"/>
  <c r="Q119" i="46"/>
  <c r="Q120" i="46"/>
  <c r="L120" i="46"/>
  <c r="M120" i="46"/>
  <c r="N120" i="46" s="1"/>
  <c r="M121" i="46"/>
  <c r="N121" i="46" s="1"/>
  <c r="Q121" i="46"/>
  <c r="L121" i="46"/>
  <c r="M122" i="46"/>
  <c r="N122" i="46" s="1"/>
  <c r="L122" i="46"/>
  <c r="Q122" i="46"/>
  <c r="M123" i="46"/>
  <c r="N123" i="46" s="1"/>
  <c r="L123" i="46"/>
  <c r="Q123" i="46"/>
  <c r="M124" i="46"/>
  <c r="N124" i="46" s="1"/>
  <c r="L124" i="46"/>
  <c r="Q124" i="46"/>
  <c r="L125" i="46"/>
  <c r="M125" i="46"/>
  <c r="N125" i="46" s="1"/>
  <c r="Q125" i="46"/>
  <c r="Q126" i="46"/>
  <c r="L126" i="46"/>
  <c r="M126" i="46"/>
  <c r="N126" i="46" s="1"/>
  <c r="M127" i="46"/>
  <c r="N127" i="46" s="1"/>
  <c r="L127" i="46"/>
  <c r="Q127" i="46"/>
  <c r="L128" i="46"/>
  <c r="M128" i="46"/>
  <c r="N128" i="46" s="1"/>
  <c r="Q128" i="46"/>
  <c r="L129" i="46"/>
  <c r="M129" i="46"/>
  <c r="N129" i="46" s="1"/>
  <c r="Q129" i="46"/>
  <c r="L130" i="46"/>
  <c r="Q130" i="46"/>
  <c r="M130" i="46"/>
  <c r="N130" i="46" s="1"/>
  <c r="Q131" i="46"/>
  <c r="M131" i="46"/>
  <c r="N131" i="46" s="1"/>
  <c r="L131" i="46"/>
  <c r="Q132" i="46"/>
  <c r="M132" i="46"/>
  <c r="N132" i="46" s="1"/>
  <c r="L132" i="46"/>
  <c r="L133" i="46"/>
  <c r="Q133" i="46"/>
  <c r="M133" i="46"/>
  <c r="N133" i="46" s="1"/>
  <c r="Q134" i="46"/>
  <c r="M134" i="46"/>
  <c r="N134" i="46" s="1"/>
  <c r="L134" i="46"/>
  <c r="Q135" i="46"/>
  <c r="L135" i="46"/>
  <c r="M135" i="46"/>
  <c r="N135" i="46" s="1"/>
  <c r="L136" i="46"/>
  <c r="Q136" i="46"/>
  <c r="M136" i="46"/>
  <c r="N136" i="46" s="1"/>
  <c r="M137" i="46"/>
  <c r="N137" i="46" s="1"/>
  <c r="Q137" i="46"/>
  <c r="L137" i="46"/>
  <c r="L138" i="46"/>
  <c r="M138" i="46"/>
  <c r="N138" i="46" s="1"/>
  <c r="Q138" i="46"/>
  <c r="L139" i="46"/>
  <c r="M139" i="46"/>
  <c r="N139" i="46" s="1"/>
  <c r="Q139" i="46"/>
  <c r="M140" i="46"/>
  <c r="N140" i="46" s="1"/>
  <c r="L140" i="46"/>
  <c r="Q140" i="46"/>
  <c r="M141" i="46"/>
  <c r="N141" i="46" s="1"/>
  <c r="L141" i="46"/>
  <c r="Q141" i="46"/>
  <c r="M142" i="46"/>
  <c r="N142" i="46" s="1"/>
  <c r="L142" i="46"/>
  <c r="Q142" i="46"/>
  <c r="M143" i="46"/>
  <c r="N143" i="46" s="1"/>
  <c r="L143" i="46"/>
  <c r="Q143" i="46"/>
  <c r="M144" i="46"/>
  <c r="N144" i="46" s="1"/>
  <c r="L144" i="46"/>
  <c r="Q144" i="46"/>
  <c r="Q145" i="46"/>
  <c r="L145" i="46"/>
  <c r="M145" i="46"/>
  <c r="N145" i="46" s="1"/>
  <c r="L146" i="46"/>
  <c r="Q146" i="46"/>
  <c r="M146" i="46"/>
  <c r="N146" i="46" s="1"/>
  <c r="Q147" i="46"/>
  <c r="L147" i="46"/>
  <c r="M147" i="46"/>
  <c r="N147" i="46" s="1"/>
  <c r="L148" i="46"/>
  <c r="M148" i="46"/>
  <c r="N148" i="46" s="1"/>
  <c r="Q148" i="46"/>
  <c r="L149" i="46"/>
  <c r="Q149" i="46"/>
  <c r="M149" i="46"/>
  <c r="N149" i="46" s="1"/>
  <c r="M150" i="46"/>
  <c r="N150" i="46" s="1"/>
  <c r="Q150" i="46"/>
  <c r="L150" i="46"/>
  <c r="L151" i="46"/>
  <c r="M151" i="46"/>
  <c r="N151" i="46" s="1"/>
  <c r="Q151" i="46"/>
  <c r="L152" i="46"/>
  <c r="M152" i="46"/>
  <c r="N152" i="46" s="1"/>
  <c r="Q152" i="46"/>
  <c r="Q153" i="46"/>
  <c r="M153" i="46"/>
  <c r="N153" i="46" s="1"/>
  <c r="L153" i="46"/>
  <c r="Q154" i="46"/>
  <c r="M154" i="46"/>
  <c r="N154" i="46" s="1"/>
  <c r="L154" i="46"/>
  <c r="L155" i="46"/>
  <c r="Q155" i="46"/>
  <c r="M155" i="46"/>
  <c r="N155" i="46" s="1"/>
  <c r="L156" i="46"/>
  <c r="Q156" i="46"/>
  <c r="M156" i="46"/>
  <c r="N156" i="46" s="1"/>
  <c r="L157" i="46"/>
  <c r="M157" i="46"/>
  <c r="N157" i="46" s="1"/>
  <c r="Q157" i="46"/>
  <c r="L158" i="46"/>
  <c r="Q158" i="46"/>
  <c r="M158" i="46"/>
  <c r="N158" i="46" s="1"/>
  <c r="Q159" i="46"/>
  <c r="L159" i="46"/>
  <c r="M159" i="46"/>
  <c r="N159" i="46" s="1"/>
  <c r="L160" i="46"/>
  <c r="M160" i="46"/>
  <c r="N160" i="46" s="1"/>
  <c r="Q160" i="46"/>
  <c r="L161" i="46"/>
  <c r="M161" i="46"/>
  <c r="N161" i="46" s="1"/>
  <c r="Q161" i="46"/>
  <c r="L162" i="46"/>
  <c r="M162" i="46"/>
  <c r="N162" i="46" s="1"/>
  <c r="Q162" i="46"/>
  <c r="M163" i="46"/>
  <c r="N163" i="46" s="1"/>
  <c r="L163" i="46"/>
  <c r="Q163" i="46"/>
  <c r="Q164" i="46"/>
  <c r="M164" i="46"/>
  <c r="N164" i="46" s="1"/>
  <c r="L164" i="46"/>
  <c r="Q165" i="46"/>
  <c r="L165" i="46"/>
  <c r="M165" i="46"/>
  <c r="N165" i="46" s="1"/>
  <c r="L166" i="46"/>
  <c r="M166" i="46"/>
  <c r="N166" i="46" s="1"/>
  <c r="Q166" i="46"/>
  <c r="M167" i="46"/>
  <c r="N167" i="46" s="1"/>
  <c r="Q167" i="46"/>
  <c r="L167" i="46"/>
  <c r="M168" i="46"/>
  <c r="N168" i="46" s="1"/>
  <c r="Q168" i="46"/>
  <c r="L168" i="46"/>
  <c r="M169" i="46"/>
  <c r="N169" i="46" s="1"/>
  <c r="Q169" i="46"/>
  <c r="L169" i="46"/>
  <c r="M170" i="46"/>
  <c r="N170" i="46" s="1"/>
  <c r="L170" i="46"/>
  <c r="Q170" i="46"/>
  <c r="M171" i="46"/>
  <c r="N171" i="46" s="1"/>
  <c r="L171" i="46"/>
  <c r="Q171" i="46"/>
  <c r="L172" i="46"/>
  <c r="Q172" i="46"/>
  <c r="M172" i="46"/>
  <c r="N172" i="46" s="1"/>
  <c r="Q173" i="46"/>
  <c r="L173" i="46"/>
  <c r="M173" i="46"/>
  <c r="N173" i="46" s="1"/>
  <c r="M174" i="46"/>
  <c r="N174" i="46" s="1"/>
  <c r="L174" i="46"/>
  <c r="Q174" i="46"/>
  <c r="M175" i="46"/>
  <c r="N175" i="46" s="1"/>
  <c r="Q175" i="46"/>
  <c r="L175" i="46"/>
  <c r="M176" i="46"/>
  <c r="N176" i="46" s="1"/>
  <c r="Q176" i="46"/>
  <c r="L176" i="46"/>
  <c r="Q177" i="46"/>
  <c r="L177" i="46"/>
  <c r="M177" i="46"/>
  <c r="N177" i="46" s="1"/>
  <c r="Q178" i="46"/>
  <c r="M178" i="46"/>
  <c r="N178" i="46" s="1"/>
  <c r="L178" i="46"/>
  <c r="M179" i="46"/>
  <c r="N179" i="46" s="1"/>
  <c r="Q179" i="46"/>
  <c r="L179" i="46"/>
  <c r="M180" i="46"/>
  <c r="N180" i="46" s="1"/>
  <c r="L180" i="46"/>
  <c r="Q180" i="46"/>
  <c r="M181" i="46"/>
  <c r="N181" i="46" s="1"/>
  <c r="L181" i="46"/>
  <c r="Q181" i="46"/>
  <c r="L182" i="46"/>
  <c r="M182" i="46"/>
  <c r="N182" i="46" s="1"/>
  <c r="Q182" i="46"/>
  <c r="L183" i="46"/>
  <c r="M183" i="46"/>
  <c r="N183" i="46" s="1"/>
  <c r="Q183" i="46"/>
  <c r="M184" i="46"/>
  <c r="N184" i="46" s="1"/>
  <c r="L184" i="46"/>
  <c r="Q184" i="46"/>
  <c r="Q185" i="46"/>
  <c r="L185" i="46"/>
  <c r="M185" i="46"/>
  <c r="N185" i="46" s="1"/>
  <c r="Q186" i="46"/>
  <c r="M186" i="46"/>
  <c r="N186" i="46" s="1"/>
  <c r="L186" i="46"/>
  <c r="L187" i="46"/>
  <c r="M187" i="46"/>
  <c r="N187" i="46" s="1"/>
  <c r="Q187" i="46"/>
  <c r="L188" i="46"/>
  <c r="M188" i="46"/>
  <c r="N188" i="46" s="1"/>
  <c r="Q188" i="46"/>
  <c r="M189" i="46"/>
  <c r="N189" i="46" s="1"/>
  <c r="Q189" i="46"/>
  <c r="L189" i="46"/>
  <c r="Q190" i="46"/>
  <c r="M190" i="46"/>
  <c r="N190" i="46" s="1"/>
  <c r="L190" i="46"/>
  <c r="L191" i="46"/>
  <c r="M191" i="46"/>
  <c r="N191" i="46" s="1"/>
  <c r="Q191" i="46"/>
  <c r="L192" i="46"/>
  <c r="Q192" i="46"/>
  <c r="M192" i="46"/>
  <c r="N192" i="46" s="1"/>
  <c r="M193" i="46"/>
  <c r="N193" i="46" s="1"/>
  <c r="L193" i="46"/>
  <c r="Q193" i="46"/>
  <c r="M194" i="46"/>
  <c r="N194" i="46" s="1"/>
  <c r="L194" i="46"/>
  <c r="Q194" i="46"/>
  <c r="M195" i="46"/>
  <c r="N195" i="46" s="1"/>
  <c r="L195" i="46"/>
  <c r="Q195" i="46"/>
  <c r="L196" i="46"/>
  <c r="Q196" i="46"/>
  <c r="M196" i="46"/>
  <c r="N196" i="46" s="1"/>
  <c r="M197" i="46"/>
  <c r="N197" i="46" s="1"/>
  <c r="Q197" i="46"/>
  <c r="L197" i="46"/>
  <c r="L198" i="46"/>
  <c r="M198" i="46"/>
  <c r="N198" i="46" s="1"/>
  <c r="Q198" i="46"/>
  <c r="L199" i="46"/>
  <c r="M199" i="46"/>
  <c r="N199" i="46" s="1"/>
  <c r="Q199" i="46"/>
  <c r="M200" i="46"/>
  <c r="N200" i="46" s="1"/>
  <c r="Q200" i="46"/>
  <c r="L200" i="46"/>
  <c r="M201" i="46"/>
  <c r="N201" i="46" s="1"/>
  <c r="L201" i="46"/>
  <c r="Q201" i="46"/>
  <c r="L202" i="46"/>
  <c r="M202" i="46"/>
  <c r="N202" i="46" s="1"/>
  <c r="Q202" i="46"/>
  <c r="L203" i="46"/>
  <c r="M203" i="46"/>
  <c r="N203" i="46" s="1"/>
  <c r="Q203" i="46"/>
  <c r="L204" i="46"/>
  <c r="M204" i="46"/>
  <c r="N204" i="46" s="1"/>
  <c r="Q204" i="46"/>
  <c r="L205" i="46"/>
  <c r="M205" i="46"/>
  <c r="N205" i="46" s="1"/>
  <c r="Q205" i="46"/>
  <c r="M206" i="46"/>
  <c r="N206" i="46" s="1"/>
  <c r="L206" i="46"/>
  <c r="Q206" i="46"/>
  <c r="Q207" i="46"/>
  <c r="L207" i="46"/>
  <c r="M207" i="46"/>
  <c r="N207" i="46" s="1"/>
  <c r="M208" i="46"/>
  <c r="N208" i="46" s="1"/>
  <c r="L208" i="46"/>
  <c r="Q208" i="46"/>
  <c r="M209" i="46"/>
  <c r="N209" i="46" s="1"/>
  <c r="Q209" i="46"/>
  <c r="L209" i="46"/>
  <c r="L210" i="46"/>
  <c r="M210" i="46"/>
  <c r="N210" i="46" s="1"/>
  <c r="Q210" i="46"/>
  <c r="M211" i="46"/>
  <c r="N211" i="46" s="1"/>
  <c r="Q211" i="46"/>
  <c r="L211" i="46"/>
  <c r="M212" i="46"/>
  <c r="N212" i="46" s="1"/>
  <c r="L212" i="46"/>
  <c r="Q212" i="46"/>
  <c r="M213" i="46"/>
  <c r="N213" i="46" s="1"/>
  <c r="L213" i="46"/>
  <c r="Q213" i="46"/>
  <c r="M214" i="46"/>
  <c r="N214" i="46" s="1"/>
  <c r="Q214" i="46"/>
  <c r="L214" i="46"/>
  <c r="M215" i="46"/>
  <c r="N215" i="46" s="1"/>
  <c r="L215" i="46"/>
  <c r="Q215" i="46"/>
  <c r="Q216" i="46"/>
  <c r="L216" i="46"/>
  <c r="M216" i="46"/>
  <c r="N216" i="46" s="1"/>
  <c r="M217" i="46"/>
  <c r="N217" i="46" s="1"/>
  <c r="Q217" i="46"/>
  <c r="L217" i="46"/>
  <c r="Q218" i="46"/>
  <c r="M218" i="46"/>
  <c r="N218" i="46" s="1"/>
  <c r="L218" i="46"/>
  <c r="M219" i="46"/>
  <c r="N219" i="46" s="1"/>
  <c r="Q219" i="46"/>
  <c r="L219" i="46"/>
  <c r="Q220" i="46"/>
  <c r="M220" i="46"/>
  <c r="N220" i="46" s="1"/>
  <c r="L220" i="46"/>
  <c r="Q221" i="46"/>
  <c r="M221" i="46"/>
  <c r="N221" i="46" s="1"/>
  <c r="L221" i="46"/>
  <c r="Q222" i="46"/>
  <c r="L222" i="46"/>
  <c r="M222" i="46"/>
  <c r="N222" i="46" s="1"/>
  <c r="Q223" i="46"/>
  <c r="M223" i="46"/>
  <c r="N223" i="46" s="1"/>
  <c r="L223" i="46"/>
  <c r="Q224" i="46"/>
  <c r="M224" i="46"/>
  <c r="N224" i="46" s="1"/>
  <c r="L224" i="46"/>
  <c r="M225" i="46"/>
  <c r="N225" i="46" s="1"/>
  <c r="Q225" i="46"/>
  <c r="L225" i="46"/>
  <c r="Q226" i="46"/>
  <c r="M226" i="46"/>
  <c r="N226" i="46" s="1"/>
  <c r="L226" i="46"/>
  <c r="Q227" i="46"/>
  <c r="M227" i="46"/>
  <c r="N227" i="46" s="1"/>
  <c r="L227" i="46"/>
  <c r="Q228" i="46"/>
  <c r="L228" i="46"/>
  <c r="M228" i="46"/>
  <c r="N228" i="46" s="1"/>
  <c r="L229" i="46"/>
  <c r="Q229" i="46"/>
  <c r="M229" i="46"/>
  <c r="N229" i="46" s="1"/>
  <c r="M230" i="46"/>
  <c r="N230" i="46" s="1"/>
  <c r="L230" i="46"/>
  <c r="Q230" i="46"/>
  <c r="M231" i="46"/>
  <c r="N231" i="46" s="1"/>
  <c r="L231" i="46"/>
  <c r="Q231" i="46"/>
  <c r="Q232" i="46"/>
  <c r="L232" i="46"/>
  <c r="M232" i="46"/>
  <c r="N232" i="46" s="1"/>
  <c r="M233" i="46"/>
  <c r="N233" i="46" s="1"/>
  <c r="Q233" i="46"/>
  <c r="L233" i="46"/>
  <c r="M234" i="46"/>
  <c r="N234" i="46" s="1"/>
  <c r="L234" i="46"/>
  <c r="Q234" i="46"/>
  <c r="Q235" i="46"/>
  <c r="M235" i="46"/>
  <c r="N235" i="46" s="1"/>
  <c r="L235" i="46"/>
  <c r="Q236" i="46"/>
  <c r="M236" i="46"/>
  <c r="N236" i="46" s="1"/>
  <c r="L236" i="46"/>
  <c r="Q237" i="46"/>
  <c r="M237" i="46"/>
  <c r="N237" i="46" s="1"/>
  <c r="L237" i="46"/>
  <c r="Q238" i="46"/>
  <c r="M238" i="46"/>
  <c r="N238" i="46" s="1"/>
  <c r="L238" i="46"/>
  <c r="Q239" i="46"/>
  <c r="L239" i="46"/>
  <c r="M239" i="46"/>
  <c r="N239" i="46" s="1"/>
  <c r="L240" i="46"/>
  <c r="Q240" i="46"/>
  <c r="M240" i="46"/>
  <c r="N240" i="46" s="1"/>
  <c r="M241" i="46"/>
  <c r="N241" i="46" s="1"/>
  <c r="L241" i="46"/>
  <c r="Q241" i="46"/>
  <c r="M242" i="46"/>
  <c r="N242" i="46" s="1"/>
  <c r="Q242" i="46"/>
  <c r="L242" i="46"/>
  <c r="M243" i="46"/>
  <c r="N243" i="46" s="1"/>
  <c r="L243" i="46"/>
  <c r="Q243" i="46"/>
  <c r="M244" i="46"/>
  <c r="N244" i="46" s="1"/>
  <c r="Q244" i="46"/>
  <c r="L244" i="46"/>
  <c r="L245" i="46"/>
  <c r="M245" i="46"/>
  <c r="N245" i="46" s="1"/>
  <c r="Q245" i="46"/>
  <c r="L246" i="46"/>
  <c r="Q246" i="46"/>
  <c r="M246" i="46"/>
  <c r="N246" i="46" s="1"/>
  <c r="L247" i="46"/>
  <c r="Q247" i="46"/>
  <c r="M247" i="46"/>
  <c r="N247" i="46" s="1"/>
  <c r="L248" i="46"/>
  <c r="Q248" i="46"/>
  <c r="M248" i="46"/>
  <c r="N248" i="46" s="1"/>
  <c r="M249" i="46"/>
  <c r="N249" i="46" s="1"/>
  <c r="Q249" i="46"/>
  <c r="L249" i="46"/>
  <c r="M250" i="46"/>
  <c r="N250" i="46" s="1"/>
  <c r="L250" i="46"/>
  <c r="Q250" i="46"/>
  <c r="M251" i="46"/>
  <c r="N251" i="46" s="1"/>
  <c r="Q251" i="46"/>
  <c r="L251" i="46"/>
  <c r="Q252" i="46"/>
  <c r="M252" i="46"/>
  <c r="N252" i="46" s="1"/>
  <c r="L252" i="46"/>
  <c r="M253" i="46"/>
  <c r="N253" i="46" s="1"/>
  <c r="Q253" i="46"/>
  <c r="L253" i="46"/>
  <c r="M254" i="46"/>
  <c r="N254" i="46" s="1"/>
  <c r="L254" i="46"/>
  <c r="Q254" i="46"/>
  <c r="L255" i="46"/>
  <c r="M255" i="46"/>
  <c r="N255" i="46" s="1"/>
  <c r="Q255" i="46"/>
  <c r="Q256" i="46"/>
  <c r="M256" i="46"/>
  <c r="N256" i="46" s="1"/>
  <c r="L256" i="46"/>
  <c r="L257" i="46"/>
  <c r="Q257" i="46"/>
  <c r="M257" i="46"/>
  <c r="N257" i="46" s="1"/>
  <c r="L258" i="46"/>
  <c r="Q258" i="46"/>
  <c r="M258" i="46"/>
  <c r="N258" i="46" s="1"/>
  <c r="M259" i="46"/>
  <c r="N259" i="46" s="1"/>
  <c r="Q259" i="46"/>
  <c r="L259" i="46"/>
  <c r="L260" i="46"/>
  <c r="Q260" i="46"/>
  <c r="M260" i="46"/>
  <c r="N260" i="46" s="1"/>
  <c r="L261" i="46"/>
  <c r="M261" i="46"/>
  <c r="N261" i="46" s="1"/>
  <c r="Q261" i="46"/>
  <c r="Q262" i="46"/>
  <c r="M262" i="46"/>
  <c r="N262" i="46" s="1"/>
  <c r="L262" i="46"/>
  <c r="Q263" i="46"/>
  <c r="M263" i="46"/>
  <c r="N263" i="46" s="1"/>
  <c r="L263" i="46"/>
  <c r="Q264" i="46"/>
  <c r="L264" i="46"/>
  <c r="M264" i="46"/>
  <c r="N264" i="46" s="1"/>
  <c r="Q265" i="46"/>
  <c r="L265" i="46"/>
  <c r="M265" i="46"/>
  <c r="N265" i="46" s="1"/>
  <c r="Q266" i="46"/>
  <c r="L266" i="46"/>
  <c r="M266" i="46"/>
  <c r="N266" i="46" s="1"/>
  <c r="L267" i="46"/>
  <c r="Q267" i="46"/>
  <c r="M267" i="46"/>
  <c r="N267" i="46" s="1"/>
  <c r="L268" i="46"/>
  <c r="M268" i="46"/>
  <c r="N268" i="46" s="1"/>
  <c r="Q268" i="46"/>
  <c r="M269" i="46"/>
  <c r="N269" i="46" s="1"/>
  <c r="Q269" i="46"/>
  <c r="L269" i="46"/>
  <c r="M270" i="46"/>
  <c r="N270" i="46" s="1"/>
  <c r="L270" i="46"/>
  <c r="Q270" i="46"/>
  <c r="L271" i="46"/>
  <c r="Q271" i="46"/>
  <c r="M271" i="46"/>
  <c r="N271" i="46" s="1"/>
  <c r="L272" i="46"/>
  <c r="M272" i="46"/>
  <c r="N272" i="46" s="1"/>
  <c r="Q272" i="46"/>
  <c r="L273" i="46"/>
  <c r="Q273" i="46"/>
  <c r="M273" i="46"/>
  <c r="N273" i="46" s="1"/>
  <c r="Q274" i="46"/>
  <c r="M274" i="46"/>
  <c r="N274" i="46" s="1"/>
  <c r="L274" i="46"/>
  <c r="Q275" i="46"/>
  <c r="L275" i="46"/>
  <c r="M275" i="46"/>
  <c r="N275" i="46" s="1"/>
  <c r="Q276" i="46"/>
  <c r="M276" i="46"/>
  <c r="N276" i="46" s="1"/>
  <c r="L276" i="46"/>
  <c r="Q277" i="46"/>
  <c r="M277" i="46"/>
  <c r="N277" i="46" s="1"/>
  <c r="L277" i="46"/>
  <c r="Q278" i="46"/>
  <c r="L278" i="46"/>
  <c r="M278" i="46"/>
  <c r="N278" i="46" s="1"/>
  <c r="Q279" i="46"/>
  <c r="L279" i="46"/>
  <c r="M279" i="46"/>
  <c r="N279" i="46" s="1"/>
  <c r="Q280" i="46"/>
  <c r="M280" i="46"/>
  <c r="N280" i="46" s="1"/>
  <c r="L280" i="46"/>
  <c r="M281" i="46"/>
  <c r="N281" i="46" s="1"/>
  <c r="Q281" i="46"/>
  <c r="L281" i="46"/>
  <c r="L282" i="46"/>
  <c r="M282" i="46"/>
  <c r="N282" i="46" s="1"/>
  <c r="Q282" i="46"/>
  <c r="M283" i="46"/>
  <c r="N283" i="46" s="1"/>
  <c r="Q283" i="46"/>
  <c r="L283" i="46"/>
  <c r="L284" i="46"/>
  <c r="M284" i="46"/>
  <c r="N284" i="46" s="1"/>
  <c r="Q284" i="46"/>
  <c r="L285" i="46"/>
  <c r="M285" i="46"/>
  <c r="N285" i="46" s="1"/>
  <c r="Q285" i="46"/>
  <c r="M286" i="46"/>
  <c r="N286" i="46" s="1"/>
  <c r="Q286" i="46"/>
  <c r="L286" i="46"/>
  <c r="Q287" i="46"/>
  <c r="L287" i="46"/>
  <c r="M287" i="46"/>
  <c r="N287" i="46" s="1"/>
  <c r="L288" i="46"/>
  <c r="M288" i="46"/>
  <c r="N288" i="46" s="1"/>
  <c r="Q288" i="46"/>
  <c r="M289" i="46"/>
  <c r="N289" i="46" s="1"/>
  <c r="Q289" i="46"/>
  <c r="L289" i="46"/>
  <c r="L290" i="46"/>
  <c r="Q290" i="46"/>
  <c r="M290" i="46"/>
  <c r="N290" i="46" s="1"/>
  <c r="L291" i="46"/>
  <c r="M291" i="46"/>
  <c r="N291" i="46" s="1"/>
  <c r="Q291" i="46"/>
  <c r="L292" i="46"/>
  <c r="Q292" i="46"/>
  <c r="M292" i="46"/>
  <c r="N292" i="46" s="1"/>
  <c r="M293" i="46"/>
  <c r="N293" i="46" s="1"/>
  <c r="Q293" i="46"/>
  <c r="L293" i="46"/>
  <c r="L294" i="46"/>
  <c r="M294" i="46"/>
  <c r="N294" i="46" s="1"/>
  <c r="Q294" i="46"/>
  <c r="L295" i="46"/>
  <c r="M295" i="46"/>
  <c r="N295" i="46" s="1"/>
  <c r="Q295" i="46"/>
  <c r="M296" i="46"/>
  <c r="N296" i="46" s="1"/>
  <c r="L296" i="46"/>
  <c r="Q296" i="46"/>
  <c r="M297" i="46"/>
  <c r="N297" i="46" s="1"/>
  <c r="Q297" i="46"/>
  <c r="L297" i="46"/>
  <c r="L298" i="46"/>
  <c r="Q298" i="46"/>
  <c r="M298" i="46"/>
  <c r="N298" i="46" s="1"/>
  <c r="M299" i="46"/>
  <c r="N299" i="46" s="1"/>
  <c r="Q299" i="46"/>
  <c r="L299" i="46"/>
  <c r="L300" i="46"/>
  <c r="Q300" i="46"/>
  <c r="M300" i="46"/>
  <c r="N300" i="46" s="1"/>
  <c r="M301" i="46"/>
  <c r="N301" i="46" s="1"/>
  <c r="L301" i="46"/>
  <c r="Q301" i="46"/>
  <c r="L302" i="46"/>
  <c r="Q302" i="46"/>
  <c r="M302" i="46"/>
  <c r="N302" i="46" s="1"/>
  <c r="Q303" i="46"/>
  <c r="M303" i="46"/>
  <c r="N303" i="46" s="1"/>
  <c r="L303" i="46"/>
  <c r="Q304" i="46"/>
  <c r="L304" i="46"/>
  <c r="M304" i="46"/>
  <c r="N304" i="46" s="1"/>
  <c r="M305" i="46"/>
  <c r="N305" i="46" s="1"/>
  <c r="Q305" i="46"/>
  <c r="L305" i="46"/>
  <c r="Q306" i="46"/>
  <c r="M306" i="46"/>
  <c r="N306" i="46" s="1"/>
  <c r="L306" i="46"/>
  <c r="Q307" i="46"/>
  <c r="L307" i="46"/>
  <c r="M307" i="46"/>
  <c r="N307" i="46" s="1"/>
  <c r="Q308" i="46"/>
  <c r="M308" i="46"/>
  <c r="N308" i="46" s="1"/>
  <c r="L308" i="46"/>
  <c r="Q309" i="46"/>
  <c r="M309" i="46"/>
  <c r="N309" i="46" s="1"/>
  <c r="L309" i="46"/>
  <c r="Q310" i="46"/>
  <c r="L310" i="46"/>
  <c r="M310" i="46"/>
  <c r="N310" i="46" s="1"/>
  <c r="L311" i="46"/>
  <c r="M311" i="46"/>
  <c r="N311" i="46" s="1"/>
  <c r="Q311" i="46"/>
  <c r="Q312" i="46"/>
  <c r="M312" i="46"/>
  <c r="N312" i="46" s="1"/>
  <c r="L312" i="46"/>
  <c r="M313" i="46"/>
  <c r="N313" i="46" s="1"/>
  <c r="Q313" i="46"/>
  <c r="L313" i="46"/>
  <c r="L314" i="46"/>
  <c r="M314" i="46"/>
  <c r="N314" i="46" s="1"/>
  <c r="Q314" i="46"/>
  <c r="Q315" i="46"/>
  <c r="L315" i="46"/>
  <c r="M315" i="46"/>
  <c r="N315" i="46" s="1"/>
  <c r="L316" i="46"/>
  <c r="M316" i="46"/>
  <c r="N316" i="46" s="1"/>
  <c r="Q316" i="46"/>
  <c r="M317" i="46"/>
  <c r="N317" i="46" s="1"/>
  <c r="L317" i="46"/>
  <c r="Q317" i="46"/>
  <c r="M318" i="46"/>
  <c r="N318" i="46" s="1"/>
  <c r="Q318" i="46"/>
  <c r="L318" i="46"/>
  <c r="M319" i="46"/>
  <c r="N319" i="46" s="1"/>
  <c r="Q319" i="46"/>
  <c r="L319" i="46"/>
  <c r="Q320" i="46"/>
  <c r="L320" i="46"/>
  <c r="M320" i="46"/>
  <c r="N320" i="46" s="1"/>
  <c r="M321" i="46"/>
  <c r="N321" i="46" s="1"/>
  <c r="L321" i="46"/>
  <c r="Q321" i="46"/>
  <c r="Q322" i="46"/>
  <c r="M322" i="46"/>
  <c r="N322" i="46" s="1"/>
  <c r="L322" i="46"/>
  <c r="Q323" i="46"/>
  <c r="L323" i="46"/>
  <c r="M323" i="46"/>
  <c r="N323" i="46" s="1"/>
  <c r="Q324" i="46"/>
  <c r="L324" i="46"/>
  <c r="M324" i="46"/>
  <c r="N324" i="46" s="1"/>
  <c r="M325" i="46"/>
  <c r="N325" i="46" s="1"/>
  <c r="L325" i="46"/>
  <c r="Q325" i="46"/>
  <c r="M326" i="46"/>
  <c r="N326" i="46" s="1"/>
  <c r="L326" i="46"/>
  <c r="Q326" i="46"/>
  <c r="Q327" i="46"/>
  <c r="M327" i="46"/>
  <c r="N327" i="46" s="1"/>
  <c r="L327" i="46"/>
  <c r="M328" i="46"/>
  <c r="N328" i="46" s="1"/>
  <c r="Q328" i="46"/>
  <c r="L328" i="46"/>
  <c r="L329" i="46"/>
  <c r="Q329" i="46"/>
  <c r="M329" i="46"/>
  <c r="N329" i="46" s="1"/>
  <c r="Q330" i="46"/>
  <c r="M330" i="46"/>
  <c r="N330" i="46" s="1"/>
  <c r="L330" i="46"/>
  <c r="L331" i="46"/>
  <c r="Q331" i="46"/>
  <c r="M331" i="46"/>
  <c r="N331" i="46" s="1"/>
  <c r="Q332" i="46"/>
  <c r="M332" i="46"/>
  <c r="N332" i="46" s="1"/>
  <c r="L332" i="46"/>
  <c r="L333" i="46"/>
  <c r="M333" i="46"/>
  <c r="N333" i="46" s="1"/>
  <c r="Q333" i="46"/>
  <c r="L334" i="46"/>
  <c r="M334" i="46"/>
  <c r="N334" i="46" s="1"/>
  <c r="Q334" i="46"/>
  <c r="M335" i="46"/>
  <c r="N335" i="46" s="1"/>
  <c r="L335" i="46"/>
  <c r="Q335" i="46"/>
  <c r="L336" i="46"/>
  <c r="M336" i="46"/>
  <c r="N336" i="46" s="1"/>
  <c r="Q336" i="46"/>
  <c r="L337" i="46"/>
  <c r="M337" i="46"/>
  <c r="N337" i="46" s="1"/>
  <c r="Q337" i="46"/>
  <c r="L338" i="46"/>
  <c r="M338" i="46"/>
  <c r="N338" i="46" s="1"/>
  <c r="Q338" i="46"/>
  <c r="L339" i="46"/>
  <c r="Q339" i="46"/>
  <c r="M339" i="46"/>
  <c r="N339" i="46" s="1"/>
  <c r="L340" i="46"/>
  <c r="Q340" i="46"/>
  <c r="M340" i="46"/>
  <c r="N340" i="46" s="1"/>
  <c r="Q341" i="46"/>
  <c r="L341" i="46"/>
  <c r="M341" i="46"/>
  <c r="N341" i="46" s="1"/>
  <c r="M342" i="46"/>
  <c r="N342" i="46" s="1"/>
  <c r="Q342" i="46"/>
  <c r="L342" i="46"/>
  <c r="Q343" i="46"/>
  <c r="L343" i="46"/>
  <c r="M343" i="46"/>
  <c r="N343" i="46" s="1"/>
  <c r="M344" i="46"/>
  <c r="N344" i="46" s="1"/>
  <c r="Q344" i="46"/>
  <c r="L344" i="46"/>
  <c r="L345" i="46"/>
  <c r="Q345" i="46"/>
  <c r="M345" i="46"/>
  <c r="N345" i="46" s="1"/>
  <c r="M346" i="46"/>
  <c r="N346" i="46" s="1"/>
  <c r="L346" i="46"/>
  <c r="Q346" i="46"/>
  <c r="L347" i="46"/>
  <c r="M347" i="46"/>
  <c r="N347" i="46" s="1"/>
  <c r="Q347" i="46"/>
  <c r="L348" i="46"/>
  <c r="M348" i="46"/>
  <c r="N348" i="46" s="1"/>
  <c r="Q348" i="46"/>
  <c r="M349" i="46"/>
  <c r="N349" i="46" s="1"/>
  <c r="L349" i="46"/>
  <c r="Q349" i="46"/>
  <c r="L350" i="46"/>
  <c r="Q350" i="46"/>
  <c r="M350" i="46"/>
  <c r="N350" i="46" s="1"/>
  <c r="M351" i="46"/>
  <c r="N351" i="46" s="1"/>
  <c r="L351" i="46"/>
  <c r="Q351" i="46"/>
  <c r="L352" i="46"/>
  <c r="M352" i="46"/>
  <c r="N352" i="46" s="1"/>
  <c r="Q352" i="46"/>
  <c r="L353" i="46"/>
  <c r="M353" i="46"/>
  <c r="N353" i="46" s="1"/>
  <c r="Q353" i="46"/>
  <c r="M354" i="46"/>
  <c r="N354" i="46" s="1"/>
  <c r="L354" i="46"/>
  <c r="Q354" i="46"/>
  <c r="H213" i="46"/>
  <c r="E213" i="46"/>
  <c r="F213" i="46" s="1"/>
  <c r="G213" i="46"/>
  <c r="H347" i="46"/>
  <c r="E347" i="46"/>
  <c r="F347" i="46" s="1"/>
  <c r="G347" i="46"/>
  <c r="H339" i="46"/>
  <c r="E339" i="46"/>
  <c r="F339" i="46" s="1"/>
  <c r="G339" i="46"/>
  <c r="H331" i="46"/>
  <c r="E331" i="46"/>
  <c r="F331" i="46" s="1"/>
  <c r="G331" i="46"/>
  <c r="H323" i="46"/>
  <c r="E323" i="46"/>
  <c r="F323" i="46" s="1"/>
  <c r="G323" i="46"/>
  <c r="H315" i="46"/>
  <c r="E315" i="46"/>
  <c r="F315" i="46" s="1"/>
  <c r="G315" i="46"/>
  <c r="H307" i="46"/>
  <c r="E307" i="46"/>
  <c r="F307" i="46" s="1"/>
  <c r="G307" i="46"/>
  <c r="H299" i="46"/>
  <c r="E299" i="46"/>
  <c r="F299" i="46" s="1"/>
  <c r="G299" i="46"/>
  <c r="H291" i="46"/>
  <c r="E291" i="46"/>
  <c r="F291" i="46" s="1"/>
  <c r="G291" i="46"/>
  <c r="H283" i="46"/>
  <c r="E283" i="46"/>
  <c r="F283" i="46" s="1"/>
  <c r="G283" i="46"/>
  <c r="H275" i="46"/>
  <c r="E275" i="46"/>
  <c r="F275" i="46" s="1"/>
  <c r="G275" i="46"/>
  <c r="H267" i="46"/>
  <c r="E267" i="46"/>
  <c r="F267" i="46" s="1"/>
  <c r="G267" i="46"/>
  <c r="H259" i="46"/>
  <c r="E259" i="46"/>
  <c r="F259" i="46" s="1"/>
  <c r="G259" i="46"/>
  <c r="H251" i="46"/>
  <c r="E251" i="46"/>
  <c r="F251" i="46" s="1"/>
  <c r="G251" i="46"/>
  <c r="H243" i="46"/>
  <c r="E243" i="46"/>
  <c r="F243" i="46" s="1"/>
  <c r="G243" i="46"/>
  <c r="H235" i="46"/>
  <c r="E235" i="46"/>
  <c r="F235" i="46" s="1"/>
  <c r="G235" i="46"/>
  <c r="H227" i="46"/>
  <c r="E227" i="46"/>
  <c r="F227" i="46" s="1"/>
  <c r="G227" i="46"/>
  <c r="H219" i="46"/>
  <c r="E219" i="46"/>
  <c r="F219" i="46" s="1"/>
  <c r="G219" i="46"/>
  <c r="H211" i="46"/>
  <c r="E211" i="46"/>
  <c r="F211" i="46" s="1"/>
  <c r="G211" i="46"/>
  <c r="H203" i="46"/>
  <c r="E203" i="46"/>
  <c r="F203" i="46" s="1"/>
  <c r="G203" i="46"/>
  <c r="H195" i="46"/>
  <c r="E195" i="46"/>
  <c r="F195" i="46" s="1"/>
  <c r="G195" i="46"/>
  <c r="H187" i="46"/>
  <c r="E187" i="46"/>
  <c r="F187" i="46" s="1"/>
  <c r="G187" i="46"/>
  <c r="H179" i="46"/>
  <c r="G179" i="46"/>
  <c r="E179" i="46"/>
  <c r="F179" i="46" s="1"/>
  <c r="H171" i="46"/>
  <c r="E171" i="46"/>
  <c r="F171" i="46" s="1"/>
  <c r="G171" i="46"/>
  <c r="H163" i="46"/>
  <c r="G163" i="46"/>
  <c r="E163" i="46"/>
  <c r="F163" i="46" s="1"/>
  <c r="H155" i="46"/>
  <c r="E155" i="46"/>
  <c r="F155" i="46" s="1"/>
  <c r="G155" i="46"/>
  <c r="H147" i="46"/>
  <c r="G147" i="46"/>
  <c r="E147" i="46"/>
  <c r="F147" i="46" s="1"/>
  <c r="H139" i="46"/>
  <c r="E139" i="46"/>
  <c r="F139" i="46" s="1"/>
  <c r="G139" i="46"/>
  <c r="H131" i="46"/>
  <c r="G131" i="46"/>
  <c r="E131" i="46"/>
  <c r="F131" i="46" s="1"/>
  <c r="H123" i="46"/>
  <c r="E123" i="46"/>
  <c r="F123" i="46" s="1"/>
  <c r="G123" i="46"/>
  <c r="H115" i="46"/>
  <c r="G115" i="46"/>
  <c r="E115" i="46"/>
  <c r="F115" i="46" s="1"/>
  <c r="H107" i="46"/>
  <c r="E107" i="46"/>
  <c r="F107" i="46" s="1"/>
  <c r="G107" i="46"/>
  <c r="H99" i="46"/>
  <c r="G99" i="46"/>
  <c r="E99" i="46"/>
  <c r="F99" i="46" s="1"/>
  <c r="H91" i="46"/>
  <c r="G91" i="46"/>
  <c r="H83" i="46"/>
  <c r="G83" i="46"/>
  <c r="E83" i="46"/>
  <c r="F83" i="46" s="1"/>
  <c r="H75" i="46"/>
  <c r="E75" i="46"/>
  <c r="F75" i="46" s="1"/>
  <c r="G75" i="46"/>
  <c r="H67" i="46"/>
  <c r="G67" i="46"/>
  <c r="H59" i="46"/>
  <c r="G59" i="46"/>
  <c r="E59" i="46"/>
  <c r="F59" i="46" s="1"/>
  <c r="H51" i="46"/>
  <c r="G51" i="46"/>
  <c r="E51" i="46"/>
  <c r="F51" i="46" s="1"/>
  <c r="H43" i="46"/>
  <c r="G43" i="46"/>
  <c r="H35" i="46"/>
  <c r="G35" i="46"/>
  <c r="H27" i="46"/>
  <c r="G27" i="46"/>
  <c r="H19" i="46"/>
  <c r="G19" i="46"/>
  <c r="H11" i="46"/>
  <c r="G11" i="46"/>
  <c r="E11" i="46"/>
  <c r="H317" i="46"/>
  <c r="E317" i="46"/>
  <c r="F317" i="46" s="1"/>
  <c r="G317" i="46"/>
  <c r="H277" i="46"/>
  <c r="E277" i="46"/>
  <c r="F277" i="46" s="1"/>
  <c r="G277" i="46"/>
  <c r="H237" i="46"/>
  <c r="E237" i="46"/>
  <c r="F237" i="46" s="1"/>
  <c r="G237" i="46"/>
  <c r="G181" i="46"/>
  <c r="E181" i="46"/>
  <c r="F181" i="46" s="1"/>
  <c r="H181" i="46"/>
  <c r="G101" i="46"/>
  <c r="H101" i="46"/>
  <c r="E101" i="46"/>
  <c r="F101" i="46" s="1"/>
  <c r="H332" i="46"/>
  <c r="E332" i="46"/>
  <c r="F332" i="46" s="1"/>
  <c r="G332" i="46"/>
  <c r="H292" i="46"/>
  <c r="G292" i="46"/>
  <c r="E292" i="46"/>
  <c r="F292" i="46" s="1"/>
  <c r="H260" i="46"/>
  <c r="E260" i="46"/>
  <c r="F260" i="46" s="1"/>
  <c r="G260" i="46"/>
  <c r="H228" i="46"/>
  <c r="E228" i="46"/>
  <c r="F228" i="46" s="1"/>
  <c r="G228" i="46"/>
  <c r="H196" i="46"/>
  <c r="E196" i="46"/>
  <c r="F196" i="46" s="1"/>
  <c r="G196" i="46"/>
  <c r="G164" i="46"/>
  <c r="H164" i="46"/>
  <c r="E164" i="46"/>
  <c r="F164" i="46" s="1"/>
  <c r="G132" i="46"/>
  <c r="H132" i="46"/>
  <c r="E132" i="46"/>
  <c r="F132" i="46" s="1"/>
  <c r="H92" i="46"/>
  <c r="G92" i="46"/>
  <c r="E92" i="46"/>
  <c r="F92" i="46" s="1"/>
  <c r="H28" i="46"/>
  <c r="G28" i="46"/>
  <c r="H354" i="46"/>
  <c r="E354" i="46"/>
  <c r="F354" i="46" s="1"/>
  <c r="G354" i="46"/>
  <c r="H346" i="46"/>
  <c r="E346" i="46"/>
  <c r="F346" i="46" s="1"/>
  <c r="G346" i="46"/>
  <c r="H338" i="46"/>
  <c r="E338" i="46"/>
  <c r="F338" i="46" s="1"/>
  <c r="G338" i="46"/>
  <c r="H330" i="46"/>
  <c r="E330" i="46"/>
  <c r="F330" i="46" s="1"/>
  <c r="G330" i="46"/>
  <c r="H322" i="46"/>
  <c r="E322" i="46"/>
  <c r="F322" i="46" s="1"/>
  <c r="G322" i="46"/>
  <c r="H314" i="46"/>
  <c r="E314" i="46"/>
  <c r="F314" i="46" s="1"/>
  <c r="G314" i="46"/>
  <c r="H306" i="46"/>
  <c r="E306" i="46"/>
  <c r="F306" i="46" s="1"/>
  <c r="G306" i="46"/>
  <c r="H298" i="46"/>
  <c r="E298" i="46"/>
  <c r="F298" i="46" s="1"/>
  <c r="G298" i="46"/>
  <c r="H290" i="46"/>
  <c r="E290" i="46"/>
  <c r="F290" i="46" s="1"/>
  <c r="G290" i="46"/>
  <c r="H282" i="46"/>
  <c r="E282" i="46"/>
  <c r="F282" i="46" s="1"/>
  <c r="G282" i="46"/>
  <c r="H274" i="46"/>
  <c r="E274" i="46"/>
  <c r="F274" i="46" s="1"/>
  <c r="G274" i="46"/>
  <c r="H266" i="46"/>
  <c r="E266" i="46"/>
  <c r="F266" i="46" s="1"/>
  <c r="G266" i="46"/>
  <c r="H258" i="46"/>
  <c r="E258" i="46"/>
  <c r="F258" i="46" s="1"/>
  <c r="G258" i="46"/>
  <c r="H250" i="46"/>
  <c r="E250" i="46"/>
  <c r="F250" i="46" s="1"/>
  <c r="G250" i="46"/>
  <c r="H242" i="46"/>
  <c r="E242" i="46"/>
  <c r="F242" i="46" s="1"/>
  <c r="G242" i="46"/>
  <c r="H234" i="46"/>
  <c r="E234" i="46"/>
  <c r="F234" i="46" s="1"/>
  <c r="G234" i="46"/>
  <c r="H226" i="46"/>
  <c r="E226" i="46"/>
  <c r="F226" i="46" s="1"/>
  <c r="G226" i="46"/>
  <c r="H218" i="46"/>
  <c r="E218" i="46"/>
  <c r="F218" i="46" s="1"/>
  <c r="G218" i="46"/>
  <c r="H210" i="46"/>
  <c r="E210" i="46"/>
  <c r="F210" i="46" s="1"/>
  <c r="G210" i="46"/>
  <c r="H202" i="46"/>
  <c r="E202" i="46"/>
  <c r="F202" i="46" s="1"/>
  <c r="G202" i="46"/>
  <c r="H194" i="46"/>
  <c r="E194" i="46"/>
  <c r="F194" i="46" s="1"/>
  <c r="G194" i="46"/>
  <c r="H186" i="46"/>
  <c r="E186" i="46"/>
  <c r="F186" i="46" s="1"/>
  <c r="G186" i="46"/>
  <c r="G178" i="46"/>
  <c r="E178" i="46"/>
  <c r="F178" i="46" s="1"/>
  <c r="H178" i="46"/>
  <c r="H170" i="46"/>
  <c r="G170" i="46"/>
  <c r="E170" i="46"/>
  <c r="F170" i="46" s="1"/>
  <c r="G162" i="46"/>
  <c r="H162" i="46"/>
  <c r="E162" i="46"/>
  <c r="F162" i="46" s="1"/>
  <c r="H154" i="46"/>
  <c r="G154" i="46"/>
  <c r="E154" i="46"/>
  <c r="F154" i="46" s="1"/>
  <c r="G146" i="46"/>
  <c r="H146" i="46"/>
  <c r="E146" i="46"/>
  <c r="F146" i="46" s="1"/>
  <c r="H138" i="46"/>
  <c r="G138" i="46"/>
  <c r="E138" i="46"/>
  <c r="F138" i="46" s="1"/>
  <c r="G130" i="46"/>
  <c r="H130" i="46"/>
  <c r="E130" i="46"/>
  <c r="F130" i="46" s="1"/>
  <c r="H122" i="46"/>
  <c r="G122" i="46"/>
  <c r="E122" i="46"/>
  <c r="F122" i="46" s="1"/>
  <c r="G114" i="46"/>
  <c r="H114" i="46"/>
  <c r="E114" i="46"/>
  <c r="F114" i="46" s="1"/>
  <c r="H106" i="46"/>
  <c r="G106" i="46"/>
  <c r="G98" i="46"/>
  <c r="H98" i="46"/>
  <c r="E98" i="46"/>
  <c r="F98" i="46" s="1"/>
  <c r="H90" i="46"/>
  <c r="G90" i="46"/>
  <c r="G82" i="46"/>
  <c r="H82" i="46"/>
  <c r="E82" i="46"/>
  <c r="F82" i="46" s="1"/>
  <c r="H74" i="46"/>
  <c r="G74" i="46"/>
  <c r="E74" i="46"/>
  <c r="F74" i="46" s="1"/>
  <c r="G66" i="46"/>
  <c r="H66" i="46"/>
  <c r="E66" i="46"/>
  <c r="F66" i="46" s="1"/>
  <c r="H58" i="46"/>
  <c r="G58" i="46"/>
  <c r="G50" i="46"/>
  <c r="H50" i="46"/>
  <c r="E50" i="46"/>
  <c r="F50" i="46" s="1"/>
  <c r="H42" i="46"/>
  <c r="G42" i="46"/>
  <c r="G34" i="46"/>
  <c r="H34" i="46"/>
  <c r="H26" i="46"/>
  <c r="G26" i="46"/>
  <c r="G18" i="46"/>
  <c r="H18" i="46"/>
  <c r="H10" i="46"/>
  <c r="G10" i="46"/>
  <c r="E10" i="46"/>
  <c r="F10" i="46" s="1"/>
  <c r="D7" i="46"/>
  <c r="H333" i="46"/>
  <c r="E333" i="46"/>
  <c r="F333" i="46" s="1"/>
  <c r="G333" i="46"/>
  <c r="H269" i="46"/>
  <c r="E269" i="46"/>
  <c r="F269" i="46" s="1"/>
  <c r="G269" i="46"/>
  <c r="H125" i="46"/>
  <c r="E125" i="46"/>
  <c r="F125" i="46" s="1"/>
  <c r="G125" i="46"/>
  <c r="H348" i="46"/>
  <c r="E348" i="46"/>
  <c r="F348" i="46" s="1"/>
  <c r="G348" i="46"/>
  <c r="G100" i="46"/>
  <c r="H100" i="46"/>
  <c r="E100" i="46"/>
  <c r="F100" i="46" s="1"/>
  <c r="E353" i="46"/>
  <c r="F353" i="46" s="1"/>
  <c r="H353" i="46"/>
  <c r="G353" i="46"/>
  <c r="E345" i="46"/>
  <c r="F345" i="46" s="1"/>
  <c r="G345" i="46"/>
  <c r="H345" i="46"/>
  <c r="E337" i="46"/>
  <c r="F337" i="46" s="1"/>
  <c r="H337" i="46"/>
  <c r="G337" i="46"/>
  <c r="E329" i="46"/>
  <c r="F329" i="46" s="1"/>
  <c r="G329" i="46"/>
  <c r="H329" i="46"/>
  <c r="E321" i="46"/>
  <c r="F321" i="46" s="1"/>
  <c r="H321" i="46"/>
  <c r="G321" i="46"/>
  <c r="E313" i="46"/>
  <c r="F313" i="46" s="1"/>
  <c r="G313" i="46"/>
  <c r="H313" i="46"/>
  <c r="E305" i="46"/>
  <c r="F305" i="46" s="1"/>
  <c r="H305" i="46"/>
  <c r="G305" i="46"/>
  <c r="E297" i="46"/>
  <c r="F297" i="46" s="1"/>
  <c r="G297" i="46"/>
  <c r="H297" i="46"/>
  <c r="E289" i="46"/>
  <c r="F289" i="46" s="1"/>
  <c r="H289" i="46"/>
  <c r="G289" i="46"/>
  <c r="E281" i="46"/>
  <c r="F281" i="46" s="1"/>
  <c r="G281" i="46"/>
  <c r="H281" i="46"/>
  <c r="E273" i="46"/>
  <c r="F273" i="46" s="1"/>
  <c r="H273" i="46"/>
  <c r="G273" i="46"/>
  <c r="E265" i="46"/>
  <c r="F265" i="46" s="1"/>
  <c r="G265" i="46"/>
  <c r="H265" i="46"/>
  <c r="E257" i="46"/>
  <c r="F257" i="46" s="1"/>
  <c r="H257" i="46"/>
  <c r="G257" i="46"/>
  <c r="E249" i="46"/>
  <c r="F249" i="46" s="1"/>
  <c r="G249" i="46"/>
  <c r="H249" i="46"/>
  <c r="E241" i="46"/>
  <c r="F241" i="46" s="1"/>
  <c r="H241" i="46"/>
  <c r="G241" i="46"/>
  <c r="E233" i="46"/>
  <c r="F233" i="46" s="1"/>
  <c r="G233" i="46"/>
  <c r="H233" i="46"/>
  <c r="E225" i="46"/>
  <c r="F225" i="46" s="1"/>
  <c r="H225" i="46"/>
  <c r="G225" i="46"/>
  <c r="E217" i="46"/>
  <c r="F217" i="46" s="1"/>
  <c r="G217" i="46"/>
  <c r="H217" i="46"/>
  <c r="E209" i="46"/>
  <c r="F209" i="46" s="1"/>
  <c r="H209" i="46"/>
  <c r="G209" i="46"/>
  <c r="E201" i="46"/>
  <c r="F201" i="46" s="1"/>
  <c r="G201" i="46"/>
  <c r="H201" i="46"/>
  <c r="E193" i="46"/>
  <c r="F193" i="46" s="1"/>
  <c r="H193" i="46"/>
  <c r="G193" i="46"/>
  <c r="H185" i="46"/>
  <c r="G185" i="46"/>
  <c r="E185" i="46"/>
  <c r="F185" i="46" s="1"/>
  <c r="G177" i="46"/>
  <c r="H177" i="46"/>
  <c r="E177" i="46"/>
  <c r="F177" i="46" s="1"/>
  <c r="H169" i="46"/>
  <c r="G169" i="46"/>
  <c r="E169" i="46"/>
  <c r="F169" i="46" s="1"/>
  <c r="H161" i="46"/>
  <c r="G161" i="46"/>
  <c r="E161" i="46"/>
  <c r="F161" i="46" s="1"/>
  <c r="H153" i="46"/>
  <c r="G153" i="46"/>
  <c r="E153" i="46"/>
  <c r="F153" i="46" s="1"/>
  <c r="H145" i="46"/>
  <c r="G145" i="46"/>
  <c r="E145" i="46"/>
  <c r="F145" i="46" s="1"/>
  <c r="H137" i="46"/>
  <c r="G137" i="46"/>
  <c r="E137" i="46"/>
  <c r="F137" i="46" s="1"/>
  <c r="H129" i="46"/>
  <c r="G129" i="46"/>
  <c r="E129" i="46"/>
  <c r="F129" i="46" s="1"/>
  <c r="H121" i="46"/>
  <c r="G121" i="46"/>
  <c r="E121" i="46"/>
  <c r="F121" i="46" s="1"/>
  <c r="H113" i="46"/>
  <c r="G113" i="46"/>
  <c r="E113" i="46"/>
  <c r="F113" i="46" s="1"/>
  <c r="H105" i="46"/>
  <c r="G105" i="46"/>
  <c r="E105" i="46"/>
  <c r="F105" i="46" s="1"/>
  <c r="H97" i="46"/>
  <c r="G97" i="46"/>
  <c r="E97" i="46"/>
  <c r="F97" i="46" s="1"/>
  <c r="H89" i="46"/>
  <c r="G89" i="46"/>
  <c r="E89" i="46"/>
  <c r="F89" i="46" s="1"/>
  <c r="H81" i="46"/>
  <c r="G81" i="46"/>
  <c r="E81" i="46"/>
  <c r="F81" i="46" s="1"/>
  <c r="H73" i="46"/>
  <c r="G73" i="46"/>
  <c r="E73" i="46"/>
  <c r="F73" i="46" s="1"/>
  <c r="H65" i="46"/>
  <c r="G65" i="46"/>
  <c r="E65" i="46"/>
  <c r="F65" i="46" s="1"/>
  <c r="H57" i="46"/>
  <c r="G57" i="46"/>
  <c r="H49" i="46"/>
  <c r="G49" i="46"/>
  <c r="E49" i="46"/>
  <c r="F49" i="46" s="1"/>
  <c r="H41" i="46"/>
  <c r="G41" i="46"/>
  <c r="H33" i="46"/>
  <c r="G33" i="46"/>
  <c r="H25" i="46"/>
  <c r="G25" i="46"/>
  <c r="H17" i="46"/>
  <c r="G17" i="46"/>
  <c r="H349" i="46"/>
  <c r="E349" i="46"/>
  <c r="F349" i="46" s="1"/>
  <c r="G349" i="46"/>
  <c r="H309" i="46"/>
  <c r="E309" i="46"/>
  <c r="F309" i="46" s="1"/>
  <c r="G309" i="46"/>
  <c r="H285" i="46"/>
  <c r="E285" i="46"/>
  <c r="F285" i="46" s="1"/>
  <c r="G285" i="46"/>
  <c r="H253" i="46"/>
  <c r="E253" i="46"/>
  <c r="F253" i="46" s="1"/>
  <c r="G253" i="46"/>
  <c r="H221" i="46"/>
  <c r="E221" i="46"/>
  <c r="F221" i="46" s="1"/>
  <c r="G221" i="46"/>
  <c r="H189" i="46"/>
  <c r="E189" i="46"/>
  <c r="F189" i="46" s="1"/>
  <c r="G189" i="46"/>
  <c r="G165" i="46"/>
  <c r="H165" i="46"/>
  <c r="E165" i="46"/>
  <c r="F165" i="46" s="1"/>
  <c r="G149" i="46"/>
  <c r="E149" i="46"/>
  <c r="F149" i="46" s="1"/>
  <c r="H149" i="46"/>
  <c r="G133" i="46"/>
  <c r="H133" i="46"/>
  <c r="E133" i="46"/>
  <c r="F133" i="46" s="1"/>
  <c r="H109" i="46"/>
  <c r="E109" i="46"/>
  <c r="F109" i="46" s="1"/>
  <c r="G109" i="46"/>
  <c r="H77" i="46"/>
  <c r="G77" i="46"/>
  <c r="H61" i="46"/>
  <c r="E61" i="46"/>
  <c r="F61" i="46" s="1"/>
  <c r="G61" i="46"/>
  <c r="H45" i="46"/>
  <c r="G45" i="46"/>
  <c r="H29" i="46"/>
  <c r="G29" i="46"/>
  <c r="H13" i="46"/>
  <c r="E13" i="46"/>
  <c r="F13" i="46" s="1"/>
  <c r="G13" i="46"/>
  <c r="H324" i="46"/>
  <c r="E324" i="46"/>
  <c r="F324" i="46" s="1"/>
  <c r="G324" i="46"/>
  <c r="H300" i="46"/>
  <c r="G300" i="46"/>
  <c r="E300" i="46"/>
  <c r="F300" i="46" s="1"/>
  <c r="H268" i="46"/>
  <c r="E268" i="46"/>
  <c r="F268" i="46" s="1"/>
  <c r="G268" i="46"/>
  <c r="H236" i="46"/>
  <c r="G236" i="46"/>
  <c r="E236" i="46"/>
  <c r="F236" i="46" s="1"/>
  <c r="H212" i="46"/>
  <c r="E212" i="46"/>
  <c r="F212" i="46" s="1"/>
  <c r="G212" i="46"/>
  <c r="G180" i="46"/>
  <c r="E180" i="46"/>
  <c r="F180" i="46" s="1"/>
  <c r="H180" i="46"/>
  <c r="G148" i="46"/>
  <c r="E148" i="46"/>
  <c r="F148" i="46" s="1"/>
  <c r="H148" i="46"/>
  <c r="G116" i="46"/>
  <c r="E116" i="46"/>
  <c r="F116" i="46" s="1"/>
  <c r="H116" i="46"/>
  <c r="H76" i="46"/>
  <c r="G76" i="46"/>
  <c r="E76" i="46"/>
  <c r="F76" i="46" s="1"/>
  <c r="H60" i="46"/>
  <c r="G60" i="46"/>
  <c r="E60" i="46"/>
  <c r="F60" i="46" s="1"/>
  <c r="H44" i="46"/>
  <c r="G44" i="46"/>
  <c r="E44" i="46"/>
  <c r="F44" i="46" s="1"/>
  <c r="H12" i="46"/>
  <c r="G12" i="46"/>
  <c r="E12" i="46"/>
  <c r="F12" i="46" s="1"/>
  <c r="H352" i="46"/>
  <c r="G352" i="46"/>
  <c r="E352" i="46"/>
  <c r="F352" i="46" s="1"/>
  <c r="G344" i="46"/>
  <c r="E344" i="46"/>
  <c r="F344" i="46" s="1"/>
  <c r="H344" i="46"/>
  <c r="H336" i="46"/>
  <c r="G336" i="46"/>
  <c r="E336" i="46"/>
  <c r="F336" i="46" s="1"/>
  <c r="G328" i="46"/>
  <c r="H328" i="46"/>
  <c r="E328" i="46"/>
  <c r="F328" i="46" s="1"/>
  <c r="H320" i="46"/>
  <c r="G320" i="46"/>
  <c r="E320" i="46"/>
  <c r="F320" i="46" s="1"/>
  <c r="G312" i="46"/>
  <c r="E312" i="46"/>
  <c r="F312" i="46" s="1"/>
  <c r="H312" i="46"/>
  <c r="H304" i="46"/>
  <c r="G304" i="46"/>
  <c r="E304" i="46"/>
  <c r="F304" i="46" s="1"/>
  <c r="G296" i="46"/>
  <c r="E296" i="46"/>
  <c r="F296" i="46" s="1"/>
  <c r="H296" i="46"/>
  <c r="H288" i="46"/>
  <c r="G288" i="46"/>
  <c r="E288" i="46"/>
  <c r="F288" i="46" s="1"/>
  <c r="G280" i="46"/>
  <c r="H280" i="46"/>
  <c r="E280" i="46"/>
  <c r="F280" i="46" s="1"/>
  <c r="H272" i="46"/>
  <c r="G272" i="46"/>
  <c r="E272" i="46"/>
  <c r="F272" i="46" s="1"/>
  <c r="G264" i="46"/>
  <c r="E264" i="46"/>
  <c r="F264" i="46" s="1"/>
  <c r="H264" i="46"/>
  <c r="H256" i="46"/>
  <c r="G256" i="46"/>
  <c r="E256" i="46"/>
  <c r="F256" i="46" s="1"/>
  <c r="G248" i="46"/>
  <c r="H248" i="46"/>
  <c r="E248" i="46"/>
  <c r="F248" i="46" s="1"/>
  <c r="H240" i="46"/>
  <c r="G240" i="46"/>
  <c r="E240" i="46"/>
  <c r="F240" i="46" s="1"/>
  <c r="G232" i="46"/>
  <c r="H232" i="46"/>
  <c r="E232" i="46"/>
  <c r="F232" i="46" s="1"/>
  <c r="H224" i="46"/>
  <c r="G224" i="46"/>
  <c r="E224" i="46"/>
  <c r="F224" i="46" s="1"/>
  <c r="G216" i="46"/>
  <c r="H216" i="46"/>
  <c r="E216" i="46"/>
  <c r="F216" i="46" s="1"/>
  <c r="H208" i="46"/>
  <c r="G208" i="46"/>
  <c r="E208" i="46"/>
  <c r="F208" i="46" s="1"/>
  <c r="G200" i="46"/>
  <c r="H200" i="46"/>
  <c r="E200" i="46"/>
  <c r="F200" i="46" s="1"/>
  <c r="H192" i="46"/>
  <c r="G192" i="46"/>
  <c r="E192" i="46"/>
  <c r="F192" i="46" s="1"/>
  <c r="H184" i="46"/>
  <c r="G184" i="46"/>
  <c r="E184" i="46"/>
  <c r="F184" i="46" s="1"/>
  <c r="H176" i="46"/>
  <c r="G176" i="46"/>
  <c r="E176" i="46"/>
  <c r="F176" i="46" s="1"/>
  <c r="H168" i="46"/>
  <c r="G168" i="46"/>
  <c r="E168" i="46"/>
  <c r="F168" i="46" s="1"/>
  <c r="H160" i="46"/>
  <c r="G160" i="46"/>
  <c r="E160" i="46"/>
  <c r="F160" i="46" s="1"/>
  <c r="H152" i="46"/>
  <c r="G152" i="46"/>
  <c r="E152" i="46"/>
  <c r="F152" i="46" s="1"/>
  <c r="H144" i="46"/>
  <c r="G144" i="46"/>
  <c r="E144" i="46"/>
  <c r="F144" i="46" s="1"/>
  <c r="H136" i="46"/>
  <c r="G136" i="46"/>
  <c r="E136" i="46"/>
  <c r="F136" i="46" s="1"/>
  <c r="H128" i="46"/>
  <c r="G128" i="46"/>
  <c r="E128" i="46"/>
  <c r="F128" i="46" s="1"/>
  <c r="H120" i="46"/>
  <c r="G120" i="46"/>
  <c r="E120" i="46"/>
  <c r="F120" i="46" s="1"/>
  <c r="H112" i="46"/>
  <c r="G112" i="46"/>
  <c r="E112" i="46"/>
  <c r="F112" i="46" s="1"/>
  <c r="H104" i="46"/>
  <c r="G104" i="46"/>
  <c r="E104" i="46"/>
  <c r="F104" i="46" s="1"/>
  <c r="H96" i="46"/>
  <c r="G96" i="46"/>
  <c r="E96" i="46"/>
  <c r="F96" i="46" s="1"/>
  <c r="H88" i="46"/>
  <c r="G88" i="46"/>
  <c r="E88" i="46"/>
  <c r="F88" i="46" s="1"/>
  <c r="H80" i="46"/>
  <c r="G80" i="46"/>
  <c r="E80" i="46"/>
  <c r="F80" i="46" s="1"/>
  <c r="H72" i="46"/>
  <c r="G72" i="46"/>
  <c r="E72" i="46"/>
  <c r="F72" i="46" s="1"/>
  <c r="H64" i="46"/>
  <c r="G64" i="46"/>
  <c r="H56" i="46"/>
  <c r="G56" i="46"/>
  <c r="E56" i="46"/>
  <c r="F56" i="46" s="1"/>
  <c r="H48" i="46"/>
  <c r="G48" i="46"/>
  <c r="E48" i="46"/>
  <c r="F48" i="46" s="1"/>
  <c r="H40" i="46"/>
  <c r="G40" i="46"/>
  <c r="H32" i="46"/>
  <c r="G32" i="46"/>
  <c r="H24" i="46"/>
  <c r="G24" i="46"/>
  <c r="H16" i="46"/>
  <c r="G16" i="46"/>
  <c r="H325" i="46"/>
  <c r="E325" i="46"/>
  <c r="F325" i="46" s="1"/>
  <c r="G325" i="46"/>
  <c r="H293" i="46"/>
  <c r="E293" i="46"/>
  <c r="F293" i="46" s="1"/>
  <c r="G293" i="46"/>
  <c r="H245" i="46"/>
  <c r="E245" i="46"/>
  <c r="F245" i="46" s="1"/>
  <c r="G245" i="46"/>
  <c r="H197" i="46"/>
  <c r="E197" i="46"/>
  <c r="F197" i="46" s="1"/>
  <c r="G197" i="46"/>
  <c r="G85" i="46"/>
  <c r="E85" i="46"/>
  <c r="F85" i="46" s="1"/>
  <c r="H85" i="46"/>
  <c r="H340" i="46"/>
  <c r="E340" i="46"/>
  <c r="F340" i="46" s="1"/>
  <c r="G340" i="46"/>
  <c r="H308" i="46"/>
  <c r="E308" i="46"/>
  <c r="F308" i="46" s="1"/>
  <c r="G308" i="46"/>
  <c r="H284" i="46"/>
  <c r="E284" i="46"/>
  <c r="F284" i="46" s="1"/>
  <c r="G284" i="46"/>
  <c r="H252" i="46"/>
  <c r="G252" i="46"/>
  <c r="E252" i="46"/>
  <c r="F252" i="46" s="1"/>
  <c r="H220" i="46"/>
  <c r="E220" i="46"/>
  <c r="F220" i="46" s="1"/>
  <c r="G220" i="46"/>
  <c r="H188" i="46"/>
  <c r="E188" i="46"/>
  <c r="F188" i="46" s="1"/>
  <c r="G188" i="46"/>
  <c r="H156" i="46"/>
  <c r="G156" i="46"/>
  <c r="E156" i="46"/>
  <c r="F156" i="46" s="1"/>
  <c r="H124" i="46"/>
  <c r="G124" i="46"/>
  <c r="E124" i="46"/>
  <c r="F124" i="46" s="1"/>
  <c r="G84" i="46"/>
  <c r="E84" i="46"/>
  <c r="F84" i="46" s="1"/>
  <c r="H84" i="46"/>
  <c r="G52" i="46"/>
  <c r="E52" i="46"/>
  <c r="F52" i="46" s="1"/>
  <c r="H52" i="46"/>
  <c r="H351" i="46"/>
  <c r="G351" i="46"/>
  <c r="E351" i="46"/>
  <c r="F351" i="46" s="1"/>
  <c r="G343" i="46"/>
  <c r="E343" i="46"/>
  <c r="F343" i="46" s="1"/>
  <c r="H343" i="46"/>
  <c r="H335" i="46"/>
  <c r="G335" i="46"/>
  <c r="E335" i="46"/>
  <c r="F335" i="46" s="1"/>
  <c r="G327" i="46"/>
  <c r="H327" i="46"/>
  <c r="E327" i="46"/>
  <c r="F327" i="46" s="1"/>
  <c r="H319" i="46"/>
  <c r="G319" i="46"/>
  <c r="E319" i="46"/>
  <c r="F319" i="46" s="1"/>
  <c r="G311" i="46"/>
  <c r="E311" i="46"/>
  <c r="F311" i="46" s="1"/>
  <c r="H311" i="46"/>
  <c r="H303" i="46"/>
  <c r="G303" i="46"/>
  <c r="E303" i="46"/>
  <c r="F303" i="46" s="1"/>
  <c r="G295" i="46"/>
  <c r="E295" i="46"/>
  <c r="F295" i="46" s="1"/>
  <c r="H295" i="46"/>
  <c r="H287" i="46"/>
  <c r="G287" i="46"/>
  <c r="E287" i="46"/>
  <c r="F287" i="46" s="1"/>
  <c r="G279" i="46"/>
  <c r="H279" i="46"/>
  <c r="E279" i="46"/>
  <c r="F279" i="46" s="1"/>
  <c r="H271" i="46"/>
  <c r="G271" i="46"/>
  <c r="E271" i="46"/>
  <c r="F271" i="46" s="1"/>
  <c r="G263" i="46"/>
  <c r="E263" i="46"/>
  <c r="F263" i="46" s="1"/>
  <c r="H263" i="46"/>
  <c r="H255" i="46"/>
  <c r="G255" i="46"/>
  <c r="E255" i="46"/>
  <c r="F255" i="46" s="1"/>
  <c r="G247" i="46"/>
  <c r="H247" i="46"/>
  <c r="E247" i="46"/>
  <c r="F247" i="46" s="1"/>
  <c r="H239" i="46"/>
  <c r="G239" i="46"/>
  <c r="E239" i="46"/>
  <c r="F239" i="46" s="1"/>
  <c r="G231" i="46"/>
  <c r="E231" i="46"/>
  <c r="F231" i="46" s="1"/>
  <c r="H231" i="46"/>
  <c r="H223" i="46"/>
  <c r="G223" i="46"/>
  <c r="E223" i="46"/>
  <c r="F223" i="46" s="1"/>
  <c r="G215" i="46"/>
  <c r="H215" i="46"/>
  <c r="E215" i="46"/>
  <c r="F215" i="46" s="1"/>
  <c r="H207" i="46"/>
  <c r="G207" i="46"/>
  <c r="E207" i="46"/>
  <c r="F207" i="46" s="1"/>
  <c r="G199" i="46"/>
  <c r="H199" i="46"/>
  <c r="E199" i="46"/>
  <c r="F199" i="46" s="1"/>
  <c r="H191" i="46"/>
  <c r="G191" i="46"/>
  <c r="E191" i="46"/>
  <c r="F191" i="46" s="1"/>
  <c r="H183" i="46"/>
  <c r="G183" i="46"/>
  <c r="E183" i="46"/>
  <c r="F183" i="46" s="1"/>
  <c r="H175" i="46"/>
  <c r="E175" i="46"/>
  <c r="F175" i="46" s="1"/>
  <c r="G175" i="46"/>
  <c r="H167" i="46"/>
  <c r="G167" i="46"/>
  <c r="E167" i="46"/>
  <c r="F167" i="46" s="1"/>
  <c r="H159" i="46"/>
  <c r="G159" i="46"/>
  <c r="E159" i="46"/>
  <c r="F159" i="46" s="1"/>
  <c r="H151" i="46"/>
  <c r="G151" i="46"/>
  <c r="E151" i="46"/>
  <c r="F151" i="46" s="1"/>
  <c r="H143" i="46"/>
  <c r="G143" i="46"/>
  <c r="E143" i="46"/>
  <c r="F143" i="46" s="1"/>
  <c r="H135" i="46"/>
  <c r="G135" i="46"/>
  <c r="E135" i="46"/>
  <c r="F135" i="46" s="1"/>
  <c r="H127" i="46"/>
  <c r="G127" i="46"/>
  <c r="E127" i="46"/>
  <c r="F127" i="46" s="1"/>
  <c r="H119" i="46"/>
  <c r="G119" i="46"/>
  <c r="E119" i="46"/>
  <c r="F119" i="46" s="1"/>
  <c r="H111" i="46"/>
  <c r="G111" i="46"/>
  <c r="E111" i="46"/>
  <c r="F111" i="46" s="1"/>
  <c r="H103" i="46"/>
  <c r="G103" i="46"/>
  <c r="E103" i="46"/>
  <c r="F103" i="46" s="1"/>
  <c r="H95" i="46"/>
  <c r="E95" i="46"/>
  <c r="F95" i="46" s="1"/>
  <c r="G95" i="46"/>
  <c r="H87" i="46"/>
  <c r="G87" i="46"/>
  <c r="H79" i="46"/>
  <c r="E79" i="46"/>
  <c r="F79" i="46" s="1"/>
  <c r="G79" i="46"/>
  <c r="H71" i="46"/>
  <c r="G71" i="46"/>
  <c r="E71" i="46"/>
  <c r="F71" i="46" s="1"/>
  <c r="H63" i="46"/>
  <c r="E63" i="46"/>
  <c r="F63" i="46" s="1"/>
  <c r="G63" i="46"/>
  <c r="H55" i="46"/>
  <c r="G55" i="46"/>
  <c r="E55" i="46"/>
  <c r="F55" i="46" s="1"/>
  <c r="H47" i="46"/>
  <c r="G47" i="46"/>
  <c r="H39" i="46"/>
  <c r="G39" i="46"/>
  <c r="E39" i="46"/>
  <c r="F39" i="46" s="1"/>
  <c r="H31" i="46"/>
  <c r="E31" i="46"/>
  <c r="F31" i="46" s="1"/>
  <c r="G31" i="46"/>
  <c r="H23" i="46"/>
  <c r="G23" i="46"/>
  <c r="H15" i="46"/>
  <c r="G15" i="46"/>
  <c r="H341" i="46"/>
  <c r="E341" i="46"/>
  <c r="F341" i="46" s="1"/>
  <c r="G341" i="46"/>
  <c r="H301" i="46"/>
  <c r="E301" i="46"/>
  <c r="F301" i="46" s="1"/>
  <c r="G301" i="46"/>
  <c r="H261" i="46"/>
  <c r="E261" i="46"/>
  <c r="F261" i="46" s="1"/>
  <c r="G261" i="46"/>
  <c r="H229" i="46"/>
  <c r="E229" i="46"/>
  <c r="F229" i="46" s="1"/>
  <c r="G229" i="46"/>
  <c r="H205" i="46"/>
  <c r="E205" i="46"/>
  <c r="F205" i="46" s="1"/>
  <c r="G205" i="46"/>
  <c r="H173" i="46"/>
  <c r="E173" i="46"/>
  <c r="F173" i="46" s="1"/>
  <c r="G173" i="46"/>
  <c r="H157" i="46"/>
  <c r="E157" i="46"/>
  <c r="F157" i="46" s="1"/>
  <c r="G157" i="46"/>
  <c r="H141" i="46"/>
  <c r="E141" i="46"/>
  <c r="F141" i="46" s="1"/>
  <c r="G141" i="46"/>
  <c r="G117" i="46"/>
  <c r="E117" i="46"/>
  <c r="F117" i="46" s="1"/>
  <c r="H117" i="46"/>
  <c r="H93" i="46"/>
  <c r="E93" i="46"/>
  <c r="F93" i="46" s="1"/>
  <c r="G93" i="46"/>
  <c r="G69" i="46"/>
  <c r="H69" i="46"/>
  <c r="E69" i="46"/>
  <c r="F69" i="46" s="1"/>
  <c r="G53" i="46"/>
  <c r="H53" i="46"/>
  <c r="G37" i="46"/>
  <c r="H37" i="46"/>
  <c r="G21" i="46"/>
  <c r="H21" i="46"/>
  <c r="H316" i="46"/>
  <c r="G316" i="46"/>
  <c r="E316" i="46"/>
  <c r="F316" i="46" s="1"/>
  <c r="H276" i="46"/>
  <c r="E276" i="46"/>
  <c r="F276" i="46" s="1"/>
  <c r="G276" i="46"/>
  <c r="H244" i="46"/>
  <c r="E244" i="46"/>
  <c r="F244" i="46" s="1"/>
  <c r="G244" i="46"/>
  <c r="H204" i="46"/>
  <c r="E204" i="46"/>
  <c r="F204" i="46" s="1"/>
  <c r="G204" i="46"/>
  <c r="H172" i="46"/>
  <c r="G172" i="46"/>
  <c r="E172" i="46"/>
  <c r="F172" i="46" s="1"/>
  <c r="H140" i="46"/>
  <c r="G140" i="46"/>
  <c r="E140" i="46"/>
  <c r="F140" i="46" s="1"/>
  <c r="H108" i="46"/>
  <c r="G108" i="46"/>
  <c r="E108" i="46"/>
  <c r="F108" i="46" s="1"/>
  <c r="G68" i="46"/>
  <c r="H68" i="46"/>
  <c r="E68" i="46"/>
  <c r="F68" i="46" s="1"/>
  <c r="G36" i="46"/>
  <c r="H36" i="46"/>
  <c r="G20" i="46"/>
  <c r="H20" i="46"/>
  <c r="H350" i="46"/>
  <c r="G350" i="46"/>
  <c r="E350" i="46"/>
  <c r="F350" i="46" s="1"/>
  <c r="H342" i="46"/>
  <c r="G342" i="46"/>
  <c r="E342" i="46"/>
  <c r="F342" i="46" s="1"/>
  <c r="H334" i="46"/>
  <c r="G334" i="46"/>
  <c r="E334" i="46"/>
  <c r="F334" i="46" s="1"/>
  <c r="H326" i="46"/>
  <c r="G326" i="46"/>
  <c r="E326" i="46"/>
  <c r="F326" i="46" s="1"/>
  <c r="H318" i="46"/>
  <c r="G318" i="46"/>
  <c r="E318" i="46"/>
  <c r="F318" i="46" s="1"/>
  <c r="H310" i="46"/>
  <c r="G310" i="46"/>
  <c r="E310" i="46"/>
  <c r="F310" i="46" s="1"/>
  <c r="H302" i="46"/>
  <c r="G302" i="46"/>
  <c r="E302" i="46"/>
  <c r="F302" i="46" s="1"/>
  <c r="H294" i="46"/>
  <c r="G294" i="46"/>
  <c r="E294" i="46"/>
  <c r="F294" i="46" s="1"/>
  <c r="H286" i="46"/>
  <c r="G286" i="46"/>
  <c r="E286" i="46"/>
  <c r="F286" i="46" s="1"/>
  <c r="H278" i="46"/>
  <c r="G278" i="46"/>
  <c r="E278" i="46"/>
  <c r="F278" i="46" s="1"/>
  <c r="H270" i="46"/>
  <c r="G270" i="46"/>
  <c r="E270" i="46"/>
  <c r="F270" i="46" s="1"/>
  <c r="H262" i="46"/>
  <c r="G262" i="46"/>
  <c r="E262" i="46"/>
  <c r="F262" i="46" s="1"/>
  <c r="H254" i="46"/>
  <c r="G254" i="46"/>
  <c r="E254" i="46"/>
  <c r="F254" i="46" s="1"/>
  <c r="H246" i="46"/>
  <c r="G246" i="46"/>
  <c r="E246" i="46"/>
  <c r="F246" i="46" s="1"/>
  <c r="H238" i="46"/>
  <c r="G238" i="46"/>
  <c r="E238" i="46"/>
  <c r="F238" i="46" s="1"/>
  <c r="H230" i="46"/>
  <c r="G230" i="46"/>
  <c r="E230" i="46"/>
  <c r="F230" i="46" s="1"/>
  <c r="H222" i="46"/>
  <c r="G222" i="46"/>
  <c r="E222" i="46"/>
  <c r="F222" i="46" s="1"/>
  <c r="H214" i="46"/>
  <c r="G214" i="46"/>
  <c r="E214" i="46"/>
  <c r="F214" i="46" s="1"/>
  <c r="H206" i="46"/>
  <c r="G206" i="46"/>
  <c r="E206" i="46"/>
  <c r="F206" i="46" s="1"/>
  <c r="H198" i="46"/>
  <c r="G198" i="46"/>
  <c r="E198" i="46"/>
  <c r="F198" i="46" s="1"/>
  <c r="G190" i="46"/>
  <c r="H190" i="46"/>
  <c r="E190" i="46"/>
  <c r="F190" i="46" s="1"/>
  <c r="H182" i="46"/>
  <c r="G182" i="46"/>
  <c r="E182" i="46"/>
  <c r="F182" i="46" s="1"/>
  <c r="H174" i="46"/>
  <c r="E174" i="46"/>
  <c r="F174" i="46" s="1"/>
  <c r="G174" i="46"/>
  <c r="G166" i="46"/>
  <c r="H166" i="46"/>
  <c r="E166" i="46"/>
  <c r="F166" i="46" s="1"/>
  <c r="H158" i="46"/>
  <c r="E158" i="46"/>
  <c r="F158" i="46" s="1"/>
  <c r="G158" i="46"/>
  <c r="G150" i="46"/>
  <c r="E150" i="46"/>
  <c r="F150" i="46" s="1"/>
  <c r="H150" i="46"/>
  <c r="H142" i="46"/>
  <c r="G142" i="46"/>
  <c r="E142" i="46"/>
  <c r="F142" i="46" s="1"/>
  <c r="G134" i="46"/>
  <c r="H134" i="46"/>
  <c r="E134" i="46"/>
  <c r="F134" i="46" s="1"/>
  <c r="H126" i="46"/>
  <c r="E126" i="46"/>
  <c r="F126" i="46" s="1"/>
  <c r="G126" i="46"/>
  <c r="G118" i="46"/>
  <c r="H118" i="46"/>
  <c r="E118" i="46"/>
  <c r="F118" i="46" s="1"/>
  <c r="H110" i="46"/>
  <c r="G110" i="46"/>
  <c r="E110" i="46"/>
  <c r="F110" i="46" s="1"/>
  <c r="G102" i="46"/>
  <c r="H102" i="46"/>
  <c r="H94" i="46"/>
  <c r="G94" i="46"/>
  <c r="G86" i="46"/>
  <c r="E86" i="46"/>
  <c r="F86" i="46" s="1"/>
  <c r="H86" i="46"/>
  <c r="H78" i="46"/>
  <c r="G78" i="46"/>
  <c r="G70" i="46"/>
  <c r="H70" i="46"/>
  <c r="H62" i="46"/>
  <c r="G62" i="46"/>
  <c r="G54" i="46"/>
  <c r="H54" i="46"/>
  <c r="H46" i="46"/>
  <c r="G46" i="46"/>
  <c r="G38" i="46"/>
  <c r="H38" i="46"/>
  <c r="E38" i="46"/>
  <c r="F38" i="46" s="1"/>
  <c r="H30" i="46"/>
  <c r="G30" i="46"/>
  <c r="G22" i="46"/>
  <c r="H22" i="46"/>
  <c r="E14" i="46"/>
  <c r="F14" i="46" s="1"/>
  <c r="H14" i="46"/>
  <c r="G14" i="46"/>
  <c r="AN7" i="44"/>
  <c r="AO7" i="44"/>
  <c r="AM7" i="44"/>
  <c r="AV7" i="44"/>
  <c r="AU7" i="44"/>
  <c r="AT7" i="44"/>
  <c r="AS7" i="44"/>
  <c r="AR7" i="44"/>
  <c r="AQ7" i="44"/>
  <c r="Z7" i="44"/>
  <c r="AP7" i="44"/>
  <c r="Q5" i="25"/>
  <c r="D5" i="25"/>
  <c r="P5" i="25"/>
  <c r="V344" i="44"/>
  <c r="V332" i="44"/>
  <c r="V320" i="44"/>
  <c r="V308" i="44"/>
  <c r="V296" i="44"/>
  <c r="V284" i="44"/>
  <c r="V272" i="44"/>
  <c r="V260" i="44"/>
  <c r="V200" i="44"/>
  <c r="V188" i="44"/>
  <c r="V176" i="44"/>
  <c r="V164" i="44"/>
  <c r="V152" i="44"/>
  <c r="V140" i="44"/>
  <c r="V128" i="44"/>
  <c r="V116" i="44"/>
  <c r="V56" i="44"/>
  <c r="V44" i="44"/>
  <c r="V32" i="44"/>
  <c r="V20" i="44"/>
  <c r="AH184" i="44"/>
  <c r="AH148" i="44"/>
  <c r="AH112" i="44"/>
  <c r="AH103" i="44"/>
  <c r="AH91" i="44"/>
  <c r="AH76" i="44"/>
  <c r="AH67" i="44"/>
  <c r="AH55" i="44"/>
  <c r="AH328" i="44"/>
  <c r="AH40" i="44"/>
  <c r="AH292" i="44"/>
  <c r="AH31" i="44"/>
  <c r="AH256" i="44"/>
  <c r="AH19" i="44"/>
  <c r="AH220" i="44"/>
  <c r="AH331" i="44"/>
  <c r="AH295" i="44"/>
  <c r="AH259" i="44"/>
  <c r="AH223" i="44"/>
  <c r="AH187" i="44"/>
  <c r="AH151" i="44"/>
  <c r="AH115" i="44"/>
  <c r="AH79" i="44"/>
  <c r="AH43" i="44"/>
  <c r="AH326" i="44"/>
  <c r="AH290" i="44"/>
  <c r="AH254" i="44"/>
  <c r="AH218" i="44"/>
  <c r="AH182" i="44"/>
  <c r="AH146" i="44"/>
  <c r="AH110" i="44"/>
  <c r="AH74" i="44"/>
  <c r="AH38" i="44"/>
  <c r="AH320" i="44"/>
  <c r="AH284" i="44"/>
  <c r="AH248" i="44"/>
  <c r="AH212" i="44"/>
  <c r="AH176" i="44"/>
  <c r="AH140" i="44"/>
  <c r="AH104" i="44"/>
  <c r="AH68" i="44"/>
  <c r="AH32" i="44"/>
  <c r="AH319" i="44"/>
  <c r="AH283" i="44"/>
  <c r="AH247" i="44"/>
  <c r="AH211" i="44"/>
  <c r="AH175" i="44"/>
  <c r="AH139" i="44"/>
  <c r="AH352" i="44"/>
  <c r="AH316" i="44"/>
  <c r="AH280" i="44"/>
  <c r="AH244" i="44"/>
  <c r="AH208" i="44"/>
  <c r="AH172" i="44"/>
  <c r="AH136" i="44"/>
  <c r="AH100" i="44"/>
  <c r="AH64" i="44"/>
  <c r="AH28" i="44"/>
  <c r="AH350" i="44"/>
  <c r="AH314" i="44"/>
  <c r="AH278" i="44"/>
  <c r="AH242" i="44"/>
  <c r="AH206" i="44"/>
  <c r="AH170" i="44"/>
  <c r="AH134" i="44"/>
  <c r="AH98" i="44"/>
  <c r="AH62" i="44"/>
  <c r="AH26" i="44"/>
  <c r="AH344" i="44"/>
  <c r="AH308" i="44"/>
  <c r="AH272" i="44"/>
  <c r="AH236" i="44"/>
  <c r="AH200" i="44"/>
  <c r="AH164" i="44"/>
  <c r="AH128" i="44"/>
  <c r="AH92" i="44"/>
  <c r="AH56" i="44"/>
  <c r="AH20" i="44"/>
  <c r="AH343" i="44"/>
  <c r="AH307" i="44"/>
  <c r="AH271" i="44"/>
  <c r="AH235" i="44"/>
  <c r="AH199" i="44"/>
  <c r="AH163" i="44"/>
  <c r="AH127" i="44"/>
  <c r="AH340" i="44"/>
  <c r="AH304" i="44"/>
  <c r="AH268" i="44"/>
  <c r="AH232" i="44"/>
  <c r="AH196" i="44"/>
  <c r="AH160" i="44"/>
  <c r="AH124" i="44"/>
  <c r="AH88" i="44"/>
  <c r="AH52" i="44"/>
  <c r="AH16" i="44"/>
  <c r="AH338" i="44"/>
  <c r="AH302" i="44"/>
  <c r="AH266" i="44"/>
  <c r="AH230" i="44"/>
  <c r="AH194" i="44"/>
  <c r="AH158" i="44"/>
  <c r="AH122" i="44"/>
  <c r="AH86" i="44"/>
  <c r="AH50" i="44"/>
  <c r="AH14" i="44"/>
  <c r="AH332" i="44"/>
  <c r="AH296" i="44"/>
  <c r="AH260" i="44"/>
  <c r="AH224" i="44"/>
  <c r="AH188" i="44"/>
  <c r="AH152" i="44"/>
  <c r="AH116" i="44"/>
  <c r="AH80" i="44"/>
  <c r="AH44" i="44"/>
  <c r="AH345" i="44"/>
  <c r="AH333" i="44"/>
  <c r="AH321" i="44"/>
  <c r="AH309" i="44"/>
  <c r="AH297" i="44"/>
  <c r="AH285" i="44"/>
  <c r="AH273" i="44"/>
  <c r="AH261" i="44"/>
  <c r="AH249" i="44"/>
  <c r="AH237" i="44"/>
  <c r="AH225" i="44"/>
  <c r="AH213" i="44"/>
  <c r="AH201" i="44"/>
  <c r="AH189" i="44"/>
  <c r="AH177" i="44"/>
  <c r="AH165" i="44"/>
  <c r="AH153" i="44"/>
  <c r="AH141" i="44"/>
  <c r="AH129" i="44"/>
  <c r="AH117" i="44"/>
  <c r="AH105" i="44"/>
  <c r="AH93" i="44"/>
  <c r="AH81" i="44"/>
  <c r="AH69" i="44"/>
  <c r="AH57" i="44"/>
  <c r="AH45" i="44"/>
  <c r="AH33" i="44"/>
  <c r="AH21" i="44"/>
  <c r="AH354" i="44"/>
  <c r="AH342" i="44"/>
  <c r="AH330" i="44"/>
  <c r="AH318" i="44"/>
  <c r="AH306" i="44"/>
  <c r="AH294" i="44"/>
  <c r="AH282" i="44"/>
  <c r="AH270" i="44"/>
  <c r="AH258" i="44"/>
  <c r="AH246" i="44"/>
  <c r="AH234" i="44"/>
  <c r="AH222" i="44"/>
  <c r="AH210" i="44"/>
  <c r="AH198" i="44"/>
  <c r="AH186" i="44"/>
  <c r="AH174" i="44"/>
  <c r="AH162" i="44"/>
  <c r="AH150" i="44"/>
  <c r="AH138" i="44"/>
  <c r="AH126" i="44"/>
  <c r="AH114" i="44"/>
  <c r="AH90" i="44"/>
  <c r="AH78" i="44"/>
  <c r="AH66" i="44"/>
  <c r="AH54" i="44"/>
  <c r="AH42" i="44"/>
  <c r="AH30" i="44"/>
  <c r="AH18" i="44"/>
  <c r="AH353" i="44"/>
  <c r="AH341" i="44"/>
  <c r="AH329" i="44"/>
  <c r="AH317" i="44"/>
  <c r="AH305" i="44"/>
  <c r="AH293" i="44"/>
  <c r="AH281" i="44"/>
  <c r="AH269" i="44"/>
  <c r="AH257" i="44"/>
  <c r="AH245" i="44"/>
  <c r="AH233" i="44"/>
  <c r="AH221" i="44"/>
  <c r="AH209" i="44"/>
  <c r="AH197" i="44"/>
  <c r="AH185" i="44"/>
  <c r="AH173" i="44"/>
  <c r="AH161" i="44"/>
  <c r="AH149" i="44"/>
  <c r="AH137" i="44"/>
  <c r="AH125" i="44"/>
  <c r="AH113" i="44"/>
  <c r="AH89" i="44"/>
  <c r="AH65" i="44"/>
  <c r="AH53" i="44"/>
  <c r="AH41" i="44"/>
  <c r="AH29" i="44"/>
  <c r="AH17" i="44"/>
  <c r="X3" i="49"/>
  <c r="AH351" i="44"/>
  <c r="AH339" i="44"/>
  <c r="AH327" i="44"/>
  <c r="AH315" i="44"/>
  <c r="AH303" i="44"/>
  <c r="AH291" i="44"/>
  <c r="AH279" i="44"/>
  <c r="AH267" i="44"/>
  <c r="AH255" i="44"/>
  <c r="AH243" i="44"/>
  <c r="AH231" i="44"/>
  <c r="AH219" i="44"/>
  <c r="AH207" i="44"/>
  <c r="AH195" i="44"/>
  <c r="AH183" i="44"/>
  <c r="AH171" i="44"/>
  <c r="AH159" i="44"/>
  <c r="AH147" i="44"/>
  <c r="AH135" i="44"/>
  <c r="AH123" i="44"/>
  <c r="AH111" i="44"/>
  <c r="AH99" i="44"/>
  <c r="AH87" i="44"/>
  <c r="AH75" i="44"/>
  <c r="AH63" i="44"/>
  <c r="AH51" i="44"/>
  <c r="AH39" i="44"/>
  <c r="AH27" i="44"/>
  <c r="AH15" i="44"/>
  <c r="W3" i="49"/>
  <c r="AH349" i="44"/>
  <c r="AH337" i="44"/>
  <c r="AH325" i="44"/>
  <c r="AH313" i="44"/>
  <c r="AH301" i="44"/>
  <c r="AH289" i="44"/>
  <c r="AH277" i="44"/>
  <c r="AH265" i="44"/>
  <c r="AH253" i="44"/>
  <c r="AH241" i="44"/>
  <c r="AH229" i="44"/>
  <c r="AH217" i="44"/>
  <c r="AH205" i="44"/>
  <c r="AH193" i="44"/>
  <c r="AH181" i="44"/>
  <c r="AH169" i="44"/>
  <c r="AH157" i="44"/>
  <c r="AH145" i="44"/>
  <c r="AH133" i="44"/>
  <c r="AH121" i="44"/>
  <c r="AH109" i="44"/>
  <c r="AH97" i="44"/>
  <c r="AH85" i="44"/>
  <c r="AH73" i="44"/>
  <c r="AH61" i="44"/>
  <c r="AH49" i="44"/>
  <c r="AH37" i="44"/>
  <c r="AH25" i="44"/>
  <c r="AH13" i="44"/>
  <c r="AH348" i="44"/>
  <c r="AH336" i="44"/>
  <c r="AH324" i="44"/>
  <c r="AH312" i="44"/>
  <c r="AH300" i="44"/>
  <c r="AH288" i="44"/>
  <c r="AH276" i="44"/>
  <c r="AH264" i="44"/>
  <c r="AH252" i="44"/>
  <c r="AH240" i="44"/>
  <c r="AH228" i="44"/>
  <c r="AH216" i="44"/>
  <c r="AH204" i="44"/>
  <c r="AH192" i="44"/>
  <c r="AH180" i="44"/>
  <c r="AH168" i="44"/>
  <c r="AH156" i="44"/>
  <c r="AH144" i="44"/>
  <c r="AH132" i="44"/>
  <c r="AH120" i="44"/>
  <c r="AH108" i="44"/>
  <c r="AH96" i="44"/>
  <c r="AH84" i="44"/>
  <c r="AH72" i="44"/>
  <c r="AH60" i="44"/>
  <c r="AH48" i="44"/>
  <c r="AH36" i="44"/>
  <c r="AH24" i="44"/>
  <c r="AH12" i="44"/>
  <c r="AH347" i="44"/>
  <c r="AH335" i="44"/>
  <c r="AH323" i="44"/>
  <c r="AH311" i="44"/>
  <c r="AH299" i="44"/>
  <c r="AH287" i="44"/>
  <c r="AH275" i="44"/>
  <c r="AH263" i="44"/>
  <c r="AH251" i="44"/>
  <c r="AH239" i="44"/>
  <c r="AH227" i="44"/>
  <c r="AH215" i="44"/>
  <c r="AH203" i="44"/>
  <c r="AH191" i="44"/>
  <c r="AH179" i="44"/>
  <c r="AH167" i="44"/>
  <c r="AH155" i="44"/>
  <c r="AH143" i="44"/>
  <c r="AH131" i="44"/>
  <c r="AH119" i="44"/>
  <c r="AH107" i="44"/>
  <c r="AH95" i="44"/>
  <c r="AH71" i="44"/>
  <c r="AH59" i="44"/>
  <c r="AH47" i="44"/>
  <c r="AH35" i="44"/>
  <c r="AH23" i="44"/>
  <c r="AH346" i="44"/>
  <c r="AH334" i="44"/>
  <c r="AH322" i="44"/>
  <c r="AH310" i="44"/>
  <c r="AH298" i="44"/>
  <c r="AH286" i="44"/>
  <c r="AH274" i="44"/>
  <c r="AH262" i="44"/>
  <c r="AH250" i="44"/>
  <c r="AH238" i="44"/>
  <c r="AH226" i="44"/>
  <c r="AH214" i="44"/>
  <c r="AH202" i="44"/>
  <c r="AH190" i="44"/>
  <c r="AH178" i="44"/>
  <c r="AH166" i="44"/>
  <c r="AH154" i="44"/>
  <c r="AH142" i="44"/>
  <c r="AH130" i="44"/>
  <c r="AH118" i="44"/>
  <c r="AH106" i="44"/>
  <c r="AH94" i="44"/>
  <c r="AH82" i="44"/>
  <c r="AH70" i="44"/>
  <c r="AH58" i="44"/>
  <c r="AH46" i="44"/>
  <c r="AH34" i="44"/>
  <c r="AH22" i="44"/>
  <c r="AH10" i="44"/>
  <c r="K8" i="44"/>
  <c r="O8" i="44" s="1"/>
  <c r="L8" i="46"/>
  <c r="M8" i="46"/>
  <c r="Q3" i="49"/>
  <c r="R3" i="49" s="1"/>
  <c r="G8" i="46"/>
  <c r="Q8" i="45"/>
  <c r="R8" i="45"/>
  <c r="L8" i="45"/>
  <c r="V8" i="44"/>
  <c r="X7" i="46"/>
  <c r="Q2" i="25" l="1"/>
  <c r="R2" i="25" s="1"/>
  <c r="E255" i="53"/>
  <c r="F260" i="45"/>
  <c r="H260" i="45" s="1"/>
  <c r="G255" i="53" s="1"/>
  <c r="V7" i="44"/>
  <c r="E9" i="45"/>
  <c r="E4" i="53" s="1"/>
  <c r="T3" i="49"/>
  <c r="E9" i="46"/>
  <c r="E21" i="46"/>
  <c r="F21" i="46" s="1"/>
  <c r="E54" i="46"/>
  <c r="F54" i="46" s="1"/>
  <c r="E22" i="46"/>
  <c r="F22" i="46" s="1"/>
  <c r="E43" i="46"/>
  <c r="F43" i="46" s="1"/>
  <c r="E35" i="46"/>
  <c r="F35" i="46" s="1"/>
  <c r="E46" i="46"/>
  <c r="F46" i="46" s="1"/>
  <c r="E78" i="46"/>
  <c r="F78" i="46" s="1"/>
  <c r="E36" i="46"/>
  <c r="F36" i="46" s="1"/>
  <c r="E23" i="46"/>
  <c r="F23" i="46" s="1"/>
  <c r="E87" i="46"/>
  <c r="F87" i="46" s="1"/>
  <c r="E40" i="46"/>
  <c r="F40" i="46" s="1"/>
  <c r="E45" i="46"/>
  <c r="F45" i="46" s="1"/>
  <c r="E41" i="46"/>
  <c r="F41" i="46" s="1"/>
  <c r="E42" i="46"/>
  <c r="F42" i="46" s="1"/>
  <c r="E106" i="46"/>
  <c r="F106" i="46" s="1"/>
  <c r="E28" i="46"/>
  <c r="F28" i="46" s="1"/>
  <c r="E16" i="46"/>
  <c r="F16" i="46" s="1"/>
  <c r="E67" i="46"/>
  <c r="F67" i="46" s="1"/>
  <c r="E27" i="46"/>
  <c r="F27" i="46" s="1"/>
  <c r="E91" i="46"/>
  <c r="F91" i="46" s="1"/>
  <c r="E17" i="46"/>
  <c r="F17" i="46" s="1"/>
  <c r="E70" i="46"/>
  <c r="F70" i="46" s="1"/>
  <c r="E102" i="46"/>
  <c r="F102" i="46" s="1"/>
  <c r="E20" i="46"/>
  <c r="F20" i="46" s="1"/>
  <c r="E53" i="46"/>
  <c r="F53" i="46" s="1"/>
  <c r="E15" i="46"/>
  <c r="F15" i="46" s="1"/>
  <c r="E47" i="46"/>
  <c r="F47" i="46" s="1"/>
  <c r="E32" i="46"/>
  <c r="F32" i="46" s="1"/>
  <c r="E64" i="46"/>
  <c r="F64" i="46" s="1"/>
  <c r="E29" i="46"/>
  <c r="F29" i="46" s="1"/>
  <c r="E33" i="46"/>
  <c r="F33" i="46" s="1"/>
  <c r="E34" i="46"/>
  <c r="F34" i="46" s="1"/>
  <c r="E18" i="46"/>
  <c r="F18" i="46" s="1"/>
  <c r="E19" i="46"/>
  <c r="F19" i="46" s="1"/>
  <c r="E30" i="46"/>
  <c r="F30" i="46" s="1"/>
  <c r="E62" i="46"/>
  <c r="F62" i="46" s="1"/>
  <c r="E94" i="46"/>
  <c r="F94" i="46" s="1"/>
  <c r="E37" i="46"/>
  <c r="F37" i="46" s="1"/>
  <c r="E24" i="46"/>
  <c r="F24" i="46" s="1"/>
  <c r="E77" i="46"/>
  <c r="F77" i="46" s="1"/>
  <c r="E25" i="46"/>
  <c r="F25" i="46" s="1"/>
  <c r="E57" i="46"/>
  <c r="F57" i="46" s="1"/>
  <c r="E26" i="46"/>
  <c r="F26" i="46" s="1"/>
  <c r="E58" i="46"/>
  <c r="F58" i="46" s="1"/>
  <c r="E90" i="46"/>
  <c r="F90" i="46" s="1"/>
  <c r="F11" i="46"/>
  <c r="I260" i="46"/>
  <c r="R260" i="46"/>
  <c r="D41" i="2" l="1"/>
  <c r="E41" i="2"/>
  <c r="E39" i="2"/>
  <c r="E37" i="2"/>
  <c r="E36" i="2"/>
  <c r="C6" i="46"/>
  <c r="U8" i="46"/>
  <c r="T8" i="46"/>
  <c r="S8" i="46"/>
  <c r="O8" i="46"/>
  <c r="K8" i="46"/>
  <c r="J8" i="46"/>
  <c r="I8" i="46"/>
  <c r="F8" i="46"/>
  <c r="E8" i="46"/>
  <c r="T8" i="45"/>
  <c r="Z7" i="45" l="1"/>
  <c r="Z8" i="45"/>
  <c r="Y8" i="45"/>
  <c r="X8" i="45"/>
  <c r="U7" i="45"/>
  <c r="E1" i="44" l="1"/>
  <c r="F1" i="44"/>
  <c r="G1" i="44"/>
  <c r="H1" i="44"/>
  <c r="I1" i="44"/>
  <c r="J1" i="44"/>
  <c r="K1" i="44"/>
  <c r="L1" i="44"/>
  <c r="M1" i="44"/>
  <c r="N1" i="44"/>
  <c r="O1" i="44"/>
  <c r="P1" i="44"/>
  <c r="Q1" i="44"/>
  <c r="R1" i="44"/>
  <c r="S1" i="44"/>
  <c r="U1" i="44"/>
  <c r="V1" i="44"/>
  <c r="W1" i="44"/>
  <c r="X1" i="44"/>
  <c r="Y1" i="44"/>
  <c r="Z1" i="44"/>
  <c r="AA1" i="44"/>
  <c r="AB1" i="44"/>
  <c r="AC1" i="44"/>
  <c r="AD1" i="44"/>
  <c r="AE1" i="44"/>
  <c r="AF1" i="44"/>
  <c r="AG1" i="44"/>
  <c r="AH1" i="44"/>
  <c r="AI1" i="44"/>
  <c r="AJ1" i="44"/>
  <c r="AK1" i="44"/>
  <c r="AL1" i="44"/>
  <c r="AM1" i="44"/>
  <c r="AN1" i="44"/>
  <c r="AO1" i="44"/>
  <c r="AP1" i="44"/>
  <c r="AQ1" i="44"/>
  <c r="AR1" i="44"/>
  <c r="AS1" i="44"/>
  <c r="AT1" i="44"/>
  <c r="AU1" i="44"/>
  <c r="AV1" i="44"/>
  <c r="D1" i="44"/>
  <c r="P7" i="45"/>
  <c r="P8" i="45"/>
  <c r="N8" i="45"/>
  <c r="D6" i="45"/>
  <c r="Z1" i="53" s="1"/>
  <c r="AF1" i="53" s="1"/>
  <c r="O8" i="45"/>
  <c r="K7" i="45"/>
  <c r="K8" i="45"/>
  <c r="J8" i="45"/>
  <c r="R139" i="46" l="1"/>
  <c r="R343" i="46"/>
  <c r="I112" i="46"/>
  <c r="R255" i="46"/>
  <c r="I240" i="46"/>
  <c r="R214" i="46"/>
  <c r="I164" i="46"/>
  <c r="R112" i="46"/>
  <c r="R164" i="46"/>
  <c r="R339" i="46"/>
  <c r="I72" i="46"/>
  <c r="I163" i="46"/>
  <c r="R319" i="46"/>
  <c r="I343" i="46"/>
  <c r="R261" i="46"/>
  <c r="R134" i="46"/>
  <c r="I293" i="46"/>
  <c r="R71" i="46"/>
  <c r="I271" i="46"/>
  <c r="I258" i="46"/>
  <c r="R259" i="46"/>
  <c r="I294" i="46"/>
  <c r="R129" i="46"/>
  <c r="R295" i="46"/>
  <c r="R149" i="46"/>
  <c r="R163" i="46"/>
  <c r="R278" i="46"/>
  <c r="I12" i="46"/>
  <c r="R220" i="46"/>
  <c r="R12" i="46"/>
  <c r="I281" i="46"/>
  <c r="R290" i="46"/>
  <c r="R310" i="46"/>
  <c r="I351" i="46"/>
  <c r="R347" i="46"/>
  <c r="I21" i="46"/>
  <c r="I209" i="46"/>
  <c r="I70" i="46"/>
  <c r="R209" i="46"/>
  <c r="R204" i="46"/>
  <c r="I257" i="46"/>
  <c r="I49" i="46"/>
  <c r="R175" i="46"/>
  <c r="R49" i="46"/>
  <c r="R237" i="46"/>
  <c r="R224" i="46"/>
  <c r="I75" i="46"/>
  <c r="R176" i="46"/>
  <c r="R222" i="46"/>
  <c r="I86" i="46"/>
  <c r="I37" i="46"/>
  <c r="I43" i="46"/>
  <c r="R303" i="46"/>
  <c r="I80" i="46"/>
  <c r="I346" i="46"/>
  <c r="I168" i="46"/>
  <c r="I336" i="46"/>
  <c r="I250" i="46"/>
  <c r="R168" i="46"/>
  <c r="R86" i="46"/>
  <c r="R55" i="46"/>
  <c r="I201" i="46"/>
  <c r="I314" i="46"/>
  <c r="I291" i="46"/>
  <c r="R336" i="46"/>
  <c r="R82" i="46"/>
  <c r="I28" i="46"/>
  <c r="R306" i="46"/>
  <c r="I224" i="46"/>
  <c r="I280" i="46"/>
  <c r="I151" i="46"/>
  <c r="I278" i="46"/>
  <c r="R287" i="46"/>
  <c r="R167" i="46"/>
  <c r="I196" i="46"/>
  <c r="I180" i="46"/>
  <c r="I132" i="46"/>
  <c r="R315" i="46"/>
  <c r="I344" i="46"/>
  <c r="R212" i="46"/>
  <c r="I23" i="46"/>
  <c r="I121" i="46"/>
  <c r="I92" i="46"/>
  <c r="I90" i="46"/>
  <c r="R68" i="46"/>
  <c r="I273" i="46"/>
  <c r="I305" i="46"/>
  <c r="I284" i="46"/>
  <c r="I100" i="46"/>
  <c r="R271" i="46"/>
  <c r="I169" i="46"/>
  <c r="R297" i="46"/>
  <c r="I171" i="46"/>
  <c r="R191" i="46"/>
  <c r="R257" i="46"/>
  <c r="I82" i="46"/>
  <c r="I125" i="46"/>
  <c r="I109" i="46"/>
  <c r="I263" i="46"/>
  <c r="I53" i="46"/>
  <c r="I213" i="46"/>
  <c r="I188" i="46"/>
  <c r="R218" i="46"/>
  <c r="I287" i="46"/>
  <c r="R280" i="46"/>
  <c r="R161" i="46"/>
  <c r="R345" i="46"/>
  <c r="R121" i="46"/>
  <c r="I83" i="46"/>
  <c r="I58" i="46"/>
  <c r="I142" i="46"/>
  <c r="R89" i="46"/>
  <c r="R159" i="46"/>
  <c r="I306" i="46"/>
  <c r="R242" i="46"/>
  <c r="I52" i="46"/>
  <c r="I81" i="46"/>
  <c r="I282" i="46"/>
  <c r="R132" i="46"/>
  <c r="I25" i="46"/>
  <c r="I186" i="46"/>
  <c r="R264" i="46"/>
  <c r="I91" i="46"/>
  <c r="I276" i="46"/>
  <c r="I113" i="46"/>
  <c r="I10" i="46"/>
  <c r="I236" i="46"/>
  <c r="I48" i="46"/>
  <c r="I30" i="46"/>
  <c r="I126" i="46"/>
  <c r="I14" i="46"/>
  <c r="I229" i="46"/>
  <c r="R173" i="46"/>
  <c r="R205" i="46"/>
  <c r="I40" i="46"/>
  <c r="I122" i="46"/>
  <c r="R307" i="46"/>
  <c r="I141" i="46"/>
  <c r="R192" i="46"/>
  <c r="I327" i="46"/>
  <c r="I118" i="46"/>
  <c r="I340" i="46"/>
  <c r="R216" i="46"/>
  <c r="R348" i="46"/>
  <c r="I123" i="46"/>
  <c r="R128" i="46"/>
  <c r="I221" i="46"/>
  <c r="R304" i="46"/>
  <c r="I177" i="46"/>
  <c r="I247" i="46"/>
  <c r="R144" i="46"/>
  <c r="R153" i="46"/>
  <c r="I228" i="46"/>
  <c r="R99" i="46"/>
  <c r="I36" i="46"/>
  <c r="R48" i="46"/>
  <c r="R275" i="46"/>
  <c r="R247" i="46"/>
  <c r="R141" i="46"/>
  <c r="I214" i="46"/>
  <c r="R262" i="46"/>
  <c r="I289" i="46"/>
  <c r="I181" i="46"/>
  <c r="I50" i="46"/>
  <c r="I51" i="46"/>
  <c r="I272" i="46"/>
  <c r="I189" i="46"/>
  <c r="I61" i="46"/>
  <c r="R75" i="46"/>
  <c r="I320" i="46"/>
  <c r="I254" i="46"/>
  <c r="I77" i="46"/>
  <c r="R183" i="46"/>
  <c r="R350" i="46"/>
  <c r="R341" i="46"/>
  <c r="R143" i="46"/>
  <c r="R225" i="46"/>
  <c r="R131" i="46"/>
  <c r="R88" i="46"/>
  <c r="I79" i="46"/>
  <c r="R221" i="46"/>
  <c r="R95" i="46"/>
  <c r="I262" i="46"/>
  <c r="I33" i="46"/>
  <c r="R79" i="46"/>
  <c r="R155" i="46"/>
  <c r="I193" i="46"/>
  <c r="I96" i="46"/>
  <c r="I249" i="46"/>
  <c r="I145" i="46"/>
  <c r="I191" i="46"/>
  <c r="I331" i="46"/>
  <c r="I78" i="46"/>
  <c r="R109" i="46"/>
  <c r="R239" i="46"/>
  <c r="I269" i="46"/>
  <c r="I117" i="46"/>
  <c r="I106" i="46"/>
  <c r="R285" i="46"/>
  <c r="I157" i="46"/>
  <c r="I324" i="46"/>
  <c r="I94" i="46"/>
  <c r="R263" i="46"/>
  <c r="R236" i="46"/>
  <c r="R108" i="46"/>
  <c r="I46" i="46"/>
  <c r="I192" i="46"/>
  <c r="I154" i="46"/>
  <c r="R334" i="46"/>
  <c r="R211" i="46"/>
  <c r="R195" i="46"/>
  <c r="R178" i="46"/>
  <c r="R302" i="46"/>
  <c r="I332" i="46"/>
  <c r="R117" i="46"/>
  <c r="I108" i="46"/>
  <c r="I47" i="46"/>
  <c r="R223" i="46"/>
  <c r="I102" i="46"/>
  <c r="I233" i="46"/>
  <c r="R50" i="46"/>
  <c r="I130" i="46"/>
  <c r="I352" i="46"/>
  <c r="I73" i="46"/>
  <c r="R317" i="46"/>
  <c r="I161" i="46"/>
  <c r="R51" i="46"/>
  <c r="I205" i="46"/>
  <c r="I206" i="46"/>
  <c r="R190" i="46"/>
  <c r="I309" i="46"/>
  <c r="R146" i="46"/>
  <c r="I68" i="46"/>
  <c r="R288" i="46"/>
  <c r="R10" i="46"/>
  <c r="R93" i="46"/>
  <c r="I275" i="46"/>
  <c r="I56" i="46"/>
  <c r="R298" i="46"/>
  <c r="R206" i="46"/>
  <c r="I98" i="46"/>
  <c r="I200" i="46"/>
  <c r="I326" i="46"/>
  <c r="I148" i="46"/>
  <c r="I231" i="46"/>
  <c r="R174" i="46"/>
  <c r="R327" i="46"/>
  <c r="R14" i="46"/>
  <c r="I38" i="46"/>
  <c r="I328" i="46"/>
  <c r="I316" i="46"/>
  <c r="R137" i="46"/>
  <c r="I315" i="46"/>
  <c r="I34" i="46"/>
  <c r="I252" i="46"/>
  <c r="R313" i="46"/>
  <c r="I124" i="46"/>
  <c r="R148" i="46"/>
  <c r="I63" i="46"/>
  <c r="R171" i="46"/>
  <c r="I203" i="46"/>
  <c r="I178" i="46"/>
  <c r="R331" i="46"/>
  <c r="I18" i="46"/>
  <c r="R344" i="46"/>
  <c r="R197" i="46"/>
  <c r="R100" i="46"/>
  <c r="R314" i="46"/>
  <c r="I60" i="46"/>
  <c r="I99" i="46"/>
  <c r="R203" i="46"/>
  <c r="I15" i="46"/>
  <c r="R231" i="46"/>
  <c r="I62" i="46"/>
  <c r="I223" i="46"/>
  <c r="I87" i="46"/>
  <c r="I242" i="46"/>
  <c r="R188" i="46"/>
  <c r="R324" i="46"/>
  <c r="I29" i="46"/>
  <c r="R154" i="46"/>
  <c r="I95" i="46"/>
  <c r="I173" i="46"/>
  <c r="I131" i="46"/>
  <c r="I216" i="46"/>
  <c r="R269" i="46"/>
  <c r="I264" i="46"/>
  <c r="R252" i="46"/>
  <c r="I208" i="46"/>
  <c r="R233" i="46"/>
  <c r="R318" i="46"/>
  <c r="R125" i="46"/>
  <c r="R328" i="46"/>
  <c r="I239" i="46"/>
  <c r="R73" i="46"/>
  <c r="R177" i="46"/>
  <c r="I35" i="46"/>
  <c r="I190" i="46"/>
  <c r="I341" i="46"/>
  <c r="R272" i="46"/>
  <c r="R201" i="46"/>
  <c r="R60" i="46"/>
  <c r="R189" i="46"/>
  <c r="I197" i="46"/>
  <c r="R196" i="46"/>
  <c r="I226" i="46"/>
  <c r="R180" i="46"/>
  <c r="I297" i="46"/>
  <c r="I110" i="46"/>
  <c r="R56" i="46"/>
  <c r="R346" i="46"/>
  <c r="R240" i="46"/>
  <c r="I212" i="46"/>
  <c r="I195" i="46"/>
  <c r="R113" i="46"/>
  <c r="R169" i="46"/>
  <c r="R130" i="46"/>
  <c r="R110" i="46"/>
  <c r="R291" i="46"/>
  <c r="R299" i="46"/>
  <c r="I27" i="46"/>
  <c r="I176" i="46"/>
  <c r="I11" i="46"/>
  <c r="I307" i="46"/>
  <c r="I128" i="46"/>
  <c r="R289" i="46"/>
  <c r="I202" i="46"/>
  <c r="I225" i="46"/>
  <c r="I317" i="46"/>
  <c r="R193" i="46"/>
  <c r="R181" i="46"/>
  <c r="R320" i="46"/>
  <c r="R124" i="46"/>
  <c r="I183" i="46"/>
  <c r="R92" i="46"/>
  <c r="I318" i="46"/>
  <c r="R308" i="46"/>
  <c r="I174" i="46"/>
  <c r="R96" i="46"/>
  <c r="R208" i="46"/>
  <c r="R226" i="46"/>
  <c r="R38" i="46"/>
  <c r="R340" i="46"/>
  <c r="I299" i="46"/>
  <c r="I137" i="46"/>
  <c r="R323" i="46"/>
  <c r="R330" i="46"/>
  <c r="R202" i="46"/>
  <c r="I153" i="46"/>
  <c r="R305" i="46"/>
  <c r="I22" i="46"/>
  <c r="I55" i="46"/>
  <c r="I143" i="46"/>
  <c r="I288" i="46"/>
  <c r="I350" i="46"/>
  <c r="R316" i="46"/>
  <c r="R200" i="46"/>
  <c r="I187" i="46"/>
  <c r="I292" i="46"/>
  <c r="I237" i="46"/>
  <c r="I323" i="46"/>
  <c r="R254" i="46"/>
  <c r="I103" i="46"/>
  <c r="R309" i="46"/>
  <c r="I194" i="46"/>
  <c r="I179" i="46"/>
  <c r="I57" i="46"/>
  <c r="I347" i="46"/>
  <c r="I54" i="46"/>
  <c r="I159" i="46"/>
  <c r="R352" i="46"/>
  <c r="R219" i="46"/>
  <c r="I348" i="46"/>
  <c r="I211" i="46"/>
  <c r="I146" i="46"/>
  <c r="I155" i="46"/>
  <c r="I144" i="46"/>
  <c r="I298" i="46"/>
  <c r="R194" i="46"/>
  <c r="I345" i="46"/>
  <c r="R277" i="46"/>
  <c r="R292" i="46"/>
  <c r="R98" i="46"/>
  <c r="I319" i="46"/>
  <c r="I219" i="46"/>
  <c r="I88" i="46"/>
  <c r="I290" i="46"/>
  <c r="R145" i="46"/>
  <c r="R122" i="46"/>
  <c r="R61" i="46"/>
  <c r="R123" i="46"/>
  <c r="R103" i="46"/>
  <c r="R249" i="46"/>
  <c r="I308" i="46"/>
  <c r="I330" i="46"/>
  <c r="I45" i="46"/>
  <c r="R157" i="46"/>
  <c r="R276" i="46"/>
  <c r="R228" i="46"/>
  <c r="I277" i="46"/>
  <c r="I222" i="46"/>
  <c r="R284" i="46"/>
  <c r="I134" i="46"/>
  <c r="R229" i="46"/>
  <c r="R118" i="46"/>
  <c r="R179" i="46"/>
  <c r="R187" i="46"/>
  <c r="I64" i="46"/>
  <c r="R186" i="46"/>
  <c r="R63" i="46"/>
  <c r="I93" i="46"/>
  <c r="I304" i="46"/>
  <c r="R80" i="46"/>
  <c r="I334" i="46"/>
  <c r="R326" i="46"/>
  <c r="I303" i="46"/>
  <c r="I285" i="46"/>
  <c r="I295" i="46"/>
  <c r="I302" i="46"/>
  <c r="R332" i="46"/>
  <c r="I204" i="46"/>
  <c r="R126" i="46"/>
  <c r="I218" i="46"/>
  <c r="I313" i="46"/>
  <c r="AA7" i="45"/>
  <c r="H7" i="45"/>
  <c r="G2" i="53" s="1"/>
  <c r="G7" i="45"/>
  <c r="F2" i="53" s="1"/>
  <c r="D29" i="2"/>
  <c r="D11" i="2"/>
  <c r="E29" i="2"/>
  <c r="E28" i="2"/>
  <c r="E26" i="2"/>
  <c r="E25" i="2"/>
  <c r="F261" i="45"/>
  <c r="H261" i="45" l="1"/>
  <c r="G256" i="53" s="1"/>
  <c r="F211" i="45"/>
  <c r="F31" i="45"/>
  <c r="F250" i="45"/>
  <c r="F90" i="45"/>
  <c r="F189" i="45"/>
  <c r="F228" i="45"/>
  <c r="F108" i="45"/>
  <c r="F268" i="45"/>
  <c r="F67" i="45"/>
  <c r="F186" i="45"/>
  <c r="F26" i="45"/>
  <c r="F185" i="45"/>
  <c r="F65" i="45"/>
  <c r="F25" i="45"/>
  <c r="F345" i="45"/>
  <c r="F325" i="45"/>
  <c r="F305" i="45"/>
  <c r="F285" i="45"/>
  <c r="F265" i="45"/>
  <c r="F244" i="45"/>
  <c r="F224" i="45"/>
  <c r="F204" i="45"/>
  <c r="F184" i="45"/>
  <c r="F164" i="45"/>
  <c r="F144" i="45"/>
  <c r="F124" i="45"/>
  <c r="F104" i="45"/>
  <c r="F84" i="45"/>
  <c r="F64" i="45"/>
  <c r="F44" i="45"/>
  <c r="F24" i="45"/>
  <c r="F352" i="45"/>
  <c r="F348" i="45"/>
  <c r="F347" i="45"/>
  <c r="F126" i="45"/>
  <c r="F324" i="45"/>
  <c r="F284" i="45"/>
  <c r="F243" i="45"/>
  <c r="F223" i="45"/>
  <c r="F183" i="45"/>
  <c r="F163" i="45"/>
  <c r="F143" i="45"/>
  <c r="F123" i="45"/>
  <c r="F83" i="45"/>
  <c r="F63" i="45"/>
  <c r="F43" i="45"/>
  <c r="F23" i="45"/>
  <c r="F271" i="45"/>
  <c r="F309" i="45"/>
  <c r="F48" i="45"/>
  <c r="F287" i="45"/>
  <c r="F106" i="45"/>
  <c r="F344" i="45"/>
  <c r="F304" i="45"/>
  <c r="F264" i="45"/>
  <c r="F203" i="45"/>
  <c r="F103" i="45"/>
  <c r="F343" i="45"/>
  <c r="F323" i="45"/>
  <c r="F303" i="45"/>
  <c r="F283" i="45"/>
  <c r="F263" i="45"/>
  <c r="F242" i="45"/>
  <c r="F222" i="45"/>
  <c r="F202" i="45"/>
  <c r="F182" i="45"/>
  <c r="F162" i="45"/>
  <c r="F142" i="45"/>
  <c r="F122" i="45"/>
  <c r="F102" i="45"/>
  <c r="F82" i="45"/>
  <c r="F62" i="45"/>
  <c r="F42" i="45"/>
  <c r="F22" i="45"/>
  <c r="F272" i="45"/>
  <c r="F71" i="45"/>
  <c r="F210" i="45"/>
  <c r="F10" i="45"/>
  <c r="F350" i="45"/>
  <c r="F169" i="45"/>
  <c r="F329" i="45"/>
  <c r="F128" i="45"/>
  <c r="F167" i="45"/>
  <c r="F246" i="45"/>
  <c r="F66" i="45"/>
  <c r="F266" i="45"/>
  <c r="F85" i="45"/>
  <c r="F342" i="45"/>
  <c r="F241" i="45"/>
  <c r="F101" i="45"/>
  <c r="F281" i="45"/>
  <c r="F180" i="45"/>
  <c r="F160" i="45"/>
  <c r="F140" i="45"/>
  <c r="F120" i="45"/>
  <c r="F100" i="45"/>
  <c r="F80" i="45"/>
  <c r="F60" i="45"/>
  <c r="F40" i="45"/>
  <c r="F20" i="45"/>
  <c r="F292" i="45"/>
  <c r="F91" i="45"/>
  <c r="F311" i="45"/>
  <c r="F130" i="45"/>
  <c r="F249" i="45"/>
  <c r="F49" i="45"/>
  <c r="F188" i="45"/>
  <c r="F328" i="45"/>
  <c r="F127" i="45"/>
  <c r="F327" i="45"/>
  <c r="F146" i="45"/>
  <c r="F245" i="45"/>
  <c r="F45" i="45"/>
  <c r="F302" i="45"/>
  <c r="F181" i="45"/>
  <c r="F41" i="45"/>
  <c r="F341" i="45"/>
  <c r="F300" i="45"/>
  <c r="F280" i="45"/>
  <c r="F259" i="45"/>
  <c r="F239" i="45"/>
  <c r="F219" i="45"/>
  <c r="F199" i="45"/>
  <c r="F179" i="45"/>
  <c r="F159" i="45"/>
  <c r="F139" i="45"/>
  <c r="F119" i="45"/>
  <c r="F99" i="45"/>
  <c r="F79" i="45"/>
  <c r="F59" i="45"/>
  <c r="F39" i="45"/>
  <c r="F19" i="45"/>
  <c r="F312" i="45"/>
  <c r="F310" i="45"/>
  <c r="F105" i="45"/>
  <c r="F322" i="45"/>
  <c r="F141" i="45"/>
  <c r="F339" i="45"/>
  <c r="F319" i="45"/>
  <c r="F299" i="45"/>
  <c r="F279" i="45"/>
  <c r="F258" i="45"/>
  <c r="F238" i="45"/>
  <c r="F218" i="45"/>
  <c r="F198" i="45"/>
  <c r="F178" i="45"/>
  <c r="F158" i="45"/>
  <c r="F138" i="45"/>
  <c r="F118" i="45"/>
  <c r="F98" i="45"/>
  <c r="F78" i="45"/>
  <c r="F58" i="45"/>
  <c r="F38" i="45"/>
  <c r="F18" i="45"/>
  <c r="F349" i="45"/>
  <c r="F308" i="45"/>
  <c r="F107" i="45"/>
  <c r="F201" i="45"/>
  <c r="F301" i="45"/>
  <c r="F338" i="45"/>
  <c r="F318" i="45"/>
  <c r="F298" i="45"/>
  <c r="F278" i="45"/>
  <c r="F257" i="45"/>
  <c r="F237" i="45"/>
  <c r="F217" i="45"/>
  <c r="F197" i="45"/>
  <c r="F177" i="45"/>
  <c r="F157" i="45"/>
  <c r="F137" i="45"/>
  <c r="F117" i="45"/>
  <c r="F97" i="45"/>
  <c r="F77" i="45"/>
  <c r="F57" i="45"/>
  <c r="F37" i="45"/>
  <c r="F17" i="45"/>
  <c r="F332" i="45"/>
  <c r="F111" i="45"/>
  <c r="F190" i="45"/>
  <c r="F70" i="45"/>
  <c r="F129" i="45"/>
  <c r="F289" i="45"/>
  <c r="F148" i="45"/>
  <c r="F288" i="45"/>
  <c r="F87" i="45"/>
  <c r="F166" i="45"/>
  <c r="F165" i="45"/>
  <c r="F262" i="45"/>
  <c r="F61" i="45"/>
  <c r="F321" i="45"/>
  <c r="F340" i="45"/>
  <c r="F337" i="45"/>
  <c r="F317" i="45"/>
  <c r="F297" i="45"/>
  <c r="F277" i="45"/>
  <c r="F256" i="45"/>
  <c r="F236" i="45"/>
  <c r="F216" i="45"/>
  <c r="F196" i="45"/>
  <c r="F176" i="45"/>
  <c r="F156" i="45"/>
  <c r="F136" i="45"/>
  <c r="F116" i="45"/>
  <c r="F96" i="45"/>
  <c r="F76" i="45"/>
  <c r="F56" i="45"/>
  <c r="F36" i="45"/>
  <c r="F16" i="45"/>
  <c r="F191" i="45"/>
  <c r="F51" i="45"/>
  <c r="F331" i="45"/>
  <c r="F110" i="45"/>
  <c r="F229" i="45"/>
  <c r="F69" i="45"/>
  <c r="F269" i="45"/>
  <c r="F88" i="45"/>
  <c r="F187" i="45"/>
  <c r="F27" i="45"/>
  <c r="F267" i="45"/>
  <c r="F306" i="45"/>
  <c r="F205" i="45"/>
  <c r="F221" i="45"/>
  <c r="F21" i="45"/>
  <c r="F320" i="45"/>
  <c r="F336" i="45"/>
  <c r="F316" i="45"/>
  <c r="F296" i="45"/>
  <c r="F276" i="45"/>
  <c r="F255" i="45"/>
  <c r="F235" i="45"/>
  <c r="F215" i="45"/>
  <c r="F195" i="45"/>
  <c r="F175" i="45"/>
  <c r="F155" i="45"/>
  <c r="F135" i="45"/>
  <c r="F115" i="45"/>
  <c r="F95" i="45"/>
  <c r="F75" i="45"/>
  <c r="F55" i="45"/>
  <c r="F35" i="45"/>
  <c r="F15" i="45"/>
  <c r="F231" i="45"/>
  <c r="F151" i="45"/>
  <c r="F291" i="45"/>
  <c r="F170" i="45"/>
  <c r="F50" i="45"/>
  <c r="F290" i="45"/>
  <c r="F109" i="45"/>
  <c r="F208" i="45"/>
  <c r="F68" i="45"/>
  <c r="F227" i="45"/>
  <c r="F206" i="45"/>
  <c r="F46" i="45"/>
  <c r="F326" i="45"/>
  <c r="F125" i="45"/>
  <c r="F282" i="45"/>
  <c r="F81" i="45"/>
  <c r="F240" i="45"/>
  <c r="F9" i="45"/>
  <c r="F315" i="45"/>
  <c r="F295" i="45"/>
  <c r="F275" i="45"/>
  <c r="F254" i="45"/>
  <c r="F234" i="45"/>
  <c r="F214" i="45"/>
  <c r="F194" i="45"/>
  <c r="F174" i="45"/>
  <c r="F154" i="45"/>
  <c r="F134" i="45"/>
  <c r="F114" i="45"/>
  <c r="F94" i="45"/>
  <c r="F74" i="45"/>
  <c r="F54" i="45"/>
  <c r="F34" i="45"/>
  <c r="F14" i="45"/>
  <c r="F171" i="45"/>
  <c r="F11" i="45"/>
  <c r="F230" i="45"/>
  <c r="F30" i="45"/>
  <c r="F330" i="45"/>
  <c r="F209" i="45"/>
  <c r="F89" i="45"/>
  <c r="F168" i="45"/>
  <c r="F207" i="45"/>
  <c r="F47" i="45"/>
  <c r="F307" i="45"/>
  <c r="F86" i="45"/>
  <c r="F286" i="45"/>
  <c r="F145" i="45"/>
  <c r="F121" i="45"/>
  <c r="F200" i="45"/>
  <c r="F335" i="45"/>
  <c r="F354" i="45"/>
  <c r="F334" i="45"/>
  <c r="F314" i="45"/>
  <c r="F294" i="45"/>
  <c r="F274" i="45"/>
  <c r="F253" i="45"/>
  <c r="F233" i="45"/>
  <c r="F213" i="45"/>
  <c r="F193" i="45"/>
  <c r="F173" i="45"/>
  <c r="F153" i="45"/>
  <c r="F133" i="45"/>
  <c r="F113" i="45"/>
  <c r="F93" i="45"/>
  <c r="F73" i="45"/>
  <c r="F53" i="45"/>
  <c r="F33" i="45"/>
  <c r="F13" i="45"/>
  <c r="F251" i="45"/>
  <c r="F131" i="45"/>
  <c r="F351" i="45"/>
  <c r="F150" i="45"/>
  <c r="F270" i="45"/>
  <c r="F149" i="45"/>
  <c r="F29" i="45"/>
  <c r="F248" i="45"/>
  <c r="F28" i="45"/>
  <c r="F247" i="45"/>
  <c r="F147" i="45"/>
  <c r="F226" i="45"/>
  <c r="F346" i="45"/>
  <c r="F225" i="45"/>
  <c r="F161" i="45"/>
  <c r="F220" i="45"/>
  <c r="F353" i="45"/>
  <c r="F333" i="45"/>
  <c r="F313" i="45"/>
  <c r="F293" i="45"/>
  <c r="F273" i="45"/>
  <c r="F252" i="45"/>
  <c r="F232" i="45"/>
  <c r="F212" i="45"/>
  <c r="F192" i="45"/>
  <c r="F172" i="45"/>
  <c r="F152" i="45"/>
  <c r="F132" i="45"/>
  <c r="F112" i="45"/>
  <c r="F92" i="45"/>
  <c r="F72" i="45"/>
  <c r="F52" i="45"/>
  <c r="F32" i="45"/>
  <c r="F12" i="45"/>
  <c r="R217" i="46"/>
  <c r="I139" i="46"/>
  <c r="I24" i="46"/>
  <c r="I199" i="46"/>
  <c r="I9" i="46"/>
  <c r="I119" i="46"/>
  <c r="I160" i="46"/>
  <c r="I339" i="46"/>
  <c r="R119" i="46"/>
  <c r="R199" i="46"/>
  <c r="I255" i="46"/>
  <c r="I172" i="46"/>
  <c r="I149" i="46"/>
  <c r="I158" i="46"/>
  <c r="R72" i="46"/>
  <c r="R325" i="46"/>
  <c r="R256" i="46"/>
  <c r="R258" i="46"/>
  <c r="I238" i="46"/>
  <c r="I261" i="46"/>
  <c r="I71" i="46"/>
  <c r="R127" i="46"/>
  <c r="I210" i="46"/>
  <c r="R160" i="46"/>
  <c r="R294" i="46"/>
  <c r="I76" i="46"/>
  <c r="I31" i="46"/>
  <c r="R66" i="46"/>
  <c r="I349" i="46"/>
  <c r="R172" i="46"/>
  <c r="I235" i="46"/>
  <c r="R76" i="46"/>
  <c r="R31" i="46"/>
  <c r="I217" i="46"/>
  <c r="I310" i="46"/>
  <c r="I259" i="46"/>
  <c r="R210" i="46"/>
  <c r="R311" i="46"/>
  <c r="I175" i="46"/>
  <c r="R349" i="46"/>
  <c r="R166" i="46"/>
  <c r="R158" i="46"/>
  <c r="I311" i="46"/>
  <c r="I220" i="46"/>
  <c r="I166" i="46"/>
  <c r="R293" i="46"/>
  <c r="I129" i="46"/>
  <c r="I127" i="46"/>
  <c r="I140" i="46"/>
  <c r="R351" i="46"/>
  <c r="R281" i="46"/>
  <c r="I301" i="46"/>
  <c r="I256" i="46"/>
  <c r="R235" i="46"/>
  <c r="I325" i="46"/>
  <c r="R250" i="46"/>
  <c r="I101" i="46"/>
  <c r="I184" i="46"/>
  <c r="R120" i="46"/>
  <c r="R342" i="46"/>
  <c r="I170" i="46"/>
  <c r="I66" i="46"/>
  <c r="I241" i="46"/>
  <c r="R140" i="46"/>
  <c r="I89" i="46"/>
  <c r="I120" i="46"/>
  <c r="I322" i="46"/>
  <c r="I42" i="46"/>
  <c r="I182" i="46"/>
  <c r="R273" i="46"/>
  <c r="R241" i="46"/>
  <c r="R151" i="46"/>
  <c r="R170" i="46"/>
  <c r="R52" i="46"/>
  <c r="I167" i="46"/>
  <c r="R301" i="46"/>
  <c r="I84" i="46"/>
  <c r="R83" i="46"/>
  <c r="R142" i="46"/>
  <c r="I165" i="46"/>
  <c r="R165" i="46"/>
  <c r="R81" i="46"/>
  <c r="R182" i="46"/>
  <c r="R184" i="46"/>
  <c r="R238" i="46"/>
  <c r="R213" i="46"/>
  <c r="R84" i="46"/>
  <c r="I150" i="46"/>
  <c r="R101" i="46"/>
  <c r="R282" i="46"/>
  <c r="I138" i="46"/>
  <c r="F9" i="46"/>
  <c r="R162" i="46"/>
  <c r="I162" i="46"/>
  <c r="I107" i="46"/>
  <c r="I232" i="46"/>
  <c r="R97" i="46"/>
  <c r="R253" i="46"/>
  <c r="I147" i="46"/>
  <c r="R74" i="46"/>
  <c r="I265" i="46"/>
  <c r="I321" i="46"/>
  <c r="I286" i="46"/>
  <c r="I104" i="46"/>
  <c r="I135" i="46"/>
  <c r="R267" i="46"/>
  <c r="I105" i="46"/>
  <c r="I268" i="46"/>
  <c r="R207" i="46"/>
  <c r="R243" i="46"/>
  <c r="I279" i="46"/>
  <c r="I354" i="46"/>
  <c r="I20" i="46"/>
  <c r="R115" i="46"/>
  <c r="I67" i="46"/>
  <c r="R274" i="46"/>
  <c r="R185" i="46"/>
  <c r="I267" i="46"/>
  <c r="R105" i="46"/>
  <c r="R251" i="46"/>
  <c r="I152" i="46"/>
  <c r="R296" i="46"/>
  <c r="I251" i="46"/>
  <c r="R39" i="46"/>
  <c r="I230" i="46"/>
  <c r="R283" i="46"/>
  <c r="I300" i="46"/>
  <c r="R333" i="46"/>
  <c r="R147" i="46"/>
  <c r="R156" i="46"/>
  <c r="I114" i="46"/>
  <c r="I248" i="46"/>
  <c r="R104" i="46"/>
  <c r="R329" i="46"/>
  <c r="R59" i="46"/>
  <c r="I198" i="46"/>
  <c r="I17" i="46"/>
  <c r="R335" i="46"/>
  <c r="I207" i="46"/>
  <c r="I342" i="46"/>
  <c r="R248" i="46"/>
  <c r="I335" i="46"/>
  <c r="I227" i="46"/>
  <c r="R152" i="46"/>
  <c r="R338" i="46"/>
  <c r="R270" i="46"/>
  <c r="I246" i="46"/>
  <c r="R312" i="46"/>
  <c r="R322" i="46"/>
  <c r="I69" i="46"/>
  <c r="R230" i="46"/>
  <c r="I85" i="46"/>
  <c r="R266" i="46"/>
  <c r="I234" i="46"/>
  <c r="R321" i="46"/>
  <c r="M7" i="46"/>
  <c r="I19" i="46"/>
  <c r="G7" i="46"/>
  <c r="R13" i="46"/>
  <c r="L7" i="46"/>
  <c r="I65" i="46"/>
  <c r="R246" i="46"/>
  <c r="R65" i="46"/>
  <c r="I185" i="46"/>
  <c r="R150" i="46"/>
  <c r="I115" i="46"/>
  <c r="I26" i="46"/>
  <c r="I353" i="46"/>
  <c r="I312" i="46"/>
  <c r="R234" i="46"/>
  <c r="I111" i="46"/>
  <c r="R227" i="46"/>
  <c r="R133" i="46"/>
  <c r="R111" i="46"/>
  <c r="I116" i="46"/>
  <c r="R337" i="46"/>
  <c r="R244" i="46"/>
  <c r="R116" i="46"/>
  <c r="R245" i="46"/>
  <c r="I13" i="46"/>
  <c r="R85" i="46"/>
  <c r="R300" i="46"/>
  <c r="I270" i="46"/>
  <c r="R136" i="46"/>
  <c r="I136" i="46"/>
  <c r="R114" i="46"/>
  <c r="R198" i="46"/>
  <c r="I245" i="46"/>
  <c r="I337" i="46"/>
  <c r="R265" i="46"/>
  <c r="I244" i="46"/>
  <c r="R44" i="46"/>
  <c r="R138" i="46"/>
  <c r="I253" i="46"/>
  <c r="I243" i="46"/>
  <c r="R107" i="46"/>
  <c r="I156" i="46"/>
  <c r="I329" i="46"/>
  <c r="I16" i="46"/>
  <c r="I32" i="46"/>
  <c r="I283" i="46"/>
  <c r="R268" i="46"/>
  <c r="I296" i="46"/>
  <c r="R69" i="46"/>
  <c r="R279" i="46"/>
  <c r="R215" i="46"/>
  <c r="I74" i="46"/>
  <c r="I39" i="46"/>
  <c r="R286" i="46"/>
  <c r="I97" i="46"/>
  <c r="I338" i="46"/>
  <c r="I59" i="46"/>
  <c r="I333" i="46"/>
  <c r="I41" i="46"/>
  <c r="I266" i="46"/>
  <c r="I133" i="46"/>
  <c r="R232" i="46"/>
  <c r="I215" i="46"/>
  <c r="R135" i="46"/>
  <c r="R354" i="46"/>
  <c r="R353" i="46"/>
  <c r="I44" i="46"/>
  <c r="I274" i="46"/>
  <c r="N15" i="46" l="1"/>
  <c r="N16" i="46"/>
  <c r="N17" i="46"/>
  <c r="N18" i="46"/>
  <c r="N19" i="46"/>
  <c r="N20" i="46"/>
  <c r="N21" i="46"/>
  <c r="N23" i="46"/>
  <c r="N24" i="46"/>
  <c r="N25" i="46"/>
  <c r="N26" i="46"/>
  <c r="N27" i="46"/>
  <c r="N28" i="46"/>
  <c r="N32" i="46"/>
  <c r="N34" i="46"/>
  <c r="N36" i="46"/>
  <c r="N40" i="46"/>
  <c r="N43" i="46"/>
  <c r="N46" i="46"/>
  <c r="N54" i="46"/>
  <c r="N57" i="46"/>
  <c r="N62" i="46"/>
  <c r="N67" i="46"/>
  <c r="N78" i="46"/>
  <c r="N87" i="46"/>
  <c r="N91" i="46"/>
  <c r="N94" i="46"/>
  <c r="N22" i="46"/>
  <c r="N29" i="46"/>
  <c r="N30" i="46"/>
  <c r="N33" i="46"/>
  <c r="N35" i="46"/>
  <c r="N37" i="46"/>
  <c r="N41" i="46"/>
  <c r="N45" i="46"/>
  <c r="N47" i="46"/>
  <c r="N53" i="46"/>
  <c r="N58" i="46"/>
  <c r="N64" i="46"/>
  <c r="N70" i="46"/>
  <c r="N77" i="46"/>
  <c r="N90" i="46"/>
  <c r="N102" i="46"/>
  <c r="N106" i="46"/>
  <c r="N9" i="46"/>
  <c r="N42" i="46"/>
  <c r="H211" i="45"/>
  <c r="G206" i="53" s="1"/>
  <c r="G211" i="45"/>
  <c r="H31" i="45"/>
  <c r="G26" i="53" s="1"/>
  <c r="G31" i="45"/>
  <c r="H250" i="45"/>
  <c r="G245" i="53" s="1"/>
  <c r="G250" i="45"/>
  <c r="H90" i="45"/>
  <c r="G85" i="53" s="1"/>
  <c r="G90" i="45"/>
  <c r="H189" i="45"/>
  <c r="G184" i="53" s="1"/>
  <c r="G189" i="45"/>
  <c r="H228" i="45"/>
  <c r="G223" i="53" s="1"/>
  <c r="G228" i="45"/>
  <c r="H108" i="45"/>
  <c r="G103" i="53" s="1"/>
  <c r="G108" i="45"/>
  <c r="H268" i="45"/>
  <c r="G263" i="53" s="1"/>
  <c r="G268" i="45"/>
  <c r="H67" i="45"/>
  <c r="G62" i="53" s="1"/>
  <c r="G67" i="45"/>
  <c r="H186" i="45"/>
  <c r="G181" i="53" s="1"/>
  <c r="G186" i="45"/>
  <c r="H26" i="45"/>
  <c r="G21" i="53" s="1"/>
  <c r="G26" i="45"/>
  <c r="H185" i="45"/>
  <c r="G180" i="53" s="1"/>
  <c r="G185" i="45"/>
  <c r="H65" i="45"/>
  <c r="G60" i="53" s="1"/>
  <c r="G65" i="45"/>
  <c r="H25" i="45"/>
  <c r="G20" i="53" s="1"/>
  <c r="G25" i="45"/>
  <c r="H345" i="45"/>
  <c r="G340" i="53" s="1"/>
  <c r="G345" i="45"/>
  <c r="F340" i="53" s="1"/>
  <c r="H325" i="45"/>
  <c r="G320" i="53" s="1"/>
  <c r="G325" i="45"/>
  <c r="H305" i="45"/>
  <c r="G300" i="53" s="1"/>
  <c r="G305" i="45"/>
  <c r="H285" i="45"/>
  <c r="G280" i="53" s="1"/>
  <c r="G285" i="45"/>
  <c r="H265" i="45"/>
  <c r="G260" i="53" s="1"/>
  <c r="G265" i="45"/>
  <c r="H244" i="45"/>
  <c r="G239" i="53" s="1"/>
  <c r="G244" i="45"/>
  <c r="H224" i="45"/>
  <c r="G219" i="53" s="1"/>
  <c r="G224" i="45"/>
  <c r="H204" i="45"/>
  <c r="G199" i="53" s="1"/>
  <c r="G204" i="45"/>
  <c r="H184" i="45"/>
  <c r="G179" i="53" s="1"/>
  <c r="G184" i="45"/>
  <c r="H164" i="45"/>
  <c r="G159" i="53" s="1"/>
  <c r="G164" i="45"/>
  <c r="H144" i="45"/>
  <c r="G139" i="53" s="1"/>
  <c r="G144" i="45"/>
  <c r="H124" i="45"/>
  <c r="G119" i="53" s="1"/>
  <c r="G124" i="45"/>
  <c r="H104" i="45"/>
  <c r="G99" i="53" s="1"/>
  <c r="G104" i="45"/>
  <c r="H84" i="45"/>
  <c r="G79" i="53" s="1"/>
  <c r="G84" i="45"/>
  <c r="H64" i="45"/>
  <c r="G59" i="53" s="1"/>
  <c r="G64" i="45"/>
  <c r="F59" i="53" s="1"/>
  <c r="H44" i="45"/>
  <c r="G39" i="53" s="1"/>
  <c r="G44" i="45"/>
  <c r="H24" i="45"/>
  <c r="G19" i="53" s="1"/>
  <c r="G24" i="45"/>
  <c r="H352" i="45"/>
  <c r="G347" i="53" s="1"/>
  <c r="G352" i="45"/>
  <c r="H348" i="45"/>
  <c r="G343" i="53" s="1"/>
  <c r="G348" i="45"/>
  <c r="H347" i="45"/>
  <c r="G342" i="53" s="1"/>
  <c r="G347" i="45"/>
  <c r="H126" i="45"/>
  <c r="G121" i="53" s="1"/>
  <c r="G126" i="45"/>
  <c r="H324" i="45"/>
  <c r="G319" i="53" s="1"/>
  <c r="G324" i="45"/>
  <c r="H284" i="45"/>
  <c r="G279" i="53" s="1"/>
  <c r="G284" i="45"/>
  <c r="H243" i="45"/>
  <c r="G238" i="53" s="1"/>
  <c r="G243" i="45"/>
  <c r="H223" i="45"/>
  <c r="G218" i="53" s="1"/>
  <c r="G223" i="45"/>
  <c r="H183" i="45"/>
  <c r="G178" i="53" s="1"/>
  <c r="G183" i="45"/>
  <c r="H163" i="45"/>
  <c r="G158" i="53" s="1"/>
  <c r="G163" i="45"/>
  <c r="H143" i="45"/>
  <c r="G138" i="53" s="1"/>
  <c r="G143" i="45"/>
  <c r="H123" i="45"/>
  <c r="G118" i="53" s="1"/>
  <c r="G123" i="45"/>
  <c r="H83" i="45"/>
  <c r="G78" i="53" s="1"/>
  <c r="G83" i="45"/>
  <c r="H63" i="45"/>
  <c r="G58" i="53" s="1"/>
  <c r="G63" i="45"/>
  <c r="F58" i="53" s="1"/>
  <c r="H43" i="45"/>
  <c r="G38" i="53" s="1"/>
  <c r="G43" i="45"/>
  <c r="H23" i="45"/>
  <c r="G18" i="53" s="1"/>
  <c r="G23" i="45"/>
  <c r="H271" i="45"/>
  <c r="G266" i="53" s="1"/>
  <c r="G271" i="45"/>
  <c r="H309" i="45"/>
  <c r="G304" i="53" s="1"/>
  <c r="G309" i="45"/>
  <c r="H48" i="45"/>
  <c r="G43" i="53" s="1"/>
  <c r="G48" i="45"/>
  <c r="H287" i="45"/>
  <c r="G282" i="53" s="1"/>
  <c r="G287" i="45"/>
  <c r="H106" i="45"/>
  <c r="G101" i="53" s="1"/>
  <c r="G106" i="45"/>
  <c r="H344" i="45"/>
  <c r="G339" i="53" s="1"/>
  <c r="G344" i="45"/>
  <c r="H304" i="45"/>
  <c r="G299" i="53" s="1"/>
  <c r="G304" i="45"/>
  <c r="H264" i="45"/>
  <c r="G259" i="53" s="1"/>
  <c r="G264" i="45"/>
  <c r="H203" i="45"/>
  <c r="G198" i="53" s="1"/>
  <c r="G203" i="45"/>
  <c r="H103" i="45"/>
  <c r="G98" i="53" s="1"/>
  <c r="G103" i="45"/>
  <c r="H343" i="45"/>
  <c r="G338" i="53" s="1"/>
  <c r="G343" i="45"/>
  <c r="F338" i="53" s="1"/>
  <c r="H323" i="45"/>
  <c r="G318" i="53" s="1"/>
  <c r="G323" i="45"/>
  <c r="H303" i="45"/>
  <c r="G298" i="53" s="1"/>
  <c r="G303" i="45"/>
  <c r="H283" i="45"/>
  <c r="G278" i="53" s="1"/>
  <c r="G283" i="45"/>
  <c r="H263" i="45"/>
  <c r="G258" i="53" s="1"/>
  <c r="G263" i="45"/>
  <c r="H242" i="45"/>
  <c r="G237" i="53" s="1"/>
  <c r="G242" i="45"/>
  <c r="H222" i="45"/>
  <c r="G217" i="53" s="1"/>
  <c r="G222" i="45"/>
  <c r="H202" i="45"/>
  <c r="G197" i="53" s="1"/>
  <c r="G202" i="45"/>
  <c r="H182" i="45"/>
  <c r="G177" i="53" s="1"/>
  <c r="G182" i="45"/>
  <c r="H162" i="45"/>
  <c r="G157" i="53" s="1"/>
  <c r="G162" i="45"/>
  <c r="H142" i="45"/>
  <c r="G137" i="53" s="1"/>
  <c r="G142" i="45"/>
  <c r="H122" i="45"/>
  <c r="G117" i="53" s="1"/>
  <c r="G122" i="45"/>
  <c r="F117" i="53" s="1"/>
  <c r="H102" i="45"/>
  <c r="G97" i="53" s="1"/>
  <c r="G102" i="45"/>
  <c r="H82" i="45"/>
  <c r="G77" i="53" s="1"/>
  <c r="G82" i="45"/>
  <c r="H62" i="45"/>
  <c r="G57" i="53" s="1"/>
  <c r="G62" i="45"/>
  <c r="H42" i="45"/>
  <c r="G37" i="53" s="1"/>
  <c r="G42" i="45"/>
  <c r="H22" i="45"/>
  <c r="G17" i="53" s="1"/>
  <c r="G22" i="45"/>
  <c r="H272" i="45"/>
  <c r="G267" i="53" s="1"/>
  <c r="G272" i="45"/>
  <c r="H71" i="45"/>
  <c r="G66" i="53" s="1"/>
  <c r="G71" i="45"/>
  <c r="H210" i="45"/>
  <c r="G205" i="53" s="1"/>
  <c r="G210" i="45"/>
  <c r="H10" i="45"/>
  <c r="G5" i="53" s="1"/>
  <c r="G10" i="45"/>
  <c r="H350" i="45"/>
  <c r="G345" i="53" s="1"/>
  <c r="G350" i="45"/>
  <c r="H169" i="45"/>
  <c r="G164" i="53" s="1"/>
  <c r="G169" i="45"/>
  <c r="H329" i="45"/>
  <c r="G324" i="53" s="1"/>
  <c r="G329" i="45"/>
  <c r="H128" i="45"/>
  <c r="G123" i="53" s="1"/>
  <c r="G128" i="45"/>
  <c r="H167" i="45"/>
  <c r="G162" i="53" s="1"/>
  <c r="G167" i="45"/>
  <c r="H246" i="45"/>
  <c r="G241" i="53" s="1"/>
  <c r="G246" i="45"/>
  <c r="H66" i="45"/>
  <c r="G61" i="53" s="1"/>
  <c r="G66" i="45"/>
  <c r="H266" i="45"/>
  <c r="G261" i="53" s="1"/>
  <c r="G266" i="45"/>
  <c r="H85" i="45"/>
  <c r="G80" i="53" s="1"/>
  <c r="G85" i="45"/>
  <c r="F80" i="53" s="1"/>
  <c r="H342" i="45"/>
  <c r="G337" i="53" s="1"/>
  <c r="G342" i="45"/>
  <c r="H241" i="45"/>
  <c r="G236" i="53" s="1"/>
  <c r="G241" i="45"/>
  <c r="H101" i="45"/>
  <c r="G96" i="53" s="1"/>
  <c r="G101" i="45"/>
  <c r="H281" i="45"/>
  <c r="G276" i="53" s="1"/>
  <c r="G281" i="45"/>
  <c r="H180" i="45"/>
  <c r="G175" i="53" s="1"/>
  <c r="G180" i="45"/>
  <c r="H160" i="45"/>
  <c r="G155" i="53" s="1"/>
  <c r="G160" i="45"/>
  <c r="H140" i="45"/>
  <c r="G135" i="53" s="1"/>
  <c r="G140" i="45"/>
  <c r="H120" i="45"/>
  <c r="G115" i="53" s="1"/>
  <c r="G120" i="45"/>
  <c r="H100" i="45"/>
  <c r="G95" i="53" s="1"/>
  <c r="G100" i="45"/>
  <c r="H80" i="45"/>
  <c r="G75" i="53" s="1"/>
  <c r="G80" i="45"/>
  <c r="H60" i="45"/>
  <c r="G55" i="53" s="1"/>
  <c r="G60" i="45"/>
  <c r="H40" i="45"/>
  <c r="G35" i="53" s="1"/>
  <c r="G40" i="45"/>
  <c r="H20" i="45"/>
  <c r="G15" i="53" s="1"/>
  <c r="G20" i="45"/>
  <c r="H292" i="45"/>
  <c r="G287" i="53" s="1"/>
  <c r="G292" i="45"/>
  <c r="H91" i="45"/>
  <c r="G86" i="53" s="1"/>
  <c r="G91" i="45"/>
  <c r="H311" i="45"/>
  <c r="G306" i="53" s="1"/>
  <c r="G311" i="45"/>
  <c r="H130" i="45"/>
  <c r="G125" i="53" s="1"/>
  <c r="G130" i="45"/>
  <c r="H249" i="45"/>
  <c r="G244" i="53" s="1"/>
  <c r="G249" i="45"/>
  <c r="H49" i="45"/>
  <c r="G44" i="53" s="1"/>
  <c r="G49" i="45"/>
  <c r="H188" i="45"/>
  <c r="G183" i="53" s="1"/>
  <c r="G188" i="45"/>
  <c r="H328" i="45"/>
  <c r="G323" i="53" s="1"/>
  <c r="G328" i="45"/>
  <c r="H127" i="45"/>
  <c r="G122" i="53" s="1"/>
  <c r="G127" i="45"/>
  <c r="H327" i="45"/>
  <c r="G322" i="53" s="1"/>
  <c r="G327" i="45"/>
  <c r="H146" i="45"/>
  <c r="G141" i="53" s="1"/>
  <c r="G146" i="45"/>
  <c r="H245" i="45"/>
  <c r="G240" i="53" s="1"/>
  <c r="G245" i="45"/>
  <c r="H45" i="45"/>
  <c r="G40" i="53" s="1"/>
  <c r="G45" i="45"/>
  <c r="H302" i="45"/>
  <c r="G297" i="53" s="1"/>
  <c r="G302" i="45"/>
  <c r="F297" i="53" s="1"/>
  <c r="H181" i="45"/>
  <c r="G176" i="53" s="1"/>
  <c r="G181" i="45"/>
  <c r="H41" i="45"/>
  <c r="G36" i="53" s="1"/>
  <c r="G41" i="45"/>
  <c r="F36" i="53" s="1"/>
  <c r="H341" i="45"/>
  <c r="G336" i="53" s="1"/>
  <c r="G341" i="45"/>
  <c r="H300" i="45"/>
  <c r="G295" i="53" s="1"/>
  <c r="G300" i="45"/>
  <c r="H280" i="45"/>
  <c r="G275" i="53" s="1"/>
  <c r="G280" i="45"/>
  <c r="H259" i="45"/>
  <c r="G254" i="53" s="1"/>
  <c r="G259" i="45"/>
  <c r="H239" i="45"/>
  <c r="G234" i="53" s="1"/>
  <c r="G239" i="45"/>
  <c r="H219" i="45"/>
  <c r="G214" i="53" s="1"/>
  <c r="G219" i="45"/>
  <c r="H199" i="45"/>
  <c r="G194" i="53" s="1"/>
  <c r="G199" i="45"/>
  <c r="H179" i="45"/>
  <c r="G174" i="53" s="1"/>
  <c r="G179" i="45"/>
  <c r="H159" i="45"/>
  <c r="G154" i="53" s="1"/>
  <c r="G159" i="45"/>
  <c r="H139" i="45"/>
  <c r="G134" i="53" s="1"/>
  <c r="G139" i="45"/>
  <c r="H119" i="45"/>
  <c r="G114" i="53" s="1"/>
  <c r="G119" i="45"/>
  <c r="H99" i="45"/>
  <c r="G94" i="53" s="1"/>
  <c r="G99" i="45"/>
  <c r="H79" i="45"/>
  <c r="G74" i="53" s="1"/>
  <c r="G79" i="45"/>
  <c r="H59" i="45"/>
  <c r="G54" i="53" s="1"/>
  <c r="G59" i="45"/>
  <c r="H39" i="45"/>
  <c r="G34" i="53" s="1"/>
  <c r="G39" i="45"/>
  <c r="H19" i="45"/>
  <c r="G14" i="53" s="1"/>
  <c r="G19" i="45"/>
  <c r="H312" i="45"/>
  <c r="G307" i="53" s="1"/>
  <c r="G312" i="45"/>
  <c r="H310" i="45"/>
  <c r="G305" i="53" s="1"/>
  <c r="G310" i="45"/>
  <c r="H105" i="45"/>
  <c r="G100" i="53" s="1"/>
  <c r="G105" i="45"/>
  <c r="H322" i="45"/>
  <c r="G317" i="53" s="1"/>
  <c r="G322" i="45"/>
  <c r="F317" i="53" s="1"/>
  <c r="H141" i="45"/>
  <c r="G136" i="53" s="1"/>
  <c r="G141" i="45"/>
  <c r="H339" i="45"/>
  <c r="G334" i="53" s="1"/>
  <c r="G339" i="45"/>
  <c r="H319" i="45"/>
  <c r="G314" i="53" s="1"/>
  <c r="G319" i="45"/>
  <c r="H299" i="45"/>
  <c r="G294" i="53" s="1"/>
  <c r="G299" i="45"/>
  <c r="H279" i="45"/>
  <c r="G274" i="53" s="1"/>
  <c r="G279" i="45"/>
  <c r="H258" i="45"/>
  <c r="G253" i="53" s="1"/>
  <c r="G258" i="45"/>
  <c r="H238" i="45"/>
  <c r="G233" i="53" s="1"/>
  <c r="G238" i="45"/>
  <c r="H218" i="45"/>
  <c r="G213" i="53" s="1"/>
  <c r="G218" i="45"/>
  <c r="H198" i="45"/>
  <c r="G193" i="53" s="1"/>
  <c r="G198" i="45"/>
  <c r="H178" i="45"/>
  <c r="G173" i="53" s="1"/>
  <c r="G178" i="45"/>
  <c r="H158" i="45"/>
  <c r="G153" i="53" s="1"/>
  <c r="G158" i="45"/>
  <c r="H138" i="45"/>
  <c r="G133" i="53" s="1"/>
  <c r="G138" i="45"/>
  <c r="H118" i="45"/>
  <c r="G113" i="53" s="1"/>
  <c r="G118" i="45"/>
  <c r="H98" i="45"/>
  <c r="G93" i="53" s="1"/>
  <c r="G98" i="45"/>
  <c r="H78" i="45"/>
  <c r="G73" i="53" s="1"/>
  <c r="G78" i="45"/>
  <c r="H58" i="45"/>
  <c r="G53" i="53" s="1"/>
  <c r="G58" i="45"/>
  <c r="H38" i="45"/>
  <c r="G33" i="53" s="1"/>
  <c r="G38" i="45"/>
  <c r="H18" i="45"/>
  <c r="G13" i="53" s="1"/>
  <c r="G18" i="45"/>
  <c r="H349" i="45"/>
  <c r="G344" i="53" s="1"/>
  <c r="G349" i="45"/>
  <c r="H308" i="45"/>
  <c r="G303" i="53" s="1"/>
  <c r="G308" i="45"/>
  <c r="H107" i="45"/>
  <c r="G102" i="53" s="1"/>
  <c r="G107" i="45"/>
  <c r="H201" i="45"/>
  <c r="G196" i="53" s="1"/>
  <c r="G201" i="45"/>
  <c r="H301" i="45"/>
  <c r="G296" i="53" s="1"/>
  <c r="G301" i="45"/>
  <c r="H338" i="45"/>
  <c r="G333" i="53" s="1"/>
  <c r="G338" i="45"/>
  <c r="H318" i="45"/>
  <c r="G313" i="53" s="1"/>
  <c r="G318" i="45"/>
  <c r="H298" i="45"/>
  <c r="G293" i="53" s="1"/>
  <c r="G298" i="45"/>
  <c r="H278" i="45"/>
  <c r="G273" i="53" s="1"/>
  <c r="G278" i="45"/>
  <c r="H257" i="45"/>
  <c r="G252" i="53" s="1"/>
  <c r="G257" i="45"/>
  <c r="H237" i="45"/>
  <c r="G232" i="53" s="1"/>
  <c r="G237" i="45"/>
  <c r="H217" i="45"/>
  <c r="G212" i="53" s="1"/>
  <c r="G217" i="45"/>
  <c r="H197" i="45"/>
  <c r="G192" i="53" s="1"/>
  <c r="G197" i="45"/>
  <c r="H177" i="45"/>
  <c r="G172" i="53" s="1"/>
  <c r="G177" i="45"/>
  <c r="H157" i="45"/>
  <c r="G152" i="53" s="1"/>
  <c r="G157" i="45"/>
  <c r="H137" i="45"/>
  <c r="G132" i="53" s="1"/>
  <c r="G137" i="45"/>
  <c r="H117" i="45"/>
  <c r="G112" i="53" s="1"/>
  <c r="G117" i="45"/>
  <c r="H97" i="45"/>
  <c r="G92" i="53" s="1"/>
  <c r="G97" i="45"/>
  <c r="H77" i="45"/>
  <c r="G72" i="53" s="1"/>
  <c r="G77" i="45"/>
  <c r="F72" i="53" s="1"/>
  <c r="H57" i="45"/>
  <c r="G52" i="53" s="1"/>
  <c r="G57" i="45"/>
  <c r="H37" i="45"/>
  <c r="G32" i="53" s="1"/>
  <c r="G37" i="45"/>
  <c r="H17" i="45"/>
  <c r="G12" i="53" s="1"/>
  <c r="G17" i="45"/>
  <c r="H332" i="45"/>
  <c r="G327" i="53" s="1"/>
  <c r="G332" i="45"/>
  <c r="H111" i="45"/>
  <c r="G106" i="53" s="1"/>
  <c r="G111" i="45"/>
  <c r="H190" i="45"/>
  <c r="G185" i="53" s="1"/>
  <c r="G190" i="45"/>
  <c r="H70" i="45"/>
  <c r="G65" i="53" s="1"/>
  <c r="G70" i="45"/>
  <c r="H129" i="45"/>
  <c r="G124" i="53" s="1"/>
  <c r="G129" i="45"/>
  <c r="H289" i="45"/>
  <c r="G284" i="53" s="1"/>
  <c r="G289" i="45"/>
  <c r="H148" i="45"/>
  <c r="G143" i="53" s="1"/>
  <c r="G148" i="45"/>
  <c r="H288" i="45"/>
  <c r="G283" i="53" s="1"/>
  <c r="G288" i="45"/>
  <c r="H87" i="45"/>
  <c r="G82" i="53" s="1"/>
  <c r="G87" i="45"/>
  <c r="H166" i="45"/>
  <c r="G161" i="53" s="1"/>
  <c r="G166" i="45"/>
  <c r="H165" i="45"/>
  <c r="G160" i="53" s="1"/>
  <c r="G165" i="45"/>
  <c r="H262" i="45"/>
  <c r="G257" i="53" s="1"/>
  <c r="G262" i="45"/>
  <c r="H61" i="45"/>
  <c r="G56" i="53" s="1"/>
  <c r="G61" i="45"/>
  <c r="H321" i="45"/>
  <c r="G316" i="53" s="1"/>
  <c r="G321" i="45"/>
  <c r="H340" i="45"/>
  <c r="G335" i="53" s="1"/>
  <c r="G340" i="45"/>
  <c r="H337" i="45"/>
  <c r="G332" i="53" s="1"/>
  <c r="G337" i="45"/>
  <c r="H317" i="45"/>
  <c r="G312" i="53" s="1"/>
  <c r="G317" i="45"/>
  <c r="H297" i="45"/>
  <c r="G292" i="53" s="1"/>
  <c r="G297" i="45"/>
  <c r="H277" i="45"/>
  <c r="G272" i="53" s="1"/>
  <c r="G277" i="45"/>
  <c r="H256" i="45"/>
  <c r="G251" i="53" s="1"/>
  <c r="G256" i="45"/>
  <c r="H236" i="45"/>
  <c r="G231" i="53" s="1"/>
  <c r="G236" i="45"/>
  <c r="H216" i="45"/>
  <c r="G211" i="53" s="1"/>
  <c r="G216" i="45"/>
  <c r="H196" i="45"/>
  <c r="G191" i="53" s="1"/>
  <c r="G196" i="45"/>
  <c r="H176" i="45"/>
  <c r="G171" i="53" s="1"/>
  <c r="G176" i="45"/>
  <c r="H156" i="45"/>
  <c r="G151" i="53" s="1"/>
  <c r="G156" i="45"/>
  <c r="H136" i="45"/>
  <c r="G131" i="53" s="1"/>
  <c r="G136" i="45"/>
  <c r="F131" i="53" s="1"/>
  <c r="H116" i="45"/>
  <c r="G111" i="53" s="1"/>
  <c r="G116" i="45"/>
  <c r="H96" i="45"/>
  <c r="G91" i="53" s="1"/>
  <c r="G96" i="45"/>
  <c r="H76" i="45"/>
  <c r="G71" i="53" s="1"/>
  <c r="G76" i="45"/>
  <c r="H56" i="45"/>
  <c r="G51" i="53" s="1"/>
  <c r="G56" i="45"/>
  <c r="H36" i="45"/>
  <c r="G31" i="53" s="1"/>
  <c r="G36" i="45"/>
  <c r="H16" i="45"/>
  <c r="G11" i="53" s="1"/>
  <c r="G16" i="45"/>
  <c r="H191" i="45"/>
  <c r="G186" i="53" s="1"/>
  <c r="G191" i="45"/>
  <c r="H51" i="45"/>
  <c r="G46" i="53" s="1"/>
  <c r="G51" i="45"/>
  <c r="H331" i="45"/>
  <c r="G326" i="53" s="1"/>
  <c r="G331" i="45"/>
  <c r="H110" i="45"/>
  <c r="G105" i="53" s="1"/>
  <c r="G110" i="45"/>
  <c r="H229" i="45"/>
  <c r="G224" i="53" s="1"/>
  <c r="G229" i="45"/>
  <c r="H69" i="45"/>
  <c r="G64" i="53" s="1"/>
  <c r="G69" i="45"/>
  <c r="H269" i="45"/>
  <c r="G264" i="53" s="1"/>
  <c r="G269" i="45"/>
  <c r="H88" i="45"/>
  <c r="G83" i="53" s="1"/>
  <c r="G88" i="45"/>
  <c r="H187" i="45"/>
  <c r="G182" i="53" s="1"/>
  <c r="G187" i="45"/>
  <c r="H27" i="45"/>
  <c r="G22" i="53" s="1"/>
  <c r="G27" i="45"/>
  <c r="H267" i="45"/>
  <c r="G262" i="53" s="1"/>
  <c r="G267" i="45"/>
  <c r="H306" i="45"/>
  <c r="G301" i="53" s="1"/>
  <c r="G306" i="45"/>
  <c r="H205" i="45"/>
  <c r="G200" i="53" s="1"/>
  <c r="G205" i="45"/>
  <c r="H221" i="45"/>
  <c r="G216" i="53" s="1"/>
  <c r="G221" i="45"/>
  <c r="H21" i="45"/>
  <c r="G16" i="53" s="1"/>
  <c r="G21" i="45"/>
  <c r="H320" i="45"/>
  <c r="G315" i="53" s="1"/>
  <c r="G320" i="45"/>
  <c r="H336" i="45"/>
  <c r="G331" i="53" s="1"/>
  <c r="G336" i="45"/>
  <c r="H316" i="45"/>
  <c r="G311" i="53" s="1"/>
  <c r="G316" i="45"/>
  <c r="H296" i="45"/>
  <c r="G291" i="53" s="1"/>
  <c r="G296" i="45"/>
  <c r="H276" i="45"/>
  <c r="G271" i="53" s="1"/>
  <c r="G276" i="45"/>
  <c r="H255" i="45"/>
  <c r="G250" i="53" s="1"/>
  <c r="G255" i="45"/>
  <c r="H235" i="45"/>
  <c r="G230" i="53" s="1"/>
  <c r="G235" i="45"/>
  <c r="H215" i="45"/>
  <c r="G210" i="53" s="1"/>
  <c r="G215" i="45"/>
  <c r="F210" i="53" s="1"/>
  <c r="H195" i="45"/>
  <c r="G190" i="53" s="1"/>
  <c r="G195" i="45"/>
  <c r="H175" i="45"/>
  <c r="G170" i="53" s="1"/>
  <c r="G175" i="45"/>
  <c r="H155" i="45"/>
  <c r="G150" i="53" s="1"/>
  <c r="G155" i="45"/>
  <c r="H135" i="45"/>
  <c r="G130" i="53" s="1"/>
  <c r="G135" i="45"/>
  <c r="H115" i="45"/>
  <c r="G110" i="53" s="1"/>
  <c r="G115" i="45"/>
  <c r="H95" i="45"/>
  <c r="G90" i="53" s="1"/>
  <c r="G95" i="45"/>
  <c r="H75" i="45"/>
  <c r="G70" i="53" s="1"/>
  <c r="G75" i="45"/>
  <c r="H55" i="45"/>
  <c r="G50" i="53" s="1"/>
  <c r="G55" i="45"/>
  <c r="H35" i="45"/>
  <c r="G30" i="53" s="1"/>
  <c r="G35" i="45"/>
  <c r="H15" i="45"/>
  <c r="G10" i="53" s="1"/>
  <c r="G15" i="45"/>
  <c r="H231" i="45"/>
  <c r="G226" i="53" s="1"/>
  <c r="G231" i="45"/>
  <c r="H151" i="45"/>
  <c r="G146" i="53" s="1"/>
  <c r="G151" i="45"/>
  <c r="H291" i="45"/>
  <c r="G286" i="53" s="1"/>
  <c r="G291" i="45"/>
  <c r="H170" i="45"/>
  <c r="G165" i="53" s="1"/>
  <c r="G170" i="45"/>
  <c r="H50" i="45"/>
  <c r="G45" i="53" s="1"/>
  <c r="G50" i="45"/>
  <c r="H290" i="45"/>
  <c r="G285" i="53" s="1"/>
  <c r="G290" i="45"/>
  <c r="H109" i="45"/>
  <c r="G104" i="53" s="1"/>
  <c r="G109" i="45"/>
  <c r="H208" i="45"/>
  <c r="G203" i="53" s="1"/>
  <c r="G208" i="45"/>
  <c r="H68" i="45"/>
  <c r="G63" i="53" s="1"/>
  <c r="G68" i="45"/>
  <c r="H227" i="45"/>
  <c r="G222" i="53" s="1"/>
  <c r="G227" i="45"/>
  <c r="H206" i="45"/>
  <c r="G201" i="53" s="1"/>
  <c r="G206" i="45"/>
  <c r="H46" i="45"/>
  <c r="G41" i="53" s="1"/>
  <c r="G46" i="45"/>
  <c r="H326" i="45"/>
  <c r="G321" i="53" s="1"/>
  <c r="G326" i="45"/>
  <c r="H125" i="45"/>
  <c r="G120" i="53" s="1"/>
  <c r="G125" i="45"/>
  <c r="H282" i="45"/>
  <c r="G277" i="53" s="1"/>
  <c r="G282" i="45"/>
  <c r="H81" i="45"/>
  <c r="G76" i="53" s="1"/>
  <c r="G81" i="45"/>
  <c r="H240" i="45"/>
  <c r="G235" i="53" s="1"/>
  <c r="G240" i="45"/>
  <c r="H9" i="45"/>
  <c r="G4" i="53" s="1"/>
  <c r="G261" i="45"/>
  <c r="G260" i="45"/>
  <c r="F255" i="53" s="1"/>
  <c r="M255" i="53" s="1"/>
  <c r="H315" i="45"/>
  <c r="G310" i="53" s="1"/>
  <c r="G315" i="45"/>
  <c r="H295" i="45"/>
  <c r="G290" i="53" s="1"/>
  <c r="G295" i="45"/>
  <c r="H275" i="45"/>
  <c r="G270" i="53" s="1"/>
  <c r="G275" i="45"/>
  <c r="H254" i="45"/>
  <c r="G249" i="53" s="1"/>
  <c r="G254" i="45"/>
  <c r="H234" i="45"/>
  <c r="G229" i="53" s="1"/>
  <c r="G234" i="45"/>
  <c r="H214" i="45"/>
  <c r="G209" i="53" s="1"/>
  <c r="G214" i="45"/>
  <c r="H194" i="45"/>
  <c r="G189" i="53" s="1"/>
  <c r="G194" i="45"/>
  <c r="H174" i="45"/>
  <c r="G169" i="53" s="1"/>
  <c r="G174" i="45"/>
  <c r="H154" i="45"/>
  <c r="G149" i="53" s="1"/>
  <c r="G154" i="45"/>
  <c r="H134" i="45"/>
  <c r="G129" i="53" s="1"/>
  <c r="G134" i="45"/>
  <c r="H114" i="45"/>
  <c r="G109" i="53" s="1"/>
  <c r="G114" i="45"/>
  <c r="H94" i="45"/>
  <c r="G89" i="53" s="1"/>
  <c r="G94" i="45"/>
  <c r="H74" i="45"/>
  <c r="G69" i="53" s="1"/>
  <c r="G74" i="45"/>
  <c r="H54" i="45"/>
  <c r="G49" i="53" s="1"/>
  <c r="G54" i="45"/>
  <c r="H34" i="45"/>
  <c r="G29" i="53" s="1"/>
  <c r="G34" i="45"/>
  <c r="H14" i="45"/>
  <c r="G9" i="53" s="1"/>
  <c r="G14" i="45"/>
  <c r="H171" i="45"/>
  <c r="G166" i="53" s="1"/>
  <c r="G171" i="45"/>
  <c r="H11" i="45"/>
  <c r="G6" i="53" s="1"/>
  <c r="G11" i="45"/>
  <c r="H230" i="45"/>
  <c r="G225" i="53" s="1"/>
  <c r="G230" i="45"/>
  <c r="H30" i="45"/>
  <c r="G25" i="53" s="1"/>
  <c r="G30" i="45"/>
  <c r="H330" i="45"/>
  <c r="G325" i="53" s="1"/>
  <c r="G330" i="45"/>
  <c r="H209" i="45"/>
  <c r="G204" i="53" s="1"/>
  <c r="G209" i="45"/>
  <c r="H89" i="45"/>
  <c r="G84" i="53" s="1"/>
  <c r="G89" i="45"/>
  <c r="H168" i="45"/>
  <c r="G163" i="53" s="1"/>
  <c r="G168" i="45"/>
  <c r="H207" i="45"/>
  <c r="G202" i="53" s="1"/>
  <c r="G207" i="45"/>
  <c r="H47" i="45"/>
  <c r="G42" i="53" s="1"/>
  <c r="G47" i="45"/>
  <c r="F42" i="53" s="1"/>
  <c r="H307" i="45"/>
  <c r="G302" i="53" s="1"/>
  <c r="G307" i="45"/>
  <c r="H86" i="45"/>
  <c r="G81" i="53" s="1"/>
  <c r="G86" i="45"/>
  <c r="H286" i="45"/>
  <c r="G281" i="53" s="1"/>
  <c r="G286" i="45"/>
  <c r="F281" i="53" s="1"/>
  <c r="H145" i="45"/>
  <c r="G140" i="53" s="1"/>
  <c r="G145" i="45"/>
  <c r="H121" i="45"/>
  <c r="G116" i="53" s="1"/>
  <c r="G121" i="45"/>
  <c r="H200" i="45"/>
  <c r="G195" i="53" s="1"/>
  <c r="G200" i="45"/>
  <c r="H335" i="45"/>
  <c r="G330" i="53" s="1"/>
  <c r="G335" i="45"/>
  <c r="H354" i="45"/>
  <c r="G349" i="53" s="1"/>
  <c r="G354" i="45"/>
  <c r="H334" i="45"/>
  <c r="G329" i="53" s="1"/>
  <c r="G334" i="45"/>
  <c r="H314" i="45"/>
  <c r="G309" i="53" s="1"/>
  <c r="G314" i="45"/>
  <c r="H294" i="45"/>
  <c r="G289" i="53" s="1"/>
  <c r="G294" i="45"/>
  <c r="H274" i="45"/>
  <c r="G269" i="53" s="1"/>
  <c r="G274" i="45"/>
  <c r="H253" i="45"/>
  <c r="G248" i="53" s="1"/>
  <c r="G253" i="45"/>
  <c r="H233" i="45"/>
  <c r="G228" i="53" s="1"/>
  <c r="G233" i="45"/>
  <c r="H213" i="45"/>
  <c r="G208" i="53" s="1"/>
  <c r="G213" i="45"/>
  <c r="H193" i="45"/>
  <c r="G188" i="53" s="1"/>
  <c r="G193" i="45"/>
  <c r="H173" i="45"/>
  <c r="G168" i="53" s="1"/>
  <c r="G173" i="45"/>
  <c r="H153" i="45"/>
  <c r="G148" i="53" s="1"/>
  <c r="G153" i="45"/>
  <c r="H133" i="45"/>
  <c r="G128" i="53" s="1"/>
  <c r="G133" i="45"/>
  <c r="H113" i="45"/>
  <c r="G108" i="53" s="1"/>
  <c r="G113" i="45"/>
  <c r="H93" i="45"/>
  <c r="G88" i="53" s="1"/>
  <c r="G93" i="45"/>
  <c r="H73" i="45"/>
  <c r="G68" i="53" s="1"/>
  <c r="G73" i="45"/>
  <c r="H53" i="45"/>
  <c r="G48" i="53" s="1"/>
  <c r="G53" i="45"/>
  <c r="H33" i="45"/>
  <c r="G28" i="53" s="1"/>
  <c r="G33" i="45"/>
  <c r="H13" i="45"/>
  <c r="G8" i="53" s="1"/>
  <c r="G13" i="45"/>
  <c r="H251" i="45"/>
  <c r="G246" i="53" s="1"/>
  <c r="G251" i="45"/>
  <c r="H131" i="45"/>
  <c r="G126" i="53" s="1"/>
  <c r="G131" i="45"/>
  <c r="H351" i="45"/>
  <c r="G346" i="53" s="1"/>
  <c r="G351" i="45"/>
  <c r="H150" i="45"/>
  <c r="G145" i="53" s="1"/>
  <c r="G150" i="45"/>
  <c r="H270" i="45"/>
  <c r="G265" i="53" s="1"/>
  <c r="G270" i="45"/>
  <c r="H149" i="45"/>
  <c r="G144" i="53" s="1"/>
  <c r="G149" i="45"/>
  <c r="H29" i="45"/>
  <c r="G24" i="53" s="1"/>
  <c r="G29" i="45"/>
  <c r="F24" i="53" s="1"/>
  <c r="H248" i="45"/>
  <c r="G243" i="53" s="1"/>
  <c r="G248" i="45"/>
  <c r="H28" i="45"/>
  <c r="G23" i="53" s="1"/>
  <c r="G28" i="45"/>
  <c r="H247" i="45"/>
  <c r="G242" i="53" s="1"/>
  <c r="G247" i="45"/>
  <c r="H147" i="45"/>
  <c r="G142" i="53" s="1"/>
  <c r="G147" i="45"/>
  <c r="H226" i="45"/>
  <c r="G221" i="53" s="1"/>
  <c r="G226" i="45"/>
  <c r="H346" i="45"/>
  <c r="G341" i="53" s="1"/>
  <c r="G346" i="45"/>
  <c r="H225" i="45"/>
  <c r="G220" i="53" s="1"/>
  <c r="G225" i="45"/>
  <c r="H161" i="45"/>
  <c r="G156" i="53" s="1"/>
  <c r="G161" i="45"/>
  <c r="H220" i="45"/>
  <c r="G215" i="53" s="1"/>
  <c r="G220" i="45"/>
  <c r="H353" i="45"/>
  <c r="G348" i="53" s="1"/>
  <c r="G353" i="45"/>
  <c r="H333" i="45"/>
  <c r="G328" i="53" s="1"/>
  <c r="G333" i="45"/>
  <c r="H313" i="45"/>
  <c r="G308" i="53" s="1"/>
  <c r="G313" i="45"/>
  <c r="H293" i="45"/>
  <c r="G288" i="53" s="1"/>
  <c r="G293" i="45"/>
  <c r="H273" i="45"/>
  <c r="G268" i="53" s="1"/>
  <c r="G273" i="45"/>
  <c r="H252" i="45"/>
  <c r="G247" i="53" s="1"/>
  <c r="G252" i="45"/>
  <c r="H232" i="45"/>
  <c r="G227" i="53" s="1"/>
  <c r="G232" i="45"/>
  <c r="H212" i="45"/>
  <c r="G207" i="53" s="1"/>
  <c r="G212" i="45"/>
  <c r="H192" i="45"/>
  <c r="G187" i="53" s="1"/>
  <c r="G192" i="45"/>
  <c r="H172" i="45"/>
  <c r="G167" i="53" s="1"/>
  <c r="G172" i="45"/>
  <c r="H152" i="45"/>
  <c r="G147" i="53" s="1"/>
  <c r="G152" i="45"/>
  <c r="H132" i="45"/>
  <c r="G127" i="53" s="1"/>
  <c r="G132" i="45"/>
  <c r="H112" i="45"/>
  <c r="G107" i="53" s="1"/>
  <c r="G112" i="45"/>
  <c r="H92" i="45"/>
  <c r="G87" i="53" s="1"/>
  <c r="G92" i="45"/>
  <c r="H72" i="45"/>
  <c r="G67" i="53" s="1"/>
  <c r="G72" i="45"/>
  <c r="H52" i="45"/>
  <c r="G47" i="53" s="1"/>
  <c r="G52" i="45"/>
  <c r="H32" i="45"/>
  <c r="G27" i="53" s="1"/>
  <c r="G32" i="45"/>
  <c r="H12" i="45"/>
  <c r="G7" i="53" s="1"/>
  <c r="G12" i="45"/>
  <c r="G9" i="45"/>
  <c r="F4" i="53" s="1"/>
  <c r="I7" i="46"/>
  <c r="H80" i="53" l="1"/>
  <c r="M80" i="53" s="1"/>
  <c r="H338" i="53"/>
  <c r="M338" i="53" s="1"/>
  <c r="H4" i="53"/>
  <c r="H58" i="53"/>
  <c r="M58" i="53" s="1"/>
  <c r="H340" i="53"/>
  <c r="M340" i="53" s="1"/>
  <c r="H210" i="53"/>
  <c r="M210" i="53" s="1"/>
  <c r="H42" i="53"/>
  <c r="M42" i="53" s="1"/>
  <c r="H117" i="53"/>
  <c r="M117" i="53" s="1"/>
  <c r="H59" i="53"/>
  <c r="M59" i="53" s="1"/>
  <c r="H317" i="53"/>
  <c r="M317" i="53" s="1"/>
  <c r="H36" i="53"/>
  <c r="M36" i="53" s="1"/>
  <c r="H297" i="53"/>
  <c r="M297" i="53" s="1"/>
  <c r="H72" i="53"/>
  <c r="M72" i="53" s="1"/>
  <c r="H131" i="53"/>
  <c r="M131" i="53" s="1"/>
  <c r="H281" i="53"/>
  <c r="M281" i="53" s="1"/>
  <c r="H24" i="53"/>
  <c r="M24" i="53" s="1"/>
  <c r="I211" i="45"/>
  <c r="F206" i="53"/>
  <c r="H206" i="53" s="1"/>
  <c r="M206" i="53" s="1"/>
  <c r="I31" i="45"/>
  <c r="Q31" i="45" s="1"/>
  <c r="F26" i="53"/>
  <c r="H26" i="53" s="1"/>
  <c r="M26" i="53" s="1"/>
  <c r="I250" i="45"/>
  <c r="R250" i="45" s="1"/>
  <c r="F245" i="53"/>
  <c r="H245" i="53" s="1"/>
  <c r="M245" i="53" s="1"/>
  <c r="I90" i="45"/>
  <c r="Q90" i="45" s="1"/>
  <c r="F85" i="53"/>
  <c r="H85" i="53" s="1"/>
  <c r="M85" i="53" s="1"/>
  <c r="I189" i="45"/>
  <c r="Q189" i="45" s="1"/>
  <c r="F184" i="53"/>
  <c r="H184" i="53" s="1"/>
  <c r="M184" i="53" s="1"/>
  <c r="I228" i="45"/>
  <c r="F223" i="53"/>
  <c r="H223" i="53" s="1"/>
  <c r="M223" i="53" s="1"/>
  <c r="I108" i="45"/>
  <c r="F103" i="53"/>
  <c r="H103" i="53" s="1"/>
  <c r="M103" i="53" s="1"/>
  <c r="I268" i="45"/>
  <c r="R268" i="45" s="1"/>
  <c r="F263" i="53"/>
  <c r="H263" i="53" s="1"/>
  <c r="M263" i="53" s="1"/>
  <c r="I67" i="45"/>
  <c r="F62" i="53"/>
  <c r="H62" i="53" s="1"/>
  <c r="M62" i="53" s="1"/>
  <c r="I186" i="45"/>
  <c r="F181" i="53"/>
  <c r="H181" i="53" s="1"/>
  <c r="M181" i="53" s="1"/>
  <c r="I26" i="45"/>
  <c r="R26" i="45" s="1"/>
  <c r="F21" i="53"/>
  <c r="H21" i="53" s="1"/>
  <c r="M21" i="53" s="1"/>
  <c r="I185" i="45"/>
  <c r="Q185" i="45" s="1"/>
  <c r="F180" i="53"/>
  <c r="H180" i="53" s="1"/>
  <c r="M180" i="53" s="1"/>
  <c r="I65" i="45"/>
  <c r="Q65" i="45" s="1"/>
  <c r="F60" i="53"/>
  <c r="H60" i="53" s="1"/>
  <c r="M60" i="53" s="1"/>
  <c r="I25" i="45"/>
  <c r="Q25" i="45" s="1"/>
  <c r="F20" i="53"/>
  <c r="H20" i="53" s="1"/>
  <c r="M20" i="53" s="1"/>
  <c r="I325" i="45"/>
  <c r="Q325" i="45" s="1"/>
  <c r="F320" i="53"/>
  <c r="H320" i="53" s="1"/>
  <c r="M320" i="53" s="1"/>
  <c r="I305" i="45"/>
  <c r="F300" i="53"/>
  <c r="H300" i="53" s="1"/>
  <c r="M300" i="53" s="1"/>
  <c r="I285" i="45"/>
  <c r="F280" i="53"/>
  <c r="H280" i="53" s="1"/>
  <c r="M280" i="53" s="1"/>
  <c r="I265" i="45"/>
  <c r="F260" i="53"/>
  <c r="H260" i="53" s="1"/>
  <c r="M260" i="53" s="1"/>
  <c r="I244" i="45"/>
  <c r="Q244" i="45" s="1"/>
  <c r="F239" i="53"/>
  <c r="H239" i="53" s="1"/>
  <c r="M239" i="53" s="1"/>
  <c r="I224" i="45"/>
  <c r="F219" i="53"/>
  <c r="H219" i="53" s="1"/>
  <c r="M219" i="53" s="1"/>
  <c r="I204" i="45"/>
  <c r="F199" i="53"/>
  <c r="H199" i="53" s="1"/>
  <c r="M199" i="53" s="1"/>
  <c r="I184" i="45"/>
  <c r="F179" i="53"/>
  <c r="H179" i="53" s="1"/>
  <c r="M179" i="53" s="1"/>
  <c r="I164" i="45"/>
  <c r="F159" i="53"/>
  <c r="H159" i="53" s="1"/>
  <c r="M159" i="53" s="1"/>
  <c r="I144" i="45"/>
  <c r="F139" i="53"/>
  <c r="H139" i="53" s="1"/>
  <c r="M139" i="53" s="1"/>
  <c r="I124" i="45"/>
  <c r="F119" i="53"/>
  <c r="H119" i="53" s="1"/>
  <c r="M119" i="53" s="1"/>
  <c r="I104" i="45"/>
  <c r="F99" i="53"/>
  <c r="H99" i="53" s="1"/>
  <c r="M99" i="53" s="1"/>
  <c r="I84" i="45"/>
  <c r="F79" i="53"/>
  <c r="H79" i="53" s="1"/>
  <c r="M79" i="53" s="1"/>
  <c r="I44" i="45"/>
  <c r="Q44" i="45" s="1"/>
  <c r="F39" i="53"/>
  <c r="H39" i="53" s="1"/>
  <c r="M39" i="53" s="1"/>
  <c r="I24" i="45"/>
  <c r="R24" i="45" s="1"/>
  <c r="F19" i="53"/>
  <c r="H19" i="53" s="1"/>
  <c r="M19" i="53" s="1"/>
  <c r="I352" i="45"/>
  <c r="R352" i="45" s="1"/>
  <c r="F347" i="53"/>
  <c r="H347" i="53" s="1"/>
  <c r="M347" i="53" s="1"/>
  <c r="I348" i="45"/>
  <c r="F343" i="53"/>
  <c r="H343" i="53" s="1"/>
  <c r="M343" i="53" s="1"/>
  <c r="I347" i="45"/>
  <c r="R347" i="45" s="1"/>
  <c r="F342" i="53"/>
  <c r="H342" i="53" s="1"/>
  <c r="M342" i="53" s="1"/>
  <c r="I126" i="45"/>
  <c r="F121" i="53"/>
  <c r="H121" i="53" s="1"/>
  <c r="M121" i="53" s="1"/>
  <c r="I324" i="45"/>
  <c r="F319" i="53"/>
  <c r="H319" i="53" s="1"/>
  <c r="M319" i="53" s="1"/>
  <c r="I284" i="45"/>
  <c r="Q284" i="45" s="1"/>
  <c r="F279" i="53"/>
  <c r="H279" i="53" s="1"/>
  <c r="M279" i="53" s="1"/>
  <c r="I243" i="45"/>
  <c r="F238" i="53"/>
  <c r="H238" i="53" s="1"/>
  <c r="M238" i="53" s="1"/>
  <c r="I223" i="45"/>
  <c r="F218" i="53"/>
  <c r="H218" i="53" s="1"/>
  <c r="M218" i="53" s="1"/>
  <c r="I183" i="45"/>
  <c r="F178" i="53"/>
  <c r="H178" i="53" s="1"/>
  <c r="M178" i="53" s="1"/>
  <c r="I163" i="45"/>
  <c r="F158" i="53"/>
  <c r="H158" i="53" s="1"/>
  <c r="M158" i="53" s="1"/>
  <c r="I143" i="45"/>
  <c r="R143" i="45" s="1"/>
  <c r="F138" i="53"/>
  <c r="H138" i="53" s="1"/>
  <c r="M138" i="53" s="1"/>
  <c r="I123" i="45"/>
  <c r="F118" i="53"/>
  <c r="H118" i="53" s="1"/>
  <c r="M118" i="53" s="1"/>
  <c r="I83" i="45"/>
  <c r="F78" i="53"/>
  <c r="H78" i="53" s="1"/>
  <c r="M78" i="53" s="1"/>
  <c r="I43" i="45"/>
  <c r="F38" i="53"/>
  <c r="H38" i="53" s="1"/>
  <c r="M38" i="53" s="1"/>
  <c r="I23" i="45"/>
  <c r="F18" i="53"/>
  <c r="H18" i="53" s="1"/>
  <c r="M18" i="53" s="1"/>
  <c r="I271" i="45"/>
  <c r="F266" i="53"/>
  <c r="H266" i="53" s="1"/>
  <c r="M266" i="53" s="1"/>
  <c r="I309" i="45"/>
  <c r="F304" i="53"/>
  <c r="H304" i="53" s="1"/>
  <c r="M304" i="53" s="1"/>
  <c r="I48" i="45"/>
  <c r="F43" i="53"/>
  <c r="H43" i="53" s="1"/>
  <c r="M43" i="53" s="1"/>
  <c r="I287" i="45"/>
  <c r="F282" i="53"/>
  <c r="H282" i="53" s="1"/>
  <c r="M282" i="53" s="1"/>
  <c r="I106" i="45"/>
  <c r="F101" i="53"/>
  <c r="H101" i="53" s="1"/>
  <c r="M101" i="53" s="1"/>
  <c r="I344" i="45"/>
  <c r="F339" i="53"/>
  <c r="H339" i="53" s="1"/>
  <c r="M339" i="53" s="1"/>
  <c r="I304" i="45"/>
  <c r="F299" i="53"/>
  <c r="H299" i="53" s="1"/>
  <c r="M299" i="53" s="1"/>
  <c r="I264" i="45"/>
  <c r="R264" i="45" s="1"/>
  <c r="F259" i="53"/>
  <c r="H259" i="53" s="1"/>
  <c r="M259" i="53" s="1"/>
  <c r="I203" i="45"/>
  <c r="F198" i="53"/>
  <c r="H198" i="53" s="1"/>
  <c r="M198" i="53" s="1"/>
  <c r="I103" i="45"/>
  <c r="F98" i="53"/>
  <c r="H98" i="53" s="1"/>
  <c r="M98" i="53" s="1"/>
  <c r="I323" i="45"/>
  <c r="R323" i="45" s="1"/>
  <c r="F318" i="53"/>
  <c r="H318" i="53" s="1"/>
  <c r="M318" i="53" s="1"/>
  <c r="I303" i="45"/>
  <c r="F298" i="53"/>
  <c r="H298" i="53" s="1"/>
  <c r="M298" i="53" s="1"/>
  <c r="I283" i="45"/>
  <c r="F278" i="53"/>
  <c r="H278" i="53" s="1"/>
  <c r="M278" i="53" s="1"/>
  <c r="I263" i="45"/>
  <c r="F258" i="53"/>
  <c r="H258" i="53" s="1"/>
  <c r="M258" i="53" s="1"/>
  <c r="I242" i="45"/>
  <c r="F237" i="53"/>
  <c r="H237" i="53" s="1"/>
  <c r="M237" i="53" s="1"/>
  <c r="I222" i="45"/>
  <c r="R222" i="45" s="1"/>
  <c r="F217" i="53"/>
  <c r="H217" i="53" s="1"/>
  <c r="M217" i="53" s="1"/>
  <c r="I202" i="45"/>
  <c r="F197" i="53"/>
  <c r="H197" i="53" s="1"/>
  <c r="M197" i="53" s="1"/>
  <c r="I182" i="45"/>
  <c r="R182" i="45" s="1"/>
  <c r="F177" i="53"/>
  <c r="H177" i="53" s="1"/>
  <c r="M177" i="53" s="1"/>
  <c r="I162" i="45"/>
  <c r="F157" i="53"/>
  <c r="H157" i="53" s="1"/>
  <c r="M157" i="53" s="1"/>
  <c r="I142" i="45"/>
  <c r="F137" i="53"/>
  <c r="H137" i="53" s="1"/>
  <c r="M137" i="53" s="1"/>
  <c r="I102" i="45"/>
  <c r="F97" i="53"/>
  <c r="H97" i="53" s="1"/>
  <c r="M97" i="53" s="1"/>
  <c r="I82" i="45"/>
  <c r="F77" i="53"/>
  <c r="H77" i="53" s="1"/>
  <c r="M77" i="53" s="1"/>
  <c r="I62" i="45"/>
  <c r="R62" i="45" s="1"/>
  <c r="F57" i="53"/>
  <c r="H57" i="53" s="1"/>
  <c r="M57" i="53" s="1"/>
  <c r="I42" i="45"/>
  <c r="F37" i="53"/>
  <c r="H37" i="53" s="1"/>
  <c r="M37" i="53" s="1"/>
  <c r="I22" i="45"/>
  <c r="F17" i="53"/>
  <c r="H17" i="53" s="1"/>
  <c r="M17" i="53" s="1"/>
  <c r="I272" i="45"/>
  <c r="F267" i="53"/>
  <c r="H267" i="53" s="1"/>
  <c r="M267" i="53" s="1"/>
  <c r="I71" i="45"/>
  <c r="F66" i="53"/>
  <c r="H66" i="53" s="1"/>
  <c r="M66" i="53" s="1"/>
  <c r="I210" i="45"/>
  <c r="F205" i="53"/>
  <c r="H205" i="53" s="1"/>
  <c r="M205" i="53" s="1"/>
  <c r="I10" i="45"/>
  <c r="F5" i="53"/>
  <c r="H5" i="53" s="1"/>
  <c r="M5" i="53" s="1"/>
  <c r="I350" i="45"/>
  <c r="F345" i="53"/>
  <c r="H345" i="53" s="1"/>
  <c r="M345" i="53" s="1"/>
  <c r="I169" i="45"/>
  <c r="F164" i="53"/>
  <c r="H164" i="53" s="1"/>
  <c r="M164" i="53" s="1"/>
  <c r="I329" i="45"/>
  <c r="F324" i="53"/>
  <c r="H324" i="53" s="1"/>
  <c r="M324" i="53" s="1"/>
  <c r="I128" i="45"/>
  <c r="F123" i="53"/>
  <c r="H123" i="53" s="1"/>
  <c r="M123" i="53" s="1"/>
  <c r="I167" i="45"/>
  <c r="Q167" i="45" s="1"/>
  <c r="F162" i="53"/>
  <c r="H162" i="53" s="1"/>
  <c r="M162" i="53" s="1"/>
  <c r="I246" i="45"/>
  <c r="R246" i="45" s="1"/>
  <c r="F241" i="53"/>
  <c r="H241" i="53" s="1"/>
  <c r="M241" i="53" s="1"/>
  <c r="I66" i="45"/>
  <c r="R66" i="45" s="1"/>
  <c r="F61" i="53"/>
  <c r="H61" i="53" s="1"/>
  <c r="M61" i="53" s="1"/>
  <c r="I266" i="45"/>
  <c r="F261" i="53"/>
  <c r="H261" i="53" s="1"/>
  <c r="M261" i="53" s="1"/>
  <c r="I342" i="45"/>
  <c r="F337" i="53"/>
  <c r="H337" i="53" s="1"/>
  <c r="M337" i="53" s="1"/>
  <c r="I241" i="45"/>
  <c r="F236" i="53"/>
  <c r="H236" i="53" s="1"/>
  <c r="M236" i="53" s="1"/>
  <c r="I101" i="45"/>
  <c r="R101" i="45" s="1"/>
  <c r="F96" i="53"/>
  <c r="H96" i="53" s="1"/>
  <c r="M96" i="53" s="1"/>
  <c r="I281" i="45"/>
  <c r="Q281" i="45" s="1"/>
  <c r="F276" i="53"/>
  <c r="H276" i="53" s="1"/>
  <c r="M276" i="53" s="1"/>
  <c r="I180" i="45"/>
  <c r="F175" i="53"/>
  <c r="H175" i="53" s="1"/>
  <c r="M175" i="53" s="1"/>
  <c r="I160" i="45"/>
  <c r="F155" i="53"/>
  <c r="H155" i="53" s="1"/>
  <c r="M155" i="53" s="1"/>
  <c r="I140" i="45"/>
  <c r="F135" i="53"/>
  <c r="H135" i="53" s="1"/>
  <c r="M135" i="53" s="1"/>
  <c r="I120" i="45"/>
  <c r="F115" i="53"/>
  <c r="H115" i="53" s="1"/>
  <c r="M115" i="53" s="1"/>
  <c r="I100" i="45"/>
  <c r="R100" i="45" s="1"/>
  <c r="F95" i="53"/>
  <c r="H95" i="53" s="1"/>
  <c r="M95" i="53" s="1"/>
  <c r="I80" i="45"/>
  <c r="F75" i="53"/>
  <c r="H75" i="53" s="1"/>
  <c r="M75" i="53" s="1"/>
  <c r="I60" i="45"/>
  <c r="F55" i="53"/>
  <c r="H55" i="53" s="1"/>
  <c r="M55" i="53" s="1"/>
  <c r="I40" i="45"/>
  <c r="Q40" i="45" s="1"/>
  <c r="F35" i="53"/>
  <c r="H35" i="53" s="1"/>
  <c r="M35" i="53" s="1"/>
  <c r="I20" i="45"/>
  <c r="F15" i="53"/>
  <c r="H15" i="53" s="1"/>
  <c r="M15" i="53" s="1"/>
  <c r="I292" i="45"/>
  <c r="V292" i="45" s="1"/>
  <c r="F287" i="53"/>
  <c r="H287" i="53" s="1"/>
  <c r="M287" i="53" s="1"/>
  <c r="I91" i="45"/>
  <c r="F86" i="53"/>
  <c r="H86" i="53" s="1"/>
  <c r="M86" i="53" s="1"/>
  <c r="I311" i="45"/>
  <c r="F306" i="53"/>
  <c r="H306" i="53" s="1"/>
  <c r="M306" i="53" s="1"/>
  <c r="I130" i="45"/>
  <c r="Q130" i="45" s="1"/>
  <c r="F125" i="53"/>
  <c r="H125" i="53" s="1"/>
  <c r="M125" i="53" s="1"/>
  <c r="I249" i="45"/>
  <c r="R249" i="45" s="1"/>
  <c r="F244" i="53"/>
  <c r="H244" i="53" s="1"/>
  <c r="M244" i="53" s="1"/>
  <c r="I49" i="45"/>
  <c r="R49" i="45" s="1"/>
  <c r="F44" i="53"/>
  <c r="H44" i="53" s="1"/>
  <c r="M44" i="53" s="1"/>
  <c r="I188" i="45"/>
  <c r="R188" i="45" s="1"/>
  <c r="F183" i="53"/>
  <c r="H183" i="53" s="1"/>
  <c r="M183" i="53" s="1"/>
  <c r="I328" i="45"/>
  <c r="F323" i="53"/>
  <c r="H323" i="53" s="1"/>
  <c r="M323" i="53" s="1"/>
  <c r="I127" i="45"/>
  <c r="F122" i="53"/>
  <c r="H122" i="53" s="1"/>
  <c r="M122" i="53" s="1"/>
  <c r="I327" i="45"/>
  <c r="F322" i="53"/>
  <c r="H322" i="53" s="1"/>
  <c r="M322" i="53" s="1"/>
  <c r="I146" i="45"/>
  <c r="F141" i="53"/>
  <c r="H141" i="53" s="1"/>
  <c r="M141" i="53" s="1"/>
  <c r="I245" i="45"/>
  <c r="F240" i="53"/>
  <c r="H240" i="53" s="1"/>
  <c r="M240" i="53" s="1"/>
  <c r="I45" i="45"/>
  <c r="R45" i="45" s="1"/>
  <c r="F40" i="53"/>
  <c r="H40" i="53" s="1"/>
  <c r="M40" i="53" s="1"/>
  <c r="I181" i="45"/>
  <c r="F176" i="53"/>
  <c r="H176" i="53" s="1"/>
  <c r="M176" i="53" s="1"/>
  <c r="I341" i="45"/>
  <c r="F336" i="53"/>
  <c r="H336" i="53" s="1"/>
  <c r="M336" i="53" s="1"/>
  <c r="I300" i="45"/>
  <c r="Q300" i="45" s="1"/>
  <c r="F295" i="53"/>
  <c r="H295" i="53" s="1"/>
  <c r="M295" i="53" s="1"/>
  <c r="I280" i="45"/>
  <c r="F275" i="53"/>
  <c r="H275" i="53" s="1"/>
  <c r="M275" i="53" s="1"/>
  <c r="I259" i="45"/>
  <c r="F254" i="53"/>
  <c r="H254" i="53" s="1"/>
  <c r="M254" i="53" s="1"/>
  <c r="I239" i="45"/>
  <c r="F234" i="53"/>
  <c r="H234" i="53" s="1"/>
  <c r="M234" i="53" s="1"/>
  <c r="I219" i="45"/>
  <c r="F214" i="53"/>
  <c r="H214" i="53" s="1"/>
  <c r="M214" i="53" s="1"/>
  <c r="I199" i="45"/>
  <c r="F194" i="53"/>
  <c r="H194" i="53" s="1"/>
  <c r="M194" i="53" s="1"/>
  <c r="I179" i="45"/>
  <c r="F174" i="53"/>
  <c r="H174" i="53" s="1"/>
  <c r="M174" i="53" s="1"/>
  <c r="I159" i="45"/>
  <c r="F154" i="53"/>
  <c r="H154" i="53" s="1"/>
  <c r="M154" i="53" s="1"/>
  <c r="I139" i="45"/>
  <c r="R139" i="45" s="1"/>
  <c r="F134" i="53"/>
  <c r="H134" i="53" s="1"/>
  <c r="M134" i="53" s="1"/>
  <c r="I119" i="45"/>
  <c r="F114" i="53"/>
  <c r="H114" i="53" s="1"/>
  <c r="M114" i="53" s="1"/>
  <c r="I99" i="45"/>
  <c r="F94" i="53"/>
  <c r="H94" i="53" s="1"/>
  <c r="M94" i="53" s="1"/>
  <c r="I79" i="45"/>
  <c r="F74" i="53"/>
  <c r="H74" i="53" s="1"/>
  <c r="M74" i="53" s="1"/>
  <c r="I59" i="45"/>
  <c r="R59" i="45" s="1"/>
  <c r="F54" i="53"/>
  <c r="H54" i="53" s="1"/>
  <c r="M54" i="53" s="1"/>
  <c r="I39" i="45"/>
  <c r="F34" i="53"/>
  <c r="H34" i="53" s="1"/>
  <c r="M34" i="53" s="1"/>
  <c r="I19" i="45"/>
  <c r="F14" i="53"/>
  <c r="H14" i="53" s="1"/>
  <c r="M14" i="53" s="1"/>
  <c r="I312" i="45"/>
  <c r="R312" i="45" s="1"/>
  <c r="F307" i="53"/>
  <c r="H307" i="53" s="1"/>
  <c r="M307" i="53" s="1"/>
  <c r="I310" i="45"/>
  <c r="F305" i="53"/>
  <c r="H305" i="53" s="1"/>
  <c r="M305" i="53" s="1"/>
  <c r="I105" i="45"/>
  <c r="F100" i="53"/>
  <c r="H100" i="53" s="1"/>
  <c r="M100" i="53" s="1"/>
  <c r="I141" i="45"/>
  <c r="F136" i="53"/>
  <c r="H136" i="53" s="1"/>
  <c r="M136" i="53" s="1"/>
  <c r="I339" i="45"/>
  <c r="F334" i="53"/>
  <c r="H334" i="53" s="1"/>
  <c r="M334" i="53" s="1"/>
  <c r="I319" i="45"/>
  <c r="F314" i="53"/>
  <c r="H314" i="53" s="1"/>
  <c r="M314" i="53" s="1"/>
  <c r="I299" i="45"/>
  <c r="Q299" i="45" s="1"/>
  <c r="F294" i="53"/>
  <c r="H294" i="53" s="1"/>
  <c r="M294" i="53" s="1"/>
  <c r="I279" i="45"/>
  <c r="F274" i="53"/>
  <c r="H274" i="53" s="1"/>
  <c r="M274" i="53" s="1"/>
  <c r="I258" i="45"/>
  <c r="F253" i="53"/>
  <c r="H253" i="53" s="1"/>
  <c r="M253" i="53" s="1"/>
  <c r="I238" i="45"/>
  <c r="F233" i="53"/>
  <c r="H233" i="53" s="1"/>
  <c r="M233" i="53" s="1"/>
  <c r="I218" i="45"/>
  <c r="F213" i="53"/>
  <c r="H213" i="53" s="1"/>
  <c r="M213" i="53" s="1"/>
  <c r="I198" i="45"/>
  <c r="F193" i="53"/>
  <c r="H193" i="53" s="1"/>
  <c r="M193" i="53" s="1"/>
  <c r="I178" i="45"/>
  <c r="F173" i="53"/>
  <c r="H173" i="53" s="1"/>
  <c r="M173" i="53" s="1"/>
  <c r="I158" i="45"/>
  <c r="F153" i="53"/>
  <c r="H153" i="53" s="1"/>
  <c r="M153" i="53" s="1"/>
  <c r="I138" i="45"/>
  <c r="F133" i="53"/>
  <c r="H133" i="53" s="1"/>
  <c r="M133" i="53" s="1"/>
  <c r="I118" i="45"/>
  <c r="F113" i="53"/>
  <c r="H113" i="53" s="1"/>
  <c r="M113" i="53" s="1"/>
  <c r="I98" i="45"/>
  <c r="Q98" i="45" s="1"/>
  <c r="F93" i="53"/>
  <c r="H93" i="53" s="1"/>
  <c r="M93" i="53" s="1"/>
  <c r="I78" i="45"/>
  <c r="F73" i="53"/>
  <c r="H73" i="53" s="1"/>
  <c r="M73" i="53" s="1"/>
  <c r="I58" i="45"/>
  <c r="F53" i="53"/>
  <c r="H53" i="53" s="1"/>
  <c r="M53" i="53" s="1"/>
  <c r="I38" i="45"/>
  <c r="F33" i="53"/>
  <c r="H33" i="53" s="1"/>
  <c r="M33" i="53" s="1"/>
  <c r="I18" i="45"/>
  <c r="F13" i="53"/>
  <c r="H13" i="53" s="1"/>
  <c r="M13" i="53" s="1"/>
  <c r="I349" i="45"/>
  <c r="F344" i="53"/>
  <c r="H344" i="53" s="1"/>
  <c r="M344" i="53" s="1"/>
  <c r="I308" i="45"/>
  <c r="F303" i="53"/>
  <c r="H303" i="53" s="1"/>
  <c r="M303" i="53" s="1"/>
  <c r="I107" i="45"/>
  <c r="F102" i="53"/>
  <c r="H102" i="53" s="1"/>
  <c r="M102" i="53" s="1"/>
  <c r="I201" i="45"/>
  <c r="F196" i="53"/>
  <c r="H196" i="53" s="1"/>
  <c r="M196" i="53" s="1"/>
  <c r="I301" i="45"/>
  <c r="F296" i="53"/>
  <c r="H296" i="53" s="1"/>
  <c r="M296" i="53" s="1"/>
  <c r="I338" i="45"/>
  <c r="F333" i="53"/>
  <c r="H333" i="53" s="1"/>
  <c r="M333" i="53" s="1"/>
  <c r="I318" i="45"/>
  <c r="R318" i="45" s="1"/>
  <c r="F313" i="53"/>
  <c r="H313" i="53" s="1"/>
  <c r="M313" i="53" s="1"/>
  <c r="I298" i="45"/>
  <c r="Q298" i="45" s="1"/>
  <c r="F293" i="53"/>
  <c r="H293" i="53" s="1"/>
  <c r="M293" i="53" s="1"/>
  <c r="I278" i="45"/>
  <c r="F273" i="53"/>
  <c r="H273" i="53" s="1"/>
  <c r="M273" i="53" s="1"/>
  <c r="I257" i="45"/>
  <c r="Q257" i="45" s="1"/>
  <c r="F252" i="53"/>
  <c r="H252" i="53" s="1"/>
  <c r="M252" i="53" s="1"/>
  <c r="I237" i="45"/>
  <c r="Q237" i="45" s="1"/>
  <c r="F232" i="53"/>
  <c r="H232" i="53" s="1"/>
  <c r="M232" i="53" s="1"/>
  <c r="I217" i="45"/>
  <c r="Q217" i="45" s="1"/>
  <c r="F212" i="53"/>
  <c r="H212" i="53" s="1"/>
  <c r="M212" i="53" s="1"/>
  <c r="I197" i="45"/>
  <c r="F192" i="53"/>
  <c r="H192" i="53" s="1"/>
  <c r="M192" i="53" s="1"/>
  <c r="I177" i="45"/>
  <c r="Q177" i="45" s="1"/>
  <c r="F172" i="53"/>
  <c r="H172" i="53" s="1"/>
  <c r="M172" i="53" s="1"/>
  <c r="I157" i="45"/>
  <c r="V157" i="45" s="1"/>
  <c r="F152" i="53"/>
  <c r="H152" i="53" s="1"/>
  <c r="M152" i="53" s="1"/>
  <c r="I137" i="45"/>
  <c r="F132" i="53"/>
  <c r="H132" i="53" s="1"/>
  <c r="M132" i="53" s="1"/>
  <c r="I117" i="45"/>
  <c r="F112" i="53"/>
  <c r="H112" i="53" s="1"/>
  <c r="M112" i="53" s="1"/>
  <c r="I97" i="45"/>
  <c r="F92" i="53"/>
  <c r="H92" i="53" s="1"/>
  <c r="M92" i="53" s="1"/>
  <c r="I57" i="45"/>
  <c r="F52" i="53"/>
  <c r="H52" i="53" s="1"/>
  <c r="M52" i="53" s="1"/>
  <c r="I37" i="45"/>
  <c r="F32" i="53"/>
  <c r="H32" i="53" s="1"/>
  <c r="M32" i="53" s="1"/>
  <c r="I17" i="45"/>
  <c r="F12" i="53"/>
  <c r="H12" i="53" s="1"/>
  <c r="M12" i="53" s="1"/>
  <c r="I332" i="45"/>
  <c r="R332" i="45" s="1"/>
  <c r="F327" i="53"/>
  <c r="H327" i="53" s="1"/>
  <c r="M327" i="53" s="1"/>
  <c r="I111" i="45"/>
  <c r="F106" i="53"/>
  <c r="H106" i="53" s="1"/>
  <c r="M106" i="53" s="1"/>
  <c r="I190" i="45"/>
  <c r="F185" i="53"/>
  <c r="H185" i="53" s="1"/>
  <c r="M185" i="53" s="1"/>
  <c r="I70" i="45"/>
  <c r="F65" i="53"/>
  <c r="H65" i="53" s="1"/>
  <c r="M65" i="53" s="1"/>
  <c r="I129" i="45"/>
  <c r="R129" i="45" s="1"/>
  <c r="F124" i="53"/>
  <c r="H124" i="53" s="1"/>
  <c r="M124" i="53" s="1"/>
  <c r="I289" i="45"/>
  <c r="F284" i="53"/>
  <c r="H284" i="53" s="1"/>
  <c r="M284" i="53" s="1"/>
  <c r="I148" i="45"/>
  <c r="F143" i="53"/>
  <c r="H143" i="53" s="1"/>
  <c r="M143" i="53" s="1"/>
  <c r="I288" i="45"/>
  <c r="F283" i="53"/>
  <c r="H283" i="53" s="1"/>
  <c r="M283" i="53" s="1"/>
  <c r="I87" i="45"/>
  <c r="F82" i="53"/>
  <c r="H82" i="53" s="1"/>
  <c r="M82" i="53" s="1"/>
  <c r="I166" i="45"/>
  <c r="F161" i="53"/>
  <c r="H161" i="53" s="1"/>
  <c r="M161" i="53" s="1"/>
  <c r="I165" i="45"/>
  <c r="F160" i="53"/>
  <c r="H160" i="53" s="1"/>
  <c r="M160" i="53" s="1"/>
  <c r="I262" i="45"/>
  <c r="F257" i="53"/>
  <c r="H257" i="53" s="1"/>
  <c r="M257" i="53" s="1"/>
  <c r="I61" i="45"/>
  <c r="F56" i="53"/>
  <c r="H56" i="53" s="1"/>
  <c r="M56" i="53" s="1"/>
  <c r="I321" i="45"/>
  <c r="F316" i="53"/>
  <c r="H316" i="53" s="1"/>
  <c r="M316" i="53" s="1"/>
  <c r="I340" i="45"/>
  <c r="Q340" i="45" s="1"/>
  <c r="F335" i="53"/>
  <c r="H335" i="53" s="1"/>
  <c r="M335" i="53" s="1"/>
  <c r="I337" i="45"/>
  <c r="F332" i="53"/>
  <c r="H332" i="53" s="1"/>
  <c r="M332" i="53" s="1"/>
  <c r="I317" i="45"/>
  <c r="F312" i="53"/>
  <c r="H312" i="53" s="1"/>
  <c r="M312" i="53" s="1"/>
  <c r="I297" i="45"/>
  <c r="F292" i="53"/>
  <c r="H292" i="53" s="1"/>
  <c r="M292" i="53" s="1"/>
  <c r="I277" i="45"/>
  <c r="F272" i="53"/>
  <c r="H272" i="53" s="1"/>
  <c r="M272" i="53" s="1"/>
  <c r="I256" i="45"/>
  <c r="F251" i="53"/>
  <c r="H251" i="53" s="1"/>
  <c r="M251" i="53" s="1"/>
  <c r="I236" i="45"/>
  <c r="F231" i="53"/>
  <c r="H231" i="53" s="1"/>
  <c r="M231" i="53" s="1"/>
  <c r="I216" i="45"/>
  <c r="F211" i="53"/>
  <c r="H211" i="53" s="1"/>
  <c r="M211" i="53" s="1"/>
  <c r="I196" i="45"/>
  <c r="F191" i="53"/>
  <c r="H191" i="53" s="1"/>
  <c r="M191" i="53" s="1"/>
  <c r="I176" i="45"/>
  <c r="F171" i="53"/>
  <c r="H171" i="53" s="1"/>
  <c r="M171" i="53" s="1"/>
  <c r="I156" i="45"/>
  <c r="F151" i="53"/>
  <c r="H151" i="53" s="1"/>
  <c r="M151" i="53" s="1"/>
  <c r="I116" i="45"/>
  <c r="F111" i="53"/>
  <c r="H111" i="53" s="1"/>
  <c r="M111" i="53" s="1"/>
  <c r="I96" i="45"/>
  <c r="F91" i="53"/>
  <c r="H91" i="53" s="1"/>
  <c r="M91" i="53" s="1"/>
  <c r="I76" i="45"/>
  <c r="F71" i="53"/>
  <c r="H71" i="53" s="1"/>
  <c r="M71" i="53" s="1"/>
  <c r="I56" i="45"/>
  <c r="F51" i="53"/>
  <c r="H51" i="53" s="1"/>
  <c r="M51" i="53" s="1"/>
  <c r="I36" i="45"/>
  <c r="R36" i="45" s="1"/>
  <c r="F31" i="53"/>
  <c r="H31" i="53" s="1"/>
  <c r="M31" i="53" s="1"/>
  <c r="I16" i="45"/>
  <c r="F11" i="53"/>
  <c r="H11" i="53" s="1"/>
  <c r="M11" i="53" s="1"/>
  <c r="I191" i="45"/>
  <c r="F186" i="53"/>
  <c r="H186" i="53" s="1"/>
  <c r="M186" i="53" s="1"/>
  <c r="I51" i="45"/>
  <c r="Q51" i="45" s="1"/>
  <c r="F46" i="53"/>
  <c r="H46" i="53" s="1"/>
  <c r="M46" i="53" s="1"/>
  <c r="I331" i="45"/>
  <c r="F326" i="53"/>
  <c r="H326" i="53" s="1"/>
  <c r="M326" i="53" s="1"/>
  <c r="I110" i="45"/>
  <c r="F105" i="53"/>
  <c r="H105" i="53" s="1"/>
  <c r="M105" i="53" s="1"/>
  <c r="I229" i="45"/>
  <c r="R229" i="45" s="1"/>
  <c r="F224" i="53"/>
  <c r="H224" i="53" s="1"/>
  <c r="M224" i="53" s="1"/>
  <c r="I69" i="45"/>
  <c r="F64" i="53"/>
  <c r="H64" i="53" s="1"/>
  <c r="M64" i="53" s="1"/>
  <c r="I269" i="45"/>
  <c r="F264" i="53"/>
  <c r="H264" i="53" s="1"/>
  <c r="M264" i="53" s="1"/>
  <c r="I88" i="45"/>
  <c r="F83" i="53"/>
  <c r="H83" i="53" s="1"/>
  <c r="M83" i="53" s="1"/>
  <c r="I187" i="45"/>
  <c r="F182" i="53"/>
  <c r="H182" i="53" s="1"/>
  <c r="M182" i="53" s="1"/>
  <c r="I27" i="45"/>
  <c r="F22" i="53"/>
  <c r="H22" i="53" s="1"/>
  <c r="M22" i="53" s="1"/>
  <c r="I267" i="45"/>
  <c r="F262" i="53"/>
  <c r="H262" i="53" s="1"/>
  <c r="M262" i="53" s="1"/>
  <c r="I306" i="45"/>
  <c r="F301" i="53"/>
  <c r="H301" i="53" s="1"/>
  <c r="M301" i="53" s="1"/>
  <c r="I205" i="45"/>
  <c r="F200" i="53"/>
  <c r="H200" i="53" s="1"/>
  <c r="M200" i="53" s="1"/>
  <c r="I221" i="45"/>
  <c r="F216" i="53"/>
  <c r="H216" i="53" s="1"/>
  <c r="M216" i="53" s="1"/>
  <c r="I21" i="45"/>
  <c r="F16" i="53"/>
  <c r="H16" i="53" s="1"/>
  <c r="M16" i="53" s="1"/>
  <c r="I320" i="45"/>
  <c r="F315" i="53"/>
  <c r="H315" i="53" s="1"/>
  <c r="M315" i="53" s="1"/>
  <c r="I336" i="45"/>
  <c r="F331" i="53"/>
  <c r="H331" i="53" s="1"/>
  <c r="M331" i="53" s="1"/>
  <c r="I316" i="45"/>
  <c r="R316" i="45" s="1"/>
  <c r="F311" i="53"/>
  <c r="H311" i="53" s="1"/>
  <c r="M311" i="53" s="1"/>
  <c r="I296" i="45"/>
  <c r="F291" i="53"/>
  <c r="H291" i="53" s="1"/>
  <c r="M291" i="53" s="1"/>
  <c r="I276" i="45"/>
  <c r="F271" i="53"/>
  <c r="H271" i="53" s="1"/>
  <c r="M271" i="53" s="1"/>
  <c r="I255" i="45"/>
  <c r="F250" i="53"/>
  <c r="H250" i="53" s="1"/>
  <c r="M250" i="53" s="1"/>
  <c r="I235" i="45"/>
  <c r="F230" i="53"/>
  <c r="H230" i="53" s="1"/>
  <c r="M230" i="53" s="1"/>
  <c r="I195" i="45"/>
  <c r="F190" i="53"/>
  <c r="H190" i="53" s="1"/>
  <c r="M190" i="53" s="1"/>
  <c r="I175" i="45"/>
  <c r="F170" i="53"/>
  <c r="H170" i="53" s="1"/>
  <c r="M170" i="53" s="1"/>
  <c r="I155" i="45"/>
  <c r="F150" i="53"/>
  <c r="H150" i="53" s="1"/>
  <c r="M150" i="53" s="1"/>
  <c r="I135" i="45"/>
  <c r="F130" i="53"/>
  <c r="H130" i="53" s="1"/>
  <c r="M130" i="53" s="1"/>
  <c r="I115" i="45"/>
  <c r="F110" i="53"/>
  <c r="H110" i="53" s="1"/>
  <c r="M110" i="53" s="1"/>
  <c r="I95" i="45"/>
  <c r="F90" i="53"/>
  <c r="H90" i="53" s="1"/>
  <c r="M90" i="53" s="1"/>
  <c r="I75" i="45"/>
  <c r="Q75" i="45" s="1"/>
  <c r="F70" i="53"/>
  <c r="H70" i="53" s="1"/>
  <c r="M70" i="53" s="1"/>
  <c r="I55" i="45"/>
  <c r="F50" i="53"/>
  <c r="H50" i="53" s="1"/>
  <c r="M50" i="53" s="1"/>
  <c r="I35" i="45"/>
  <c r="F30" i="53"/>
  <c r="H30" i="53" s="1"/>
  <c r="M30" i="53" s="1"/>
  <c r="I15" i="45"/>
  <c r="Q15" i="45" s="1"/>
  <c r="F10" i="53"/>
  <c r="H10" i="53" s="1"/>
  <c r="M10" i="53" s="1"/>
  <c r="I231" i="45"/>
  <c r="F226" i="53"/>
  <c r="H226" i="53" s="1"/>
  <c r="M226" i="53" s="1"/>
  <c r="I151" i="45"/>
  <c r="F146" i="53"/>
  <c r="H146" i="53" s="1"/>
  <c r="M146" i="53" s="1"/>
  <c r="I291" i="45"/>
  <c r="F286" i="53"/>
  <c r="H286" i="53" s="1"/>
  <c r="M286" i="53" s="1"/>
  <c r="I170" i="45"/>
  <c r="F165" i="53"/>
  <c r="H165" i="53" s="1"/>
  <c r="M165" i="53" s="1"/>
  <c r="I50" i="45"/>
  <c r="R50" i="45" s="1"/>
  <c r="F45" i="53"/>
  <c r="H45" i="53" s="1"/>
  <c r="M45" i="53" s="1"/>
  <c r="I290" i="45"/>
  <c r="F285" i="53"/>
  <c r="H285" i="53" s="1"/>
  <c r="M285" i="53" s="1"/>
  <c r="I109" i="45"/>
  <c r="F104" i="53"/>
  <c r="H104" i="53" s="1"/>
  <c r="M104" i="53" s="1"/>
  <c r="I208" i="45"/>
  <c r="R208" i="45" s="1"/>
  <c r="F203" i="53"/>
  <c r="H203" i="53" s="1"/>
  <c r="M203" i="53" s="1"/>
  <c r="I68" i="45"/>
  <c r="F63" i="53"/>
  <c r="H63" i="53" s="1"/>
  <c r="M63" i="53" s="1"/>
  <c r="I227" i="45"/>
  <c r="F222" i="53"/>
  <c r="H222" i="53" s="1"/>
  <c r="M222" i="53" s="1"/>
  <c r="I206" i="45"/>
  <c r="F201" i="53"/>
  <c r="H201" i="53" s="1"/>
  <c r="M201" i="53" s="1"/>
  <c r="I46" i="45"/>
  <c r="F41" i="53"/>
  <c r="H41" i="53" s="1"/>
  <c r="M41" i="53" s="1"/>
  <c r="I326" i="45"/>
  <c r="F321" i="53"/>
  <c r="H321" i="53" s="1"/>
  <c r="M321" i="53" s="1"/>
  <c r="I125" i="45"/>
  <c r="F120" i="53"/>
  <c r="H120" i="53" s="1"/>
  <c r="M120" i="53" s="1"/>
  <c r="I282" i="45"/>
  <c r="F277" i="53"/>
  <c r="H277" i="53" s="1"/>
  <c r="M277" i="53" s="1"/>
  <c r="I81" i="45"/>
  <c r="F76" i="53"/>
  <c r="H76" i="53" s="1"/>
  <c r="M76" i="53" s="1"/>
  <c r="I240" i="45"/>
  <c r="F235" i="53"/>
  <c r="H235" i="53" s="1"/>
  <c r="M235" i="53" s="1"/>
  <c r="I261" i="45"/>
  <c r="F256" i="53"/>
  <c r="H256" i="53" s="1"/>
  <c r="M256" i="53" s="1"/>
  <c r="I315" i="45"/>
  <c r="F310" i="53"/>
  <c r="H310" i="53" s="1"/>
  <c r="M310" i="53" s="1"/>
  <c r="I295" i="45"/>
  <c r="F290" i="53"/>
  <c r="H290" i="53" s="1"/>
  <c r="M290" i="53" s="1"/>
  <c r="I275" i="45"/>
  <c r="F270" i="53"/>
  <c r="H270" i="53" s="1"/>
  <c r="M270" i="53" s="1"/>
  <c r="I254" i="45"/>
  <c r="F249" i="53"/>
  <c r="H249" i="53" s="1"/>
  <c r="M249" i="53" s="1"/>
  <c r="I234" i="45"/>
  <c r="F229" i="53"/>
  <c r="H229" i="53" s="1"/>
  <c r="M229" i="53" s="1"/>
  <c r="I214" i="45"/>
  <c r="F209" i="53"/>
  <c r="H209" i="53" s="1"/>
  <c r="M209" i="53" s="1"/>
  <c r="I194" i="45"/>
  <c r="F189" i="53"/>
  <c r="H189" i="53" s="1"/>
  <c r="M189" i="53" s="1"/>
  <c r="I174" i="45"/>
  <c r="F169" i="53"/>
  <c r="H169" i="53" s="1"/>
  <c r="M169" i="53" s="1"/>
  <c r="I154" i="45"/>
  <c r="F149" i="53"/>
  <c r="H149" i="53" s="1"/>
  <c r="M149" i="53" s="1"/>
  <c r="I134" i="45"/>
  <c r="Q134" i="45" s="1"/>
  <c r="F129" i="53"/>
  <c r="H129" i="53" s="1"/>
  <c r="M129" i="53" s="1"/>
  <c r="I114" i="45"/>
  <c r="F109" i="53"/>
  <c r="H109" i="53" s="1"/>
  <c r="M109" i="53" s="1"/>
  <c r="I94" i="45"/>
  <c r="F89" i="53"/>
  <c r="H89" i="53" s="1"/>
  <c r="M89" i="53" s="1"/>
  <c r="I74" i="45"/>
  <c r="F69" i="53"/>
  <c r="H69" i="53" s="1"/>
  <c r="M69" i="53" s="1"/>
  <c r="I54" i="45"/>
  <c r="F49" i="53"/>
  <c r="H49" i="53" s="1"/>
  <c r="M49" i="53" s="1"/>
  <c r="I34" i="45"/>
  <c r="F29" i="53"/>
  <c r="H29" i="53" s="1"/>
  <c r="M29" i="53" s="1"/>
  <c r="I14" i="45"/>
  <c r="F9" i="53"/>
  <c r="H9" i="53" s="1"/>
  <c r="M9" i="53" s="1"/>
  <c r="I171" i="45"/>
  <c r="F166" i="53"/>
  <c r="H166" i="53" s="1"/>
  <c r="M166" i="53" s="1"/>
  <c r="I11" i="45"/>
  <c r="F6" i="53"/>
  <c r="H6" i="53" s="1"/>
  <c r="I230" i="45"/>
  <c r="F225" i="53"/>
  <c r="H225" i="53" s="1"/>
  <c r="M225" i="53" s="1"/>
  <c r="I30" i="45"/>
  <c r="F25" i="53"/>
  <c r="H25" i="53" s="1"/>
  <c r="M25" i="53" s="1"/>
  <c r="I330" i="45"/>
  <c r="F325" i="53"/>
  <c r="H325" i="53" s="1"/>
  <c r="M325" i="53" s="1"/>
  <c r="I209" i="45"/>
  <c r="F204" i="53"/>
  <c r="H204" i="53" s="1"/>
  <c r="M204" i="53" s="1"/>
  <c r="I89" i="45"/>
  <c r="F84" i="53"/>
  <c r="H84" i="53" s="1"/>
  <c r="M84" i="53" s="1"/>
  <c r="I168" i="45"/>
  <c r="F163" i="53"/>
  <c r="H163" i="53" s="1"/>
  <c r="M163" i="53" s="1"/>
  <c r="I207" i="45"/>
  <c r="F202" i="53"/>
  <c r="H202" i="53" s="1"/>
  <c r="M202" i="53" s="1"/>
  <c r="I307" i="45"/>
  <c r="F302" i="53"/>
  <c r="H302" i="53" s="1"/>
  <c r="M302" i="53" s="1"/>
  <c r="I86" i="45"/>
  <c r="F81" i="53"/>
  <c r="H81" i="53" s="1"/>
  <c r="M81" i="53" s="1"/>
  <c r="I145" i="45"/>
  <c r="F140" i="53"/>
  <c r="H140" i="53" s="1"/>
  <c r="M140" i="53" s="1"/>
  <c r="I121" i="45"/>
  <c r="F116" i="53"/>
  <c r="H116" i="53" s="1"/>
  <c r="M116" i="53" s="1"/>
  <c r="I200" i="45"/>
  <c r="F195" i="53"/>
  <c r="H195" i="53" s="1"/>
  <c r="M195" i="53" s="1"/>
  <c r="I335" i="45"/>
  <c r="F330" i="53"/>
  <c r="H330" i="53" s="1"/>
  <c r="M330" i="53" s="1"/>
  <c r="I354" i="45"/>
  <c r="F349" i="53"/>
  <c r="H349" i="53" s="1"/>
  <c r="M349" i="53" s="1"/>
  <c r="I334" i="45"/>
  <c r="F329" i="53"/>
  <c r="H329" i="53" s="1"/>
  <c r="M329" i="53" s="1"/>
  <c r="I314" i="45"/>
  <c r="F309" i="53"/>
  <c r="H309" i="53" s="1"/>
  <c r="M309" i="53" s="1"/>
  <c r="I294" i="45"/>
  <c r="F289" i="53"/>
  <c r="H289" i="53" s="1"/>
  <c r="M289" i="53" s="1"/>
  <c r="I274" i="45"/>
  <c r="F269" i="53"/>
  <c r="H269" i="53" s="1"/>
  <c r="M269" i="53" s="1"/>
  <c r="I253" i="45"/>
  <c r="R253" i="45" s="1"/>
  <c r="F248" i="53"/>
  <c r="H248" i="53" s="1"/>
  <c r="M248" i="53" s="1"/>
  <c r="I233" i="45"/>
  <c r="F228" i="53"/>
  <c r="H228" i="53" s="1"/>
  <c r="M228" i="53" s="1"/>
  <c r="I213" i="45"/>
  <c r="F208" i="53"/>
  <c r="H208" i="53" s="1"/>
  <c r="M208" i="53" s="1"/>
  <c r="I193" i="45"/>
  <c r="F188" i="53"/>
  <c r="H188" i="53" s="1"/>
  <c r="M188" i="53" s="1"/>
  <c r="I173" i="45"/>
  <c r="F168" i="53"/>
  <c r="H168" i="53" s="1"/>
  <c r="M168" i="53" s="1"/>
  <c r="I153" i="45"/>
  <c r="F148" i="53"/>
  <c r="H148" i="53" s="1"/>
  <c r="M148" i="53" s="1"/>
  <c r="I133" i="45"/>
  <c r="F128" i="53"/>
  <c r="H128" i="53" s="1"/>
  <c r="M128" i="53" s="1"/>
  <c r="I113" i="45"/>
  <c r="R113" i="45" s="1"/>
  <c r="F108" i="53"/>
  <c r="H108" i="53" s="1"/>
  <c r="M108" i="53" s="1"/>
  <c r="I93" i="45"/>
  <c r="F88" i="53"/>
  <c r="H88" i="53" s="1"/>
  <c r="M88" i="53" s="1"/>
  <c r="I73" i="45"/>
  <c r="F68" i="53"/>
  <c r="H68" i="53" s="1"/>
  <c r="M68" i="53" s="1"/>
  <c r="I53" i="45"/>
  <c r="F48" i="53"/>
  <c r="H48" i="53" s="1"/>
  <c r="M48" i="53" s="1"/>
  <c r="I33" i="45"/>
  <c r="F28" i="53"/>
  <c r="H28" i="53" s="1"/>
  <c r="M28" i="53" s="1"/>
  <c r="I13" i="45"/>
  <c r="F8" i="53"/>
  <c r="H8" i="53" s="1"/>
  <c r="M8" i="53" s="1"/>
  <c r="I251" i="45"/>
  <c r="F246" i="53"/>
  <c r="H246" i="53" s="1"/>
  <c r="M246" i="53" s="1"/>
  <c r="I131" i="45"/>
  <c r="R131" i="45" s="1"/>
  <c r="F126" i="53"/>
  <c r="H126" i="53" s="1"/>
  <c r="M126" i="53" s="1"/>
  <c r="I351" i="45"/>
  <c r="F346" i="53"/>
  <c r="H346" i="53" s="1"/>
  <c r="M346" i="53" s="1"/>
  <c r="I150" i="45"/>
  <c r="F145" i="53"/>
  <c r="H145" i="53" s="1"/>
  <c r="M145" i="53" s="1"/>
  <c r="I270" i="45"/>
  <c r="F265" i="53"/>
  <c r="H265" i="53" s="1"/>
  <c r="M265" i="53" s="1"/>
  <c r="I149" i="45"/>
  <c r="R149" i="45" s="1"/>
  <c r="F144" i="53"/>
  <c r="H144" i="53" s="1"/>
  <c r="M144" i="53" s="1"/>
  <c r="I248" i="45"/>
  <c r="R248" i="45" s="1"/>
  <c r="F243" i="53"/>
  <c r="H243" i="53" s="1"/>
  <c r="M243" i="53" s="1"/>
  <c r="I28" i="45"/>
  <c r="Q28" i="45" s="1"/>
  <c r="F23" i="53"/>
  <c r="H23" i="53" s="1"/>
  <c r="M23" i="53" s="1"/>
  <c r="I247" i="45"/>
  <c r="F242" i="53"/>
  <c r="H242" i="53" s="1"/>
  <c r="M242" i="53" s="1"/>
  <c r="I147" i="45"/>
  <c r="F142" i="53"/>
  <c r="H142" i="53" s="1"/>
  <c r="M142" i="53" s="1"/>
  <c r="I226" i="45"/>
  <c r="R226" i="45" s="1"/>
  <c r="F221" i="53"/>
  <c r="H221" i="53" s="1"/>
  <c r="M221" i="53" s="1"/>
  <c r="I346" i="45"/>
  <c r="Q346" i="45" s="1"/>
  <c r="F341" i="53"/>
  <c r="H341" i="53" s="1"/>
  <c r="M341" i="53" s="1"/>
  <c r="I225" i="45"/>
  <c r="F220" i="53"/>
  <c r="H220" i="53" s="1"/>
  <c r="M220" i="53" s="1"/>
  <c r="I161" i="45"/>
  <c r="R161" i="45" s="1"/>
  <c r="F156" i="53"/>
  <c r="H156" i="53" s="1"/>
  <c r="M156" i="53" s="1"/>
  <c r="I220" i="45"/>
  <c r="F215" i="53"/>
  <c r="H215" i="53" s="1"/>
  <c r="M215" i="53" s="1"/>
  <c r="I353" i="45"/>
  <c r="F348" i="53"/>
  <c r="H348" i="53" s="1"/>
  <c r="M348" i="53" s="1"/>
  <c r="I333" i="45"/>
  <c r="F328" i="53"/>
  <c r="H328" i="53" s="1"/>
  <c r="M328" i="53" s="1"/>
  <c r="I313" i="45"/>
  <c r="F308" i="53"/>
  <c r="H308" i="53" s="1"/>
  <c r="M308" i="53" s="1"/>
  <c r="I293" i="45"/>
  <c r="F288" i="53"/>
  <c r="H288" i="53" s="1"/>
  <c r="M288" i="53" s="1"/>
  <c r="I273" i="45"/>
  <c r="F268" i="53"/>
  <c r="H268" i="53" s="1"/>
  <c r="M268" i="53" s="1"/>
  <c r="I252" i="45"/>
  <c r="F247" i="53"/>
  <c r="H247" i="53" s="1"/>
  <c r="M247" i="53" s="1"/>
  <c r="I232" i="45"/>
  <c r="F227" i="53"/>
  <c r="H227" i="53" s="1"/>
  <c r="M227" i="53" s="1"/>
  <c r="I212" i="45"/>
  <c r="F207" i="53"/>
  <c r="H207" i="53" s="1"/>
  <c r="M207" i="53" s="1"/>
  <c r="I192" i="45"/>
  <c r="F187" i="53"/>
  <c r="H187" i="53" s="1"/>
  <c r="M187" i="53" s="1"/>
  <c r="I172" i="45"/>
  <c r="F167" i="53"/>
  <c r="H167" i="53" s="1"/>
  <c r="M167" i="53" s="1"/>
  <c r="I152" i="45"/>
  <c r="F147" i="53"/>
  <c r="H147" i="53" s="1"/>
  <c r="M147" i="53" s="1"/>
  <c r="I132" i="45"/>
  <c r="F127" i="53"/>
  <c r="H127" i="53" s="1"/>
  <c r="M127" i="53" s="1"/>
  <c r="I112" i="45"/>
  <c r="F107" i="53"/>
  <c r="H107" i="53" s="1"/>
  <c r="M107" i="53" s="1"/>
  <c r="I92" i="45"/>
  <c r="F87" i="53"/>
  <c r="H87" i="53" s="1"/>
  <c r="M87" i="53" s="1"/>
  <c r="I72" i="45"/>
  <c r="F67" i="53"/>
  <c r="H67" i="53" s="1"/>
  <c r="M67" i="53" s="1"/>
  <c r="I52" i="45"/>
  <c r="F47" i="53"/>
  <c r="H47" i="53" s="1"/>
  <c r="M47" i="53" s="1"/>
  <c r="I32" i="45"/>
  <c r="F27" i="53"/>
  <c r="H27" i="53" s="1"/>
  <c r="M27" i="53" s="1"/>
  <c r="I12" i="45"/>
  <c r="F7" i="53"/>
  <c r="H7" i="53" s="1"/>
  <c r="M7" i="53" s="1"/>
  <c r="M4" i="53"/>
  <c r="I322" i="45"/>
  <c r="I345" i="45"/>
  <c r="I63" i="45"/>
  <c r="R63" i="45" s="1"/>
  <c r="I47" i="45"/>
  <c r="R47" i="45" s="1"/>
  <c r="I302" i="45"/>
  <c r="I122" i="45"/>
  <c r="I77" i="45"/>
  <c r="I64" i="45"/>
  <c r="I29" i="45"/>
  <c r="I9" i="45"/>
  <c r="I41" i="45"/>
  <c r="I215" i="45"/>
  <c r="I286" i="45"/>
  <c r="I343" i="45"/>
  <c r="R343" i="45" s="1"/>
  <c r="I85" i="45"/>
  <c r="I136" i="45"/>
  <c r="V260" i="45"/>
  <c r="R260" i="45"/>
  <c r="S260" i="45" s="1"/>
  <c r="Q260" i="45"/>
  <c r="J337" i="46"/>
  <c r="K337" i="46" s="1"/>
  <c r="J334" i="46"/>
  <c r="K334" i="46" s="1"/>
  <c r="J352" i="46"/>
  <c r="K352" i="46" s="1"/>
  <c r="J349" i="46"/>
  <c r="K349" i="46" s="1"/>
  <c r="J321" i="46"/>
  <c r="K321" i="46" s="1"/>
  <c r="J318" i="46"/>
  <c r="K318" i="46" s="1"/>
  <c r="J292" i="46"/>
  <c r="K292" i="46" s="1"/>
  <c r="J280" i="46"/>
  <c r="K280" i="46" s="1"/>
  <c r="J277" i="46"/>
  <c r="K277" i="46" s="1"/>
  <c r="J267" i="46"/>
  <c r="K267" i="46" s="1"/>
  <c r="J217" i="46"/>
  <c r="K217" i="46" s="1"/>
  <c r="J198" i="46"/>
  <c r="K198" i="46" s="1"/>
  <c r="J195" i="46"/>
  <c r="K195" i="46" s="1"/>
  <c r="J183" i="46"/>
  <c r="K183" i="46" s="1"/>
  <c r="J129" i="46"/>
  <c r="K129" i="46" s="1"/>
  <c r="J82" i="46"/>
  <c r="K82" i="46" s="1"/>
  <c r="J60" i="46"/>
  <c r="K60" i="46" s="1"/>
  <c r="J57" i="46"/>
  <c r="K57" i="46" s="1"/>
  <c r="J28" i="46"/>
  <c r="K28" i="46" s="1"/>
  <c r="J286" i="46"/>
  <c r="K286" i="46" s="1"/>
  <c r="J283" i="46"/>
  <c r="K283" i="46" s="1"/>
  <c r="J327" i="46"/>
  <c r="K327" i="46" s="1"/>
  <c r="J324" i="46"/>
  <c r="K324" i="46" s="1"/>
  <c r="J305" i="46"/>
  <c r="K305" i="46" s="1"/>
  <c r="J295" i="46"/>
  <c r="K295" i="46" s="1"/>
  <c r="J254" i="46"/>
  <c r="K254" i="46" s="1"/>
  <c r="J223" i="46"/>
  <c r="K223" i="46" s="1"/>
  <c r="J207" i="46"/>
  <c r="K207" i="46" s="1"/>
  <c r="J204" i="46"/>
  <c r="K204" i="46" s="1"/>
  <c r="J189" i="46"/>
  <c r="K189" i="46" s="1"/>
  <c r="J173" i="46"/>
  <c r="K173" i="46" s="1"/>
  <c r="J157" i="46"/>
  <c r="K157" i="46" s="1"/>
  <c r="J154" i="46"/>
  <c r="K154" i="46" s="1"/>
  <c r="J145" i="46"/>
  <c r="K145" i="46" s="1"/>
  <c r="J132" i="46"/>
  <c r="K132" i="46" s="1"/>
  <c r="J125" i="46"/>
  <c r="K125" i="46" s="1"/>
  <c r="J119" i="46"/>
  <c r="K119" i="46" s="1"/>
  <c r="J106" i="46"/>
  <c r="K106" i="46" s="1"/>
  <c r="J100" i="46"/>
  <c r="K100" i="46" s="1"/>
  <c r="J94" i="46"/>
  <c r="K94" i="46" s="1"/>
  <c r="J91" i="46"/>
  <c r="K91" i="46" s="1"/>
  <c r="J88" i="46"/>
  <c r="K88" i="46" s="1"/>
  <c r="J72" i="46"/>
  <c r="K72" i="46" s="1"/>
  <c r="J63" i="46"/>
  <c r="K63" i="46" s="1"/>
  <c r="J336" i="46"/>
  <c r="K336" i="46" s="1"/>
  <c r="J333" i="46"/>
  <c r="K333" i="46" s="1"/>
  <c r="J330" i="46"/>
  <c r="K330" i="46" s="1"/>
  <c r="J298" i="46"/>
  <c r="K298" i="46" s="1"/>
  <c r="J289" i="46"/>
  <c r="K289" i="46" s="1"/>
  <c r="J270" i="46"/>
  <c r="K270" i="46" s="1"/>
  <c r="J260" i="46"/>
  <c r="K260" i="46" s="1"/>
  <c r="J176" i="46"/>
  <c r="K176" i="46" s="1"/>
  <c r="J160" i="46"/>
  <c r="K160" i="46" s="1"/>
  <c r="J339" i="46"/>
  <c r="K339" i="46" s="1"/>
  <c r="J308" i="46"/>
  <c r="K308" i="46" s="1"/>
  <c r="J257" i="46"/>
  <c r="K257" i="46" s="1"/>
  <c r="J247" i="46"/>
  <c r="K247" i="46" s="1"/>
  <c r="J232" i="46"/>
  <c r="K232" i="46" s="1"/>
  <c r="J213" i="46"/>
  <c r="K213" i="46" s="1"/>
  <c r="J163" i="46"/>
  <c r="K163" i="46" s="1"/>
  <c r="J138" i="46"/>
  <c r="K138" i="46" s="1"/>
  <c r="J112" i="46"/>
  <c r="K112" i="46" s="1"/>
  <c r="J97" i="46"/>
  <c r="K97" i="46" s="1"/>
  <c r="J69" i="46"/>
  <c r="K69" i="46" s="1"/>
  <c r="J40" i="46"/>
  <c r="K40" i="46" s="1"/>
  <c r="J37" i="46"/>
  <c r="K37" i="46" s="1"/>
  <c r="J34" i="46"/>
  <c r="K34" i="46" s="1"/>
  <c r="J24" i="46"/>
  <c r="K24" i="46" s="1"/>
  <c r="J21" i="46"/>
  <c r="K21" i="46" s="1"/>
  <c r="J345" i="46"/>
  <c r="K345" i="46" s="1"/>
  <c r="J342" i="46"/>
  <c r="K342" i="46" s="1"/>
  <c r="J311" i="46"/>
  <c r="K311" i="46" s="1"/>
  <c r="J301" i="46"/>
  <c r="K301" i="46" s="1"/>
  <c r="J273" i="46"/>
  <c r="K273" i="46" s="1"/>
  <c r="J263" i="46"/>
  <c r="K263" i="46" s="1"/>
  <c r="J229" i="46"/>
  <c r="K229" i="46" s="1"/>
  <c r="J354" i="46"/>
  <c r="K354" i="46" s="1"/>
  <c r="J326" i="46"/>
  <c r="K326" i="46" s="1"/>
  <c r="J323" i="46"/>
  <c r="K323" i="46" s="1"/>
  <c r="J332" i="46"/>
  <c r="K332" i="46" s="1"/>
  <c r="J307" i="46"/>
  <c r="K307" i="46" s="1"/>
  <c r="J297" i="46"/>
  <c r="K297" i="46" s="1"/>
  <c r="J294" i="46"/>
  <c r="K294" i="46" s="1"/>
  <c r="J288" i="46"/>
  <c r="K288" i="46" s="1"/>
  <c r="J269" i="46"/>
  <c r="K269" i="46" s="1"/>
  <c r="J203" i="46"/>
  <c r="K203" i="46" s="1"/>
  <c r="J175" i="46"/>
  <c r="K175" i="46" s="1"/>
  <c r="J159" i="46"/>
  <c r="K159" i="46" s="1"/>
  <c r="J156" i="46"/>
  <c r="K156" i="46" s="1"/>
  <c r="J150" i="46"/>
  <c r="K150" i="46" s="1"/>
  <c r="J147" i="46"/>
  <c r="K147" i="46" s="1"/>
  <c r="J134" i="46"/>
  <c r="K134" i="46" s="1"/>
  <c r="J124" i="46"/>
  <c r="K124" i="46" s="1"/>
  <c r="J105" i="46"/>
  <c r="K105" i="46" s="1"/>
  <c r="J99" i="46"/>
  <c r="K99" i="46" s="1"/>
  <c r="J90" i="46"/>
  <c r="K90" i="46" s="1"/>
  <c r="J71" i="46"/>
  <c r="K71" i="46" s="1"/>
  <c r="J65" i="46"/>
  <c r="K65" i="46" s="1"/>
  <c r="J39" i="46"/>
  <c r="K39" i="46" s="1"/>
  <c r="J33" i="46"/>
  <c r="K33" i="46" s="1"/>
  <c r="J14" i="46"/>
  <c r="K14" i="46" s="1"/>
  <c r="J338" i="46"/>
  <c r="K338" i="46" s="1"/>
  <c r="J335" i="46"/>
  <c r="K335" i="46" s="1"/>
  <c r="J329" i="46"/>
  <c r="K329" i="46" s="1"/>
  <c r="J272" i="46"/>
  <c r="K272" i="46" s="1"/>
  <c r="J259" i="46"/>
  <c r="K259" i="46" s="1"/>
  <c r="J256" i="46"/>
  <c r="K256" i="46" s="1"/>
  <c r="J331" i="46"/>
  <c r="K331" i="46" s="1"/>
  <c r="J328" i="46"/>
  <c r="K328" i="46" s="1"/>
  <c r="J322" i="46"/>
  <c r="K322" i="46" s="1"/>
  <c r="J314" i="46"/>
  <c r="K314" i="46" s="1"/>
  <c r="J282" i="46"/>
  <c r="K282" i="46" s="1"/>
  <c r="J271" i="46"/>
  <c r="K271" i="46" s="1"/>
  <c r="J255" i="46"/>
  <c r="K255" i="46" s="1"/>
  <c r="J248" i="46"/>
  <c r="K248" i="46" s="1"/>
  <c r="J234" i="46"/>
  <c r="K234" i="46" s="1"/>
  <c r="J199" i="46"/>
  <c r="K199" i="46" s="1"/>
  <c r="J192" i="46"/>
  <c r="K192" i="46" s="1"/>
  <c r="J153" i="46"/>
  <c r="K153" i="46" s="1"/>
  <c r="J133" i="46"/>
  <c r="K133" i="46" s="1"/>
  <c r="J80" i="46"/>
  <c r="K80" i="46" s="1"/>
  <c r="J77" i="46"/>
  <c r="K77" i="46" s="1"/>
  <c r="J228" i="46"/>
  <c r="K228" i="46" s="1"/>
  <c r="J169" i="46"/>
  <c r="K169" i="46" s="1"/>
  <c r="J200" i="46"/>
  <c r="K200" i="46" s="1"/>
  <c r="J148" i="46"/>
  <c r="K148" i="46" s="1"/>
  <c r="J78" i="46"/>
  <c r="K78" i="46" s="1"/>
  <c r="J293" i="46"/>
  <c r="K293" i="46" s="1"/>
  <c r="J244" i="46"/>
  <c r="K244" i="46" s="1"/>
  <c r="J220" i="46"/>
  <c r="K220" i="46" s="1"/>
  <c r="J182" i="46"/>
  <c r="K182" i="46" s="1"/>
  <c r="J171" i="46"/>
  <c r="K171" i="46" s="1"/>
  <c r="J164" i="46"/>
  <c r="K164" i="46" s="1"/>
  <c r="J98" i="46"/>
  <c r="K98" i="46" s="1"/>
  <c r="J55" i="46"/>
  <c r="K55" i="46" s="1"/>
  <c r="J48" i="46"/>
  <c r="K48" i="46" s="1"/>
  <c r="J44" i="46"/>
  <c r="K44" i="46" s="1"/>
  <c r="J36" i="46"/>
  <c r="K36" i="46" s="1"/>
  <c r="J32" i="46"/>
  <c r="K32" i="46" s="1"/>
  <c r="J187" i="46"/>
  <c r="K187" i="46" s="1"/>
  <c r="J15" i="46"/>
  <c r="K15" i="46" s="1"/>
  <c r="J96" i="46"/>
  <c r="K96" i="46" s="1"/>
  <c r="J26" i="46"/>
  <c r="K26" i="46" s="1"/>
  <c r="J343" i="46"/>
  <c r="K343" i="46" s="1"/>
  <c r="J251" i="46"/>
  <c r="K251" i="46" s="1"/>
  <c r="J202" i="46"/>
  <c r="K202" i="46" s="1"/>
  <c r="J178" i="46"/>
  <c r="K178" i="46" s="1"/>
  <c r="J140" i="46"/>
  <c r="K140" i="46" s="1"/>
  <c r="J122" i="46"/>
  <c r="K122" i="46" s="1"/>
  <c r="J115" i="46"/>
  <c r="K115" i="46" s="1"/>
  <c r="J101" i="46"/>
  <c r="K101" i="46" s="1"/>
  <c r="J73" i="46"/>
  <c r="K73" i="46" s="1"/>
  <c r="J66" i="46"/>
  <c r="K66" i="46" s="1"/>
  <c r="J17" i="46"/>
  <c r="K17" i="46" s="1"/>
  <c r="J351" i="46"/>
  <c r="K351" i="46" s="1"/>
  <c r="J347" i="46"/>
  <c r="K347" i="46" s="1"/>
  <c r="J278" i="46"/>
  <c r="K278" i="46" s="1"/>
  <c r="J266" i="46"/>
  <c r="K266" i="46" s="1"/>
  <c r="J262" i="46"/>
  <c r="K262" i="46" s="1"/>
  <c r="J230" i="46"/>
  <c r="K230" i="46" s="1"/>
  <c r="J226" i="46"/>
  <c r="K226" i="46" s="1"/>
  <c r="J216" i="46"/>
  <c r="K216" i="46" s="1"/>
  <c r="J209" i="46"/>
  <c r="K209" i="46" s="1"/>
  <c r="J143" i="46"/>
  <c r="K143" i="46" s="1"/>
  <c r="J136" i="46"/>
  <c r="K136" i="46" s="1"/>
  <c r="J108" i="46"/>
  <c r="K108" i="46" s="1"/>
  <c r="J87" i="46"/>
  <c r="K87" i="46" s="1"/>
  <c r="J13" i="46"/>
  <c r="K13" i="46" s="1"/>
  <c r="J110" i="46"/>
  <c r="K110" i="46" s="1"/>
  <c r="J89" i="46"/>
  <c r="K89" i="46" s="1"/>
  <c r="J325" i="46"/>
  <c r="K325" i="46" s="1"/>
  <c r="J309" i="46"/>
  <c r="K309" i="46" s="1"/>
  <c r="J237" i="46"/>
  <c r="K237" i="46" s="1"/>
  <c r="J212" i="46"/>
  <c r="K212" i="46" s="1"/>
  <c r="J205" i="46"/>
  <c r="K205" i="46" s="1"/>
  <c r="J174" i="46"/>
  <c r="K174" i="46" s="1"/>
  <c r="J167" i="46"/>
  <c r="K167" i="46" s="1"/>
  <c r="J118" i="46"/>
  <c r="K118" i="46" s="1"/>
  <c r="J111" i="46"/>
  <c r="K111" i="46" s="1"/>
  <c r="J104" i="46"/>
  <c r="K104" i="46" s="1"/>
  <c r="J62" i="46"/>
  <c r="K62" i="46" s="1"/>
  <c r="J58" i="46"/>
  <c r="K58" i="46" s="1"/>
  <c r="J51" i="46"/>
  <c r="K51" i="46" s="1"/>
  <c r="J131" i="46"/>
  <c r="K131" i="46" s="1"/>
  <c r="J64" i="46"/>
  <c r="K64" i="46" s="1"/>
  <c r="J317" i="46"/>
  <c r="K317" i="46" s="1"/>
  <c r="J313" i="46"/>
  <c r="K313" i="46" s="1"/>
  <c r="J285" i="46"/>
  <c r="K285" i="46" s="1"/>
  <c r="J258" i="46"/>
  <c r="K258" i="46" s="1"/>
  <c r="J240" i="46"/>
  <c r="K240" i="46" s="1"/>
  <c r="J185" i="46"/>
  <c r="K185" i="46" s="1"/>
  <c r="J146" i="46"/>
  <c r="K146" i="46" s="1"/>
  <c r="J47" i="46"/>
  <c r="K47" i="46" s="1"/>
  <c r="J265" i="46"/>
  <c r="K265" i="46" s="1"/>
  <c r="J243" i="46"/>
  <c r="K243" i="46" s="1"/>
  <c r="J107" i="46"/>
  <c r="K107" i="46" s="1"/>
  <c r="J61" i="46"/>
  <c r="K61" i="46" s="1"/>
  <c r="J320" i="46"/>
  <c r="K320" i="46" s="1"/>
  <c r="J236" i="46"/>
  <c r="K236" i="46" s="1"/>
  <c r="J215" i="46"/>
  <c r="K215" i="46" s="1"/>
  <c r="J68" i="46"/>
  <c r="K68" i="46" s="1"/>
  <c r="J42" i="46"/>
  <c r="K42" i="46" s="1"/>
  <c r="J19" i="46"/>
  <c r="K19" i="46" s="1"/>
  <c r="J113" i="46"/>
  <c r="K113" i="46" s="1"/>
  <c r="J304" i="46"/>
  <c r="K304" i="46" s="1"/>
  <c r="J300" i="46"/>
  <c r="K300" i="46" s="1"/>
  <c r="J296" i="46"/>
  <c r="K296" i="46" s="1"/>
  <c r="J274" i="46"/>
  <c r="K274" i="46" s="1"/>
  <c r="J233" i="46"/>
  <c r="K233" i="46" s="1"/>
  <c r="J219" i="46"/>
  <c r="K219" i="46" s="1"/>
  <c r="J191" i="46"/>
  <c r="K191" i="46" s="1"/>
  <c r="J188" i="46"/>
  <c r="K188" i="46" s="1"/>
  <c r="J181" i="46"/>
  <c r="K181" i="46" s="1"/>
  <c r="J152" i="46"/>
  <c r="K152" i="46" s="1"/>
  <c r="J83" i="46"/>
  <c r="K83" i="46" s="1"/>
  <c r="J76" i="46"/>
  <c r="K76" i="46" s="1"/>
  <c r="J43" i="46"/>
  <c r="K43" i="46" s="1"/>
  <c r="J20" i="46"/>
  <c r="K20" i="46" s="1"/>
  <c r="J35" i="46"/>
  <c r="K35" i="46" s="1"/>
  <c r="J261" i="46"/>
  <c r="K261" i="46" s="1"/>
  <c r="J50" i="46"/>
  <c r="K50" i="46" s="1"/>
  <c r="J27" i="46"/>
  <c r="K27" i="46" s="1"/>
  <c r="J284" i="46"/>
  <c r="K284" i="46" s="1"/>
  <c r="J12" i="46"/>
  <c r="K12" i="46" s="1"/>
  <c r="J218" i="46"/>
  <c r="K218" i="46" s="1"/>
  <c r="J353" i="46"/>
  <c r="K353" i="46" s="1"/>
  <c r="J281" i="46"/>
  <c r="K281" i="46" s="1"/>
  <c r="J250" i="46"/>
  <c r="K250" i="46" s="1"/>
  <c r="J194" i="46"/>
  <c r="K194" i="46" s="1"/>
  <c r="J170" i="46"/>
  <c r="K170" i="46" s="1"/>
  <c r="J149" i="46"/>
  <c r="K149" i="46" s="1"/>
  <c r="J139" i="46"/>
  <c r="K139" i="46" s="1"/>
  <c r="J128" i="46"/>
  <c r="K128" i="46" s="1"/>
  <c r="J79" i="46"/>
  <c r="K79" i="46" s="1"/>
  <c r="J54" i="46"/>
  <c r="K54" i="46" s="1"/>
  <c r="J31" i="46"/>
  <c r="K31" i="46" s="1"/>
  <c r="J312" i="46"/>
  <c r="K312" i="46" s="1"/>
  <c r="J222" i="46"/>
  <c r="K222" i="46" s="1"/>
  <c r="J121" i="46"/>
  <c r="K121" i="46" s="1"/>
  <c r="J225" i="46"/>
  <c r="K225" i="46" s="1"/>
  <c r="J93" i="46"/>
  <c r="K93" i="46" s="1"/>
  <c r="J46" i="46"/>
  <c r="K46" i="46" s="1"/>
  <c r="J23" i="46"/>
  <c r="K23" i="46" s="1"/>
  <c r="J38" i="46"/>
  <c r="K38" i="46" s="1"/>
  <c r="J299" i="46"/>
  <c r="K299" i="46" s="1"/>
  <c r="J151" i="46"/>
  <c r="K151" i="46" s="1"/>
  <c r="J190" i="46"/>
  <c r="K190" i="46" s="1"/>
  <c r="J127" i="46"/>
  <c r="K127" i="46" s="1"/>
  <c r="J346" i="46"/>
  <c r="K346" i="46" s="1"/>
  <c r="J208" i="46"/>
  <c r="K208" i="46" s="1"/>
  <c r="J201" i="46"/>
  <c r="K201" i="46" s="1"/>
  <c r="J177" i="46"/>
  <c r="K177" i="46" s="1"/>
  <c r="J166" i="46"/>
  <c r="K166" i="46" s="1"/>
  <c r="J135" i="46"/>
  <c r="K135" i="46" s="1"/>
  <c r="J114" i="46"/>
  <c r="K114" i="46" s="1"/>
  <c r="J86" i="46"/>
  <c r="K86" i="46" s="1"/>
  <c r="J16" i="46"/>
  <c r="K16" i="46" s="1"/>
  <c r="J350" i="46"/>
  <c r="K350" i="46" s="1"/>
  <c r="J142" i="46"/>
  <c r="K142" i="46" s="1"/>
  <c r="J341" i="46"/>
  <c r="K341" i="46" s="1"/>
  <c r="J246" i="46"/>
  <c r="K246" i="46" s="1"/>
  <c r="J162" i="46"/>
  <c r="K162" i="46" s="1"/>
  <c r="J155" i="46"/>
  <c r="K155" i="46" s="1"/>
  <c r="J103" i="46"/>
  <c r="K103" i="46" s="1"/>
  <c r="J75" i="46"/>
  <c r="K75" i="46" s="1"/>
  <c r="J303" i="46"/>
  <c r="K303" i="46" s="1"/>
  <c r="J239" i="46"/>
  <c r="K239" i="46" s="1"/>
  <c r="J197" i="46"/>
  <c r="K197" i="46" s="1"/>
  <c r="J53" i="46"/>
  <c r="K53" i="46" s="1"/>
  <c r="J316" i="46"/>
  <c r="K316" i="46" s="1"/>
  <c r="J253" i="46"/>
  <c r="K253" i="46" s="1"/>
  <c r="J211" i="46"/>
  <c r="K211" i="46" s="1"/>
  <c r="J184" i="46"/>
  <c r="K184" i="46" s="1"/>
  <c r="J180" i="46"/>
  <c r="K180" i="46" s="1"/>
  <c r="J158" i="46"/>
  <c r="K158" i="46" s="1"/>
  <c r="J117" i="46"/>
  <c r="K117" i="46" s="1"/>
  <c r="J291" i="46"/>
  <c r="K291" i="46" s="1"/>
  <c r="J310" i="46"/>
  <c r="K310" i="46" s="1"/>
  <c r="J290" i="46"/>
  <c r="K290" i="46" s="1"/>
  <c r="J275" i="46"/>
  <c r="K275" i="46" s="1"/>
  <c r="J241" i="46"/>
  <c r="K241" i="46" s="1"/>
  <c r="J109" i="46"/>
  <c r="K109" i="46" s="1"/>
  <c r="J95" i="46"/>
  <c r="K95" i="46" s="1"/>
  <c r="J84" i="46"/>
  <c r="K84" i="46" s="1"/>
  <c r="J70" i="46"/>
  <c r="K70" i="46" s="1"/>
  <c r="J59" i="46"/>
  <c r="K59" i="46" s="1"/>
  <c r="J29" i="46"/>
  <c r="K29" i="46" s="1"/>
  <c r="J25" i="46"/>
  <c r="K25" i="46" s="1"/>
  <c r="J10" i="46"/>
  <c r="K10" i="46" s="1"/>
  <c r="J340" i="46"/>
  <c r="K340" i="46" s="1"/>
  <c r="J238" i="46"/>
  <c r="K238" i="46" s="1"/>
  <c r="J30" i="46"/>
  <c r="K30" i="46" s="1"/>
  <c r="J252" i="46"/>
  <c r="K252" i="46" s="1"/>
  <c r="J130" i="46"/>
  <c r="K130" i="46" s="1"/>
  <c r="J179" i="46"/>
  <c r="K179" i="46" s="1"/>
  <c r="J120" i="46"/>
  <c r="K120" i="46" s="1"/>
  <c r="J49" i="46"/>
  <c r="K49" i="46" s="1"/>
  <c r="J315" i="46"/>
  <c r="K315" i="46" s="1"/>
  <c r="J249" i="46"/>
  <c r="K249" i="46" s="1"/>
  <c r="J214" i="46"/>
  <c r="K214" i="46" s="1"/>
  <c r="J56" i="46"/>
  <c r="K56" i="46" s="1"/>
  <c r="J268" i="46"/>
  <c r="K268" i="46" s="1"/>
  <c r="J22" i="46"/>
  <c r="K22" i="46" s="1"/>
  <c r="J344" i="46"/>
  <c r="K344" i="46" s="1"/>
  <c r="J302" i="46"/>
  <c r="K302" i="46" s="1"/>
  <c r="J287" i="46"/>
  <c r="K287" i="46" s="1"/>
  <c r="J242" i="46"/>
  <c r="K242" i="46" s="1"/>
  <c r="J227" i="46"/>
  <c r="K227" i="46" s="1"/>
  <c r="J193" i="46"/>
  <c r="K193" i="46" s="1"/>
  <c r="J144" i="46"/>
  <c r="K144" i="46" s="1"/>
  <c r="J67" i="46"/>
  <c r="K67" i="46" s="1"/>
  <c r="J168" i="46"/>
  <c r="K168" i="46" s="1"/>
  <c r="J41" i="46"/>
  <c r="K41" i="46" s="1"/>
  <c r="J245" i="46"/>
  <c r="K245" i="46" s="1"/>
  <c r="J137" i="46"/>
  <c r="K137" i="46" s="1"/>
  <c r="J231" i="46"/>
  <c r="K231" i="46" s="1"/>
  <c r="J81" i="46"/>
  <c r="K81" i="46" s="1"/>
  <c r="J210" i="46"/>
  <c r="K210" i="46" s="1"/>
  <c r="J306" i="46"/>
  <c r="K306" i="46" s="1"/>
  <c r="J221" i="46"/>
  <c r="K221" i="46" s="1"/>
  <c r="J18" i="46"/>
  <c r="K18" i="46" s="1"/>
  <c r="J196" i="46"/>
  <c r="K196" i="46" s="1"/>
  <c r="J172" i="46"/>
  <c r="K172" i="46" s="1"/>
  <c r="J85" i="46"/>
  <c r="K85" i="46" s="1"/>
  <c r="J52" i="46"/>
  <c r="K52" i="46" s="1"/>
  <c r="J235" i="46"/>
  <c r="K235" i="46" s="1"/>
  <c r="J102" i="46"/>
  <c r="K102" i="46" s="1"/>
  <c r="J319" i="46"/>
  <c r="K319" i="46" s="1"/>
  <c r="J45" i="46"/>
  <c r="K45" i="46" s="1"/>
  <c r="J348" i="46"/>
  <c r="K348" i="46" s="1"/>
  <c r="J276" i="46"/>
  <c r="K276" i="46" s="1"/>
  <c r="J206" i="46"/>
  <c r="K206" i="46" s="1"/>
  <c r="J123" i="46"/>
  <c r="K123" i="46" s="1"/>
  <c r="J92" i="46"/>
  <c r="K92" i="46" s="1"/>
  <c r="J11" i="46"/>
  <c r="K11" i="46" s="1"/>
  <c r="J161" i="46"/>
  <c r="K161" i="46" s="1"/>
  <c r="J224" i="46"/>
  <c r="K224" i="46" s="1"/>
  <c r="J279" i="46"/>
  <c r="K279" i="46" s="1"/>
  <c r="J264" i="46"/>
  <c r="K264" i="46" s="1"/>
  <c r="J186" i="46"/>
  <c r="K186" i="46" s="1"/>
  <c r="J74" i="46"/>
  <c r="K74" i="46" s="1"/>
  <c r="J126" i="46"/>
  <c r="K126" i="46" s="1"/>
  <c r="J165" i="46"/>
  <c r="K165" i="46" s="1"/>
  <c r="J141" i="46"/>
  <c r="K141" i="46" s="1"/>
  <c r="J116" i="46"/>
  <c r="K116" i="46" s="1"/>
  <c r="J9" i="46"/>
  <c r="L260" i="45"/>
  <c r="M260" i="45"/>
  <c r="N7" i="46"/>
  <c r="U2" i="42"/>
  <c r="S2" i="42"/>
  <c r="T2" i="42"/>
  <c r="R2" i="42"/>
  <c r="AP348" i="41"/>
  <c r="AO348" i="41"/>
  <c r="AI8" i="44"/>
  <c r="E6" i="31" s="1"/>
  <c r="N6" i="44"/>
  <c r="M6" i="44"/>
  <c r="L6" i="44"/>
  <c r="K6" i="44"/>
  <c r="AH7" i="44"/>
  <c r="AI7" i="44" s="1"/>
  <c r="Q62" i="45" l="1"/>
  <c r="Q332" i="45"/>
  <c r="R44" i="45"/>
  <c r="R237" i="45"/>
  <c r="R130" i="45"/>
  <c r="R167" i="45"/>
  <c r="Q268" i="45"/>
  <c r="R75" i="45"/>
  <c r="Q246" i="45"/>
  <c r="R177" i="45"/>
  <c r="R28" i="45"/>
  <c r="R300" i="45"/>
  <c r="Q143" i="45"/>
  <c r="Q222" i="45"/>
  <c r="R157" i="45"/>
  <c r="R346" i="45"/>
  <c r="Q131" i="45"/>
  <c r="R244" i="45"/>
  <c r="Q157" i="45"/>
  <c r="Q188" i="45"/>
  <c r="R25" i="45"/>
  <c r="V25" i="45"/>
  <c r="Q253" i="45"/>
  <c r="Q36" i="45"/>
  <c r="R90" i="45"/>
  <c r="Q66" i="45"/>
  <c r="Q182" i="45"/>
  <c r="R51" i="45"/>
  <c r="Q24" i="45"/>
  <c r="Q352" i="45"/>
  <c r="Q161" i="45"/>
  <c r="R281" i="45"/>
  <c r="Q249" i="45"/>
  <c r="Q47" i="45"/>
  <c r="R40" i="45"/>
  <c r="Q113" i="45"/>
  <c r="R325" i="45"/>
  <c r="Q100" i="45"/>
  <c r="R31" i="45"/>
  <c r="R15" i="45"/>
  <c r="Q49" i="45"/>
  <c r="Q248" i="45"/>
  <c r="R299" i="45"/>
  <c r="Q250" i="45"/>
  <c r="V65" i="45"/>
  <c r="R298" i="45"/>
  <c r="Q149" i="45"/>
  <c r="R185" i="45"/>
  <c r="Q312" i="45"/>
  <c r="Q292" i="45"/>
  <c r="R65" i="45"/>
  <c r="Q264" i="45"/>
  <c r="R292" i="45"/>
  <c r="R257" i="45"/>
  <c r="Q323" i="45"/>
  <c r="Q59" i="45"/>
  <c r="Q318" i="45"/>
  <c r="R340" i="45"/>
  <c r="Q347" i="45"/>
  <c r="Q316" i="45"/>
  <c r="R284" i="45"/>
  <c r="Q229" i="45"/>
  <c r="R98" i="45"/>
  <c r="Q139" i="45"/>
  <c r="Q26" i="45"/>
  <c r="Q101" i="45"/>
  <c r="Q129" i="45"/>
  <c r="Q50" i="45"/>
  <c r="Q226" i="45"/>
  <c r="Q208" i="45"/>
  <c r="Q343" i="45"/>
  <c r="R134" i="45"/>
  <c r="Q63" i="45"/>
  <c r="Q45" i="45"/>
  <c r="R217" i="45"/>
  <c r="M31" i="45"/>
  <c r="L31" i="45"/>
  <c r="L250" i="45"/>
  <c r="M250" i="45"/>
  <c r="L90" i="45"/>
  <c r="M90" i="45"/>
  <c r="L228" i="45"/>
  <c r="M228" i="45"/>
  <c r="M268" i="45"/>
  <c r="L268" i="45"/>
  <c r="Q348" i="45"/>
  <c r="R348" i="45"/>
  <c r="R324" i="45"/>
  <c r="Q324" i="45"/>
  <c r="R106" i="45"/>
  <c r="Q106" i="45"/>
  <c r="R344" i="45"/>
  <c r="Q344" i="45"/>
  <c r="V272" i="45"/>
  <c r="Q272" i="45"/>
  <c r="R272" i="45"/>
  <c r="Q10" i="45"/>
  <c r="R10" i="45"/>
  <c r="R350" i="45"/>
  <c r="Q350" i="45"/>
  <c r="Q169" i="45"/>
  <c r="R169" i="45"/>
  <c r="Q128" i="45"/>
  <c r="R128" i="45"/>
  <c r="R181" i="45"/>
  <c r="Q181" i="45"/>
  <c r="R280" i="45"/>
  <c r="V280" i="45"/>
  <c r="Q280" i="45"/>
  <c r="Q119" i="45"/>
  <c r="R119" i="45"/>
  <c r="Q99" i="45"/>
  <c r="R99" i="45"/>
  <c r="Q79" i="45"/>
  <c r="R79" i="45"/>
  <c r="R141" i="45"/>
  <c r="Q141" i="45"/>
  <c r="R118" i="45"/>
  <c r="Q118" i="45"/>
  <c r="Q78" i="45"/>
  <c r="R78" i="45"/>
  <c r="R58" i="45"/>
  <c r="Q58" i="45"/>
  <c r="R18" i="45"/>
  <c r="Q18" i="45"/>
  <c r="Q107" i="45"/>
  <c r="R107" i="45"/>
  <c r="R201" i="45"/>
  <c r="Q201" i="45"/>
  <c r="V278" i="45"/>
  <c r="Q278" i="45"/>
  <c r="R278" i="45"/>
  <c r="R166" i="45"/>
  <c r="Q166" i="45"/>
  <c r="R262" i="45"/>
  <c r="Q262" i="45"/>
  <c r="R297" i="45"/>
  <c r="Q297" i="45"/>
  <c r="V297" i="45"/>
  <c r="Q96" i="45"/>
  <c r="R96" i="45"/>
  <c r="L191" i="45"/>
  <c r="M191" i="45"/>
  <c r="Q191" i="45"/>
  <c r="R191" i="45"/>
  <c r="M269" i="45"/>
  <c r="L269" i="45"/>
  <c r="Q306" i="45"/>
  <c r="R306" i="45"/>
  <c r="R115" i="45"/>
  <c r="Q115" i="45"/>
  <c r="R231" i="45"/>
  <c r="Q231" i="45"/>
  <c r="Q170" i="45"/>
  <c r="R170" i="45"/>
  <c r="Q174" i="45"/>
  <c r="R174" i="45"/>
  <c r="R34" i="45"/>
  <c r="Q34" i="45"/>
  <c r="V34" i="45"/>
  <c r="R121" i="45"/>
  <c r="Q121" i="45"/>
  <c r="Q335" i="45"/>
  <c r="R335" i="45"/>
  <c r="Q213" i="45"/>
  <c r="R213" i="45"/>
  <c r="R173" i="45"/>
  <c r="Q173" i="45"/>
  <c r="Q133" i="45"/>
  <c r="V133" i="45"/>
  <c r="R133" i="45"/>
  <c r="Q73" i="45"/>
  <c r="R73" i="45"/>
  <c r="M33" i="45"/>
  <c r="L33" i="45"/>
  <c r="R33" i="45"/>
  <c r="Q33" i="45"/>
  <c r="R13" i="45"/>
  <c r="Q13" i="45"/>
  <c r="M13" i="45"/>
  <c r="L13" i="45"/>
  <c r="R251" i="45"/>
  <c r="Q251" i="45"/>
  <c r="M149" i="45"/>
  <c r="L149" i="45"/>
  <c r="Q147" i="45"/>
  <c r="R147" i="45"/>
  <c r="Q122" i="45"/>
  <c r="R122" i="45"/>
  <c r="Q186" i="45"/>
  <c r="R186" i="45"/>
  <c r="R204" i="45"/>
  <c r="Q204" i="45"/>
  <c r="R124" i="45"/>
  <c r="Q124" i="45"/>
  <c r="R104" i="45"/>
  <c r="Q104" i="45"/>
  <c r="Q43" i="45"/>
  <c r="R43" i="45"/>
  <c r="R23" i="45"/>
  <c r="Q23" i="45"/>
  <c r="R342" i="45"/>
  <c r="Q342" i="45"/>
  <c r="Q259" i="45"/>
  <c r="R259" i="45"/>
  <c r="R239" i="45"/>
  <c r="Q239" i="45"/>
  <c r="R198" i="45"/>
  <c r="Q198" i="45"/>
  <c r="R178" i="45"/>
  <c r="Q178" i="45"/>
  <c r="Q38" i="45"/>
  <c r="R38" i="45"/>
  <c r="Q190" i="45"/>
  <c r="R190" i="45"/>
  <c r="R70" i="45"/>
  <c r="Q70" i="45"/>
  <c r="R156" i="45"/>
  <c r="Q156" i="45"/>
  <c r="R110" i="45"/>
  <c r="Q110" i="45"/>
  <c r="Q269" i="45"/>
  <c r="R269" i="45"/>
  <c r="R88" i="45"/>
  <c r="Q88" i="45"/>
  <c r="Q21" i="45"/>
  <c r="R21" i="45"/>
  <c r="R296" i="45"/>
  <c r="Q296" i="45"/>
  <c r="Q235" i="45"/>
  <c r="R235" i="45"/>
  <c r="R155" i="45"/>
  <c r="Q155" i="45"/>
  <c r="Q227" i="45"/>
  <c r="R227" i="45"/>
  <c r="R240" i="45"/>
  <c r="Q240" i="45"/>
  <c r="R261" i="45"/>
  <c r="Q261" i="45"/>
  <c r="R315" i="45"/>
  <c r="Q315" i="45"/>
  <c r="Q254" i="45"/>
  <c r="R254" i="45"/>
  <c r="R194" i="45"/>
  <c r="Q194" i="45"/>
  <c r="Q94" i="45"/>
  <c r="R94" i="45"/>
  <c r="Q230" i="45"/>
  <c r="R230" i="45"/>
  <c r="R168" i="45"/>
  <c r="Q168" i="45"/>
  <c r="R314" i="45"/>
  <c r="Q314" i="45"/>
  <c r="Q274" i="45"/>
  <c r="R274" i="45"/>
  <c r="L251" i="45"/>
  <c r="M251" i="45"/>
  <c r="Q247" i="45"/>
  <c r="R247" i="45"/>
  <c r="Q132" i="45"/>
  <c r="R132" i="45"/>
  <c r="R92" i="45"/>
  <c r="Q92" i="45"/>
  <c r="Q12" i="45"/>
  <c r="R12" i="45"/>
  <c r="R64" i="45"/>
  <c r="Q64" i="45"/>
  <c r="R286" i="45"/>
  <c r="Q286" i="45"/>
  <c r="R136" i="45"/>
  <c r="Q136" i="45"/>
  <c r="R211" i="45"/>
  <c r="Q211" i="45"/>
  <c r="M211" i="45"/>
  <c r="L211" i="45"/>
  <c r="M189" i="45"/>
  <c r="R189" i="45"/>
  <c r="L189" i="45"/>
  <c r="R228" i="45"/>
  <c r="Q228" i="45"/>
  <c r="R108" i="45"/>
  <c r="L108" i="45"/>
  <c r="M108" i="45"/>
  <c r="Q108" i="45"/>
  <c r="L67" i="45"/>
  <c r="R67" i="45"/>
  <c r="Q67" i="45"/>
  <c r="M67" i="45"/>
  <c r="M186" i="45"/>
  <c r="L186" i="45"/>
  <c r="L26" i="45"/>
  <c r="M26" i="45"/>
  <c r="L185" i="45"/>
  <c r="M185" i="45"/>
  <c r="M65" i="45"/>
  <c r="L65" i="45"/>
  <c r="M25" i="45"/>
  <c r="L25" i="45"/>
  <c r="L325" i="45"/>
  <c r="M325" i="45"/>
  <c r="L305" i="45"/>
  <c r="Q305" i="45"/>
  <c r="R305" i="45"/>
  <c r="M305" i="45"/>
  <c r="Q265" i="45"/>
  <c r="R265" i="45"/>
  <c r="L265" i="45"/>
  <c r="M265" i="45"/>
  <c r="L244" i="45"/>
  <c r="M244" i="45"/>
  <c r="R224" i="45"/>
  <c r="Q224" i="45"/>
  <c r="M224" i="45"/>
  <c r="L224" i="45"/>
  <c r="L204" i="45"/>
  <c r="M204" i="45"/>
  <c r="R184" i="45"/>
  <c r="Q184" i="45"/>
  <c r="M184" i="45"/>
  <c r="L184" i="45"/>
  <c r="M164" i="45"/>
  <c r="R164" i="45"/>
  <c r="Q164" i="45"/>
  <c r="L164" i="45"/>
  <c r="L144" i="45"/>
  <c r="M144" i="45"/>
  <c r="R144" i="45"/>
  <c r="Q144" i="45"/>
  <c r="L124" i="45"/>
  <c r="M124" i="45"/>
  <c r="L104" i="45"/>
  <c r="M104" i="45"/>
  <c r="Q84" i="45"/>
  <c r="R84" i="45"/>
  <c r="L84" i="45"/>
  <c r="M84" i="45"/>
  <c r="M44" i="45"/>
  <c r="L44" i="45"/>
  <c r="M24" i="45"/>
  <c r="L24" i="45"/>
  <c r="L352" i="45"/>
  <c r="M352" i="45"/>
  <c r="M348" i="45"/>
  <c r="L348" i="45"/>
  <c r="M347" i="45"/>
  <c r="L347" i="45"/>
  <c r="Q126" i="45"/>
  <c r="R126" i="45"/>
  <c r="L126" i="45"/>
  <c r="M126" i="45"/>
  <c r="M324" i="45"/>
  <c r="L324" i="45"/>
  <c r="L284" i="45"/>
  <c r="M284" i="45"/>
  <c r="R243" i="45"/>
  <c r="L243" i="45"/>
  <c r="M243" i="45"/>
  <c r="Q243" i="45"/>
  <c r="Q223" i="45"/>
  <c r="L223" i="45"/>
  <c r="R223" i="45"/>
  <c r="M223" i="45"/>
  <c r="L163" i="45"/>
  <c r="M163" i="45"/>
  <c r="R163" i="45"/>
  <c r="Q163" i="45"/>
  <c r="L143" i="45"/>
  <c r="M143" i="45"/>
  <c r="R123" i="45"/>
  <c r="Q123" i="45"/>
  <c r="L123" i="45"/>
  <c r="M123" i="45"/>
  <c r="R83" i="45"/>
  <c r="Q83" i="45"/>
  <c r="M83" i="45"/>
  <c r="L83" i="45"/>
  <c r="M43" i="45"/>
  <c r="L43" i="45"/>
  <c r="M23" i="45"/>
  <c r="L23" i="45"/>
  <c r="M309" i="45"/>
  <c r="L309" i="45"/>
  <c r="Q309" i="45"/>
  <c r="R309" i="45"/>
  <c r="Q48" i="45"/>
  <c r="M48" i="45"/>
  <c r="L48" i="45"/>
  <c r="R48" i="45"/>
  <c r="L106" i="45"/>
  <c r="M106" i="45"/>
  <c r="L344" i="45"/>
  <c r="M344" i="45"/>
  <c r="L264" i="45"/>
  <c r="M264" i="45"/>
  <c r="R203" i="45"/>
  <c r="M203" i="45"/>
  <c r="L203" i="45"/>
  <c r="Q203" i="45"/>
  <c r="L103" i="45"/>
  <c r="R103" i="45"/>
  <c r="Q103" i="45"/>
  <c r="M103" i="45"/>
  <c r="M323" i="45"/>
  <c r="L323" i="45"/>
  <c r="L303" i="45"/>
  <c r="M303" i="45"/>
  <c r="R303" i="45"/>
  <c r="Q303" i="45"/>
  <c r="L263" i="45"/>
  <c r="Q263" i="45"/>
  <c r="R263" i="45"/>
  <c r="M263" i="45"/>
  <c r="L242" i="45"/>
  <c r="Q242" i="45"/>
  <c r="R242" i="45"/>
  <c r="M242" i="45"/>
  <c r="L222" i="45"/>
  <c r="M222" i="45"/>
  <c r="Q202" i="45"/>
  <c r="L202" i="45"/>
  <c r="M202" i="45"/>
  <c r="R202" i="45"/>
  <c r="M182" i="45"/>
  <c r="L182" i="45"/>
  <c r="M162" i="45"/>
  <c r="Q162" i="45"/>
  <c r="R162" i="45"/>
  <c r="L162" i="45"/>
  <c r="Q142" i="45"/>
  <c r="L142" i="45"/>
  <c r="M142" i="45"/>
  <c r="R142" i="45"/>
  <c r="M102" i="45"/>
  <c r="L102" i="45"/>
  <c r="Q102" i="45"/>
  <c r="R102" i="45"/>
  <c r="R82" i="45"/>
  <c r="M82" i="45"/>
  <c r="L82" i="45"/>
  <c r="Q82" i="45"/>
  <c r="M62" i="45"/>
  <c r="L62" i="45"/>
  <c r="L42" i="45"/>
  <c r="R42" i="45"/>
  <c r="Q42" i="45"/>
  <c r="M42" i="45"/>
  <c r="M22" i="45"/>
  <c r="Q22" i="45"/>
  <c r="R22" i="45"/>
  <c r="L22" i="45"/>
  <c r="M272" i="45"/>
  <c r="L272" i="45"/>
  <c r="M71" i="45"/>
  <c r="R71" i="45"/>
  <c r="Q71" i="45"/>
  <c r="L71" i="45"/>
  <c r="M210" i="45"/>
  <c r="Q210" i="45"/>
  <c r="R210" i="45"/>
  <c r="L210" i="45"/>
  <c r="M10" i="45"/>
  <c r="L10" i="45"/>
  <c r="M350" i="45"/>
  <c r="L350" i="45"/>
  <c r="M169" i="45"/>
  <c r="L169" i="45"/>
  <c r="R329" i="45"/>
  <c r="Q329" i="45"/>
  <c r="L329" i="45"/>
  <c r="M329" i="45"/>
  <c r="L128" i="45"/>
  <c r="M128" i="45"/>
  <c r="L167" i="45"/>
  <c r="M167" i="45"/>
  <c r="L246" i="45"/>
  <c r="M246" i="45"/>
  <c r="L66" i="45"/>
  <c r="M66" i="45"/>
  <c r="M342" i="45"/>
  <c r="L342" i="45"/>
  <c r="L241" i="45"/>
  <c r="M241" i="45"/>
  <c r="R241" i="45"/>
  <c r="Q241" i="45"/>
  <c r="M101" i="45"/>
  <c r="L101" i="45"/>
  <c r="M281" i="45"/>
  <c r="L281" i="45"/>
  <c r="Q180" i="45"/>
  <c r="M180" i="45"/>
  <c r="R180" i="45"/>
  <c r="L180" i="45"/>
  <c r="L160" i="45"/>
  <c r="M160" i="45"/>
  <c r="R160" i="45"/>
  <c r="Q160" i="45"/>
  <c r="M140" i="45"/>
  <c r="R140" i="45"/>
  <c r="Q140" i="45"/>
  <c r="L140" i="45"/>
  <c r="M120" i="45"/>
  <c r="R120" i="45"/>
  <c r="L120" i="45"/>
  <c r="Q120" i="45"/>
  <c r="V120" i="45"/>
  <c r="L100" i="45"/>
  <c r="M100" i="45"/>
  <c r="R80" i="45"/>
  <c r="Q80" i="45"/>
  <c r="L80" i="45"/>
  <c r="M80" i="45"/>
  <c r="L60" i="45"/>
  <c r="R60" i="45"/>
  <c r="Q60" i="45"/>
  <c r="M60" i="45"/>
  <c r="L40" i="45"/>
  <c r="M40" i="45"/>
  <c r="M292" i="45"/>
  <c r="L292" i="45"/>
  <c r="M91" i="45"/>
  <c r="Q91" i="45"/>
  <c r="R91" i="45"/>
  <c r="L91" i="45"/>
  <c r="Q311" i="45"/>
  <c r="R311" i="45"/>
  <c r="M311" i="45"/>
  <c r="L311" i="45"/>
  <c r="L130" i="45"/>
  <c r="M130" i="45"/>
  <c r="L249" i="45"/>
  <c r="M249" i="45"/>
  <c r="M49" i="45"/>
  <c r="L49" i="45"/>
  <c r="M188" i="45"/>
  <c r="L188" i="45"/>
  <c r="M328" i="45"/>
  <c r="Q328" i="45"/>
  <c r="R328" i="45"/>
  <c r="L328" i="45"/>
  <c r="R127" i="45"/>
  <c r="L127" i="45"/>
  <c r="Q127" i="45"/>
  <c r="M127" i="45"/>
  <c r="Q327" i="45"/>
  <c r="M327" i="45"/>
  <c r="L327" i="45"/>
  <c r="R327" i="45"/>
  <c r="R146" i="45"/>
  <c r="Q146" i="45"/>
  <c r="M146" i="45"/>
  <c r="L146" i="45"/>
  <c r="R245" i="45"/>
  <c r="Q245" i="45"/>
  <c r="M245" i="45"/>
  <c r="L245" i="45"/>
  <c r="L45" i="45"/>
  <c r="M45" i="45"/>
  <c r="L181" i="45"/>
  <c r="M181" i="45"/>
  <c r="Q341" i="45"/>
  <c r="R341" i="45"/>
  <c r="M341" i="45"/>
  <c r="L341" i="45"/>
  <c r="L300" i="45"/>
  <c r="M300" i="45"/>
  <c r="L280" i="45"/>
  <c r="M280" i="45"/>
  <c r="M259" i="45"/>
  <c r="L259" i="45"/>
  <c r="L239" i="45"/>
  <c r="M239" i="45"/>
  <c r="Q219" i="45"/>
  <c r="L219" i="45"/>
  <c r="R219" i="45"/>
  <c r="M219" i="45"/>
  <c r="L199" i="45"/>
  <c r="M199" i="45"/>
  <c r="Q199" i="45"/>
  <c r="R199" i="45"/>
  <c r="L179" i="45"/>
  <c r="R179" i="45"/>
  <c r="M179" i="45"/>
  <c r="Q179" i="45"/>
  <c r="M139" i="45"/>
  <c r="L139" i="45"/>
  <c r="M119" i="45"/>
  <c r="L119" i="45"/>
  <c r="L99" i="45"/>
  <c r="M99" i="45"/>
  <c r="M79" i="45"/>
  <c r="L79" i="45"/>
  <c r="M59" i="45"/>
  <c r="L59" i="45"/>
  <c r="Q39" i="45"/>
  <c r="R39" i="45"/>
  <c r="L39" i="45"/>
  <c r="M39" i="45"/>
  <c r="L19" i="45"/>
  <c r="R19" i="45"/>
  <c r="Q19" i="45"/>
  <c r="M19" i="45"/>
  <c r="M312" i="45"/>
  <c r="L312" i="45"/>
  <c r="R310" i="45"/>
  <c r="Q310" i="45"/>
  <c r="L310" i="45"/>
  <c r="M310" i="45"/>
  <c r="L105" i="45"/>
  <c r="Q105" i="45"/>
  <c r="M105" i="45"/>
  <c r="R105" i="45"/>
  <c r="M141" i="45"/>
  <c r="L141" i="45"/>
  <c r="L339" i="45"/>
  <c r="M339" i="45"/>
  <c r="R339" i="45"/>
  <c r="Q339" i="45"/>
  <c r="Q319" i="45"/>
  <c r="M319" i="45"/>
  <c r="R319" i="45"/>
  <c r="L319" i="45"/>
  <c r="L299" i="45"/>
  <c r="M299" i="45"/>
  <c r="L258" i="45"/>
  <c r="Q258" i="45"/>
  <c r="R258" i="45"/>
  <c r="M258" i="45"/>
  <c r="Q238" i="45"/>
  <c r="M238" i="45"/>
  <c r="R238" i="45"/>
  <c r="L238" i="45"/>
  <c r="M218" i="45"/>
  <c r="R218" i="45"/>
  <c r="Q218" i="45"/>
  <c r="L218" i="45"/>
  <c r="L198" i="45"/>
  <c r="M198" i="45"/>
  <c r="L178" i="45"/>
  <c r="M178" i="45"/>
  <c r="Q158" i="45"/>
  <c r="R158" i="45"/>
  <c r="L158" i="45"/>
  <c r="M158" i="45"/>
  <c r="R138" i="45"/>
  <c r="L138" i="45"/>
  <c r="M138" i="45"/>
  <c r="Q138" i="45"/>
  <c r="M118" i="45"/>
  <c r="L118" i="45"/>
  <c r="L98" i="45"/>
  <c r="M98" i="45"/>
  <c r="M78" i="45"/>
  <c r="L78" i="45"/>
  <c r="M58" i="45"/>
  <c r="L58" i="45"/>
  <c r="L38" i="45"/>
  <c r="M38" i="45"/>
  <c r="L18" i="45"/>
  <c r="M18" i="45"/>
  <c r="L349" i="45"/>
  <c r="M349" i="45"/>
  <c r="R349" i="45"/>
  <c r="Q349" i="45"/>
  <c r="L308" i="45"/>
  <c r="M308" i="45"/>
  <c r="Q308" i="45"/>
  <c r="R308" i="45"/>
  <c r="L107" i="45"/>
  <c r="M107" i="45"/>
  <c r="L201" i="45"/>
  <c r="M201" i="45"/>
  <c r="Q338" i="45"/>
  <c r="R338" i="45"/>
  <c r="L338" i="45"/>
  <c r="M338" i="45"/>
  <c r="M318" i="45"/>
  <c r="L318" i="45"/>
  <c r="M298" i="45"/>
  <c r="L298" i="45"/>
  <c r="M278" i="45"/>
  <c r="L278" i="45"/>
  <c r="M257" i="45"/>
  <c r="L257" i="45"/>
  <c r="L237" i="45"/>
  <c r="M237" i="45"/>
  <c r="M217" i="45"/>
  <c r="L217" i="45"/>
  <c r="Q197" i="45"/>
  <c r="L197" i="45"/>
  <c r="M197" i="45"/>
  <c r="R197" i="45"/>
  <c r="L177" i="45"/>
  <c r="M177" i="45"/>
  <c r="L157" i="45"/>
  <c r="M157" i="45"/>
  <c r="Q137" i="45"/>
  <c r="L137" i="45"/>
  <c r="M137" i="45"/>
  <c r="R137" i="45"/>
  <c r="R117" i="45"/>
  <c r="Q117" i="45"/>
  <c r="L117" i="45"/>
  <c r="M117" i="45"/>
  <c r="R97" i="45"/>
  <c r="L97" i="45"/>
  <c r="Q97" i="45"/>
  <c r="M97" i="45"/>
  <c r="M57" i="45"/>
  <c r="R57" i="45"/>
  <c r="Q57" i="45"/>
  <c r="L57" i="45"/>
  <c r="L37" i="45"/>
  <c r="M37" i="45"/>
  <c r="R37" i="45"/>
  <c r="Q37" i="45"/>
  <c r="L17" i="45"/>
  <c r="Q17" i="45"/>
  <c r="M17" i="45"/>
  <c r="R17" i="45"/>
  <c r="M332" i="45"/>
  <c r="L332" i="45"/>
  <c r="M111" i="45"/>
  <c r="L111" i="45"/>
  <c r="R111" i="45"/>
  <c r="Q111" i="45"/>
  <c r="L190" i="45"/>
  <c r="M190" i="45"/>
  <c r="L70" i="45"/>
  <c r="M70" i="45"/>
  <c r="L129" i="45"/>
  <c r="M129" i="45"/>
  <c r="M148" i="45"/>
  <c r="Q148" i="45"/>
  <c r="R148" i="45"/>
  <c r="L148" i="45"/>
  <c r="L166" i="45"/>
  <c r="M166" i="45"/>
  <c r="M165" i="45"/>
  <c r="R165" i="45"/>
  <c r="Q165" i="45"/>
  <c r="L165" i="45"/>
  <c r="M262" i="45"/>
  <c r="L262" i="45"/>
  <c r="M61" i="45"/>
  <c r="L61" i="45"/>
  <c r="Q61" i="45"/>
  <c r="R61" i="45"/>
  <c r="L321" i="45"/>
  <c r="Q321" i="45"/>
  <c r="R321" i="45"/>
  <c r="M321" i="45"/>
  <c r="M340" i="45"/>
  <c r="L340" i="45"/>
  <c r="L337" i="45"/>
  <c r="M337" i="45"/>
  <c r="Q337" i="45"/>
  <c r="R337" i="45"/>
  <c r="M317" i="45"/>
  <c r="R317" i="45"/>
  <c r="Q317" i="45"/>
  <c r="L317" i="45"/>
  <c r="L297" i="45"/>
  <c r="M297" i="45"/>
  <c r="M277" i="45"/>
  <c r="R277" i="45"/>
  <c r="L277" i="45"/>
  <c r="Q277" i="45"/>
  <c r="L256" i="45"/>
  <c r="Q256" i="45"/>
  <c r="M256" i="45"/>
  <c r="R256" i="45"/>
  <c r="M236" i="45"/>
  <c r="L236" i="45"/>
  <c r="R236" i="45"/>
  <c r="Q236" i="45"/>
  <c r="L216" i="45"/>
  <c r="M216" i="45"/>
  <c r="Q216" i="45"/>
  <c r="R216" i="45"/>
  <c r="L196" i="45"/>
  <c r="R196" i="45"/>
  <c r="Q196" i="45"/>
  <c r="M196" i="45"/>
  <c r="L176" i="45"/>
  <c r="Q176" i="45"/>
  <c r="R176" i="45"/>
  <c r="M176" i="45"/>
  <c r="L156" i="45"/>
  <c r="M156" i="45"/>
  <c r="M116" i="45"/>
  <c r="R116" i="45"/>
  <c r="Q116" i="45"/>
  <c r="L116" i="45"/>
  <c r="M96" i="45"/>
  <c r="L96" i="45"/>
  <c r="Q56" i="45"/>
  <c r="R56" i="45"/>
  <c r="L56" i="45"/>
  <c r="M56" i="45"/>
  <c r="L36" i="45"/>
  <c r="M36" i="45"/>
  <c r="M51" i="45"/>
  <c r="L51" i="45"/>
  <c r="R331" i="45"/>
  <c r="Q331" i="45"/>
  <c r="L331" i="45"/>
  <c r="M331" i="45"/>
  <c r="L110" i="45"/>
  <c r="M110" i="45"/>
  <c r="M229" i="45"/>
  <c r="L229" i="45"/>
  <c r="L69" i="45"/>
  <c r="Q69" i="45"/>
  <c r="R69" i="45"/>
  <c r="M69" i="45"/>
  <c r="L88" i="45"/>
  <c r="M88" i="45"/>
  <c r="L187" i="45"/>
  <c r="M187" i="45"/>
  <c r="Q187" i="45"/>
  <c r="R187" i="45"/>
  <c r="R27" i="45"/>
  <c r="L27" i="45"/>
  <c r="M27" i="45"/>
  <c r="Q27" i="45"/>
  <c r="L306" i="45"/>
  <c r="M306" i="45"/>
  <c r="Q205" i="45"/>
  <c r="R205" i="45"/>
  <c r="L205" i="45"/>
  <c r="M205" i="45"/>
  <c r="R221" i="45"/>
  <c r="M221" i="45"/>
  <c r="L221" i="45"/>
  <c r="Q221" i="45"/>
  <c r="L21" i="45"/>
  <c r="M21" i="45"/>
  <c r="R320" i="45"/>
  <c r="Q320" i="45"/>
  <c r="L320" i="45"/>
  <c r="M320" i="45"/>
  <c r="Q336" i="45"/>
  <c r="R336" i="45"/>
  <c r="M336" i="45"/>
  <c r="L336" i="45"/>
  <c r="L316" i="45"/>
  <c r="M316" i="45"/>
  <c r="L296" i="45"/>
  <c r="M296" i="45"/>
  <c r="L276" i="45"/>
  <c r="R276" i="45"/>
  <c r="M276" i="45"/>
  <c r="Q276" i="45"/>
  <c r="L235" i="45"/>
  <c r="M235" i="45"/>
  <c r="Q195" i="45"/>
  <c r="R195" i="45"/>
  <c r="L195" i="45"/>
  <c r="M195" i="45"/>
  <c r="Q175" i="45"/>
  <c r="L175" i="45"/>
  <c r="M175" i="45"/>
  <c r="R175" i="45"/>
  <c r="M155" i="45"/>
  <c r="L155" i="45"/>
  <c r="Q135" i="45"/>
  <c r="R135" i="45"/>
  <c r="M135" i="45"/>
  <c r="L135" i="45"/>
  <c r="L115" i="45"/>
  <c r="M115" i="45"/>
  <c r="M95" i="45"/>
  <c r="L95" i="45"/>
  <c r="R95" i="45"/>
  <c r="Q95" i="45"/>
  <c r="L75" i="45"/>
  <c r="M75" i="45"/>
  <c r="M15" i="45"/>
  <c r="L15" i="45"/>
  <c r="M231" i="45"/>
  <c r="L231" i="45"/>
  <c r="L151" i="45"/>
  <c r="R151" i="45"/>
  <c r="Q151" i="45"/>
  <c r="M151" i="45"/>
  <c r="L291" i="45"/>
  <c r="V291" i="45"/>
  <c r="Q291" i="45"/>
  <c r="R291" i="45"/>
  <c r="M291" i="45"/>
  <c r="L170" i="45"/>
  <c r="M170" i="45"/>
  <c r="M50" i="45"/>
  <c r="L50" i="45"/>
  <c r="M109" i="45"/>
  <c r="Q109" i="45"/>
  <c r="L109" i="45"/>
  <c r="R109" i="45"/>
  <c r="M208" i="45"/>
  <c r="L208" i="45"/>
  <c r="M68" i="45"/>
  <c r="Q68" i="45"/>
  <c r="L68" i="45"/>
  <c r="R68" i="45"/>
  <c r="L227" i="45"/>
  <c r="M227" i="45"/>
  <c r="Q206" i="45"/>
  <c r="M206" i="45"/>
  <c r="L206" i="45"/>
  <c r="R206" i="45"/>
  <c r="Q46" i="45"/>
  <c r="R46" i="45"/>
  <c r="M46" i="45"/>
  <c r="L46" i="45"/>
  <c r="L326" i="45"/>
  <c r="M326" i="45"/>
  <c r="Q326" i="45"/>
  <c r="R326" i="45"/>
  <c r="M125" i="45"/>
  <c r="L125" i="45"/>
  <c r="R125" i="45"/>
  <c r="Q125" i="45"/>
  <c r="R282" i="45"/>
  <c r="Q282" i="45"/>
  <c r="M282" i="45"/>
  <c r="L282" i="45"/>
  <c r="M81" i="45"/>
  <c r="R81" i="45"/>
  <c r="Q81" i="45"/>
  <c r="L81" i="45"/>
  <c r="M240" i="45"/>
  <c r="L240" i="45"/>
  <c r="M261" i="45"/>
  <c r="L261" i="45"/>
  <c r="M315" i="45"/>
  <c r="L315" i="45"/>
  <c r="L254" i="45"/>
  <c r="M254" i="45"/>
  <c r="Q214" i="45"/>
  <c r="R214" i="45"/>
  <c r="M214" i="45"/>
  <c r="L214" i="45"/>
  <c r="L194" i="45"/>
  <c r="M194" i="45"/>
  <c r="L174" i="45"/>
  <c r="M174" i="45"/>
  <c r="L154" i="45"/>
  <c r="R154" i="45"/>
  <c r="M154" i="45"/>
  <c r="Q154" i="45"/>
  <c r="L134" i="45"/>
  <c r="M134" i="45"/>
  <c r="R114" i="45"/>
  <c r="Q114" i="45"/>
  <c r="M114" i="45"/>
  <c r="L114" i="45"/>
  <c r="L94" i="45"/>
  <c r="M94" i="45"/>
  <c r="Q74" i="45"/>
  <c r="L74" i="45"/>
  <c r="M74" i="45"/>
  <c r="R74" i="45"/>
  <c r="R54" i="45"/>
  <c r="L54" i="45"/>
  <c r="M54" i="45"/>
  <c r="Q54" i="45"/>
  <c r="L34" i="45"/>
  <c r="M34" i="45"/>
  <c r="R14" i="45"/>
  <c r="L14" i="45"/>
  <c r="M14" i="45"/>
  <c r="Q14" i="45"/>
  <c r="L171" i="45"/>
  <c r="Q171" i="45"/>
  <c r="R171" i="45"/>
  <c r="M171" i="45"/>
  <c r="L11" i="45"/>
  <c r="Q11" i="45"/>
  <c r="M11" i="45"/>
  <c r="R11" i="45"/>
  <c r="M230" i="45"/>
  <c r="L230" i="45"/>
  <c r="Q30" i="45"/>
  <c r="L30" i="45"/>
  <c r="M30" i="45"/>
  <c r="R30" i="45"/>
  <c r="Q330" i="45"/>
  <c r="M330" i="45"/>
  <c r="L330" i="45"/>
  <c r="R330" i="45"/>
  <c r="R209" i="45"/>
  <c r="L209" i="45"/>
  <c r="Q209" i="45"/>
  <c r="M209" i="45"/>
  <c r="R89" i="45"/>
  <c r="Q89" i="45"/>
  <c r="L89" i="45"/>
  <c r="M89" i="45"/>
  <c r="L168" i="45"/>
  <c r="M168" i="45"/>
  <c r="M207" i="45"/>
  <c r="Q207" i="45"/>
  <c r="R207" i="45"/>
  <c r="L207" i="45"/>
  <c r="R307" i="45"/>
  <c r="Q307" i="45"/>
  <c r="M307" i="45"/>
  <c r="L307" i="45"/>
  <c r="M86" i="45"/>
  <c r="Q86" i="45"/>
  <c r="R86" i="45"/>
  <c r="L86" i="45"/>
  <c r="R145" i="45"/>
  <c r="Q145" i="45"/>
  <c r="L145" i="45"/>
  <c r="M145" i="45"/>
  <c r="L121" i="45"/>
  <c r="M121" i="45"/>
  <c r="R200" i="45"/>
  <c r="L200" i="45"/>
  <c r="M200" i="45"/>
  <c r="Q200" i="45"/>
  <c r="L335" i="45"/>
  <c r="M335" i="45"/>
  <c r="R354" i="45"/>
  <c r="Q354" i="45"/>
  <c r="M354" i="45"/>
  <c r="L354" i="45"/>
  <c r="L334" i="45"/>
  <c r="R334" i="45"/>
  <c r="M334" i="45"/>
  <c r="Q334" i="45"/>
  <c r="V334" i="45"/>
  <c r="M314" i="45"/>
  <c r="L314" i="45"/>
  <c r="M274" i="45"/>
  <c r="L274" i="45"/>
  <c r="M253" i="45"/>
  <c r="L253" i="45"/>
  <c r="L233" i="45"/>
  <c r="M233" i="45"/>
  <c r="Q233" i="45"/>
  <c r="R233" i="45"/>
  <c r="L213" i="45"/>
  <c r="M213" i="45"/>
  <c r="R193" i="45"/>
  <c r="M193" i="45"/>
  <c r="Q193" i="45"/>
  <c r="L193" i="45"/>
  <c r="M173" i="45"/>
  <c r="L173" i="45"/>
  <c r="R153" i="45"/>
  <c r="Q153" i="45"/>
  <c r="L153" i="45"/>
  <c r="M153" i="45"/>
  <c r="M133" i="45"/>
  <c r="L133" i="45"/>
  <c r="M113" i="45"/>
  <c r="L113" i="45"/>
  <c r="L93" i="45"/>
  <c r="R93" i="45"/>
  <c r="Q93" i="45"/>
  <c r="M93" i="45"/>
  <c r="L73" i="45"/>
  <c r="M73" i="45"/>
  <c r="Q53" i="45"/>
  <c r="L53" i="45"/>
  <c r="R53" i="45"/>
  <c r="M53" i="45"/>
  <c r="L131" i="45"/>
  <c r="M131" i="45"/>
  <c r="M351" i="45"/>
  <c r="L351" i="45"/>
  <c r="R351" i="45"/>
  <c r="Q351" i="45"/>
  <c r="M270" i="45"/>
  <c r="R270" i="45"/>
  <c r="Q270" i="45"/>
  <c r="L270" i="45"/>
  <c r="M248" i="45"/>
  <c r="L248" i="45"/>
  <c r="M28" i="45"/>
  <c r="L28" i="45"/>
  <c r="L247" i="45"/>
  <c r="M247" i="45"/>
  <c r="M147" i="45"/>
  <c r="L147" i="45"/>
  <c r="L226" i="45"/>
  <c r="M226" i="45"/>
  <c r="L346" i="45"/>
  <c r="M346" i="45"/>
  <c r="Q225" i="45"/>
  <c r="R225" i="45"/>
  <c r="M225" i="45"/>
  <c r="L225" i="45"/>
  <c r="M161" i="45"/>
  <c r="L161" i="45"/>
  <c r="Q220" i="45"/>
  <c r="M220" i="45"/>
  <c r="L220" i="45"/>
  <c r="R220" i="45"/>
  <c r="L353" i="45"/>
  <c r="Q353" i="45"/>
  <c r="R353" i="45"/>
  <c r="M353" i="45"/>
  <c r="L333" i="45"/>
  <c r="R333" i="45"/>
  <c r="Q333" i="45"/>
  <c r="M333" i="45"/>
  <c r="L313" i="45"/>
  <c r="Q313" i="45"/>
  <c r="R313" i="45"/>
  <c r="M313" i="45"/>
  <c r="M252" i="45"/>
  <c r="Q252" i="45"/>
  <c r="R252" i="45"/>
  <c r="L252" i="45"/>
  <c r="Q232" i="45"/>
  <c r="M232" i="45"/>
  <c r="L232" i="45"/>
  <c r="R232" i="45"/>
  <c r="L212" i="45"/>
  <c r="Q212" i="45"/>
  <c r="R212" i="45"/>
  <c r="M212" i="45"/>
  <c r="Q192" i="45"/>
  <c r="M192" i="45"/>
  <c r="L192" i="45"/>
  <c r="R192" i="45"/>
  <c r="Q172" i="45"/>
  <c r="R172" i="45"/>
  <c r="L172" i="45"/>
  <c r="M172" i="45"/>
  <c r="M152" i="45"/>
  <c r="L152" i="45"/>
  <c r="Q152" i="45"/>
  <c r="R152" i="45"/>
  <c r="L132" i="45"/>
  <c r="M132" i="45"/>
  <c r="Q112" i="45"/>
  <c r="R112" i="45"/>
  <c r="M112" i="45"/>
  <c r="L112" i="45"/>
  <c r="L92" i="45"/>
  <c r="M92" i="45"/>
  <c r="L72" i="45"/>
  <c r="Q72" i="45"/>
  <c r="R72" i="45"/>
  <c r="M72" i="45"/>
  <c r="L52" i="45"/>
  <c r="M52" i="45"/>
  <c r="R52" i="45"/>
  <c r="Q52" i="45"/>
  <c r="M32" i="45"/>
  <c r="R32" i="45"/>
  <c r="L32" i="45"/>
  <c r="Q32" i="45"/>
  <c r="L12" i="45"/>
  <c r="M12" i="45"/>
  <c r="M322" i="45"/>
  <c r="L322" i="45"/>
  <c r="Q345" i="45"/>
  <c r="R345" i="45"/>
  <c r="L47" i="45"/>
  <c r="M47" i="45"/>
  <c r="M122" i="45"/>
  <c r="L122" i="45"/>
  <c r="R77" i="45"/>
  <c r="Q77" i="45"/>
  <c r="M64" i="45"/>
  <c r="L64" i="45"/>
  <c r="M41" i="45"/>
  <c r="Q41" i="45"/>
  <c r="R41" i="45"/>
  <c r="L41" i="45"/>
  <c r="M286" i="45"/>
  <c r="L286" i="45"/>
  <c r="L85" i="45"/>
  <c r="Q85" i="45"/>
  <c r="R85" i="45"/>
  <c r="M85" i="45"/>
  <c r="M6" i="53"/>
  <c r="Z3" i="53" s="1" a="1"/>
  <c r="B2" i="53"/>
  <c r="B1" i="53"/>
  <c r="R322" i="45"/>
  <c r="Q322" i="45"/>
  <c r="M345" i="45"/>
  <c r="L345" i="45"/>
  <c r="L63" i="45"/>
  <c r="M63" i="45"/>
  <c r="M77" i="45"/>
  <c r="L77" i="45"/>
  <c r="R29" i="45"/>
  <c r="Q29" i="45"/>
  <c r="M29" i="45"/>
  <c r="L29" i="45"/>
  <c r="L343" i="45"/>
  <c r="M343" i="45"/>
  <c r="M136" i="45"/>
  <c r="L136" i="45"/>
  <c r="V9" i="45"/>
  <c r="R9" i="45"/>
  <c r="Q9" i="45"/>
  <c r="V294" i="45"/>
  <c r="Q294" i="45"/>
  <c r="R294" i="45"/>
  <c r="V301" i="45"/>
  <c r="Q301" i="45"/>
  <c r="R301" i="45"/>
  <c r="V159" i="45"/>
  <c r="R159" i="45"/>
  <c r="Q159" i="45"/>
  <c r="V150" i="45"/>
  <c r="Q150" i="45"/>
  <c r="R150" i="45"/>
  <c r="V275" i="45"/>
  <c r="R275" i="45"/>
  <c r="Q275" i="45"/>
  <c r="V215" i="45"/>
  <c r="Q215" i="45"/>
  <c r="R215" i="45"/>
  <c r="V87" i="45"/>
  <c r="R87" i="45"/>
  <c r="Q87" i="45"/>
  <c r="V20" i="45"/>
  <c r="R20" i="45"/>
  <c r="Q20" i="45"/>
  <c r="V273" i="45"/>
  <c r="R273" i="45"/>
  <c r="Q273" i="45"/>
  <c r="V293" i="45"/>
  <c r="Q293" i="45"/>
  <c r="R293" i="45"/>
  <c r="V290" i="45"/>
  <c r="Q290" i="45"/>
  <c r="R290" i="45"/>
  <c r="V283" i="45"/>
  <c r="R283" i="45"/>
  <c r="Q283" i="45"/>
  <c r="V255" i="45"/>
  <c r="R255" i="45"/>
  <c r="Q255" i="45"/>
  <c r="V266" i="45"/>
  <c r="R266" i="45"/>
  <c r="Q266" i="45"/>
  <c r="V285" i="45"/>
  <c r="R285" i="45"/>
  <c r="Q285" i="45"/>
  <c r="V289" i="45"/>
  <c r="R289" i="45"/>
  <c r="Q289" i="45"/>
  <c r="V271" i="45"/>
  <c r="Q271" i="45"/>
  <c r="R271" i="45"/>
  <c r="V302" i="45"/>
  <c r="Q302" i="45"/>
  <c r="R302" i="45"/>
  <c r="V183" i="45"/>
  <c r="R183" i="45"/>
  <c r="Q183" i="45"/>
  <c r="V279" i="45"/>
  <c r="Q279" i="45"/>
  <c r="R279" i="45"/>
  <c r="V16" i="45"/>
  <c r="Q16" i="45"/>
  <c r="R16" i="45"/>
  <c r="V267" i="45"/>
  <c r="R267" i="45"/>
  <c r="Q267" i="45"/>
  <c r="Q76" i="45"/>
  <c r="R76" i="45"/>
  <c r="V295" i="45"/>
  <c r="R295" i="45"/>
  <c r="Q295" i="45"/>
  <c r="V234" i="45"/>
  <c r="R234" i="45"/>
  <c r="Q234" i="45"/>
  <c r="V287" i="45"/>
  <c r="R287" i="45"/>
  <c r="Q287" i="45"/>
  <c r="V288" i="45"/>
  <c r="R288" i="45"/>
  <c r="Q288" i="45"/>
  <c r="V55" i="45"/>
  <c r="Q55" i="45"/>
  <c r="R55" i="45"/>
  <c r="V304" i="45"/>
  <c r="R304" i="45"/>
  <c r="Q304" i="45"/>
  <c r="V35" i="45"/>
  <c r="Q35" i="45"/>
  <c r="R35" i="45"/>
  <c r="K9" i="46"/>
  <c r="O122" i="46"/>
  <c r="P122" i="46" s="1"/>
  <c r="O227" i="46"/>
  <c r="P227" i="46" s="1"/>
  <c r="O290" i="46"/>
  <c r="P290" i="46" s="1"/>
  <c r="O332" i="46"/>
  <c r="P332" i="46" s="1"/>
  <c r="O44" i="46"/>
  <c r="P44" i="46" s="1"/>
  <c r="O107" i="46"/>
  <c r="P107" i="46" s="1"/>
  <c r="O212" i="46"/>
  <c r="P212" i="46" s="1"/>
  <c r="O296" i="46"/>
  <c r="P296" i="46" s="1"/>
  <c r="O339" i="46"/>
  <c r="P339" i="46" s="1"/>
  <c r="O192" i="46"/>
  <c r="P192" i="46" s="1"/>
  <c r="O215" i="46"/>
  <c r="P215" i="46" s="1"/>
  <c r="O239" i="46"/>
  <c r="P239" i="46" s="1"/>
  <c r="O262" i="46"/>
  <c r="P262" i="46" s="1"/>
  <c r="O52" i="46"/>
  <c r="P52" i="46" s="1"/>
  <c r="O75" i="46"/>
  <c r="P75" i="46" s="1"/>
  <c r="O99" i="46"/>
  <c r="P99" i="46" s="1"/>
  <c r="O169" i="46"/>
  <c r="P169" i="46" s="1"/>
  <c r="O216" i="46"/>
  <c r="P216" i="46" s="1"/>
  <c r="O263" i="46"/>
  <c r="P263" i="46" s="1"/>
  <c r="O309" i="46"/>
  <c r="P309" i="46" s="1"/>
  <c r="O333" i="46"/>
  <c r="P333" i="46" s="1"/>
  <c r="O77" i="46"/>
  <c r="P77" i="46" s="1"/>
  <c r="O172" i="46"/>
  <c r="P172" i="46" s="1"/>
  <c r="O219" i="46"/>
  <c r="P219" i="46" s="1"/>
  <c r="O288" i="46"/>
  <c r="P288" i="46" s="1"/>
  <c r="O312" i="46"/>
  <c r="P312" i="46" s="1"/>
  <c r="O55" i="46"/>
  <c r="P55" i="46" s="1"/>
  <c r="O79" i="46"/>
  <c r="P79" i="46" s="1"/>
  <c r="O103" i="46"/>
  <c r="P103" i="46" s="1"/>
  <c r="O126" i="46"/>
  <c r="P126" i="46" s="1"/>
  <c r="O196" i="46"/>
  <c r="P196" i="46" s="1"/>
  <c r="O336" i="46"/>
  <c r="P336" i="46" s="1"/>
  <c r="O32" i="46"/>
  <c r="P32" i="46" s="1"/>
  <c r="O243" i="46"/>
  <c r="P243" i="46" s="1"/>
  <c r="O12" i="46"/>
  <c r="P12" i="46" s="1"/>
  <c r="O60" i="46"/>
  <c r="P60" i="46" s="1"/>
  <c r="O153" i="46"/>
  <c r="P153" i="46" s="1"/>
  <c r="O223" i="46"/>
  <c r="P223" i="46" s="1"/>
  <c r="O270" i="46"/>
  <c r="P270" i="46" s="1"/>
  <c r="O293" i="46"/>
  <c r="P293" i="46" s="1"/>
  <c r="O316" i="46"/>
  <c r="P316" i="46" s="1"/>
  <c r="O341" i="46"/>
  <c r="P341" i="46" s="1"/>
  <c r="O36" i="46"/>
  <c r="P36" i="46" s="1"/>
  <c r="O84" i="46"/>
  <c r="P84" i="46" s="1"/>
  <c r="O154" i="46"/>
  <c r="P154" i="46" s="1"/>
  <c r="O247" i="46"/>
  <c r="P247" i="46" s="1"/>
  <c r="O319" i="46"/>
  <c r="P319" i="46" s="1"/>
  <c r="O85" i="46"/>
  <c r="P85" i="46" s="1"/>
  <c r="O109" i="46"/>
  <c r="P109" i="46" s="1"/>
  <c r="O132" i="46"/>
  <c r="P132" i="46" s="1"/>
  <c r="O179" i="46"/>
  <c r="P179" i="46" s="1"/>
  <c r="O249" i="46"/>
  <c r="P249" i="46" s="1"/>
  <c r="O272" i="46"/>
  <c r="P272" i="46" s="1"/>
  <c r="O295" i="46"/>
  <c r="P295" i="46" s="1"/>
  <c r="O320" i="46"/>
  <c r="P320" i="46" s="1"/>
  <c r="O343" i="46"/>
  <c r="P343" i="46" s="1"/>
  <c r="O70" i="46"/>
  <c r="P70" i="46" s="1"/>
  <c r="O252" i="46"/>
  <c r="P252" i="46" s="1"/>
  <c r="O284" i="46"/>
  <c r="P284" i="46" s="1"/>
  <c r="O354" i="46"/>
  <c r="P354" i="46" s="1"/>
  <c r="O287" i="46"/>
  <c r="P287" i="46" s="1"/>
  <c r="O325" i="46"/>
  <c r="P325" i="46" s="1"/>
  <c r="O73" i="46"/>
  <c r="P73" i="46" s="1"/>
  <c r="O184" i="46"/>
  <c r="P184" i="46" s="1"/>
  <c r="O292" i="46"/>
  <c r="P292" i="46" s="1"/>
  <c r="O222" i="46"/>
  <c r="P222" i="46" s="1"/>
  <c r="O257" i="46"/>
  <c r="P257" i="46" s="1"/>
  <c r="O328" i="46"/>
  <c r="P328" i="46" s="1"/>
  <c r="O151" i="46"/>
  <c r="P151" i="46" s="1"/>
  <c r="O41" i="46"/>
  <c r="P41" i="46" s="1"/>
  <c r="O72" i="46"/>
  <c r="P72" i="46" s="1"/>
  <c r="O112" i="46"/>
  <c r="P112" i="46" s="1"/>
  <c r="O291" i="46"/>
  <c r="P291" i="46" s="1"/>
  <c r="O326" i="46"/>
  <c r="P326" i="46" s="1"/>
  <c r="O113" i="46"/>
  <c r="P113" i="46" s="1"/>
  <c r="O147" i="46"/>
  <c r="P147" i="46" s="1"/>
  <c r="O221" i="46"/>
  <c r="P221" i="46" s="1"/>
  <c r="O256" i="46"/>
  <c r="P256" i="46" s="1"/>
  <c r="O327" i="46"/>
  <c r="P327" i="46" s="1"/>
  <c r="O186" i="46"/>
  <c r="P186" i="46" s="1"/>
  <c r="O297" i="46"/>
  <c r="P297" i="46" s="1"/>
  <c r="O43" i="46"/>
  <c r="P43" i="46" s="1"/>
  <c r="O10" i="46"/>
  <c r="P10" i="46" s="1"/>
  <c r="O46" i="46"/>
  <c r="P46" i="46" s="1"/>
  <c r="O82" i="46"/>
  <c r="P82" i="46" s="1"/>
  <c r="O156" i="46"/>
  <c r="P156" i="46" s="1"/>
  <c r="O228" i="46"/>
  <c r="P228" i="46" s="1"/>
  <c r="O260" i="46"/>
  <c r="P260" i="46" s="1"/>
  <c r="O300" i="46"/>
  <c r="P300" i="46" s="1"/>
  <c r="O330" i="46"/>
  <c r="P330" i="46" s="1"/>
  <c r="O11" i="46"/>
  <c r="P11" i="46" s="1"/>
  <c r="O87" i="46"/>
  <c r="P87" i="46" s="1"/>
  <c r="O157" i="46"/>
  <c r="P157" i="46" s="1"/>
  <c r="O189" i="46"/>
  <c r="P189" i="46" s="1"/>
  <c r="O261" i="46"/>
  <c r="P261" i="46" s="1"/>
  <c r="O301" i="46"/>
  <c r="P301" i="46" s="1"/>
  <c r="O334" i="46"/>
  <c r="P334" i="46" s="1"/>
  <c r="O49" i="46"/>
  <c r="P49" i="46" s="1"/>
  <c r="O89" i="46"/>
  <c r="P89" i="46" s="1"/>
  <c r="O120" i="46"/>
  <c r="P120" i="46" s="1"/>
  <c r="O160" i="46"/>
  <c r="P160" i="46" s="1"/>
  <c r="O194" i="46"/>
  <c r="P194" i="46" s="1"/>
  <c r="O231" i="46"/>
  <c r="P231" i="46" s="1"/>
  <c r="O267" i="46"/>
  <c r="P267" i="46" s="1"/>
  <c r="O303" i="46"/>
  <c r="P303" i="46" s="1"/>
  <c r="O340" i="46"/>
  <c r="P340" i="46" s="1"/>
  <c r="O56" i="46"/>
  <c r="P56" i="46" s="1"/>
  <c r="O115" i="46"/>
  <c r="P115" i="46" s="1"/>
  <c r="O235" i="46"/>
  <c r="P235" i="46" s="1"/>
  <c r="O299" i="46"/>
  <c r="P299" i="46" s="1"/>
  <c r="O349" i="46"/>
  <c r="P349" i="46" s="1"/>
  <c r="O119" i="46"/>
  <c r="P119" i="46" s="1"/>
  <c r="O302" i="46"/>
  <c r="P302" i="46" s="1"/>
  <c r="O63" i="46"/>
  <c r="P63" i="46" s="1"/>
  <c r="O304" i="46"/>
  <c r="P304" i="46" s="1"/>
  <c r="O94" i="46"/>
  <c r="P94" i="46" s="1"/>
  <c r="O279" i="46"/>
  <c r="P279" i="46" s="1"/>
  <c r="O45" i="46"/>
  <c r="P45" i="46" s="1"/>
  <c r="O57" i="46"/>
  <c r="P57" i="46" s="1"/>
  <c r="O174" i="46"/>
  <c r="P174" i="46" s="1"/>
  <c r="O236" i="46"/>
  <c r="P236" i="46" s="1"/>
  <c r="O350" i="46"/>
  <c r="P350" i="46" s="1"/>
  <c r="O175" i="46"/>
  <c r="P175" i="46" s="1"/>
  <c r="O237" i="46"/>
  <c r="P237" i="46" s="1"/>
  <c r="O208" i="46"/>
  <c r="P208" i="46" s="1"/>
  <c r="O159" i="46"/>
  <c r="P159" i="46" s="1"/>
  <c r="O30" i="46"/>
  <c r="P30" i="46" s="1"/>
  <c r="O210" i="46"/>
  <c r="P210" i="46" s="1"/>
  <c r="O226" i="46"/>
  <c r="P226" i="46" s="1"/>
  <c r="O351" i="46"/>
  <c r="P351" i="46" s="1"/>
  <c r="O342" i="46"/>
  <c r="P342" i="46" s="1"/>
  <c r="O162" i="46"/>
  <c r="P162" i="46" s="1"/>
  <c r="O280" i="46"/>
  <c r="P280" i="46" s="1"/>
  <c r="O64" i="46"/>
  <c r="P64" i="46" s="1"/>
  <c r="O127" i="46"/>
  <c r="P127" i="46" s="1"/>
  <c r="O180" i="46"/>
  <c r="P180" i="46" s="1"/>
  <c r="O241" i="46"/>
  <c r="P241" i="46" s="1"/>
  <c r="O305" i="46"/>
  <c r="P305" i="46" s="1"/>
  <c r="O352" i="46"/>
  <c r="P352" i="46" s="1"/>
  <c r="O66" i="46"/>
  <c r="P66" i="46" s="1"/>
  <c r="O187" i="46"/>
  <c r="P187" i="46" s="1"/>
  <c r="O244" i="46"/>
  <c r="P244" i="46" s="1"/>
  <c r="O15" i="46"/>
  <c r="P15" i="46" s="1"/>
  <c r="O68" i="46"/>
  <c r="P68" i="46" s="1"/>
  <c r="O197" i="46"/>
  <c r="P197" i="46" s="1"/>
  <c r="O310" i="46"/>
  <c r="P310" i="46" s="1"/>
  <c r="O26" i="46"/>
  <c r="P26" i="46" s="1"/>
  <c r="O27" i="46"/>
  <c r="P27" i="46" s="1"/>
  <c r="O209" i="46"/>
  <c r="P209" i="46" s="1"/>
  <c r="O276" i="46"/>
  <c r="P276" i="46" s="1"/>
  <c r="O129" i="46"/>
  <c r="P129" i="46" s="1"/>
  <c r="O306" i="46"/>
  <c r="P306" i="46" s="1"/>
  <c r="O67" i="46"/>
  <c r="P67" i="46" s="1"/>
  <c r="O307" i="46"/>
  <c r="P307" i="46" s="1"/>
  <c r="O134" i="46"/>
  <c r="P134" i="46" s="1"/>
  <c r="O250" i="46"/>
  <c r="P250" i="46" s="1"/>
  <c r="O274" i="46"/>
  <c r="P274" i="46" s="1"/>
  <c r="O161" i="46"/>
  <c r="P161" i="46" s="1"/>
  <c r="O277" i="46"/>
  <c r="P277" i="46" s="1"/>
  <c r="O95" i="46"/>
  <c r="P95" i="46" s="1"/>
  <c r="O163" i="46"/>
  <c r="P163" i="46" s="1"/>
  <c r="O20" i="46"/>
  <c r="P20" i="46" s="1"/>
  <c r="O69" i="46"/>
  <c r="P69" i="46" s="1"/>
  <c r="O135" i="46"/>
  <c r="P135" i="46" s="1"/>
  <c r="O199" i="46"/>
  <c r="P199" i="46" s="1"/>
  <c r="O251" i="46"/>
  <c r="P251" i="46" s="1"/>
  <c r="O314" i="46"/>
  <c r="P314" i="46" s="1"/>
  <c r="O25" i="46"/>
  <c r="P25" i="46" s="1"/>
  <c r="O91" i="46"/>
  <c r="P91" i="46" s="1"/>
  <c r="O207" i="46"/>
  <c r="P207" i="46" s="1"/>
  <c r="O273" i="46"/>
  <c r="P273" i="46" s="1"/>
  <c r="O92" i="46"/>
  <c r="P92" i="46" s="1"/>
  <c r="O329" i="46"/>
  <c r="P329" i="46" s="1"/>
  <c r="O33" i="46"/>
  <c r="P33" i="46" s="1"/>
  <c r="O344" i="46"/>
  <c r="P344" i="46" s="1"/>
  <c r="O96" i="46"/>
  <c r="P96" i="46" s="1"/>
  <c r="O81" i="46"/>
  <c r="P81" i="46" s="1"/>
  <c r="O203" i="46"/>
  <c r="P203" i="46" s="1"/>
  <c r="O259" i="46"/>
  <c r="P259" i="46" s="1"/>
  <c r="O315" i="46"/>
  <c r="P315" i="46" s="1"/>
  <c r="O22" i="46"/>
  <c r="P22" i="46" s="1"/>
  <c r="O88" i="46"/>
  <c r="P88" i="46" s="1"/>
  <c r="O137" i="46"/>
  <c r="P137" i="46" s="1"/>
  <c r="O204" i="46"/>
  <c r="P204" i="46" s="1"/>
  <c r="O264" i="46"/>
  <c r="P264" i="46" s="1"/>
  <c r="O321" i="46"/>
  <c r="P321" i="46" s="1"/>
  <c r="O90" i="46"/>
  <c r="P90" i="46" s="1"/>
  <c r="O139" i="46"/>
  <c r="P139" i="46" s="1"/>
  <c r="O205" i="46"/>
  <c r="P205" i="46" s="1"/>
  <c r="O268" i="46"/>
  <c r="P268" i="46" s="1"/>
  <c r="O322" i="46"/>
  <c r="P322" i="46" s="1"/>
  <c r="O140" i="46"/>
  <c r="P140" i="46" s="1"/>
  <c r="O323" i="46"/>
  <c r="P323" i="46" s="1"/>
  <c r="O152" i="46"/>
  <c r="P152" i="46" s="1"/>
  <c r="O211" i="46"/>
  <c r="P211" i="46" s="1"/>
  <c r="O345" i="46"/>
  <c r="P345" i="46" s="1"/>
  <c r="O232" i="46"/>
  <c r="P232" i="46" s="1"/>
  <c r="O234" i="46"/>
  <c r="P234" i="46" s="1"/>
  <c r="O167" i="46"/>
  <c r="P167" i="46" s="1"/>
  <c r="O281" i="46"/>
  <c r="P281" i="46" s="1"/>
  <c r="O282" i="46"/>
  <c r="P282" i="46" s="1"/>
  <c r="O346" i="46"/>
  <c r="P346" i="46" s="1"/>
  <c r="O283" i="46"/>
  <c r="P283" i="46" s="1"/>
  <c r="O348" i="46"/>
  <c r="P348" i="46" s="1"/>
  <c r="O165" i="46"/>
  <c r="P165" i="46" s="1"/>
  <c r="O166" i="46"/>
  <c r="P166" i="46" s="1"/>
  <c r="O48" i="46"/>
  <c r="P48" i="46" s="1"/>
  <c r="O50" i="46"/>
  <c r="P50" i="46" s="1"/>
  <c r="O53" i="46"/>
  <c r="P53" i="46" s="1"/>
  <c r="O100" i="46"/>
  <c r="P100" i="46" s="1"/>
  <c r="O104" i="46"/>
  <c r="P104" i="46" s="1"/>
  <c r="O105" i="46"/>
  <c r="P105" i="46" s="1"/>
  <c r="O230" i="46"/>
  <c r="P230" i="46" s="1"/>
  <c r="O347" i="46"/>
  <c r="P347" i="46" s="1"/>
  <c r="O136" i="46"/>
  <c r="P136" i="46" s="1"/>
  <c r="O39" i="46"/>
  <c r="P39" i="46" s="1"/>
  <c r="O37" i="46"/>
  <c r="P37" i="46" s="1"/>
  <c r="O61" i="46"/>
  <c r="P61" i="46" s="1"/>
  <c r="O111" i="46"/>
  <c r="P111" i="46" s="1"/>
  <c r="O246" i="46"/>
  <c r="P246" i="46" s="1"/>
  <c r="O269" i="46"/>
  <c r="P269" i="46" s="1"/>
  <c r="O106" i="46"/>
  <c r="P106" i="46" s="1"/>
  <c r="O191" i="46"/>
  <c r="P191" i="46" s="1"/>
  <c r="O24" i="46"/>
  <c r="P24" i="46" s="1"/>
  <c r="O128" i="46"/>
  <c r="P128" i="46" s="1"/>
  <c r="O74" i="46"/>
  <c r="P74" i="46" s="1"/>
  <c r="O148" i="46"/>
  <c r="P148" i="46" s="1"/>
  <c r="O233" i="46"/>
  <c r="P233" i="46" s="1"/>
  <c r="O171" i="46"/>
  <c r="P171" i="46" s="1"/>
  <c r="O168" i="46"/>
  <c r="P168" i="46" s="1"/>
  <c r="O240" i="46"/>
  <c r="P240" i="46" s="1"/>
  <c r="O238" i="46"/>
  <c r="P238" i="46" s="1"/>
  <c r="O255" i="46"/>
  <c r="P255" i="46" s="1"/>
  <c r="O138" i="46"/>
  <c r="P138" i="46" s="1"/>
  <c r="O206" i="46"/>
  <c r="P206" i="46" s="1"/>
  <c r="O337" i="46"/>
  <c r="P337" i="46" s="1"/>
  <c r="O144" i="46"/>
  <c r="P144" i="46" s="1"/>
  <c r="O14" i="46"/>
  <c r="P14" i="46" s="1"/>
  <c r="O275" i="46"/>
  <c r="P275" i="46" s="1"/>
  <c r="O93" i="46"/>
  <c r="P93" i="46" s="1"/>
  <c r="O158" i="46"/>
  <c r="P158" i="46" s="1"/>
  <c r="O317" i="46"/>
  <c r="P317" i="46" s="1"/>
  <c r="O190" i="46"/>
  <c r="P190" i="46" s="1"/>
  <c r="O201" i="46"/>
  <c r="P201" i="46" s="1"/>
  <c r="O213" i="46"/>
  <c r="P213" i="46" s="1"/>
  <c r="O265" i="46"/>
  <c r="P265" i="46" s="1"/>
  <c r="O254" i="46"/>
  <c r="P254" i="46" s="1"/>
  <c r="O245" i="46"/>
  <c r="P245" i="46" s="1"/>
  <c r="O18" i="46"/>
  <c r="P18" i="46" s="1"/>
  <c r="O177" i="46"/>
  <c r="P177" i="46" s="1"/>
  <c r="O29" i="46"/>
  <c r="P29" i="46" s="1"/>
  <c r="O78" i="46"/>
  <c r="P78" i="46" s="1"/>
  <c r="O202" i="46"/>
  <c r="P202" i="46" s="1"/>
  <c r="O35" i="46"/>
  <c r="P35" i="46" s="1"/>
  <c r="O308" i="46"/>
  <c r="P308" i="46" s="1"/>
  <c r="O98" i="46"/>
  <c r="P98" i="46" s="1"/>
  <c r="O150" i="46"/>
  <c r="P150" i="46" s="1"/>
  <c r="O19" i="46"/>
  <c r="P19" i="46" s="1"/>
  <c r="O294" i="46"/>
  <c r="P294" i="46" s="1"/>
  <c r="O108" i="46"/>
  <c r="P108" i="46" s="1"/>
  <c r="O131" i="46"/>
  <c r="P131" i="46" s="1"/>
  <c r="O86" i="46"/>
  <c r="P86" i="46" s="1"/>
  <c r="O133" i="46"/>
  <c r="P133" i="46" s="1"/>
  <c r="O102" i="46"/>
  <c r="P102" i="46" s="1"/>
  <c r="O214" i="46"/>
  <c r="P214" i="46" s="1"/>
  <c r="O178" i="46"/>
  <c r="P178" i="46" s="1"/>
  <c r="O47" i="46"/>
  <c r="P47" i="46" s="1"/>
  <c r="O21" i="46"/>
  <c r="P21" i="46" s="1"/>
  <c r="O116" i="46"/>
  <c r="P116" i="46" s="1"/>
  <c r="O217" i="46"/>
  <c r="P217" i="46" s="1"/>
  <c r="O101" i="46"/>
  <c r="P101" i="46" s="1"/>
  <c r="O28" i="46"/>
  <c r="P28" i="46" s="1"/>
  <c r="O149" i="46"/>
  <c r="P149" i="46" s="1"/>
  <c r="O59" i="46"/>
  <c r="P59" i="46" s="1"/>
  <c r="O181" i="46"/>
  <c r="P181" i="46" s="1"/>
  <c r="O118" i="46"/>
  <c r="P118" i="46" s="1"/>
  <c r="O23" i="46"/>
  <c r="P23" i="46" s="1"/>
  <c r="O248" i="46"/>
  <c r="P248" i="46" s="1"/>
  <c r="O16" i="46"/>
  <c r="P16" i="46" s="1"/>
  <c r="O298" i="46"/>
  <c r="P298" i="46" s="1"/>
  <c r="O51" i="46"/>
  <c r="P51" i="46" s="1"/>
  <c r="O353" i="46"/>
  <c r="P353" i="46" s="1"/>
  <c r="O123" i="46"/>
  <c r="P123" i="46" s="1"/>
  <c r="O338" i="46"/>
  <c r="P338" i="46" s="1"/>
  <c r="O313" i="46"/>
  <c r="P313" i="46" s="1"/>
  <c r="O62" i="46"/>
  <c r="P62" i="46" s="1"/>
  <c r="O40" i="46"/>
  <c r="P40" i="46" s="1"/>
  <c r="O220" i="46"/>
  <c r="P220" i="46" s="1"/>
  <c r="O218" i="46"/>
  <c r="P218" i="46" s="1"/>
  <c r="O38" i="46"/>
  <c r="P38" i="46" s="1"/>
  <c r="O164" i="46"/>
  <c r="P164" i="46" s="1"/>
  <c r="O124" i="46"/>
  <c r="P124" i="46" s="1"/>
  <c r="O65" i="46"/>
  <c r="P65" i="46" s="1"/>
  <c r="O170" i="46"/>
  <c r="P170" i="46" s="1"/>
  <c r="O311" i="46"/>
  <c r="P311" i="46" s="1"/>
  <c r="O34" i="46"/>
  <c r="P34" i="46" s="1"/>
  <c r="O285" i="46"/>
  <c r="P285" i="46" s="1"/>
  <c r="O117" i="46"/>
  <c r="P117" i="46" s="1"/>
  <c r="O80" i="46"/>
  <c r="P80" i="46" s="1"/>
  <c r="O224" i="46"/>
  <c r="P224" i="46" s="1"/>
  <c r="O176" i="46"/>
  <c r="P176" i="46" s="1"/>
  <c r="O182" i="46"/>
  <c r="P182" i="46" s="1"/>
  <c r="O271" i="46"/>
  <c r="P271" i="46" s="1"/>
  <c r="O185" i="46"/>
  <c r="P185" i="46" s="1"/>
  <c r="O266" i="46"/>
  <c r="P266" i="46" s="1"/>
  <c r="O324" i="46"/>
  <c r="P324" i="46" s="1"/>
  <c r="O17" i="46"/>
  <c r="P17" i="46" s="1"/>
  <c r="O173" i="46"/>
  <c r="P173" i="46" s="1"/>
  <c r="O130" i="46"/>
  <c r="P130" i="46" s="1"/>
  <c r="O110" i="46"/>
  <c r="P110" i="46" s="1"/>
  <c r="O58" i="46"/>
  <c r="P58" i="46" s="1"/>
  <c r="O142" i="46"/>
  <c r="P142" i="46" s="1"/>
  <c r="O145" i="46"/>
  <c r="P145" i="46" s="1"/>
  <c r="O54" i="46"/>
  <c r="P54" i="46" s="1"/>
  <c r="O183" i="46"/>
  <c r="P183" i="46" s="1"/>
  <c r="O155" i="46"/>
  <c r="P155" i="46" s="1"/>
  <c r="O195" i="46"/>
  <c r="P195" i="46" s="1"/>
  <c r="O121" i="46"/>
  <c r="P121" i="46" s="1"/>
  <c r="O242" i="46"/>
  <c r="P242" i="46" s="1"/>
  <c r="O331" i="46"/>
  <c r="P331" i="46" s="1"/>
  <c r="O71" i="46"/>
  <c r="P71" i="46" s="1"/>
  <c r="O193" i="46"/>
  <c r="P193" i="46" s="1"/>
  <c r="O114" i="46"/>
  <c r="P114" i="46" s="1"/>
  <c r="O188" i="46"/>
  <c r="P188" i="46" s="1"/>
  <c r="O146" i="46"/>
  <c r="P146" i="46" s="1"/>
  <c r="O125" i="46"/>
  <c r="P125" i="46" s="1"/>
  <c r="O278" i="46"/>
  <c r="P278" i="46" s="1"/>
  <c r="O141" i="46"/>
  <c r="P141" i="46" s="1"/>
  <c r="O335" i="46"/>
  <c r="P335" i="46" s="1"/>
  <c r="O97" i="46"/>
  <c r="P97" i="46" s="1"/>
  <c r="O225" i="46"/>
  <c r="P225" i="46" s="1"/>
  <c r="O318" i="46"/>
  <c r="P318" i="46" s="1"/>
  <c r="O286" i="46"/>
  <c r="P286" i="46" s="1"/>
  <c r="O253" i="46"/>
  <c r="P253" i="46" s="1"/>
  <c r="O13" i="46"/>
  <c r="P13" i="46" s="1"/>
  <c r="O83" i="46"/>
  <c r="P83" i="46" s="1"/>
  <c r="O200" i="46"/>
  <c r="P200" i="46" s="1"/>
  <c r="O258" i="46"/>
  <c r="P258" i="46" s="1"/>
  <c r="O76" i="46"/>
  <c r="P76" i="46" s="1"/>
  <c r="O31" i="46"/>
  <c r="P31" i="46" s="1"/>
  <c r="O198" i="46"/>
  <c r="P198" i="46" s="1"/>
  <c r="O229" i="46"/>
  <c r="P229" i="46" s="1"/>
  <c r="O289" i="46"/>
  <c r="P289" i="46" s="1"/>
  <c r="O143" i="46"/>
  <c r="P143" i="46" s="1"/>
  <c r="O42" i="46"/>
  <c r="P42" i="46" s="1"/>
  <c r="AI348" i="41"/>
  <c r="AL348" i="41"/>
  <c r="AJ348" i="41"/>
  <c r="AM348" i="41"/>
  <c r="AN348" i="41"/>
  <c r="AG348" i="41"/>
  <c r="AK348" i="41"/>
  <c r="AH348" i="41"/>
  <c r="AK7" i="44"/>
  <c r="AL7" i="44"/>
  <c r="N260" i="45"/>
  <c r="L304" i="45"/>
  <c r="M304" i="45"/>
  <c r="M271" i="45"/>
  <c r="L271" i="45"/>
  <c r="M215" i="45"/>
  <c r="L215" i="45"/>
  <c r="M289" i="45"/>
  <c r="L289" i="45"/>
  <c r="M285" i="45"/>
  <c r="L285" i="45"/>
  <c r="M55" i="45"/>
  <c r="L55" i="45"/>
  <c r="M234" i="45"/>
  <c r="L234" i="45"/>
  <c r="M255" i="45"/>
  <c r="L255" i="45"/>
  <c r="M295" i="45"/>
  <c r="L295" i="45"/>
  <c r="M288" i="45"/>
  <c r="L288" i="45"/>
  <c r="M76" i="45"/>
  <c r="L76" i="45"/>
  <c r="M290" i="45"/>
  <c r="L290" i="45"/>
  <c r="M150" i="45"/>
  <c r="L150" i="45"/>
  <c r="M267" i="45"/>
  <c r="L267" i="45"/>
  <c r="M293" i="45"/>
  <c r="L293" i="45"/>
  <c r="L159" i="45"/>
  <c r="M159" i="45"/>
  <c r="L273" i="45"/>
  <c r="M273" i="45"/>
  <c r="L301" i="45"/>
  <c r="M301" i="45"/>
  <c r="M275" i="45"/>
  <c r="L275" i="45"/>
  <c r="M16" i="45"/>
  <c r="L16" i="45"/>
  <c r="L20" i="45"/>
  <c r="M20" i="45"/>
  <c r="M9" i="45"/>
  <c r="L9" i="45"/>
  <c r="M287" i="45"/>
  <c r="L287" i="45"/>
  <c r="M279" i="45"/>
  <c r="L279" i="45"/>
  <c r="L283" i="45"/>
  <c r="M283" i="45"/>
  <c r="L183" i="45"/>
  <c r="M183" i="45"/>
  <c r="M294" i="45"/>
  <c r="L294" i="45"/>
  <c r="L302" i="45"/>
  <c r="M302" i="45"/>
  <c r="L266" i="45"/>
  <c r="M266" i="45"/>
  <c r="M35" i="45"/>
  <c r="L35" i="45"/>
  <c r="M87" i="45"/>
  <c r="L87" i="45"/>
  <c r="I7" i="45"/>
  <c r="O9" i="46"/>
  <c r="P9" i="46" s="1"/>
  <c r="N230" i="45" l="1"/>
  <c r="N214" i="45"/>
  <c r="N10" i="45"/>
  <c r="N62" i="45"/>
  <c r="N309" i="45"/>
  <c r="N286" i="45"/>
  <c r="N161" i="45"/>
  <c r="N133" i="45"/>
  <c r="N274" i="45"/>
  <c r="N318" i="45"/>
  <c r="N203" i="45"/>
  <c r="N31" i="45"/>
  <c r="N351" i="45"/>
  <c r="N109" i="45"/>
  <c r="N282" i="45"/>
  <c r="N101" i="45"/>
  <c r="N169" i="45"/>
  <c r="N317" i="45"/>
  <c r="N165" i="45"/>
  <c r="N136" i="45"/>
  <c r="N232" i="45"/>
  <c r="N220" i="45"/>
  <c r="N125" i="45"/>
  <c r="N208" i="45"/>
  <c r="N342" i="45"/>
  <c r="N149" i="45"/>
  <c r="N298" i="45"/>
  <c r="N292" i="45"/>
  <c r="N82" i="45"/>
  <c r="N116" i="45"/>
  <c r="N64" i="45"/>
  <c r="N173" i="45"/>
  <c r="N229" i="45"/>
  <c r="N79" i="45"/>
  <c r="N146" i="45"/>
  <c r="N322" i="45"/>
  <c r="N248" i="45"/>
  <c r="N231" i="45"/>
  <c r="N332" i="45"/>
  <c r="N278" i="45"/>
  <c r="N319" i="45"/>
  <c r="N13" i="45"/>
  <c r="N29" i="45"/>
  <c r="N114" i="45"/>
  <c r="N315" i="45"/>
  <c r="N148" i="45"/>
  <c r="N218" i="45"/>
  <c r="N261" i="45"/>
  <c r="N46" i="45"/>
  <c r="N50" i="45"/>
  <c r="N221" i="45"/>
  <c r="N102" i="45"/>
  <c r="N224" i="45"/>
  <c r="N268" i="45"/>
  <c r="N207" i="45"/>
  <c r="N164" i="45"/>
  <c r="N112" i="45"/>
  <c r="N28" i="45"/>
  <c r="N68" i="45"/>
  <c r="N51" i="45"/>
  <c r="N262" i="45"/>
  <c r="N111" i="45"/>
  <c r="N312" i="45"/>
  <c r="N341" i="45"/>
  <c r="N91" i="45"/>
  <c r="N120" i="45"/>
  <c r="N252" i="45"/>
  <c r="N32" i="45"/>
  <c r="N71" i="45"/>
  <c r="N225" i="45"/>
  <c r="N314" i="45"/>
  <c r="N96" i="45"/>
  <c r="N58" i="45"/>
  <c r="N245" i="45"/>
  <c r="N188" i="45"/>
  <c r="N211" i="45"/>
  <c r="N33" i="45"/>
  <c r="N77" i="45"/>
  <c r="N86" i="45"/>
  <c r="N240" i="45"/>
  <c r="N180" i="45"/>
  <c r="N272" i="45"/>
  <c r="N324" i="45"/>
  <c r="N238" i="45"/>
  <c r="N345" i="45"/>
  <c r="N192" i="45"/>
  <c r="N354" i="45"/>
  <c r="N307" i="45"/>
  <c r="N281" i="45"/>
  <c r="N162" i="45"/>
  <c r="N217" i="45"/>
  <c r="N119" i="45"/>
  <c r="N311" i="45"/>
  <c r="N269" i="45"/>
  <c r="N122" i="45"/>
  <c r="N277" i="45"/>
  <c r="N347" i="45"/>
  <c r="N155" i="45"/>
  <c r="N336" i="45"/>
  <c r="N61" i="45"/>
  <c r="N139" i="45"/>
  <c r="N350" i="45"/>
  <c r="N182" i="45"/>
  <c r="N348" i="45"/>
  <c r="N140" i="45"/>
  <c r="N210" i="45"/>
  <c r="N23" i="45"/>
  <c r="N24" i="45"/>
  <c r="N184" i="45"/>
  <c r="N270" i="45"/>
  <c r="N113" i="45"/>
  <c r="N15" i="45"/>
  <c r="N328" i="45"/>
  <c r="N43" i="45"/>
  <c r="N44" i="45"/>
  <c r="N25" i="45"/>
  <c r="N189" i="45"/>
  <c r="N83" i="45"/>
  <c r="N65" i="45"/>
  <c r="N236" i="45"/>
  <c r="N340" i="45"/>
  <c r="N78" i="45"/>
  <c r="N141" i="45"/>
  <c r="N59" i="45"/>
  <c r="N49" i="45"/>
  <c r="N57" i="45"/>
  <c r="N81" i="45"/>
  <c r="N22" i="45"/>
  <c r="N186" i="45"/>
  <c r="N193" i="45"/>
  <c r="N206" i="45"/>
  <c r="N135" i="45"/>
  <c r="N118" i="45"/>
  <c r="N259" i="45"/>
  <c r="N250" i="45"/>
  <c r="N90" i="45"/>
  <c r="N95" i="45"/>
  <c r="N296" i="45"/>
  <c r="N228" i="45"/>
  <c r="N200" i="45"/>
  <c r="N47" i="45"/>
  <c r="N191" i="45"/>
  <c r="N197" i="45"/>
  <c r="N12" i="45"/>
  <c r="N343" i="45"/>
  <c r="N244" i="45"/>
  <c r="N84" i="45"/>
  <c r="N48" i="45"/>
  <c r="N327" i="45"/>
  <c r="N257" i="45"/>
  <c r="N253" i="45"/>
  <c r="N142" i="45"/>
  <c r="N167" i="45"/>
  <c r="N241" i="45"/>
  <c r="N300" i="45"/>
  <c r="N179" i="45"/>
  <c r="N99" i="45"/>
  <c r="N39" i="45"/>
  <c r="N339" i="45"/>
  <c r="N145" i="45"/>
  <c r="N129" i="45"/>
  <c r="N172" i="45"/>
  <c r="N151" i="45"/>
  <c r="N104" i="45"/>
  <c r="N323" i="45"/>
  <c r="N11" i="45"/>
  <c r="N147" i="45"/>
  <c r="N152" i="45"/>
  <c r="N52" i="45"/>
  <c r="N251" i="45"/>
  <c r="N330" i="45"/>
  <c r="N185" i="45"/>
  <c r="N124" i="45"/>
  <c r="N202" i="45"/>
  <c r="N239" i="45"/>
  <c r="N137" i="45"/>
  <c r="N97" i="45"/>
  <c r="N70" i="45"/>
  <c r="N276" i="45"/>
  <c r="N75" i="45"/>
  <c r="N89" i="45"/>
  <c r="N335" i="45"/>
  <c r="N92" i="45"/>
  <c r="N126" i="45"/>
  <c r="N284" i="45"/>
  <c r="N243" i="45"/>
  <c r="N223" i="45"/>
  <c r="N163" i="45"/>
  <c r="N143" i="45"/>
  <c r="N123" i="45"/>
  <c r="N106" i="45"/>
  <c r="N344" i="45"/>
  <c r="N264" i="45"/>
  <c r="N103" i="45"/>
  <c r="N242" i="45"/>
  <c r="N199" i="45"/>
  <c r="N177" i="45"/>
  <c r="N316" i="45"/>
  <c r="N235" i="45"/>
  <c r="N160" i="45"/>
  <c r="N100" i="45"/>
  <c r="N80" i="45"/>
  <c r="N60" i="45"/>
  <c r="N40" i="45"/>
  <c r="N130" i="45"/>
  <c r="N249" i="45"/>
  <c r="N127" i="45"/>
  <c r="N45" i="45"/>
  <c r="N181" i="45"/>
  <c r="N105" i="45"/>
  <c r="N337" i="45"/>
  <c r="N299" i="45"/>
  <c r="N258" i="45"/>
  <c r="N198" i="45"/>
  <c r="N178" i="45"/>
  <c r="N158" i="45"/>
  <c r="N138" i="45"/>
  <c r="N98" i="45"/>
  <c r="N38" i="45"/>
  <c r="N18" i="45"/>
  <c r="N349" i="45"/>
  <c r="N308" i="45"/>
  <c r="N107" i="45"/>
  <c r="N201" i="45"/>
  <c r="N338" i="45"/>
  <c r="N237" i="45"/>
  <c r="N132" i="45"/>
  <c r="N297" i="45"/>
  <c r="N256" i="45"/>
  <c r="N216" i="45"/>
  <c r="N196" i="45"/>
  <c r="N176" i="45"/>
  <c r="N156" i="45"/>
  <c r="N56" i="45"/>
  <c r="N36" i="45"/>
  <c r="N331" i="45"/>
  <c r="N110" i="45"/>
  <c r="N69" i="45"/>
  <c r="N88" i="45"/>
  <c r="N187" i="45"/>
  <c r="N27" i="45"/>
  <c r="N306" i="45"/>
  <c r="N205" i="45"/>
  <c r="N21" i="45"/>
  <c r="N320" i="45"/>
  <c r="N291" i="45"/>
  <c r="N334" i="45"/>
  <c r="N227" i="45"/>
  <c r="N326" i="45"/>
  <c r="N254" i="45"/>
  <c r="N194" i="45"/>
  <c r="N174" i="45"/>
  <c r="N154" i="45"/>
  <c r="N134" i="45"/>
  <c r="N94" i="45"/>
  <c r="N74" i="45"/>
  <c r="N54" i="45"/>
  <c r="N34" i="45"/>
  <c r="N14" i="45"/>
  <c r="N171" i="45"/>
  <c r="N30" i="45"/>
  <c r="N209" i="45"/>
  <c r="N121" i="45"/>
  <c r="N72" i="45"/>
  <c r="N233" i="45"/>
  <c r="N213" i="45"/>
  <c r="N153" i="45"/>
  <c r="N93" i="45"/>
  <c r="N73" i="45"/>
  <c r="N53" i="45"/>
  <c r="N131" i="45"/>
  <c r="N247" i="45"/>
  <c r="N226" i="45"/>
  <c r="N346" i="45"/>
  <c r="N353" i="45"/>
  <c r="N333" i="45"/>
  <c r="N313" i="45"/>
  <c r="N41" i="45"/>
  <c r="N85" i="45"/>
  <c r="N325" i="45"/>
  <c r="N204" i="45"/>
  <c r="N42" i="45"/>
  <c r="N128" i="45"/>
  <c r="N246" i="45"/>
  <c r="N19" i="45"/>
  <c r="N117" i="45"/>
  <c r="N195" i="45"/>
  <c r="N303" i="45"/>
  <c r="N263" i="45"/>
  <c r="N280" i="45"/>
  <c r="N219" i="45"/>
  <c r="N166" i="45"/>
  <c r="N175" i="45"/>
  <c r="N115" i="45"/>
  <c r="N170" i="45"/>
  <c r="N108" i="45"/>
  <c r="N67" i="45"/>
  <c r="N265" i="45"/>
  <c r="N352" i="45"/>
  <c r="N222" i="45"/>
  <c r="N310" i="45"/>
  <c r="N17" i="45"/>
  <c r="N190" i="45"/>
  <c r="N321" i="45"/>
  <c r="N168" i="45"/>
  <c r="N212" i="45"/>
  <c r="N26" i="45"/>
  <c r="N305" i="45"/>
  <c r="N144" i="45"/>
  <c r="N329" i="45"/>
  <c r="N66" i="45"/>
  <c r="N157" i="45"/>
  <c r="N37" i="45"/>
  <c r="Z3" i="53"/>
  <c r="N63" i="45"/>
  <c r="J76" i="45"/>
  <c r="K76" i="45" s="1"/>
  <c r="J255" i="45"/>
  <c r="K255" i="45" s="1"/>
  <c r="J287" i="45"/>
  <c r="K287" i="45" s="1"/>
  <c r="J20" i="45"/>
  <c r="K20" i="45" s="1"/>
  <c r="J234" i="45"/>
  <c r="K234" i="45" s="1"/>
  <c r="J150" i="45"/>
  <c r="K150" i="45" s="1"/>
  <c r="J285" i="45"/>
  <c r="K285" i="45" s="1"/>
  <c r="J271" i="45"/>
  <c r="K271" i="45" s="1"/>
  <c r="J290" i="45"/>
  <c r="K290" i="45" s="1"/>
  <c r="J294" i="45"/>
  <c r="K294" i="45" s="1"/>
  <c r="J87" i="45"/>
  <c r="K87" i="45" s="1"/>
  <c r="J279" i="45"/>
  <c r="K279" i="45" s="1"/>
  <c r="J159" i="45"/>
  <c r="K159" i="45" s="1"/>
  <c r="J35" i="45"/>
  <c r="K35" i="45" s="1"/>
  <c r="J16" i="45"/>
  <c r="K16" i="45" s="1"/>
  <c r="J267" i="45"/>
  <c r="K267" i="45" s="1"/>
  <c r="J301" i="45"/>
  <c r="K301" i="45" s="1"/>
  <c r="J55" i="45"/>
  <c r="K55" i="45" s="1"/>
  <c r="J273" i="45"/>
  <c r="K273" i="45" s="1"/>
  <c r="J275" i="45"/>
  <c r="K275" i="45" s="1"/>
  <c r="J295" i="45"/>
  <c r="K295" i="45" s="1"/>
  <c r="J283" i="45"/>
  <c r="K283" i="45" s="1"/>
  <c r="J266" i="45"/>
  <c r="K266" i="45" s="1"/>
  <c r="J289" i="45"/>
  <c r="K289" i="45" s="1"/>
  <c r="J293" i="45"/>
  <c r="K293" i="45" s="1"/>
  <c r="J288" i="45"/>
  <c r="K288" i="45" s="1"/>
  <c r="J215" i="45"/>
  <c r="K215" i="45" s="1"/>
  <c r="J183" i="45"/>
  <c r="K183" i="45" s="1"/>
  <c r="J302" i="45"/>
  <c r="K302" i="45" s="1"/>
  <c r="J197" i="45"/>
  <c r="K197" i="45" s="1"/>
  <c r="J25" i="45"/>
  <c r="K25" i="45" s="1"/>
  <c r="J34" i="45"/>
  <c r="K34" i="45" s="1"/>
  <c r="J272" i="45"/>
  <c r="K272" i="45" s="1"/>
  <c r="J280" i="45"/>
  <c r="K280" i="45" s="1"/>
  <c r="J292" i="45"/>
  <c r="K292" i="45" s="1"/>
  <c r="J297" i="45"/>
  <c r="K297" i="45" s="1"/>
  <c r="J278" i="45"/>
  <c r="K278" i="45" s="1"/>
  <c r="J260" i="45"/>
  <c r="K260" i="45" s="1"/>
  <c r="J133" i="45"/>
  <c r="K133" i="45" s="1"/>
  <c r="J157" i="45"/>
  <c r="K157" i="45" s="1"/>
  <c r="J304" i="45"/>
  <c r="K304" i="45" s="1"/>
  <c r="J9" i="45"/>
  <c r="K9" i="45" s="1"/>
  <c r="N293" i="45"/>
  <c r="J311" i="45"/>
  <c r="K311" i="45" s="1"/>
  <c r="J113" i="45"/>
  <c r="K113" i="45" s="1"/>
  <c r="J277" i="45"/>
  <c r="K277" i="45" s="1"/>
  <c r="J158" i="45"/>
  <c r="K158" i="45" s="1"/>
  <c r="J106" i="45"/>
  <c r="K106" i="45" s="1"/>
  <c r="J217" i="45"/>
  <c r="K217" i="45" s="1"/>
  <c r="J74" i="45"/>
  <c r="K74" i="45" s="1"/>
  <c r="J323" i="45"/>
  <c r="K323" i="45" s="1"/>
  <c r="J75" i="45"/>
  <c r="K75" i="45" s="1"/>
  <c r="J248" i="45"/>
  <c r="K248" i="45" s="1"/>
  <c r="J163" i="45"/>
  <c r="K163" i="45" s="1"/>
  <c r="J105" i="45"/>
  <c r="K105" i="45" s="1"/>
  <c r="J37" i="45"/>
  <c r="K37" i="45" s="1"/>
  <c r="Q7" i="45"/>
  <c r="S285" i="45" s="1"/>
  <c r="J337" i="45"/>
  <c r="K337" i="45" s="1"/>
  <c r="J38" i="45"/>
  <c r="K38" i="45" s="1"/>
  <c r="J231" i="45"/>
  <c r="K231" i="45" s="1"/>
  <c r="J176" i="45"/>
  <c r="K176" i="45" s="1"/>
  <c r="J188" i="45"/>
  <c r="K188" i="45" s="1"/>
  <c r="J249" i="45"/>
  <c r="K249" i="45" s="1"/>
  <c r="N267" i="45"/>
  <c r="J254" i="45"/>
  <c r="K254" i="45" s="1"/>
  <c r="J68" i="45"/>
  <c r="K68" i="45" s="1"/>
  <c r="J352" i="45"/>
  <c r="K352" i="45" s="1"/>
  <c r="J14" i="45"/>
  <c r="K14" i="45" s="1"/>
  <c r="J12" i="45"/>
  <c r="K12" i="45" s="1"/>
  <c r="J134" i="45"/>
  <c r="K134" i="45" s="1"/>
  <c r="J207" i="45"/>
  <c r="K207" i="45" s="1"/>
  <c r="J145" i="45"/>
  <c r="K145" i="45" s="1"/>
  <c r="J17" i="45"/>
  <c r="K17" i="45" s="1"/>
  <c r="N302" i="45"/>
  <c r="J62" i="45"/>
  <c r="K62" i="45" s="1"/>
  <c r="J93" i="45"/>
  <c r="K93" i="45" s="1"/>
  <c r="J69" i="45"/>
  <c r="K69" i="45" s="1"/>
  <c r="J49" i="45"/>
  <c r="K49" i="45" s="1"/>
  <c r="J128" i="45"/>
  <c r="K128" i="45" s="1"/>
  <c r="J303" i="45"/>
  <c r="K303" i="45" s="1"/>
  <c r="J338" i="45"/>
  <c r="K338" i="45" s="1"/>
  <c r="J143" i="45"/>
  <c r="K143" i="45" s="1"/>
  <c r="J84" i="45"/>
  <c r="K84" i="45" s="1"/>
  <c r="J187" i="45"/>
  <c r="K187" i="45" s="1"/>
  <c r="J130" i="45"/>
  <c r="K130" i="45" s="1"/>
  <c r="J147" i="45"/>
  <c r="K147" i="45" s="1"/>
  <c r="J111" i="45"/>
  <c r="K111" i="45" s="1"/>
  <c r="J286" i="45"/>
  <c r="K286" i="45" s="1"/>
  <c r="J54" i="45"/>
  <c r="K54" i="45" s="1"/>
  <c r="J250" i="45"/>
  <c r="K250" i="45" s="1"/>
  <c r="J329" i="45"/>
  <c r="K329" i="45" s="1"/>
  <c r="J190" i="45"/>
  <c r="K190" i="45" s="1"/>
  <c r="J339" i="45"/>
  <c r="K339" i="45" s="1"/>
  <c r="J318" i="45"/>
  <c r="K318" i="45" s="1"/>
  <c r="J313" i="45"/>
  <c r="K313" i="45" s="1"/>
  <c r="J322" i="45"/>
  <c r="K322" i="45" s="1"/>
  <c r="J236" i="45"/>
  <c r="K236" i="45" s="1"/>
  <c r="J315" i="45"/>
  <c r="K315" i="45" s="1"/>
  <c r="J247" i="45"/>
  <c r="K247" i="45" s="1"/>
  <c r="J184" i="45"/>
  <c r="K184" i="45" s="1"/>
  <c r="J139" i="45"/>
  <c r="K139" i="45" s="1"/>
  <c r="J64" i="45"/>
  <c r="K64" i="45" s="1"/>
  <c r="J52" i="45"/>
  <c r="K52" i="45" s="1"/>
  <c r="J246" i="45"/>
  <c r="K246" i="45" s="1"/>
  <c r="J230" i="45"/>
  <c r="K230" i="45" s="1"/>
  <c r="J22" i="45"/>
  <c r="K22" i="45" s="1"/>
  <c r="J81" i="45"/>
  <c r="K81" i="45" s="1"/>
  <c r="J43" i="45"/>
  <c r="K43" i="45" s="1"/>
  <c r="J65" i="45"/>
  <c r="K65" i="45" s="1"/>
  <c r="J151" i="45"/>
  <c r="K151" i="45" s="1"/>
  <c r="J227" i="45"/>
  <c r="K227" i="45" s="1"/>
  <c r="J310" i="45"/>
  <c r="K310" i="45" s="1"/>
  <c r="N215" i="45"/>
  <c r="J203" i="45"/>
  <c r="K203" i="45" s="1"/>
  <c r="J320" i="45"/>
  <c r="K320" i="45" s="1"/>
  <c r="J61" i="45"/>
  <c r="K61" i="45" s="1"/>
  <c r="J169" i="45"/>
  <c r="K169" i="45" s="1"/>
  <c r="J179" i="45"/>
  <c r="K179" i="45" s="1"/>
  <c r="J284" i="45"/>
  <c r="K284" i="45" s="1"/>
  <c r="J245" i="45"/>
  <c r="K245" i="45" s="1"/>
  <c r="J119" i="45"/>
  <c r="K119" i="45" s="1"/>
  <c r="J123" i="45"/>
  <c r="K123" i="45" s="1"/>
  <c r="J56" i="45"/>
  <c r="K56" i="45" s="1"/>
  <c r="J219" i="45"/>
  <c r="K219" i="45" s="1"/>
  <c r="J335" i="45"/>
  <c r="K335" i="45" s="1"/>
  <c r="J336" i="45"/>
  <c r="K336" i="45" s="1"/>
  <c r="J212" i="45"/>
  <c r="K212" i="45" s="1"/>
  <c r="J138" i="45"/>
  <c r="K138" i="45" s="1"/>
  <c r="J241" i="45"/>
  <c r="K241" i="45" s="1"/>
  <c r="J102" i="45"/>
  <c r="K102" i="45" s="1"/>
  <c r="J238" i="45"/>
  <c r="K238" i="45" s="1"/>
  <c r="J127" i="45"/>
  <c r="K127" i="45" s="1"/>
  <c r="J164" i="45"/>
  <c r="K164" i="45" s="1"/>
  <c r="J221" i="45"/>
  <c r="K221" i="45" s="1"/>
  <c r="J60" i="45"/>
  <c r="K60" i="45" s="1"/>
  <c r="J349" i="45"/>
  <c r="K349" i="45" s="1"/>
  <c r="J30" i="45"/>
  <c r="K30" i="45" s="1"/>
  <c r="J39" i="45"/>
  <c r="K39" i="45" s="1"/>
  <c r="J202" i="45"/>
  <c r="K202" i="45" s="1"/>
  <c r="J216" i="45"/>
  <c r="K216" i="45" s="1"/>
  <c r="J100" i="45"/>
  <c r="K100" i="45" s="1"/>
  <c r="J160" i="45"/>
  <c r="K160" i="45" s="1"/>
  <c r="J192" i="45"/>
  <c r="K192" i="45" s="1"/>
  <c r="J351" i="45"/>
  <c r="K351" i="45" s="1"/>
  <c r="J24" i="45"/>
  <c r="K24" i="45" s="1"/>
  <c r="J263" i="45"/>
  <c r="K263" i="45" s="1"/>
  <c r="J198" i="45"/>
  <c r="K198" i="45" s="1"/>
  <c r="J165" i="45"/>
  <c r="K165" i="45" s="1"/>
  <c r="J354" i="45"/>
  <c r="K354" i="45" s="1"/>
  <c r="J125" i="45"/>
  <c r="K125" i="45" s="1"/>
  <c r="J156" i="45"/>
  <c r="K156" i="45" s="1"/>
  <c r="J333" i="45"/>
  <c r="K333" i="45" s="1"/>
  <c r="J118" i="45"/>
  <c r="K118" i="45" s="1"/>
  <c r="J161" i="45"/>
  <c r="K161" i="45" s="1"/>
  <c r="J122" i="45"/>
  <c r="K122" i="45" s="1"/>
  <c r="J228" i="45"/>
  <c r="K228" i="45" s="1"/>
  <c r="J45" i="45"/>
  <c r="K45" i="45" s="1"/>
  <c r="J66" i="45"/>
  <c r="K66" i="45" s="1"/>
  <c r="J32" i="45"/>
  <c r="K32" i="45" s="1"/>
  <c r="J222" i="45"/>
  <c r="K222" i="45" s="1"/>
  <c r="J305" i="45"/>
  <c r="K305" i="45" s="1"/>
  <c r="J224" i="45"/>
  <c r="K224" i="45" s="1"/>
  <c r="J28" i="45"/>
  <c r="K28" i="45" s="1"/>
  <c r="J23" i="45"/>
  <c r="K23" i="45" s="1"/>
  <c r="J70" i="45"/>
  <c r="K70" i="45" s="1"/>
  <c r="J40" i="45"/>
  <c r="K40" i="45" s="1"/>
  <c r="J108" i="45"/>
  <c r="K108" i="45" s="1"/>
  <c r="J86" i="45"/>
  <c r="K86" i="45" s="1"/>
  <c r="J77" i="45"/>
  <c r="K77" i="45" s="1"/>
  <c r="J172" i="45"/>
  <c r="K172" i="45" s="1"/>
  <c r="J300" i="45"/>
  <c r="K300" i="45" s="1"/>
  <c r="J232" i="45"/>
  <c r="K232" i="45" s="1"/>
  <c r="J256" i="45"/>
  <c r="K256" i="45" s="1"/>
  <c r="J210" i="45"/>
  <c r="K210" i="45" s="1"/>
  <c r="J126" i="45"/>
  <c r="K126" i="45" s="1"/>
  <c r="J353" i="45"/>
  <c r="K353" i="45" s="1"/>
  <c r="J321" i="45"/>
  <c r="K321" i="45" s="1"/>
  <c r="J274" i="45"/>
  <c r="K274" i="45" s="1"/>
  <c r="J89" i="45"/>
  <c r="K89" i="45" s="1"/>
  <c r="J78" i="45"/>
  <c r="K78" i="45" s="1"/>
  <c r="J206" i="45"/>
  <c r="K206" i="45" s="1"/>
  <c r="J136" i="45"/>
  <c r="K136" i="45" s="1"/>
  <c r="J346" i="45"/>
  <c r="K346" i="45" s="1"/>
  <c r="J208" i="45"/>
  <c r="K208" i="45" s="1"/>
  <c r="J124" i="45"/>
  <c r="K124" i="45" s="1"/>
  <c r="J140" i="45"/>
  <c r="K140" i="45" s="1"/>
  <c r="J298" i="45"/>
  <c r="K298" i="45" s="1"/>
  <c r="J59" i="45"/>
  <c r="K59" i="45" s="1"/>
  <c r="J181" i="45"/>
  <c r="K181" i="45" s="1"/>
  <c r="J200" i="45"/>
  <c r="K200" i="45" s="1"/>
  <c r="J257" i="45"/>
  <c r="K257" i="45" s="1"/>
  <c r="J345" i="45"/>
  <c r="K345" i="45" s="1"/>
  <c r="J235" i="45"/>
  <c r="K235" i="45" s="1"/>
  <c r="J26" i="45"/>
  <c r="K26" i="45" s="1"/>
  <c r="J167" i="45"/>
  <c r="K167" i="45" s="1"/>
  <c r="J342" i="45"/>
  <c r="K342" i="45" s="1"/>
  <c r="J112" i="45"/>
  <c r="K112" i="45" s="1"/>
  <c r="L7" i="45"/>
  <c r="J168" i="45"/>
  <c r="K168" i="45" s="1"/>
  <c r="J58" i="45"/>
  <c r="K58" i="45" s="1"/>
  <c r="J213" i="45"/>
  <c r="K213" i="45" s="1"/>
  <c r="J343" i="45"/>
  <c r="K343" i="45" s="1"/>
  <c r="J19" i="45"/>
  <c r="K19" i="45" s="1"/>
  <c r="J104" i="45"/>
  <c r="K104" i="45" s="1"/>
  <c r="J50" i="45"/>
  <c r="K50" i="45" s="1"/>
  <c r="J331" i="45"/>
  <c r="K331" i="45" s="1"/>
  <c r="J177" i="45"/>
  <c r="K177" i="45" s="1"/>
  <c r="J80" i="45"/>
  <c r="K80" i="45" s="1"/>
  <c r="J53" i="45"/>
  <c r="K53" i="45" s="1"/>
  <c r="J196" i="45"/>
  <c r="K196" i="45" s="1"/>
  <c r="J175" i="45"/>
  <c r="K175" i="45" s="1"/>
  <c r="J109" i="45"/>
  <c r="K109" i="45" s="1"/>
  <c r="J94" i="45"/>
  <c r="K94" i="45" s="1"/>
  <c r="J135" i="45"/>
  <c r="K135" i="45" s="1"/>
  <c r="J225" i="45"/>
  <c r="K225" i="45" s="1"/>
  <c r="J137" i="45"/>
  <c r="K137" i="45" s="1"/>
  <c r="J173" i="45"/>
  <c r="K173" i="45" s="1"/>
  <c r="J325" i="45"/>
  <c r="K325" i="45" s="1"/>
  <c r="J82" i="45"/>
  <c r="K82" i="45" s="1"/>
  <c r="J96" i="45"/>
  <c r="K96" i="45" s="1"/>
  <c r="J42" i="45"/>
  <c r="K42" i="45" s="1"/>
  <c r="J205" i="45"/>
  <c r="K205" i="45" s="1"/>
  <c r="J350" i="45"/>
  <c r="K350" i="45" s="1"/>
  <c r="J319" i="45"/>
  <c r="K319" i="45" s="1"/>
  <c r="J199" i="45"/>
  <c r="K199" i="45" s="1"/>
  <c r="J146" i="45"/>
  <c r="K146" i="45" s="1"/>
  <c r="J63" i="45"/>
  <c r="K63" i="45" s="1"/>
  <c r="J18" i="45"/>
  <c r="K18" i="45" s="1"/>
  <c r="J281" i="45"/>
  <c r="K281" i="45" s="1"/>
  <c r="J178" i="45"/>
  <c r="K178" i="45" s="1"/>
  <c r="J296" i="45"/>
  <c r="K296" i="45" s="1"/>
  <c r="J327" i="45"/>
  <c r="K327" i="45" s="1"/>
  <c r="J240" i="45"/>
  <c r="K240" i="45" s="1"/>
  <c r="J85" i="45"/>
  <c r="K85" i="45" s="1"/>
  <c r="J132" i="45"/>
  <c r="K132" i="45" s="1"/>
  <c r="J29" i="45"/>
  <c r="K29" i="45" s="1"/>
  <c r="J36" i="45"/>
  <c r="K36" i="45" s="1"/>
  <c r="J314" i="45"/>
  <c r="K314" i="45" s="1"/>
  <c r="J170" i="45"/>
  <c r="K170" i="45" s="1"/>
  <c r="J15" i="45"/>
  <c r="K15" i="45" s="1"/>
  <c r="J195" i="45"/>
  <c r="K195" i="45" s="1"/>
  <c r="N255" i="45"/>
  <c r="N287" i="45"/>
  <c r="N275" i="45"/>
  <c r="N20" i="45"/>
  <c r="N283" i="45"/>
  <c r="N289" i="45"/>
  <c r="J41" i="45"/>
  <c r="K41" i="45" s="1"/>
  <c r="J21" i="45"/>
  <c r="K21" i="45" s="1"/>
  <c r="J276" i="45"/>
  <c r="K276" i="45" s="1"/>
  <c r="J306" i="45"/>
  <c r="K306" i="45" s="1"/>
  <c r="J57" i="45"/>
  <c r="K57" i="45" s="1"/>
  <c r="N285" i="45"/>
  <c r="N290" i="45"/>
  <c r="N288" i="45"/>
  <c r="N294" i="45"/>
  <c r="N87" i="45"/>
  <c r="N271" i="45"/>
  <c r="J334" i="45"/>
  <c r="K334" i="45" s="1"/>
  <c r="J328" i="45"/>
  <c r="K328" i="45" s="1"/>
  <c r="N183" i="45"/>
  <c r="N159" i="45"/>
  <c r="N279" i="45"/>
  <c r="J186" i="45"/>
  <c r="K186" i="45" s="1"/>
  <c r="J13" i="45"/>
  <c r="K13" i="45" s="1"/>
  <c r="J73" i="45"/>
  <c r="K73" i="45" s="1"/>
  <c r="J48" i="45"/>
  <c r="K48" i="45" s="1"/>
  <c r="J214" i="45"/>
  <c r="K214" i="45" s="1"/>
  <c r="J316" i="45"/>
  <c r="K316" i="45" s="1"/>
  <c r="J31" i="45"/>
  <c r="K31" i="45" s="1"/>
  <c r="J237" i="45"/>
  <c r="K237" i="45" s="1"/>
  <c r="J107" i="45"/>
  <c r="K107" i="45" s="1"/>
  <c r="J330" i="45"/>
  <c r="K330" i="45" s="1"/>
  <c r="J120" i="45"/>
  <c r="K120" i="45" s="1"/>
  <c r="J326" i="45"/>
  <c r="K326" i="45" s="1"/>
  <c r="J92" i="45"/>
  <c r="K92" i="45" s="1"/>
  <c r="J10" i="45"/>
  <c r="K10" i="45" s="1"/>
  <c r="J282" i="45"/>
  <c r="K282" i="45" s="1"/>
  <c r="J348" i="45"/>
  <c r="K348" i="45" s="1"/>
  <c r="J239" i="45"/>
  <c r="K239" i="45" s="1"/>
  <c r="J88" i="45"/>
  <c r="K88" i="45" s="1"/>
  <c r="J201" i="45"/>
  <c r="K201" i="45" s="1"/>
  <c r="J218" i="45"/>
  <c r="K218" i="45" s="1"/>
  <c r="J142" i="45"/>
  <c r="K142" i="45" s="1"/>
  <c r="J243" i="45"/>
  <c r="K243" i="45" s="1"/>
  <c r="J180" i="45"/>
  <c r="K180" i="45" s="1"/>
  <c r="N16" i="45"/>
  <c r="N273" i="45"/>
  <c r="N76" i="45"/>
  <c r="J152" i="45"/>
  <c r="K152" i="45" s="1"/>
  <c r="J121" i="45"/>
  <c r="K121" i="45" s="1"/>
  <c r="J209" i="45"/>
  <c r="K209" i="45" s="1"/>
  <c r="J312" i="45"/>
  <c r="K312" i="45" s="1"/>
  <c r="J72" i="45"/>
  <c r="K72" i="45" s="1"/>
  <c r="J265" i="45"/>
  <c r="K265" i="45" s="1"/>
  <c r="J115" i="45"/>
  <c r="K115" i="45" s="1"/>
  <c r="J79" i="45"/>
  <c r="K79" i="45" s="1"/>
  <c r="J182" i="45"/>
  <c r="K182" i="45" s="1"/>
  <c r="J344" i="45"/>
  <c r="K344" i="45" s="1"/>
  <c r="J33" i="45"/>
  <c r="K33" i="45" s="1"/>
  <c r="J162" i="45"/>
  <c r="K162" i="45" s="1"/>
  <c r="J11" i="45"/>
  <c r="K11" i="45" s="1"/>
  <c r="J46" i="45"/>
  <c r="K46" i="45" s="1"/>
  <c r="J258" i="45"/>
  <c r="K258" i="45" s="1"/>
  <c r="J341" i="45"/>
  <c r="K341" i="45" s="1"/>
  <c r="J347" i="45"/>
  <c r="K347" i="45" s="1"/>
  <c r="J226" i="45"/>
  <c r="K226" i="45" s="1"/>
  <c r="J97" i="45"/>
  <c r="K97" i="45" s="1"/>
  <c r="J262" i="45"/>
  <c r="K262" i="45" s="1"/>
  <c r="J264" i="45"/>
  <c r="K264" i="45" s="1"/>
  <c r="J171" i="45"/>
  <c r="K171" i="45" s="1"/>
  <c r="J223" i="45"/>
  <c r="K223" i="45" s="1"/>
  <c r="J220" i="45"/>
  <c r="K220" i="45" s="1"/>
  <c r="J268" i="45"/>
  <c r="K268" i="45" s="1"/>
  <c r="J141" i="45"/>
  <c r="K141" i="45" s="1"/>
  <c r="J332" i="45"/>
  <c r="K332" i="45" s="1"/>
  <c r="J252" i="45"/>
  <c r="K252" i="45" s="1"/>
  <c r="N150" i="45"/>
  <c r="N234" i="45"/>
  <c r="N301" i="45"/>
  <c r="R7" i="45"/>
  <c r="J83" i="45"/>
  <c r="K83" i="45" s="1"/>
  <c r="J153" i="45"/>
  <c r="K153" i="45" s="1"/>
  <c r="J117" i="45"/>
  <c r="K117" i="45" s="1"/>
  <c r="J307" i="45"/>
  <c r="K307" i="45" s="1"/>
  <c r="J244" i="45"/>
  <c r="K244" i="45" s="1"/>
  <c r="J174" i="45"/>
  <c r="K174" i="45" s="1"/>
  <c r="J103" i="45"/>
  <c r="K103" i="45" s="1"/>
  <c r="J131" i="45"/>
  <c r="K131" i="45" s="1"/>
  <c r="J193" i="45"/>
  <c r="K193" i="45" s="1"/>
  <c r="J95" i="45"/>
  <c r="K95" i="45" s="1"/>
  <c r="J261" i="45"/>
  <c r="K261" i="45" s="1"/>
  <c r="J189" i="45"/>
  <c r="K189" i="45" s="1"/>
  <c r="J129" i="45"/>
  <c r="K129" i="45" s="1"/>
  <c r="J233" i="45"/>
  <c r="K233" i="45" s="1"/>
  <c r="J211" i="45"/>
  <c r="K211" i="45" s="1"/>
  <c r="J47" i="45"/>
  <c r="K47" i="45" s="1"/>
  <c r="J324" i="45"/>
  <c r="K324" i="45" s="1"/>
  <c r="J27" i="45"/>
  <c r="K27" i="45" s="1"/>
  <c r="J98" i="45"/>
  <c r="K98" i="45" s="1"/>
  <c r="J309" i="45"/>
  <c r="K309" i="45" s="1"/>
  <c r="J116" i="45"/>
  <c r="K116" i="45" s="1"/>
  <c r="J71" i="45"/>
  <c r="K71" i="45" s="1"/>
  <c r="N55" i="45"/>
  <c r="N304" i="45"/>
  <c r="N9" i="45"/>
  <c r="J242" i="45"/>
  <c r="K242" i="45" s="1"/>
  <c r="J99" i="45"/>
  <c r="K99" i="45" s="1"/>
  <c r="J44" i="45"/>
  <c r="K44" i="45" s="1"/>
  <c r="J204" i="45"/>
  <c r="K204" i="45" s="1"/>
  <c r="J194" i="45"/>
  <c r="K194" i="45" s="1"/>
  <c r="J149" i="45"/>
  <c r="K149" i="45" s="1"/>
  <c r="J154" i="45"/>
  <c r="K154" i="45" s="1"/>
  <c r="J144" i="45"/>
  <c r="K144" i="45" s="1"/>
  <c r="J229" i="45"/>
  <c r="K229" i="45" s="1"/>
  <c r="J299" i="45"/>
  <c r="K299" i="45" s="1"/>
  <c r="J114" i="45"/>
  <c r="K114" i="45" s="1"/>
  <c r="J251" i="45"/>
  <c r="K251" i="45" s="1"/>
  <c r="J270" i="45"/>
  <c r="K270" i="45" s="1"/>
  <c r="J291" i="45"/>
  <c r="K291" i="45" s="1"/>
  <c r="J91" i="45"/>
  <c r="K91" i="45" s="1"/>
  <c r="J90" i="45"/>
  <c r="K90" i="45" s="1"/>
  <c r="J110" i="45"/>
  <c r="K110" i="45" s="1"/>
  <c r="J340" i="45"/>
  <c r="K340" i="45" s="1"/>
  <c r="J67" i="45"/>
  <c r="K67" i="45" s="1"/>
  <c r="J259" i="45"/>
  <c r="K259" i="45" s="1"/>
  <c r="J269" i="45"/>
  <c r="K269" i="45" s="1"/>
  <c r="J253" i="45"/>
  <c r="K253" i="45" s="1"/>
  <c r="J185" i="45"/>
  <c r="K185" i="45" s="1"/>
  <c r="J155" i="45"/>
  <c r="K155" i="45" s="1"/>
  <c r="J166" i="45"/>
  <c r="K166" i="45" s="1"/>
  <c r="J148" i="45"/>
  <c r="K148" i="45" s="1"/>
  <c r="J191" i="45"/>
  <c r="K191" i="45" s="1"/>
  <c r="J101" i="45"/>
  <c r="K101" i="45" s="1"/>
  <c r="J317" i="45"/>
  <c r="K317" i="45" s="1"/>
  <c r="J51" i="45"/>
  <c r="K51" i="45" s="1"/>
  <c r="J308" i="45"/>
  <c r="K308" i="45" s="1"/>
  <c r="N295" i="45"/>
  <c r="N266" i="45"/>
  <c r="N35" i="45"/>
  <c r="AF7" i="44"/>
  <c r="AC5" i="44"/>
  <c r="AC8" i="44"/>
  <c r="AA8" i="44"/>
  <c r="X10" i="44"/>
  <c r="V10" i="45" s="1"/>
  <c r="X11" i="44"/>
  <c r="V11" i="45" s="1"/>
  <c r="X12" i="44"/>
  <c r="V12" i="45" s="1"/>
  <c r="X13" i="44"/>
  <c r="V13" i="45" s="1"/>
  <c r="X14" i="44"/>
  <c r="V14" i="45" s="1"/>
  <c r="X15" i="44"/>
  <c r="V15" i="45" s="1"/>
  <c r="X16" i="44"/>
  <c r="X17" i="44"/>
  <c r="V17" i="45" s="1"/>
  <c r="X18" i="44"/>
  <c r="V18" i="45" s="1"/>
  <c r="X19" i="44"/>
  <c r="V19" i="45" s="1"/>
  <c r="X20" i="44"/>
  <c r="X21" i="44"/>
  <c r="V21" i="45" s="1"/>
  <c r="X22" i="44"/>
  <c r="V22" i="45" s="1"/>
  <c r="X23" i="44"/>
  <c r="V23" i="45" s="1"/>
  <c r="X24" i="44"/>
  <c r="V24" i="45" s="1"/>
  <c r="X25" i="44"/>
  <c r="X26" i="44"/>
  <c r="V26" i="45" s="1"/>
  <c r="X27" i="44"/>
  <c r="V27" i="45" s="1"/>
  <c r="X28" i="44"/>
  <c r="V28" i="45" s="1"/>
  <c r="X29" i="44"/>
  <c r="V29" i="45" s="1"/>
  <c r="X30" i="44"/>
  <c r="V30" i="45" s="1"/>
  <c r="X31" i="44"/>
  <c r="V31" i="45" s="1"/>
  <c r="X32" i="44"/>
  <c r="V32" i="45" s="1"/>
  <c r="X33" i="44"/>
  <c r="V33" i="45" s="1"/>
  <c r="X34" i="44"/>
  <c r="X35" i="44"/>
  <c r="X36" i="44"/>
  <c r="V36" i="45" s="1"/>
  <c r="X37" i="44"/>
  <c r="V37" i="45" s="1"/>
  <c r="X38" i="44"/>
  <c r="V38" i="45" s="1"/>
  <c r="X39" i="44"/>
  <c r="V39" i="45" s="1"/>
  <c r="X40" i="44"/>
  <c r="V40" i="45" s="1"/>
  <c r="X41" i="44"/>
  <c r="V41" i="45" s="1"/>
  <c r="X42" i="44"/>
  <c r="V42" i="45" s="1"/>
  <c r="X43" i="44"/>
  <c r="V43" i="45" s="1"/>
  <c r="X44" i="44"/>
  <c r="V44" i="45" s="1"/>
  <c r="X45" i="44"/>
  <c r="V45" i="45" s="1"/>
  <c r="X46" i="44"/>
  <c r="V46" i="45" s="1"/>
  <c r="X47" i="44"/>
  <c r="V47" i="45" s="1"/>
  <c r="X48" i="44"/>
  <c r="V48" i="45" s="1"/>
  <c r="X49" i="44"/>
  <c r="V49" i="45" s="1"/>
  <c r="X50" i="44"/>
  <c r="V50" i="45" s="1"/>
  <c r="X51" i="44"/>
  <c r="V51" i="45" s="1"/>
  <c r="X52" i="44"/>
  <c r="V52" i="45" s="1"/>
  <c r="X53" i="44"/>
  <c r="V53" i="45" s="1"/>
  <c r="X54" i="44"/>
  <c r="V54" i="45" s="1"/>
  <c r="X55" i="44"/>
  <c r="X56" i="44"/>
  <c r="V56" i="45" s="1"/>
  <c r="X57" i="44"/>
  <c r="V57" i="45" s="1"/>
  <c r="X58" i="44"/>
  <c r="V58" i="45" s="1"/>
  <c r="X59" i="44"/>
  <c r="V59" i="45" s="1"/>
  <c r="X60" i="44"/>
  <c r="V60" i="45" s="1"/>
  <c r="X61" i="44"/>
  <c r="V61" i="45" s="1"/>
  <c r="X62" i="44"/>
  <c r="V62" i="45" s="1"/>
  <c r="X63" i="44"/>
  <c r="V63" i="45" s="1"/>
  <c r="X64" i="44"/>
  <c r="V64" i="45" s="1"/>
  <c r="X65" i="44"/>
  <c r="X66" i="44"/>
  <c r="V66" i="45" s="1"/>
  <c r="X67" i="44"/>
  <c r="V67" i="45" s="1"/>
  <c r="X68" i="44"/>
  <c r="V68" i="45" s="1"/>
  <c r="X69" i="44"/>
  <c r="V69" i="45" s="1"/>
  <c r="X70" i="44"/>
  <c r="V70" i="45" s="1"/>
  <c r="X71" i="44"/>
  <c r="V71" i="45" s="1"/>
  <c r="X72" i="44"/>
  <c r="V72" i="45" s="1"/>
  <c r="X73" i="44"/>
  <c r="V73" i="45" s="1"/>
  <c r="X74" i="44"/>
  <c r="V74" i="45" s="1"/>
  <c r="X75" i="44"/>
  <c r="V75" i="45" s="1"/>
  <c r="X76" i="44"/>
  <c r="V76" i="45" s="1"/>
  <c r="X77" i="44"/>
  <c r="V77" i="45" s="1"/>
  <c r="X78" i="44"/>
  <c r="V78" i="45" s="1"/>
  <c r="X79" i="44"/>
  <c r="V79" i="45" s="1"/>
  <c r="X80" i="44"/>
  <c r="V80" i="45" s="1"/>
  <c r="X81" i="44"/>
  <c r="V81" i="45" s="1"/>
  <c r="X82" i="44"/>
  <c r="V82" i="45" s="1"/>
  <c r="X83" i="44"/>
  <c r="V83" i="45" s="1"/>
  <c r="X84" i="44"/>
  <c r="V84" i="45" s="1"/>
  <c r="X85" i="44"/>
  <c r="V85" i="45" s="1"/>
  <c r="X86" i="44"/>
  <c r="V86" i="45" s="1"/>
  <c r="X87" i="44"/>
  <c r="X88" i="44"/>
  <c r="V88" i="45" s="1"/>
  <c r="X89" i="44"/>
  <c r="V89" i="45" s="1"/>
  <c r="X90" i="44"/>
  <c r="V90" i="45" s="1"/>
  <c r="X91" i="44"/>
  <c r="V91" i="45" s="1"/>
  <c r="X92" i="44"/>
  <c r="V92" i="45" s="1"/>
  <c r="X93" i="44"/>
  <c r="V93" i="45" s="1"/>
  <c r="X94" i="44"/>
  <c r="V94" i="45" s="1"/>
  <c r="X95" i="44"/>
  <c r="V95" i="45" s="1"/>
  <c r="X96" i="44"/>
  <c r="V96" i="45" s="1"/>
  <c r="X97" i="44"/>
  <c r="V97" i="45" s="1"/>
  <c r="X98" i="44"/>
  <c r="V98" i="45" s="1"/>
  <c r="X99" i="44"/>
  <c r="V99" i="45" s="1"/>
  <c r="X100" i="44"/>
  <c r="V100" i="45" s="1"/>
  <c r="X101" i="44"/>
  <c r="V101" i="45" s="1"/>
  <c r="X102" i="44"/>
  <c r="V102" i="45" s="1"/>
  <c r="X103" i="44"/>
  <c r="V103" i="45" s="1"/>
  <c r="X104" i="44"/>
  <c r="V104" i="45" s="1"/>
  <c r="X105" i="44"/>
  <c r="V105" i="45" s="1"/>
  <c r="X106" i="44"/>
  <c r="V106" i="45" s="1"/>
  <c r="X107" i="44"/>
  <c r="V107" i="45" s="1"/>
  <c r="X108" i="44"/>
  <c r="V108" i="45" s="1"/>
  <c r="X109" i="44"/>
  <c r="V109" i="45" s="1"/>
  <c r="X110" i="44"/>
  <c r="V110" i="45" s="1"/>
  <c r="X111" i="44"/>
  <c r="V111" i="45" s="1"/>
  <c r="X112" i="44"/>
  <c r="V112" i="45" s="1"/>
  <c r="X113" i="44"/>
  <c r="V113" i="45" s="1"/>
  <c r="X114" i="44"/>
  <c r="V114" i="45" s="1"/>
  <c r="X115" i="44"/>
  <c r="V115" i="45" s="1"/>
  <c r="X116" i="44"/>
  <c r="V116" i="45" s="1"/>
  <c r="X117" i="44"/>
  <c r="V117" i="45" s="1"/>
  <c r="X118" i="44"/>
  <c r="V118" i="45" s="1"/>
  <c r="X119" i="44"/>
  <c r="V119" i="45" s="1"/>
  <c r="X120" i="44"/>
  <c r="X121" i="44"/>
  <c r="V121" i="45" s="1"/>
  <c r="X122" i="44"/>
  <c r="V122" i="45" s="1"/>
  <c r="X123" i="44"/>
  <c r="V123" i="45" s="1"/>
  <c r="X124" i="44"/>
  <c r="V124" i="45" s="1"/>
  <c r="X125" i="44"/>
  <c r="V125" i="45" s="1"/>
  <c r="X126" i="44"/>
  <c r="V126" i="45" s="1"/>
  <c r="X127" i="44"/>
  <c r="V127" i="45" s="1"/>
  <c r="X128" i="44"/>
  <c r="V128" i="45" s="1"/>
  <c r="X129" i="44"/>
  <c r="V129" i="45" s="1"/>
  <c r="X130" i="44"/>
  <c r="V130" i="45" s="1"/>
  <c r="X131" i="44"/>
  <c r="V131" i="45" s="1"/>
  <c r="X132" i="44"/>
  <c r="V132" i="45" s="1"/>
  <c r="X133" i="44"/>
  <c r="X134" i="44"/>
  <c r="V134" i="45" s="1"/>
  <c r="X135" i="44"/>
  <c r="V135" i="45" s="1"/>
  <c r="X136" i="44"/>
  <c r="V136" i="45" s="1"/>
  <c r="X137" i="44"/>
  <c r="V137" i="45" s="1"/>
  <c r="X138" i="44"/>
  <c r="V138" i="45" s="1"/>
  <c r="X139" i="44"/>
  <c r="V139" i="45" s="1"/>
  <c r="X140" i="44"/>
  <c r="V140" i="45" s="1"/>
  <c r="X141" i="44"/>
  <c r="V141" i="45" s="1"/>
  <c r="X142" i="44"/>
  <c r="V142" i="45" s="1"/>
  <c r="X143" i="44"/>
  <c r="V143" i="45" s="1"/>
  <c r="X144" i="44"/>
  <c r="V144" i="45" s="1"/>
  <c r="X145" i="44"/>
  <c r="V145" i="45" s="1"/>
  <c r="X146" i="44"/>
  <c r="V146" i="45" s="1"/>
  <c r="X147" i="44"/>
  <c r="V147" i="45" s="1"/>
  <c r="X148" i="44"/>
  <c r="V148" i="45" s="1"/>
  <c r="X149" i="44"/>
  <c r="V149" i="45" s="1"/>
  <c r="X150" i="44"/>
  <c r="X151" i="44"/>
  <c r="V151" i="45" s="1"/>
  <c r="X152" i="44"/>
  <c r="V152" i="45" s="1"/>
  <c r="X153" i="44"/>
  <c r="V153" i="45" s="1"/>
  <c r="X154" i="44"/>
  <c r="V154" i="45" s="1"/>
  <c r="X155" i="44"/>
  <c r="V155" i="45" s="1"/>
  <c r="X156" i="44"/>
  <c r="V156" i="45" s="1"/>
  <c r="X157" i="44"/>
  <c r="X158" i="44"/>
  <c r="V158" i="45" s="1"/>
  <c r="X159" i="44"/>
  <c r="X160" i="44"/>
  <c r="V160" i="45" s="1"/>
  <c r="X161" i="44"/>
  <c r="V161" i="45" s="1"/>
  <c r="W161" i="45" s="1"/>
  <c r="X162" i="44"/>
  <c r="V162" i="45" s="1"/>
  <c r="X163" i="44"/>
  <c r="V163" i="45" s="1"/>
  <c r="X164" i="44"/>
  <c r="V164" i="45" s="1"/>
  <c r="X165" i="44"/>
  <c r="V165" i="45" s="1"/>
  <c r="X166" i="44"/>
  <c r="V166" i="45" s="1"/>
  <c r="X167" i="44"/>
  <c r="V167" i="45" s="1"/>
  <c r="X168" i="44"/>
  <c r="V168" i="45" s="1"/>
  <c r="X169" i="44"/>
  <c r="V169" i="45" s="1"/>
  <c r="X170" i="44"/>
  <c r="V170" i="45" s="1"/>
  <c r="X171" i="44"/>
  <c r="V171" i="45" s="1"/>
  <c r="X172" i="44"/>
  <c r="V172" i="45" s="1"/>
  <c r="X173" i="44"/>
  <c r="V173" i="45" s="1"/>
  <c r="X174" i="44"/>
  <c r="V174" i="45" s="1"/>
  <c r="X175" i="44"/>
  <c r="V175" i="45" s="1"/>
  <c r="X176" i="44"/>
  <c r="V176" i="45" s="1"/>
  <c r="X177" i="44"/>
  <c r="V177" i="45" s="1"/>
  <c r="X178" i="44"/>
  <c r="V178" i="45" s="1"/>
  <c r="X179" i="44"/>
  <c r="V179" i="45" s="1"/>
  <c r="X180" i="44"/>
  <c r="V180" i="45" s="1"/>
  <c r="X181" i="44"/>
  <c r="V181" i="45" s="1"/>
  <c r="X182" i="44"/>
  <c r="V182" i="45" s="1"/>
  <c r="X183" i="44"/>
  <c r="X184" i="44"/>
  <c r="V184" i="45" s="1"/>
  <c r="X185" i="44"/>
  <c r="V185" i="45" s="1"/>
  <c r="X186" i="44"/>
  <c r="V186" i="45" s="1"/>
  <c r="X187" i="44"/>
  <c r="V187" i="45" s="1"/>
  <c r="X188" i="44"/>
  <c r="V188" i="45" s="1"/>
  <c r="X189" i="44"/>
  <c r="V189" i="45" s="1"/>
  <c r="X190" i="44"/>
  <c r="V190" i="45" s="1"/>
  <c r="X191" i="44"/>
  <c r="V191" i="45" s="1"/>
  <c r="X192" i="44"/>
  <c r="V192" i="45" s="1"/>
  <c r="X193" i="44"/>
  <c r="V193" i="45" s="1"/>
  <c r="X194" i="44"/>
  <c r="V194" i="45" s="1"/>
  <c r="X195" i="44"/>
  <c r="V195" i="45" s="1"/>
  <c r="X196" i="44"/>
  <c r="V196" i="45" s="1"/>
  <c r="X197" i="44"/>
  <c r="V197" i="45" s="1"/>
  <c r="X198" i="44"/>
  <c r="V198" i="45" s="1"/>
  <c r="X199" i="44"/>
  <c r="V199" i="45" s="1"/>
  <c r="X200" i="44"/>
  <c r="V200" i="45" s="1"/>
  <c r="X201" i="44"/>
  <c r="V201" i="45" s="1"/>
  <c r="X202" i="44"/>
  <c r="V202" i="45" s="1"/>
  <c r="X203" i="44"/>
  <c r="V203" i="45" s="1"/>
  <c r="X204" i="44"/>
  <c r="V204" i="45" s="1"/>
  <c r="X205" i="44"/>
  <c r="V205" i="45" s="1"/>
  <c r="X206" i="44"/>
  <c r="V206" i="45" s="1"/>
  <c r="X207" i="44"/>
  <c r="V207" i="45" s="1"/>
  <c r="X208" i="44"/>
  <c r="V208" i="45" s="1"/>
  <c r="X209" i="44"/>
  <c r="V209" i="45" s="1"/>
  <c r="X210" i="44"/>
  <c r="V210" i="45" s="1"/>
  <c r="X211" i="44"/>
  <c r="V211" i="45" s="1"/>
  <c r="X212" i="44"/>
  <c r="V212" i="45" s="1"/>
  <c r="X213" i="44"/>
  <c r="V213" i="45" s="1"/>
  <c r="X214" i="44"/>
  <c r="V214" i="45" s="1"/>
  <c r="X215" i="44"/>
  <c r="X216" i="44"/>
  <c r="V216" i="45" s="1"/>
  <c r="X217" i="44"/>
  <c r="V217" i="45" s="1"/>
  <c r="X218" i="44"/>
  <c r="V218" i="45" s="1"/>
  <c r="X219" i="44"/>
  <c r="V219" i="45" s="1"/>
  <c r="X220" i="44"/>
  <c r="V220" i="45" s="1"/>
  <c r="X221" i="44"/>
  <c r="V221" i="45" s="1"/>
  <c r="X222" i="44"/>
  <c r="V222" i="45" s="1"/>
  <c r="X223" i="44"/>
  <c r="V223" i="45" s="1"/>
  <c r="X224" i="44"/>
  <c r="V224" i="45" s="1"/>
  <c r="X225" i="44"/>
  <c r="V225" i="45" s="1"/>
  <c r="X226" i="44"/>
  <c r="V226" i="45" s="1"/>
  <c r="X227" i="44"/>
  <c r="V227" i="45" s="1"/>
  <c r="X228" i="44"/>
  <c r="V228" i="45" s="1"/>
  <c r="X229" i="44"/>
  <c r="V229" i="45" s="1"/>
  <c r="X230" i="44"/>
  <c r="V230" i="45" s="1"/>
  <c r="X231" i="44"/>
  <c r="V231" i="45" s="1"/>
  <c r="X232" i="44"/>
  <c r="V232" i="45" s="1"/>
  <c r="X233" i="44"/>
  <c r="V233" i="45" s="1"/>
  <c r="X234" i="44"/>
  <c r="X235" i="44"/>
  <c r="V235" i="45" s="1"/>
  <c r="X236" i="44"/>
  <c r="V236" i="45" s="1"/>
  <c r="X237" i="44"/>
  <c r="V237" i="45" s="1"/>
  <c r="X238" i="44"/>
  <c r="V238" i="45" s="1"/>
  <c r="X239" i="44"/>
  <c r="V239" i="45" s="1"/>
  <c r="X240" i="44"/>
  <c r="V240" i="45" s="1"/>
  <c r="X241" i="44"/>
  <c r="V241" i="45" s="1"/>
  <c r="X242" i="44"/>
  <c r="V242" i="45" s="1"/>
  <c r="X243" i="44"/>
  <c r="V243" i="45" s="1"/>
  <c r="X244" i="44"/>
  <c r="V244" i="45" s="1"/>
  <c r="X245" i="44"/>
  <c r="V245" i="45" s="1"/>
  <c r="X246" i="44"/>
  <c r="V246" i="45" s="1"/>
  <c r="X247" i="44"/>
  <c r="V247" i="45" s="1"/>
  <c r="X248" i="44"/>
  <c r="V248" i="45" s="1"/>
  <c r="X249" i="44"/>
  <c r="V249" i="45" s="1"/>
  <c r="X250" i="44"/>
  <c r="V250" i="45" s="1"/>
  <c r="X251" i="44"/>
  <c r="V251" i="45" s="1"/>
  <c r="X252" i="44"/>
  <c r="V252" i="45" s="1"/>
  <c r="X253" i="44"/>
  <c r="V253" i="45" s="1"/>
  <c r="X254" i="44"/>
  <c r="V254" i="45" s="1"/>
  <c r="X255" i="44"/>
  <c r="X256" i="44"/>
  <c r="V256" i="45" s="1"/>
  <c r="X257" i="44"/>
  <c r="V257" i="45" s="1"/>
  <c r="X258" i="44"/>
  <c r="V258" i="45" s="1"/>
  <c r="X259" i="44"/>
  <c r="V259" i="45" s="1"/>
  <c r="X260" i="44"/>
  <c r="X261" i="44"/>
  <c r="V261" i="45" s="1"/>
  <c r="X262" i="44"/>
  <c r="V262" i="45" s="1"/>
  <c r="X263" i="44"/>
  <c r="V263" i="45" s="1"/>
  <c r="X264" i="44"/>
  <c r="V264" i="45" s="1"/>
  <c r="X265" i="44"/>
  <c r="V265" i="45" s="1"/>
  <c r="X266" i="44"/>
  <c r="X267" i="44"/>
  <c r="X268" i="44"/>
  <c r="V268" i="45" s="1"/>
  <c r="X269" i="44"/>
  <c r="V269" i="45" s="1"/>
  <c r="X270" i="44"/>
  <c r="V270" i="45" s="1"/>
  <c r="X271" i="44"/>
  <c r="X272" i="44"/>
  <c r="X273" i="44"/>
  <c r="X274" i="44"/>
  <c r="V274" i="45" s="1"/>
  <c r="X275" i="44"/>
  <c r="X276" i="44"/>
  <c r="V276" i="45" s="1"/>
  <c r="X277" i="44"/>
  <c r="V277" i="45" s="1"/>
  <c r="X278" i="44"/>
  <c r="X279" i="44"/>
  <c r="X280" i="44"/>
  <c r="X281" i="44"/>
  <c r="V281" i="45" s="1"/>
  <c r="X282" i="44"/>
  <c r="V282" i="45" s="1"/>
  <c r="X283" i="44"/>
  <c r="X284" i="44"/>
  <c r="V284" i="45" s="1"/>
  <c r="X285" i="44"/>
  <c r="X286" i="44"/>
  <c r="V286" i="45" s="1"/>
  <c r="X287" i="44"/>
  <c r="X288" i="44"/>
  <c r="X289" i="44"/>
  <c r="X290" i="44"/>
  <c r="X291" i="44"/>
  <c r="X292" i="44"/>
  <c r="X293" i="44"/>
  <c r="X294" i="44"/>
  <c r="X295" i="44"/>
  <c r="X296" i="44"/>
  <c r="V296" i="45" s="1"/>
  <c r="X297" i="44"/>
  <c r="X298" i="44"/>
  <c r="V298" i="45" s="1"/>
  <c r="X299" i="44"/>
  <c r="V299" i="45" s="1"/>
  <c r="X300" i="44"/>
  <c r="V300" i="45" s="1"/>
  <c r="X301" i="44"/>
  <c r="X302" i="44"/>
  <c r="X303" i="44"/>
  <c r="V303" i="45" s="1"/>
  <c r="X304" i="44"/>
  <c r="X305" i="44"/>
  <c r="V305" i="45" s="1"/>
  <c r="X306" i="44"/>
  <c r="V306" i="45" s="1"/>
  <c r="X307" i="44"/>
  <c r="V307" i="45" s="1"/>
  <c r="X308" i="44"/>
  <c r="V308" i="45" s="1"/>
  <c r="X309" i="44"/>
  <c r="V309" i="45" s="1"/>
  <c r="X310" i="44"/>
  <c r="V310" i="45" s="1"/>
  <c r="X311" i="44"/>
  <c r="V311" i="45" s="1"/>
  <c r="X312" i="44"/>
  <c r="V312" i="45" s="1"/>
  <c r="X313" i="44"/>
  <c r="V313" i="45" s="1"/>
  <c r="X314" i="44"/>
  <c r="V314" i="45" s="1"/>
  <c r="X315" i="44"/>
  <c r="V315" i="45" s="1"/>
  <c r="X316" i="44"/>
  <c r="V316" i="45" s="1"/>
  <c r="X317" i="44"/>
  <c r="V317" i="45" s="1"/>
  <c r="X318" i="44"/>
  <c r="V318" i="45" s="1"/>
  <c r="X319" i="44"/>
  <c r="V319" i="45" s="1"/>
  <c r="X320" i="44"/>
  <c r="V320" i="45" s="1"/>
  <c r="X321" i="44"/>
  <c r="V321" i="45" s="1"/>
  <c r="X322" i="44"/>
  <c r="V322" i="45" s="1"/>
  <c r="X323" i="44"/>
  <c r="V323" i="45" s="1"/>
  <c r="X324" i="44"/>
  <c r="V324" i="45" s="1"/>
  <c r="X325" i="44"/>
  <c r="V325" i="45" s="1"/>
  <c r="X326" i="44"/>
  <c r="V326" i="45" s="1"/>
  <c r="X327" i="44"/>
  <c r="V327" i="45" s="1"/>
  <c r="X328" i="44"/>
  <c r="V328" i="45" s="1"/>
  <c r="X329" i="44"/>
  <c r="V329" i="45" s="1"/>
  <c r="X330" i="44"/>
  <c r="V330" i="45" s="1"/>
  <c r="X331" i="44"/>
  <c r="V331" i="45" s="1"/>
  <c r="X332" i="44"/>
  <c r="V332" i="45" s="1"/>
  <c r="X333" i="44"/>
  <c r="V333" i="45" s="1"/>
  <c r="X334" i="44"/>
  <c r="X335" i="44"/>
  <c r="V335" i="45" s="1"/>
  <c r="X336" i="44"/>
  <c r="V336" i="45" s="1"/>
  <c r="X337" i="44"/>
  <c r="V337" i="45" s="1"/>
  <c r="X338" i="44"/>
  <c r="V338" i="45" s="1"/>
  <c r="X339" i="44"/>
  <c r="V339" i="45" s="1"/>
  <c r="X340" i="44"/>
  <c r="V340" i="45" s="1"/>
  <c r="X341" i="44"/>
  <c r="V341" i="45" s="1"/>
  <c r="X342" i="44"/>
  <c r="V342" i="45" s="1"/>
  <c r="X343" i="44"/>
  <c r="V343" i="45" s="1"/>
  <c r="X344" i="44"/>
  <c r="V344" i="45" s="1"/>
  <c r="X345" i="44"/>
  <c r="V345" i="45" s="1"/>
  <c r="X346" i="44"/>
  <c r="V346" i="45" s="1"/>
  <c r="X347" i="44"/>
  <c r="V347" i="45" s="1"/>
  <c r="X348" i="44"/>
  <c r="V348" i="45" s="1"/>
  <c r="X349" i="44"/>
  <c r="V349" i="45" s="1"/>
  <c r="X350" i="44"/>
  <c r="V350" i="45" s="1"/>
  <c r="X351" i="44"/>
  <c r="V351" i="45" s="1"/>
  <c r="X352" i="44"/>
  <c r="V352" i="45" s="1"/>
  <c r="X353" i="44"/>
  <c r="V353" i="45" s="1"/>
  <c r="X354" i="44"/>
  <c r="V354" i="45" s="1"/>
  <c r="X9" i="44"/>
  <c r="W10" i="44"/>
  <c r="W11" i="44"/>
  <c r="R11" i="46" s="1"/>
  <c r="W12" i="44"/>
  <c r="W13" i="44"/>
  <c r="W14" i="44"/>
  <c r="W15" i="44"/>
  <c r="R15" i="46" s="1"/>
  <c r="W16" i="44"/>
  <c r="R16" i="46" s="1"/>
  <c r="W17" i="44"/>
  <c r="R17" i="46" s="1"/>
  <c r="W18" i="44"/>
  <c r="R18" i="46" s="1"/>
  <c r="W19" i="44"/>
  <c r="R19" i="46" s="1"/>
  <c r="W20" i="44"/>
  <c r="R20" i="46" s="1"/>
  <c r="W21" i="44"/>
  <c r="R21" i="46" s="1"/>
  <c r="W22" i="44"/>
  <c r="R22" i="46" s="1"/>
  <c r="W23" i="44"/>
  <c r="R23" i="46" s="1"/>
  <c r="W24" i="44"/>
  <c r="R24" i="46" s="1"/>
  <c r="W25" i="44"/>
  <c r="R25" i="46" s="1"/>
  <c r="W26" i="44"/>
  <c r="R26" i="46" s="1"/>
  <c r="W27" i="44"/>
  <c r="R27" i="46" s="1"/>
  <c r="W28" i="44"/>
  <c r="R28" i="46" s="1"/>
  <c r="W29" i="44"/>
  <c r="R29" i="46" s="1"/>
  <c r="W30" i="44"/>
  <c r="R30" i="46" s="1"/>
  <c r="W31" i="44"/>
  <c r="W32" i="44"/>
  <c r="R32" i="46" s="1"/>
  <c r="W33" i="44"/>
  <c r="R33" i="46" s="1"/>
  <c r="W34" i="44"/>
  <c r="R34" i="46" s="1"/>
  <c r="W35" i="44"/>
  <c r="R35" i="46" s="1"/>
  <c r="W36" i="44"/>
  <c r="R36" i="46" s="1"/>
  <c r="W37" i="44"/>
  <c r="R37" i="46" s="1"/>
  <c r="W38" i="44"/>
  <c r="W39" i="44"/>
  <c r="W40" i="44"/>
  <c r="R40" i="46" s="1"/>
  <c r="W41" i="44"/>
  <c r="R41" i="46" s="1"/>
  <c r="W42" i="44"/>
  <c r="R42" i="46" s="1"/>
  <c r="W43" i="44"/>
  <c r="R43" i="46" s="1"/>
  <c r="W44" i="44"/>
  <c r="W45" i="44"/>
  <c r="R45" i="46" s="1"/>
  <c r="W46" i="44"/>
  <c r="R46" i="46" s="1"/>
  <c r="W47" i="44"/>
  <c r="R47" i="46" s="1"/>
  <c r="W48" i="44"/>
  <c r="W49" i="44"/>
  <c r="W50" i="44"/>
  <c r="W51" i="44"/>
  <c r="W52" i="44"/>
  <c r="W53" i="44"/>
  <c r="R53" i="46" s="1"/>
  <c r="W54" i="44"/>
  <c r="R54" i="46" s="1"/>
  <c r="W55" i="44"/>
  <c r="W56" i="44"/>
  <c r="W57" i="44"/>
  <c r="R57" i="46" s="1"/>
  <c r="W58" i="44"/>
  <c r="R58" i="46" s="1"/>
  <c r="W59" i="44"/>
  <c r="W60" i="44"/>
  <c r="W61" i="44"/>
  <c r="W62" i="44"/>
  <c r="R62" i="46" s="1"/>
  <c r="W63" i="44"/>
  <c r="W64" i="44"/>
  <c r="R64" i="46" s="1"/>
  <c r="W65" i="44"/>
  <c r="W66" i="44"/>
  <c r="W67" i="44"/>
  <c r="R67" i="46" s="1"/>
  <c r="W68" i="44"/>
  <c r="W69" i="44"/>
  <c r="W70" i="44"/>
  <c r="R70" i="46" s="1"/>
  <c r="W71" i="44"/>
  <c r="W72" i="44"/>
  <c r="W73" i="44"/>
  <c r="W74" i="44"/>
  <c r="W75" i="44"/>
  <c r="W76" i="44"/>
  <c r="W77" i="44"/>
  <c r="R77" i="46" s="1"/>
  <c r="W78" i="44"/>
  <c r="R78" i="46" s="1"/>
  <c r="W79" i="44"/>
  <c r="W80" i="44"/>
  <c r="W81" i="44"/>
  <c r="W82" i="44"/>
  <c r="W83" i="44"/>
  <c r="W84" i="44"/>
  <c r="W85" i="44"/>
  <c r="W86" i="44"/>
  <c r="W87" i="44"/>
  <c r="R87" i="46" s="1"/>
  <c r="W88" i="44"/>
  <c r="W89" i="44"/>
  <c r="W90" i="44"/>
  <c r="R90" i="46" s="1"/>
  <c r="W91" i="44"/>
  <c r="R91" i="46" s="1"/>
  <c r="W92" i="44"/>
  <c r="W93" i="44"/>
  <c r="W94" i="44"/>
  <c r="R94" i="46" s="1"/>
  <c r="W95" i="44"/>
  <c r="W96" i="44"/>
  <c r="W97" i="44"/>
  <c r="W98" i="44"/>
  <c r="W99" i="44"/>
  <c r="W100" i="44"/>
  <c r="W101" i="44"/>
  <c r="W102" i="44"/>
  <c r="R102" i="46" s="1"/>
  <c r="W103" i="44"/>
  <c r="W104" i="44"/>
  <c r="W105" i="44"/>
  <c r="W106" i="44"/>
  <c r="R106" i="46" s="1"/>
  <c r="W107" i="44"/>
  <c r="W108" i="44"/>
  <c r="W109" i="44"/>
  <c r="W110" i="44"/>
  <c r="W111" i="44"/>
  <c r="W112" i="44"/>
  <c r="W113" i="44"/>
  <c r="W114" i="44"/>
  <c r="W115" i="44"/>
  <c r="W116" i="44"/>
  <c r="W117" i="44"/>
  <c r="W118" i="44"/>
  <c r="W119" i="44"/>
  <c r="W120" i="44"/>
  <c r="W121" i="44"/>
  <c r="W122" i="44"/>
  <c r="W123" i="44"/>
  <c r="W124" i="44"/>
  <c r="W125" i="44"/>
  <c r="W126" i="44"/>
  <c r="W127" i="44"/>
  <c r="W128" i="44"/>
  <c r="W129" i="44"/>
  <c r="W130" i="44"/>
  <c r="W131" i="44"/>
  <c r="W132" i="44"/>
  <c r="W133" i="44"/>
  <c r="W134" i="44"/>
  <c r="W135" i="44"/>
  <c r="W136" i="44"/>
  <c r="W137" i="44"/>
  <c r="W138" i="44"/>
  <c r="W139" i="44"/>
  <c r="W140" i="44"/>
  <c r="W141" i="44"/>
  <c r="W142" i="44"/>
  <c r="W143" i="44"/>
  <c r="W144" i="44"/>
  <c r="W145" i="44"/>
  <c r="W146" i="44"/>
  <c r="W147" i="44"/>
  <c r="W148" i="44"/>
  <c r="W149" i="44"/>
  <c r="W150" i="44"/>
  <c r="W151" i="44"/>
  <c r="W152" i="44"/>
  <c r="W153" i="44"/>
  <c r="W154" i="44"/>
  <c r="W155" i="44"/>
  <c r="W156" i="44"/>
  <c r="W157" i="44"/>
  <c r="W158" i="44"/>
  <c r="W159" i="44"/>
  <c r="W160" i="44"/>
  <c r="W161" i="44"/>
  <c r="W162" i="44"/>
  <c r="W163" i="44"/>
  <c r="W164" i="44"/>
  <c r="W165" i="44"/>
  <c r="W166" i="44"/>
  <c r="W167" i="44"/>
  <c r="W168" i="44"/>
  <c r="W169" i="44"/>
  <c r="W170" i="44"/>
  <c r="W171" i="44"/>
  <c r="W172" i="44"/>
  <c r="W173" i="44"/>
  <c r="W174" i="44"/>
  <c r="W175" i="44"/>
  <c r="W176" i="44"/>
  <c r="W177" i="44"/>
  <c r="W178" i="44"/>
  <c r="W179" i="44"/>
  <c r="W180" i="44"/>
  <c r="W181" i="44"/>
  <c r="W182" i="44"/>
  <c r="W183" i="44"/>
  <c r="W184" i="44"/>
  <c r="W185" i="44"/>
  <c r="W186" i="44"/>
  <c r="W187" i="44"/>
  <c r="W188" i="44"/>
  <c r="W189" i="44"/>
  <c r="W190" i="44"/>
  <c r="W191" i="44"/>
  <c r="W192" i="44"/>
  <c r="W193" i="44"/>
  <c r="W194" i="44"/>
  <c r="W195" i="44"/>
  <c r="W196" i="44"/>
  <c r="W197" i="44"/>
  <c r="W198" i="44"/>
  <c r="W199" i="44"/>
  <c r="W200" i="44"/>
  <c r="W201" i="44"/>
  <c r="W202" i="44"/>
  <c r="W203" i="44"/>
  <c r="W204" i="44"/>
  <c r="W205" i="44"/>
  <c r="W206" i="44"/>
  <c r="W207" i="44"/>
  <c r="W208" i="44"/>
  <c r="W209" i="44"/>
  <c r="W210" i="44"/>
  <c r="W211" i="44"/>
  <c r="W212" i="44"/>
  <c r="W213" i="44"/>
  <c r="W214" i="44"/>
  <c r="W215" i="44"/>
  <c r="W216" i="44"/>
  <c r="W217" i="44"/>
  <c r="W218" i="44"/>
  <c r="W219" i="44"/>
  <c r="W220" i="44"/>
  <c r="W221" i="44"/>
  <c r="W222" i="44"/>
  <c r="W223" i="44"/>
  <c r="W224" i="44"/>
  <c r="W225" i="44"/>
  <c r="W226" i="44"/>
  <c r="W227" i="44"/>
  <c r="W228" i="44"/>
  <c r="W229" i="44"/>
  <c r="W230" i="44"/>
  <c r="W231" i="44"/>
  <c r="W232" i="44"/>
  <c r="W233" i="44"/>
  <c r="W234" i="44"/>
  <c r="W235" i="44"/>
  <c r="W236" i="44"/>
  <c r="W237" i="44"/>
  <c r="W238" i="44"/>
  <c r="W239" i="44"/>
  <c r="W240" i="44"/>
  <c r="W241" i="44"/>
  <c r="W242" i="44"/>
  <c r="W243" i="44"/>
  <c r="W244" i="44"/>
  <c r="W245" i="44"/>
  <c r="W246" i="44"/>
  <c r="W247" i="44"/>
  <c r="W248" i="44"/>
  <c r="W249" i="44"/>
  <c r="W250" i="44"/>
  <c r="W251" i="44"/>
  <c r="W252" i="44"/>
  <c r="W253" i="44"/>
  <c r="W254" i="44"/>
  <c r="W255" i="44"/>
  <c r="W256" i="44"/>
  <c r="W257" i="44"/>
  <c r="W258" i="44"/>
  <c r="W259" i="44"/>
  <c r="W260" i="44"/>
  <c r="W261" i="44"/>
  <c r="W262" i="44"/>
  <c r="W263" i="44"/>
  <c r="W264" i="44"/>
  <c r="W265" i="44"/>
  <c r="W266" i="44"/>
  <c r="W267" i="44"/>
  <c r="W268" i="44"/>
  <c r="W269" i="44"/>
  <c r="W270" i="44"/>
  <c r="W271" i="44"/>
  <c r="W272" i="44"/>
  <c r="W273" i="44"/>
  <c r="W274" i="44"/>
  <c r="W275" i="44"/>
  <c r="W276" i="44"/>
  <c r="W277" i="44"/>
  <c r="W278" i="44"/>
  <c r="W279" i="44"/>
  <c r="W280" i="44"/>
  <c r="W281" i="44"/>
  <c r="W282" i="44"/>
  <c r="W283" i="44"/>
  <c r="W284" i="44"/>
  <c r="W285" i="44"/>
  <c r="W286" i="44"/>
  <c r="W287" i="44"/>
  <c r="W288" i="44"/>
  <c r="W289" i="44"/>
  <c r="W290" i="44"/>
  <c r="W291" i="44"/>
  <c r="W292" i="44"/>
  <c r="W293" i="44"/>
  <c r="W294" i="44"/>
  <c r="W295" i="44"/>
  <c r="W296" i="44"/>
  <c r="W297" i="44"/>
  <c r="W298" i="44"/>
  <c r="W299" i="44"/>
  <c r="W300" i="44"/>
  <c r="W301" i="44"/>
  <c r="W302" i="44"/>
  <c r="W303" i="44"/>
  <c r="W304" i="44"/>
  <c r="W305" i="44"/>
  <c r="W306" i="44"/>
  <c r="W307" i="44"/>
  <c r="W308" i="44"/>
  <c r="W309" i="44"/>
  <c r="W310" i="44"/>
  <c r="W311" i="44"/>
  <c r="W312" i="44"/>
  <c r="W313" i="44"/>
  <c r="W314" i="44"/>
  <c r="W315" i="44"/>
  <c r="W316" i="44"/>
  <c r="W317" i="44"/>
  <c r="W318" i="44"/>
  <c r="W319" i="44"/>
  <c r="W320" i="44"/>
  <c r="W321" i="44"/>
  <c r="W322" i="44"/>
  <c r="W323" i="44"/>
  <c r="W324" i="44"/>
  <c r="W325" i="44"/>
  <c r="W326" i="44"/>
  <c r="W327" i="44"/>
  <c r="W328" i="44"/>
  <c r="W329" i="44"/>
  <c r="W330" i="44"/>
  <c r="W331" i="44"/>
  <c r="W332" i="44"/>
  <c r="W333" i="44"/>
  <c r="W334" i="44"/>
  <c r="W335" i="44"/>
  <c r="W336" i="44"/>
  <c r="W337" i="44"/>
  <c r="W338" i="44"/>
  <c r="W339" i="44"/>
  <c r="W340" i="44"/>
  <c r="W341" i="44"/>
  <c r="W342" i="44"/>
  <c r="W343" i="44"/>
  <c r="W344" i="44"/>
  <c r="W345" i="44"/>
  <c r="W346" i="44"/>
  <c r="W347" i="44"/>
  <c r="W348" i="44"/>
  <c r="W349" i="44"/>
  <c r="W350" i="44"/>
  <c r="W351" i="44"/>
  <c r="W352" i="44"/>
  <c r="W353" i="44"/>
  <c r="W354" i="44"/>
  <c r="W9" i="44"/>
  <c r="Y10" i="44"/>
  <c r="Y11" i="44"/>
  <c r="Y12" i="44"/>
  <c r="Y13" i="44"/>
  <c r="Y14" i="44"/>
  <c r="Y15" i="44"/>
  <c r="Y16" i="44"/>
  <c r="W16" i="45" s="1"/>
  <c r="Y17" i="44"/>
  <c r="Y18" i="44"/>
  <c r="Y19" i="44"/>
  <c r="Y20" i="44"/>
  <c r="W20" i="45" s="1"/>
  <c r="Y21" i="44"/>
  <c r="Y22" i="44"/>
  <c r="Y23" i="44"/>
  <c r="Y24" i="44"/>
  <c r="Y25" i="44"/>
  <c r="W25" i="45" s="1"/>
  <c r="Y26" i="44"/>
  <c r="Y27" i="44"/>
  <c r="Y28" i="44"/>
  <c r="Y29" i="44"/>
  <c r="Y30" i="44"/>
  <c r="Y31" i="44"/>
  <c r="Y32" i="44"/>
  <c r="Y33" i="44"/>
  <c r="Y34" i="44"/>
  <c r="W34" i="45" s="1"/>
  <c r="Y35" i="44"/>
  <c r="W35" i="45" s="1"/>
  <c r="Y36" i="44"/>
  <c r="Y37" i="44"/>
  <c r="Y38" i="44"/>
  <c r="Y39" i="44"/>
  <c r="Y40" i="44"/>
  <c r="Y41" i="44"/>
  <c r="Y42" i="44"/>
  <c r="Y43" i="44"/>
  <c r="Y44" i="44"/>
  <c r="Y45" i="44"/>
  <c r="Y46" i="44"/>
  <c r="Y47" i="44"/>
  <c r="Y48" i="44"/>
  <c r="Y49" i="44"/>
  <c r="Y50" i="44"/>
  <c r="Y51" i="44"/>
  <c r="Y52" i="44"/>
  <c r="Y53" i="44"/>
  <c r="Y54" i="44"/>
  <c r="Y55" i="44"/>
  <c r="W55" i="45" s="1"/>
  <c r="Y56" i="44"/>
  <c r="Y57" i="44"/>
  <c r="Y58" i="44"/>
  <c r="Y59" i="44"/>
  <c r="Y60" i="44"/>
  <c r="Y61" i="44"/>
  <c r="Y62" i="44"/>
  <c r="Y63" i="44"/>
  <c r="Y64" i="44"/>
  <c r="Y65" i="44"/>
  <c r="W65" i="45" s="1"/>
  <c r="Y66" i="44"/>
  <c r="Y67" i="44"/>
  <c r="Y68" i="44"/>
  <c r="Y69" i="44"/>
  <c r="Y70" i="44"/>
  <c r="Y71" i="44"/>
  <c r="Y72" i="44"/>
  <c r="Y73" i="44"/>
  <c r="Y74" i="44"/>
  <c r="Y75" i="44"/>
  <c r="Y76" i="44"/>
  <c r="Y77" i="44"/>
  <c r="Y78" i="44"/>
  <c r="Y79" i="44"/>
  <c r="Y80" i="44"/>
  <c r="Y81" i="44"/>
  <c r="Y82" i="44"/>
  <c r="Y83" i="44"/>
  <c r="Y84" i="44"/>
  <c r="Y85" i="44"/>
  <c r="Y86" i="44"/>
  <c r="Y87" i="44"/>
  <c r="W87" i="45" s="1"/>
  <c r="Y88" i="44"/>
  <c r="Y89" i="44"/>
  <c r="Y90" i="44"/>
  <c r="Y91" i="44"/>
  <c r="Y92" i="44"/>
  <c r="Y93" i="44"/>
  <c r="Y94" i="44"/>
  <c r="Y95" i="44"/>
  <c r="Y96" i="44"/>
  <c r="Y97" i="44"/>
  <c r="Y98" i="44"/>
  <c r="Y99" i="44"/>
  <c r="Y100" i="44"/>
  <c r="Y101" i="44"/>
  <c r="Y102" i="44"/>
  <c r="Y103" i="44"/>
  <c r="Y104" i="44"/>
  <c r="Y105" i="44"/>
  <c r="Y106" i="44"/>
  <c r="Y107" i="44"/>
  <c r="Y108" i="44"/>
  <c r="Y109" i="44"/>
  <c r="Y110" i="44"/>
  <c r="Y111" i="44"/>
  <c r="Y112" i="44"/>
  <c r="Y113" i="44"/>
  <c r="Y114" i="44"/>
  <c r="Y115" i="44"/>
  <c r="Y116" i="44"/>
  <c r="Y117" i="44"/>
  <c r="Y118" i="44"/>
  <c r="Y119" i="44"/>
  <c r="Y120" i="44"/>
  <c r="W120" i="45" s="1"/>
  <c r="Y121" i="44"/>
  <c r="Y122" i="44"/>
  <c r="Y123" i="44"/>
  <c r="Y124" i="44"/>
  <c r="Y125" i="44"/>
  <c r="Y126" i="44"/>
  <c r="Y127" i="44"/>
  <c r="Y128" i="44"/>
  <c r="Y129" i="44"/>
  <c r="Y130" i="44"/>
  <c r="Y131" i="44"/>
  <c r="Y132" i="44"/>
  <c r="Y133" i="44"/>
  <c r="W133" i="45" s="1"/>
  <c r="Y134" i="44"/>
  <c r="Y135" i="44"/>
  <c r="Y136" i="44"/>
  <c r="Y137" i="44"/>
  <c r="Y138" i="44"/>
  <c r="Y139" i="44"/>
  <c r="Y140" i="44"/>
  <c r="Y141" i="44"/>
  <c r="Y142" i="44"/>
  <c r="Y143" i="44"/>
  <c r="Y144" i="44"/>
  <c r="Y145" i="44"/>
  <c r="Y146" i="44"/>
  <c r="Y147" i="44"/>
  <c r="Y148" i="44"/>
  <c r="Y149" i="44"/>
  <c r="Y150" i="44"/>
  <c r="W150" i="45" s="1"/>
  <c r="Y151" i="44"/>
  <c r="Y152" i="44"/>
  <c r="Y153" i="44"/>
  <c r="Y154" i="44"/>
  <c r="Y155" i="44"/>
  <c r="Y156" i="44"/>
  <c r="Y157" i="44"/>
  <c r="W157" i="45" s="1"/>
  <c r="Y158" i="44"/>
  <c r="Y159" i="44"/>
  <c r="W159" i="45" s="1"/>
  <c r="Y160" i="44"/>
  <c r="Y161" i="44"/>
  <c r="Y162" i="44"/>
  <c r="Y163" i="44"/>
  <c r="Y164" i="44"/>
  <c r="Y165" i="44"/>
  <c r="Y166" i="44"/>
  <c r="Y167" i="44"/>
  <c r="Y168" i="44"/>
  <c r="Y169" i="44"/>
  <c r="Y170" i="44"/>
  <c r="Y171" i="44"/>
  <c r="Y172" i="44"/>
  <c r="Y173" i="44"/>
  <c r="Y174" i="44"/>
  <c r="Y175" i="44"/>
  <c r="Y176" i="44"/>
  <c r="Y177" i="44"/>
  <c r="Y178" i="44"/>
  <c r="Y179" i="44"/>
  <c r="Y180" i="44"/>
  <c r="Y181" i="44"/>
  <c r="Y182" i="44"/>
  <c r="Y183" i="44"/>
  <c r="W183" i="45" s="1"/>
  <c r="Y184" i="44"/>
  <c r="Y185" i="44"/>
  <c r="Y186" i="44"/>
  <c r="Y187" i="44"/>
  <c r="Y188" i="44"/>
  <c r="Y189" i="44"/>
  <c r="Y190" i="44"/>
  <c r="Y191" i="44"/>
  <c r="Y192" i="44"/>
  <c r="Y193" i="44"/>
  <c r="Y194" i="44"/>
  <c r="Y195" i="44"/>
  <c r="Y196" i="44"/>
  <c r="Y197" i="44"/>
  <c r="Y198" i="44"/>
  <c r="Y199" i="44"/>
  <c r="Y200" i="44"/>
  <c r="Y201" i="44"/>
  <c r="Y202" i="44"/>
  <c r="Y203" i="44"/>
  <c r="Y204" i="44"/>
  <c r="Y205" i="44"/>
  <c r="Y206" i="44"/>
  <c r="Y207" i="44"/>
  <c r="Y208" i="44"/>
  <c r="Y209" i="44"/>
  <c r="Y210" i="44"/>
  <c r="Y211" i="44"/>
  <c r="Y212" i="44"/>
  <c r="Y213" i="44"/>
  <c r="Y214" i="44"/>
  <c r="Y215" i="44"/>
  <c r="W215" i="45" s="1"/>
  <c r="Y216" i="44"/>
  <c r="Y217" i="44"/>
  <c r="Y218" i="44"/>
  <c r="Y219" i="44"/>
  <c r="Y220" i="44"/>
  <c r="Y221" i="44"/>
  <c r="Y222" i="44"/>
  <c r="Y223" i="44"/>
  <c r="Y224" i="44"/>
  <c r="Y225" i="44"/>
  <c r="Y226" i="44"/>
  <c r="Y227" i="44"/>
  <c r="Y228" i="44"/>
  <c r="Y229" i="44"/>
  <c r="Y230" i="44"/>
  <c r="Y231" i="44"/>
  <c r="Y232" i="44"/>
  <c r="Y233" i="44"/>
  <c r="Y234" i="44"/>
  <c r="W234" i="45" s="1"/>
  <c r="Y235" i="44"/>
  <c r="Y236" i="44"/>
  <c r="Y237" i="44"/>
  <c r="Y238" i="44"/>
  <c r="Y239" i="44"/>
  <c r="Y240" i="44"/>
  <c r="Y241" i="44"/>
  <c r="Y242" i="44"/>
  <c r="Y243" i="44"/>
  <c r="Y244" i="44"/>
  <c r="Y245" i="44"/>
  <c r="Y246" i="44"/>
  <c r="Y247" i="44"/>
  <c r="Y248" i="44"/>
  <c r="Y249" i="44"/>
  <c r="Y250" i="44"/>
  <c r="Y251" i="44"/>
  <c r="Y252" i="44"/>
  <c r="Y253" i="44"/>
  <c r="Y254" i="44"/>
  <c r="Y255" i="44"/>
  <c r="W255" i="45" s="1"/>
  <c r="Y256" i="44"/>
  <c r="Y257" i="44"/>
  <c r="Y258" i="44"/>
  <c r="Y259" i="44"/>
  <c r="Y260" i="44"/>
  <c r="W260" i="45" s="1"/>
  <c r="Y261" i="44"/>
  <c r="Y262" i="44"/>
  <c r="Y263" i="44"/>
  <c r="Y264" i="44"/>
  <c r="Y265" i="44"/>
  <c r="Y266" i="44"/>
  <c r="W266" i="45" s="1"/>
  <c r="Y267" i="44"/>
  <c r="W267" i="45" s="1"/>
  <c r="Y268" i="44"/>
  <c r="Y269" i="44"/>
  <c r="Y270" i="44"/>
  <c r="Y271" i="44"/>
  <c r="W271" i="45" s="1"/>
  <c r="Y272" i="44"/>
  <c r="W272" i="45" s="1"/>
  <c r="Y273" i="44"/>
  <c r="W273" i="45" s="1"/>
  <c r="Y274" i="44"/>
  <c r="Y275" i="44"/>
  <c r="W275" i="45" s="1"/>
  <c r="Y276" i="44"/>
  <c r="Y277" i="44"/>
  <c r="Y278" i="44"/>
  <c r="W278" i="45" s="1"/>
  <c r="Y279" i="44"/>
  <c r="W279" i="45" s="1"/>
  <c r="Y280" i="44"/>
  <c r="W280" i="45" s="1"/>
  <c r="Y281" i="44"/>
  <c r="Y282" i="44"/>
  <c r="Y283" i="44"/>
  <c r="W283" i="45" s="1"/>
  <c r="Y284" i="44"/>
  <c r="Y285" i="44"/>
  <c r="W285" i="45" s="1"/>
  <c r="Y286" i="44"/>
  <c r="Y287" i="44"/>
  <c r="W287" i="45" s="1"/>
  <c r="Y288" i="44"/>
  <c r="W288" i="45" s="1"/>
  <c r="Y289" i="44"/>
  <c r="W289" i="45" s="1"/>
  <c r="Y290" i="44"/>
  <c r="W290" i="45" s="1"/>
  <c r="Y291" i="44"/>
  <c r="W291" i="45" s="1"/>
  <c r="Y292" i="44"/>
  <c r="W292" i="45" s="1"/>
  <c r="Y293" i="44"/>
  <c r="W293" i="45" s="1"/>
  <c r="Y294" i="44"/>
  <c r="W294" i="45" s="1"/>
  <c r="Y295" i="44"/>
  <c r="W295" i="45" s="1"/>
  <c r="Y296" i="44"/>
  <c r="Y297" i="44"/>
  <c r="W297" i="45" s="1"/>
  <c r="Y298" i="44"/>
  <c r="Y299" i="44"/>
  <c r="Y300" i="44"/>
  <c r="Y301" i="44"/>
  <c r="W301" i="45" s="1"/>
  <c r="Y302" i="44"/>
  <c r="W302" i="45" s="1"/>
  <c r="Y303" i="44"/>
  <c r="Y304" i="44"/>
  <c r="W304" i="45" s="1"/>
  <c r="Y305" i="44"/>
  <c r="Y306" i="44"/>
  <c r="Y307" i="44"/>
  <c r="Y308" i="44"/>
  <c r="Y309" i="44"/>
  <c r="Y310" i="44"/>
  <c r="Y311" i="44"/>
  <c r="Y312" i="44"/>
  <c r="Y313" i="44"/>
  <c r="Y314" i="44"/>
  <c r="Y315" i="44"/>
  <c r="Y316" i="44"/>
  <c r="Y317" i="44"/>
  <c r="Y318" i="44"/>
  <c r="Y319" i="44"/>
  <c r="Y320" i="44"/>
  <c r="Y321" i="44"/>
  <c r="Y322" i="44"/>
  <c r="Y323" i="44"/>
  <c r="Y324" i="44"/>
  <c r="Y325" i="44"/>
  <c r="Y326" i="44"/>
  <c r="Y327" i="44"/>
  <c r="Y328" i="44"/>
  <c r="Y329" i="44"/>
  <c r="Y330" i="44"/>
  <c r="Y331" i="44"/>
  <c r="Y332" i="44"/>
  <c r="Y333" i="44"/>
  <c r="Y334" i="44"/>
  <c r="W334" i="45" s="1"/>
  <c r="Y335" i="44"/>
  <c r="Y336" i="44"/>
  <c r="Y337" i="44"/>
  <c r="Y338" i="44"/>
  <c r="Y339" i="44"/>
  <c r="Y340" i="44"/>
  <c r="Y341" i="44"/>
  <c r="Y342" i="44"/>
  <c r="Y343" i="44"/>
  <c r="Y344" i="44"/>
  <c r="Y345" i="44"/>
  <c r="Y346" i="44"/>
  <c r="Y347" i="44"/>
  <c r="Y348" i="44"/>
  <c r="Y349" i="44"/>
  <c r="Y350" i="44"/>
  <c r="Y351" i="44"/>
  <c r="Y352" i="44"/>
  <c r="Y353" i="44"/>
  <c r="Y354" i="44"/>
  <c r="Y9" i="44"/>
  <c r="W9" i="45" s="1"/>
  <c r="S7" i="44"/>
  <c r="Q260" i="44"/>
  <c r="N2" i="42" l="1"/>
  <c r="AB8" i="44"/>
  <c r="W53" i="45"/>
  <c r="W54" i="45"/>
  <c r="W98" i="45"/>
  <c r="W117" i="45"/>
  <c r="W135" i="45"/>
  <c r="W138" i="45"/>
  <c r="W139" i="45"/>
  <c r="W153" i="45"/>
  <c r="W154" i="45"/>
  <c r="W155" i="45"/>
  <c r="W13" i="45"/>
  <c r="W14" i="45"/>
  <c r="W15" i="45"/>
  <c r="W17" i="45"/>
  <c r="W18" i="45"/>
  <c r="W19" i="45"/>
  <c r="W33" i="45"/>
  <c r="W36" i="45"/>
  <c r="W37" i="45"/>
  <c r="W38" i="45"/>
  <c r="W39" i="45"/>
  <c r="W56" i="45"/>
  <c r="W57" i="45"/>
  <c r="W58" i="45"/>
  <c r="W59" i="45"/>
  <c r="W73" i="45"/>
  <c r="W74" i="45"/>
  <c r="W75" i="45"/>
  <c r="W77" i="45"/>
  <c r="W78" i="45"/>
  <c r="W79" i="45"/>
  <c r="W93" i="45"/>
  <c r="W94" i="45"/>
  <c r="W95" i="45"/>
  <c r="W97" i="45"/>
  <c r="W99" i="45"/>
  <c r="W114" i="45"/>
  <c r="W115" i="45"/>
  <c r="W118" i="45"/>
  <c r="W119" i="45"/>
  <c r="W134" i="45"/>
  <c r="W137" i="45"/>
  <c r="W158" i="45"/>
  <c r="W174" i="45"/>
  <c r="W175" i="45"/>
  <c r="W177" i="45"/>
  <c r="W178" i="45"/>
  <c r="W179" i="45"/>
  <c r="W194" i="45"/>
  <c r="W195" i="45"/>
  <c r="W197" i="45"/>
  <c r="W198" i="45"/>
  <c r="W199" i="45"/>
  <c r="W214" i="45"/>
  <c r="W217" i="45"/>
  <c r="W218" i="45"/>
  <c r="W219" i="45"/>
  <c r="W235" i="45"/>
  <c r="W237" i="45"/>
  <c r="W238" i="45"/>
  <c r="W239" i="45"/>
  <c r="W254" i="45"/>
  <c r="W257" i="45"/>
  <c r="W258" i="45"/>
  <c r="W259" i="45"/>
  <c r="W274" i="45"/>
  <c r="W277" i="45"/>
  <c r="W298" i="45"/>
  <c r="W299" i="45"/>
  <c r="W314" i="45"/>
  <c r="W315" i="45"/>
  <c r="W317" i="45"/>
  <c r="W318" i="45"/>
  <c r="W319" i="45"/>
  <c r="W335" i="45"/>
  <c r="W337" i="45"/>
  <c r="W338" i="45"/>
  <c r="W339" i="45"/>
  <c r="W354" i="45"/>
  <c r="W340" i="45"/>
  <c r="W320" i="45"/>
  <c r="W300" i="45"/>
  <c r="W240" i="45"/>
  <c r="W220" i="45"/>
  <c r="W200" i="45"/>
  <c r="W180" i="45"/>
  <c r="W160" i="45"/>
  <c r="W140" i="45"/>
  <c r="W100" i="45"/>
  <c r="W80" i="45"/>
  <c r="W60" i="45"/>
  <c r="W40" i="45"/>
  <c r="W110" i="45"/>
  <c r="W90" i="45"/>
  <c r="W191" i="45"/>
  <c r="W131" i="45"/>
  <c r="W31" i="45"/>
  <c r="W349" i="45"/>
  <c r="W329" i="45"/>
  <c r="W309" i="45"/>
  <c r="W269" i="45"/>
  <c r="W249" i="45"/>
  <c r="W229" i="45"/>
  <c r="W209" i="45"/>
  <c r="W189" i="45"/>
  <c r="W169" i="45"/>
  <c r="W149" i="45"/>
  <c r="W129" i="45"/>
  <c r="W109" i="45"/>
  <c r="W89" i="45"/>
  <c r="W69" i="45"/>
  <c r="W49" i="45"/>
  <c r="W29" i="45"/>
  <c r="W348" i="45"/>
  <c r="W328" i="45"/>
  <c r="W308" i="45"/>
  <c r="W268" i="45"/>
  <c r="W248" i="45"/>
  <c r="W228" i="45"/>
  <c r="W208" i="45"/>
  <c r="W188" i="45"/>
  <c r="W168" i="45"/>
  <c r="W148" i="45"/>
  <c r="W128" i="45"/>
  <c r="W108" i="45"/>
  <c r="W88" i="45"/>
  <c r="W68" i="45"/>
  <c r="W48" i="45"/>
  <c r="W28" i="45"/>
  <c r="W311" i="45"/>
  <c r="W67" i="45"/>
  <c r="W171" i="45"/>
  <c r="W71" i="45"/>
  <c r="W326" i="45"/>
  <c r="W246" i="45"/>
  <c r="W206" i="45"/>
  <c r="W126" i="45"/>
  <c r="W26" i="45"/>
  <c r="W185" i="45"/>
  <c r="W165" i="45"/>
  <c r="W145" i="45"/>
  <c r="W125" i="45"/>
  <c r="W105" i="45"/>
  <c r="W85" i="45"/>
  <c r="W45" i="45"/>
  <c r="W211" i="45"/>
  <c r="W51" i="45"/>
  <c r="W186" i="45"/>
  <c r="W86" i="45"/>
  <c r="W344" i="45"/>
  <c r="W324" i="45"/>
  <c r="W284" i="45"/>
  <c r="W264" i="45"/>
  <c r="W244" i="45"/>
  <c r="W224" i="45"/>
  <c r="W204" i="45"/>
  <c r="W184" i="45"/>
  <c r="W164" i="45"/>
  <c r="W144" i="45"/>
  <c r="W124" i="45"/>
  <c r="W104" i="45"/>
  <c r="W84" i="45"/>
  <c r="W64" i="45"/>
  <c r="W44" i="45"/>
  <c r="W24" i="45"/>
  <c r="W331" i="45"/>
  <c r="W231" i="45"/>
  <c r="W151" i="45"/>
  <c r="W11" i="45"/>
  <c r="W47" i="45"/>
  <c r="W346" i="45"/>
  <c r="W286" i="45"/>
  <c r="W226" i="45"/>
  <c r="W166" i="45"/>
  <c r="W106" i="45"/>
  <c r="W46" i="45"/>
  <c r="W343" i="45"/>
  <c r="W323" i="45"/>
  <c r="W303" i="45"/>
  <c r="W263" i="45"/>
  <c r="W243" i="45"/>
  <c r="W223" i="45"/>
  <c r="W203" i="45"/>
  <c r="W163" i="45"/>
  <c r="W143" i="45"/>
  <c r="W123" i="45"/>
  <c r="W103" i="45"/>
  <c r="W83" i="45"/>
  <c r="W63" i="45"/>
  <c r="W43" i="45"/>
  <c r="W23" i="45"/>
  <c r="W91" i="45"/>
  <c r="W66" i="45"/>
  <c r="W242" i="45"/>
  <c r="W202" i="45"/>
  <c r="W182" i="45"/>
  <c r="W162" i="45"/>
  <c r="W142" i="45"/>
  <c r="W122" i="45"/>
  <c r="W102" i="45"/>
  <c r="W82" i="45"/>
  <c r="W62" i="45"/>
  <c r="W42" i="45"/>
  <c r="W22" i="45"/>
  <c r="W351" i="45"/>
  <c r="W251" i="45"/>
  <c r="W111" i="45"/>
  <c r="W307" i="45"/>
  <c r="W27" i="45"/>
  <c r="W306" i="45"/>
  <c r="W146" i="45"/>
  <c r="W342" i="45"/>
  <c r="W322" i="45"/>
  <c r="W282" i="45"/>
  <c r="W262" i="45"/>
  <c r="W222" i="45"/>
  <c r="W341" i="45"/>
  <c r="W321" i="45"/>
  <c r="W281" i="45"/>
  <c r="W261" i="45"/>
  <c r="W241" i="45"/>
  <c r="W221" i="45"/>
  <c r="W201" i="45"/>
  <c r="W181" i="45"/>
  <c r="W141" i="45"/>
  <c r="W121" i="45"/>
  <c r="W101" i="45"/>
  <c r="W81" i="45"/>
  <c r="W61" i="45"/>
  <c r="W41" i="45"/>
  <c r="W21" i="45"/>
  <c r="W236" i="45"/>
  <c r="W216" i="45"/>
  <c r="W196" i="45"/>
  <c r="W176" i="45"/>
  <c r="W156" i="45"/>
  <c r="W136" i="45"/>
  <c r="W116" i="45"/>
  <c r="W96" i="45"/>
  <c r="W76" i="45"/>
  <c r="W336" i="45"/>
  <c r="W113" i="45"/>
  <c r="W332" i="45"/>
  <c r="W72" i="45"/>
  <c r="W52" i="45"/>
  <c r="W32" i="45"/>
  <c r="W12" i="45"/>
  <c r="W276" i="45"/>
  <c r="W333" i="45"/>
  <c r="W193" i="45"/>
  <c r="W70" i="45"/>
  <c r="W50" i="45"/>
  <c r="W30" i="45"/>
  <c r="W316" i="45"/>
  <c r="W256" i="45"/>
  <c r="W233" i="45"/>
  <c r="W352" i="45"/>
  <c r="W252" i="45"/>
  <c r="W212" i="45"/>
  <c r="W192" i="45"/>
  <c r="W112" i="45"/>
  <c r="W350" i="45"/>
  <c r="W330" i="45"/>
  <c r="W270" i="45"/>
  <c r="W250" i="45"/>
  <c r="W230" i="45"/>
  <c r="W190" i="45"/>
  <c r="W170" i="45"/>
  <c r="W130" i="45"/>
  <c r="W127" i="45"/>
  <c r="W327" i="45"/>
  <c r="W227" i="45"/>
  <c r="W187" i="45"/>
  <c r="W147" i="45"/>
  <c r="W296" i="45"/>
  <c r="W353" i="45"/>
  <c r="W313" i="45"/>
  <c r="W253" i="45"/>
  <c r="W213" i="45"/>
  <c r="W173" i="45"/>
  <c r="W312" i="45"/>
  <c r="W232" i="45"/>
  <c r="W172" i="45"/>
  <c r="W152" i="45"/>
  <c r="W132" i="45"/>
  <c r="W92" i="45"/>
  <c r="W310" i="45"/>
  <c r="W210" i="45"/>
  <c r="W347" i="45"/>
  <c r="W247" i="45"/>
  <c r="W207" i="45"/>
  <c r="W167" i="45"/>
  <c r="W107" i="45"/>
  <c r="W345" i="45"/>
  <c r="W325" i="45"/>
  <c r="W305" i="45"/>
  <c r="W265" i="45"/>
  <c r="W245" i="45"/>
  <c r="W225" i="45"/>
  <c r="W205" i="45"/>
  <c r="S76" i="45"/>
  <c r="S289" i="45"/>
  <c r="S35" i="45"/>
  <c r="S215" i="45"/>
  <c r="S293" i="45"/>
  <c r="S288" i="45"/>
  <c r="S271" i="45"/>
  <c r="S55" i="45"/>
  <c r="S183" i="45"/>
  <c r="S279" i="45"/>
  <c r="S295" i="45"/>
  <c r="S266" i="45"/>
  <c r="S159" i="45"/>
  <c r="S283" i="45"/>
  <c r="S20" i="45"/>
  <c r="S302" i="45"/>
  <c r="S87" i="45"/>
  <c r="S234" i="45"/>
  <c r="S350" i="45"/>
  <c r="S280" i="45"/>
  <c r="S133" i="45"/>
  <c r="S34" i="45"/>
  <c r="S278" i="45"/>
  <c r="S297" i="45"/>
  <c r="S157" i="45"/>
  <c r="S25" i="45"/>
  <c r="S272" i="45"/>
  <c r="S292" i="45"/>
  <c r="S255" i="45"/>
  <c r="S301" i="45"/>
  <c r="S150" i="45"/>
  <c r="S294" i="45"/>
  <c r="S267" i="45"/>
  <c r="S304" i="45"/>
  <c r="S16" i="45"/>
  <c r="S275" i="45"/>
  <c r="S290" i="45"/>
  <c r="S287" i="45"/>
  <c r="S273" i="45"/>
  <c r="S9" i="45"/>
  <c r="S120" i="45"/>
  <c r="S167" i="45"/>
  <c r="S269" i="45"/>
  <c r="S128" i="45"/>
  <c r="S41" i="45"/>
  <c r="S236" i="45"/>
  <c r="S139" i="45"/>
  <c r="S56" i="45"/>
  <c r="S45" i="45"/>
  <c r="S257" i="45"/>
  <c r="S114" i="45"/>
  <c r="S242" i="45"/>
  <c r="S237" i="45"/>
  <c r="S202" i="45"/>
  <c r="S145" i="45"/>
  <c r="S316" i="45"/>
  <c r="S68" i="45"/>
  <c r="S127" i="45"/>
  <c r="S249" i="45"/>
  <c r="S15" i="45"/>
  <c r="S154" i="45"/>
  <c r="S320" i="45"/>
  <c r="S324" i="45"/>
  <c r="S334" i="45"/>
  <c r="S108" i="45"/>
  <c r="S256" i="45"/>
  <c r="S69" i="45"/>
  <c r="S162" i="45"/>
  <c r="S73" i="45"/>
  <c r="S327" i="45"/>
  <c r="S99" i="45"/>
  <c r="S38" i="45"/>
  <c r="S231" i="45"/>
  <c r="S322" i="45"/>
  <c r="S233" i="45"/>
  <c r="S46" i="45"/>
  <c r="S204" i="45"/>
  <c r="S354" i="45"/>
  <c r="S31" i="45"/>
  <c r="S81" i="45"/>
  <c r="S216" i="45"/>
  <c r="S308" i="45"/>
  <c r="S110" i="45"/>
  <c r="S57" i="45"/>
  <c r="S29" i="45"/>
  <c r="S136" i="45"/>
  <c r="S315" i="45"/>
  <c r="S265" i="45"/>
  <c r="S160" i="45"/>
  <c r="S254" i="45"/>
  <c r="S337" i="45"/>
  <c r="S351" i="45"/>
  <c r="S148" i="45"/>
  <c r="S36" i="45"/>
  <c r="S130" i="45"/>
  <c r="S225" i="45"/>
  <c r="S82" i="45"/>
  <c r="S321" i="45"/>
  <c r="S50" i="45"/>
  <c r="S62" i="45"/>
  <c r="S116" i="45"/>
  <c r="S346" i="45"/>
  <c r="S347" i="45"/>
  <c r="S230" i="45"/>
  <c r="S96" i="45"/>
  <c r="S149" i="45"/>
  <c r="S190" i="45"/>
  <c r="S60" i="45"/>
  <c r="S307" i="45"/>
  <c r="S240" i="45"/>
  <c r="S102" i="45"/>
  <c r="S305" i="45"/>
  <c r="S235" i="45"/>
  <c r="S111" i="45"/>
  <c r="S17" i="45"/>
  <c r="S253" i="45"/>
  <c r="S101" i="45"/>
  <c r="S201" i="45"/>
  <c r="S212" i="45"/>
  <c r="S174" i="45"/>
  <c r="S318" i="45"/>
  <c r="S72" i="45"/>
  <c r="S178" i="45"/>
  <c r="S208" i="45"/>
  <c r="S217" i="45"/>
  <c r="S270" i="45"/>
  <c r="S340" i="45"/>
  <c r="S300" i="45"/>
  <c r="S92" i="45"/>
  <c r="S21" i="45"/>
  <c r="S63" i="45"/>
  <c r="S220" i="45"/>
  <c r="S144" i="45"/>
  <c r="S228" i="45"/>
  <c r="S113" i="45"/>
  <c r="S226" i="45"/>
  <c r="S213" i="45"/>
  <c r="S78" i="45"/>
  <c r="S104" i="45"/>
  <c r="S188" i="45"/>
  <c r="S261" i="45"/>
  <c r="S65" i="45"/>
  <c r="S77" i="45"/>
  <c r="S210" i="45"/>
  <c r="S317" i="45"/>
  <c r="S348" i="45"/>
  <c r="S314" i="45"/>
  <c r="S37" i="45"/>
  <c r="S262" i="45"/>
  <c r="S123" i="45"/>
  <c r="S311" i="45"/>
  <c r="S328" i="45"/>
  <c r="S251" i="45"/>
  <c r="S244" i="45"/>
  <c r="S93" i="45"/>
  <c r="S164" i="45"/>
  <c r="S141" i="45"/>
  <c r="S24" i="45"/>
  <c r="S175" i="45"/>
  <c r="S342" i="45"/>
  <c r="S67" i="45"/>
  <c r="S298" i="45"/>
  <c r="S264" i="45"/>
  <c r="S83" i="45"/>
  <c r="S18" i="45"/>
  <c r="S30" i="45"/>
  <c r="S51" i="45"/>
  <c r="S140" i="45"/>
  <c r="S194" i="45"/>
  <c r="S229" i="45"/>
  <c r="S43" i="45"/>
  <c r="S52" i="45"/>
  <c r="S14" i="45"/>
  <c r="S103" i="45"/>
  <c r="S23" i="45"/>
  <c r="S263" i="45"/>
  <c r="S171" i="45"/>
  <c r="S349" i="45"/>
  <c r="S247" i="45"/>
  <c r="S296" i="45"/>
  <c r="S276" i="45"/>
  <c r="S222" i="45"/>
  <c r="S156" i="45"/>
  <c r="S13" i="45"/>
  <c r="S47" i="45"/>
  <c r="S53" i="45"/>
  <c r="S170" i="45"/>
  <c r="S151" i="45"/>
  <c r="S313" i="45"/>
  <c r="S282" i="45"/>
  <c r="S352" i="45"/>
  <c r="S182" i="45"/>
  <c r="S353" i="45"/>
  <c r="S343" i="45"/>
  <c r="S284" i="45"/>
  <c r="S232" i="45"/>
  <c r="S239" i="45"/>
  <c r="S91" i="45"/>
  <c r="S66" i="45"/>
  <c r="S248" i="45"/>
  <c r="S325" i="45"/>
  <c r="S185" i="45"/>
  <c r="S203" i="45"/>
  <c r="S252" i="45"/>
  <c r="S143" i="45"/>
  <c r="S155" i="45"/>
  <c r="S331" i="45"/>
  <c r="S85" i="45"/>
  <c r="S211" i="45"/>
  <c r="S134" i="45"/>
  <c r="S10" i="45"/>
  <c r="S147" i="45"/>
  <c r="S172" i="45"/>
  <c r="S169" i="45"/>
  <c r="S84" i="45"/>
  <c r="S195" i="45"/>
  <c r="S44" i="45"/>
  <c r="S168" i="45"/>
  <c r="S80" i="45"/>
  <c r="S277" i="45"/>
  <c r="S281" i="45"/>
  <c r="S196" i="45"/>
  <c r="S88" i="45"/>
  <c r="S184" i="45"/>
  <c r="S310" i="45"/>
  <c r="S332" i="45"/>
  <c r="S199" i="45"/>
  <c r="S106" i="45"/>
  <c r="S22" i="45"/>
  <c r="S198" i="45"/>
  <c r="S94" i="45"/>
  <c r="S126" i="45"/>
  <c r="S32" i="45"/>
  <c r="S323" i="45"/>
  <c r="S333" i="45"/>
  <c r="S124" i="45"/>
  <c r="S214" i="45"/>
  <c r="S86" i="45"/>
  <c r="S238" i="45"/>
  <c r="S26" i="45"/>
  <c r="S299" i="45"/>
  <c r="S291" i="45"/>
  <c r="S246" i="45"/>
  <c r="S90" i="45"/>
  <c r="S258" i="45"/>
  <c r="S344" i="45"/>
  <c r="S100" i="45"/>
  <c r="S129" i="45"/>
  <c r="S105" i="45"/>
  <c r="S48" i="45"/>
  <c r="S54" i="45"/>
  <c r="S206" i="45"/>
  <c r="S158" i="45"/>
  <c r="S135" i="45"/>
  <c r="S200" i="45"/>
  <c r="S268" i="45"/>
  <c r="S329" i="45"/>
  <c r="S161" i="45"/>
  <c r="S115" i="45"/>
  <c r="S207" i="45"/>
  <c r="S70" i="45"/>
  <c r="S121" i="45"/>
  <c r="S163" i="45"/>
  <c r="S336" i="45"/>
  <c r="S193" i="45"/>
  <c r="S218" i="45"/>
  <c r="S335" i="45"/>
  <c r="S40" i="45"/>
  <c r="S181" i="45"/>
  <c r="S243" i="45"/>
  <c r="S274" i="45"/>
  <c r="S312" i="45"/>
  <c r="S186" i="45"/>
  <c r="S197" i="45"/>
  <c r="S59" i="45"/>
  <c r="S142" i="45"/>
  <c r="S28" i="45"/>
  <c r="S341" i="45"/>
  <c r="S245" i="45"/>
  <c r="S109" i="45"/>
  <c r="S187" i="45"/>
  <c r="S166" i="45"/>
  <c r="S117" i="45"/>
  <c r="S112" i="45"/>
  <c r="S189" i="45"/>
  <c r="S118" i="45"/>
  <c r="S42" i="45"/>
  <c r="S122" i="45"/>
  <c r="S241" i="45"/>
  <c r="S39" i="45"/>
  <c r="S12" i="45"/>
  <c r="S137" i="45"/>
  <c r="S309" i="45"/>
  <c r="S180" i="45"/>
  <c r="S132" i="45"/>
  <c r="S71" i="45"/>
  <c r="S173" i="45"/>
  <c r="S192" i="45"/>
  <c r="S223" i="45"/>
  <c r="S338" i="45"/>
  <c r="S259" i="45"/>
  <c r="S58" i="45"/>
  <c r="S250" i="45"/>
  <c r="S11" i="45"/>
  <c r="S97" i="45"/>
  <c r="S79" i="45"/>
  <c r="S19" i="45"/>
  <c r="S191" i="45"/>
  <c r="S205" i="45"/>
  <c r="S219" i="45"/>
  <c r="S49" i="45"/>
  <c r="S95" i="45"/>
  <c r="S326" i="45"/>
  <c r="S131" i="45"/>
  <c r="S74" i="45"/>
  <c r="S209" i="45"/>
  <c r="S330" i="45"/>
  <c r="S339" i="45"/>
  <c r="S125" i="45"/>
  <c r="S75" i="45"/>
  <c r="S138" i="45"/>
  <c r="S61" i="45"/>
  <c r="S224" i="45"/>
  <c r="S98" i="45"/>
  <c r="S119" i="45"/>
  <c r="S345" i="45"/>
  <c r="S152" i="45"/>
  <c r="S33" i="45"/>
  <c r="S176" i="45"/>
  <c r="S221" i="45"/>
  <c r="S107" i="45"/>
  <c r="S303" i="45"/>
  <c r="S27" i="45"/>
  <c r="S165" i="45"/>
  <c r="S177" i="45"/>
  <c r="S89" i="45"/>
  <c r="S319" i="45"/>
  <c r="S286" i="45"/>
  <c r="S146" i="45"/>
  <c r="S306" i="45"/>
  <c r="S64" i="45"/>
  <c r="S179" i="45"/>
  <c r="S227" i="45"/>
  <c r="S153" i="45"/>
  <c r="N7" i="45"/>
  <c r="O31" i="45" s="1"/>
  <c r="P31" i="45" s="1"/>
  <c r="X7" i="44"/>
  <c r="Y7" i="44"/>
  <c r="W10" i="45"/>
  <c r="V7" i="45"/>
  <c r="W7" i="45" s="1"/>
  <c r="X291" i="45" s="1"/>
  <c r="W7" i="44"/>
  <c r="V2" i="42"/>
  <c r="O10" i="44"/>
  <c r="O11" i="44"/>
  <c r="O12" i="44"/>
  <c r="O13" i="44"/>
  <c r="O14" i="44"/>
  <c r="O15" i="44"/>
  <c r="O16" i="44"/>
  <c r="O17" i="44"/>
  <c r="O18" i="44"/>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O69" i="44"/>
  <c r="O70" i="44"/>
  <c r="O71" i="44"/>
  <c r="O72" i="44"/>
  <c r="O73" i="44"/>
  <c r="O74" i="44"/>
  <c r="O75" i="44"/>
  <c r="O76" i="44"/>
  <c r="O77" i="44"/>
  <c r="O78" i="44"/>
  <c r="O79" i="44"/>
  <c r="O80" i="44"/>
  <c r="O81" i="44"/>
  <c r="O82" i="44"/>
  <c r="O83" i="44"/>
  <c r="O84" i="44"/>
  <c r="O85" i="44"/>
  <c r="O86" i="44"/>
  <c r="O87" i="44"/>
  <c r="O88" i="44"/>
  <c r="O89" i="44"/>
  <c r="O90" i="44"/>
  <c r="O91" i="44"/>
  <c r="O92" i="44"/>
  <c r="O93" i="44"/>
  <c r="O94" i="44"/>
  <c r="O95" i="44"/>
  <c r="O96" i="44"/>
  <c r="O97" i="44"/>
  <c r="O98" i="44"/>
  <c r="O99" i="44"/>
  <c r="O100" i="44"/>
  <c r="O101" i="44"/>
  <c r="O102" i="44"/>
  <c r="O103" i="44"/>
  <c r="O104" i="44"/>
  <c r="O105" i="44"/>
  <c r="O106" i="44"/>
  <c r="O107" i="44"/>
  <c r="O108" i="44"/>
  <c r="O109" i="44"/>
  <c r="O110" i="44"/>
  <c r="O111" i="44"/>
  <c r="O112" i="44"/>
  <c r="O113" i="44"/>
  <c r="O114" i="44"/>
  <c r="O115" i="44"/>
  <c r="O116" i="44"/>
  <c r="O117" i="44"/>
  <c r="O118" i="44"/>
  <c r="O119" i="44"/>
  <c r="O120" i="44"/>
  <c r="O121" i="44"/>
  <c r="O122" i="44"/>
  <c r="O123" i="44"/>
  <c r="O124" i="44"/>
  <c r="O125" i="44"/>
  <c r="O126" i="44"/>
  <c r="O127" i="44"/>
  <c r="O128" i="44"/>
  <c r="O129" i="44"/>
  <c r="O130" i="44"/>
  <c r="O131" i="44"/>
  <c r="O132" i="44"/>
  <c r="O133" i="44"/>
  <c r="O134" i="44"/>
  <c r="O135" i="44"/>
  <c r="O136" i="44"/>
  <c r="O137" i="44"/>
  <c r="O138" i="44"/>
  <c r="O139" i="44"/>
  <c r="O140" i="44"/>
  <c r="O141" i="44"/>
  <c r="O142" i="44"/>
  <c r="O143" i="44"/>
  <c r="O144" i="44"/>
  <c r="O145" i="44"/>
  <c r="O146" i="44"/>
  <c r="O147" i="44"/>
  <c r="O148" i="44"/>
  <c r="O149" i="44"/>
  <c r="O150" i="44"/>
  <c r="O151" i="44"/>
  <c r="O152" i="44"/>
  <c r="O153" i="44"/>
  <c r="O154" i="44"/>
  <c r="O155" i="44"/>
  <c r="O156" i="44"/>
  <c r="O157" i="44"/>
  <c r="O158" i="44"/>
  <c r="O159" i="44"/>
  <c r="O160" i="44"/>
  <c r="O161" i="44"/>
  <c r="O162" i="44"/>
  <c r="O163" i="44"/>
  <c r="O164" i="44"/>
  <c r="O165" i="44"/>
  <c r="O166" i="44"/>
  <c r="O167" i="44"/>
  <c r="O168" i="44"/>
  <c r="O169" i="44"/>
  <c r="O170" i="44"/>
  <c r="O171" i="44"/>
  <c r="O172" i="44"/>
  <c r="O173" i="44"/>
  <c r="O174" i="44"/>
  <c r="O175" i="44"/>
  <c r="O176" i="44"/>
  <c r="O177" i="44"/>
  <c r="O178" i="44"/>
  <c r="O179" i="44"/>
  <c r="O180" i="44"/>
  <c r="O181" i="44"/>
  <c r="O182" i="44"/>
  <c r="O183" i="44"/>
  <c r="O184" i="44"/>
  <c r="O185" i="44"/>
  <c r="O186" i="44"/>
  <c r="O187" i="44"/>
  <c r="O188" i="44"/>
  <c r="O189" i="44"/>
  <c r="O190" i="44"/>
  <c r="O191" i="44"/>
  <c r="O192" i="44"/>
  <c r="O193" i="44"/>
  <c r="O194" i="44"/>
  <c r="O195" i="44"/>
  <c r="O196" i="44"/>
  <c r="O197" i="44"/>
  <c r="O198" i="44"/>
  <c r="O199" i="44"/>
  <c r="O200" i="44"/>
  <c r="O201" i="44"/>
  <c r="O202" i="44"/>
  <c r="O203" i="44"/>
  <c r="O204" i="44"/>
  <c r="O205" i="44"/>
  <c r="O206" i="44"/>
  <c r="O207" i="44"/>
  <c r="O208" i="44"/>
  <c r="O209" i="44"/>
  <c r="O210" i="44"/>
  <c r="O211" i="44"/>
  <c r="O212" i="44"/>
  <c r="O213" i="44"/>
  <c r="O214" i="44"/>
  <c r="O215" i="44"/>
  <c r="O216" i="44"/>
  <c r="O217" i="44"/>
  <c r="O218" i="44"/>
  <c r="O219" i="44"/>
  <c r="O220" i="44"/>
  <c r="O221" i="44"/>
  <c r="O222" i="44"/>
  <c r="O223" i="44"/>
  <c r="O224" i="44"/>
  <c r="O225" i="44"/>
  <c r="O226" i="44"/>
  <c r="O227" i="44"/>
  <c r="O228" i="44"/>
  <c r="O229" i="44"/>
  <c r="O230" i="44"/>
  <c r="O231" i="44"/>
  <c r="O232" i="44"/>
  <c r="O233" i="44"/>
  <c r="O234" i="44"/>
  <c r="O235" i="44"/>
  <c r="O236" i="44"/>
  <c r="O237" i="44"/>
  <c r="O238" i="44"/>
  <c r="O239" i="44"/>
  <c r="O240" i="44"/>
  <c r="O241" i="44"/>
  <c r="O242" i="44"/>
  <c r="O243" i="44"/>
  <c r="O244" i="44"/>
  <c r="O245" i="44"/>
  <c r="O246" i="44"/>
  <c r="O247" i="44"/>
  <c r="O248" i="44"/>
  <c r="O249" i="44"/>
  <c r="O250" i="44"/>
  <c r="O251" i="44"/>
  <c r="O252" i="44"/>
  <c r="O253" i="44"/>
  <c r="O254" i="44"/>
  <c r="O255" i="44"/>
  <c r="O256" i="44"/>
  <c r="O257" i="44"/>
  <c r="O258" i="44"/>
  <c r="O259" i="44"/>
  <c r="O260" i="44"/>
  <c r="O261" i="44"/>
  <c r="O262" i="44"/>
  <c r="O263" i="44"/>
  <c r="O264" i="44"/>
  <c r="O265" i="44"/>
  <c r="O266" i="44"/>
  <c r="O267" i="44"/>
  <c r="O268" i="44"/>
  <c r="O269" i="44"/>
  <c r="O270" i="44"/>
  <c r="O271" i="44"/>
  <c r="O272" i="44"/>
  <c r="O273" i="44"/>
  <c r="O274" i="44"/>
  <c r="O275" i="44"/>
  <c r="O276" i="44"/>
  <c r="O277" i="44"/>
  <c r="O278" i="44"/>
  <c r="O279" i="44"/>
  <c r="O280" i="44"/>
  <c r="O281" i="44"/>
  <c r="O282" i="44"/>
  <c r="O283" i="44"/>
  <c r="O284" i="44"/>
  <c r="O285" i="44"/>
  <c r="O286" i="44"/>
  <c r="O287" i="44"/>
  <c r="O288" i="44"/>
  <c r="O289" i="44"/>
  <c r="O290" i="44"/>
  <c r="O291" i="44"/>
  <c r="O292" i="44"/>
  <c r="O293" i="44"/>
  <c r="O294" i="44"/>
  <c r="O295" i="44"/>
  <c r="O296" i="44"/>
  <c r="O297" i="44"/>
  <c r="O298" i="44"/>
  <c r="O299" i="44"/>
  <c r="O300" i="44"/>
  <c r="O301" i="44"/>
  <c r="O302" i="44"/>
  <c r="O303" i="44"/>
  <c r="O304" i="44"/>
  <c r="O305" i="44"/>
  <c r="O306" i="44"/>
  <c r="O307" i="44"/>
  <c r="O308" i="44"/>
  <c r="O309" i="44"/>
  <c r="O310" i="44"/>
  <c r="O311" i="44"/>
  <c r="O312" i="44"/>
  <c r="O313" i="44"/>
  <c r="O314" i="44"/>
  <c r="O315" i="44"/>
  <c r="O316" i="44"/>
  <c r="O317" i="44"/>
  <c r="O318" i="44"/>
  <c r="O319" i="44"/>
  <c r="O320" i="44"/>
  <c r="O321" i="44"/>
  <c r="O322" i="44"/>
  <c r="O323" i="44"/>
  <c r="O324" i="44"/>
  <c r="O325" i="44"/>
  <c r="O326" i="44"/>
  <c r="O327" i="44"/>
  <c r="O328" i="44"/>
  <c r="O329" i="44"/>
  <c r="O330" i="44"/>
  <c r="O331" i="44"/>
  <c r="O332" i="44"/>
  <c r="O333" i="44"/>
  <c r="O334" i="44"/>
  <c r="O335" i="44"/>
  <c r="O336" i="44"/>
  <c r="O337" i="44"/>
  <c r="O338" i="44"/>
  <c r="O339" i="44"/>
  <c r="O340" i="44"/>
  <c r="O341" i="44"/>
  <c r="O342" i="44"/>
  <c r="O343" i="44"/>
  <c r="O344" i="44"/>
  <c r="O345" i="44"/>
  <c r="O346" i="44"/>
  <c r="O347" i="44"/>
  <c r="O348" i="44"/>
  <c r="O349" i="44"/>
  <c r="O350" i="44"/>
  <c r="O351" i="44"/>
  <c r="O352" i="44"/>
  <c r="O353" i="44"/>
  <c r="O354" i="44"/>
  <c r="O9" i="44"/>
  <c r="N5" i="44"/>
  <c r="M5" i="44"/>
  <c r="J7" i="44"/>
  <c r="H10" i="44"/>
  <c r="H11" i="44"/>
  <c r="H12" i="44"/>
  <c r="H13" i="44"/>
  <c r="H14" i="44"/>
  <c r="H15" i="44"/>
  <c r="H16" i="44"/>
  <c r="H17" i="44"/>
  <c r="H18" i="44"/>
  <c r="H19" i="44"/>
  <c r="H20" i="44"/>
  <c r="H21" i="44"/>
  <c r="H22" i="44"/>
  <c r="H23" i="44"/>
  <c r="H24" i="44"/>
  <c r="H25" i="44"/>
  <c r="H26" i="44"/>
  <c r="H27" i="44"/>
  <c r="H28" i="44"/>
  <c r="H29" i="44"/>
  <c r="H30" i="44"/>
  <c r="H31" i="44"/>
  <c r="H32" i="44"/>
  <c r="H33" i="44"/>
  <c r="H34" i="44"/>
  <c r="H35" i="44"/>
  <c r="H36" i="44"/>
  <c r="H37" i="44"/>
  <c r="H38" i="44"/>
  <c r="H39" i="44"/>
  <c r="H40" i="44"/>
  <c r="H41" i="44"/>
  <c r="H42" i="44"/>
  <c r="H43" i="44"/>
  <c r="H44" i="44"/>
  <c r="H45" i="44"/>
  <c r="H46" i="44"/>
  <c r="H47" i="44"/>
  <c r="H48" i="44"/>
  <c r="H49" i="44"/>
  <c r="H50" i="44"/>
  <c r="H51" i="44"/>
  <c r="H52" i="44"/>
  <c r="H53" i="44"/>
  <c r="H54" i="44"/>
  <c r="H55" i="44"/>
  <c r="H56" i="44"/>
  <c r="H57" i="44"/>
  <c r="H58" i="44"/>
  <c r="H59" i="44"/>
  <c r="H60" i="44"/>
  <c r="H61" i="44"/>
  <c r="H62" i="44"/>
  <c r="H63" i="44"/>
  <c r="H64" i="44"/>
  <c r="H65" i="44"/>
  <c r="H66" i="44"/>
  <c r="H67" i="44"/>
  <c r="H68" i="44"/>
  <c r="H69" i="44"/>
  <c r="H70" i="44"/>
  <c r="H71" i="44"/>
  <c r="H72" i="44"/>
  <c r="H73" i="44"/>
  <c r="H74" i="44"/>
  <c r="H75" i="44"/>
  <c r="H76" i="44"/>
  <c r="H77" i="44"/>
  <c r="H78" i="44"/>
  <c r="H79" i="44"/>
  <c r="H80" i="44"/>
  <c r="H81" i="44"/>
  <c r="H82" i="44"/>
  <c r="H83" i="44"/>
  <c r="H84" i="44"/>
  <c r="H85" i="44"/>
  <c r="H86" i="44"/>
  <c r="H87" i="44"/>
  <c r="H88" i="44"/>
  <c r="H89" i="44"/>
  <c r="H90" i="44"/>
  <c r="H91" i="44"/>
  <c r="H92" i="44"/>
  <c r="H93" i="44"/>
  <c r="H94" i="44"/>
  <c r="H95" i="44"/>
  <c r="H96" i="44"/>
  <c r="H97" i="44"/>
  <c r="H98" i="44"/>
  <c r="H99" i="44"/>
  <c r="H100" i="44"/>
  <c r="H101" i="44"/>
  <c r="H102" i="44"/>
  <c r="H103" i="44"/>
  <c r="H104" i="44"/>
  <c r="H105" i="44"/>
  <c r="H106" i="44"/>
  <c r="H107" i="44"/>
  <c r="H108" i="44"/>
  <c r="H109" i="44"/>
  <c r="H110" i="44"/>
  <c r="H111" i="44"/>
  <c r="H112" i="44"/>
  <c r="H113" i="44"/>
  <c r="H114" i="44"/>
  <c r="H115" i="44"/>
  <c r="H116" i="44"/>
  <c r="H117" i="44"/>
  <c r="H118" i="44"/>
  <c r="H119" i="44"/>
  <c r="H120" i="44"/>
  <c r="H121" i="44"/>
  <c r="H122" i="44"/>
  <c r="H123" i="44"/>
  <c r="H124" i="44"/>
  <c r="H125" i="44"/>
  <c r="H126" i="44"/>
  <c r="H127" i="44"/>
  <c r="H128" i="44"/>
  <c r="H129" i="44"/>
  <c r="H130" i="44"/>
  <c r="H131" i="44"/>
  <c r="H132" i="44"/>
  <c r="H133" i="44"/>
  <c r="H134" i="44"/>
  <c r="H135" i="44"/>
  <c r="H136" i="44"/>
  <c r="H137" i="44"/>
  <c r="H138" i="44"/>
  <c r="H139" i="44"/>
  <c r="H140" i="44"/>
  <c r="H141" i="44"/>
  <c r="H142" i="44"/>
  <c r="H143" i="44"/>
  <c r="H144" i="44"/>
  <c r="H145" i="44"/>
  <c r="H146" i="44"/>
  <c r="H147" i="44"/>
  <c r="H148" i="44"/>
  <c r="H149" i="44"/>
  <c r="H150" i="44"/>
  <c r="H151" i="44"/>
  <c r="H152" i="44"/>
  <c r="H153" i="44"/>
  <c r="H154" i="44"/>
  <c r="H155" i="44"/>
  <c r="H156" i="44"/>
  <c r="H157" i="44"/>
  <c r="H158" i="44"/>
  <c r="H159" i="44"/>
  <c r="H160" i="44"/>
  <c r="H161" i="44"/>
  <c r="H162" i="44"/>
  <c r="H163" i="44"/>
  <c r="H164" i="44"/>
  <c r="H165" i="44"/>
  <c r="H166" i="44"/>
  <c r="H167" i="44"/>
  <c r="H168" i="44"/>
  <c r="H169" i="44"/>
  <c r="H170" i="44"/>
  <c r="H171" i="44"/>
  <c r="H172" i="44"/>
  <c r="H173" i="44"/>
  <c r="H174" i="44"/>
  <c r="H175" i="44"/>
  <c r="H176" i="44"/>
  <c r="H177" i="44"/>
  <c r="H178" i="44"/>
  <c r="H179" i="44"/>
  <c r="H180" i="44"/>
  <c r="H181" i="44"/>
  <c r="H182" i="44"/>
  <c r="H183" i="44"/>
  <c r="H184" i="44"/>
  <c r="H185" i="44"/>
  <c r="H186" i="44"/>
  <c r="H187" i="44"/>
  <c r="H188" i="44"/>
  <c r="H189" i="44"/>
  <c r="H190" i="44"/>
  <c r="H191" i="44"/>
  <c r="H192" i="44"/>
  <c r="H193" i="44"/>
  <c r="H194" i="44"/>
  <c r="H195" i="44"/>
  <c r="H196" i="44"/>
  <c r="H197" i="44"/>
  <c r="H198" i="44"/>
  <c r="H199" i="44"/>
  <c r="H200" i="44"/>
  <c r="H201" i="44"/>
  <c r="H202" i="44"/>
  <c r="H203" i="44"/>
  <c r="H204" i="44"/>
  <c r="H205" i="44"/>
  <c r="H206" i="44"/>
  <c r="H207" i="44"/>
  <c r="H208" i="44"/>
  <c r="H209" i="44"/>
  <c r="H210" i="44"/>
  <c r="H211" i="44"/>
  <c r="H212" i="44"/>
  <c r="H213" i="44"/>
  <c r="H214" i="44"/>
  <c r="H215" i="44"/>
  <c r="H216" i="44"/>
  <c r="H217" i="44"/>
  <c r="H218" i="44"/>
  <c r="H219" i="44"/>
  <c r="H220" i="44"/>
  <c r="H221" i="44"/>
  <c r="H222" i="44"/>
  <c r="H223" i="44"/>
  <c r="H224" i="44"/>
  <c r="H225" i="44"/>
  <c r="H226" i="44"/>
  <c r="H227" i="44"/>
  <c r="H228" i="44"/>
  <c r="H229" i="44"/>
  <c r="H230" i="44"/>
  <c r="H231" i="44"/>
  <c r="H232" i="44"/>
  <c r="H233" i="44"/>
  <c r="H234" i="44"/>
  <c r="H235" i="44"/>
  <c r="H236" i="44"/>
  <c r="H237" i="44"/>
  <c r="H238" i="44"/>
  <c r="H239" i="44"/>
  <c r="H240" i="44"/>
  <c r="H241" i="44"/>
  <c r="H242" i="44"/>
  <c r="H243" i="44"/>
  <c r="H244" i="44"/>
  <c r="H245" i="44"/>
  <c r="H246" i="44"/>
  <c r="H247" i="44"/>
  <c r="H248" i="44"/>
  <c r="H249" i="44"/>
  <c r="H250" i="44"/>
  <c r="H251" i="44"/>
  <c r="H252" i="44"/>
  <c r="H253" i="44"/>
  <c r="H254" i="44"/>
  <c r="H255" i="44"/>
  <c r="H256" i="44"/>
  <c r="H257" i="44"/>
  <c r="H258" i="44"/>
  <c r="H259" i="44"/>
  <c r="H260" i="44"/>
  <c r="H261" i="44"/>
  <c r="H262" i="44"/>
  <c r="H263" i="44"/>
  <c r="H264" i="44"/>
  <c r="H265" i="44"/>
  <c r="H266" i="44"/>
  <c r="H267" i="44"/>
  <c r="H268" i="44"/>
  <c r="H269" i="44"/>
  <c r="H270" i="44"/>
  <c r="H271" i="44"/>
  <c r="H272" i="44"/>
  <c r="H273" i="44"/>
  <c r="H274" i="44"/>
  <c r="H275" i="44"/>
  <c r="H276" i="44"/>
  <c r="H277" i="44"/>
  <c r="H278" i="44"/>
  <c r="H279" i="44"/>
  <c r="H280" i="44"/>
  <c r="H281" i="44"/>
  <c r="H282" i="44"/>
  <c r="H283" i="44"/>
  <c r="H284" i="44"/>
  <c r="H285" i="44"/>
  <c r="H286" i="44"/>
  <c r="H287" i="44"/>
  <c r="H288" i="44"/>
  <c r="H289" i="44"/>
  <c r="H290" i="44"/>
  <c r="H291" i="44"/>
  <c r="H292" i="44"/>
  <c r="H293" i="44"/>
  <c r="H294" i="44"/>
  <c r="H295" i="44"/>
  <c r="H296" i="44"/>
  <c r="H297" i="44"/>
  <c r="H298" i="44"/>
  <c r="H299" i="44"/>
  <c r="H300" i="44"/>
  <c r="H301" i="44"/>
  <c r="H302" i="44"/>
  <c r="H303" i="44"/>
  <c r="H304" i="44"/>
  <c r="H305" i="44"/>
  <c r="H306" i="44"/>
  <c r="H307" i="44"/>
  <c r="H308" i="44"/>
  <c r="H309" i="44"/>
  <c r="H310" i="44"/>
  <c r="H311" i="44"/>
  <c r="H312" i="44"/>
  <c r="H313" i="44"/>
  <c r="H314" i="44"/>
  <c r="H315" i="44"/>
  <c r="H316" i="44"/>
  <c r="H317" i="44"/>
  <c r="H318" i="44"/>
  <c r="H319" i="44"/>
  <c r="H320" i="44"/>
  <c r="H321" i="44"/>
  <c r="H322" i="44"/>
  <c r="H323" i="44"/>
  <c r="H324" i="44"/>
  <c r="H325" i="44"/>
  <c r="H326" i="44"/>
  <c r="H327" i="44"/>
  <c r="H328" i="44"/>
  <c r="H329" i="44"/>
  <c r="H330" i="44"/>
  <c r="H331" i="44"/>
  <c r="H332" i="44"/>
  <c r="H333" i="44"/>
  <c r="H334" i="44"/>
  <c r="H335" i="44"/>
  <c r="H336" i="44"/>
  <c r="H337" i="44"/>
  <c r="H338" i="44"/>
  <c r="H339" i="44"/>
  <c r="H340" i="44"/>
  <c r="H341" i="44"/>
  <c r="H342" i="44"/>
  <c r="H343" i="44"/>
  <c r="H344" i="44"/>
  <c r="H345" i="44"/>
  <c r="H346" i="44"/>
  <c r="H347" i="44"/>
  <c r="H348" i="44"/>
  <c r="H349" i="44"/>
  <c r="H350" i="44"/>
  <c r="H351" i="44"/>
  <c r="H352" i="44"/>
  <c r="H353" i="44"/>
  <c r="H354" i="44"/>
  <c r="H9" i="44"/>
  <c r="D10" i="44"/>
  <c r="D11" i="44"/>
  <c r="D12" i="44"/>
  <c r="D13" i="44"/>
  <c r="D14" i="44"/>
  <c r="D15" i="44"/>
  <c r="D16" i="44"/>
  <c r="D17" i="44"/>
  <c r="D18" i="44"/>
  <c r="D19" i="44"/>
  <c r="D20" i="44"/>
  <c r="D21" i="44"/>
  <c r="D22" i="44"/>
  <c r="D23" i="44"/>
  <c r="D24" i="44"/>
  <c r="D25" i="44"/>
  <c r="D26" i="44"/>
  <c r="D27" i="44"/>
  <c r="D28" i="44"/>
  <c r="D29" i="44"/>
  <c r="D30" i="44"/>
  <c r="D31" i="44"/>
  <c r="D32" i="44"/>
  <c r="D33" i="44"/>
  <c r="D34" i="44"/>
  <c r="D35" i="44"/>
  <c r="D36" i="44"/>
  <c r="D37" i="44"/>
  <c r="D38" i="44"/>
  <c r="D39" i="44"/>
  <c r="D40" i="44"/>
  <c r="D41" i="44"/>
  <c r="D42" i="44"/>
  <c r="D43" i="44"/>
  <c r="D44" i="44"/>
  <c r="D45" i="44"/>
  <c r="D46" i="44"/>
  <c r="D47" i="44"/>
  <c r="D48" i="44"/>
  <c r="D49" i="44"/>
  <c r="D50" i="44"/>
  <c r="D51" i="44"/>
  <c r="D52" i="44"/>
  <c r="D53" i="44"/>
  <c r="D54" i="44"/>
  <c r="D55" i="44"/>
  <c r="D56" i="44"/>
  <c r="D57" i="44"/>
  <c r="D58" i="44"/>
  <c r="D59" i="44"/>
  <c r="D60" i="44"/>
  <c r="D61" i="44"/>
  <c r="D62" i="44"/>
  <c r="D63" i="44"/>
  <c r="D64" i="44"/>
  <c r="D65" i="44"/>
  <c r="D66" i="44"/>
  <c r="D67" i="44"/>
  <c r="D68" i="44"/>
  <c r="D69" i="44"/>
  <c r="D70" i="44"/>
  <c r="D71" i="44"/>
  <c r="D72" i="44"/>
  <c r="D73" i="44"/>
  <c r="D74" i="44"/>
  <c r="D75" i="44"/>
  <c r="D76" i="44"/>
  <c r="D77" i="44"/>
  <c r="D78" i="44"/>
  <c r="D79" i="44"/>
  <c r="D80" i="44"/>
  <c r="D81" i="44"/>
  <c r="D82" i="44"/>
  <c r="D83" i="44"/>
  <c r="D84" i="44"/>
  <c r="D85" i="44"/>
  <c r="D86" i="44"/>
  <c r="D87" i="44"/>
  <c r="D88" i="44"/>
  <c r="D89" i="44"/>
  <c r="D90" i="44"/>
  <c r="D91" i="44"/>
  <c r="D92" i="44"/>
  <c r="D93" i="44"/>
  <c r="D94" i="44"/>
  <c r="D95" i="44"/>
  <c r="D96" i="44"/>
  <c r="D97" i="44"/>
  <c r="D98" i="44"/>
  <c r="D99" i="44"/>
  <c r="D100" i="44"/>
  <c r="D101" i="44"/>
  <c r="D102" i="44"/>
  <c r="D103" i="44"/>
  <c r="D104" i="44"/>
  <c r="D105" i="44"/>
  <c r="D106" i="44"/>
  <c r="D107" i="44"/>
  <c r="D108" i="44"/>
  <c r="D109" i="44"/>
  <c r="D110" i="44"/>
  <c r="D111" i="44"/>
  <c r="D112" i="44"/>
  <c r="D113" i="44"/>
  <c r="D114" i="44"/>
  <c r="D115" i="44"/>
  <c r="D116" i="44"/>
  <c r="D117" i="44"/>
  <c r="D118" i="44"/>
  <c r="D119" i="44"/>
  <c r="D120" i="44"/>
  <c r="D121" i="44"/>
  <c r="D122" i="44"/>
  <c r="D123" i="44"/>
  <c r="D124" i="44"/>
  <c r="D125" i="44"/>
  <c r="D126" i="44"/>
  <c r="D127" i="44"/>
  <c r="D128" i="44"/>
  <c r="D129" i="44"/>
  <c r="D130" i="44"/>
  <c r="D131" i="44"/>
  <c r="D132" i="44"/>
  <c r="D133" i="44"/>
  <c r="D134" i="44"/>
  <c r="D135" i="44"/>
  <c r="D136" i="44"/>
  <c r="D137" i="44"/>
  <c r="D138" i="44"/>
  <c r="D139" i="44"/>
  <c r="D140" i="44"/>
  <c r="D141" i="44"/>
  <c r="D142" i="44"/>
  <c r="D143" i="44"/>
  <c r="D144" i="44"/>
  <c r="D145" i="44"/>
  <c r="D146" i="44"/>
  <c r="D147" i="44"/>
  <c r="D148" i="44"/>
  <c r="D149" i="44"/>
  <c r="D150" i="44"/>
  <c r="D151" i="44"/>
  <c r="D152" i="44"/>
  <c r="D153" i="44"/>
  <c r="D154" i="44"/>
  <c r="D155" i="44"/>
  <c r="D156" i="44"/>
  <c r="D157" i="44"/>
  <c r="D158" i="44"/>
  <c r="D159" i="44"/>
  <c r="D160" i="44"/>
  <c r="D161" i="44"/>
  <c r="D162" i="44"/>
  <c r="D163" i="44"/>
  <c r="D164" i="44"/>
  <c r="D165" i="44"/>
  <c r="D166" i="44"/>
  <c r="D167" i="44"/>
  <c r="D168" i="44"/>
  <c r="D169" i="44"/>
  <c r="D170" i="44"/>
  <c r="D171" i="44"/>
  <c r="D172" i="44"/>
  <c r="D173" i="44"/>
  <c r="D174" i="44"/>
  <c r="D175" i="44"/>
  <c r="D176" i="44"/>
  <c r="D177" i="44"/>
  <c r="D178" i="44"/>
  <c r="D179" i="44"/>
  <c r="D180" i="44"/>
  <c r="D181" i="44"/>
  <c r="D182" i="44"/>
  <c r="D183" i="44"/>
  <c r="D184" i="44"/>
  <c r="D185" i="44"/>
  <c r="D186" i="44"/>
  <c r="D187" i="44"/>
  <c r="D188" i="44"/>
  <c r="D189" i="44"/>
  <c r="D190" i="44"/>
  <c r="D191" i="44"/>
  <c r="D192" i="44"/>
  <c r="D193" i="44"/>
  <c r="D194" i="44"/>
  <c r="D195" i="44"/>
  <c r="D196" i="44"/>
  <c r="D197" i="44"/>
  <c r="D198" i="44"/>
  <c r="D199" i="44"/>
  <c r="D200" i="44"/>
  <c r="D201" i="44"/>
  <c r="D202" i="44"/>
  <c r="D203" i="44"/>
  <c r="D204" i="44"/>
  <c r="D205" i="44"/>
  <c r="D206" i="44"/>
  <c r="D207" i="44"/>
  <c r="D208" i="44"/>
  <c r="D209" i="44"/>
  <c r="D210" i="44"/>
  <c r="D211" i="44"/>
  <c r="D212" i="44"/>
  <c r="D213" i="44"/>
  <c r="D214" i="44"/>
  <c r="D215" i="44"/>
  <c r="D216" i="44"/>
  <c r="D217" i="44"/>
  <c r="D218" i="44"/>
  <c r="D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D254" i="44"/>
  <c r="D255" i="44"/>
  <c r="D256" i="44"/>
  <c r="D257" i="44"/>
  <c r="D258" i="44"/>
  <c r="D259" i="44"/>
  <c r="D260" i="44"/>
  <c r="D261" i="44"/>
  <c r="D262" i="44"/>
  <c r="D263" i="44"/>
  <c r="D264" i="44"/>
  <c r="D265" i="44"/>
  <c r="D266" i="44"/>
  <c r="D267" i="44"/>
  <c r="D268" i="44"/>
  <c r="D269" i="44"/>
  <c r="D270" i="44"/>
  <c r="D271" i="44"/>
  <c r="D272" i="44"/>
  <c r="D273" i="44"/>
  <c r="D274" i="44"/>
  <c r="D275" i="44"/>
  <c r="D276" i="44"/>
  <c r="D277" i="44"/>
  <c r="D278" i="44"/>
  <c r="D279" i="44"/>
  <c r="D280" i="44"/>
  <c r="D281" i="44"/>
  <c r="D282" i="44"/>
  <c r="D283" i="44"/>
  <c r="D284" i="44"/>
  <c r="D285" i="44"/>
  <c r="D286" i="44"/>
  <c r="D287" i="44"/>
  <c r="D288" i="44"/>
  <c r="D289" i="44"/>
  <c r="D290" i="44"/>
  <c r="D291" i="44"/>
  <c r="D292" i="44"/>
  <c r="D293" i="44"/>
  <c r="D294" i="44"/>
  <c r="D295" i="44"/>
  <c r="D296" i="44"/>
  <c r="D297" i="44"/>
  <c r="D298" i="44"/>
  <c r="D299" i="44"/>
  <c r="D300" i="44"/>
  <c r="D301" i="44"/>
  <c r="D302" i="44"/>
  <c r="D303" i="44"/>
  <c r="D304" i="44"/>
  <c r="D305" i="44"/>
  <c r="D306" i="44"/>
  <c r="D307" i="44"/>
  <c r="D308" i="44"/>
  <c r="D309" i="44"/>
  <c r="D310" i="44"/>
  <c r="D311" i="44"/>
  <c r="D312" i="44"/>
  <c r="D313" i="44"/>
  <c r="D314" i="44"/>
  <c r="D315" i="44"/>
  <c r="D316" i="44"/>
  <c r="D317" i="44"/>
  <c r="D318" i="44"/>
  <c r="D319" i="44"/>
  <c r="D320" i="44"/>
  <c r="D321" i="44"/>
  <c r="D322" i="44"/>
  <c r="D323" i="44"/>
  <c r="D324" i="44"/>
  <c r="D325" i="44"/>
  <c r="D326" i="44"/>
  <c r="D327" i="44"/>
  <c r="D328" i="44"/>
  <c r="D329" i="44"/>
  <c r="D330" i="44"/>
  <c r="D331" i="44"/>
  <c r="D332" i="44"/>
  <c r="D333" i="44"/>
  <c r="D334" i="44"/>
  <c r="D335" i="44"/>
  <c r="D336" i="44"/>
  <c r="D337" i="44"/>
  <c r="D338" i="44"/>
  <c r="D339" i="44"/>
  <c r="D340" i="44"/>
  <c r="D341" i="44"/>
  <c r="D342" i="44"/>
  <c r="D343" i="44"/>
  <c r="D344" i="44"/>
  <c r="D345" i="44"/>
  <c r="D346" i="44"/>
  <c r="D347" i="44"/>
  <c r="D348" i="44"/>
  <c r="D349" i="44"/>
  <c r="D350" i="44"/>
  <c r="D351" i="44"/>
  <c r="D352" i="44"/>
  <c r="D353" i="44"/>
  <c r="D354" i="44"/>
  <c r="E7" i="44"/>
  <c r="D9" i="44"/>
  <c r="L9" i="2"/>
  <c r="O111" i="45" l="1"/>
  <c r="P111" i="45" s="1"/>
  <c r="X112" i="45"/>
  <c r="O284" i="45"/>
  <c r="P284" i="45" s="1"/>
  <c r="O331" i="45"/>
  <c r="P331" i="45" s="1"/>
  <c r="O172" i="45"/>
  <c r="P172" i="45" s="1"/>
  <c r="O336" i="45"/>
  <c r="P336" i="45" s="1"/>
  <c r="O53" i="45"/>
  <c r="P53" i="45" s="1"/>
  <c r="O240" i="45"/>
  <c r="P240" i="45" s="1"/>
  <c r="O24" i="45"/>
  <c r="P24" i="45" s="1"/>
  <c r="X117" i="45"/>
  <c r="O188" i="45"/>
  <c r="P188" i="45" s="1"/>
  <c r="O352" i="45"/>
  <c r="P352" i="45" s="1"/>
  <c r="O186" i="45"/>
  <c r="P186" i="45" s="1"/>
  <c r="O36" i="45"/>
  <c r="P36" i="45" s="1"/>
  <c r="O270" i="45"/>
  <c r="P270" i="45" s="1"/>
  <c r="O267" i="45"/>
  <c r="P267" i="45" s="1"/>
  <c r="O12" i="45"/>
  <c r="P12" i="45" s="1"/>
  <c r="O237" i="45"/>
  <c r="P237" i="45" s="1"/>
  <c r="O112" i="45"/>
  <c r="P112" i="45" s="1"/>
  <c r="O78" i="45"/>
  <c r="P78" i="45" s="1"/>
  <c r="O285" i="45"/>
  <c r="P285" i="45" s="1"/>
  <c r="O197" i="45"/>
  <c r="P197" i="45" s="1"/>
  <c r="O45" i="45"/>
  <c r="P45" i="45" s="1"/>
  <c r="O19" i="45"/>
  <c r="P19" i="45" s="1"/>
  <c r="O199" i="45"/>
  <c r="P199" i="45" s="1"/>
  <c r="O148" i="45"/>
  <c r="P148" i="45" s="1"/>
  <c r="O301" i="45"/>
  <c r="P301" i="45" s="1"/>
  <c r="O210" i="45"/>
  <c r="P210" i="45" s="1"/>
  <c r="O139" i="45"/>
  <c r="P139" i="45" s="1"/>
  <c r="X285" i="45"/>
  <c r="X78" i="45"/>
  <c r="O38" i="45"/>
  <c r="P38" i="45" s="1"/>
  <c r="O180" i="45"/>
  <c r="P180" i="45" s="1"/>
  <c r="O310" i="45"/>
  <c r="P310" i="45" s="1"/>
  <c r="O230" i="45"/>
  <c r="P230" i="45" s="1"/>
  <c r="O314" i="45"/>
  <c r="P314" i="45" s="1"/>
  <c r="O153" i="45"/>
  <c r="P153" i="45" s="1"/>
  <c r="O279" i="45"/>
  <c r="P279" i="45" s="1"/>
  <c r="O101" i="45"/>
  <c r="P101" i="45" s="1"/>
  <c r="O222" i="45"/>
  <c r="P222" i="45" s="1"/>
  <c r="X354" i="45"/>
  <c r="O21" i="45"/>
  <c r="P21" i="45" s="1"/>
  <c r="O187" i="45"/>
  <c r="P187" i="45" s="1"/>
  <c r="O108" i="45"/>
  <c r="P108" i="45" s="1"/>
  <c r="O251" i="45"/>
  <c r="P251" i="45" s="1"/>
  <c r="X35" i="45"/>
  <c r="O281" i="45"/>
  <c r="P281" i="45" s="1"/>
  <c r="O195" i="45"/>
  <c r="P195" i="45" s="1"/>
  <c r="O207" i="45"/>
  <c r="P207" i="45" s="1"/>
  <c r="O58" i="45"/>
  <c r="P58" i="45" s="1"/>
  <c r="O330" i="45"/>
  <c r="P330" i="45" s="1"/>
  <c r="O221" i="45"/>
  <c r="P221" i="45" s="1"/>
  <c r="O190" i="45"/>
  <c r="P190" i="45" s="1"/>
  <c r="O261" i="45"/>
  <c r="P261" i="45" s="1"/>
  <c r="O350" i="45"/>
  <c r="P350" i="45" s="1"/>
  <c r="O71" i="45"/>
  <c r="P71" i="45" s="1"/>
  <c r="O308" i="45"/>
  <c r="P308" i="45" s="1"/>
  <c r="O29" i="45"/>
  <c r="P29" i="45" s="1"/>
  <c r="O50" i="45"/>
  <c r="P50" i="45" s="1"/>
  <c r="O34" i="45"/>
  <c r="P34" i="45" s="1"/>
  <c r="O296" i="45"/>
  <c r="P296" i="45" s="1"/>
  <c r="O295" i="45"/>
  <c r="P295" i="45" s="1"/>
  <c r="O120" i="45"/>
  <c r="P120" i="45" s="1"/>
  <c r="O349" i="45"/>
  <c r="P349" i="45" s="1"/>
  <c r="O18" i="45"/>
  <c r="P18" i="45" s="1"/>
  <c r="O224" i="45"/>
  <c r="P224" i="45" s="1"/>
  <c r="O122" i="45"/>
  <c r="P122" i="45" s="1"/>
  <c r="O88" i="45"/>
  <c r="P88" i="45" s="1"/>
  <c r="O97" i="45"/>
  <c r="P97" i="45" s="1"/>
  <c r="O140" i="45"/>
  <c r="P140" i="45" s="1"/>
  <c r="O64" i="45"/>
  <c r="P64" i="45" s="1"/>
  <c r="O266" i="45"/>
  <c r="P266" i="45" s="1"/>
  <c r="O73" i="45"/>
  <c r="P73" i="45" s="1"/>
  <c r="O179" i="45"/>
  <c r="P179" i="45" s="1"/>
  <c r="O145" i="45"/>
  <c r="P145" i="45" s="1"/>
  <c r="O10" i="45"/>
  <c r="O249" i="45"/>
  <c r="P249" i="45" s="1"/>
  <c r="O131" i="45"/>
  <c r="P131" i="45" s="1"/>
  <c r="O283" i="45"/>
  <c r="P283" i="45" s="1"/>
  <c r="O63" i="45"/>
  <c r="P63" i="45" s="1"/>
  <c r="O232" i="45"/>
  <c r="P232" i="45" s="1"/>
  <c r="O26" i="45"/>
  <c r="P26" i="45" s="1"/>
  <c r="O146" i="45"/>
  <c r="P146" i="45" s="1"/>
  <c r="O95" i="45"/>
  <c r="P95" i="45" s="1"/>
  <c r="O33" i="45"/>
  <c r="P33" i="45" s="1"/>
  <c r="O300" i="45"/>
  <c r="P300" i="45" s="1"/>
  <c r="X290" i="45"/>
  <c r="X336" i="45"/>
  <c r="O324" i="45"/>
  <c r="P324" i="45" s="1"/>
  <c r="X152" i="45"/>
  <c r="O275" i="45"/>
  <c r="P275" i="45" s="1"/>
  <c r="O229" i="45"/>
  <c r="P229" i="45" s="1"/>
  <c r="O113" i="45"/>
  <c r="P113" i="45" s="1"/>
  <c r="O163" i="45"/>
  <c r="P163" i="45" s="1"/>
  <c r="O156" i="45"/>
  <c r="P156" i="45" s="1"/>
  <c r="X224" i="45"/>
  <c r="O243" i="45"/>
  <c r="P243" i="45" s="1"/>
  <c r="O254" i="45"/>
  <c r="P254" i="45" s="1"/>
  <c r="O164" i="45"/>
  <c r="P164" i="45" s="1"/>
  <c r="O48" i="45"/>
  <c r="P48" i="45" s="1"/>
  <c r="O278" i="45"/>
  <c r="P278" i="45" s="1"/>
  <c r="X302" i="45"/>
  <c r="O166" i="45"/>
  <c r="P166" i="45" s="1"/>
  <c r="O135" i="45"/>
  <c r="P135" i="45" s="1"/>
  <c r="O159" i="45"/>
  <c r="P159" i="45" s="1"/>
  <c r="O184" i="45"/>
  <c r="P184" i="45" s="1"/>
  <c r="O192" i="45"/>
  <c r="P192" i="45" s="1"/>
  <c r="X181" i="45"/>
  <c r="O175" i="45"/>
  <c r="P175" i="45" s="1"/>
  <c r="O271" i="45"/>
  <c r="P271" i="45" s="1"/>
  <c r="O84" i="45"/>
  <c r="P84" i="45" s="1"/>
  <c r="O268" i="45"/>
  <c r="P268" i="45" s="1"/>
  <c r="O322" i="45"/>
  <c r="P322" i="45" s="1"/>
  <c r="X246" i="45"/>
  <c r="X105" i="45"/>
  <c r="X350" i="45"/>
  <c r="X120" i="45"/>
  <c r="X329" i="45"/>
  <c r="X207" i="45"/>
  <c r="X223" i="45"/>
  <c r="X70" i="45"/>
  <c r="X23" i="45"/>
  <c r="O76" i="45"/>
  <c r="P76" i="45" s="1"/>
  <c r="O173" i="45"/>
  <c r="P173" i="45" s="1"/>
  <c r="O70" i="45"/>
  <c r="P70" i="45" s="1"/>
  <c r="O312" i="45"/>
  <c r="P312" i="45" s="1"/>
  <c r="O138" i="45"/>
  <c r="P138" i="45" s="1"/>
  <c r="O62" i="45"/>
  <c r="P62" i="45" s="1"/>
  <c r="X237" i="45"/>
  <c r="O43" i="45"/>
  <c r="P43" i="45" s="1"/>
  <c r="O206" i="45"/>
  <c r="P206" i="45" s="1"/>
  <c r="O323" i="45"/>
  <c r="P323" i="45" s="1"/>
  <c r="O299" i="45"/>
  <c r="P299" i="45" s="1"/>
  <c r="O277" i="45"/>
  <c r="P277" i="45" s="1"/>
  <c r="O244" i="45"/>
  <c r="P244" i="45" s="1"/>
  <c r="X280" i="45"/>
  <c r="X323" i="45"/>
  <c r="X110" i="45"/>
  <c r="O212" i="45"/>
  <c r="P212" i="45" s="1"/>
  <c r="O89" i="45"/>
  <c r="P89" i="45" s="1"/>
  <c r="O41" i="45"/>
  <c r="P41" i="45" s="1"/>
  <c r="O204" i="45"/>
  <c r="P204" i="45" s="1"/>
  <c r="O127" i="45"/>
  <c r="P127" i="45" s="1"/>
  <c r="O174" i="45"/>
  <c r="P174" i="45" s="1"/>
  <c r="O219" i="45"/>
  <c r="P219" i="45" s="1"/>
  <c r="X18" i="45"/>
  <c r="O25" i="45"/>
  <c r="P25" i="45" s="1"/>
  <c r="O265" i="45"/>
  <c r="P265" i="45" s="1"/>
  <c r="O46" i="45"/>
  <c r="P46" i="45" s="1"/>
  <c r="O198" i="45"/>
  <c r="P198" i="45" s="1"/>
  <c r="O313" i="45"/>
  <c r="P313" i="45" s="1"/>
  <c r="O59" i="45"/>
  <c r="P59" i="45" s="1"/>
  <c r="O91" i="45"/>
  <c r="P91" i="45" s="1"/>
  <c r="O9" i="45"/>
  <c r="P9" i="45" s="1"/>
  <c r="X299" i="45"/>
  <c r="O65" i="45"/>
  <c r="P65" i="45" s="1"/>
  <c r="O100" i="45"/>
  <c r="P100" i="45" s="1"/>
  <c r="O185" i="45"/>
  <c r="P185" i="45" s="1"/>
  <c r="O44" i="45"/>
  <c r="P44" i="45" s="1"/>
  <c r="O220" i="45"/>
  <c r="P220" i="45" s="1"/>
  <c r="O49" i="45"/>
  <c r="P49" i="45" s="1"/>
  <c r="O82" i="45"/>
  <c r="P82" i="45" s="1"/>
  <c r="X215" i="45"/>
  <c r="X132" i="45"/>
  <c r="O144" i="45"/>
  <c r="P144" i="45" s="1"/>
  <c r="O42" i="45"/>
  <c r="P42" i="45" s="1"/>
  <c r="O158" i="45"/>
  <c r="P158" i="45" s="1"/>
  <c r="O155" i="45"/>
  <c r="P155" i="45" s="1"/>
  <c r="O134" i="45"/>
  <c r="P134" i="45" s="1"/>
  <c r="O114" i="45"/>
  <c r="P114" i="45" s="1"/>
  <c r="O325" i="45"/>
  <c r="P325" i="45" s="1"/>
  <c r="X353" i="45"/>
  <c r="X80" i="45"/>
  <c r="X238" i="45"/>
  <c r="X87" i="45"/>
  <c r="O280" i="45"/>
  <c r="P280" i="45" s="1"/>
  <c r="O269" i="45"/>
  <c r="P269" i="45" s="1"/>
  <c r="O152" i="45"/>
  <c r="P152" i="45" s="1"/>
  <c r="O92" i="45"/>
  <c r="P92" i="45" s="1"/>
  <c r="O161" i="45"/>
  <c r="P161" i="45" s="1"/>
  <c r="O194" i="45"/>
  <c r="P194" i="45" s="1"/>
  <c r="O193" i="45"/>
  <c r="P193" i="45" s="1"/>
  <c r="O235" i="45"/>
  <c r="P235" i="45" s="1"/>
  <c r="O341" i="45"/>
  <c r="P341" i="45" s="1"/>
  <c r="O110" i="45"/>
  <c r="P110" i="45" s="1"/>
  <c r="O123" i="45"/>
  <c r="P123" i="45" s="1"/>
  <c r="O234" i="45"/>
  <c r="P234" i="45" s="1"/>
  <c r="O154" i="45"/>
  <c r="P154" i="45" s="1"/>
  <c r="X352" i="45"/>
  <c r="X138" i="45"/>
  <c r="X49" i="45"/>
  <c r="X316" i="45"/>
  <c r="O315" i="45"/>
  <c r="P315" i="45" s="1"/>
  <c r="O263" i="45"/>
  <c r="P263" i="45" s="1"/>
  <c r="O165" i="45"/>
  <c r="P165" i="45" s="1"/>
  <c r="O334" i="45"/>
  <c r="P334" i="45" s="1"/>
  <c r="O105" i="45"/>
  <c r="P105" i="45" s="1"/>
  <c r="O119" i="45"/>
  <c r="P119" i="45" s="1"/>
  <c r="O242" i="45"/>
  <c r="P242" i="45" s="1"/>
  <c r="O17" i="45"/>
  <c r="P17" i="45" s="1"/>
  <c r="O246" i="45"/>
  <c r="P246" i="45" s="1"/>
  <c r="O218" i="45"/>
  <c r="P218" i="45" s="1"/>
  <c r="O93" i="45"/>
  <c r="P93" i="45" s="1"/>
  <c r="O239" i="45"/>
  <c r="P239" i="45" s="1"/>
  <c r="O177" i="45"/>
  <c r="P177" i="45" s="1"/>
  <c r="X279" i="45"/>
  <c r="O128" i="45"/>
  <c r="P128" i="45" s="1"/>
  <c r="O15" i="45"/>
  <c r="P15" i="45" s="1"/>
  <c r="O67" i="45"/>
  <c r="P67" i="45" s="1"/>
  <c r="O181" i="45"/>
  <c r="P181" i="45" s="1"/>
  <c r="O305" i="45"/>
  <c r="P305" i="45" s="1"/>
  <c r="O241" i="45"/>
  <c r="P241" i="45" s="1"/>
  <c r="O37" i="45"/>
  <c r="P37" i="45" s="1"/>
  <c r="O96" i="45"/>
  <c r="P96" i="45" s="1"/>
  <c r="O136" i="45"/>
  <c r="P136" i="45" s="1"/>
  <c r="X123" i="45"/>
  <c r="X278" i="45"/>
  <c r="X59" i="45"/>
  <c r="O169" i="45"/>
  <c r="P169" i="45" s="1"/>
  <c r="O245" i="45"/>
  <c r="P245" i="45" s="1"/>
  <c r="O107" i="45"/>
  <c r="P107" i="45" s="1"/>
  <c r="O124" i="45"/>
  <c r="P124" i="45" s="1"/>
  <c r="O333" i="45"/>
  <c r="P333" i="45" s="1"/>
  <c r="O337" i="45"/>
  <c r="P337" i="45" s="1"/>
  <c r="O328" i="45"/>
  <c r="P328" i="45" s="1"/>
  <c r="O167" i="45"/>
  <c r="P167" i="45" s="1"/>
  <c r="O51" i="45"/>
  <c r="P51" i="45" s="1"/>
  <c r="O54" i="45"/>
  <c r="P54" i="45" s="1"/>
  <c r="O74" i="45"/>
  <c r="P74" i="45" s="1"/>
  <c r="O273" i="45"/>
  <c r="P273" i="45" s="1"/>
  <c r="O13" i="45"/>
  <c r="P13" i="45" s="1"/>
  <c r="O171" i="45"/>
  <c r="P171" i="45" s="1"/>
  <c r="X327" i="45"/>
  <c r="X168" i="45"/>
  <c r="X131" i="45"/>
  <c r="X193" i="45"/>
  <c r="X106" i="45"/>
  <c r="O125" i="45"/>
  <c r="P125" i="45" s="1"/>
  <c r="O30" i="45"/>
  <c r="P30" i="45" s="1"/>
  <c r="O201" i="45"/>
  <c r="P201" i="45" s="1"/>
  <c r="O203" i="45"/>
  <c r="P203" i="45" s="1"/>
  <c r="O253" i="45"/>
  <c r="P253" i="45" s="1"/>
  <c r="O27" i="45"/>
  <c r="P27" i="45" s="1"/>
  <c r="O60" i="45"/>
  <c r="P60" i="45" s="1"/>
  <c r="O32" i="45"/>
  <c r="P32" i="45" s="1"/>
  <c r="O98" i="45"/>
  <c r="P98" i="45" s="1"/>
  <c r="O258" i="45"/>
  <c r="P258" i="45" s="1"/>
  <c r="O66" i="45"/>
  <c r="P66" i="45" s="1"/>
  <c r="O81" i="45"/>
  <c r="P81" i="45" s="1"/>
  <c r="O56" i="45"/>
  <c r="P56" i="45" s="1"/>
  <c r="O289" i="45"/>
  <c r="P289" i="45" s="1"/>
  <c r="X100" i="45"/>
  <c r="O83" i="45"/>
  <c r="P83" i="45" s="1"/>
  <c r="O213" i="45"/>
  <c r="P213" i="45" s="1"/>
  <c r="O117" i="45"/>
  <c r="P117" i="45" s="1"/>
  <c r="O288" i="45"/>
  <c r="P288" i="45" s="1"/>
  <c r="X115" i="45"/>
  <c r="X335" i="45"/>
  <c r="X150" i="45"/>
  <c r="O35" i="45"/>
  <c r="P35" i="45" s="1"/>
  <c r="O168" i="45"/>
  <c r="P168" i="45" s="1"/>
  <c r="O319" i="45"/>
  <c r="P319" i="45" s="1"/>
  <c r="O22" i="45"/>
  <c r="P22" i="45" s="1"/>
  <c r="O160" i="45"/>
  <c r="P160" i="45" s="1"/>
  <c r="O202" i="45"/>
  <c r="P202" i="45" s="1"/>
  <c r="O297" i="45"/>
  <c r="P297" i="45" s="1"/>
  <c r="O250" i="45"/>
  <c r="P250" i="45" s="1"/>
  <c r="O318" i="45"/>
  <c r="P318" i="45" s="1"/>
  <c r="O196" i="45"/>
  <c r="P196" i="45" s="1"/>
  <c r="O255" i="45"/>
  <c r="P255" i="45" s="1"/>
  <c r="O290" i="45"/>
  <c r="P290" i="45" s="1"/>
  <c r="O208" i="45"/>
  <c r="P208" i="45" s="1"/>
  <c r="O61" i="45"/>
  <c r="P61" i="45" s="1"/>
  <c r="X272" i="45"/>
  <c r="O238" i="45"/>
  <c r="P238" i="45" s="1"/>
  <c r="O326" i="45"/>
  <c r="P326" i="45" s="1"/>
  <c r="O293" i="45"/>
  <c r="P293" i="45" s="1"/>
  <c r="O116" i="45"/>
  <c r="P116" i="45" s="1"/>
  <c r="O216" i="45"/>
  <c r="P216" i="45" s="1"/>
  <c r="X58" i="45"/>
  <c r="X242" i="45"/>
  <c r="X101" i="45"/>
  <c r="O351" i="45"/>
  <c r="P351" i="45" s="1"/>
  <c r="O233" i="45"/>
  <c r="P233" i="45" s="1"/>
  <c r="O335" i="45"/>
  <c r="P335" i="45" s="1"/>
  <c r="O317" i="45"/>
  <c r="P317" i="45" s="1"/>
  <c r="O225" i="45"/>
  <c r="P225" i="45" s="1"/>
  <c r="O257" i="45"/>
  <c r="P257" i="45" s="1"/>
  <c r="O274" i="45"/>
  <c r="P274" i="45" s="1"/>
  <c r="O147" i="45"/>
  <c r="P147" i="45" s="1"/>
  <c r="O344" i="45"/>
  <c r="P344" i="45" s="1"/>
  <c r="O47" i="45"/>
  <c r="P47" i="45" s="1"/>
  <c r="O109" i="45"/>
  <c r="P109" i="45" s="1"/>
  <c r="O272" i="45"/>
  <c r="P272" i="45" s="1"/>
  <c r="O182" i="45"/>
  <c r="P182" i="45" s="1"/>
  <c r="O302" i="45"/>
  <c r="P302" i="45" s="1"/>
  <c r="X22" i="45"/>
  <c r="X60" i="45"/>
  <c r="O143" i="45"/>
  <c r="P143" i="45" s="1"/>
  <c r="O79" i="45"/>
  <c r="P79" i="45" s="1"/>
  <c r="O286" i="45"/>
  <c r="P286" i="45" s="1"/>
  <c r="X293" i="45"/>
  <c r="X307" i="45"/>
  <c r="X176" i="45"/>
  <c r="O354" i="45"/>
  <c r="P354" i="45" s="1"/>
  <c r="O85" i="45"/>
  <c r="P85" i="45" s="1"/>
  <c r="O223" i="45"/>
  <c r="P223" i="45" s="1"/>
  <c r="O23" i="45"/>
  <c r="P23" i="45" s="1"/>
  <c r="O157" i="45"/>
  <c r="P157" i="45" s="1"/>
  <c r="O151" i="45"/>
  <c r="P151" i="45" s="1"/>
  <c r="O16" i="45"/>
  <c r="P16" i="45" s="1"/>
  <c r="O327" i="45"/>
  <c r="P327" i="45" s="1"/>
  <c r="O126" i="45"/>
  <c r="P126" i="45" s="1"/>
  <c r="O347" i="45"/>
  <c r="P347" i="45" s="1"/>
  <c r="O309" i="45"/>
  <c r="P309" i="45" s="1"/>
  <c r="O345" i="45"/>
  <c r="P345" i="45" s="1"/>
  <c r="O69" i="45"/>
  <c r="P69" i="45" s="1"/>
  <c r="O11" i="45"/>
  <c r="P11" i="45" s="1"/>
  <c r="X11" i="45"/>
  <c r="X125" i="45"/>
  <c r="O20" i="45"/>
  <c r="P20" i="45" s="1"/>
  <c r="O141" i="45"/>
  <c r="P141" i="45" s="1"/>
  <c r="X37" i="45"/>
  <c r="X161" i="45"/>
  <c r="X126" i="45"/>
  <c r="O209" i="45"/>
  <c r="P209" i="45" s="1"/>
  <c r="O343" i="45"/>
  <c r="P343" i="45" s="1"/>
  <c r="O247" i="45"/>
  <c r="P247" i="45" s="1"/>
  <c r="O103" i="45"/>
  <c r="P103" i="45" s="1"/>
  <c r="O332" i="45"/>
  <c r="P332" i="45" s="1"/>
  <c r="O170" i="45"/>
  <c r="P170" i="45" s="1"/>
  <c r="O294" i="45"/>
  <c r="P294" i="45" s="1"/>
  <c r="O133" i="45"/>
  <c r="P133" i="45" s="1"/>
  <c r="O77" i="45"/>
  <c r="P77" i="45" s="1"/>
  <c r="O342" i="45"/>
  <c r="P342" i="45" s="1"/>
  <c r="O231" i="45"/>
  <c r="P231" i="45" s="1"/>
  <c r="O183" i="45"/>
  <c r="P183" i="45" s="1"/>
  <c r="O227" i="45"/>
  <c r="P227" i="45" s="1"/>
  <c r="O137" i="45"/>
  <c r="P137" i="45" s="1"/>
  <c r="S7" i="45"/>
  <c r="T70" i="45" s="1"/>
  <c r="U70" i="45" s="1"/>
  <c r="X243" i="45"/>
  <c r="X339" i="45"/>
  <c r="X174" i="45"/>
  <c r="X231" i="45"/>
  <c r="X162" i="45"/>
  <c r="O353" i="45"/>
  <c r="P353" i="45" s="1"/>
  <c r="O52" i="45"/>
  <c r="P52" i="45" s="1"/>
  <c r="O276" i="45"/>
  <c r="P276" i="45" s="1"/>
  <c r="O303" i="45"/>
  <c r="P303" i="45" s="1"/>
  <c r="O316" i="45"/>
  <c r="P316" i="45" s="1"/>
  <c r="O311" i="45"/>
  <c r="P311" i="45" s="1"/>
  <c r="O90" i="45"/>
  <c r="P90" i="45" s="1"/>
  <c r="O252" i="45"/>
  <c r="P252" i="45" s="1"/>
  <c r="O106" i="45"/>
  <c r="P106" i="45" s="1"/>
  <c r="O57" i="45"/>
  <c r="P57" i="45" s="1"/>
  <c r="O306" i="45"/>
  <c r="P306" i="45" s="1"/>
  <c r="O214" i="45"/>
  <c r="P214" i="45" s="1"/>
  <c r="O39" i="45"/>
  <c r="P39" i="45" s="1"/>
  <c r="O282" i="45"/>
  <c r="P282" i="45" s="1"/>
  <c r="O94" i="45"/>
  <c r="P94" i="45" s="1"/>
  <c r="O40" i="45"/>
  <c r="P40" i="45" s="1"/>
  <c r="O338" i="45"/>
  <c r="P338" i="45" s="1"/>
  <c r="X86" i="45"/>
  <c r="X97" i="45"/>
  <c r="X158" i="45"/>
  <c r="X340" i="45"/>
  <c r="O72" i="45"/>
  <c r="P72" i="45" s="1"/>
  <c r="O68" i="45"/>
  <c r="P68" i="45" s="1"/>
  <c r="O115" i="45"/>
  <c r="P115" i="45" s="1"/>
  <c r="O211" i="45"/>
  <c r="P211" i="45" s="1"/>
  <c r="O176" i="45"/>
  <c r="P176" i="45" s="1"/>
  <c r="O121" i="45"/>
  <c r="P121" i="45" s="1"/>
  <c r="O130" i="45"/>
  <c r="P130" i="45" s="1"/>
  <c r="O228" i="45"/>
  <c r="P228" i="45" s="1"/>
  <c r="O142" i="45"/>
  <c r="P142" i="45" s="1"/>
  <c r="O262" i="45"/>
  <c r="P262" i="45" s="1"/>
  <c r="O291" i="45"/>
  <c r="P291" i="45" s="1"/>
  <c r="O287" i="45"/>
  <c r="P287" i="45" s="1"/>
  <c r="O80" i="45"/>
  <c r="P80" i="45" s="1"/>
  <c r="O162" i="45"/>
  <c r="P162" i="45" s="1"/>
  <c r="O102" i="45"/>
  <c r="P102" i="45" s="1"/>
  <c r="O87" i="45"/>
  <c r="P87" i="45" s="1"/>
  <c r="O215" i="45"/>
  <c r="P215" i="45" s="1"/>
  <c r="X233" i="45"/>
  <c r="X281" i="45"/>
  <c r="X331" i="45"/>
  <c r="X315" i="45"/>
  <c r="O150" i="45"/>
  <c r="P150" i="45" s="1"/>
  <c r="O55" i="45"/>
  <c r="P55" i="45" s="1"/>
  <c r="O86" i="45"/>
  <c r="P86" i="45" s="1"/>
  <c r="O236" i="45"/>
  <c r="P236" i="45" s="1"/>
  <c r="O264" i="45"/>
  <c r="P264" i="45" s="1"/>
  <c r="O217" i="45"/>
  <c r="P217" i="45" s="1"/>
  <c r="O189" i="45"/>
  <c r="P189" i="45" s="1"/>
  <c r="O292" i="45"/>
  <c r="P292" i="45" s="1"/>
  <c r="O178" i="45"/>
  <c r="P178" i="45" s="1"/>
  <c r="O75" i="45"/>
  <c r="P75" i="45" s="1"/>
  <c r="O321" i="45"/>
  <c r="P321" i="45" s="1"/>
  <c r="O104" i="45"/>
  <c r="P104" i="45" s="1"/>
  <c r="O118" i="45"/>
  <c r="P118" i="45" s="1"/>
  <c r="O259" i="45"/>
  <c r="P259" i="45" s="1"/>
  <c r="O304" i="45"/>
  <c r="P304" i="45" s="1"/>
  <c r="O14" i="45"/>
  <c r="P14" i="45" s="1"/>
  <c r="O339" i="45"/>
  <c r="P339" i="45" s="1"/>
  <c r="X306" i="45"/>
  <c r="X45" i="45"/>
  <c r="X185" i="45"/>
  <c r="O200" i="45"/>
  <c r="P200" i="45" s="1"/>
  <c r="O340" i="45"/>
  <c r="P340" i="45" s="1"/>
  <c r="O346" i="45"/>
  <c r="P346" i="45" s="1"/>
  <c r="O320" i="45"/>
  <c r="P320" i="45" s="1"/>
  <c r="O99" i="45"/>
  <c r="P99" i="45" s="1"/>
  <c r="O298" i="45"/>
  <c r="P298" i="45" s="1"/>
  <c r="O226" i="45"/>
  <c r="P226" i="45" s="1"/>
  <c r="O132" i="45"/>
  <c r="P132" i="45" s="1"/>
  <c r="O348" i="45"/>
  <c r="P348" i="45" s="1"/>
  <c r="O28" i="45"/>
  <c r="P28" i="45" s="1"/>
  <c r="O191" i="45"/>
  <c r="P191" i="45" s="1"/>
  <c r="O205" i="45"/>
  <c r="P205" i="45" s="1"/>
  <c r="O248" i="45"/>
  <c r="P248" i="45" s="1"/>
  <c r="O256" i="45"/>
  <c r="P256" i="45" s="1"/>
  <c r="O307" i="45"/>
  <c r="P307" i="45" s="1"/>
  <c r="O329" i="45"/>
  <c r="P329" i="45" s="1"/>
  <c r="O149" i="45"/>
  <c r="P149" i="45" s="1"/>
  <c r="X9" i="45"/>
  <c r="X260" i="45"/>
  <c r="O129" i="45"/>
  <c r="P129" i="45" s="1"/>
  <c r="O260" i="45"/>
  <c r="P260" i="45" s="1"/>
  <c r="X79" i="45"/>
  <c r="X114" i="45"/>
  <c r="X141" i="45"/>
  <c r="X156" i="45"/>
  <c r="X68" i="45"/>
  <c r="X129" i="45"/>
  <c r="X178" i="45"/>
  <c r="X69" i="45"/>
  <c r="X254" i="45"/>
  <c r="X326" i="45"/>
  <c r="X345" i="45"/>
  <c r="X313" i="45"/>
  <c r="X301" i="45"/>
  <c r="X200" i="45"/>
  <c r="X28" i="45"/>
  <c r="X347" i="45"/>
  <c r="X98" i="45"/>
  <c r="X99" i="45"/>
  <c r="X265" i="45"/>
  <c r="X40" i="45"/>
  <c r="X136" i="45"/>
  <c r="X286" i="45"/>
  <c r="X103" i="45"/>
  <c r="X226" i="45"/>
  <c r="X287" i="45"/>
  <c r="X113" i="45"/>
  <c r="X338" i="45"/>
  <c r="X263" i="45"/>
  <c r="X282" i="45"/>
  <c r="X189" i="45"/>
  <c r="X31" i="45"/>
  <c r="X179" i="45"/>
  <c r="X241" i="45"/>
  <c r="X266" i="45"/>
  <c r="X210" i="45"/>
  <c r="X82" i="45"/>
  <c r="X268" i="45"/>
  <c r="X83" i="45"/>
  <c r="X322" i="45"/>
  <c r="X107" i="45"/>
  <c r="X128" i="45"/>
  <c r="X310" i="45"/>
  <c r="X214" i="45"/>
  <c r="X216" i="45"/>
  <c r="X221" i="45"/>
  <c r="X84" i="45"/>
  <c r="X85" i="45"/>
  <c r="X130" i="45"/>
  <c r="X264" i="45"/>
  <c r="X154" i="45"/>
  <c r="X139" i="45"/>
  <c r="X16" i="45"/>
  <c r="X273" i="45"/>
  <c r="X319" i="45"/>
  <c r="X91" i="45"/>
  <c r="X212" i="45"/>
  <c r="X351" i="45"/>
  <c r="X30" i="45"/>
  <c r="X219" i="45"/>
  <c r="X121" i="45"/>
  <c r="X134" i="45"/>
  <c r="X147" i="45"/>
  <c r="X205" i="45"/>
  <c r="X186" i="45"/>
  <c r="X204" i="45"/>
  <c r="X192" i="45"/>
  <c r="X145" i="45"/>
  <c r="X203" i="45"/>
  <c r="X332" i="45"/>
  <c r="X94" i="45"/>
  <c r="X348" i="45"/>
  <c r="X53" i="45"/>
  <c r="X182" i="45"/>
  <c r="X252" i="45"/>
  <c r="X55" i="45"/>
  <c r="X34" i="45"/>
  <c r="X54" i="45"/>
  <c r="X42" i="45"/>
  <c r="X201" i="45"/>
  <c r="X48" i="45"/>
  <c r="X251" i="45"/>
  <c r="X295" i="45"/>
  <c r="X73" i="45"/>
  <c r="X155" i="45"/>
  <c r="X208" i="45"/>
  <c r="X183" i="45"/>
  <c r="X44" i="45"/>
  <c r="X253" i="45"/>
  <c r="X17" i="45"/>
  <c r="X333" i="45"/>
  <c r="X328" i="45"/>
  <c r="X119" i="45"/>
  <c r="X151" i="45"/>
  <c r="X283" i="45"/>
  <c r="X92" i="45"/>
  <c r="X274" i="45"/>
  <c r="X169" i="45"/>
  <c r="X211" i="45"/>
  <c r="X149" i="45"/>
  <c r="X199" i="45"/>
  <c r="X324" i="45"/>
  <c r="X311" i="45"/>
  <c r="X202" i="45"/>
  <c r="X32" i="45"/>
  <c r="X124" i="45"/>
  <c r="X349" i="45"/>
  <c r="X24" i="45"/>
  <c r="X66" i="45"/>
  <c r="X191" i="45"/>
  <c r="X47" i="45"/>
  <c r="X93" i="45"/>
  <c r="X38" i="45"/>
  <c r="X257" i="45"/>
  <c r="X143" i="45"/>
  <c r="X177" i="45"/>
  <c r="X261" i="45"/>
  <c r="X288" i="45"/>
  <c r="X52" i="45"/>
  <c r="X240" i="45"/>
  <c r="X153" i="45"/>
  <c r="X271" i="45"/>
  <c r="X104" i="45"/>
  <c r="X170" i="45"/>
  <c r="X197" i="45"/>
  <c r="X50" i="45"/>
  <c r="X244" i="45"/>
  <c r="X234" i="45"/>
  <c r="X140" i="45"/>
  <c r="X15" i="45"/>
  <c r="X135" i="45"/>
  <c r="X62" i="45"/>
  <c r="X269" i="45"/>
  <c r="X325" i="45"/>
  <c r="X230" i="45"/>
  <c r="X65" i="45"/>
  <c r="X218" i="45"/>
  <c r="X166" i="45"/>
  <c r="X317" i="45"/>
  <c r="X344" i="45"/>
  <c r="X292" i="45"/>
  <c r="X247" i="45"/>
  <c r="X90" i="45"/>
  <c r="X312" i="45"/>
  <c r="X318" i="45"/>
  <c r="X81" i="45"/>
  <c r="X51" i="45"/>
  <c r="X303" i="45"/>
  <c r="X108" i="45"/>
  <c r="X95" i="45"/>
  <c r="X222" i="45"/>
  <c r="X188" i="45"/>
  <c r="X194" i="45"/>
  <c r="X137" i="45"/>
  <c r="X89" i="45"/>
  <c r="X19" i="45"/>
  <c r="X118" i="45"/>
  <c r="X196" i="45"/>
  <c r="X75" i="45"/>
  <c r="X63" i="45"/>
  <c r="X276" i="45"/>
  <c r="X77" i="45"/>
  <c r="X206" i="45"/>
  <c r="X56" i="45"/>
  <c r="X267" i="45"/>
  <c r="X36" i="45"/>
  <c r="X13" i="45"/>
  <c r="X142" i="45"/>
  <c r="X111" i="45"/>
  <c r="X198" i="45"/>
  <c r="X172" i="45"/>
  <c r="X173" i="45"/>
  <c r="X109" i="45"/>
  <c r="X341" i="45"/>
  <c r="X33" i="45"/>
  <c r="X39" i="45"/>
  <c r="X229" i="45"/>
  <c r="X41" i="45"/>
  <c r="X220" i="45"/>
  <c r="X14" i="45"/>
  <c r="X164" i="45"/>
  <c r="X277" i="45"/>
  <c r="X314" i="45"/>
  <c r="X165" i="45"/>
  <c r="X245" i="45"/>
  <c r="X300" i="45"/>
  <c r="X195" i="45"/>
  <c r="X116" i="45"/>
  <c r="X298" i="45"/>
  <c r="X20" i="45"/>
  <c r="X10" i="45"/>
  <c r="X217" i="45"/>
  <c r="X167" i="45"/>
  <c r="X175" i="45"/>
  <c r="X46" i="45"/>
  <c r="X180" i="45"/>
  <c r="X256" i="45"/>
  <c r="X235" i="45"/>
  <c r="X342" i="45"/>
  <c r="X346" i="45"/>
  <c r="X250" i="45"/>
  <c r="X74" i="45"/>
  <c r="X239" i="45"/>
  <c r="X337" i="45"/>
  <c r="X309" i="45"/>
  <c r="X320" i="45"/>
  <c r="X12" i="45"/>
  <c r="X305" i="45"/>
  <c r="X270" i="45"/>
  <c r="X294" i="45"/>
  <c r="X64" i="45"/>
  <c r="X57" i="45"/>
  <c r="X308" i="45"/>
  <c r="X334" i="45"/>
  <c r="X236" i="45"/>
  <c r="X25" i="45"/>
  <c r="X262" i="45"/>
  <c r="X289" i="45"/>
  <c r="X148" i="45"/>
  <c r="X249" i="45"/>
  <c r="X255" i="45"/>
  <c r="X43" i="45"/>
  <c r="X343" i="45"/>
  <c r="X157" i="45"/>
  <c r="X159" i="45"/>
  <c r="X163" i="45"/>
  <c r="X27" i="45"/>
  <c r="X122" i="45"/>
  <c r="X225" i="45"/>
  <c r="X146" i="45"/>
  <c r="X102" i="45"/>
  <c r="X190" i="45"/>
  <c r="X321" i="45"/>
  <c r="X248" i="45"/>
  <c r="X209" i="45"/>
  <c r="X21" i="45"/>
  <c r="X187" i="45"/>
  <c r="X330" i="45"/>
  <c r="X61" i="45"/>
  <c r="X144" i="45"/>
  <c r="X227" i="45"/>
  <c r="X72" i="45"/>
  <c r="X296" i="45"/>
  <c r="X232" i="45"/>
  <c r="X127" i="45"/>
  <c r="X29" i="45"/>
  <c r="X133" i="45"/>
  <c r="X171" i="45"/>
  <c r="X71" i="45"/>
  <c r="X304" i="45"/>
  <c r="X284" i="45"/>
  <c r="X228" i="45"/>
  <c r="X184" i="45"/>
  <c r="X259" i="45"/>
  <c r="X67" i="45"/>
  <c r="X160" i="45"/>
  <c r="X213" i="45"/>
  <c r="X88" i="45"/>
  <c r="X258" i="45"/>
  <c r="X96" i="45"/>
  <c r="X297" i="45"/>
  <c r="X26" i="45"/>
  <c r="X275" i="45"/>
  <c r="X76" i="45"/>
  <c r="R9" i="46"/>
  <c r="Q7" i="46"/>
  <c r="R7" i="46" s="1"/>
  <c r="S260" i="46" s="1"/>
  <c r="AG7" i="44"/>
  <c r="R8" i="46"/>
  <c r="W8" i="45"/>
  <c r="L5" i="44"/>
  <c r="K5" i="44"/>
  <c r="E319" i="44"/>
  <c r="E279" i="44"/>
  <c r="E339" i="44"/>
  <c r="E299" i="44"/>
  <c r="E288" i="44"/>
  <c r="E228" i="44"/>
  <c r="E208" i="44"/>
  <c r="E188" i="44"/>
  <c r="E148" i="44"/>
  <c r="E68" i="44"/>
  <c r="E28" i="44"/>
  <c r="E287" i="44"/>
  <c r="E187" i="44"/>
  <c r="E167" i="44"/>
  <c r="E147" i="44"/>
  <c r="E87" i="44"/>
  <c r="E67" i="44"/>
  <c r="E286" i="44"/>
  <c r="E285" i="44"/>
  <c r="E284" i="44"/>
  <c r="E164" i="44"/>
  <c r="E294" i="44"/>
  <c r="E146" i="44"/>
  <c r="H7" i="44"/>
  <c r="I207" i="44" s="1"/>
  <c r="J207" i="44" s="1"/>
  <c r="E335" i="44"/>
  <c r="E275" i="44"/>
  <c r="E291" i="44"/>
  <c r="E211" i="44"/>
  <c r="E31" i="44"/>
  <c r="E346" i="44"/>
  <c r="E326" i="44"/>
  <c r="E306" i="44"/>
  <c r="E11" i="44"/>
  <c r="E324" i="44"/>
  <c r="E345" i="44"/>
  <c r="E135" i="44"/>
  <c r="E314" i="44"/>
  <c r="E54" i="44"/>
  <c r="E193" i="44"/>
  <c r="E33" i="44"/>
  <c r="E232" i="44"/>
  <c r="E92" i="44"/>
  <c r="E231" i="44"/>
  <c r="E311" i="44"/>
  <c r="E271" i="44"/>
  <c r="E191" i="44"/>
  <c r="E35" i="44"/>
  <c r="E194" i="44"/>
  <c r="E93" i="44"/>
  <c r="E195" i="44"/>
  <c r="E15" i="44"/>
  <c r="E214" i="44"/>
  <c r="E94" i="44"/>
  <c r="E333" i="44"/>
  <c r="E173" i="44"/>
  <c r="E73" i="44"/>
  <c r="E108" i="44"/>
  <c r="E272" i="44"/>
  <c r="E152" i="44"/>
  <c r="E52" i="44"/>
  <c r="E107" i="44"/>
  <c r="E250" i="44"/>
  <c r="E170" i="44"/>
  <c r="E50" i="44"/>
  <c r="E329" i="44"/>
  <c r="E249" i="44"/>
  <c r="E229" i="44"/>
  <c r="E189" i="44"/>
  <c r="E129" i="44"/>
  <c r="E49" i="44"/>
  <c r="E85" i="44"/>
  <c r="E168" i="44"/>
  <c r="E48" i="44"/>
  <c r="E347" i="44"/>
  <c r="E127" i="44"/>
  <c r="E47" i="44"/>
  <c r="E27" i="44"/>
  <c r="E224" i="44"/>
  <c r="E115" i="44"/>
  <c r="E334" i="44"/>
  <c r="E273" i="44"/>
  <c r="E244" i="44"/>
  <c r="E295" i="44"/>
  <c r="E215" i="44"/>
  <c r="E155" i="44"/>
  <c r="E75" i="44"/>
  <c r="E145" i="44"/>
  <c r="E274" i="44"/>
  <c r="E154" i="44"/>
  <c r="E14" i="44"/>
  <c r="E313" i="44"/>
  <c r="E213" i="44"/>
  <c r="E133" i="44"/>
  <c r="E13" i="44"/>
  <c r="E312" i="44"/>
  <c r="E252" i="44"/>
  <c r="E172" i="44"/>
  <c r="E12" i="44"/>
  <c r="E350" i="44"/>
  <c r="E310" i="44"/>
  <c r="E230" i="44"/>
  <c r="E150" i="44"/>
  <c r="E110" i="44"/>
  <c r="E30" i="44"/>
  <c r="E227" i="44"/>
  <c r="E309" i="44"/>
  <c r="E109" i="44"/>
  <c r="E89" i="44"/>
  <c r="E348" i="44"/>
  <c r="E268" i="44"/>
  <c r="E84" i="44"/>
  <c r="E327" i="44"/>
  <c r="E247" i="44"/>
  <c r="E266" i="44"/>
  <c r="E186" i="44"/>
  <c r="E126" i="44"/>
  <c r="E26" i="44"/>
  <c r="E265" i="44"/>
  <c r="E185" i="44"/>
  <c r="E125" i="44"/>
  <c r="E105" i="44"/>
  <c r="E45" i="44"/>
  <c r="E325" i="44"/>
  <c r="E66" i="44"/>
  <c r="E344" i="44"/>
  <c r="E204" i="44"/>
  <c r="E184" i="44"/>
  <c r="E124" i="44"/>
  <c r="E104" i="44"/>
  <c r="E44" i="44"/>
  <c r="E24" i="44"/>
  <c r="E65" i="44"/>
  <c r="E174" i="44"/>
  <c r="E74" i="44"/>
  <c r="E144" i="44"/>
  <c r="E293" i="44"/>
  <c r="E112" i="44"/>
  <c r="E235" i="44"/>
  <c r="E95" i="44"/>
  <c r="E264" i="44"/>
  <c r="E234" i="44"/>
  <c r="E114" i="44"/>
  <c r="E251" i="44"/>
  <c r="E253" i="44"/>
  <c r="E113" i="44"/>
  <c r="E332" i="44"/>
  <c r="E212" i="44"/>
  <c r="E72" i="44"/>
  <c r="E351" i="44"/>
  <c r="E290" i="44"/>
  <c r="E190" i="44"/>
  <c r="E70" i="44"/>
  <c r="E349" i="44"/>
  <c r="E269" i="44"/>
  <c r="E209" i="44"/>
  <c r="E169" i="44"/>
  <c r="E149" i="44"/>
  <c r="E29" i="44"/>
  <c r="E328" i="44"/>
  <c r="E307" i="44"/>
  <c r="E106" i="44"/>
  <c r="E245" i="44"/>
  <c r="E305" i="44"/>
  <c r="E64" i="44"/>
  <c r="E304" i="44"/>
  <c r="E301" i="44"/>
  <c r="E281" i="44"/>
  <c r="E261" i="44"/>
  <c r="E241" i="44"/>
  <c r="E221" i="44"/>
  <c r="E201" i="44"/>
  <c r="E181" i="44"/>
  <c r="E161" i="44"/>
  <c r="E141" i="44"/>
  <c r="E121" i="44"/>
  <c r="E101" i="44"/>
  <c r="E81" i="44"/>
  <c r="E61" i="44"/>
  <c r="E41" i="44"/>
  <c r="E21" i="44"/>
  <c r="E166" i="44"/>
  <c r="E315" i="44"/>
  <c r="E255" i="44"/>
  <c r="E175" i="44"/>
  <c r="E55" i="44"/>
  <c r="E354" i="44"/>
  <c r="E254" i="44"/>
  <c r="E134" i="44"/>
  <c r="E34" i="44"/>
  <c r="E353" i="44"/>
  <c r="E233" i="44"/>
  <c r="E153" i="44"/>
  <c r="E53" i="44"/>
  <c r="E352" i="44"/>
  <c r="E292" i="44"/>
  <c r="E192" i="44"/>
  <c r="E132" i="44"/>
  <c r="E32" i="44"/>
  <c r="E331" i="44"/>
  <c r="E330" i="44"/>
  <c r="E270" i="44"/>
  <c r="E210" i="44"/>
  <c r="E130" i="44"/>
  <c r="E90" i="44"/>
  <c r="E10" i="44"/>
  <c r="E86" i="44"/>
  <c r="E289" i="44"/>
  <c r="E69" i="44"/>
  <c r="E226" i="44"/>
  <c r="E308" i="44"/>
  <c r="E248" i="44"/>
  <c r="E128" i="44"/>
  <c r="E88" i="44"/>
  <c r="E225" i="44"/>
  <c r="E267" i="44"/>
  <c r="E207" i="44"/>
  <c r="E246" i="44"/>
  <c r="E206" i="44"/>
  <c r="E46" i="44"/>
  <c r="E205" i="44"/>
  <c r="E25" i="44"/>
  <c r="E341" i="44"/>
  <c r="E321" i="44"/>
  <c r="E340" i="44"/>
  <c r="E320" i="44"/>
  <c r="E300" i="44"/>
  <c r="E280" i="44"/>
  <c r="E260" i="44"/>
  <c r="E240" i="44"/>
  <c r="E220" i="44"/>
  <c r="E200" i="44"/>
  <c r="E180" i="44"/>
  <c r="E160" i="44"/>
  <c r="E140" i="44"/>
  <c r="E120" i="44"/>
  <c r="E100" i="44"/>
  <c r="E80" i="44"/>
  <c r="E60" i="44"/>
  <c r="E40" i="44"/>
  <c r="E20" i="44"/>
  <c r="E165" i="44"/>
  <c r="E343" i="44"/>
  <c r="E303" i="44"/>
  <c r="E263" i="44"/>
  <c r="E223" i="44"/>
  <c r="E163" i="44"/>
  <c r="E63" i="44"/>
  <c r="E323" i="44"/>
  <c r="E283" i="44"/>
  <c r="E243" i="44"/>
  <c r="E203" i="44"/>
  <c r="E183" i="44"/>
  <c r="E143" i="44"/>
  <c r="E123" i="44"/>
  <c r="E103" i="44"/>
  <c r="E83" i="44"/>
  <c r="E43" i="44"/>
  <c r="E23" i="44"/>
  <c r="E342" i="44"/>
  <c r="E322" i="44"/>
  <c r="E302" i="44"/>
  <c r="E282" i="44"/>
  <c r="E262" i="44"/>
  <c r="E242" i="44"/>
  <c r="E222" i="44"/>
  <c r="E202" i="44"/>
  <c r="E182" i="44"/>
  <c r="E162" i="44"/>
  <c r="E142" i="44"/>
  <c r="E122" i="44"/>
  <c r="E102" i="44"/>
  <c r="E82" i="44"/>
  <c r="E62" i="44"/>
  <c r="E42" i="44"/>
  <c r="E22" i="44"/>
  <c r="E259" i="44"/>
  <c r="E239" i="44"/>
  <c r="E219" i="44"/>
  <c r="E199" i="44"/>
  <c r="E179" i="44"/>
  <c r="E159" i="44"/>
  <c r="E139" i="44"/>
  <c r="E119" i="44"/>
  <c r="E99" i="44"/>
  <c r="E79" i="44"/>
  <c r="E59" i="44"/>
  <c r="E39" i="44"/>
  <c r="E19" i="44"/>
  <c r="E338" i="44"/>
  <c r="E318" i="44"/>
  <c r="E298" i="44"/>
  <c r="E278" i="44"/>
  <c r="E258" i="44"/>
  <c r="E238" i="44"/>
  <c r="E218" i="44"/>
  <c r="E198" i="44"/>
  <c r="E178" i="44"/>
  <c r="E158" i="44"/>
  <c r="E138" i="44"/>
  <c r="E118" i="44"/>
  <c r="E98" i="44"/>
  <c r="E78" i="44"/>
  <c r="E58" i="44"/>
  <c r="E38" i="44"/>
  <c r="E18" i="44"/>
  <c r="E337" i="44"/>
  <c r="E317" i="44"/>
  <c r="E297" i="44"/>
  <c r="E277" i="44"/>
  <c r="E257" i="44"/>
  <c r="E237" i="44"/>
  <c r="E217" i="44"/>
  <c r="E197" i="44"/>
  <c r="E177" i="44"/>
  <c r="E157" i="44"/>
  <c r="E137" i="44"/>
  <c r="E117" i="44"/>
  <c r="E97" i="44"/>
  <c r="E77" i="44"/>
  <c r="E57" i="44"/>
  <c r="E37" i="44"/>
  <c r="E17" i="44"/>
  <c r="E9" i="44"/>
  <c r="E336" i="44"/>
  <c r="E316" i="44"/>
  <c r="E296" i="44"/>
  <c r="E276" i="44"/>
  <c r="E256" i="44"/>
  <c r="E236" i="44"/>
  <c r="E216" i="44"/>
  <c r="E196" i="44"/>
  <c r="E176" i="44"/>
  <c r="E156" i="44"/>
  <c r="E136" i="44"/>
  <c r="E116" i="44"/>
  <c r="E96" i="44"/>
  <c r="E76" i="44"/>
  <c r="E56" i="44"/>
  <c r="E36" i="44"/>
  <c r="E16" i="44"/>
  <c r="E171" i="44"/>
  <c r="E151" i="44"/>
  <c r="E131" i="44"/>
  <c r="E111" i="44"/>
  <c r="E91" i="44"/>
  <c r="E71" i="44"/>
  <c r="E51" i="44"/>
  <c r="C352" i="16"/>
  <c r="C348" i="42" s="1"/>
  <c r="B352" i="16"/>
  <c r="B348" i="42" s="1"/>
  <c r="A348" i="42" s="1"/>
  <c r="C351" i="16"/>
  <c r="C347" i="42" s="1"/>
  <c r="B351" i="16"/>
  <c r="C350" i="16"/>
  <c r="C346" i="42" s="1"/>
  <c r="B350" i="16"/>
  <c r="B346" i="42" s="1"/>
  <c r="A346" i="42" s="1"/>
  <c r="C349" i="16"/>
  <c r="C345" i="42" s="1"/>
  <c r="B349" i="16"/>
  <c r="B345" i="42" s="1"/>
  <c r="A345" i="42" s="1"/>
  <c r="C348" i="16"/>
  <c r="C344" i="42" s="1"/>
  <c r="B348" i="16"/>
  <c r="B344" i="42" s="1"/>
  <c r="A344" i="42" s="1"/>
  <c r="C347" i="16"/>
  <c r="C343" i="42" s="1"/>
  <c r="B347" i="16"/>
  <c r="B343" i="42" s="1"/>
  <c r="A343" i="42" s="1"/>
  <c r="C346" i="16"/>
  <c r="C342" i="42" s="1"/>
  <c r="B346" i="16"/>
  <c r="B342" i="42" s="1"/>
  <c r="A342" i="42" s="1"/>
  <c r="C345" i="16"/>
  <c r="C341" i="42" s="1"/>
  <c r="B345" i="16"/>
  <c r="C344" i="16"/>
  <c r="B344" i="16"/>
  <c r="B340" i="42" s="1"/>
  <c r="A340" i="42" s="1"/>
  <c r="C343" i="16"/>
  <c r="B343" i="16"/>
  <c r="B339" i="42" s="1"/>
  <c r="A339" i="42" s="1"/>
  <c r="C342" i="16"/>
  <c r="C338" i="42" s="1"/>
  <c r="B342" i="16"/>
  <c r="B338" i="42" s="1"/>
  <c r="A338" i="42" s="1"/>
  <c r="C341" i="16"/>
  <c r="C337" i="42" s="1"/>
  <c r="B341" i="16"/>
  <c r="B337" i="42" s="1"/>
  <c r="A337" i="42" s="1"/>
  <c r="C340" i="16"/>
  <c r="C336" i="42" s="1"/>
  <c r="B340" i="16"/>
  <c r="B336" i="42" s="1"/>
  <c r="A336" i="42" s="1"/>
  <c r="C339" i="16"/>
  <c r="C335" i="42" s="1"/>
  <c r="B339" i="16"/>
  <c r="B335" i="42" s="1"/>
  <c r="A335" i="42" s="1"/>
  <c r="C338" i="16"/>
  <c r="C334" i="42" s="1"/>
  <c r="B338" i="16"/>
  <c r="B334" i="42" s="1"/>
  <c r="A334" i="42" s="1"/>
  <c r="C337" i="16"/>
  <c r="C333" i="42" s="1"/>
  <c r="B337" i="16"/>
  <c r="B333" i="42" s="1"/>
  <c r="A333" i="42" s="1"/>
  <c r="C336" i="16"/>
  <c r="C332" i="42" s="1"/>
  <c r="B336" i="16"/>
  <c r="B332" i="42" s="1"/>
  <c r="A332" i="42" s="1"/>
  <c r="C335" i="16"/>
  <c r="C331" i="42" s="1"/>
  <c r="B335" i="16"/>
  <c r="C334" i="16"/>
  <c r="B334" i="16"/>
  <c r="B330" i="42" s="1"/>
  <c r="A330" i="42" s="1"/>
  <c r="C333" i="16"/>
  <c r="B333" i="16"/>
  <c r="C332" i="16"/>
  <c r="C328" i="42" s="1"/>
  <c r="B332" i="16"/>
  <c r="C331" i="16"/>
  <c r="C327" i="42" s="1"/>
  <c r="B331" i="16"/>
  <c r="C330" i="16"/>
  <c r="C326" i="42" s="1"/>
  <c r="B330" i="16"/>
  <c r="B326" i="42" s="1"/>
  <c r="A326" i="42" s="1"/>
  <c r="C329" i="16"/>
  <c r="C325" i="42" s="1"/>
  <c r="B329" i="16"/>
  <c r="B325" i="42" s="1"/>
  <c r="A325" i="42" s="1"/>
  <c r="C328" i="16"/>
  <c r="C324" i="42" s="1"/>
  <c r="B328" i="16"/>
  <c r="B324" i="42" s="1"/>
  <c r="A324" i="42" s="1"/>
  <c r="C327" i="16"/>
  <c r="C323" i="42" s="1"/>
  <c r="B327" i="16"/>
  <c r="B323" i="42" s="1"/>
  <c r="A323" i="42" s="1"/>
  <c r="C326" i="16"/>
  <c r="C322" i="42" s="1"/>
  <c r="B326" i="16"/>
  <c r="B322" i="42" s="1"/>
  <c r="A322" i="42" s="1"/>
  <c r="C325" i="16"/>
  <c r="C321" i="42" s="1"/>
  <c r="B325" i="16"/>
  <c r="C324" i="16"/>
  <c r="B324" i="16"/>
  <c r="C323" i="16"/>
  <c r="B323" i="16"/>
  <c r="B319" i="42" s="1"/>
  <c r="A319" i="42" s="1"/>
  <c r="C322" i="16"/>
  <c r="C318" i="42" s="1"/>
  <c r="B322" i="16"/>
  <c r="B318" i="42" s="1"/>
  <c r="A318" i="42" s="1"/>
  <c r="C321" i="16"/>
  <c r="C317" i="42" s="1"/>
  <c r="B321" i="16"/>
  <c r="C320" i="16"/>
  <c r="C316" i="42" s="1"/>
  <c r="B320" i="16"/>
  <c r="B316" i="42" s="1"/>
  <c r="A316" i="42" s="1"/>
  <c r="C319" i="16"/>
  <c r="C315" i="42" s="1"/>
  <c r="B319" i="16"/>
  <c r="B315" i="42" s="1"/>
  <c r="A315" i="42" s="1"/>
  <c r="C318" i="16"/>
  <c r="C314" i="42" s="1"/>
  <c r="B318" i="16"/>
  <c r="B314" i="42" s="1"/>
  <c r="A314" i="42" s="1"/>
  <c r="C317" i="16"/>
  <c r="C313" i="42" s="1"/>
  <c r="B317" i="16"/>
  <c r="B313" i="42" s="1"/>
  <c r="A313" i="42" s="1"/>
  <c r="C316" i="16"/>
  <c r="C312" i="42" s="1"/>
  <c r="B316" i="16"/>
  <c r="B312" i="42" s="1"/>
  <c r="A312" i="42" s="1"/>
  <c r="C315" i="16"/>
  <c r="C311" i="42" s="1"/>
  <c r="B315" i="16"/>
  <c r="C314" i="16"/>
  <c r="B314" i="16"/>
  <c r="B310" i="42" s="1"/>
  <c r="A310" i="42" s="1"/>
  <c r="C313" i="16"/>
  <c r="B313" i="16"/>
  <c r="B309" i="42" s="1"/>
  <c r="A309" i="42" s="1"/>
  <c r="C312" i="16"/>
  <c r="C308" i="42" s="1"/>
  <c r="B312" i="16"/>
  <c r="B308" i="42" s="1"/>
  <c r="A308" i="42" s="1"/>
  <c r="C311" i="16"/>
  <c r="C307" i="42" s="1"/>
  <c r="B311" i="16"/>
  <c r="B307" i="42" s="1"/>
  <c r="A307" i="42" s="1"/>
  <c r="C310" i="16"/>
  <c r="B310" i="16"/>
  <c r="B306" i="42" s="1"/>
  <c r="A306" i="42" s="1"/>
  <c r="C309" i="16"/>
  <c r="C305" i="42" s="1"/>
  <c r="B309" i="16"/>
  <c r="B305" i="42" s="1"/>
  <c r="A305" i="42" s="1"/>
  <c r="C308" i="16"/>
  <c r="C304" i="42" s="1"/>
  <c r="B308" i="16"/>
  <c r="B304" i="42" s="1"/>
  <c r="A304" i="42" s="1"/>
  <c r="C307" i="16"/>
  <c r="C303" i="42" s="1"/>
  <c r="B307" i="16"/>
  <c r="B303" i="42" s="1"/>
  <c r="A303" i="42" s="1"/>
  <c r="C306" i="16"/>
  <c r="C302" i="42" s="1"/>
  <c r="B306" i="16"/>
  <c r="B302" i="42" s="1"/>
  <c r="A302" i="42" s="1"/>
  <c r="C305" i="16"/>
  <c r="C301" i="42" s="1"/>
  <c r="B305" i="16"/>
  <c r="C304" i="16"/>
  <c r="B304" i="16"/>
  <c r="C303" i="16"/>
  <c r="B303" i="16"/>
  <c r="B299" i="42" s="1"/>
  <c r="A299" i="42" s="1"/>
  <c r="C302" i="16"/>
  <c r="C298" i="42" s="1"/>
  <c r="B302" i="16"/>
  <c r="B298" i="42" s="1"/>
  <c r="A298" i="42" s="1"/>
  <c r="C301" i="16"/>
  <c r="C297" i="42" s="1"/>
  <c r="B301" i="16"/>
  <c r="B297" i="42" s="1"/>
  <c r="A297" i="42" s="1"/>
  <c r="C300" i="16"/>
  <c r="B300" i="16"/>
  <c r="B296" i="42" s="1"/>
  <c r="A296" i="42" s="1"/>
  <c r="C299" i="16"/>
  <c r="C295" i="42" s="1"/>
  <c r="B299" i="16"/>
  <c r="B295" i="42" s="1"/>
  <c r="A295" i="42" s="1"/>
  <c r="C298" i="16"/>
  <c r="C294" i="42" s="1"/>
  <c r="B298" i="16"/>
  <c r="B294" i="42" s="1"/>
  <c r="A294" i="42" s="1"/>
  <c r="C297" i="16"/>
  <c r="C293" i="42" s="1"/>
  <c r="B297" i="16"/>
  <c r="B293" i="42" s="1"/>
  <c r="A293" i="42" s="1"/>
  <c r="C296" i="16"/>
  <c r="C292" i="42" s="1"/>
  <c r="B296" i="16"/>
  <c r="B292" i="42" s="1"/>
  <c r="A292" i="42" s="1"/>
  <c r="C295" i="16"/>
  <c r="C291" i="42" s="1"/>
  <c r="B295" i="16"/>
  <c r="C294" i="16"/>
  <c r="B294" i="16"/>
  <c r="B290" i="42" s="1"/>
  <c r="A290" i="42" s="1"/>
  <c r="C293" i="16"/>
  <c r="B293" i="16"/>
  <c r="B289" i="42" s="1"/>
  <c r="A289" i="42" s="1"/>
  <c r="C292" i="16"/>
  <c r="C288" i="42" s="1"/>
  <c r="B292" i="16"/>
  <c r="B288" i="42" s="1"/>
  <c r="A288" i="42" s="1"/>
  <c r="C291" i="16"/>
  <c r="B291" i="16"/>
  <c r="C290" i="16"/>
  <c r="C286" i="42" s="1"/>
  <c r="B290" i="16"/>
  <c r="B286" i="42" s="1"/>
  <c r="A286" i="42" s="1"/>
  <c r="C289" i="16"/>
  <c r="C285" i="42" s="1"/>
  <c r="B289" i="16"/>
  <c r="B285" i="42" s="1"/>
  <c r="A285" i="42" s="1"/>
  <c r="C288" i="16"/>
  <c r="C284" i="42" s="1"/>
  <c r="B288" i="16"/>
  <c r="B284" i="42" s="1"/>
  <c r="A284" i="42" s="1"/>
  <c r="C287" i="16"/>
  <c r="C283" i="42" s="1"/>
  <c r="B287" i="16"/>
  <c r="B283" i="42" s="1"/>
  <c r="A283" i="42" s="1"/>
  <c r="C286" i="16"/>
  <c r="C282" i="42" s="1"/>
  <c r="B286" i="16"/>
  <c r="B282" i="42" s="1"/>
  <c r="A282" i="42" s="1"/>
  <c r="C285" i="16"/>
  <c r="C281" i="42" s="1"/>
  <c r="B285" i="16"/>
  <c r="C284" i="16"/>
  <c r="B284" i="16"/>
  <c r="C283" i="16"/>
  <c r="B283" i="16"/>
  <c r="B279" i="42" s="1"/>
  <c r="A279" i="42" s="1"/>
  <c r="C282" i="16"/>
  <c r="C278" i="42" s="1"/>
  <c r="B282" i="16"/>
  <c r="B278" i="42" s="1"/>
  <c r="A278" i="42" s="1"/>
  <c r="C281" i="16"/>
  <c r="C277" i="42" s="1"/>
  <c r="B281" i="16"/>
  <c r="C280" i="16"/>
  <c r="C276" i="42" s="1"/>
  <c r="B280" i="16"/>
  <c r="B276" i="42" s="1"/>
  <c r="A276" i="42" s="1"/>
  <c r="C279" i="16"/>
  <c r="C275" i="42" s="1"/>
  <c r="B279" i="16"/>
  <c r="B275" i="42" s="1"/>
  <c r="A275" i="42" s="1"/>
  <c r="C278" i="16"/>
  <c r="C274" i="42" s="1"/>
  <c r="B278" i="16"/>
  <c r="B274" i="42" s="1"/>
  <c r="A274" i="42" s="1"/>
  <c r="C277" i="16"/>
  <c r="C273" i="42" s="1"/>
  <c r="B277" i="16"/>
  <c r="B273" i="42" s="1"/>
  <c r="A273" i="42" s="1"/>
  <c r="C276" i="16"/>
  <c r="C272" i="42" s="1"/>
  <c r="B276" i="16"/>
  <c r="B272" i="42" s="1"/>
  <c r="A272" i="42" s="1"/>
  <c r="C275" i="16"/>
  <c r="C271" i="42" s="1"/>
  <c r="B275" i="16"/>
  <c r="C274" i="16"/>
  <c r="B274" i="16"/>
  <c r="B270" i="42" s="1"/>
  <c r="A270" i="42" s="1"/>
  <c r="C273" i="16"/>
  <c r="B273" i="16"/>
  <c r="B269" i="42" s="1"/>
  <c r="A269" i="42" s="1"/>
  <c r="C272" i="16"/>
  <c r="C268" i="42" s="1"/>
  <c r="B272" i="16"/>
  <c r="B268" i="42" s="1"/>
  <c r="A268" i="42" s="1"/>
  <c r="C271" i="16"/>
  <c r="C267" i="42" s="1"/>
  <c r="B271" i="16"/>
  <c r="C270" i="16"/>
  <c r="C266" i="42" s="1"/>
  <c r="B270" i="16"/>
  <c r="B266" i="42" s="1"/>
  <c r="A266" i="42" s="1"/>
  <c r="C269" i="16"/>
  <c r="C265" i="42" s="1"/>
  <c r="B269" i="16"/>
  <c r="B265" i="42" s="1"/>
  <c r="A265" i="42" s="1"/>
  <c r="C268" i="16"/>
  <c r="C264" i="42" s="1"/>
  <c r="B268" i="16"/>
  <c r="B264" i="42" s="1"/>
  <c r="A264" i="42" s="1"/>
  <c r="C267" i="16"/>
  <c r="C263" i="42" s="1"/>
  <c r="B267" i="16"/>
  <c r="B263" i="42" s="1"/>
  <c r="A263" i="42" s="1"/>
  <c r="C266" i="16"/>
  <c r="C262" i="42" s="1"/>
  <c r="B266" i="16"/>
  <c r="B262" i="42" s="1"/>
  <c r="A262" i="42" s="1"/>
  <c r="C265" i="16"/>
  <c r="C261" i="42" s="1"/>
  <c r="B265" i="16"/>
  <c r="C264" i="16"/>
  <c r="B264" i="16"/>
  <c r="B260" i="42" s="1"/>
  <c r="A260" i="42" s="1"/>
  <c r="C263" i="16"/>
  <c r="B263" i="16"/>
  <c r="C262" i="16"/>
  <c r="C258" i="42" s="1"/>
  <c r="B262" i="16"/>
  <c r="B258" i="42" s="1"/>
  <c r="A258" i="42" s="1"/>
  <c r="C261" i="16"/>
  <c r="C257" i="42" s="1"/>
  <c r="B261" i="16"/>
  <c r="B257" i="42" s="1"/>
  <c r="A257" i="42" s="1"/>
  <c r="C260" i="16"/>
  <c r="C256" i="42" s="1"/>
  <c r="B260" i="16"/>
  <c r="B256" i="42" s="1"/>
  <c r="A256" i="42" s="1"/>
  <c r="C259" i="16"/>
  <c r="C255" i="42" s="1"/>
  <c r="B259" i="16"/>
  <c r="B255" i="42" s="1"/>
  <c r="A255" i="42" s="1"/>
  <c r="C258" i="16"/>
  <c r="C254" i="42" s="1"/>
  <c r="B258" i="16"/>
  <c r="B254" i="42" s="1"/>
  <c r="A254" i="42" s="1"/>
  <c r="C257" i="16"/>
  <c r="C253" i="42" s="1"/>
  <c r="B257" i="16"/>
  <c r="B253" i="42" s="1"/>
  <c r="A253" i="42" s="1"/>
  <c r="C256" i="16"/>
  <c r="C252" i="42" s="1"/>
  <c r="B256" i="16"/>
  <c r="B252" i="42" s="1"/>
  <c r="A252" i="42" s="1"/>
  <c r="C255" i="16"/>
  <c r="C251" i="42" s="1"/>
  <c r="B255" i="16"/>
  <c r="C254" i="16"/>
  <c r="B254" i="16"/>
  <c r="C253" i="16"/>
  <c r="B253" i="16"/>
  <c r="B249" i="42" s="1"/>
  <c r="A249" i="42" s="1"/>
  <c r="C252" i="16"/>
  <c r="C248" i="42" s="1"/>
  <c r="B252" i="16"/>
  <c r="B248" i="42" s="1"/>
  <c r="A248" i="42" s="1"/>
  <c r="C251" i="16"/>
  <c r="C247" i="42" s="1"/>
  <c r="B251" i="16"/>
  <c r="B247" i="42" s="1"/>
  <c r="A247" i="42" s="1"/>
  <c r="C250" i="16"/>
  <c r="B250" i="16"/>
  <c r="B246" i="42" s="1"/>
  <c r="A246" i="42" s="1"/>
  <c r="C249" i="16"/>
  <c r="C245" i="42" s="1"/>
  <c r="B249" i="16"/>
  <c r="B245" i="42" s="1"/>
  <c r="A245" i="42" s="1"/>
  <c r="C248" i="16"/>
  <c r="C244" i="42" s="1"/>
  <c r="B248" i="16"/>
  <c r="B244" i="42" s="1"/>
  <c r="A244" i="42" s="1"/>
  <c r="C247" i="16"/>
  <c r="C243" i="42" s="1"/>
  <c r="B247" i="16"/>
  <c r="B243" i="42" s="1"/>
  <c r="A243" i="42" s="1"/>
  <c r="C246" i="16"/>
  <c r="C242" i="42" s="1"/>
  <c r="B246" i="16"/>
  <c r="B242" i="42" s="1"/>
  <c r="A242" i="42" s="1"/>
  <c r="C245" i="16"/>
  <c r="C241" i="42" s="1"/>
  <c r="B245" i="16"/>
  <c r="C244" i="16"/>
  <c r="B244" i="16"/>
  <c r="C243" i="16"/>
  <c r="B243" i="16"/>
  <c r="B239" i="42" s="1"/>
  <c r="A239" i="42" s="1"/>
  <c r="C242" i="16"/>
  <c r="C238" i="42" s="1"/>
  <c r="B242" i="16"/>
  <c r="B238" i="42" s="1"/>
  <c r="A238" i="42" s="1"/>
  <c r="C241" i="16"/>
  <c r="C237" i="42" s="1"/>
  <c r="B241" i="16"/>
  <c r="C240" i="16"/>
  <c r="C236" i="42" s="1"/>
  <c r="B240" i="16"/>
  <c r="B236" i="42" s="1"/>
  <c r="A236" i="42" s="1"/>
  <c r="C239" i="16"/>
  <c r="C235" i="42" s="1"/>
  <c r="B239" i="16"/>
  <c r="B235" i="42" s="1"/>
  <c r="A235" i="42" s="1"/>
  <c r="C238" i="16"/>
  <c r="C234" i="42" s="1"/>
  <c r="B238" i="16"/>
  <c r="B234" i="42" s="1"/>
  <c r="A234" i="42" s="1"/>
  <c r="C237" i="16"/>
  <c r="C233" i="42" s="1"/>
  <c r="B237" i="16"/>
  <c r="B233" i="42" s="1"/>
  <c r="A233" i="42" s="1"/>
  <c r="C236" i="16"/>
  <c r="C232" i="42" s="1"/>
  <c r="B236" i="16"/>
  <c r="B232" i="42" s="1"/>
  <c r="A232" i="42" s="1"/>
  <c r="C235" i="16"/>
  <c r="C231" i="42" s="1"/>
  <c r="B235" i="16"/>
  <c r="C234" i="16"/>
  <c r="B234" i="16"/>
  <c r="B230" i="42" s="1"/>
  <c r="A230" i="42" s="1"/>
  <c r="C233" i="16"/>
  <c r="B233" i="16"/>
  <c r="B229" i="42" s="1"/>
  <c r="A229" i="42" s="1"/>
  <c r="C232" i="16"/>
  <c r="C228" i="42" s="1"/>
  <c r="B232" i="16"/>
  <c r="B228" i="42" s="1"/>
  <c r="A228" i="42" s="1"/>
  <c r="C231" i="16"/>
  <c r="C227" i="42" s="1"/>
  <c r="B231" i="16"/>
  <c r="B227" i="42" s="1"/>
  <c r="A227" i="42" s="1"/>
  <c r="C230" i="16"/>
  <c r="C226" i="42" s="1"/>
  <c r="B230" i="16"/>
  <c r="B226" i="42" s="1"/>
  <c r="A226" i="42" s="1"/>
  <c r="C229" i="16"/>
  <c r="C225" i="42" s="1"/>
  <c r="B229" i="16"/>
  <c r="B225" i="42" s="1"/>
  <c r="A225" i="42" s="1"/>
  <c r="C228" i="16"/>
  <c r="C224" i="42" s="1"/>
  <c r="B228" i="16"/>
  <c r="B224" i="42" s="1"/>
  <c r="A224" i="42" s="1"/>
  <c r="C227" i="16"/>
  <c r="C223" i="42" s="1"/>
  <c r="B227" i="16"/>
  <c r="B223" i="42" s="1"/>
  <c r="A223" i="42" s="1"/>
  <c r="C226" i="16"/>
  <c r="C222" i="42" s="1"/>
  <c r="B226" i="16"/>
  <c r="B222" i="42" s="1"/>
  <c r="A222" i="42" s="1"/>
  <c r="C225" i="16"/>
  <c r="C221" i="42" s="1"/>
  <c r="B225" i="16"/>
  <c r="C224" i="16"/>
  <c r="B224" i="16"/>
  <c r="B220" i="42" s="1"/>
  <c r="A220" i="42" s="1"/>
  <c r="C223" i="16"/>
  <c r="B223" i="16"/>
  <c r="B219" i="42" s="1"/>
  <c r="A219" i="42" s="1"/>
  <c r="C222" i="16"/>
  <c r="C218" i="42" s="1"/>
  <c r="B222" i="16"/>
  <c r="B218" i="42" s="1"/>
  <c r="A218" i="42" s="1"/>
  <c r="C221" i="16"/>
  <c r="C217" i="42" s="1"/>
  <c r="B221" i="16"/>
  <c r="B217" i="42" s="1"/>
  <c r="A217" i="42" s="1"/>
  <c r="C220" i="16"/>
  <c r="C216" i="42" s="1"/>
  <c r="B220" i="16"/>
  <c r="B216" i="42" s="1"/>
  <c r="A216" i="42" s="1"/>
  <c r="C219" i="16"/>
  <c r="C215" i="42" s="1"/>
  <c r="B219" i="16"/>
  <c r="B215" i="42" s="1"/>
  <c r="A215" i="42" s="1"/>
  <c r="C218" i="16"/>
  <c r="C214" i="42" s="1"/>
  <c r="B218" i="16"/>
  <c r="B214" i="42" s="1"/>
  <c r="A214" i="42" s="1"/>
  <c r="C217" i="16"/>
  <c r="C213" i="42" s="1"/>
  <c r="B217" i="16"/>
  <c r="B213" i="42" s="1"/>
  <c r="A213" i="42" s="1"/>
  <c r="C216" i="16"/>
  <c r="C212" i="42" s="1"/>
  <c r="B216" i="16"/>
  <c r="B212" i="42" s="1"/>
  <c r="A212" i="42" s="1"/>
  <c r="C215" i="16"/>
  <c r="C211" i="42" s="1"/>
  <c r="B215" i="16"/>
  <c r="C214" i="16"/>
  <c r="B214" i="16"/>
  <c r="B210" i="42" s="1"/>
  <c r="A210" i="42" s="1"/>
  <c r="C213" i="16"/>
  <c r="B213" i="16"/>
  <c r="B209" i="42" s="1"/>
  <c r="A209" i="42" s="1"/>
  <c r="C212" i="16"/>
  <c r="C208" i="42" s="1"/>
  <c r="B212" i="16"/>
  <c r="B208" i="42" s="1"/>
  <c r="A208" i="42" s="1"/>
  <c r="C211" i="16"/>
  <c r="C207" i="42" s="1"/>
  <c r="B211" i="16"/>
  <c r="C210" i="16"/>
  <c r="C206" i="42" s="1"/>
  <c r="B210" i="16"/>
  <c r="B206" i="42" s="1"/>
  <c r="A206" i="42" s="1"/>
  <c r="C209" i="16"/>
  <c r="C205" i="42" s="1"/>
  <c r="B209" i="16"/>
  <c r="B205" i="42" s="1"/>
  <c r="A205" i="42" s="1"/>
  <c r="C208" i="16"/>
  <c r="C204" i="42" s="1"/>
  <c r="B208" i="16"/>
  <c r="B204" i="42" s="1"/>
  <c r="A204" i="42" s="1"/>
  <c r="C207" i="16"/>
  <c r="C203" i="42" s="1"/>
  <c r="B207" i="16"/>
  <c r="B203" i="42" s="1"/>
  <c r="A203" i="42" s="1"/>
  <c r="C206" i="16"/>
  <c r="C202" i="42" s="1"/>
  <c r="B206" i="16"/>
  <c r="B202" i="42" s="1"/>
  <c r="A202" i="42" s="1"/>
  <c r="C205" i="16"/>
  <c r="C201" i="42" s="1"/>
  <c r="B205" i="16"/>
  <c r="C204" i="16"/>
  <c r="B204" i="16"/>
  <c r="B200" i="42" s="1"/>
  <c r="A200" i="42" s="1"/>
  <c r="C203" i="16"/>
  <c r="B203" i="16"/>
  <c r="B199" i="42" s="1"/>
  <c r="A199" i="42" s="1"/>
  <c r="C202" i="16"/>
  <c r="C198" i="42" s="1"/>
  <c r="B202" i="16"/>
  <c r="B198" i="42" s="1"/>
  <c r="A198" i="42" s="1"/>
  <c r="C201" i="16"/>
  <c r="C197" i="42" s="1"/>
  <c r="B201" i="16"/>
  <c r="C200" i="16"/>
  <c r="C196" i="42" s="1"/>
  <c r="B200" i="16"/>
  <c r="B196" i="42" s="1"/>
  <c r="A196" i="42" s="1"/>
  <c r="C199" i="16"/>
  <c r="C195" i="42" s="1"/>
  <c r="B199" i="16"/>
  <c r="B195" i="42" s="1"/>
  <c r="A195" i="42" s="1"/>
  <c r="C198" i="16"/>
  <c r="C194" i="42" s="1"/>
  <c r="B198" i="16"/>
  <c r="B194" i="42" s="1"/>
  <c r="A194" i="42" s="1"/>
  <c r="C197" i="16"/>
  <c r="C193" i="42" s="1"/>
  <c r="B197" i="16"/>
  <c r="B193" i="42" s="1"/>
  <c r="A193" i="42" s="1"/>
  <c r="C196" i="16"/>
  <c r="C192" i="42" s="1"/>
  <c r="B196" i="16"/>
  <c r="B192" i="42" s="1"/>
  <c r="A192" i="42" s="1"/>
  <c r="C195" i="16"/>
  <c r="C191" i="42" s="1"/>
  <c r="B195" i="16"/>
  <c r="C194" i="16"/>
  <c r="B194" i="16"/>
  <c r="C193" i="16"/>
  <c r="B193" i="16"/>
  <c r="B189" i="42" s="1"/>
  <c r="A189" i="42" s="1"/>
  <c r="C192" i="16"/>
  <c r="C188" i="42" s="1"/>
  <c r="B192" i="16"/>
  <c r="B188" i="42" s="1"/>
  <c r="A188" i="42" s="1"/>
  <c r="C191" i="16"/>
  <c r="C187" i="42" s="1"/>
  <c r="B191" i="16"/>
  <c r="C190" i="16"/>
  <c r="C186" i="42" s="1"/>
  <c r="B190" i="16"/>
  <c r="B186" i="42" s="1"/>
  <c r="A186" i="42" s="1"/>
  <c r="C189" i="16"/>
  <c r="C185" i="42" s="1"/>
  <c r="B189" i="16"/>
  <c r="B185" i="42" s="1"/>
  <c r="A185" i="42" s="1"/>
  <c r="C188" i="16"/>
  <c r="C184" i="42" s="1"/>
  <c r="B188" i="16"/>
  <c r="B184" i="42" s="1"/>
  <c r="A184" i="42" s="1"/>
  <c r="C187" i="16"/>
  <c r="C183" i="42" s="1"/>
  <c r="B187" i="16"/>
  <c r="B183" i="42" s="1"/>
  <c r="A183" i="42" s="1"/>
  <c r="C186" i="16"/>
  <c r="C182" i="42" s="1"/>
  <c r="B186" i="16"/>
  <c r="B182" i="42" s="1"/>
  <c r="A182" i="42" s="1"/>
  <c r="C185" i="16"/>
  <c r="C181" i="42" s="1"/>
  <c r="B185" i="16"/>
  <c r="C184" i="16"/>
  <c r="B184" i="16"/>
  <c r="C183" i="16"/>
  <c r="B183" i="16"/>
  <c r="B179" i="42" s="1"/>
  <c r="A179" i="42" s="1"/>
  <c r="C182" i="16"/>
  <c r="C178" i="42" s="1"/>
  <c r="B182" i="16"/>
  <c r="B178" i="42" s="1"/>
  <c r="A178" i="42" s="1"/>
  <c r="C181" i="16"/>
  <c r="C177" i="42" s="1"/>
  <c r="B181" i="16"/>
  <c r="B177" i="42" s="1"/>
  <c r="A177" i="42" s="1"/>
  <c r="C180" i="16"/>
  <c r="C176" i="42" s="1"/>
  <c r="B180" i="16"/>
  <c r="B176" i="42" s="1"/>
  <c r="A176" i="42" s="1"/>
  <c r="C179" i="16"/>
  <c r="C175" i="42" s="1"/>
  <c r="B179" i="16"/>
  <c r="B175" i="42" s="1"/>
  <c r="A175" i="42" s="1"/>
  <c r="C178" i="16"/>
  <c r="C174" i="42" s="1"/>
  <c r="B178" i="16"/>
  <c r="B174" i="42" s="1"/>
  <c r="A174" i="42" s="1"/>
  <c r="C177" i="16"/>
  <c r="C173" i="42" s="1"/>
  <c r="B177" i="16"/>
  <c r="B173" i="42" s="1"/>
  <c r="A173" i="42" s="1"/>
  <c r="C176" i="16"/>
  <c r="C172" i="42" s="1"/>
  <c r="B176" i="16"/>
  <c r="B172" i="42" s="1"/>
  <c r="A172" i="42" s="1"/>
  <c r="C175" i="16"/>
  <c r="C171" i="42" s="1"/>
  <c r="B175" i="16"/>
  <c r="C174" i="16"/>
  <c r="B174" i="16"/>
  <c r="C173" i="16"/>
  <c r="B173" i="16"/>
  <c r="B169" i="42" s="1"/>
  <c r="A169" i="42" s="1"/>
  <c r="C172" i="16"/>
  <c r="C168" i="42" s="1"/>
  <c r="B172" i="16"/>
  <c r="B168" i="42" s="1"/>
  <c r="A168" i="42" s="1"/>
  <c r="C171" i="16"/>
  <c r="C167" i="42" s="1"/>
  <c r="B171" i="16"/>
  <c r="C170" i="16"/>
  <c r="C166" i="42" s="1"/>
  <c r="B170" i="16"/>
  <c r="B166" i="42" s="1"/>
  <c r="A166" i="42" s="1"/>
  <c r="C169" i="16"/>
  <c r="C165" i="42" s="1"/>
  <c r="B169" i="16"/>
  <c r="B165" i="42" s="1"/>
  <c r="A165" i="42" s="1"/>
  <c r="C168" i="16"/>
  <c r="C164" i="42" s="1"/>
  <c r="B168" i="16"/>
  <c r="B164" i="42" s="1"/>
  <c r="A164" i="42" s="1"/>
  <c r="C167" i="16"/>
  <c r="C163" i="42" s="1"/>
  <c r="B167" i="16"/>
  <c r="B163" i="42" s="1"/>
  <c r="A163" i="42" s="1"/>
  <c r="C166" i="16"/>
  <c r="C162" i="42" s="1"/>
  <c r="B166" i="16"/>
  <c r="B162" i="42" s="1"/>
  <c r="A162" i="42" s="1"/>
  <c r="C165" i="16"/>
  <c r="C161" i="42" s="1"/>
  <c r="B165" i="16"/>
  <c r="C164" i="16"/>
  <c r="B164" i="16"/>
  <c r="C163" i="16"/>
  <c r="B163" i="16"/>
  <c r="B159" i="42" s="1"/>
  <c r="A159" i="42" s="1"/>
  <c r="C162" i="16"/>
  <c r="C158" i="42" s="1"/>
  <c r="B162" i="16"/>
  <c r="B158" i="42" s="1"/>
  <c r="A158" i="42" s="1"/>
  <c r="C161" i="16"/>
  <c r="C157" i="42" s="1"/>
  <c r="B161" i="16"/>
  <c r="C160" i="16"/>
  <c r="C156" i="42" s="1"/>
  <c r="B160" i="16"/>
  <c r="B156" i="42" s="1"/>
  <c r="A156" i="42" s="1"/>
  <c r="C159" i="16"/>
  <c r="C155" i="42" s="1"/>
  <c r="B159" i="16"/>
  <c r="B155" i="42" s="1"/>
  <c r="A155" i="42" s="1"/>
  <c r="C158" i="16"/>
  <c r="C154" i="42" s="1"/>
  <c r="B158" i="16"/>
  <c r="B154" i="42" s="1"/>
  <c r="A154" i="42" s="1"/>
  <c r="C157" i="16"/>
  <c r="C153" i="42" s="1"/>
  <c r="B157" i="16"/>
  <c r="B153" i="42" s="1"/>
  <c r="A153" i="42" s="1"/>
  <c r="C156" i="16"/>
  <c r="C152" i="42" s="1"/>
  <c r="B156" i="16"/>
  <c r="B152" i="42" s="1"/>
  <c r="A152" i="42" s="1"/>
  <c r="C155" i="16"/>
  <c r="C151" i="42" s="1"/>
  <c r="B155" i="16"/>
  <c r="C154" i="16"/>
  <c r="B154" i="16"/>
  <c r="B150" i="42" s="1"/>
  <c r="A150" i="42" s="1"/>
  <c r="C153" i="16"/>
  <c r="B153" i="16"/>
  <c r="B149" i="42" s="1"/>
  <c r="A149" i="42" s="1"/>
  <c r="C152" i="16"/>
  <c r="C148" i="42" s="1"/>
  <c r="B152" i="16"/>
  <c r="B148" i="42" s="1"/>
  <c r="A148" i="42" s="1"/>
  <c r="C151" i="16"/>
  <c r="C147" i="42" s="1"/>
  <c r="B151" i="16"/>
  <c r="C150" i="16"/>
  <c r="C146" i="42" s="1"/>
  <c r="B150" i="16"/>
  <c r="B146" i="42" s="1"/>
  <c r="A146" i="42" s="1"/>
  <c r="C149" i="16"/>
  <c r="C145" i="42" s="1"/>
  <c r="B149" i="16"/>
  <c r="B145" i="42" s="1"/>
  <c r="A145" i="42" s="1"/>
  <c r="C148" i="16"/>
  <c r="C144" i="42" s="1"/>
  <c r="B148" i="16"/>
  <c r="B144" i="42" s="1"/>
  <c r="A144" i="42" s="1"/>
  <c r="C147" i="16"/>
  <c r="C143" i="42" s="1"/>
  <c r="B147" i="16"/>
  <c r="B143" i="42" s="1"/>
  <c r="A143" i="42" s="1"/>
  <c r="C146" i="16"/>
  <c r="C142" i="42" s="1"/>
  <c r="B146" i="16"/>
  <c r="B142" i="42" s="1"/>
  <c r="A142" i="42" s="1"/>
  <c r="C145" i="16"/>
  <c r="C141" i="42" s="1"/>
  <c r="B145" i="16"/>
  <c r="C144" i="16"/>
  <c r="B144" i="16"/>
  <c r="C143" i="16"/>
  <c r="B143" i="16"/>
  <c r="B139" i="42" s="1"/>
  <c r="A139" i="42" s="1"/>
  <c r="C142" i="16"/>
  <c r="C138" i="42" s="1"/>
  <c r="B142" i="16"/>
  <c r="B138" i="42" s="1"/>
  <c r="A138" i="42" s="1"/>
  <c r="C141" i="16"/>
  <c r="C137" i="42" s="1"/>
  <c r="B141" i="16"/>
  <c r="B137" i="42" s="1"/>
  <c r="A137" i="42" s="1"/>
  <c r="C140" i="16"/>
  <c r="C136" i="42" s="1"/>
  <c r="B140" i="16"/>
  <c r="B136" i="42" s="1"/>
  <c r="A136" i="42" s="1"/>
  <c r="C139" i="16"/>
  <c r="C135" i="42" s="1"/>
  <c r="B139" i="16"/>
  <c r="B135" i="42" s="1"/>
  <c r="A135" i="42" s="1"/>
  <c r="C138" i="16"/>
  <c r="C134" i="42" s="1"/>
  <c r="B138" i="16"/>
  <c r="B134" i="42" s="1"/>
  <c r="A134" i="42" s="1"/>
  <c r="C137" i="16"/>
  <c r="C133" i="42" s="1"/>
  <c r="B137" i="16"/>
  <c r="B133" i="42" s="1"/>
  <c r="A133" i="42" s="1"/>
  <c r="C136" i="16"/>
  <c r="C132" i="42" s="1"/>
  <c r="B136" i="16"/>
  <c r="B132" i="42" s="1"/>
  <c r="A132" i="42" s="1"/>
  <c r="C135" i="16"/>
  <c r="C131" i="42" s="1"/>
  <c r="B135" i="16"/>
  <c r="C134" i="16"/>
  <c r="B134" i="16"/>
  <c r="C133" i="16"/>
  <c r="B133" i="16"/>
  <c r="B129" i="42" s="1"/>
  <c r="A129" i="42" s="1"/>
  <c r="C132" i="16"/>
  <c r="C128" i="42" s="1"/>
  <c r="B132" i="16"/>
  <c r="B128" i="42" s="1"/>
  <c r="A128" i="42" s="1"/>
  <c r="C131" i="16"/>
  <c r="C127" i="42" s="1"/>
  <c r="B131" i="16"/>
  <c r="B127" i="42" s="1"/>
  <c r="A127" i="42" s="1"/>
  <c r="C130" i="16"/>
  <c r="C126" i="42" s="1"/>
  <c r="B130" i="16"/>
  <c r="B126" i="42" s="1"/>
  <c r="A126" i="42" s="1"/>
  <c r="C129" i="16"/>
  <c r="C125" i="42" s="1"/>
  <c r="B129" i="16"/>
  <c r="B125" i="42" s="1"/>
  <c r="A125" i="42" s="1"/>
  <c r="C128" i="16"/>
  <c r="C124" i="42" s="1"/>
  <c r="B128" i="16"/>
  <c r="B124" i="42" s="1"/>
  <c r="A124" i="42" s="1"/>
  <c r="C127" i="16"/>
  <c r="C123" i="42" s="1"/>
  <c r="B127" i="16"/>
  <c r="B123" i="42" s="1"/>
  <c r="A123" i="42" s="1"/>
  <c r="C126" i="16"/>
  <c r="C122" i="42" s="1"/>
  <c r="B126" i="16"/>
  <c r="B122" i="42" s="1"/>
  <c r="A122" i="42" s="1"/>
  <c r="C125" i="16"/>
  <c r="C121" i="42" s="1"/>
  <c r="B125" i="16"/>
  <c r="C124" i="16"/>
  <c r="B124" i="16"/>
  <c r="B120" i="42" s="1"/>
  <c r="A120" i="42" s="1"/>
  <c r="C123" i="16"/>
  <c r="B123" i="16"/>
  <c r="B119" i="42" s="1"/>
  <c r="A119" i="42" s="1"/>
  <c r="C122" i="16"/>
  <c r="C118" i="42" s="1"/>
  <c r="B122" i="16"/>
  <c r="B118" i="42" s="1"/>
  <c r="A118" i="42" s="1"/>
  <c r="C121" i="16"/>
  <c r="C117" i="42" s="1"/>
  <c r="B121" i="16"/>
  <c r="C120" i="16"/>
  <c r="C116" i="42" s="1"/>
  <c r="B120" i="16"/>
  <c r="B116" i="42" s="1"/>
  <c r="A116" i="42" s="1"/>
  <c r="C119" i="16"/>
  <c r="C115" i="42" s="1"/>
  <c r="B119" i="16"/>
  <c r="B115" i="42" s="1"/>
  <c r="A115" i="42" s="1"/>
  <c r="C118" i="16"/>
  <c r="C114" i="42" s="1"/>
  <c r="B118" i="16"/>
  <c r="B114" i="42" s="1"/>
  <c r="A114" i="42" s="1"/>
  <c r="C117" i="16"/>
  <c r="C113" i="42" s="1"/>
  <c r="B117" i="16"/>
  <c r="B113" i="42" s="1"/>
  <c r="A113" i="42" s="1"/>
  <c r="C116" i="16"/>
  <c r="C112" i="42" s="1"/>
  <c r="B116" i="16"/>
  <c r="B112" i="42" s="1"/>
  <c r="A112" i="42" s="1"/>
  <c r="C115" i="16"/>
  <c r="C111" i="42" s="1"/>
  <c r="B115" i="16"/>
  <c r="C114" i="16"/>
  <c r="B114" i="16"/>
  <c r="B110" i="42" s="1"/>
  <c r="A110" i="42" s="1"/>
  <c r="C113" i="16"/>
  <c r="B113" i="16"/>
  <c r="B109" i="42" s="1"/>
  <c r="A109" i="42" s="1"/>
  <c r="C112" i="16"/>
  <c r="C108" i="42" s="1"/>
  <c r="B112" i="16"/>
  <c r="B108" i="42" s="1"/>
  <c r="A108" i="42" s="1"/>
  <c r="C111" i="16"/>
  <c r="C107" i="42" s="1"/>
  <c r="B111" i="16"/>
  <c r="B107" i="42" s="1"/>
  <c r="A107" i="42" s="1"/>
  <c r="C110" i="16"/>
  <c r="C106" i="42" s="1"/>
  <c r="B110" i="16"/>
  <c r="B106" i="42" s="1"/>
  <c r="A106" i="42" s="1"/>
  <c r="C109" i="16"/>
  <c r="C105" i="42" s="1"/>
  <c r="B109" i="16"/>
  <c r="B105" i="42" s="1"/>
  <c r="A105" i="42" s="1"/>
  <c r="C108" i="16"/>
  <c r="C104" i="42" s="1"/>
  <c r="B108" i="16"/>
  <c r="B104" i="42" s="1"/>
  <c r="A104" i="42" s="1"/>
  <c r="C107" i="16"/>
  <c r="C103" i="42" s="1"/>
  <c r="B107" i="16"/>
  <c r="B103" i="42" s="1"/>
  <c r="A103" i="42" s="1"/>
  <c r="C106" i="16"/>
  <c r="C102" i="42" s="1"/>
  <c r="B106" i="16"/>
  <c r="B102" i="42" s="1"/>
  <c r="A102" i="42" s="1"/>
  <c r="C105" i="16"/>
  <c r="C101" i="42" s="1"/>
  <c r="B105" i="16"/>
  <c r="C104" i="16"/>
  <c r="B104" i="16"/>
  <c r="C103" i="16"/>
  <c r="B103" i="16"/>
  <c r="B99" i="42" s="1"/>
  <c r="A99" i="42" s="1"/>
  <c r="C102" i="16"/>
  <c r="C98" i="42" s="1"/>
  <c r="B102" i="16"/>
  <c r="B98" i="42" s="1"/>
  <c r="A98" i="42" s="1"/>
  <c r="C101" i="16"/>
  <c r="C97" i="42" s="1"/>
  <c r="B101" i="16"/>
  <c r="B97" i="42" s="1"/>
  <c r="A97" i="42" s="1"/>
  <c r="C100" i="16"/>
  <c r="B100" i="16"/>
  <c r="B96" i="42" s="1"/>
  <c r="A96" i="42" s="1"/>
  <c r="C99" i="16"/>
  <c r="C95" i="42" s="1"/>
  <c r="B99" i="16"/>
  <c r="B95" i="42" s="1"/>
  <c r="A95" i="42" s="1"/>
  <c r="C98" i="16"/>
  <c r="C94" i="42" s="1"/>
  <c r="B98" i="16"/>
  <c r="B94" i="42" s="1"/>
  <c r="A94" i="42" s="1"/>
  <c r="C97" i="16"/>
  <c r="C93" i="42" s="1"/>
  <c r="B97" i="16"/>
  <c r="B93" i="42" s="1"/>
  <c r="A93" i="42" s="1"/>
  <c r="C96" i="16"/>
  <c r="C92" i="42" s="1"/>
  <c r="B96" i="16"/>
  <c r="B92" i="42" s="1"/>
  <c r="A92" i="42" s="1"/>
  <c r="C95" i="16"/>
  <c r="C91" i="42" s="1"/>
  <c r="B95" i="16"/>
  <c r="C94" i="16"/>
  <c r="B94" i="16"/>
  <c r="C93" i="16"/>
  <c r="B93" i="16"/>
  <c r="B89" i="42" s="1"/>
  <c r="A89" i="42" s="1"/>
  <c r="C92" i="16"/>
  <c r="C88" i="42" s="1"/>
  <c r="B92" i="16"/>
  <c r="B88" i="42" s="1"/>
  <c r="A88" i="42" s="1"/>
  <c r="C91" i="16"/>
  <c r="C87" i="42" s="1"/>
  <c r="B91" i="16"/>
  <c r="C90" i="16"/>
  <c r="C86" i="42" s="1"/>
  <c r="B90" i="16"/>
  <c r="B86" i="42" s="1"/>
  <c r="A86" i="42" s="1"/>
  <c r="C89" i="16"/>
  <c r="C85" i="42" s="1"/>
  <c r="B89" i="16"/>
  <c r="B85" i="42" s="1"/>
  <c r="A85" i="42" s="1"/>
  <c r="C88" i="16"/>
  <c r="C84" i="42" s="1"/>
  <c r="B88" i="16"/>
  <c r="B84" i="42" s="1"/>
  <c r="A84" i="42" s="1"/>
  <c r="C87" i="16"/>
  <c r="C83" i="42" s="1"/>
  <c r="B87" i="16"/>
  <c r="B83" i="42" s="1"/>
  <c r="A83" i="42" s="1"/>
  <c r="C86" i="16"/>
  <c r="C82" i="42" s="1"/>
  <c r="B86" i="16"/>
  <c r="B82" i="42" s="1"/>
  <c r="A82" i="42" s="1"/>
  <c r="C85" i="16"/>
  <c r="C81" i="42" s="1"/>
  <c r="B85" i="16"/>
  <c r="C84" i="16"/>
  <c r="B84" i="16"/>
  <c r="B80" i="42" s="1"/>
  <c r="A80" i="42" s="1"/>
  <c r="C83" i="16"/>
  <c r="B83" i="16"/>
  <c r="B79" i="42" s="1"/>
  <c r="A79" i="42" s="1"/>
  <c r="C82" i="16"/>
  <c r="C78" i="42" s="1"/>
  <c r="B82" i="16"/>
  <c r="B78" i="42" s="1"/>
  <c r="A78" i="42" s="1"/>
  <c r="C81" i="16"/>
  <c r="C77" i="42" s="1"/>
  <c r="B81" i="16"/>
  <c r="C80" i="16"/>
  <c r="C76" i="42" s="1"/>
  <c r="B80" i="16"/>
  <c r="B76" i="42" s="1"/>
  <c r="A76" i="42" s="1"/>
  <c r="C79" i="16"/>
  <c r="C75" i="42" s="1"/>
  <c r="B79" i="16"/>
  <c r="B75" i="42" s="1"/>
  <c r="A75" i="42" s="1"/>
  <c r="C78" i="16"/>
  <c r="C74" i="42" s="1"/>
  <c r="B78" i="16"/>
  <c r="B74" i="42" s="1"/>
  <c r="A74" i="42" s="1"/>
  <c r="C77" i="16"/>
  <c r="C73" i="42" s="1"/>
  <c r="B77" i="16"/>
  <c r="B73" i="42" s="1"/>
  <c r="A73" i="42" s="1"/>
  <c r="C76" i="16"/>
  <c r="C72" i="42" s="1"/>
  <c r="B76" i="16"/>
  <c r="B72" i="42" s="1"/>
  <c r="A72" i="42" s="1"/>
  <c r="C75" i="16"/>
  <c r="C71" i="42" s="1"/>
  <c r="B75" i="16"/>
  <c r="C74" i="16"/>
  <c r="B74" i="16"/>
  <c r="B70" i="42" s="1"/>
  <c r="A70" i="42" s="1"/>
  <c r="C73" i="16"/>
  <c r="B73" i="16"/>
  <c r="B69" i="42" s="1"/>
  <c r="A69" i="42" s="1"/>
  <c r="C72" i="16"/>
  <c r="C68" i="42" s="1"/>
  <c r="B72" i="16"/>
  <c r="B68" i="42" s="1"/>
  <c r="A68" i="42" s="1"/>
  <c r="C71" i="16"/>
  <c r="C67" i="42" s="1"/>
  <c r="B71" i="16"/>
  <c r="B67" i="42" s="1"/>
  <c r="A67" i="42" s="1"/>
  <c r="C70" i="16"/>
  <c r="C66" i="42" s="1"/>
  <c r="B70" i="16"/>
  <c r="B66" i="42" s="1"/>
  <c r="A66" i="42" s="1"/>
  <c r="C69" i="16"/>
  <c r="C65" i="42" s="1"/>
  <c r="B69" i="16"/>
  <c r="B65" i="42" s="1"/>
  <c r="A65" i="42" s="1"/>
  <c r="C68" i="16"/>
  <c r="C64" i="42" s="1"/>
  <c r="B68" i="16"/>
  <c r="B64" i="42" s="1"/>
  <c r="A64" i="42" s="1"/>
  <c r="C67" i="16"/>
  <c r="C63" i="42" s="1"/>
  <c r="B67" i="16"/>
  <c r="B63" i="42" s="1"/>
  <c r="A63" i="42" s="1"/>
  <c r="C66" i="16"/>
  <c r="C62" i="42" s="1"/>
  <c r="B66" i="16"/>
  <c r="B62" i="42" s="1"/>
  <c r="A62" i="42" s="1"/>
  <c r="C65" i="16"/>
  <c r="C61" i="42" s="1"/>
  <c r="B65" i="16"/>
  <c r="C64" i="16"/>
  <c r="B64" i="16"/>
  <c r="C63" i="16"/>
  <c r="B63" i="16"/>
  <c r="B59" i="42" s="1"/>
  <c r="A59" i="42" s="1"/>
  <c r="C62" i="16"/>
  <c r="C58" i="42" s="1"/>
  <c r="B62" i="16"/>
  <c r="B58" i="42" s="1"/>
  <c r="A58" i="42" s="1"/>
  <c r="C61" i="16"/>
  <c r="C57" i="42" s="1"/>
  <c r="B61" i="16"/>
  <c r="B57" i="42" s="1"/>
  <c r="A57" i="42" s="1"/>
  <c r="C60" i="16"/>
  <c r="C56" i="42" s="1"/>
  <c r="B60" i="16"/>
  <c r="B56" i="42" s="1"/>
  <c r="A56" i="42" s="1"/>
  <c r="C59" i="16"/>
  <c r="C55" i="42" s="1"/>
  <c r="B59" i="16"/>
  <c r="B55" i="42" s="1"/>
  <c r="A55" i="42" s="1"/>
  <c r="C58" i="16"/>
  <c r="C54" i="42" s="1"/>
  <c r="B58" i="16"/>
  <c r="B54" i="42" s="1"/>
  <c r="A54" i="42" s="1"/>
  <c r="C57" i="16"/>
  <c r="C53" i="42" s="1"/>
  <c r="B57" i="16"/>
  <c r="B53" i="42" s="1"/>
  <c r="A53" i="42" s="1"/>
  <c r="C56" i="16"/>
  <c r="C52" i="42" s="1"/>
  <c r="B56" i="16"/>
  <c r="B52" i="42" s="1"/>
  <c r="A52" i="42" s="1"/>
  <c r="C55" i="16"/>
  <c r="C51" i="42" s="1"/>
  <c r="B55" i="16"/>
  <c r="C54" i="16"/>
  <c r="B54" i="16"/>
  <c r="B50" i="42" s="1"/>
  <c r="A50" i="42" s="1"/>
  <c r="C53" i="16"/>
  <c r="B53" i="16"/>
  <c r="C52" i="16"/>
  <c r="C48" i="42" s="1"/>
  <c r="B52" i="16"/>
  <c r="B48" i="42" s="1"/>
  <c r="A48" i="42" s="1"/>
  <c r="C51" i="16"/>
  <c r="C47" i="42" s="1"/>
  <c r="B51" i="16"/>
  <c r="C50" i="16"/>
  <c r="C46" i="42" s="1"/>
  <c r="B50" i="16"/>
  <c r="B46" i="42" s="1"/>
  <c r="A46" i="42" s="1"/>
  <c r="C49" i="16"/>
  <c r="C45" i="42" s="1"/>
  <c r="B49" i="16"/>
  <c r="B45" i="42" s="1"/>
  <c r="A45" i="42" s="1"/>
  <c r="C48" i="16"/>
  <c r="C44" i="42" s="1"/>
  <c r="B48" i="16"/>
  <c r="B44" i="42" s="1"/>
  <c r="A44" i="42" s="1"/>
  <c r="C47" i="16"/>
  <c r="C43" i="42" s="1"/>
  <c r="B47" i="16"/>
  <c r="B43" i="42" s="1"/>
  <c r="A43" i="42" s="1"/>
  <c r="C46" i="16"/>
  <c r="C42" i="42" s="1"/>
  <c r="B46" i="16"/>
  <c r="B42" i="42" s="1"/>
  <c r="A42" i="42" s="1"/>
  <c r="C45" i="16"/>
  <c r="C41" i="42" s="1"/>
  <c r="B45" i="16"/>
  <c r="C44" i="16"/>
  <c r="B44" i="16"/>
  <c r="B40" i="42" s="1"/>
  <c r="A40" i="42" s="1"/>
  <c r="C43" i="16"/>
  <c r="B43" i="16"/>
  <c r="B39" i="42" s="1"/>
  <c r="A39" i="42" s="1"/>
  <c r="C42" i="16"/>
  <c r="C38" i="42" s="1"/>
  <c r="B42" i="16"/>
  <c r="B38" i="42" s="1"/>
  <c r="A38" i="42" s="1"/>
  <c r="C41" i="16"/>
  <c r="C37" i="42" s="1"/>
  <c r="B41" i="16"/>
  <c r="B37" i="42" s="1"/>
  <c r="A37" i="42" s="1"/>
  <c r="C40" i="16"/>
  <c r="C36" i="42" s="1"/>
  <c r="B40" i="16"/>
  <c r="B36" i="42" s="1"/>
  <c r="A36" i="42" s="1"/>
  <c r="C39" i="16"/>
  <c r="C35" i="42" s="1"/>
  <c r="B39" i="16"/>
  <c r="B35" i="42" s="1"/>
  <c r="A35" i="42" s="1"/>
  <c r="C38" i="16"/>
  <c r="C34" i="42" s="1"/>
  <c r="B38" i="16"/>
  <c r="B34" i="42" s="1"/>
  <c r="A34" i="42" s="1"/>
  <c r="C37" i="16"/>
  <c r="C33" i="42" s="1"/>
  <c r="B37" i="16"/>
  <c r="B33" i="42" s="1"/>
  <c r="A33" i="42" s="1"/>
  <c r="C36" i="16"/>
  <c r="C32" i="42" s="1"/>
  <c r="B36" i="16"/>
  <c r="B32" i="42" s="1"/>
  <c r="A32" i="42" s="1"/>
  <c r="C35" i="16"/>
  <c r="C31" i="42" s="1"/>
  <c r="B35" i="16"/>
  <c r="C34" i="16"/>
  <c r="B34" i="16"/>
  <c r="C33" i="16"/>
  <c r="B33" i="16"/>
  <c r="B29" i="42" s="1"/>
  <c r="A29" i="42" s="1"/>
  <c r="C32" i="16"/>
  <c r="C28" i="42" s="1"/>
  <c r="B32" i="16"/>
  <c r="B28" i="42" s="1"/>
  <c r="A28" i="42" s="1"/>
  <c r="C31" i="16"/>
  <c r="C27" i="42" s="1"/>
  <c r="B31" i="16"/>
  <c r="C30" i="16"/>
  <c r="C26" i="42" s="1"/>
  <c r="B30" i="16"/>
  <c r="B26" i="42" s="1"/>
  <c r="A26" i="42" s="1"/>
  <c r="C29" i="16"/>
  <c r="C25" i="42" s="1"/>
  <c r="B29" i="16"/>
  <c r="B25" i="42" s="1"/>
  <c r="A25" i="42" s="1"/>
  <c r="C28" i="16"/>
  <c r="C24" i="42" s="1"/>
  <c r="B28" i="16"/>
  <c r="B24" i="42" s="1"/>
  <c r="A24" i="42" s="1"/>
  <c r="C27" i="16"/>
  <c r="C23" i="42" s="1"/>
  <c r="B27" i="16"/>
  <c r="B23" i="42" s="1"/>
  <c r="A23" i="42" s="1"/>
  <c r="C26" i="16"/>
  <c r="C22" i="42" s="1"/>
  <c r="B26" i="16"/>
  <c r="B22" i="42" s="1"/>
  <c r="A22" i="42" s="1"/>
  <c r="C25" i="16"/>
  <c r="C21" i="42" s="1"/>
  <c r="B25" i="16"/>
  <c r="C24" i="16"/>
  <c r="B24" i="16"/>
  <c r="B20" i="42" s="1"/>
  <c r="A20" i="42" s="1"/>
  <c r="C23" i="16"/>
  <c r="B23" i="16"/>
  <c r="B19" i="42" s="1"/>
  <c r="A19" i="42" s="1"/>
  <c r="C22" i="16"/>
  <c r="C18" i="42" s="1"/>
  <c r="B22" i="16"/>
  <c r="B18" i="42" s="1"/>
  <c r="A18" i="42" s="1"/>
  <c r="C21" i="16"/>
  <c r="C17" i="42" s="1"/>
  <c r="B21" i="16"/>
  <c r="B17" i="42" s="1"/>
  <c r="A17" i="42" s="1"/>
  <c r="C20" i="16"/>
  <c r="C16" i="42" s="1"/>
  <c r="B20" i="16"/>
  <c r="B16" i="42" s="1"/>
  <c r="A16" i="42" s="1"/>
  <c r="C19" i="16"/>
  <c r="C15" i="42" s="1"/>
  <c r="B19" i="16"/>
  <c r="B15" i="42" s="1"/>
  <c r="A15" i="42" s="1"/>
  <c r="C18" i="16"/>
  <c r="C14" i="42" s="1"/>
  <c r="B18" i="16"/>
  <c r="B14" i="42" s="1"/>
  <c r="A14" i="42" s="1"/>
  <c r="C17" i="16"/>
  <c r="C13" i="42" s="1"/>
  <c r="B17" i="16"/>
  <c r="B13" i="42" s="1"/>
  <c r="A13" i="42" s="1"/>
  <c r="C16" i="16"/>
  <c r="C12" i="42" s="1"/>
  <c r="B16" i="16"/>
  <c r="B12" i="42" s="1"/>
  <c r="A12" i="42" s="1"/>
  <c r="C15" i="16"/>
  <c r="C11" i="42" s="1"/>
  <c r="B15" i="16"/>
  <c r="C14" i="16"/>
  <c r="B14" i="16"/>
  <c r="B10" i="42" s="1"/>
  <c r="A10" i="42" s="1"/>
  <c r="C13" i="16"/>
  <c r="B13" i="16"/>
  <c r="B9" i="42" s="1"/>
  <c r="A9" i="42" s="1"/>
  <c r="C12" i="16"/>
  <c r="C8" i="42" s="1"/>
  <c r="B12" i="16"/>
  <c r="B8" i="42" s="1"/>
  <c r="A8" i="42" s="1"/>
  <c r="C11" i="16"/>
  <c r="B11" i="16"/>
  <c r="B7" i="42" s="1"/>
  <c r="A7" i="42" s="1"/>
  <c r="C10" i="16"/>
  <c r="C6" i="42" s="1"/>
  <c r="B10" i="16"/>
  <c r="B6" i="42" s="1"/>
  <c r="A6" i="42" s="1"/>
  <c r="C9" i="16"/>
  <c r="C5" i="42" s="1"/>
  <c r="B9" i="16"/>
  <c r="B5" i="42" s="1"/>
  <c r="A5" i="42" s="1"/>
  <c r="C8" i="16"/>
  <c r="C4" i="42" s="1"/>
  <c r="B8" i="16"/>
  <c r="B4" i="42" s="1"/>
  <c r="A4" i="42" s="1"/>
  <c r="C7" i="16"/>
  <c r="C3" i="42" s="1"/>
  <c r="B7" i="16"/>
  <c r="B3" i="42" s="1"/>
  <c r="A3" i="42" s="1"/>
  <c r="G6" i="16"/>
  <c r="S4" i="16"/>
  <c r="I1" i="16"/>
  <c r="B1" i="16"/>
  <c r="U6" i="16" s="1"/>
  <c r="J56" i="29"/>
  <c r="E49" i="29"/>
  <c r="E48" i="29"/>
  <c r="E47" i="29"/>
  <c r="E46" i="29"/>
  <c r="E45" i="29"/>
  <c r="E44" i="29"/>
  <c r="E43" i="29"/>
  <c r="E42" i="29"/>
  <c r="E41" i="29"/>
  <c r="E40" i="29"/>
  <c r="E39" i="29"/>
  <c r="E38" i="29"/>
  <c r="I37" i="29"/>
  <c r="H37" i="29"/>
  <c r="F37" i="29"/>
  <c r="E32" i="29"/>
  <c r="F31" i="29"/>
  <c r="E13" i="29" s="1"/>
  <c r="F49" i="29" s="1"/>
  <c r="N12" i="29"/>
  <c r="BR4" i="31" s="1"/>
  <c r="F30" i="29"/>
  <c r="E12" i="29" s="1"/>
  <c r="F48" i="29" s="1"/>
  <c r="F29" i="29"/>
  <c r="E11" i="29" s="1"/>
  <c r="F47" i="29" s="1"/>
  <c r="N10" i="29"/>
  <c r="BF4" i="31" s="1"/>
  <c r="F28" i="29"/>
  <c r="E10" i="29" s="1"/>
  <c r="F46" i="29" s="1"/>
  <c r="F27" i="29"/>
  <c r="E9" i="29" s="1"/>
  <c r="F45" i="29" s="1"/>
  <c r="N8" i="29"/>
  <c r="AT4" i="31" s="1"/>
  <c r="F26" i="29"/>
  <c r="E8" i="29" s="1"/>
  <c r="F44" i="29" s="1"/>
  <c r="N7" i="29"/>
  <c r="AN4" i="31" s="1"/>
  <c r="F25" i="29"/>
  <c r="E7" i="29" s="1"/>
  <c r="F43" i="29" s="1"/>
  <c r="AH4" i="31"/>
  <c r="F24" i="29"/>
  <c r="E6" i="29" s="1"/>
  <c r="F42" i="29" s="1"/>
  <c r="N5" i="29"/>
  <c r="AB4" i="31" s="1"/>
  <c r="F23" i="29"/>
  <c r="E5" i="29" s="1"/>
  <c r="F41" i="29" s="1"/>
  <c r="AA22" i="29"/>
  <c r="N4" i="29"/>
  <c r="V4" i="31" s="1"/>
  <c r="F22" i="29"/>
  <c r="E4" i="29" s="1"/>
  <c r="F40" i="29" s="1"/>
  <c r="F21" i="29"/>
  <c r="E3" i="29" s="1"/>
  <c r="F39" i="29" s="1"/>
  <c r="F20" i="29"/>
  <c r="E2" i="29" s="1"/>
  <c r="B15" i="29"/>
  <c r="R14" i="29"/>
  <c r="R13" i="29"/>
  <c r="R12" i="29"/>
  <c r="R11" i="29"/>
  <c r="R10" i="29"/>
  <c r="R9" i="29"/>
  <c r="R8" i="29"/>
  <c r="R7" i="29"/>
  <c r="R6" i="29"/>
  <c r="R5" i="29"/>
  <c r="R4" i="29"/>
  <c r="R3" i="29"/>
  <c r="N3" i="29"/>
  <c r="P4" i="31" s="1"/>
  <c r="R2" i="29"/>
  <c r="BY295" i="31"/>
  <c r="BY286" i="31"/>
  <c r="BY277" i="31"/>
  <c r="BY264" i="31"/>
  <c r="H6" i="31"/>
  <c r="A6" i="31"/>
  <c r="F4" i="31"/>
  <c r="F63" i="31" s="1"/>
  <c r="B2" i="31"/>
  <c r="C27" i="15"/>
  <c r="C26" i="15"/>
  <c r="C25" i="15"/>
  <c r="I24" i="15"/>
  <c r="K24" i="15" s="1"/>
  <c r="C24" i="15"/>
  <c r="K23" i="15"/>
  <c r="I23" i="15"/>
  <c r="C23" i="15"/>
  <c r="C22" i="15"/>
  <c r="L21" i="15"/>
  <c r="I26" i="15" s="1"/>
  <c r="K26" i="15" s="1"/>
  <c r="K21" i="15"/>
  <c r="I25" i="15" s="1"/>
  <c r="K25" i="15" s="1"/>
  <c r="J21" i="15"/>
  <c r="I21" i="15"/>
  <c r="C21" i="15"/>
  <c r="C20" i="15"/>
  <c r="C19" i="15"/>
  <c r="C18" i="15"/>
  <c r="C17" i="15"/>
  <c r="C16" i="15"/>
  <c r="C13" i="15"/>
  <c r="D12" i="15"/>
  <c r="D23" i="15" s="1"/>
  <c r="AA49" i="41" s="1"/>
  <c r="AA348" i="41" s="1"/>
  <c r="D1" i="15"/>
  <c r="A1" i="15"/>
  <c r="M355" i="25"/>
  <c r="D354" i="25"/>
  <c r="E354" i="25" s="1"/>
  <c r="A2" i="29" s="1"/>
  <c r="E352" i="25"/>
  <c r="R350" i="49" s="1"/>
  <c r="E351" i="25"/>
  <c r="R349" i="49" s="1"/>
  <c r="E350" i="25"/>
  <c r="R348" i="49" s="1"/>
  <c r="E349" i="25"/>
  <c r="R347" i="49" s="1"/>
  <c r="E348" i="25"/>
  <c r="R346" i="49" s="1"/>
  <c r="E347" i="25"/>
  <c r="R345" i="49" s="1"/>
  <c r="E346" i="25"/>
  <c r="R344" i="49" s="1"/>
  <c r="E345" i="25"/>
  <c r="R343" i="49" s="1"/>
  <c r="E344" i="25"/>
  <c r="R342" i="49" s="1"/>
  <c r="E343" i="25"/>
  <c r="R341" i="49" s="1"/>
  <c r="E342" i="25"/>
  <c r="R340" i="49" s="1"/>
  <c r="E341" i="25"/>
  <c r="R339" i="49" s="1"/>
  <c r="E340" i="25"/>
  <c r="R338" i="49" s="1"/>
  <c r="E339" i="25"/>
  <c r="R337" i="49" s="1"/>
  <c r="E338" i="25"/>
  <c r="R336" i="49" s="1"/>
  <c r="E337" i="25"/>
  <c r="R335" i="49" s="1"/>
  <c r="E336" i="25"/>
  <c r="R334" i="49" s="1"/>
  <c r="E335" i="25"/>
  <c r="R333" i="49" s="1"/>
  <c r="E334" i="25"/>
  <c r="R332" i="49" s="1"/>
  <c r="E333" i="25"/>
  <c r="R331" i="49" s="1"/>
  <c r="E332" i="25"/>
  <c r="R330" i="49" s="1"/>
  <c r="E331" i="25"/>
  <c r="R329" i="49" s="1"/>
  <c r="E330" i="25"/>
  <c r="R328" i="49" s="1"/>
  <c r="E329" i="25"/>
  <c r="R327" i="49" s="1"/>
  <c r="E328" i="25"/>
  <c r="R326" i="49" s="1"/>
  <c r="E327" i="25"/>
  <c r="R325" i="49" s="1"/>
  <c r="E326" i="25"/>
  <c r="R324" i="49" s="1"/>
  <c r="E325" i="25"/>
  <c r="R323" i="49" s="1"/>
  <c r="E324" i="25"/>
  <c r="R322" i="49" s="1"/>
  <c r="E323" i="25"/>
  <c r="R321" i="49" s="1"/>
  <c r="E322" i="25"/>
  <c r="R320" i="49" s="1"/>
  <c r="E321" i="25"/>
  <c r="R319" i="49" s="1"/>
  <c r="E320" i="25"/>
  <c r="R318" i="49" s="1"/>
  <c r="E319" i="25"/>
  <c r="R317" i="49" s="1"/>
  <c r="E318" i="25"/>
  <c r="R316" i="49" s="1"/>
  <c r="E317" i="25"/>
  <c r="R315" i="49" s="1"/>
  <c r="E316" i="25"/>
  <c r="R314" i="49" s="1"/>
  <c r="E315" i="25"/>
  <c r="R313" i="49" s="1"/>
  <c r="E314" i="25"/>
  <c r="R312" i="49" s="1"/>
  <c r="E313" i="25"/>
  <c r="R311" i="49" s="1"/>
  <c r="E312" i="25"/>
  <c r="R310" i="49" s="1"/>
  <c r="E311" i="25"/>
  <c r="R309" i="49" s="1"/>
  <c r="E310" i="25"/>
  <c r="R308" i="49" s="1"/>
  <c r="E309" i="25"/>
  <c r="R307" i="49" s="1"/>
  <c r="E308" i="25"/>
  <c r="R306" i="49" s="1"/>
  <c r="E307" i="25"/>
  <c r="R305" i="49" s="1"/>
  <c r="E306" i="25"/>
  <c r="R304" i="49" s="1"/>
  <c r="E305" i="25"/>
  <c r="R303" i="49" s="1"/>
  <c r="E304" i="25"/>
  <c r="R302" i="49" s="1"/>
  <c r="E303" i="25"/>
  <c r="R301" i="49" s="1"/>
  <c r="E302" i="25"/>
  <c r="R300" i="49" s="1"/>
  <c r="E301" i="25"/>
  <c r="R299" i="49" s="1"/>
  <c r="E300" i="25"/>
  <c r="R298" i="49" s="1"/>
  <c r="E299" i="25"/>
  <c r="R297" i="49" s="1"/>
  <c r="E298" i="25"/>
  <c r="R296" i="49" s="1"/>
  <c r="E297" i="25"/>
  <c r="R295" i="49" s="1"/>
  <c r="E296" i="25"/>
  <c r="R294" i="49" s="1"/>
  <c r="E295" i="25"/>
  <c r="R293" i="49" s="1"/>
  <c r="E294" i="25"/>
  <c r="R292" i="49" s="1"/>
  <c r="E293" i="25"/>
  <c r="R291" i="49" s="1"/>
  <c r="E292" i="25"/>
  <c r="R290" i="49" s="1"/>
  <c r="E291" i="25"/>
  <c r="R289" i="49" s="1"/>
  <c r="E290" i="25"/>
  <c r="R288" i="49" s="1"/>
  <c r="E289" i="25"/>
  <c r="R287" i="49" s="1"/>
  <c r="E288" i="25"/>
  <c r="R286" i="49" s="1"/>
  <c r="E287" i="25"/>
  <c r="R285" i="49" s="1"/>
  <c r="E286" i="25"/>
  <c r="R284" i="49" s="1"/>
  <c r="E285" i="25"/>
  <c r="R283" i="49" s="1"/>
  <c r="E284" i="25"/>
  <c r="R282" i="49" s="1"/>
  <c r="E283" i="25"/>
  <c r="R281" i="49" s="1"/>
  <c r="E282" i="25"/>
  <c r="R280" i="49" s="1"/>
  <c r="E281" i="25"/>
  <c r="R279" i="49" s="1"/>
  <c r="E280" i="25"/>
  <c r="R278" i="49" s="1"/>
  <c r="E279" i="25"/>
  <c r="R277" i="49" s="1"/>
  <c r="E278" i="25"/>
  <c r="R276" i="49" s="1"/>
  <c r="E277" i="25"/>
  <c r="R275" i="49" s="1"/>
  <c r="E276" i="25"/>
  <c r="R274" i="49" s="1"/>
  <c r="E275" i="25"/>
  <c r="R273" i="49" s="1"/>
  <c r="E274" i="25"/>
  <c r="R272" i="49" s="1"/>
  <c r="E273" i="25"/>
  <c r="R271" i="49" s="1"/>
  <c r="E272" i="25"/>
  <c r="R270" i="49" s="1"/>
  <c r="E271" i="25"/>
  <c r="R269" i="49" s="1"/>
  <c r="E270" i="25"/>
  <c r="R268" i="49" s="1"/>
  <c r="E269" i="25"/>
  <c r="R267" i="49" s="1"/>
  <c r="E268" i="25"/>
  <c r="R266" i="49" s="1"/>
  <c r="E267" i="25"/>
  <c r="R265" i="49" s="1"/>
  <c r="E266" i="25"/>
  <c r="R264" i="49" s="1"/>
  <c r="E265" i="25"/>
  <c r="R263" i="49" s="1"/>
  <c r="E264" i="25"/>
  <c r="R262" i="49" s="1"/>
  <c r="E263" i="25"/>
  <c r="R261" i="49" s="1"/>
  <c r="E262" i="25"/>
  <c r="R260" i="49" s="1"/>
  <c r="E261" i="25"/>
  <c r="R259" i="49" s="1"/>
  <c r="E260" i="25"/>
  <c r="R258" i="49" s="1"/>
  <c r="E259" i="25"/>
  <c r="R257" i="49" s="1"/>
  <c r="E258" i="25"/>
  <c r="R256" i="49" s="1"/>
  <c r="E257" i="25"/>
  <c r="R255" i="49" s="1"/>
  <c r="E256" i="25"/>
  <c r="R254" i="49" s="1"/>
  <c r="E255" i="25"/>
  <c r="R253" i="49" s="1"/>
  <c r="E254" i="25"/>
  <c r="R252" i="49" s="1"/>
  <c r="E253" i="25"/>
  <c r="R251" i="49" s="1"/>
  <c r="E252" i="25"/>
  <c r="R250" i="49" s="1"/>
  <c r="E251" i="25"/>
  <c r="R249" i="49" s="1"/>
  <c r="E250" i="25"/>
  <c r="R248" i="49" s="1"/>
  <c r="E249" i="25"/>
  <c r="R247" i="49" s="1"/>
  <c r="E248" i="25"/>
  <c r="R246" i="49" s="1"/>
  <c r="E247" i="25"/>
  <c r="R245" i="49" s="1"/>
  <c r="E246" i="25"/>
  <c r="R244" i="49" s="1"/>
  <c r="E245" i="25"/>
  <c r="R243" i="49" s="1"/>
  <c r="E244" i="25"/>
  <c r="R242" i="49" s="1"/>
  <c r="E243" i="25"/>
  <c r="R241" i="49" s="1"/>
  <c r="E242" i="25"/>
  <c r="R240" i="49" s="1"/>
  <c r="E241" i="25"/>
  <c r="R239" i="49" s="1"/>
  <c r="E240" i="25"/>
  <c r="R238" i="49" s="1"/>
  <c r="E239" i="25"/>
  <c r="R237" i="49" s="1"/>
  <c r="E238" i="25"/>
  <c r="R236" i="49" s="1"/>
  <c r="E237" i="25"/>
  <c r="R235" i="49" s="1"/>
  <c r="E236" i="25"/>
  <c r="R234" i="49" s="1"/>
  <c r="E235" i="25"/>
  <c r="R233" i="49" s="1"/>
  <c r="E234" i="25"/>
  <c r="R232" i="49" s="1"/>
  <c r="E233" i="25"/>
  <c r="R231" i="49" s="1"/>
  <c r="E232" i="25"/>
  <c r="R230" i="49" s="1"/>
  <c r="E231" i="25"/>
  <c r="R229" i="49" s="1"/>
  <c r="E230" i="25"/>
  <c r="R228" i="49" s="1"/>
  <c r="E229" i="25"/>
  <c r="R227" i="49" s="1"/>
  <c r="E228" i="25"/>
  <c r="R226" i="49" s="1"/>
  <c r="E227" i="25"/>
  <c r="R225" i="49" s="1"/>
  <c r="E226" i="25"/>
  <c r="R224" i="49" s="1"/>
  <c r="E225" i="25"/>
  <c r="R223" i="49" s="1"/>
  <c r="E224" i="25"/>
  <c r="R222" i="49" s="1"/>
  <c r="E223" i="25"/>
  <c r="R221" i="49" s="1"/>
  <c r="E222" i="25"/>
  <c r="R220" i="49" s="1"/>
  <c r="E221" i="25"/>
  <c r="R219" i="49" s="1"/>
  <c r="E220" i="25"/>
  <c r="R218" i="49" s="1"/>
  <c r="E219" i="25"/>
  <c r="R217" i="49" s="1"/>
  <c r="E218" i="25"/>
  <c r="R216" i="49" s="1"/>
  <c r="E217" i="25"/>
  <c r="R215" i="49" s="1"/>
  <c r="E216" i="25"/>
  <c r="R214" i="49" s="1"/>
  <c r="E215" i="25"/>
  <c r="R213" i="49" s="1"/>
  <c r="E214" i="25"/>
  <c r="R212" i="49" s="1"/>
  <c r="E213" i="25"/>
  <c r="R211" i="49" s="1"/>
  <c r="E212" i="25"/>
  <c r="R210" i="49" s="1"/>
  <c r="E211" i="25"/>
  <c r="R209" i="49" s="1"/>
  <c r="E210" i="25"/>
  <c r="R208" i="49" s="1"/>
  <c r="E209" i="25"/>
  <c r="R207" i="49" s="1"/>
  <c r="E208" i="25"/>
  <c r="R206" i="49" s="1"/>
  <c r="E207" i="25"/>
  <c r="R205" i="49" s="1"/>
  <c r="E206" i="25"/>
  <c r="R204" i="49" s="1"/>
  <c r="E205" i="25"/>
  <c r="R203" i="49" s="1"/>
  <c r="E204" i="25"/>
  <c r="R202" i="49" s="1"/>
  <c r="E203" i="25"/>
  <c r="R201" i="49" s="1"/>
  <c r="E202" i="25"/>
  <c r="R200" i="49" s="1"/>
  <c r="E201" i="25"/>
  <c r="R199" i="49" s="1"/>
  <c r="E200" i="25"/>
  <c r="R198" i="49" s="1"/>
  <c r="E199" i="25"/>
  <c r="R197" i="49" s="1"/>
  <c r="E198" i="25"/>
  <c r="R196" i="49" s="1"/>
  <c r="E197" i="25"/>
  <c r="R195" i="49" s="1"/>
  <c r="E196" i="25"/>
  <c r="R194" i="49" s="1"/>
  <c r="E195" i="25"/>
  <c r="R193" i="49" s="1"/>
  <c r="E194" i="25"/>
  <c r="R192" i="49" s="1"/>
  <c r="E193" i="25"/>
  <c r="R191" i="49" s="1"/>
  <c r="E192" i="25"/>
  <c r="R190" i="49" s="1"/>
  <c r="E191" i="25"/>
  <c r="R189" i="49" s="1"/>
  <c r="E190" i="25"/>
  <c r="R188" i="49" s="1"/>
  <c r="E189" i="25"/>
  <c r="R187" i="49" s="1"/>
  <c r="E188" i="25"/>
  <c r="R186" i="49" s="1"/>
  <c r="E187" i="25"/>
  <c r="R185" i="49" s="1"/>
  <c r="E186" i="25"/>
  <c r="R184" i="49" s="1"/>
  <c r="E185" i="25"/>
  <c r="R183" i="49" s="1"/>
  <c r="E184" i="25"/>
  <c r="R182" i="49" s="1"/>
  <c r="E183" i="25"/>
  <c r="R181" i="49" s="1"/>
  <c r="E182" i="25"/>
  <c r="R180" i="49" s="1"/>
  <c r="E181" i="25"/>
  <c r="R179" i="49" s="1"/>
  <c r="E180" i="25"/>
  <c r="R178" i="49" s="1"/>
  <c r="E179" i="25"/>
  <c r="R177" i="49" s="1"/>
  <c r="E178" i="25"/>
  <c r="R176" i="49" s="1"/>
  <c r="E177" i="25"/>
  <c r="R175" i="49" s="1"/>
  <c r="E176" i="25"/>
  <c r="R174" i="49" s="1"/>
  <c r="E175" i="25"/>
  <c r="R173" i="49" s="1"/>
  <c r="E174" i="25"/>
  <c r="R172" i="49" s="1"/>
  <c r="E173" i="25"/>
  <c r="R171" i="49" s="1"/>
  <c r="E172" i="25"/>
  <c r="R170" i="49" s="1"/>
  <c r="E171" i="25"/>
  <c r="R169" i="49" s="1"/>
  <c r="E170" i="25"/>
  <c r="R168" i="49" s="1"/>
  <c r="E169" i="25"/>
  <c r="R167" i="49" s="1"/>
  <c r="E168" i="25"/>
  <c r="R166" i="49" s="1"/>
  <c r="E167" i="25"/>
  <c r="R165" i="49" s="1"/>
  <c r="E166" i="25"/>
  <c r="R164" i="49" s="1"/>
  <c r="E165" i="25"/>
  <c r="R163" i="49" s="1"/>
  <c r="E164" i="25"/>
  <c r="R162" i="49" s="1"/>
  <c r="E163" i="25"/>
  <c r="R161" i="49" s="1"/>
  <c r="E162" i="25"/>
  <c r="R160" i="49" s="1"/>
  <c r="E161" i="25"/>
  <c r="R159" i="49" s="1"/>
  <c r="E160" i="25"/>
  <c r="R158" i="49" s="1"/>
  <c r="E159" i="25"/>
  <c r="R157" i="49" s="1"/>
  <c r="E158" i="25"/>
  <c r="R156" i="49" s="1"/>
  <c r="E157" i="25"/>
  <c r="R155" i="49" s="1"/>
  <c r="E156" i="25"/>
  <c r="R154" i="49" s="1"/>
  <c r="E155" i="25"/>
  <c r="R153" i="49" s="1"/>
  <c r="E154" i="25"/>
  <c r="R152" i="49" s="1"/>
  <c r="E153" i="25"/>
  <c r="R151" i="49" s="1"/>
  <c r="E152" i="25"/>
  <c r="R150" i="49" s="1"/>
  <c r="E151" i="25"/>
  <c r="R149" i="49" s="1"/>
  <c r="E150" i="25"/>
  <c r="R148" i="49" s="1"/>
  <c r="E149" i="25"/>
  <c r="R147" i="49" s="1"/>
  <c r="E148" i="25"/>
  <c r="R146" i="49" s="1"/>
  <c r="E147" i="25"/>
  <c r="R145" i="49" s="1"/>
  <c r="E146" i="25"/>
  <c r="R144" i="49" s="1"/>
  <c r="E145" i="25"/>
  <c r="R143" i="49" s="1"/>
  <c r="E144" i="25"/>
  <c r="R142" i="49" s="1"/>
  <c r="E143" i="25"/>
  <c r="R141" i="49" s="1"/>
  <c r="E142" i="25"/>
  <c r="R140" i="49" s="1"/>
  <c r="E141" i="25"/>
  <c r="R139" i="49" s="1"/>
  <c r="E140" i="25"/>
  <c r="R138" i="49" s="1"/>
  <c r="E139" i="25"/>
  <c r="R137" i="49" s="1"/>
  <c r="E138" i="25"/>
  <c r="R136" i="49" s="1"/>
  <c r="E137" i="25"/>
  <c r="R135" i="49" s="1"/>
  <c r="E136" i="25"/>
  <c r="R134" i="49" s="1"/>
  <c r="E135" i="25"/>
  <c r="R133" i="49" s="1"/>
  <c r="E134" i="25"/>
  <c r="R132" i="49" s="1"/>
  <c r="E133" i="25"/>
  <c r="R131" i="49" s="1"/>
  <c r="E132" i="25"/>
  <c r="R130" i="49" s="1"/>
  <c r="E131" i="25"/>
  <c r="R129" i="49" s="1"/>
  <c r="E130" i="25"/>
  <c r="R128" i="49" s="1"/>
  <c r="E129" i="25"/>
  <c r="R127" i="49" s="1"/>
  <c r="E128" i="25"/>
  <c r="R126" i="49" s="1"/>
  <c r="E127" i="25"/>
  <c r="R125" i="49" s="1"/>
  <c r="E126" i="25"/>
  <c r="R124" i="49" s="1"/>
  <c r="E125" i="25"/>
  <c r="R123" i="49" s="1"/>
  <c r="E124" i="25"/>
  <c r="R122" i="49" s="1"/>
  <c r="E123" i="25"/>
  <c r="R121" i="49" s="1"/>
  <c r="E122" i="25"/>
  <c r="R120" i="49" s="1"/>
  <c r="E121" i="25"/>
  <c r="R119" i="49" s="1"/>
  <c r="E120" i="25"/>
  <c r="R118" i="49" s="1"/>
  <c r="E119" i="25"/>
  <c r="R117" i="49" s="1"/>
  <c r="E118" i="25"/>
  <c r="R116" i="49" s="1"/>
  <c r="E117" i="25"/>
  <c r="R115" i="49" s="1"/>
  <c r="E116" i="25"/>
  <c r="R114" i="49" s="1"/>
  <c r="E115" i="25"/>
  <c r="R113" i="49" s="1"/>
  <c r="E114" i="25"/>
  <c r="R112" i="49" s="1"/>
  <c r="E113" i="25"/>
  <c r="R111" i="49" s="1"/>
  <c r="E112" i="25"/>
  <c r="R110" i="49" s="1"/>
  <c r="E111" i="25"/>
  <c r="R109" i="49" s="1"/>
  <c r="E110" i="25"/>
  <c r="R108" i="49" s="1"/>
  <c r="E109" i="25"/>
  <c r="R107" i="49" s="1"/>
  <c r="E108" i="25"/>
  <c r="R106" i="49" s="1"/>
  <c r="E107" i="25"/>
  <c r="R105" i="49" s="1"/>
  <c r="E106" i="25"/>
  <c r="R104" i="49" s="1"/>
  <c r="E105" i="25"/>
  <c r="R103" i="49" s="1"/>
  <c r="E104" i="25"/>
  <c r="R102" i="49" s="1"/>
  <c r="E103" i="25"/>
  <c r="R101" i="49" s="1"/>
  <c r="E102" i="25"/>
  <c r="R100" i="49" s="1"/>
  <c r="E101" i="25"/>
  <c r="R99" i="49" s="1"/>
  <c r="E100" i="25"/>
  <c r="R98" i="49" s="1"/>
  <c r="E99" i="25"/>
  <c r="R97" i="49" s="1"/>
  <c r="E98" i="25"/>
  <c r="R96" i="49" s="1"/>
  <c r="E97" i="25"/>
  <c r="R95" i="49" s="1"/>
  <c r="E96" i="25"/>
  <c r="R94" i="49" s="1"/>
  <c r="E95" i="25"/>
  <c r="R93" i="49" s="1"/>
  <c r="E94" i="25"/>
  <c r="R92" i="49" s="1"/>
  <c r="E93" i="25"/>
  <c r="R91" i="49" s="1"/>
  <c r="E92" i="25"/>
  <c r="R90" i="49" s="1"/>
  <c r="E91" i="25"/>
  <c r="R89" i="49" s="1"/>
  <c r="E90" i="25"/>
  <c r="R88" i="49" s="1"/>
  <c r="E89" i="25"/>
  <c r="R87" i="49" s="1"/>
  <c r="E88" i="25"/>
  <c r="R86" i="49" s="1"/>
  <c r="E87" i="25"/>
  <c r="R85" i="49" s="1"/>
  <c r="E86" i="25"/>
  <c r="R84" i="49" s="1"/>
  <c r="E85" i="25"/>
  <c r="R83" i="49" s="1"/>
  <c r="E84" i="25"/>
  <c r="R82" i="49" s="1"/>
  <c r="E83" i="25"/>
  <c r="R81" i="49" s="1"/>
  <c r="E82" i="25"/>
  <c r="R80" i="49" s="1"/>
  <c r="E81" i="25"/>
  <c r="R79" i="49" s="1"/>
  <c r="E80" i="25"/>
  <c r="R78" i="49" s="1"/>
  <c r="E79" i="25"/>
  <c r="R77" i="49" s="1"/>
  <c r="E78" i="25"/>
  <c r="R76" i="49" s="1"/>
  <c r="E77" i="25"/>
  <c r="R75" i="49" s="1"/>
  <c r="E76" i="25"/>
  <c r="R74" i="49" s="1"/>
  <c r="E75" i="25"/>
  <c r="R73" i="49" s="1"/>
  <c r="E74" i="25"/>
  <c r="R72" i="49" s="1"/>
  <c r="E73" i="25"/>
  <c r="R71" i="49" s="1"/>
  <c r="E72" i="25"/>
  <c r="R70" i="49" s="1"/>
  <c r="E71" i="25"/>
  <c r="R69" i="49" s="1"/>
  <c r="E70" i="25"/>
  <c r="R68" i="49" s="1"/>
  <c r="E69" i="25"/>
  <c r="R67" i="49" s="1"/>
  <c r="E68" i="25"/>
  <c r="R66" i="49" s="1"/>
  <c r="E67" i="25"/>
  <c r="R65" i="49" s="1"/>
  <c r="E66" i="25"/>
  <c r="R64" i="49" s="1"/>
  <c r="E65" i="25"/>
  <c r="R63" i="49" s="1"/>
  <c r="E64" i="25"/>
  <c r="R62" i="49" s="1"/>
  <c r="E63" i="25"/>
  <c r="R61" i="49" s="1"/>
  <c r="E62" i="25"/>
  <c r="R60" i="49" s="1"/>
  <c r="E61" i="25"/>
  <c r="R59" i="49" s="1"/>
  <c r="E60" i="25"/>
  <c r="R58" i="49" s="1"/>
  <c r="E59" i="25"/>
  <c r="R57" i="49" s="1"/>
  <c r="E58" i="25"/>
  <c r="R56" i="49" s="1"/>
  <c r="E57" i="25"/>
  <c r="R55" i="49" s="1"/>
  <c r="E56" i="25"/>
  <c r="R54" i="49" s="1"/>
  <c r="E55" i="25"/>
  <c r="R53" i="49" s="1"/>
  <c r="E54" i="25"/>
  <c r="R52" i="49" s="1"/>
  <c r="E53" i="25"/>
  <c r="R51" i="49" s="1"/>
  <c r="E52" i="25"/>
  <c r="R50" i="49" s="1"/>
  <c r="E51" i="25"/>
  <c r="R49" i="49" s="1"/>
  <c r="E50" i="25"/>
  <c r="R48" i="49" s="1"/>
  <c r="E49" i="25"/>
  <c r="R47" i="49" s="1"/>
  <c r="E48" i="25"/>
  <c r="R46" i="49" s="1"/>
  <c r="E47" i="25"/>
  <c r="R45" i="49" s="1"/>
  <c r="E46" i="25"/>
  <c r="R44" i="49" s="1"/>
  <c r="E45" i="25"/>
  <c r="R43" i="49" s="1"/>
  <c r="E44" i="25"/>
  <c r="R42" i="49" s="1"/>
  <c r="E43" i="25"/>
  <c r="R41" i="49" s="1"/>
  <c r="E42" i="25"/>
  <c r="R40" i="49" s="1"/>
  <c r="E41" i="25"/>
  <c r="R39" i="49" s="1"/>
  <c r="E40" i="25"/>
  <c r="R38" i="49" s="1"/>
  <c r="E39" i="25"/>
  <c r="R37" i="49" s="1"/>
  <c r="E38" i="25"/>
  <c r="R36" i="49" s="1"/>
  <c r="E37" i="25"/>
  <c r="R35" i="49" s="1"/>
  <c r="E36" i="25"/>
  <c r="R34" i="49" s="1"/>
  <c r="E35" i="25"/>
  <c r="R33" i="49" s="1"/>
  <c r="E34" i="25"/>
  <c r="R32" i="49" s="1"/>
  <c r="E33" i="25"/>
  <c r="R31" i="49" s="1"/>
  <c r="E32" i="25"/>
  <c r="R30" i="49" s="1"/>
  <c r="E31" i="25"/>
  <c r="R29" i="49" s="1"/>
  <c r="E30" i="25"/>
  <c r="R28" i="49" s="1"/>
  <c r="E29" i="25"/>
  <c r="R27" i="49" s="1"/>
  <c r="E28" i="25"/>
  <c r="R26" i="49" s="1"/>
  <c r="E27" i="25"/>
  <c r="R25" i="49" s="1"/>
  <c r="E26" i="25"/>
  <c r="R24" i="49" s="1"/>
  <c r="E25" i="25"/>
  <c r="R23" i="49" s="1"/>
  <c r="E24" i="25"/>
  <c r="R22" i="49" s="1"/>
  <c r="E23" i="25"/>
  <c r="R21" i="49" s="1"/>
  <c r="E22" i="25"/>
  <c r="R20" i="49" s="1"/>
  <c r="E21" i="25"/>
  <c r="R19" i="49" s="1"/>
  <c r="E20" i="25"/>
  <c r="R18" i="49" s="1"/>
  <c r="E19" i="25"/>
  <c r="R17" i="49" s="1"/>
  <c r="E18" i="25"/>
  <c r="R16" i="49" s="1"/>
  <c r="E17" i="25"/>
  <c r="R15" i="49" s="1"/>
  <c r="E16" i="25"/>
  <c r="R14" i="49" s="1"/>
  <c r="E15" i="25"/>
  <c r="R13" i="49" s="1"/>
  <c r="E14" i="25"/>
  <c r="R12" i="49" s="1"/>
  <c r="E13" i="25"/>
  <c r="R11" i="49" s="1"/>
  <c r="E12" i="25"/>
  <c r="R10" i="49" s="1"/>
  <c r="E11" i="25"/>
  <c r="R9" i="49" s="1"/>
  <c r="E10" i="25"/>
  <c r="R8" i="49" s="1"/>
  <c r="E9" i="25"/>
  <c r="R7" i="49" s="1"/>
  <c r="E8" i="25"/>
  <c r="R6" i="49" s="1"/>
  <c r="E7" i="25"/>
  <c r="R5" i="49" s="1"/>
  <c r="E6" i="25"/>
  <c r="R4" i="49" s="1"/>
  <c r="Q4" i="49"/>
  <c r="C3" i="25"/>
  <c r="E4" i="31"/>
  <c r="H18" i="2"/>
  <c r="G18" i="2"/>
  <c r="H16" i="2" s="1"/>
  <c r="H9" i="2" s="1"/>
  <c r="G10" i="2"/>
  <c r="G7" i="2"/>
  <c r="E7" i="2"/>
  <c r="C353" i="42"/>
  <c r="B347" i="42"/>
  <c r="A347" i="42" s="1"/>
  <c r="B341" i="42"/>
  <c r="A341" i="42" s="1"/>
  <c r="C340" i="42"/>
  <c r="C339" i="42"/>
  <c r="B331" i="42"/>
  <c r="A331" i="42" s="1"/>
  <c r="C330" i="42"/>
  <c r="C329" i="42"/>
  <c r="B329" i="42"/>
  <c r="A329" i="42" s="1"/>
  <c r="B328" i="42"/>
  <c r="A328" i="42" s="1"/>
  <c r="B327" i="42"/>
  <c r="A327" i="42" s="1"/>
  <c r="B321" i="42"/>
  <c r="A321" i="42" s="1"/>
  <c r="C320" i="42"/>
  <c r="B320" i="42"/>
  <c r="A320" i="42" s="1"/>
  <c r="C319" i="42"/>
  <c r="B317" i="42"/>
  <c r="A317" i="42" s="1"/>
  <c r="B311" i="42"/>
  <c r="A311" i="42" s="1"/>
  <c r="C310" i="42"/>
  <c r="C309" i="42"/>
  <c r="C306" i="42"/>
  <c r="B301" i="42"/>
  <c r="A301" i="42" s="1"/>
  <c r="C300" i="42"/>
  <c r="B300" i="42"/>
  <c r="A300" i="42" s="1"/>
  <c r="C299" i="42"/>
  <c r="C296" i="42"/>
  <c r="B291" i="42"/>
  <c r="A291" i="42" s="1"/>
  <c r="C290" i="42"/>
  <c r="C289" i="42"/>
  <c r="C287" i="42"/>
  <c r="B287" i="42"/>
  <c r="A287" i="42" s="1"/>
  <c r="B281" i="42"/>
  <c r="A281" i="42" s="1"/>
  <c r="C280" i="42"/>
  <c r="B280" i="42"/>
  <c r="A280" i="42" s="1"/>
  <c r="C279" i="42"/>
  <c r="B277" i="42"/>
  <c r="A277" i="42" s="1"/>
  <c r="B271" i="42"/>
  <c r="A271" i="42" s="1"/>
  <c r="C270" i="42"/>
  <c r="C269" i="42"/>
  <c r="B267" i="42"/>
  <c r="A267" i="42" s="1"/>
  <c r="B261" i="42"/>
  <c r="A261" i="42" s="1"/>
  <c r="C260" i="42"/>
  <c r="C259" i="42"/>
  <c r="B259" i="42"/>
  <c r="A259" i="42" s="1"/>
  <c r="B251" i="42"/>
  <c r="A251" i="42" s="1"/>
  <c r="C250" i="42"/>
  <c r="B250" i="42"/>
  <c r="A250" i="42" s="1"/>
  <c r="C249" i="42"/>
  <c r="C246" i="42"/>
  <c r="B241" i="42"/>
  <c r="A241" i="42" s="1"/>
  <c r="C240" i="42"/>
  <c r="B240" i="42"/>
  <c r="A240" i="42" s="1"/>
  <c r="C239" i="42"/>
  <c r="B237" i="42"/>
  <c r="A237" i="42" s="1"/>
  <c r="B231" i="42"/>
  <c r="A231" i="42" s="1"/>
  <c r="C230" i="42"/>
  <c r="C229" i="42"/>
  <c r="B221" i="42"/>
  <c r="A221" i="42" s="1"/>
  <c r="C220" i="42"/>
  <c r="C219" i="42"/>
  <c r="B211" i="42"/>
  <c r="A211" i="42" s="1"/>
  <c r="C210" i="42"/>
  <c r="C209" i="42"/>
  <c r="B207" i="42"/>
  <c r="A207" i="42" s="1"/>
  <c r="B201" i="42"/>
  <c r="A201" i="42" s="1"/>
  <c r="C200" i="42"/>
  <c r="C199" i="42"/>
  <c r="B197" i="42"/>
  <c r="A197" i="42" s="1"/>
  <c r="B191" i="42"/>
  <c r="A191" i="42" s="1"/>
  <c r="C190" i="42"/>
  <c r="B190" i="42"/>
  <c r="A190" i="42" s="1"/>
  <c r="C189" i="42"/>
  <c r="B187" i="42"/>
  <c r="A187" i="42" s="1"/>
  <c r="B181" i="42"/>
  <c r="A181" i="42" s="1"/>
  <c r="C180" i="42"/>
  <c r="B180" i="42"/>
  <c r="A180" i="42" s="1"/>
  <c r="C179" i="42"/>
  <c r="B171" i="42"/>
  <c r="A171" i="42" s="1"/>
  <c r="C170" i="42"/>
  <c r="B170" i="42"/>
  <c r="A170" i="42" s="1"/>
  <c r="C169" i="42"/>
  <c r="B167" i="42"/>
  <c r="A167" i="42" s="1"/>
  <c r="B161" i="42"/>
  <c r="A161" i="42" s="1"/>
  <c r="C160" i="42"/>
  <c r="B160" i="42"/>
  <c r="A160" i="42" s="1"/>
  <c r="C159" i="42"/>
  <c r="B157" i="42"/>
  <c r="A157" i="42" s="1"/>
  <c r="B151" i="42"/>
  <c r="A151" i="42" s="1"/>
  <c r="C150" i="42"/>
  <c r="C149" i="42"/>
  <c r="B147" i="42"/>
  <c r="A147" i="42" s="1"/>
  <c r="B141" i="42"/>
  <c r="A141" i="42" s="1"/>
  <c r="C140" i="42"/>
  <c r="B140" i="42"/>
  <c r="A140" i="42" s="1"/>
  <c r="C139" i="42"/>
  <c r="B131" i="42"/>
  <c r="A131" i="42" s="1"/>
  <c r="C130" i="42"/>
  <c r="B130" i="42"/>
  <c r="A130" i="42" s="1"/>
  <c r="C129" i="42"/>
  <c r="B121" i="42"/>
  <c r="A121" i="42" s="1"/>
  <c r="C120" i="42"/>
  <c r="C119" i="42"/>
  <c r="B117" i="42"/>
  <c r="A117" i="42" s="1"/>
  <c r="B111" i="42"/>
  <c r="A111" i="42" s="1"/>
  <c r="C110" i="42"/>
  <c r="C109" i="42"/>
  <c r="B101" i="42"/>
  <c r="A101" i="42" s="1"/>
  <c r="C100" i="42"/>
  <c r="B100" i="42"/>
  <c r="A100" i="42" s="1"/>
  <c r="C99" i="42"/>
  <c r="C96" i="42"/>
  <c r="B91" i="42"/>
  <c r="A91" i="42" s="1"/>
  <c r="C90" i="42"/>
  <c r="B90" i="42"/>
  <c r="A90" i="42" s="1"/>
  <c r="C89" i="42"/>
  <c r="B87" i="42"/>
  <c r="A87" i="42" s="1"/>
  <c r="B81" i="42"/>
  <c r="A81" i="42" s="1"/>
  <c r="C80" i="42"/>
  <c r="C79" i="42"/>
  <c r="B77" i="42"/>
  <c r="A77" i="42" s="1"/>
  <c r="B71" i="42"/>
  <c r="A71" i="42" s="1"/>
  <c r="C70" i="42"/>
  <c r="C69" i="42"/>
  <c r="B61" i="42"/>
  <c r="A61" i="42" s="1"/>
  <c r="C60" i="42"/>
  <c r="B60" i="42"/>
  <c r="A60" i="42" s="1"/>
  <c r="C59" i="42"/>
  <c r="B51" i="42"/>
  <c r="A51" i="42" s="1"/>
  <c r="C50" i="42"/>
  <c r="C49" i="42"/>
  <c r="B49" i="42"/>
  <c r="A49" i="42" s="1"/>
  <c r="B47" i="42"/>
  <c r="A47" i="42" s="1"/>
  <c r="B41" i="42"/>
  <c r="A41" i="42" s="1"/>
  <c r="C40" i="42"/>
  <c r="C39" i="42"/>
  <c r="B31" i="42"/>
  <c r="A31" i="42" s="1"/>
  <c r="C30" i="42"/>
  <c r="B30" i="42"/>
  <c r="A30" i="42" s="1"/>
  <c r="C29" i="42"/>
  <c r="B27" i="42"/>
  <c r="A27" i="42" s="1"/>
  <c r="B21" i="42"/>
  <c r="A21" i="42" s="1"/>
  <c r="C20" i="42"/>
  <c r="C19" i="42"/>
  <c r="B11" i="42"/>
  <c r="A11" i="42" s="1"/>
  <c r="C10" i="42"/>
  <c r="C9" i="42"/>
  <c r="C7" i="42"/>
  <c r="G2" i="42"/>
  <c r="AF347" i="41"/>
  <c r="C347" i="41"/>
  <c r="B347" i="41"/>
  <c r="A347" i="41"/>
  <c r="AF346" i="41"/>
  <c r="C346" i="41"/>
  <c r="B346" i="41"/>
  <c r="A346" i="41"/>
  <c r="AF345" i="41"/>
  <c r="C345" i="41"/>
  <c r="B345" i="41"/>
  <c r="A345" i="41"/>
  <c r="AF344" i="41"/>
  <c r="C344" i="41"/>
  <c r="B344" i="41"/>
  <c r="A344" i="41"/>
  <c r="AF343" i="41"/>
  <c r="C343" i="41"/>
  <c r="B343" i="41"/>
  <c r="A343" i="41"/>
  <c r="AF342" i="41"/>
  <c r="C342" i="41"/>
  <c r="B342" i="41"/>
  <c r="A342" i="41"/>
  <c r="AF341" i="41"/>
  <c r="C341" i="41"/>
  <c r="B341" i="41"/>
  <c r="A341" i="41"/>
  <c r="AF340" i="41"/>
  <c r="C340" i="41"/>
  <c r="B340" i="41"/>
  <c r="A340" i="41"/>
  <c r="AF339" i="41"/>
  <c r="C339" i="41"/>
  <c r="B339" i="41"/>
  <c r="A339" i="41"/>
  <c r="AF338" i="41"/>
  <c r="C338" i="41"/>
  <c r="B338" i="41"/>
  <c r="A338" i="41"/>
  <c r="AF337" i="41"/>
  <c r="C337" i="41"/>
  <c r="B337" i="41"/>
  <c r="A337" i="41"/>
  <c r="AF336" i="41"/>
  <c r="C336" i="41"/>
  <c r="B336" i="41"/>
  <c r="A336" i="41"/>
  <c r="AF335" i="41"/>
  <c r="C335" i="41"/>
  <c r="B335" i="41"/>
  <c r="A335" i="41"/>
  <c r="AF334" i="41"/>
  <c r="C334" i="41"/>
  <c r="B334" i="41"/>
  <c r="A334" i="41"/>
  <c r="AF333" i="41"/>
  <c r="C333" i="41"/>
  <c r="B333" i="41"/>
  <c r="A333" i="41"/>
  <c r="AF332" i="41"/>
  <c r="C332" i="41"/>
  <c r="B332" i="41"/>
  <c r="A332" i="41"/>
  <c r="AF331" i="41"/>
  <c r="C331" i="41"/>
  <c r="B331" i="41"/>
  <c r="A331" i="41"/>
  <c r="AF330" i="41"/>
  <c r="C330" i="41"/>
  <c r="B330" i="41"/>
  <c r="A330" i="41"/>
  <c r="AF329" i="41"/>
  <c r="C329" i="41"/>
  <c r="B329" i="41"/>
  <c r="A329" i="41"/>
  <c r="AF328" i="41"/>
  <c r="C328" i="41"/>
  <c r="B328" i="41"/>
  <c r="A328" i="41"/>
  <c r="AF327" i="41"/>
  <c r="C327" i="41"/>
  <c r="B327" i="41"/>
  <c r="A327" i="41"/>
  <c r="AF326" i="41"/>
  <c r="C326" i="41"/>
  <c r="B326" i="41"/>
  <c r="A326" i="41"/>
  <c r="AF325" i="41"/>
  <c r="C325" i="41"/>
  <c r="B325" i="41"/>
  <c r="A325" i="41"/>
  <c r="AF324" i="41"/>
  <c r="C324" i="41"/>
  <c r="B324" i="41"/>
  <c r="A324" i="41"/>
  <c r="AF323" i="41"/>
  <c r="C323" i="41"/>
  <c r="B323" i="41"/>
  <c r="A323" i="41"/>
  <c r="AF322" i="41"/>
  <c r="C322" i="41"/>
  <c r="B322" i="41"/>
  <c r="A322" i="41"/>
  <c r="AF321" i="41"/>
  <c r="C321" i="41"/>
  <c r="B321" i="41"/>
  <c r="A321" i="41"/>
  <c r="AF320" i="41"/>
  <c r="C320" i="41"/>
  <c r="B320" i="41"/>
  <c r="A320" i="41"/>
  <c r="AF319" i="41"/>
  <c r="C319" i="41"/>
  <c r="B319" i="41"/>
  <c r="A319" i="41"/>
  <c r="AF318" i="41"/>
  <c r="C318" i="41"/>
  <c r="B318" i="41"/>
  <c r="A318" i="41"/>
  <c r="AF317" i="41"/>
  <c r="C317" i="41"/>
  <c r="B317" i="41"/>
  <c r="A317" i="41"/>
  <c r="AF316" i="41"/>
  <c r="C316" i="41"/>
  <c r="B316" i="41"/>
  <c r="A316" i="41"/>
  <c r="AF315" i="41"/>
  <c r="C315" i="41"/>
  <c r="B315" i="41"/>
  <c r="A315" i="41"/>
  <c r="AF314" i="41"/>
  <c r="C314" i="41"/>
  <c r="B314" i="41"/>
  <c r="A314" i="41"/>
  <c r="AF313" i="41"/>
  <c r="C313" i="41"/>
  <c r="B313" i="41"/>
  <c r="A313" i="41"/>
  <c r="AF312" i="41"/>
  <c r="C312" i="41"/>
  <c r="B312" i="41"/>
  <c r="A312" i="41"/>
  <c r="AF311" i="41"/>
  <c r="C311" i="41"/>
  <c r="B311" i="41"/>
  <c r="A311" i="41"/>
  <c r="AF310" i="41"/>
  <c r="C310" i="41"/>
  <c r="B310" i="41"/>
  <c r="A310" i="41"/>
  <c r="AF309" i="41"/>
  <c r="C309" i="41"/>
  <c r="B309" i="41"/>
  <c r="A309" i="41"/>
  <c r="AF308" i="41"/>
  <c r="C308" i="41"/>
  <c r="B308" i="41"/>
  <c r="A308" i="41"/>
  <c r="AF307" i="41"/>
  <c r="C307" i="41"/>
  <c r="B307" i="41"/>
  <c r="A307" i="41"/>
  <c r="AF306" i="41"/>
  <c r="C306" i="41"/>
  <c r="B306" i="41"/>
  <c r="A306" i="41"/>
  <c r="AF305" i="41"/>
  <c r="C305" i="41"/>
  <c r="B305" i="41"/>
  <c r="A305" i="41"/>
  <c r="AF304" i="41"/>
  <c r="C304" i="41"/>
  <c r="B304" i="41"/>
  <c r="A304" i="41"/>
  <c r="AF303" i="41"/>
  <c r="C303" i="41"/>
  <c r="B303" i="41"/>
  <c r="A303" i="41"/>
  <c r="AF302" i="41"/>
  <c r="C302" i="41"/>
  <c r="B302" i="41"/>
  <c r="A302" i="41"/>
  <c r="AF301" i="41"/>
  <c r="C301" i="41"/>
  <c r="B301" i="41"/>
  <c r="A301" i="41"/>
  <c r="AF300" i="41"/>
  <c r="C300" i="41"/>
  <c r="B300" i="41"/>
  <c r="A300" i="41"/>
  <c r="AF299" i="41"/>
  <c r="C299" i="41"/>
  <c r="B299" i="41"/>
  <c r="A299" i="41"/>
  <c r="AF298" i="41"/>
  <c r="C298" i="41"/>
  <c r="B298" i="41"/>
  <c r="A298" i="41"/>
  <c r="AF297" i="41"/>
  <c r="C297" i="41"/>
  <c r="B297" i="41"/>
  <c r="A297" i="41"/>
  <c r="AF296" i="41"/>
  <c r="C296" i="41"/>
  <c r="B296" i="41"/>
  <c r="A296" i="41"/>
  <c r="AF295" i="41"/>
  <c r="C295" i="41"/>
  <c r="B295" i="41"/>
  <c r="A295" i="41"/>
  <c r="AF294" i="41"/>
  <c r="C294" i="41"/>
  <c r="B294" i="41"/>
  <c r="A294" i="41"/>
  <c r="AF293" i="41"/>
  <c r="C293" i="41"/>
  <c r="B293" i="41"/>
  <c r="A293" i="41"/>
  <c r="AF292" i="41"/>
  <c r="C292" i="41"/>
  <c r="B292" i="41"/>
  <c r="A292" i="41"/>
  <c r="AF291" i="41"/>
  <c r="C291" i="41"/>
  <c r="B291" i="41"/>
  <c r="A291" i="41"/>
  <c r="AF290" i="41"/>
  <c r="C290" i="41"/>
  <c r="B290" i="41"/>
  <c r="A290" i="41"/>
  <c r="AF289" i="41"/>
  <c r="C289" i="41"/>
  <c r="B289" i="41"/>
  <c r="A289" i="41"/>
  <c r="AF288" i="41"/>
  <c r="C288" i="41"/>
  <c r="B288" i="41"/>
  <c r="A288" i="41"/>
  <c r="AF287" i="41"/>
  <c r="C287" i="41"/>
  <c r="B287" i="41"/>
  <c r="A287" i="41"/>
  <c r="AF286" i="41"/>
  <c r="C286" i="41"/>
  <c r="B286" i="41"/>
  <c r="A286" i="41"/>
  <c r="AF285" i="41"/>
  <c r="C285" i="41"/>
  <c r="B285" i="41"/>
  <c r="A285" i="41"/>
  <c r="AF284" i="41"/>
  <c r="C284" i="41"/>
  <c r="B284" i="41"/>
  <c r="A284" i="41"/>
  <c r="AF283" i="41"/>
  <c r="C283" i="41"/>
  <c r="B283" i="41"/>
  <c r="A283" i="41"/>
  <c r="AF282" i="41"/>
  <c r="C282" i="41"/>
  <c r="B282" i="41"/>
  <c r="A282" i="41"/>
  <c r="AF281" i="41"/>
  <c r="C281" i="41"/>
  <c r="B281" i="41"/>
  <c r="A281" i="41"/>
  <c r="AF280" i="41"/>
  <c r="C280" i="41"/>
  <c r="B280" i="41"/>
  <c r="A280" i="41"/>
  <c r="AF279" i="41"/>
  <c r="C279" i="41"/>
  <c r="B279" i="41"/>
  <c r="A279" i="41"/>
  <c r="AF278" i="41"/>
  <c r="C278" i="41"/>
  <c r="B278" i="41"/>
  <c r="A278" i="41"/>
  <c r="AF277" i="41"/>
  <c r="C277" i="41"/>
  <c r="B277" i="41"/>
  <c r="A277" i="41"/>
  <c r="AF276" i="41"/>
  <c r="C276" i="41"/>
  <c r="B276" i="41"/>
  <c r="A276" i="41"/>
  <c r="AF275" i="41"/>
  <c r="C275" i="41"/>
  <c r="B275" i="41"/>
  <c r="A275" i="41"/>
  <c r="AF274" i="41"/>
  <c r="C274" i="41"/>
  <c r="B274" i="41"/>
  <c r="A274" i="41"/>
  <c r="AF273" i="41"/>
  <c r="C273" i="41"/>
  <c r="B273" i="41"/>
  <c r="A273" i="41"/>
  <c r="AF272" i="41"/>
  <c r="C272" i="41"/>
  <c r="B272" i="41"/>
  <c r="A272" i="41"/>
  <c r="AF271" i="41"/>
  <c r="C271" i="41"/>
  <c r="B271" i="41"/>
  <c r="A271" i="41"/>
  <c r="AF270" i="41"/>
  <c r="C270" i="41"/>
  <c r="B270" i="41"/>
  <c r="A270" i="41"/>
  <c r="AF269" i="41"/>
  <c r="C269" i="41"/>
  <c r="B269" i="41"/>
  <c r="A269" i="41"/>
  <c r="AF268" i="41"/>
  <c r="C268" i="41"/>
  <c r="B268" i="41"/>
  <c r="A268" i="41"/>
  <c r="AF267" i="41"/>
  <c r="C267" i="41"/>
  <c r="B267" i="41"/>
  <c r="A267" i="41"/>
  <c r="AF266" i="41"/>
  <c r="C266" i="41"/>
  <c r="B266" i="41"/>
  <c r="A266" i="41"/>
  <c r="AF265" i="41"/>
  <c r="C265" i="41"/>
  <c r="B265" i="41"/>
  <c r="A265" i="41"/>
  <c r="AF264" i="41"/>
  <c r="C264" i="41"/>
  <c r="B264" i="41"/>
  <c r="A264" i="41"/>
  <c r="AF263" i="41"/>
  <c r="C263" i="41"/>
  <c r="B263" i="41"/>
  <c r="A263" i="41"/>
  <c r="AF262" i="41"/>
  <c r="C262" i="41"/>
  <c r="B262" i="41"/>
  <c r="A262" i="41"/>
  <c r="AF261" i="41"/>
  <c r="C261" i="41"/>
  <c r="B261" i="41"/>
  <c r="A261" i="41"/>
  <c r="AF260" i="41"/>
  <c r="C260" i="41"/>
  <c r="B260" i="41"/>
  <c r="A260" i="41"/>
  <c r="AF259" i="41"/>
  <c r="C259" i="41"/>
  <c r="B259" i="41"/>
  <c r="A259" i="41"/>
  <c r="AF258" i="41"/>
  <c r="C258" i="41"/>
  <c r="B258" i="41"/>
  <c r="A258" i="41"/>
  <c r="AF257" i="41"/>
  <c r="C257" i="41"/>
  <c r="B257" i="41"/>
  <c r="A257" i="41"/>
  <c r="AF256" i="41"/>
  <c r="C256" i="41"/>
  <c r="B256" i="41"/>
  <c r="A256" i="41"/>
  <c r="AF255" i="41"/>
  <c r="C255" i="41"/>
  <c r="B255" i="41"/>
  <c r="A255" i="41"/>
  <c r="AF254" i="41"/>
  <c r="C254" i="41"/>
  <c r="B254" i="41"/>
  <c r="A254" i="41"/>
  <c r="AF253" i="41"/>
  <c r="C253" i="41"/>
  <c r="B253" i="41"/>
  <c r="A253" i="41"/>
  <c r="AF252" i="41"/>
  <c r="C252" i="41"/>
  <c r="B252" i="41"/>
  <c r="A252" i="41"/>
  <c r="AF251" i="41"/>
  <c r="C251" i="41"/>
  <c r="B251" i="41"/>
  <c r="A251" i="41"/>
  <c r="AF250" i="41"/>
  <c r="C250" i="41"/>
  <c r="B250" i="41"/>
  <c r="A250" i="41"/>
  <c r="AF249" i="41"/>
  <c r="C249" i="41"/>
  <c r="B249" i="41"/>
  <c r="A249" i="41"/>
  <c r="AF248" i="41"/>
  <c r="C248" i="41"/>
  <c r="B248" i="41"/>
  <c r="A248" i="41"/>
  <c r="AF247" i="41"/>
  <c r="C247" i="41"/>
  <c r="B247" i="41"/>
  <c r="A247" i="41"/>
  <c r="AF246" i="41"/>
  <c r="C246" i="41"/>
  <c r="B246" i="41"/>
  <c r="A246" i="41"/>
  <c r="AF245" i="41"/>
  <c r="C245" i="41"/>
  <c r="B245" i="41"/>
  <c r="A245" i="41"/>
  <c r="AF244" i="41"/>
  <c r="C244" i="41"/>
  <c r="B244" i="41"/>
  <c r="A244" i="41"/>
  <c r="AF243" i="41"/>
  <c r="C243" i="41"/>
  <c r="B243" i="41"/>
  <c r="A243" i="41"/>
  <c r="AF242" i="41"/>
  <c r="C242" i="41"/>
  <c r="B242" i="41"/>
  <c r="A242" i="41"/>
  <c r="AF241" i="41"/>
  <c r="C241" i="41"/>
  <c r="B241" i="41"/>
  <c r="A241" i="41"/>
  <c r="AF240" i="41"/>
  <c r="C240" i="41"/>
  <c r="B240" i="41"/>
  <c r="A240" i="41"/>
  <c r="AF239" i="41"/>
  <c r="C239" i="41"/>
  <c r="B239" i="41"/>
  <c r="A239" i="41"/>
  <c r="AF238" i="41"/>
  <c r="C238" i="41"/>
  <c r="B238" i="41"/>
  <c r="A238" i="41"/>
  <c r="AF237" i="41"/>
  <c r="C237" i="41"/>
  <c r="B237" i="41"/>
  <c r="A237" i="41"/>
  <c r="AF236" i="41"/>
  <c r="C236" i="41"/>
  <c r="B236" i="41"/>
  <c r="A236" i="41"/>
  <c r="AF235" i="41"/>
  <c r="C235" i="41"/>
  <c r="B235" i="41"/>
  <c r="A235" i="41"/>
  <c r="AF234" i="41"/>
  <c r="C234" i="41"/>
  <c r="B234" i="41"/>
  <c r="A234" i="41"/>
  <c r="AF233" i="41"/>
  <c r="C233" i="41"/>
  <c r="B233" i="41"/>
  <c r="A233" i="41"/>
  <c r="AF232" i="41"/>
  <c r="C232" i="41"/>
  <c r="B232" i="41"/>
  <c r="A232" i="41"/>
  <c r="AF231" i="41"/>
  <c r="C231" i="41"/>
  <c r="B231" i="41"/>
  <c r="A231" i="41"/>
  <c r="AF230" i="41"/>
  <c r="C230" i="41"/>
  <c r="B230" i="41"/>
  <c r="A230" i="41"/>
  <c r="AF229" i="41"/>
  <c r="C229" i="41"/>
  <c r="B229" i="41"/>
  <c r="A229" i="41"/>
  <c r="AF228" i="41"/>
  <c r="C228" i="41"/>
  <c r="B228" i="41"/>
  <c r="A228" i="41"/>
  <c r="AF227" i="41"/>
  <c r="C227" i="41"/>
  <c r="B227" i="41"/>
  <c r="A227" i="41"/>
  <c r="AF226" i="41"/>
  <c r="C226" i="41"/>
  <c r="B226" i="41"/>
  <c r="A226" i="41"/>
  <c r="AF225" i="41"/>
  <c r="C225" i="41"/>
  <c r="B225" i="41"/>
  <c r="A225" i="41"/>
  <c r="AF224" i="41"/>
  <c r="C224" i="41"/>
  <c r="B224" i="41"/>
  <c r="A224" i="41"/>
  <c r="AF223" i="41"/>
  <c r="C223" i="41"/>
  <c r="B223" i="41"/>
  <c r="A223" i="41"/>
  <c r="AF222" i="41"/>
  <c r="C222" i="41"/>
  <c r="B222" i="41"/>
  <c r="A222" i="41"/>
  <c r="AF221" i="41"/>
  <c r="C221" i="41"/>
  <c r="B221" i="41"/>
  <c r="A221" i="41"/>
  <c r="AF220" i="41"/>
  <c r="C220" i="41"/>
  <c r="B220" i="41"/>
  <c r="A220" i="41"/>
  <c r="AF219" i="41"/>
  <c r="C219" i="41"/>
  <c r="B219" i="41"/>
  <c r="A219" i="41"/>
  <c r="AF218" i="41"/>
  <c r="C218" i="41"/>
  <c r="B218" i="41"/>
  <c r="A218" i="41"/>
  <c r="AF217" i="41"/>
  <c r="C217" i="41"/>
  <c r="B217" i="41"/>
  <c r="A217" i="41"/>
  <c r="AF216" i="41"/>
  <c r="C216" i="41"/>
  <c r="B216" i="41"/>
  <c r="A216" i="41"/>
  <c r="AF215" i="41"/>
  <c r="C215" i="41"/>
  <c r="B215" i="41"/>
  <c r="A215" i="41"/>
  <c r="AF214" i="41"/>
  <c r="C214" i="41"/>
  <c r="B214" i="41"/>
  <c r="A214" i="41"/>
  <c r="AF213" i="41"/>
  <c r="C213" i="41"/>
  <c r="B213" i="41"/>
  <c r="A213" i="41"/>
  <c r="AF212" i="41"/>
  <c r="C212" i="41"/>
  <c r="B212" i="41"/>
  <c r="A212" i="41"/>
  <c r="AF211" i="41"/>
  <c r="C211" i="41"/>
  <c r="B211" i="41"/>
  <c r="A211" i="41"/>
  <c r="AF210" i="41"/>
  <c r="C210" i="41"/>
  <c r="B210" i="41"/>
  <c r="A210" i="41"/>
  <c r="AF209" i="41"/>
  <c r="C209" i="41"/>
  <c r="B209" i="41"/>
  <c r="A209" i="41"/>
  <c r="AF208" i="41"/>
  <c r="C208" i="41"/>
  <c r="B208" i="41"/>
  <c r="A208" i="41"/>
  <c r="AF207" i="41"/>
  <c r="C207" i="41"/>
  <c r="B207" i="41"/>
  <c r="A207" i="41"/>
  <c r="AF206" i="41"/>
  <c r="C206" i="41"/>
  <c r="B206" i="41"/>
  <c r="A206" i="41"/>
  <c r="AF205" i="41"/>
  <c r="C205" i="41"/>
  <c r="B205" i="41"/>
  <c r="A205" i="41"/>
  <c r="AF204" i="41"/>
  <c r="C204" i="41"/>
  <c r="B204" i="41"/>
  <c r="A204" i="41"/>
  <c r="AF203" i="41"/>
  <c r="C203" i="41"/>
  <c r="B203" i="41"/>
  <c r="A203" i="41"/>
  <c r="AF202" i="41"/>
  <c r="C202" i="41"/>
  <c r="B202" i="41"/>
  <c r="A202" i="41"/>
  <c r="AF201" i="41"/>
  <c r="C201" i="41"/>
  <c r="B201" i="41"/>
  <c r="A201" i="41"/>
  <c r="AF200" i="41"/>
  <c r="C200" i="41"/>
  <c r="B200" i="41"/>
  <c r="A200" i="41"/>
  <c r="AF199" i="41"/>
  <c r="C199" i="41"/>
  <c r="B199" i="41"/>
  <c r="A199" i="41"/>
  <c r="AF198" i="41"/>
  <c r="C198" i="41"/>
  <c r="B198" i="41"/>
  <c r="A198" i="41"/>
  <c r="AF197" i="41"/>
  <c r="C197" i="41"/>
  <c r="B197" i="41"/>
  <c r="A197" i="41"/>
  <c r="AF196" i="41"/>
  <c r="C196" i="41"/>
  <c r="B196" i="41"/>
  <c r="A196" i="41"/>
  <c r="AF195" i="41"/>
  <c r="C195" i="41"/>
  <c r="B195" i="41"/>
  <c r="A195" i="41"/>
  <c r="AF194" i="41"/>
  <c r="C194" i="41"/>
  <c r="B194" i="41"/>
  <c r="A194" i="41"/>
  <c r="AF193" i="41"/>
  <c r="C193" i="41"/>
  <c r="B193" i="41"/>
  <c r="A193" i="41"/>
  <c r="AF192" i="41"/>
  <c r="C192" i="41"/>
  <c r="B192" i="41"/>
  <c r="A192" i="41"/>
  <c r="AF191" i="41"/>
  <c r="C191" i="41"/>
  <c r="B191" i="41"/>
  <c r="A191" i="41"/>
  <c r="AF190" i="41"/>
  <c r="C190" i="41"/>
  <c r="B190" i="41"/>
  <c r="A190" i="41"/>
  <c r="AF189" i="41"/>
  <c r="C189" i="41"/>
  <c r="B189" i="41"/>
  <c r="A189" i="41"/>
  <c r="AF188" i="41"/>
  <c r="C188" i="41"/>
  <c r="B188" i="41"/>
  <c r="A188" i="41"/>
  <c r="AF187" i="41"/>
  <c r="C187" i="41"/>
  <c r="B187" i="41"/>
  <c r="A187" i="41"/>
  <c r="AF186" i="41"/>
  <c r="C186" i="41"/>
  <c r="B186" i="41"/>
  <c r="A186" i="41"/>
  <c r="AF185" i="41"/>
  <c r="C185" i="41"/>
  <c r="B185" i="41"/>
  <c r="A185" i="41"/>
  <c r="AF184" i="41"/>
  <c r="C184" i="41"/>
  <c r="B184" i="41"/>
  <c r="A184" i="41"/>
  <c r="AF183" i="41"/>
  <c r="C183" i="41"/>
  <c r="B183" i="41"/>
  <c r="A183" i="41"/>
  <c r="AF182" i="41"/>
  <c r="C182" i="41"/>
  <c r="B182" i="41"/>
  <c r="A182" i="41"/>
  <c r="AF181" i="41"/>
  <c r="C181" i="41"/>
  <c r="B181" i="41"/>
  <c r="A181" i="41"/>
  <c r="AF180" i="41"/>
  <c r="C180" i="41"/>
  <c r="B180" i="41"/>
  <c r="A180" i="41"/>
  <c r="AF179" i="41"/>
  <c r="C179" i="41"/>
  <c r="B179" i="41"/>
  <c r="A179" i="41"/>
  <c r="AF178" i="41"/>
  <c r="C178" i="41"/>
  <c r="B178" i="41"/>
  <c r="A178" i="41"/>
  <c r="AF177" i="41"/>
  <c r="C177" i="41"/>
  <c r="B177" i="41"/>
  <c r="A177" i="41"/>
  <c r="AF176" i="41"/>
  <c r="C176" i="41"/>
  <c r="B176" i="41"/>
  <c r="A176" i="41"/>
  <c r="AF175" i="41"/>
  <c r="C175" i="41"/>
  <c r="B175" i="41"/>
  <c r="A175" i="41"/>
  <c r="AF174" i="41"/>
  <c r="C174" i="41"/>
  <c r="B174" i="41"/>
  <c r="A174" i="41"/>
  <c r="AF173" i="41"/>
  <c r="C173" i="41"/>
  <c r="B173" i="41"/>
  <c r="A173" i="41"/>
  <c r="AF172" i="41"/>
  <c r="C172" i="41"/>
  <c r="B172" i="41"/>
  <c r="A172" i="41"/>
  <c r="AF171" i="41"/>
  <c r="C171" i="41"/>
  <c r="B171" i="41"/>
  <c r="A171" i="41"/>
  <c r="AF170" i="41"/>
  <c r="C170" i="41"/>
  <c r="B170" i="41"/>
  <c r="A170" i="41"/>
  <c r="AF169" i="41"/>
  <c r="C169" i="41"/>
  <c r="B169" i="41"/>
  <c r="A169" i="41"/>
  <c r="AF168" i="41"/>
  <c r="C168" i="41"/>
  <c r="B168" i="41"/>
  <c r="A168" i="41"/>
  <c r="AF167" i="41"/>
  <c r="C167" i="41"/>
  <c r="B167" i="41"/>
  <c r="A167" i="41"/>
  <c r="AF166" i="41"/>
  <c r="C166" i="41"/>
  <c r="B166" i="41"/>
  <c r="A166" i="41"/>
  <c r="AF165" i="41"/>
  <c r="C165" i="41"/>
  <c r="B165" i="41"/>
  <c r="A165" i="41"/>
  <c r="AF164" i="41"/>
  <c r="C164" i="41"/>
  <c r="B164" i="41"/>
  <c r="A164" i="41"/>
  <c r="AF163" i="41"/>
  <c r="C163" i="41"/>
  <c r="B163" i="41"/>
  <c r="A163" i="41"/>
  <c r="AF162" i="41"/>
  <c r="C162" i="41"/>
  <c r="B162" i="41"/>
  <c r="A162" i="41"/>
  <c r="AF161" i="41"/>
  <c r="C161" i="41"/>
  <c r="B161" i="41"/>
  <c r="A161" i="41"/>
  <c r="AF160" i="41"/>
  <c r="C160" i="41"/>
  <c r="B160" i="41"/>
  <c r="A160" i="41"/>
  <c r="AF159" i="41"/>
  <c r="C159" i="41"/>
  <c r="B159" i="41"/>
  <c r="A159" i="41"/>
  <c r="AF158" i="41"/>
  <c r="C158" i="41"/>
  <c r="B158" i="41"/>
  <c r="A158" i="41"/>
  <c r="AF157" i="41"/>
  <c r="C157" i="41"/>
  <c r="B157" i="41"/>
  <c r="A157" i="41"/>
  <c r="AF156" i="41"/>
  <c r="C156" i="41"/>
  <c r="B156" i="41"/>
  <c r="A156" i="41"/>
  <c r="AF155" i="41"/>
  <c r="C155" i="41"/>
  <c r="B155" i="41"/>
  <c r="A155" i="41"/>
  <c r="AF154" i="41"/>
  <c r="C154" i="41"/>
  <c r="B154" i="41"/>
  <c r="A154" i="41"/>
  <c r="AF153" i="41"/>
  <c r="C153" i="41"/>
  <c r="B153" i="41"/>
  <c r="A153" i="41"/>
  <c r="AF152" i="41"/>
  <c r="C152" i="41"/>
  <c r="B152" i="41"/>
  <c r="A152" i="41"/>
  <c r="AF151" i="41"/>
  <c r="C151" i="41"/>
  <c r="B151" i="41"/>
  <c r="A151" i="41"/>
  <c r="AF150" i="41"/>
  <c r="C150" i="41"/>
  <c r="B150" i="41"/>
  <c r="A150" i="41"/>
  <c r="AF149" i="41"/>
  <c r="C149" i="41"/>
  <c r="B149" i="41"/>
  <c r="A149" i="41"/>
  <c r="AF148" i="41"/>
  <c r="C148" i="41"/>
  <c r="B148" i="41"/>
  <c r="A148" i="41"/>
  <c r="AF147" i="41"/>
  <c r="C147" i="41"/>
  <c r="B147" i="41"/>
  <c r="A147" i="41"/>
  <c r="AF146" i="41"/>
  <c r="C146" i="41"/>
  <c r="B146" i="41"/>
  <c r="A146" i="41"/>
  <c r="AF145" i="41"/>
  <c r="C145" i="41"/>
  <c r="B145" i="41"/>
  <c r="A145" i="41"/>
  <c r="AF144" i="41"/>
  <c r="C144" i="41"/>
  <c r="B144" i="41"/>
  <c r="A144" i="41"/>
  <c r="AF143" i="41"/>
  <c r="C143" i="41"/>
  <c r="B143" i="41"/>
  <c r="A143" i="41"/>
  <c r="AF142" i="41"/>
  <c r="C142" i="41"/>
  <c r="B142" i="41"/>
  <c r="A142" i="41"/>
  <c r="AF141" i="41"/>
  <c r="C141" i="41"/>
  <c r="B141" i="41"/>
  <c r="A141" i="41"/>
  <c r="AF140" i="41"/>
  <c r="C140" i="41"/>
  <c r="B140" i="41"/>
  <c r="A140" i="41"/>
  <c r="AF139" i="41"/>
  <c r="C139" i="41"/>
  <c r="B139" i="41"/>
  <c r="A139" i="41"/>
  <c r="AF138" i="41"/>
  <c r="C138" i="41"/>
  <c r="B138" i="41"/>
  <c r="A138" i="41"/>
  <c r="AF137" i="41"/>
  <c r="C137" i="41"/>
  <c r="B137" i="41"/>
  <c r="A137" i="41"/>
  <c r="AF136" i="41"/>
  <c r="C136" i="41"/>
  <c r="B136" i="41"/>
  <c r="A136" i="41"/>
  <c r="AF135" i="41"/>
  <c r="C135" i="41"/>
  <c r="B135" i="41"/>
  <c r="A135" i="41"/>
  <c r="AF134" i="41"/>
  <c r="C134" i="41"/>
  <c r="B134" i="41"/>
  <c r="A134" i="41"/>
  <c r="AF133" i="41"/>
  <c r="C133" i="41"/>
  <c r="B133" i="41"/>
  <c r="A133" i="41"/>
  <c r="AF132" i="41"/>
  <c r="C132" i="41"/>
  <c r="B132" i="41"/>
  <c r="A132" i="41"/>
  <c r="AF131" i="41"/>
  <c r="C131" i="41"/>
  <c r="B131" i="41"/>
  <c r="A131" i="41"/>
  <c r="AF130" i="41"/>
  <c r="C130" i="41"/>
  <c r="B130" i="41"/>
  <c r="A130" i="41"/>
  <c r="AF129" i="41"/>
  <c r="C129" i="41"/>
  <c r="B129" i="41"/>
  <c r="A129" i="41"/>
  <c r="AF128" i="41"/>
  <c r="C128" i="41"/>
  <c r="B128" i="41"/>
  <c r="A128" i="41"/>
  <c r="AF127" i="41"/>
  <c r="C127" i="41"/>
  <c r="B127" i="41"/>
  <c r="A127" i="41"/>
  <c r="AF126" i="41"/>
  <c r="C126" i="41"/>
  <c r="B126" i="41"/>
  <c r="A126" i="41"/>
  <c r="AF125" i="41"/>
  <c r="C125" i="41"/>
  <c r="B125" i="41"/>
  <c r="A125" i="41"/>
  <c r="AF124" i="41"/>
  <c r="C124" i="41"/>
  <c r="B124" i="41"/>
  <c r="A124" i="41"/>
  <c r="AF123" i="41"/>
  <c r="C123" i="41"/>
  <c r="B123" i="41"/>
  <c r="A123" i="41"/>
  <c r="AF122" i="41"/>
  <c r="C122" i="41"/>
  <c r="B122" i="41"/>
  <c r="A122" i="41"/>
  <c r="AF121" i="41"/>
  <c r="C121" i="41"/>
  <c r="B121" i="41"/>
  <c r="A121" i="41"/>
  <c r="AF120" i="41"/>
  <c r="C120" i="41"/>
  <c r="B120" i="41"/>
  <c r="A120" i="41"/>
  <c r="AF119" i="41"/>
  <c r="C119" i="41"/>
  <c r="B119" i="41"/>
  <c r="A119" i="41"/>
  <c r="AF118" i="41"/>
  <c r="C118" i="41"/>
  <c r="B118" i="41"/>
  <c r="A118" i="41"/>
  <c r="AF117" i="41"/>
  <c r="C117" i="41"/>
  <c r="B117" i="41"/>
  <c r="A117" i="41"/>
  <c r="AF116" i="41"/>
  <c r="C116" i="41"/>
  <c r="B116" i="41"/>
  <c r="A116" i="41"/>
  <c r="AF115" i="41"/>
  <c r="C115" i="41"/>
  <c r="B115" i="41"/>
  <c r="A115" i="41"/>
  <c r="AF114" i="41"/>
  <c r="C114" i="41"/>
  <c r="B114" i="41"/>
  <c r="A114" i="41"/>
  <c r="AF113" i="41"/>
  <c r="C113" i="41"/>
  <c r="B113" i="41"/>
  <c r="A113" i="41"/>
  <c r="AF112" i="41"/>
  <c r="C112" i="41"/>
  <c r="B112" i="41"/>
  <c r="A112" i="41"/>
  <c r="AF111" i="41"/>
  <c r="C111" i="41"/>
  <c r="B111" i="41"/>
  <c r="A111" i="41"/>
  <c r="AF110" i="41"/>
  <c r="C110" i="41"/>
  <c r="B110" i="41"/>
  <c r="A110" i="41"/>
  <c r="AF109" i="41"/>
  <c r="C109" i="41"/>
  <c r="B109" i="41"/>
  <c r="A109" i="41"/>
  <c r="AF108" i="41"/>
  <c r="C108" i="41"/>
  <c r="B108" i="41"/>
  <c r="A108" i="41"/>
  <c r="AF107" i="41"/>
  <c r="C107" i="41"/>
  <c r="B107" i="41"/>
  <c r="A107" i="41"/>
  <c r="AF106" i="41"/>
  <c r="C106" i="41"/>
  <c r="B106" i="41"/>
  <c r="A106" i="41"/>
  <c r="AF105" i="41"/>
  <c r="C105" i="41"/>
  <c r="B105" i="41"/>
  <c r="A105" i="41"/>
  <c r="AF104" i="41"/>
  <c r="C104" i="41"/>
  <c r="B104" i="41"/>
  <c r="A104" i="41"/>
  <c r="AF103" i="41"/>
  <c r="C103" i="41"/>
  <c r="B103" i="41"/>
  <c r="A103" i="41"/>
  <c r="AF102" i="41"/>
  <c r="C102" i="41"/>
  <c r="B102" i="41"/>
  <c r="A102" i="41"/>
  <c r="AF101" i="41"/>
  <c r="C101" i="41"/>
  <c r="B101" i="41"/>
  <c r="A101" i="41"/>
  <c r="AF100" i="41"/>
  <c r="C100" i="41"/>
  <c r="B100" i="41"/>
  <c r="A100" i="41"/>
  <c r="AF99" i="41"/>
  <c r="C99" i="41"/>
  <c r="B99" i="41"/>
  <c r="A99" i="41"/>
  <c r="AF98" i="41"/>
  <c r="C98" i="41"/>
  <c r="B98" i="41"/>
  <c r="A98" i="41"/>
  <c r="AF97" i="41"/>
  <c r="C97" i="41"/>
  <c r="B97" i="41"/>
  <c r="A97" i="41"/>
  <c r="AF96" i="41"/>
  <c r="C96" i="41"/>
  <c r="B96" i="41"/>
  <c r="A96" i="41"/>
  <c r="AF95" i="41"/>
  <c r="C95" i="41"/>
  <c r="B95" i="41"/>
  <c r="A95" i="41"/>
  <c r="AF94" i="41"/>
  <c r="C94" i="41"/>
  <c r="B94" i="41"/>
  <c r="A94" i="41"/>
  <c r="AF93" i="41"/>
  <c r="C93" i="41"/>
  <c r="B93" i="41"/>
  <c r="A93" i="41"/>
  <c r="AF92" i="41"/>
  <c r="C92" i="41"/>
  <c r="B92" i="41"/>
  <c r="A92" i="41"/>
  <c r="AF91" i="41"/>
  <c r="C91" i="41"/>
  <c r="B91" i="41"/>
  <c r="A91" i="41"/>
  <c r="AF90" i="41"/>
  <c r="C90" i="41"/>
  <c r="B90" i="41"/>
  <c r="A90" i="41"/>
  <c r="AF89" i="41"/>
  <c r="C89" i="41"/>
  <c r="B89" i="41"/>
  <c r="A89" i="41"/>
  <c r="AF88" i="41"/>
  <c r="C88" i="41"/>
  <c r="B88" i="41"/>
  <c r="A88" i="41"/>
  <c r="AF87" i="41"/>
  <c r="C87" i="41"/>
  <c r="B87" i="41"/>
  <c r="A87" i="41"/>
  <c r="AF86" i="41"/>
  <c r="C86" i="41"/>
  <c r="B86" i="41"/>
  <c r="A86" i="41"/>
  <c r="AF85" i="41"/>
  <c r="C85" i="41"/>
  <c r="B85" i="41"/>
  <c r="A85" i="41"/>
  <c r="AF84" i="41"/>
  <c r="C84" i="41"/>
  <c r="B84" i="41"/>
  <c r="A84" i="41"/>
  <c r="AF83" i="41"/>
  <c r="C83" i="41"/>
  <c r="B83" i="41"/>
  <c r="A83" i="41"/>
  <c r="AF82" i="41"/>
  <c r="C82" i="41"/>
  <c r="B82" i="41"/>
  <c r="A82" i="41"/>
  <c r="AF81" i="41"/>
  <c r="C81" i="41"/>
  <c r="B81" i="41"/>
  <c r="A81" i="41"/>
  <c r="AF80" i="41"/>
  <c r="C80" i="41"/>
  <c r="B80" i="41"/>
  <c r="A80" i="41"/>
  <c r="AF79" i="41"/>
  <c r="C79" i="41"/>
  <c r="B79" i="41"/>
  <c r="A79" i="41"/>
  <c r="AF78" i="41"/>
  <c r="C78" i="41"/>
  <c r="B78" i="41"/>
  <c r="A78" i="41"/>
  <c r="AF77" i="41"/>
  <c r="C77" i="41"/>
  <c r="B77" i="41"/>
  <c r="A77" i="41"/>
  <c r="AF76" i="41"/>
  <c r="C76" i="41"/>
  <c r="B76" i="41"/>
  <c r="A76" i="41"/>
  <c r="AF75" i="41"/>
  <c r="C75" i="41"/>
  <c r="B75" i="41"/>
  <c r="A75" i="41"/>
  <c r="AF74" i="41"/>
  <c r="C74" i="41"/>
  <c r="B74" i="41"/>
  <c r="A74" i="41"/>
  <c r="AF73" i="41"/>
  <c r="C73" i="41"/>
  <c r="B73" i="41"/>
  <c r="A73" i="41"/>
  <c r="AF72" i="41"/>
  <c r="C72" i="41"/>
  <c r="B72" i="41"/>
  <c r="A72" i="41"/>
  <c r="AF71" i="41"/>
  <c r="C71" i="41"/>
  <c r="B71" i="41"/>
  <c r="A71" i="41"/>
  <c r="AF70" i="41"/>
  <c r="C70" i="41"/>
  <c r="B70" i="41"/>
  <c r="A70" i="41"/>
  <c r="AF69" i="41"/>
  <c r="C69" i="41"/>
  <c r="B69" i="41"/>
  <c r="A69" i="41"/>
  <c r="AF68" i="41"/>
  <c r="C68" i="41"/>
  <c r="B68" i="41"/>
  <c r="A68" i="41"/>
  <c r="AF67" i="41"/>
  <c r="C67" i="41"/>
  <c r="B67" i="41"/>
  <c r="A67" i="41"/>
  <c r="AF66" i="41"/>
  <c r="C66" i="41"/>
  <c r="B66" i="41"/>
  <c r="A66" i="41"/>
  <c r="AF65" i="41"/>
  <c r="C65" i="41"/>
  <c r="B65" i="41"/>
  <c r="A65" i="41"/>
  <c r="AF64" i="41"/>
  <c r="C64" i="41"/>
  <c r="B64" i="41"/>
  <c r="A64" i="41"/>
  <c r="AF63" i="41"/>
  <c r="C63" i="41"/>
  <c r="B63" i="41"/>
  <c r="A63" i="41"/>
  <c r="AF62" i="41"/>
  <c r="C62" i="41"/>
  <c r="B62" i="41"/>
  <c r="A62" i="41"/>
  <c r="AF61" i="41"/>
  <c r="C61" i="41"/>
  <c r="B61" i="41"/>
  <c r="A61" i="41"/>
  <c r="AF60" i="41"/>
  <c r="C60" i="41"/>
  <c r="B60" i="41"/>
  <c r="A60" i="41"/>
  <c r="AF59" i="41"/>
  <c r="C59" i="41"/>
  <c r="B59" i="41"/>
  <c r="A59" i="41"/>
  <c r="AF58" i="41"/>
  <c r="C58" i="41"/>
  <c r="B58" i="41"/>
  <c r="A58" i="41"/>
  <c r="AF57" i="41"/>
  <c r="C57" i="41"/>
  <c r="B57" i="41"/>
  <c r="A57" i="41"/>
  <c r="AF56" i="41"/>
  <c r="C56" i="41"/>
  <c r="B56" i="41"/>
  <c r="A56" i="41"/>
  <c r="AF55" i="41"/>
  <c r="C55" i="41"/>
  <c r="B55" i="41"/>
  <c r="A55" i="41"/>
  <c r="AF54" i="41"/>
  <c r="C54" i="41"/>
  <c r="B54" i="41"/>
  <c r="A54" i="41"/>
  <c r="AF53" i="41"/>
  <c r="C53" i="41"/>
  <c r="B53" i="41"/>
  <c r="A53" i="41"/>
  <c r="AF52" i="41"/>
  <c r="C52" i="41"/>
  <c r="B52" i="41"/>
  <c r="A52" i="41"/>
  <c r="AF51" i="41"/>
  <c r="C51" i="41"/>
  <c r="B51" i="41"/>
  <c r="A51" i="41"/>
  <c r="AF50" i="41"/>
  <c r="C50" i="41"/>
  <c r="B50" i="41"/>
  <c r="A50" i="41"/>
  <c r="C49" i="41"/>
  <c r="B49" i="41"/>
  <c r="A49" i="41"/>
  <c r="AF48" i="41"/>
  <c r="C48" i="41"/>
  <c r="B48" i="41"/>
  <c r="A48" i="41"/>
  <c r="AF47" i="41"/>
  <c r="C47" i="41"/>
  <c r="B47" i="41"/>
  <c r="A47" i="41"/>
  <c r="AF46" i="41"/>
  <c r="C46" i="41"/>
  <c r="B46" i="41"/>
  <c r="A46" i="41"/>
  <c r="AF45" i="41"/>
  <c r="C45" i="41"/>
  <c r="B45" i="41"/>
  <c r="A45" i="41"/>
  <c r="AF44" i="41"/>
  <c r="C44" i="41"/>
  <c r="B44" i="41"/>
  <c r="A44" i="41"/>
  <c r="AF43" i="41"/>
  <c r="C43" i="41"/>
  <c r="B43" i="41"/>
  <c r="A43" i="41"/>
  <c r="AF42" i="41"/>
  <c r="C42" i="41"/>
  <c r="B42" i="41"/>
  <c r="A42" i="41"/>
  <c r="AF41" i="41"/>
  <c r="C41" i="41"/>
  <c r="B41" i="41"/>
  <c r="A41" i="41"/>
  <c r="AF40" i="41"/>
  <c r="C40" i="41"/>
  <c r="B40" i="41"/>
  <c r="A40" i="41"/>
  <c r="AF39" i="41"/>
  <c r="C39" i="41"/>
  <c r="B39" i="41"/>
  <c r="A39" i="41"/>
  <c r="AF38" i="41"/>
  <c r="C38" i="41"/>
  <c r="B38" i="41"/>
  <c r="A38" i="41"/>
  <c r="AF37" i="41"/>
  <c r="C37" i="41"/>
  <c r="B37" i="41"/>
  <c r="A37" i="41"/>
  <c r="AF36" i="41"/>
  <c r="C36" i="41"/>
  <c r="B36" i="41"/>
  <c r="A36" i="41"/>
  <c r="AF35" i="41"/>
  <c r="C35" i="41"/>
  <c r="B35" i="41"/>
  <c r="A35" i="41"/>
  <c r="AF34" i="41"/>
  <c r="C34" i="41"/>
  <c r="B34" i="41"/>
  <c r="A34" i="41"/>
  <c r="AF33" i="41"/>
  <c r="C33" i="41"/>
  <c r="B33" i="41"/>
  <c r="A33" i="41"/>
  <c r="AF32" i="41"/>
  <c r="C32" i="41"/>
  <c r="B32" i="41"/>
  <c r="A32" i="41"/>
  <c r="AF31" i="41"/>
  <c r="C31" i="41"/>
  <c r="B31" i="41"/>
  <c r="A31" i="41"/>
  <c r="AF30" i="41"/>
  <c r="C30" i="41"/>
  <c r="B30" i="41"/>
  <c r="A30" i="41"/>
  <c r="AF29" i="41"/>
  <c r="C29" i="41"/>
  <c r="B29" i="41"/>
  <c r="A29" i="41"/>
  <c r="AF28" i="41"/>
  <c r="C28" i="41"/>
  <c r="B28" i="41"/>
  <c r="A28" i="41"/>
  <c r="AF27" i="41"/>
  <c r="C27" i="41"/>
  <c r="B27" i="41"/>
  <c r="A27" i="41"/>
  <c r="AF26" i="41"/>
  <c r="C26" i="41"/>
  <c r="B26" i="41"/>
  <c r="A26" i="41"/>
  <c r="AF25" i="41"/>
  <c r="C25" i="41"/>
  <c r="B25" i="41"/>
  <c r="A25" i="41"/>
  <c r="AF24" i="41"/>
  <c r="C24" i="41"/>
  <c r="B24" i="41"/>
  <c r="A24" i="41"/>
  <c r="AF23" i="41"/>
  <c r="C23" i="41"/>
  <c r="B23" i="41"/>
  <c r="A23" i="41"/>
  <c r="AF22" i="41"/>
  <c r="C22" i="41"/>
  <c r="B22" i="41"/>
  <c r="A22" i="41"/>
  <c r="AF21" i="41"/>
  <c r="C21" i="41"/>
  <c r="B21" i="41"/>
  <c r="A21" i="41"/>
  <c r="AF20" i="41"/>
  <c r="C20" i="41"/>
  <c r="B20" i="41"/>
  <c r="A20" i="41"/>
  <c r="AF19" i="41"/>
  <c r="C19" i="41"/>
  <c r="B19" i="41"/>
  <c r="A19" i="41"/>
  <c r="AF18" i="41"/>
  <c r="C18" i="41"/>
  <c r="B18" i="41"/>
  <c r="A18" i="41"/>
  <c r="AF17" i="41"/>
  <c r="C17" i="41"/>
  <c r="B17" i="41"/>
  <c r="A17" i="41"/>
  <c r="AF16" i="41"/>
  <c r="C16" i="41"/>
  <c r="B16" i="41"/>
  <c r="A16" i="41"/>
  <c r="AF15" i="41"/>
  <c r="C15" i="41"/>
  <c r="B15" i="41"/>
  <c r="A15" i="41"/>
  <c r="AF14" i="41"/>
  <c r="C14" i="41"/>
  <c r="B14" i="41"/>
  <c r="A14" i="41"/>
  <c r="AF13" i="41"/>
  <c r="C13" i="41"/>
  <c r="B13" i="41"/>
  <c r="A13" i="41"/>
  <c r="AF12" i="41"/>
  <c r="C12" i="41"/>
  <c r="B12" i="41"/>
  <c r="A12" i="41"/>
  <c r="AF11" i="41"/>
  <c r="C11" i="41"/>
  <c r="B11" i="41"/>
  <c r="A11" i="41"/>
  <c r="AF10" i="41"/>
  <c r="C10" i="41"/>
  <c r="B10" i="41"/>
  <c r="A10" i="41"/>
  <c r="AF9" i="41"/>
  <c r="C9" i="41"/>
  <c r="B9" i="41"/>
  <c r="A9" i="41"/>
  <c r="AF8" i="41"/>
  <c r="C8" i="41"/>
  <c r="B8" i="41"/>
  <c r="A8" i="41"/>
  <c r="P10" i="45" l="1"/>
  <c r="E36" i="50"/>
  <c r="G36" i="50" s="1"/>
  <c r="O36" i="50" s="1"/>
  <c r="E35" i="50"/>
  <c r="G35" i="50" s="1"/>
  <c r="O35" i="50" s="1"/>
  <c r="E34" i="50"/>
  <c r="G34" i="50" s="1"/>
  <c r="O34" i="50" s="1"/>
  <c r="E33" i="50"/>
  <c r="G33" i="50" s="1"/>
  <c r="O33" i="50" s="1"/>
  <c r="E30" i="50"/>
  <c r="G30" i="50" s="1"/>
  <c r="O30" i="50" s="1"/>
  <c r="N55" i="50"/>
  <c r="E32" i="50"/>
  <c r="G32" i="50" s="1"/>
  <c r="O32" i="50" s="1"/>
  <c r="E31" i="50"/>
  <c r="G31" i="50" s="1"/>
  <c r="O31" i="50" s="1"/>
  <c r="B3" i="50"/>
  <c r="D3" i="50"/>
  <c r="E29" i="50"/>
  <c r="G29" i="50" s="1"/>
  <c r="O29" i="50" s="1"/>
  <c r="E25" i="50"/>
  <c r="E28" i="50"/>
  <c r="G28" i="50" s="1"/>
  <c r="O28" i="50" s="1"/>
  <c r="E27" i="50"/>
  <c r="G27" i="50" s="1"/>
  <c r="O27" i="50" s="1"/>
  <c r="E26" i="50"/>
  <c r="G26" i="50" s="1"/>
  <c r="O26" i="50" s="1"/>
  <c r="O46" i="50"/>
  <c r="N44" i="50"/>
  <c r="O45" i="50"/>
  <c r="O43" i="50"/>
  <c r="O44" i="50"/>
  <c r="N43" i="50"/>
  <c r="N45" i="50"/>
  <c r="N46" i="50"/>
  <c r="AQ348" i="41"/>
  <c r="N53" i="50"/>
  <c r="AR348" i="41"/>
  <c r="N54" i="50"/>
  <c r="E6" i="44"/>
  <c r="E291" i="31"/>
  <c r="E90" i="31"/>
  <c r="E49" i="31"/>
  <c r="E8" i="31"/>
  <c r="E283" i="31"/>
  <c r="E202" i="31"/>
  <c r="E301" i="31"/>
  <c r="E105" i="31"/>
  <c r="E100" i="31"/>
  <c r="E278" i="31"/>
  <c r="E307" i="31"/>
  <c r="E318" i="31"/>
  <c r="E96" i="31"/>
  <c r="E15" i="31"/>
  <c r="E94" i="31"/>
  <c r="E99" i="31"/>
  <c r="E33" i="31"/>
  <c r="E112" i="31"/>
  <c r="E231" i="31"/>
  <c r="E70" i="31"/>
  <c r="E29" i="31"/>
  <c r="E331" i="31"/>
  <c r="E263" i="31"/>
  <c r="E182" i="31"/>
  <c r="E281" i="31"/>
  <c r="E25" i="31"/>
  <c r="E80" i="31"/>
  <c r="E198" i="31"/>
  <c r="E247" i="31"/>
  <c r="E258" i="31"/>
  <c r="E76" i="31"/>
  <c r="E206" i="31"/>
  <c r="E74" i="31"/>
  <c r="E338" i="31"/>
  <c r="E13" i="31"/>
  <c r="E92" i="31"/>
  <c r="E125" i="31"/>
  <c r="E51" i="31"/>
  <c r="E183" i="31"/>
  <c r="E224" i="31"/>
  <c r="E47" i="31"/>
  <c r="E119" i="31"/>
  <c r="E333" i="31"/>
  <c r="E12" i="31"/>
  <c r="E315" i="31"/>
  <c r="E289" i="31"/>
  <c r="E123" i="31"/>
  <c r="E42" i="31"/>
  <c r="E271" i="31"/>
  <c r="E336" i="31"/>
  <c r="E147" i="31"/>
  <c r="E169" i="31"/>
  <c r="E245" i="31"/>
  <c r="E232" i="31"/>
  <c r="E85" i="31"/>
  <c r="E97" i="31"/>
  <c r="E86" i="31"/>
  <c r="E88" i="31"/>
  <c r="E77" i="31"/>
  <c r="E192" i="31"/>
  <c r="E343" i="31"/>
  <c r="E31" i="31"/>
  <c r="E48" i="31"/>
  <c r="E37" i="31"/>
  <c r="E134" i="31"/>
  <c r="E321" i="31"/>
  <c r="E120" i="31"/>
  <c r="E17" i="31"/>
  <c r="E114" i="31"/>
  <c r="E132" i="31"/>
  <c r="E219" i="31"/>
  <c r="E28" i="31"/>
  <c r="E191" i="31"/>
  <c r="E50" i="31"/>
  <c r="E9" i="31"/>
  <c r="E251" i="31"/>
  <c r="E243" i="31"/>
  <c r="E162" i="31"/>
  <c r="E261" i="31"/>
  <c r="E344" i="31"/>
  <c r="E60" i="31"/>
  <c r="E58" i="31"/>
  <c r="E187" i="31"/>
  <c r="E238" i="31"/>
  <c r="E56" i="31"/>
  <c r="E265" i="31"/>
  <c r="E54" i="31"/>
  <c r="E78" i="31"/>
  <c r="E71" i="31"/>
  <c r="E72" i="31"/>
  <c r="E308" i="31"/>
  <c r="E204" i="31"/>
  <c r="E286" i="31"/>
  <c r="E244" i="31"/>
  <c r="E170" i="31"/>
  <c r="E93" i="31"/>
  <c r="E341" i="31"/>
  <c r="E171" i="31"/>
  <c r="E30" i="31"/>
  <c r="E348" i="31"/>
  <c r="E151" i="31"/>
  <c r="E223" i="31"/>
  <c r="E142" i="31"/>
  <c r="E241" i="31"/>
  <c r="E304" i="31"/>
  <c r="E40" i="31"/>
  <c r="E337" i="31"/>
  <c r="E127" i="31"/>
  <c r="E218" i="31"/>
  <c r="E36" i="31"/>
  <c r="E279" i="31"/>
  <c r="E34" i="31"/>
  <c r="E295" i="31"/>
  <c r="E66" i="31"/>
  <c r="E52" i="31"/>
  <c r="E111" i="31"/>
  <c r="E10" i="31"/>
  <c r="E328" i="31"/>
  <c r="E167" i="31"/>
  <c r="E203" i="31"/>
  <c r="E122" i="31"/>
  <c r="E221" i="31"/>
  <c r="E284" i="31"/>
  <c r="E20" i="31"/>
  <c r="E317" i="31"/>
  <c r="E87" i="31"/>
  <c r="E178" i="31"/>
  <c r="E16" i="31"/>
  <c r="E199" i="31"/>
  <c r="E14" i="31"/>
  <c r="E7" i="31"/>
  <c r="E32" i="31"/>
  <c r="E349" i="31"/>
  <c r="E126" i="31"/>
  <c r="E102" i="31"/>
  <c r="E201" i="31"/>
  <c r="E246" i="31"/>
  <c r="E297" i="31"/>
  <c r="E158" i="31"/>
  <c r="E339" i="31"/>
  <c r="E327" i="31"/>
  <c r="E319" i="31"/>
  <c r="E227" i="31"/>
  <c r="E248" i="31"/>
  <c r="E141" i="31"/>
  <c r="E237" i="31"/>
  <c r="E334" i="31"/>
  <c r="E352" i="31"/>
  <c r="E128" i="31"/>
  <c r="E220" i="31"/>
  <c r="E135" i="31"/>
  <c r="E190" i="31"/>
  <c r="E311" i="31"/>
  <c r="E115" i="31"/>
  <c r="E322" i="31"/>
  <c r="E211" i="31"/>
  <c r="E176" i="31"/>
  <c r="E113" i="31"/>
  <c r="E68" i="31"/>
  <c r="E89" i="31"/>
  <c r="E345" i="31"/>
  <c r="E55" i="31"/>
  <c r="E303" i="31"/>
  <c r="E116" i="31"/>
  <c r="E11" i="31"/>
  <c r="E329" i="31"/>
  <c r="E288" i="31"/>
  <c r="E305" i="31"/>
  <c r="E163" i="31"/>
  <c r="E82" i="31"/>
  <c r="E181" i="31"/>
  <c r="E84" i="31"/>
  <c r="E79" i="31"/>
  <c r="E277" i="31"/>
  <c r="E346" i="31"/>
  <c r="E98" i="31"/>
  <c r="E335" i="31"/>
  <c r="E19" i="31"/>
  <c r="E267" i="31"/>
  <c r="E313" i="31"/>
  <c r="E118" i="31"/>
  <c r="E350" i="31"/>
  <c r="E309" i="31"/>
  <c r="E268" i="31"/>
  <c r="E264" i="31"/>
  <c r="E143" i="31"/>
  <c r="E62" i="31"/>
  <c r="E161" i="31"/>
  <c r="E302" i="31"/>
  <c r="E351" i="31"/>
  <c r="E257" i="31"/>
  <c r="E306" i="31"/>
  <c r="E38" i="31"/>
  <c r="E275" i="31"/>
  <c r="E138" i="31"/>
  <c r="E293" i="31"/>
  <c r="E330" i="31"/>
  <c r="E340" i="31"/>
  <c r="E255" i="31"/>
  <c r="E273" i="31"/>
  <c r="E210" i="31"/>
  <c r="E117" i="31"/>
  <c r="E153" i="31"/>
  <c r="E184" i="31"/>
  <c r="E145" i="31"/>
  <c r="E196" i="31"/>
  <c r="E212" i="31"/>
  <c r="E129" i="31"/>
  <c r="E45" i="31"/>
  <c r="E262" i="31"/>
  <c r="E160" i="31"/>
  <c r="E57" i="31"/>
  <c r="E239" i="31"/>
  <c r="E156" i="31"/>
  <c r="E75" i="31"/>
  <c r="E154" i="31"/>
  <c r="E65" i="31"/>
  <c r="E130" i="31"/>
  <c r="E139" i="31"/>
  <c r="E259" i="31"/>
  <c r="E205" i="31"/>
  <c r="E59" i="31"/>
  <c r="E179" i="31"/>
  <c r="E310" i="31"/>
  <c r="E269" i="31"/>
  <c r="E228" i="31"/>
  <c r="E144" i="31"/>
  <c r="E103" i="31"/>
  <c r="E22" i="31"/>
  <c r="E121" i="31"/>
  <c r="E320" i="31"/>
  <c r="E131" i="31"/>
  <c r="E217" i="31"/>
  <c r="E226" i="31"/>
  <c r="E316" i="31"/>
  <c r="E235" i="31"/>
  <c r="E314" i="31"/>
  <c r="E107" i="31"/>
  <c r="E253" i="31"/>
  <c r="E332" i="31"/>
  <c r="E270" i="31"/>
  <c r="E229" i="31"/>
  <c r="E188" i="31"/>
  <c r="E104" i="31"/>
  <c r="E63" i="31"/>
  <c r="E46" i="31"/>
  <c r="E81" i="31"/>
  <c r="E280" i="31"/>
  <c r="E146" i="31"/>
  <c r="E106" i="31"/>
  <c r="E276" i="31"/>
  <c r="E195" i="31"/>
  <c r="E274" i="31"/>
  <c r="E27" i="31"/>
  <c r="E213" i="31"/>
  <c r="E292" i="31"/>
  <c r="E250" i="31"/>
  <c r="E168" i="31"/>
  <c r="E44" i="31"/>
  <c r="E43" i="31"/>
  <c r="E185" i="31"/>
  <c r="E61" i="31"/>
  <c r="E260" i="31"/>
  <c r="E157" i="31"/>
  <c r="E26" i="31"/>
  <c r="E256" i="31"/>
  <c r="E254" i="31"/>
  <c r="E326" i="31"/>
  <c r="E272" i="31"/>
  <c r="E189" i="31"/>
  <c r="E23" i="31"/>
  <c r="E41" i="31"/>
  <c r="E298" i="31"/>
  <c r="E325" i="31"/>
  <c r="E155" i="31"/>
  <c r="E266" i="31"/>
  <c r="E252" i="31"/>
  <c r="E287" i="31"/>
  <c r="E21" i="31"/>
  <c r="E216" i="31"/>
  <c r="E186" i="31"/>
  <c r="E108" i="31"/>
  <c r="E64" i="31"/>
  <c r="E165" i="31"/>
  <c r="E133" i="31"/>
  <c r="E164" i="31"/>
  <c r="E180" i="31"/>
  <c r="E174" i="31"/>
  <c r="E109" i="31"/>
  <c r="E323" i="31"/>
  <c r="E140" i="31"/>
  <c r="E136" i="31"/>
  <c r="E73" i="31"/>
  <c r="E69" i="31"/>
  <c r="E35" i="31"/>
  <c r="E290" i="31"/>
  <c r="E249" i="31"/>
  <c r="E208" i="31"/>
  <c r="E124" i="31"/>
  <c r="E83" i="31"/>
  <c r="E91" i="31"/>
  <c r="E101" i="31"/>
  <c r="E300" i="31"/>
  <c r="E207" i="31"/>
  <c r="E197" i="31"/>
  <c r="E166" i="31"/>
  <c r="E296" i="31"/>
  <c r="E215" i="31"/>
  <c r="E294" i="31"/>
  <c r="E67" i="31"/>
  <c r="E233" i="31"/>
  <c r="E312" i="31"/>
  <c r="E177" i="31"/>
  <c r="E209" i="31"/>
  <c r="E285" i="31"/>
  <c r="E175" i="31"/>
  <c r="E193" i="31"/>
  <c r="E230" i="31"/>
  <c r="E148" i="31"/>
  <c r="E24" i="31"/>
  <c r="E324" i="31"/>
  <c r="E240" i="31"/>
  <c r="E137" i="31"/>
  <c r="E236" i="31"/>
  <c r="E234" i="31"/>
  <c r="E173" i="31"/>
  <c r="E347" i="31"/>
  <c r="E18" i="31"/>
  <c r="E214" i="31"/>
  <c r="E149" i="31"/>
  <c r="E200" i="31"/>
  <c r="E194" i="31"/>
  <c r="E342" i="31"/>
  <c r="E299" i="31"/>
  <c r="E95" i="31"/>
  <c r="E225" i="31"/>
  <c r="E150" i="31"/>
  <c r="E172" i="31"/>
  <c r="E242" i="31"/>
  <c r="E159" i="31"/>
  <c r="E152" i="31"/>
  <c r="E222" i="31"/>
  <c r="E39" i="31"/>
  <c r="E53" i="31"/>
  <c r="E282" i="31"/>
  <c r="E110" i="31"/>
  <c r="E5" i="25"/>
  <c r="N2" i="29"/>
  <c r="J4" i="31" s="1"/>
  <c r="E14" i="29"/>
  <c r="F38" i="29"/>
  <c r="F50" i="29" s="1"/>
  <c r="AH8" i="44"/>
  <c r="D6" i="31" s="1"/>
  <c r="F6" i="25"/>
  <c r="S4" i="49" s="1"/>
  <c r="T153" i="45"/>
  <c r="U153" i="45" s="1"/>
  <c r="T344" i="45"/>
  <c r="U344" i="45" s="1"/>
  <c r="T301" i="45"/>
  <c r="U301" i="45" s="1"/>
  <c r="T312" i="45"/>
  <c r="U312" i="45" s="1"/>
  <c r="T195" i="45"/>
  <c r="U195" i="45" s="1"/>
  <c r="T283" i="45"/>
  <c r="U283" i="45" s="1"/>
  <c r="T288" i="45"/>
  <c r="U288" i="45" s="1"/>
  <c r="T21" i="45"/>
  <c r="U21" i="45" s="1"/>
  <c r="T332" i="45"/>
  <c r="U332" i="45" s="1"/>
  <c r="T137" i="45"/>
  <c r="U137" i="45" s="1"/>
  <c r="T321" i="45"/>
  <c r="U321" i="45" s="1"/>
  <c r="T307" i="45"/>
  <c r="U307" i="45" s="1"/>
  <c r="T18" i="45"/>
  <c r="U18" i="45" s="1"/>
  <c r="T82" i="45"/>
  <c r="U82" i="45" s="1"/>
  <c r="T202" i="45"/>
  <c r="U202" i="45" s="1"/>
  <c r="T305" i="45"/>
  <c r="U305" i="45" s="1"/>
  <c r="T150" i="45"/>
  <c r="U150" i="45" s="1"/>
  <c r="T188" i="45"/>
  <c r="U188" i="45" s="1"/>
  <c r="T347" i="45"/>
  <c r="U347" i="45" s="1"/>
  <c r="T261" i="45"/>
  <c r="U261" i="45" s="1"/>
  <c r="T203" i="45"/>
  <c r="U203" i="45" s="1"/>
  <c r="T211" i="45"/>
  <c r="U211" i="45" s="1"/>
  <c r="T10" i="45"/>
  <c r="U10" i="45" s="1"/>
  <c r="T269" i="45"/>
  <c r="U269" i="45" s="1"/>
  <c r="T185" i="45"/>
  <c r="U185" i="45" s="1"/>
  <c r="T63" i="45"/>
  <c r="U63" i="45" s="1"/>
  <c r="T60" i="45"/>
  <c r="U60" i="45" s="1"/>
  <c r="T225" i="45"/>
  <c r="U225" i="45" s="1"/>
  <c r="T101" i="45"/>
  <c r="U101" i="45" s="1"/>
  <c r="T107" i="45"/>
  <c r="U107" i="45" s="1"/>
  <c r="T281" i="45"/>
  <c r="U281" i="45" s="1"/>
  <c r="T29" i="45"/>
  <c r="U29" i="45" s="1"/>
  <c r="T266" i="45"/>
  <c r="U266" i="45" s="1"/>
  <c r="T257" i="45"/>
  <c r="U257" i="45" s="1"/>
  <c r="T36" i="45"/>
  <c r="U36" i="45" s="1"/>
  <c r="T53" i="45"/>
  <c r="U53" i="45" s="1"/>
  <c r="T260" i="45"/>
  <c r="U260" i="45" s="1"/>
  <c r="T230" i="45"/>
  <c r="U230" i="45" s="1"/>
  <c r="T337" i="45"/>
  <c r="U337" i="45" s="1"/>
  <c r="T334" i="45"/>
  <c r="U334" i="45" s="1"/>
  <c r="T162" i="45"/>
  <c r="U162" i="45" s="1"/>
  <c r="T215" i="45"/>
  <c r="U215" i="45" s="1"/>
  <c r="T71" i="45"/>
  <c r="U71" i="45" s="1"/>
  <c r="T210" i="45"/>
  <c r="U210" i="45" s="1"/>
  <c r="T112" i="45"/>
  <c r="U112" i="45" s="1"/>
  <c r="T227" i="45"/>
  <c r="U227" i="45" s="1"/>
  <c r="T300" i="45"/>
  <c r="U300" i="45" s="1"/>
  <c r="T31" i="45"/>
  <c r="U31" i="45" s="1"/>
  <c r="T45" i="45"/>
  <c r="U45" i="45" s="1"/>
  <c r="T335" i="45"/>
  <c r="U335" i="45" s="1"/>
  <c r="T34" i="45"/>
  <c r="U34" i="45" s="1"/>
  <c r="T182" i="45"/>
  <c r="U182" i="45" s="1"/>
  <c r="T349" i="45"/>
  <c r="U349" i="45" s="1"/>
  <c r="T163" i="45"/>
  <c r="U163" i="45" s="1"/>
  <c r="T99" i="45"/>
  <c r="U99" i="45" s="1"/>
  <c r="T164" i="45"/>
  <c r="U164" i="45" s="1"/>
  <c r="T194" i="45"/>
  <c r="U194" i="45" s="1"/>
  <c r="T13" i="45"/>
  <c r="U13" i="45" s="1"/>
  <c r="T302" i="45"/>
  <c r="U302" i="45" s="1"/>
  <c r="T220" i="45"/>
  <c r="U220" i="45" s="1"/>
  <c r="T42" i="45"/>
  <c r="U42" i="45" s="1"/>
  <c r="T116" i="45"/>
  <c r="U116" i="45" s="1"/>
  <c r="T119" i="45"/>
  <c r="U119" i="45" s="1"/>
  <c r="T276" i="45"/>
  <c r="U276" i="45" s="1"/>
  <c r="T192" i="45"/>
  <c r="U192" i="45" s="1"/>
  <c r="T69" i="45"/>
  <c r="U69" i="45" s="1"/>
  <c r="T342" i="45"/>
  <c r="U342" i="45" s="1"/>
  <c r="T191" i="45"/>
  <c r="U191" i="45" s="1"/>
  <c r="T343" i="45"/>
  <c r="U343" i="45" s="1"/>
  <c r="T308" i="45"/>
  <c r="U308" i="45" s="1"/>
  <c r="T98" i="45"/>
  <c r="U98" i="45" s="1"/>
  <c r="T309" i="45"/>
  <c r="U309" i="45" s="1"/>
  <c r="T263" i="45"/>
  <c r="U263" i="45" s="1"/>
  <c r="T318" i="45"/>
  <c r="U318" i="45" s="1"/>
  <c r="T139" i="45"/>
  <c r="U139" i="45" s="1"/>
  <c r="T259" i="45"/>
  <c r="U259" i="45" s="1"/>
  <c r="T253" i="45"/>
  <c r="U253" i="45" s="1"/>
  <c r="T113" i="45"/>
  <c r="U113" i="45" s="1"/>
  <c r="T228" i="45"/>
  <c r="U228" i="45" s="1"/>
  <c r="T151" i="45"/>
  <c r="U151" i="45" s="1"/>
  <c r="T223" i="45"/>
  <c r="U223" i="45" s="1"/>
  <c r="T252" i="45"/>
  <c r="U252" i="45" s="1"/>
  <c r="T251" i="45"/>
  <c r="U251" i="45" s="1"/>
  <c r="T58" i="45"/>
  <c r="U58" i="45" s="1"/>
  <c r="T90" i="45"/>
  <c r="U90" i="45" s="1"/>
  <c r="T217" i="45"/>
  <c r="U217" i="45" s="1"/>
  <c r="T329" i="45"/>
  <c r="U329" i="45" s="1"/>
  <c r="T245" i="45"/>
  <c r="U245" i="45" s="1"/>
  <c r="T80" i="45"/>
  <c r="U80" i="45" s="1"/>
  <c r="T114" i="45"/>
  <c r="U114" i="45" s="1"/>
  <c r="T143" i="45"/>
  <c r="U143" i="45" s="1"/>
  <c r="T157" i="45"/>
  <c r="U157" i="45" s="1"/>
  <c r="T95" i="45"/>
  <c r="U95" i="45" s="1"/>
  <c r="T165" i="45"/>
  <c r="U165" i="45" s="1"/>
  <c r="T319" i="45"/>
  <c r="U319" i="45" s="1"/>
  <c r="T9" i="45"/>
  <c r="U9" i="45" s="1"/>
  <c r="T117" i="45"/>
  <c r="U117" i="45" s="1"/>
  <c r="T186" i="45"/>
  <c r="U186" i="45" s="1"/>
  <c r="T19" i="45"/>
  <c r="U19" i="45" s="1"/>
  <c r="T52" i="45"/>
  <c r="U52" i="45" s="1"/>
  <c r="T169" i="45"/>
  <c r="U169" i="45" s="1"/>
  <c r="T197" i="45"/>
  <c r="U197" i="45" s="1"/>
  <c r="T181" i="45"/>
  <c r="U181" i="45" s="1"/>
  <c r="T222" i="45"/>
  <c r="U222" i="45" s="1"/>
  <c r="T20" i="45"/>
  <c r="U20" i="45" s="1"/>
  <c r="T193" i="45"/>
  <c r="U193" i="45" s="1"/>
  <c r="T149" i="45"/>
  <c r="U149" i="45" s="1"/>
  <c r="T249" i="45"/>
  <c r="U249" i="45" s="1"/>
  <c r="T109" i="45"/>
  <c r="U109" i="45" s="1"/>
  <c r="T238" i="45"/>
  <c r="U238" i="45" s="1"/>
  <c r="T198" i="45"/>
  <c r="U198" i="45" s="1"/>
  <c r="T235" i="45"/>
  <c r="U235" i="45" s="1"/>
  <c r="T161" i="45"/>
  <c r="U161" i="45" s="1"/>
  <c r="T273" i="45"/>
  <c r="U273" i="45" s="1"/>
  <c r="T15" i="45"/>
  <c r="U15" i="45" s="1"/>
  <c r="T67" i="45"/>
  <c r="U67" i="45" s="1"/>
  <c r="T171" i="45"/>
  <c r="U171" i="45" s="1"/>
  <c r="T96" i="45"/>
  <c r="U96" i="45" s="1"/>
  <c r="T48" i="45"/>
  <c r="U48" i="45" s="1"/>
  <c r="T132" i="45"/>
  <c r="U132" i="45" s="1"/>
  <c r="T147" i="45"/>
  <c r="U147" i="45" s="1"/>
  <c r="T28" i="45"/>
  <c r="U28" i="45" s="1"/>
  <c r="T280" i="45"/>
  <c r="U280" i="45" s="1"/>
  <c r="T218" i="45"/>
  <c r="U218" i="45" s="1"/>
  <c r="T23" i="45"/>
  <c r="U23" i="45" s="1"/>
  <c r="T296" i="45"/>
  <c r="U296" i="45" s="1"/>
  <c r="T316" i="45"/>
  <c r="U316" i="45" s="1"/>
  <c r="T11" i="45"/>
  <c r="U11" i="45" s="1"/>
  <c r="T237" i="45"/>
  <c r="U237" i="45" s="1"/>
  <c r="T323" i="45"/>
  <c r="U323" i="45" s="1"/>
  <c r="T61" i="45"/>
  <c r="U61" i="45" s="1"/>
  <c r="T234" i="45"/>
  <c r="U234" i="45" s="1"/>
  <c r="T209" i="45"/>
  <c r="U209" i="45" s="1"/>
  <c r="T184" i="45"/>
  <c r="U184" i="45" s="1"/>
  <c r="T154" i="45"/>
  <c r="U154" i="45" s="1"/>
  <c r="T145" i="45"/>
  <c r="U145" i="45" s="1"/>
  <c r="T331" i="45"/>
  <c r="U331" i="45" s="1"/>
  <c r="T199" i="45"/>
  <c r="U199" i="45" s="1"/>
  <c r="T326" i="45"/>
  <c r="U326" i="45" s="1"/>
  <c r="T200" i="45"/>
  <c r="U200" i="45" s="1"/>
  <c r="T286" i="45"/>
  <c r="U286" i="45" s="1"/>
  <c r="T289" i="45"/>
  <c r="U289" i="45" s="1"/>
  <c r="T179" i="45"/>
  <c r="U179" i="45" s="1"/>
  <c r="T17" i="45"/>
  <c r="U17" i="45" s="1"/>
  <c r="T166" i="45"/>
  <c r="U166" i="45" s="1"/>
  <c r="T239" i="45"/>
  <c r="U239" i="45" s="1"/>
  <c r="T85" i="45"/>
  <c r="U85" i="45" s="1"/>
  <c r="T110" i="45"/>
  <c r="U110" i="45" s="1"/>
  <c r="T254" i="45"/>
  <c r="U254" i="45" s="1"/>
  <c r="T89" i="45"/>
  <c r="U89" i="45" s="1"/>
  <c r="T214" i="45"/>
  <c r="U214" i="45" s="1"/>
  <c r="T77" i="45"/>
  <c r="U77" i="45" s="1"/>
  <c r="T76" i="45"/>
  <c r="U76" i="45" s="1"/>
  <c r="T285" i="45"/>
  <c r="U285" i="45" s="1"/>
  <c r="T219" i="45"/>
  <c r="U219" i="45" s="1"/>
  <c r="T152" i="45"/>
  <c r="U152" i="45" s="1"/>
  <c r="T136" i="45"/>
  <c r="U136" i="45" s="1"/>
  <c r="T250" i="45"/>
  <c r="U250" i="45" s="1"/>
  <c r="T311" i="45"/>
  <c r="U311" i="45" s="1"/>
  <c r="T84" i="45"/>
  <c r="U84" i="45" s="1"/>
  <c r="T22" i="45"/>
  <c r="U22" i="45" s="1"/>
  <c r="T102" i="45"/>
  <c r="U102" i="45" s="1"/>
  <c r="T134" i="45"/>
  <c r="U134" i="45" s="1"/>
  <c r="T339" i="45"/>
  <c r="U339" i="45" s="1"/>
  <c r="T124" i="45"/>
  <c r="U124" i="45" s="1"/>
  <c r="T41" i="45"/>
  <c r="U41" i="45" s="1"/>
  <c r="T207" i="45"/>
  <c r="U207" i="45" s="1"/>
  <c r="T290" i="45"/>
  <c r="U290" i="45" s="1"/>
  <c r="T325" i="45"/>
  <c r="U325" i="45" s="1"/>
  <c r="T291" i="45"/>
  <c r="U291" i="45" s="1"/>
  <c r="T187" i="45"/>
  <c r="U187" i="45" s="1"/>
  <c r="T243" i="45"/>
  <c r="U243" i="45" s="1"/>
  <c r="T315" i="45"/>
  <c r="U315" i="45" s="1"/>
  <c r="T328" i="45"/>
  <c r="U328" i="45" s="1"/>
  <c r="T144" i="45"/>
  <c r="U144" i="45" s="1"/>
  <c r="T93" i="45"/>
  <c r="U93" i="45" s="1"/>
  <c r="T74" i="45"/>
  <c r="U74" i="45" s="1"/>
  <c r="T264" i="45"/>
  <c r="U264" i="45" s="1"/>
  <c r="T142" i="45"/>
  <c r="U142" i="45" s="1"/>
  <c r="T43" i="45"/>
  <c r="U43" i="45" s="1"/>
  <c r="T258" i="45"/>
  <c r="U258" i="45" s="1"/>
  <c r="T287" i="45"/>
  <c r="U287" i="45" s="1"/>
  <c r="T340" i="45"/>
  <c r="U340" i="45" s="1"/>
  <c r="T354" i="45"/>
  <c r="U354" i="45" s="1"/>
  <c r="T299" i="45"/>
  <c r="U299" i="45" s="1"/>
  <c r="T170" i="45"/>
  <c r="U170" i="45" s="1"/>
  <c r="T97" i="45"/>
  <c r="U97" i="45" s="1"/>
  <c r="T226" i="45"/>
  <c r="U226" i="45" s="1"/>
  <c r="T241" i="45"/>
  <c r="U241" i="45" s="1"/>
  <c r="T298" i="45"/>
  <c r="U298" i="45" s="1"/>
  <c r="T27" i="45"/>
  <c r="U27" i="45" s="1"/>
  <c r="T140" i="45"/>
  <c r="U140" i="45" s="1"/>
  <c r="T168" i="45"/>
  <c r="U168" i="45" s="1"/>
  <c r="T156" i="45"/>
  <c r="U156" i="45" s="1"/>
  <c r="T350" i="45"/>
  <c r="U350" i="45" s="1"/>
  <c r="T25" i="45"/>
  <c r="U25" i="45" s="1"/>
  <c r="T336" i="45"/>
  <c r="U336" i="45" s="1"/>
  <c r="T100" i="45"/>
  <c r="U100" i="45" s="1"/>
  <c r="T173" i="45"/>
  <c r="U173" i="45" s="1"/>
  <c r="T189" i="45"/>
  <c r="U189" i="45" s="1"/>
  <c r="T73" i="45"/>
  <c r="U73" i="45" s="1"/>
  <c r="T247" i="45"/>
  <c r="U247" i="45" s="1"/>
  <c r="T353" i="45"/>
  <c r="U353" i="45" s="1"/>
  <c r="T221" i="45"/>
  <c r="U221" i="45" s="1"/>
  <c r="T94" i="45"/>
  <c r="U94" i="45" s="1"/>
  <c r="T231" i="45"/>
  <c r="U231" i="45" s="1"/>
  <c r="T138" i="45"/>
  <c r="U138" i="45" s="1"/>
  <c r="T108" i="45"/>
  <c r="U108" i="45" s="1"/>
  <c r="T322" i="45"/>
  <c r="U322" i="45" s="1"/>
  <c r="T272" i="45"/>
  <c r="U272" i="45" s="1"/>
  <c r="T183" i="45"/>
  <c r="U183" i="45" s="1"/>
  <c r="T79" i="45"/>
  <c r="U79" i="45" s="1"/>
  <c r="T83" i="45"/>
  <c r="U83" i="45" s="1"/>
  <c r="T338" i="45"/>
  <c r="U338" i="45" s="1"/>
  <c r="T92" i="45"/>
  <c r="U92" i="45" s="1"/>
  <c r="T317" i="45"/>
  <c r="U317" i="45" s="1"/>
  <c r="T54" i="45"/>
  <c r="U54" i="45" s="1"/>
  <c r="T104" i="45"/>
  <c r="U104" i="45" s="1"/>
  <c r="T206" i="45"/>
  <c r="U206" i="45" s="1"/>
  <c r="T204" i="45"/>
  <c r="U204" i="45" s="1"/>
  <c r="T201" i="45"/>
  <c r="U201" i="45" s="1"/>
  <c r="T167" i="45"/>
  <c r="U167" i="45" s="1"/>
  <c r="T72" i="45"/>
  <c r="U72" i="45" s="1"/>
  <c r="T255" i="45"/>
  <c r="U255" i="45" s="1"/>
  <c r="T297" i="45"/>
  <c r="U297" i="45" s="1"/>
  <c r="T306" i="45"/>
  <c r="U306" i="45" s="1"/>
  <c r="T190" i="45"/>
  <c r="U190" i="45" s="1"/>
  <c r="T50" i="45"/>
  <c r="U50" i="45" s="1"/>
  <c r="T233" i="45"/>
  <c r="U233" i="45" s="1"/>
  <c r="T348" i="45"/>
  <c r="U348" i="45" s="1"/>
  <c r="T155" i="45"/>
  <c r="U155" i="45" s="1"/>
  <c r="T244" i="45"/>
  <c r="U244" i="45" s="1"/>
  <c r="T324" i="45"/>
  <c r="U324" i="45" s="1"/>
  <c r="T175" i="45"/>
  <c r="U175" i="45" s="1"/>
  <c r="T172" i="45"/>
  <c r="U172" i="45" s="1"/>
  <c r="T26" i="45"/>
  <c r="U26" i="45" s="1"/>
  <c r="T86" i="45"/>
  <c r="U86" i="45" s="1"/>
  <c r="T159" i="45"/>
  <c r="U159" i="45" s="1"/>
  <c r="T133" i="45"/>
  <c r="U133" i="45" s="1"/>
  <c r="T160" i="45"/>
  <c r="U160" i="45" s="1"/>
  <c r="T62" i="45"/>
  <c r="U62" i="45" s="1"/>
  <c r="T256" i="45"/>
  <c r="U256" i="45" s="1"/>
  <c r="T313" i="45"/>
  <c r="U313" i="45" s="1"/>
  <c r="T236" i="45"/>
  <c r="U236" i="45" s="1"/>
  <c r="T106" i="45"/>
  <c r="U106" i="45" s="1"/>
  <c r="T57" i="45"/>
  <c r="U57" i="45" s="1"/>
  <c r="T346" i="45"/>
  <c r="U346" i="45" s="1"/>
  <c r="T130" i="45"/>
  <c r="U130" i="45" s="1"/>
  <c r="T333" i="45"/>
  <c r="U333" i="45" s="1"/>
  <c r="T120" i="45"/>
  <c r="U120" i="45" s="1"/>
  <c r="T115" i="45"/>
  <c r="U115" i="45" s="1"/>
  <c r="T293" i="45"/>
  <c r="U293" i="45" s="1"/>
  <c r="T271" i="45"/>
  <c r="U271" i="45" s="1"/>
  <c r="T196" i="45"/>
  <c r="U196" i="45" s="1"/>
  <c r="T91" i="45"/>
  <c r="U91" i="45" s="1"/>
  <c r="T44" i="45"/>
  <c r="U44" i="45" s="1"/>
  <c r="T118" i="45"/>
  <c r="U118" i="45" s="1"/>
  <c r="T205" i="45"/>
  <c r="U205" i="45" s="1"/>
  <c r="T212" i="45"/>
  <c r="U212" i="45" s="1"/>
  <c r="T270" i="45"/>
  <c r="U270" i="45" s="1"/>
  <c r="T131" i="45"/>
  <c r="U131" i="45" s="1"/>
  <c r="T180" i="45"/>
  <c r="U180" i="45" s="1"/>
  <c r="T268" i="45"/>
  <c r="U268" i="45" s="1"/>
  <c r="T277" i="45"/>
  <c r="U277" i="45" s="1"/>
  <c r="T128" i="45"/>
  <c r="U128" i="45" s="1"/>
  <c r="T16" i="45"/>
  <c r="U16" i="45" s="1"/>
  <c r="T278" i="45"/>
  <c r="U278" i="45" s="1"/>
  <c r="T282" i="45"/>
  <c r="U282" i="45" s="1"/>
  <c r="T111" i="45"/>
  <c r="U111" i="45" s="1"/>
  <c r="T103" i="45"/>
  <c r="U103" i="45" s="1"/>
  <c r="T248" i="45"/>
  <c r="U248" i="45" s="1"/>
  <c r="T121" i="45"/>
  <c r="U121" i="45" s="1"/>
  <c r="T208" i="45"/>
  <c r="U208" i="45" s="1"/>
  <c r="T284" i="45"/>
  <c r="U284" i="45" s="1"/>
  <c r="T303" i="45"/>
  <c r="U303" i="45" s="1"/>
  <c r="T51" i="45"/>
  <c r="U51" i="45" s="1"/>
  <c r="T59" i="45"/>
  <c r="U59" i="45" s="1"/>
  <c r="T229" i="45"/>
  <c r="U229" i="45" s="1"/>
  <c r="T81" i="45"/>
  <c r="U81" i="45" s="1"/>
  <c r="T275" i="45"/>
  <c r="U275" i="45" s="1"/>
  <c r="T304" i="45"/>
  <c r="U304" i="45" s="1"/>
  <c r="T242" i="45"/>
  <c r="U242" i="45" s="1"/>
  <c r="T125" i="45"/>
  <c r="U125" i="45" s="1"/>
  <c r="T33" i="45"/>
  <c r="U33" i="45" s="1"/>
  <c r="T213" i="45"/>
  <c r="U213" i="45" s="1"/>
  <c r="T37" i="45"/>
  <c r="U37" i="45" s="1"/>
  <c r="T35" i="45"/>
  <c r="U35" i="45" s="1"/>
  <c r="T279" i="45"/>
  <c r="U279" i="45" s="1"/>
  <c r="T46" i="45"/>
  <c r="U46" i="45" s="1"/>
  <c r="T64" i="45"/>
  <c r="U64" i="45" s="1"/>
  <c r="T345" i="45"/>
  <c r="U345" i="45" s="1"/>
  <c r="T32" i="45"/>
  <c r="U32" i="45" s="1"/>
  <c r="T65" i="45"/>
  <c r="U65" i="45" s="1"/>
  <c r="T174" i="45"/>
  <c r="U174" i="45" s="1"/>
  <c r="T135" i="45"/>
  <c r="U135" i="45" s="1"/>
  <c r="T122" i="45"/>
  <c r="U122" i="45" s="1"/>
  <c r="T327" i="45"/>
  <c r="U327" i="45" s="1"/>
  <c r="T78" i="45"/>
  <c r="U78" i="45" s="1"/>
  <c r="T126" i="45"/>
  <c r="U126" i="45" s="1"/>
  <c r="T148" i="45"/>
  <c r="U148" i="45" s="1"/>
  <c r="T39" i="45"/>
  <c r="U39" i="45" s="1"/>
  <c r="T105" i="45"/>
  <c r="U105" i="45" s="1"/>
  <c r="T341" i="45"/>
  <c r="U341" i="45" s="1"/>
  <c r="T87" i="45"/>
  <c r="U87" i="45" s="1"/>
  <c r="T294" i="45"/>
  <c r="U294" i="45" s="1"/>
  <c r="T12" i="45"/>
  <c r="U12" i="45" s="1"/>
  <c r="T127" i="45"/>
  <c r="U127" i="45" s="1"/>
  <c r="T88" i="45"/>
  <c r="U88" i="45" s="1"/>
  <c r="T56" i="45"/>
  <c r="U56" i="45" s="1"/>
  <c r="T265" i="45"/>
  <c r="U265" i="45" s="1"/>
  <c r="T66" i="45"/>
  <c r="U66" i="45" s="1"/>
  <c r="T123" i="45"/>
  <c r="U123" i="45" s="1"/>
  <c r="T49" i="45"/>
  <c r="U49" i="45" s="1"/>
  <c r="T24" i="45"/>
  <c r="U24" i="45" s="1"/>
  <c r="T232" i="45"/>
  <c r="U232" i="45" s="1"/>
  <c r="T158" i="45"/>
  <c r="U158" i="45" s="1"/>
  <c r="T330" i="45"/>
  <c r="U330" i="45" s="1"/>
  <c r="T38" i="45"/>
  <c r="U38" i="45" s="1"/>
  <c r="T351" i="45"/>
  <c r="U351" i="45" s="1"/>
  <c r="T129" i="45"/>
  <c r="U129" i="45" s="1"/>
  <c r="T267" i="45"/>
  <c r="U267" i="45" s="1"/>
  <c r="T295" i="45"/>
  <c r="U295" i="45" s="1"/>
  <c r="T314" i="45"/>
  <c r="U314" i="45" s="1"/>
  <c r="T274" i="45"/>
  <c r="U274" i="45" s="1"/>
  <c r="T310" i="45"/>
  <c r="U310" i="45" s="1"/>
  <c r="T75" i="45"/>
  <c r="U75" i="45" s="1"/>
  <c r="T262" i="45"/>
  <c r="U262" i="45" s="1"/>
  <c r="T216" i="45"/>
  <c r="U216" i="45" s="1"/>
  <c r="T141" i="45"/>
  <c r="U141" i="45" s="1"/>
  <c r="T320" i="45"/>
  <c r="U320" i="45" s="1"/>
  <c r="T178" i="45"/>
  <c r="U178" i="45" s="1"/>
  <c r="T176" i="45"/>
  <c r="U176" i="45" s="1"/>
  <c r="T40" i="45"/>
  <c r="U40" i="45" s="1"/>
  <c r="T177" i="45"/>
  <c r="U177" i="45" s="1"/>
  <c r="T224" i="45"/>
  <c r="U224" i="45" s="1"/>
  <c r="T240" i="45"/>
  <c r="U240" i="45" s="1"/>
  <c r="T146" i="45"/>
  <c r="U146" i="45" s="1"/>
  <c r="T292" i="45"/>
  <c r="U292" i="45" s="1"/>
  <c r="T55" i="45"/>
  <c r="U55" i="45" s="1"/>
  <c r="T30" i="45"/>
  <c r="U30" i="45" s="1"/>
  <c r="T352" i="45"/>
  <c r="U352" i="45" s="1"/>
  <c r="T246" i="45"/>
  <c r="U246" i="45" s="1"/>
  <c r="T14" i="45"/>
  <c r="U14" i="45" s="1"/>
  <c r="T47" i="45"/>
  <c r="U47" i="45" s="1"/>
  <c r="T68" i="45"/>
  <c r="U68" i="45" s="1"/>
  <c r="X7" i="45"/>
  <c r="Y9" i="45" s="1"/>
  <c r="Z9" i="45" s="1"/>
  <c r="S279" i="46"/>
  <c r="S262" i="46"/>
  <c r="S220" i="46"/>
  <c r="S280" i="46"/>
  <c r="S230" i="46"/>
  <c r="S113" i="46"/>
  <c r="S238" i="46"/>
  <c r="S149" i="46"/>
  <c r="S195" i="46"/>
  <c r="S90" i="46"/>
  <c r="S138" i="46"/>
  <c r="S276" i="46"/>
  <c r="S29" i="46"/>
  <c r="S228" i="46"/>
  <c r="S80" i="46"/>
  <c r="S55" i="46"/>
  <c r="S251" i="46"/>
  <c r="S281" i="46"/>
  <c r="S282" i="46"/>
  <c r="S206" i="46"/>
  <c r="S152" i="46"/>
  <c r="S263" i="46"/>
  <c r="S189" i="46"/>
  <c r="S202" i="46"/>
  <c r="S65" i="46"/>
  <c r="S20" i="46"/>
  <c r="S58" i="46"/>
  <c r="S340" i="46"/>
  <c r="S310" i="46"/>
  <c r="S349" i="46"/>
  <c r="S111" i="46"/>
  <c r="S63" i="46"/>
  <c r="S252" i="46"/>
  <c r="S163" i="46"/>
  <c r="S28" i="46"/>
  <c r="S160" i="46"/>
  <c r="S332" i="46"/>
  <c r="S300" i="46"/>
  <c r="S308" i="46"/>
  <c r="S309" i="46"/>
  <c r="S298" i="46"/>
  <c r="S212" i="46"/>
  <c r="S161" i="46"/>
  <c r="S91" i="46"/>
  <c r="S37" i="46"/>
  <c r="S283" i="46"/>
  <c r="S86" i="46"/>
  <c r="S56" i="46"/>
  <c r="S255" i="46"/>
  <c r="S157" i="46"/>
  <c r="S162" i="46"/>
  <c r="S318" i="46"/>
  <c r="S75" i="46"/>
  <c r="S286" i="46"/>
  <c r="S293" i="46"/>
  <c r="S136" i="46"/>
  <c r="S118" i="46"/>
  <c r="S272" i="46"/>
  <c r="S77" i="46"/>
  <c r="S164" i="46"/>
  <c r="S239" i="46"/>
  <c r="S211" i="46"/>
  <c r="S123" i="46"/>
  <c r="S190" i="46"/>
  <c r="S203" i="46"/>
  <c r="S33" i="46"/>
  <c r="S170" i="46"/>
  <c r="S331" i="46"/>
  <c r="S312" i="46"/>
  <c r="S274" i="46"/>
  <c r="S243" i="46"/>
  <c r="S147" i="46"/>
  <c r="S19" i="46"/>
  <c r="S223" i="46"/>
  <c r="S301" i="46"/>
  <c r="S103" i="46"/>
  <c r="S242" i="46"/>
  <c r="S57" i="46"/>
  <c r="S155" i="46"/>
  <c r="S176" i="46"/>
  <c r="S23" i="46"/>
  <c r="S216" i="46"/>
  <c r="S17" i="46"/>
  <c r="S120" i="46"/>
  <c r="S314" i="46"/>
  <c r="S126" i="46"/>
  <c r="S44" i="46"/>
  <c r="S124" i="46"/>
  <c r="S43" i="46"/>
  <c r="S78" i="46"/>
  <c r="S347" i="46"/>
  <c r="S39" i="46"/>
  <c r="S10" i="46"/>
  <c r="S335" i="46"/>
  <c r="S240" i="46"/>
  <c r="S110" i="46"/>
  <c r="S329" i="46"/>
  <c r="S92" i="46"/>
  <c r="S73" i="46"/>
  <c r="S336" i="46"/>
  <c r="S51" i="46"/>
  <c r="S327" i="46"/>
  <c r="S38" i="46"/>
  <c r="S208" i="46"/>
  <c r="S219" i="46"/>
  <c r="S150" i="46"/>
  <c r="S188" i="46"/>
  <c r="S304" i="46"/>
  <c r="S192" i="46"/>
  <c r="S45" i="46"/>
  <c r="S96" i="46"/>
  <c r="S32" i="46"/>
  <c r="S250" i="46"/>
  <c r="S85" i="46"/>
  <c r="S119" i="46"/>
  <c r="S88" i="46"/>
  <c r="S201" i="46"/>
  <c r="S69" i="46"/>
  <c r="S236" i="46"/>
  <c r="S40" i="46"/>
  <c r="S215" i="46"/>
  <c r="S277" i="46"/>
  <c r="S200" i="46"/>
  <c r="S132" i="46"/>
  <c r="S94" i="46"/>
  <c r="S171" i="46"/>
  <c r="S12" i="46"/>
  <c r="S326" i="46"/>
  <c r="S36" i="46"/>
  <c r="S352" i="46"/>
  <c r="S30" i="46"/>
  <c r="S217" i="46"/>
  <c r="S324" i="46"/>
  <c r="S106" i="46"/>
  <c r="S266" i="46"/>
  <c r="S60" i="46"/>
  <c r="S320" i="46"/>
  <c r="S178" i="46"/>
  <c r="S342" i="46"/>
  <c r="S167" i="46"/>
  <c r="S234" i="46"/>
  <c r="S249" i="46"/>
  <c r="S184" i="46"/>
  <c r="S177" i="46"/>
  <c r="S144" i="46"/>
  <c r="S68" i="46"/>
  <c r="S93" i="46"/>
  <c r="S275" i="46"/>
  <c r="S130" i="46"/>
  <c r="S61" i="46"/>
  <c r="S148" i="46"/>
  <c r="S125" i="46"/>
  <c r="S98" i="46"/>
  <c r="S52" i="46"/>
  <c r="S269" i="46"/>
  <c r="S196" i="46"/>
  <c r="S84" i="46"/>
  <c r="S354" i="46"/>
  <c r="S292" i="46"/>
  <c r="S41" i="46"/>
  <c r="S209" i="46"/>
  <c r="S222" i="46"/>
  <c r="S72" i="46"/>
  <c r="S247" i="46"/>
  <c r="S226" i="46"/>
  <c r="S185" i="46"/>
  <c r="S235" i="46"/>
  <c r="S193" i="46"/>
  <c r="S248" i="46"/>
  <c r="S115" i="46"/>
  <c r="S229" i="46"/>
  <c r="S31" i="46"/>
  <c r="S264" i="46"/>
  <c r="S265" i="46"/>
  <c r="S345" i="46"/>
  <c r="S112" i="46"/>
  <c r="S328" i="46"/>
  <c r="S270" i="46"/>
  <c r="S330" i="46"/>
  <c r="S154" i="46"/>
  <c r="S139" i="46"/>
  <c r="S323" i="46"/>
  <c r="S100" i="46"/>
  <c r="S325" i="46"/>
  <c r="S258" i="46"/>
  <c r="S79" i="46"/>
  <c r="S259" i="46"/>
  <c r="S102" i="46"/>
  <c r="S137" i="46"/>
  <c r="S183" i="46"/>
  <c r="S59" i="46"/>
  <c r="S237" i="46"/>
  <c r="S101" i="46"/>
  <c r="S316" i="46"/>
  <c r="S346" i="46"/>
  <c r="S213" i="46"/>
  <c r="S53" i="46"/>
  <c r="S141" i="46"/>
  <c r="S341" i="46"/>
  <c r="S159" i="46"/>
  <c r="S95" i="46"/>
  <c r="S294" i="46"/>
  <c r="S168" i="46"/>
  <c r="S109" i="46"/>
  <c r="S315" i="46"/>
  <c r="S343" i="46"/>
  <c r="S233" i="46"/>
  <c r="S214" i="46"/>
  <c r="S26" i="46"/>
  <c r="S46" i="46"/>
  <c r="S287" i="46"/>
  <c r="S83" i="46"/>
  <c r="S351" i="46"/>
  <c r="S257" i="46"/>
  <c r="S151" i="46"/>
  <c r="S253" i="46"/>
  <c r="S241" i="46"/>
  <c r="S307" i="46"/>
  <c r="S334" i="46"/>
  <c r="S175" i="46"/>
  <c r="S35" i="46"/>
  <c r="S47" i="46"/>
  <c r="S295" i="46"/>
  <c r="S181" i="46"/>
  <c r="S179" i="46"/>
  <c r="S71" i="46"/>
  <c r="S231" i="46"/>
  <c r="S62" i="46"/>
  <c r="S50" i="46"/>
  <c r="S48" i="46"/>
  <c r="S180" i="46"/>
  <c r="S97" i="46"/>
  <c r="S172" i="46"/>
  <c r="S70" i="46"/>
  <c r="S198" i="46"/>
  <c r="S205" i="46"/>
  <c r="S273" i="46"/>
  <c r="S49" i="46"/>
  <c r="S169" i="46"/>
  <c r="S153" i="46"/>
  <c r="S221" i="46"/>
  <c r="S245" i="46"/>
  <c r="S290" i="46"/>
  <c r="S297" i="46"/>
  <c r="S18" i="46"/>
  <c r="S303" i="46"/>
  <c r="S339" i="46"/>
  <c r="S267" i="46"/>
  <c r="S16" i="46"/>
  <c r="S244" i="46"/>
  <c r="S268" i="46"/>
  <c r="S218" i="46"/>
  <c r="S278" i="46"/>
  <c r="S158" i="46"/>
  <c r="S134" i="46"/>
  <c r="S284" i="46"/>
  <c r="S199" i="46"/>
  <c r="S194" i="46"/>
  <c r="S187" i="46"/>
  <c r="S116" i="46"/>
  <c r="S191" i="46"/>
  <c r="S338" i="46"/>
  <c r="S204" i="46"/>
  <c r="S296" i="46"/>
  <c r="S81" i="46"/>
  <c r="S121" i="46"/>
  <c r="S15" i="46"/>
  <c r="S302" i="46"/>
  <c r="S67" i="46"/>
  <c r="S321" i="46"/>
  <c r="S117" i="46"/>
  <c r="S108" i="46"/>
  <c r="S156" i="46"/>
  <c r="S27" i="46"/>
  <c r="S319" i="46"/>
  <c r="S291" i="46"/>
  <c r="S174" i="46"/>
  <c r="S135" i="46"/>
  <c r="S254" i="46"/>
  <c r="S322" i="46"/>
  <c r="S127" i="46"/>
  <c r="S11" i="46"/>
  <c r="S82" i="46"/>
  <c r="S140" i="46"/>
  <c r="S122" i="46"/>
  <c r="S107" i="46"/>
  <c r="S333" i="46"/>
  <c r="S129" i="46"/>
  <c r="S143" i="46"/>
  <c r="S227" i="46"/>
  <c r="S299" i="46"/>
  <c r="S271" i="46"/>
  <c r="S87" i="46"/>
  <c r="S197" i="46"/>
  <c r="S21" i="46"/>
  <c r="S114" i="46"/>
  <c r="S225" i="46"/>
  <c r="S288" i="46"/>
  <c r="S14" i="46"/>
  <c r="S131" i="46"/>
  <c r="S350" i="46"/>
  <c r="S246" i="46"/>
  <c r="S104" i="46"/>
  <c r="S348" i="46"/>
  <c r="S105" i="46"/>
  <c r="S344" i="46"/>
  <c r="S146" i="46"/>
  <c r="S289" i="46"/>
  <c r="S166" i="46"/>
  <c r="S145" i="46"/>
  <c r="S353" i="46"/>
  <c r="S64" i="46"/>
  <c r="S76" i="46"/>
  <c r="S74" i="46"/>
  <c r="S173" i="46"/>
  <c r="S317" i="46"/>
  <c r="S128" i="46"/>
  <c r="S306" i="46"/>
  <c r="S25" i="46"/>
  <c r="S232" i="46"/>
  <c r="S285" i="46"/>
  <c r="S261" i="46"/>
  <c r="S337" i="46"/>
  <c r="S256" i="46"/>
  <c r="S207" i="46"/>
  <c r="S224" i="46"/>
  <c r="S133" i="46"/>
  <c r="S24" i="46"/>
  <c r="S42" i="46"/>
  <c r="S210" i="46"/>
  <c r="S34" i="46"/>
  <c r="S66" i="46"/>
  <c r="S99" i="46"/>
  <c r="S182" i="46"/>
  <c r="S54" i="46"/>
  <c r="S13" i="46"/>
  <c r="S313" i="46"/>
  <c r="S311" i="46"/>
  <c r="S305" i="46"/>
  <c r="S22" i="46"/>
  <c r="S186" i="46"/>
  <c r="S165" i="46"/>
  <c r="S142" i="46"/>
  <c r="S89" i="46"/>
  <c r="S9" i="46"/>
  <c r="K3" i="44"/>
  <c r="AJ8" i="44"/>
  <c r="E10" i="2"/>
  <c r="E8" i="2"/>
  <c r="E11" i="2"/>
  <c r="I353" i="44"/>
  <c r="J353" i="44" s="1"/>
  <c r="I122" i="44"/>
  <c r="J122" i="44" s="1"/>
  <c r="I13" i="44"/>
  <c r="J13" i="44" s="1"/>
  <c r="I93" i="44"/>
  <c r="J93" i="44" s="1"/>
  <c r="I193" i="44"/>
  <c r="J193" i="44" s="1"/>
  <c r="I157" i="44"/>
  <c r="J157" i="44" s="1"/>
  <c r="I177" i="44"/>
  <c r="J177" i="44" s="1"/>
  <c r="I313" i="44"/>
  <c r="J313" i="44" s="1"/>
  <c r="N3" i="44"/>
  <c r="P91" i="44" s="1"/>
  <c r="M85" i="42" s="1"/>
  <c r="Q23" i="44"/>
  <c r="Q43" i="44"/>
  <c r="Q63" i="44"/>
  <c r="Q83" i="44"/>
  <c r="Q103" i="44"/>
  <c r="Q27" i="44"/>
  <c r="Q47" i="44"/>
  <c r="Q67" i="44"/>
  <c r="Q87" i="44"/>
  <c r="Q107" i="44"/>
  <c r="Q127" i="44"/>
  <c r="Q147" i="44"/>
  <c r="Q167" i="44"/>
  <c r="Q187" i="44"/>
  <c r="Q207" i="44"/>
  <c r="Q227" i="44"/>
  <c r="Q247" i="44"/>
  <c r="Q267" i="44"/>
  <c r="Q287" i="44"/>
  <c r="Q307" i="44"/>
  <c r="Q327" i="44"/>
  <c r="Q347" i="44"/>
  <c r="Q19" i="44"/>
  <c r="Q41" i="44"/>
  <c r="Q64" i="44"/>
  <c r="Q86" i="44"/>
  <c r="Q109" i="44"/>
  <c r="Q130" i="44"/>
  <c r="Q151" i="44"/>
  <c r="Q172" i="44"/>
  <c r="Q193" i="44"/>
  <c r="Q214" i="44"/>
  <c r="Q235" i="44"/>
  <c r="Q256" i="44"/>
  <c r="Q277" i="44"/>
  <c r="Q298" i="44"/>
  <c r="Q319" i="44"/>
  <c r="Q340" i="44"/>
  <c r="Q44" i="44"/>
  <c r="Q89" i="44"/>
  <c r="Q132" i="44"/>
  <c r="Q174" i="44"/>
  <c r="Q216" i="44"/>
  <c r="Q258" i="44"/>
  <c r="Q300" i="44"/>
  <c r="Q342" i="44"/>
  <c r="Q20" i="44"/>
  <c r="Q42" i="44"/>
  <c r="Q65" i="44"/>
  <c r="Q88" i="44"/>
  <c r="Q110" i="44"/>
  <c r="Q131" i="44"/>
  <c r="Q152" i="44"/>
  <c r="Q173" i="44"/>
  <c r="Q194" i="44"/>
  <c r="Q215" i="44"/>
  <c r="Q236" i="44"/>
  <c r="Q257" i="44"/>
  <c r="Q278" i="44"/>
  <c r="Q299" i="44"/>
  <c r="Q320" i="44"/>
  <c r="Q341" i="44"/>
  <c r="Q21" i="44"/>
  <c r="Q66" i="44"/>
  <c r="Q111" i="44"/>
  <c r="Q153" i="44"/>
  <c r="Q195" i="44"/>
  <c r="Q237" i="44"/>
  <c r="Q279" i="44"/>
  <c r="Q321" i="44"/>
  <c r="Q25" i="44"/>
  <c r="Q48" i="44"/>
  <c r="Q70" i="44"/>
  <c r="Q26" i="44"/>
  <c r="Q49" i="44"/>
  <c r="Q71" i="44"/>
  <c r="Q93" i="44"/>
  <c r="Q115" i="44"/>
  <c r="Q136" i="44"/>
  <c r="Q157" i="44"/>
  <c r="Q178" i="44"/>
  <c r="Q199" i="44"/>
  <c r="Q220" i="44"/>
  <c r="Q241" i="44"/>
  <c r="Q262" i="44"/>
  <c r="Q283" i="44"/>
  <c r="Q28" i="44"/>
  <c r="Q50" i="44"/>
  <c r="Q72" i="44"/>
  <c r="Q24" i="44"/>
  <c r="Q56" i="44"/>
  <c r="Q85" i="44"/>
  <c r="Q116" i="44"/>
  <c r="Q141" i="44"/>
  <c r="Q166" i="44"/>
  <c r="Q192" i="44"/>
  <c r="Q221" i="44"/>
  <c r="Q246" i="44"/>
  <c r="Q272" i="44"/>
  <c r="Q297" i="44"/>
  <c r="Q324" i="44"/>
  <c r="Q349" i="44"/>
  <c r="Q81" i="44"/>
  <c r="Q318" i="44"/>
  <c r="Q18" i="44"/>
  <c r="Q244" i="44"/>
  <c r="Q29" i="44"/>
  <c r="Q57" i="44"/>
  <c r="Q90" i="44"/>
  <c r="Q117" i="44"/>
  <c r="Q142" i="44"/>
  <c r="Q168" i="44"/>
  <c r="Q196" i="44"/>
  <c r="Q222" i="44"/>
  <c r="Q248" i="44"/>
  <c r="Q273" i="44"/>
  <c r="Q301" i="44"/>
  <c r="Q325" i="44"/>
  <c r="Q350" i="44"/>
  <c r="Q30" i="44"/>
  <c r="Q58" i="44"/>
  <c r="Q91" i="44"/>
  <c r="Q143" i="44"/>
  <c r="Q169" i="44"/>
  <c r="Q197" i="44"/>
  <c r="Q223" i="44"/>
  <c r="Q249" i="44"/>
  <c r="Q274" i="44"/>
  <c r="Q302" i="44"/>
  <c r="Q326" i="44"/>
  <c r="Q351" i="44"/>
  <c r="Q59" i="44"/>
  <c r="Q119" i="44"/>
  <c r="Q144" i="44"/>
  <c r="Q198" i="44"/>
  <c r="Q224" i="44"/>
  <c r="Q275" i="44"/>
  <c r="Q352" i="44"/>
  <c r="Q60" i="44"/>
  <c r="Q120" i="44"/>
  <c r="Q200" i="44"/>
  <c r="Q276" i="44"/>
  <c r="Q353" i="44"/>
  <c r="Q95" i="44"/>
  <c r="Q201" i="44"/>
  <c r="Q252" i="44"/>
  <c r="Q305" i="44"/>
  <c r="Q34" i="44"/>
  <c r="Q176" i="44"/>
  <c r="Q281" i="44"/>
  <c r="Q38" i="44"/>
  <c r="Q155" i="44"/>
  <c r="Q45" i="44"/>
  <c r="Q159" i="44"/>
  <c r="Q314" i="44"/>
  <c r="Q160" i="44"/>
  <c r="Q212" i="44"/>
  <c r="Q343" i="44"/>
  <c r="Q108" i="44"/>
  <c r="Q344" i="44"/>
  <c r="Q17" i="44"/>
  <c r="Q189" i="44"/>
  <c r="Q82" i="44"/>
  <c r="Q270" i="44"/>
  <c r="Q118" i="44"/>
  <c r="Q250" i="44"/>
  <c r="Q328" i="44"/>
  <c r="Q32" i="44"/>
  <c r="Q171" i="44"/>
  <c r="Q251" i="44"/>
  <c r="Q329" i="44"/>
  <c r="Q33" i="44"/>
  <c r="Q146" i="44"/>
  <c r="Q226" i="44"/>
  <c r="Q330" i="44"/>
  <c r="Q122" i="44"/>
  <c r="Q148" i="44"/>
  <c r="Q202" i="44"/>
  <c r="Q253" i="44"/>
  <c r="Q331" i="44"/>
  <c r="Q74" i="44"/>
  <c r="Q232" i="44"/>
  <c r="Q337" i="44"/>
  <c r="Q133" i="44"/>
  <c r="Q238" i="44"/>
  <c r="Q338" i="44"/>
  <c r="Q105" i="44"/>
  <c r="Q315" i="44"/>
  <c r="Q240" i="44"/>
  <c r="Q52" i="44"/>
  <c r="Q137" i="44"/>
  <c r="Q268" i="44"/>
  <c r="Q112" i="44"/>
  <c r="Q31" i="44"/>
  <c r="Q92" i="44"/>
  <c r="Q170" i="44"/>
  <c r="Q303" i="44"/>
  <c r="Q94" i="44"/>
  <c r="Q145" i="44"/>
  <c r="Q225" i="44"/>
  <c r="Q304" i="44"/>
  <c r="Q61" i="44"/>
  <c r="Q175" i="44"/>
  <c r="Q280" i="44"/>
  <c r="Q354" i="44"/>
  <c r="Q62" i="44"/>
  <c r="Q228" i="44"/>
  <c r="Q9" i="44"/>
  <c r="Q126" i="44"/>
  <c r="Q210" i="44"/>
  <c r="Q46" i="44"/>
  <c r="Q339" i="44"/>
  <c r="Q79" i="44"/>
  <c r="Q186" i="44"/>
  <c r="Q242" i="44"/>
  <c r="Q345" i="44"/>
  <c r="Q190" i="44"/>
  <c r="Q138" i="44"/>
  <c r="Q113" i="44"/>
  <c r="Q322" i="44"/>
  <c r="Q121" i="44"/>
  <c r="Q96" i="44"/>
  <c r="Q306" i="44"/>
  <c r="Q181" i="44"/>
  <c r="Q311" i="44"/>
  <c r="Q263" i="44"/>
  <c r="Q313" i="44"/>
  <c r="Q290" i="44"/>
  <c r="Q78" i="44"/>
  <c r="Q134" i="44"/>
  <c r="Q211" i="44"/>
  <c r="Q291" i="44"/>
  <c r="Q51" i="44"/>
  <c r="Q292" i="44"/>
  <c r="Q16" i="44"/>
  <c r="Q213" i="44"/>
  <c r="Q163" i="44"/>
  <c r="Q294" i="44"/>
  <c r="Q35" i="44"/>
  <c r="Q68" i="44"/>
  <c r="Q97" i="44"/>
  <c r="Q123" i="44"/>
  <c r="Q149" i="44"/>
  <c r="Q177" i="44"/>
  <c r="Q203" i="44"/>
  <c r="Q229" i="44"/>
  <c r="Q254" i="44"/>
  <c r="Q282" i="44"/>
  <c r="Q308" i="44"/>
  <c r="Q332" i="44"/>
  <c r="Q36" i="44"/>
  <c r="Q69" i="44"/>
  <c r="Q98" i="44"/>
  <c r="Q124" i="44"/>
  <c r="Q150" i="44"/>
  <c r="Q179" i="44"/>
  <c r="Q230" i="44"/>
  <c r="Q255" i="44"/>
  <c r="Q284" i="44"/>
  <c r="Q333" i="44"/>
  <c r="Q99" i="44"/>
  <c r="Q205" i="44"/>
  <c r="Q285" i="44"/>
  <c r="Q334" i="44"/>
  <c r="Q100" i="44"/>
  <c r="Q335" i="44"/>
  <c r="Q104" i="44"/>
  <c r="Q185" i="44"/>
  <c r="Q135" i="44"/>
  <c r="Q80" i="44"/>
  <c r="Q188" i="44"/>
  <c r="Q317" i="44"/>
  <c r="Q243" i="44"/>
  <c r="Q54" i="44"/>
  <c r="Q218" i="44"/>
  <c r="Q295" i="44"/>
  <c r="Q204" i="44"/>
  <c r="Q309" i="44"/>
  <c r="Q37" i="44"/>
  <c r="Q73" i="44"/>
  <c r="Q125" i="44"/>
  <c r="Q154" i="44"/>
  <c r="Q180" i="44"/>
  <c r="Q231" i="44"/>
  <c r="Q259" i="44"/>
  <c r="Q310" i="44"/>
  <c r="Q10" i="44"/>
  <c r="Q206" i="44"/>
  <c r="Q286" i="44"/>
  <c r="Q184" i="44"/>
  <c r="Q14" i="44"/>
  <c r="Q239" i="44"/>
  <c r="Q161" i="44"/>
  <c r="Q316" i="44"/>
  <c r="Q162" i="44"/>
  <c r="Q53" i="44"/>
  <c r="Q217" i="44"/>
  <c r="Q139" i="44"/>
  <c r="Q77" i="44"/>
  <c r="Q11" i="44"/>
  <c r="Q39" i="44"/>
  <c r="Q75" i="44"/>
  <c r="Q101" i="44"/>
  <c r="Q128" i="44"/>
  <c r="Q156" i="44"/>
  <c r="Q182" i="44"/>
  <c r="Q208" i="44"/>
  <c r="Q233" i="44"/>
  <c r="Q261" i="44"/>
  <c r="Q288" i="44"/>
  <c r="Q312" i="44"/>
  <c r="Q336" i="44"/>
  <c r="Q12" i="44"/>
  <c r="Q40" i="44"/>
  <c r="Q76" i="44"/>
  <c r="Q102" i="44"/>
  <c r="Q129" i="44"/>
  <c r="Q158" i="44"/>
  <c r="Q183" i="44"/>
  <c r="Q209" i="44"/>
  <c r="Q234" i="44"/>
  <c r="Q289" i="44"/>
  <c r="Q13" i="44"/>
  <c r="Q264" i="44"/>
  <c r="Q265" i="44"/>
  <c r="Q15" i="44"/>
  <c r="Q106" i="44"/>
  <c r="Q266" i="44"/>
  <c r="Q293" i="44"/>
  <c r="Q269" i="44"/>
  <c r="Q164" i="44"/>
  <c r="Q346" i="44"/>
  <c r="Q245" i="44"/>
  <c r="Q271" i="44"/>
  <c r="Q296" i="44"/>
  <c r="Q323" i="44"/>
  <c r="Q348" i="44"/>
  <c r="Q22" i="44"/>
  <c r="Q55" i="44"/>
  <c r="Q84" i="44"/>
  <c r="Q114" i="44"/>
  <c r="Q140" i="44"/>
  <c r="Q165" i="44"/>
  <c r="Q219" i="44"/>
  <c r="Q191" i="44"/>
  <c r="I44" i="44"/>
  <c r="J44" i="44" s="1"/>
  <c r="I304" i="44"/>
  <c r="J304" i="44" s="1"/>
  <c r="I303" i="44"/>
  <c r="J303" i="44" s="1"/>
  <c r="I84" i="44"/>
  <c r="J84" i="44" s="1"/>
  <c r="I168" i="44"/>
  <c r="J168" i="44" s="1"/>
  <c r="I188" i="44"/>
  <c r="J188" i="44" s="1"/>
  <c r="I23" i="44"/>
  <c r="J23" i="44" s="1"/>
  <c r="I197" i="44"/>
  <c r="J197" i="44" s="1"/>
  <c r="I217" i="44"/>
  <c r="J217" i="44" s="1"/>
  <c r="I208" i="44"/>
  <c r="J208" i="44" s="1"/>
  <c r="I302" i="44"/>
  <c r="J302" i="44" s="1"/>
  <c r="I262" i="44"/>
  <c r="J262" i="44" s="1"/>
  <c r="I228" i="44"/>
  <c r="J228" i="44" s="1"/>
  <c r="I244" i="44"/>
  <c r="J244" i="44" s="1"/>
  <c r="I327" i="44"/>
  <c r="J327" i="44" s="1"/>
  <c r="I248" i="44"/>
  <c r="J248" i="44" s="1"/>
  <c r="I36" i="44"/>
  <c r="J36" i="44" s="1"/>
  <c r="I314" i="44"/>
  <c r="J314" i="44" s="1"/>
  <c r="I116" i="44"/>
  <c r="J116" i="44" s="1"/>
  <c r="I160" i="44"/>
  <c r="J160" i="44" s="1"/>
  <c r="I156" i="44"/>
  <c r="J156" i="44" s="1"/>
  <c r="I180" i="44"/>
  <c r="J180" i="44" s="1"/>
  <c r="I212" i="44"/>
  <c r="J212" i="44" s="1"/>
  <c r="I216" i="44"/>
  <c r="J216" i="44" s="1"/>
  <c r="I240" i="44"/>
  <c r="J240" i="44" s="1"/>
  <c r="I232" i="44"/>
  <c r="J232" i="44" s="1"/>
  <c r="I16" i="44"/>
  <c r="J16" i="44" s="1"/>
  <c r="I252" i="44"/>
  <c r="J252" i="44" s="1"/>
  <c r="I56" i="44"/>
  <c r="J56" i="44" s="1"/>
  <c r="I272" i="44"/>
  <c r="J272" i="44" s="1"/>
  <c r="I176" i="44"/>
  <c r="J176" i="44" s="1"/>
  <c r="I292" i="44"/>
  <c r="J292" i="44" s="1"/>
  <c r="I296" i="44"/>
  <c r="J296" i="44" s="1"/>
  <c r="I253" i="44"/>
  <c r="J253" i="44" s="1"/>
  <c r="I118" i="44"/>
  <c r="J118" i="44" s="1"/>
  <c r="I293" i="44"/>
  <c r="J293" i="44" s="1"/>
  <c r="I137" i="44"/>
  <c r="J137" i="44" s="1"/>
  <c r="I148" i="44"/>
  <c r="J148" i="44" s="1"/>
  <c r="I192" i="44"/>
  <c r="J192" i="44" s="1"/>
  <c r="I233" i="44"/>
  <c r="J233" i="44" s="1"/>
  <c r="I104" i="44"/>
  <c r="J104" i="44" s="1"/>
  <c r="I163" i="44"/>
  <c r="J163" i="44" s="1"/>
  <c r="I164" i="44"/>
  <c r="J164" i="44" s="1"/>
  <c r="I97" i="44"/>
  <c r="J97" i="44" s="1"/>
  <c r="I103" i="44"/>
  <c r="J103" i="44" s="1"/>
  <c r="I267" i="44"/>
  <c r="J267" i="44" s="1"/>
  <c r="I268" i="44"/>
  <c r="J268" i="44" s="1"/>
  <c r="I63" i="44"/>
  <c r="J63" i="44" s="1"/>
  <c r="I178" i="44"/>
  <c r="J178" i="44" s="1"/>
  <c r="I280" i="44"/>
  <c r="J280" i="44" s="1"/>
  <c r="I288" i="44"/>
  <c r="J288" i="44" s="1"/>
  <c r="I332" i="44"/>
  <c r="J332" i="44" s="1"/>
  <c r="I123" i="44"/>
  <c r="J123" i="44" s="1"/>
  <c r="I138" i="44"/>
  <c r="J138" i="44" s="1"/>
  <c r="I278" i="44"/>
  <c r="J278" i="44" s="1"/>
  <c r="I257" i="44"/>
  <c r="J257" i="44" s="1"/>
  <c r="I47" i="44"/>
  <c r="J47" i="44" s="1"/>
  <c r="I308" i="44"/>
  <c r="J308" i="44" s="1"/>
  <c r="I352" i="44"/>
  <c r="J352" i="44" s="1"/>
  <c r="I283" i="44"/>
  <c r="J283" i="44" s="1"/>
  <c r="I284" i="44"/>
  <c r="J284" i="44" s="1"/>
  <c r="I198" i="44"/>
  <c r="J198" i="44" s="1"/>
  <c r="I19" i="44"/>
  <c r="J19" i="44" s="1"/>
  <c r="I277" i="44"/>
  <c r="J277" i="44" s="1"/>
  <c r="I67" i="44"/>
  <c r="J67" i="44" s="1"/>
  <c r="I187" i="44"/>
  <c r="J187" i="44" s="1"/>
  <c r="I328" i="44"/>
  <c r="J328" i="44" s="1"/>
  <c r="I33" i="44"/>
  <c r="J33" i="44" s="1"/>
  <c r="I343" i="44"/>
  <c r="J343" i="44" s="1"/>
  <c r="I324" i="44"/>
  <c r="J324" i="44" s="1"/>
  <c r="I258" i="44"/>
  <c r="J258" i="44" s="1"/>
  <c r="I119" i="44"/>
  <c r="J119" i="44" s="1"/>
  <c r="I297" i="44"/>
  <c r="J297" i="44" s="1"/>
  <c r="I87" i="44"/>
  <c r="J87" i="44" s="1"/>
  <c r="I287" i="44"/>
  <c r="J287" i="44" s="1"/>
  <c r="I312" i="44"/>
  <c r="J312" i="44" s="1"/>
  <c r="I243" i="44"/>
  <c r="J243" i="44" s="1"/>
  <c r="I38" i="44"/>
  <c r="J38" i="44" s="1"/>
  <c r="I237" i="44"/>
  <c r="J237" i="44" s="1"/>
  <c r="I323" i="44"/>
  <c r="J323" i="44" s="1"/>
  <c r="I64" i="44"/>
  <c r="J64" i="44" s="1"/>
  <c r="I224" i="44"/>
  <c r="J224" i="44" s="1"/>
  <c r="I348" i="44"/>
  <c r="J348" i="44" s="1"/>
  <c r="I73" i="44"/>
  <c r="J73" i="44" s="1"/>
  <c r="I184" i="44"/>
  <c r="J184" i="44" s="1"/>
  <c r="I196" i="44"/>
  <c r="J196" i="44" s="1"/>
  <c r="I318" i="44"/>
  <c r="J318" i="44" s="1"/>
  <c r="I219" i="44"/>
  <c r="J219" i="44" s="1"/>
  <c r="I317" i="44"/>
  <c r="J317" i="44" s="1"/>
  <c r="I127" i="44"/>
  <c r="J127" i="44" s="1"/>
  <c r="I100" i="44"/>
  <c r="J100" i="44" s="1"/>
  <c r="I153" i="44"/>
  <c r="J153" i="44" s="1"/>
  <c r="I333" i="44"/>
  <c r="J333" i="44" s="1"/>
  <c r="I336" i="44"/>
  <c r="J336" i="44" s="1"/>
  <c r="I139" i="44"/>
  <c r="J139" i="44" s="1"/>
  <c r="I42" i="44"/>
  <c r="J42" i="44" s="1"/>
  <c r="I18" i="44"/>
  <c r="J18" i="44" s="1"/>
  <c r="I227" i="44"/>
  <c r="J227" i="44" s="1"/>
  <c r="I12" i="44"/>
  <c r="J12" i="44" s="1"/>
  <c r="I213" i="44"/>
  <c r="J213" i="44" s="1"/>
  <c r="I142" i="44"/>
  <c r="J142" i="44" s="1"/>
  <c r="I58" i="44"/>
  <c r="J58" i="44" s="1"/>
  <c r="I179" i="44"/>
  <c r="J179" i="44" s="1"/>
  <c r="I102" i="44"/>
  <c r="J102" i="44" s="1"/>
  <c r="I98" i="44"/>
  <c r="J98" i="44" s="1"/>
  <c r="I247" i="44"/>
  <c r="J247" i="44" s="1"/>
  <c r="I52" i="44"/>
  <c r="J52" i="44" s="1"/>
  <c r="I342" i="44"/>
  <c r="J342" i="44" s="1"/>
  <c r="I143" i="44"/>
  <c r="J143" i="44" s="1"/>
  <c r="I338" i="44"/>
  <c r="J338" i="44" s="1"/>
  <c r="I339" i="44"/>
  <c r="J339" i="44" s="1"/>
  <c r="I322" i="44"/>
  <c r="J322" i="44" s="1"/>
  <c r="I218" i="44"/>
  <c r="J218" i="44" s="1"/>
  <c r="I200" i="44"/>
  <c r="J200" i="44" s="1"/>
  <c r="I28" i="44"/>
  <c r="J28" i="44" s="1"/>
  <c r="I92" i="44"/>
  <c r="J92" i="44" s="1"/>
  <c r="I203" i="44"/>
  <c r="J203" i="44" s="1"/>
  <c r="I124" i="44"/>
  <c r="J124" i="44" s="1"/>
  <c r="I79" i="44"/>
  <c r="J79" i="44" s="1"/>
  <c r="I22" i="44"/>
  <c r="J22" i="44" s="1"/>
  <c r="I183" i="44"/>
  <c r="J183" i="44" s="1"/>
  <c r="I298" i="44"/>
  <c r="J298" i="44" s="1"/>
  <c r="I27" i="44"/>
  <c r="J27" i="44" s="1"/>
  <c r="I113" i="44"/>
  <c r="J113" i="44" s="1"/>
  <c r="I256" i="44"/>
  <c r="J256" i="44" s="1"/>
  <c r="I319" i="44"/>
  <c r="J319" i="44" s="1"/>
  <c r="I167" i="44"/>
  <c r="J167" i="44" s="1"/>
  <c r="I82" i="44"/>
  <c r="J82" i="44" s="1"/>
  <c r="I238" i="44"/>
  <c r="J238" i="44" s="1"/>
  <c r="I202" i="44"/>
  <c r="J202" i="44" s="1"/>
  <c r="I234" i="44"/>
  <c r="J234" i="44" s="1"/>
  <c r="I48" i="44"/>
  <c r="J48" i="44" s="1"/>
  <c r="I132" i="44"/>
  <c r="J132" i="44" s="1"/>
  <c r="I144" i="44"/>
  <c r="J144" i="44" s="1"/>
  <c r="I264" i="44"/>
  <c r="J264" i="44" s="1"/>
  <c r="I199" i="44"/>
  <c r="J199" i="44" s="1"/>
  <c r="I162" i="44"/>
  <c r="J162" i="44" s="1"/>
  <c r="I204" i="44"/>
  <c r="J204" i="44" s="1"/>
  <c r="I159" i="44"/>
  <c r="J159" i="44" s="1"/>
  <c r="I107" i="44"/>
  <c r="J107" i="44" s="1"/>
  <c r="I59" i="44"/>
  <c r="J59" i="44" s="1"/>
  <c r="I337" i="44"/>
  <c r="J337" i="44" s="1"/>
  <c r="I140" i="44"/>
  <c r="J140" i="44" s="1"/>
  <c r="I32" i="44"/>
  <c r="J32" i="44" s="1"/>
  <c r="I282" i="44"/>
  <c r="J282" i="44" s="1"/>
  <c r="I259" i="44"/>
  <c r="J259" i="44" s="1"/>
  <c r="I158" i="44"/>
  <c r="J158" i="44" s="1"/>
  <c r="I88" i="44"/>
  <c r="J88" i="44" s="1"/>
  <c r="I152" i="44"/>
  <c r="J152" i="44" s="1"/>
  <c r="I53" i="44"/>
  <c r="J53" i="44" s="1"/>
  <c r="I344" i="44"/>
  <c r="J344" i="44" s="1"/>
  <c r="I299" i="44"/>
  <c r="J299" i="44" s="1"/>
  <c r="I43" i="44"/>
  <c r="J43" i="44" s="1"/>
  <c r="I17" i="44"/>
  <c r="J17" i="44" s="1"/>
  <c r="I279" i="44"/>
  <c r="J279" i="44" s="1"/>
  <c r="I147" i="44"/>
  <c r="J147" i="44" s="1"/>
  <c r="I128" i="44"/>
  <c r="J128" i="44" s="1"/>
  <c r="I172" i="44"/>
  <c r="J172" i="44" s="1"/>
  <c r="I133" i="44"/>
  <c r="J133" i="44" s="1"/>
  <c r="I83" i="44"/>
  <c r="J83" i="44" s="1"/>
  <c r="I242" i="44"/>
  <c r="J242" i="44" s="1"/>
  <c r="I223" i="44"/>
  <c r="J223" i="44" s="1"/>
  <c r="I37" i="44"/>
  <c r="J37" i="44" s="1"/>
  <c r="I182" i="44"/>
  <c r="J182" i="44" s="1"/>
  <c r="I29" i="44"/>
  <c r="J29" i="44" s="1"/>
  <c r="I49" i="44"/>
  <c r="J49" i="44" s="1"/>
  <c r="I69" i="44"/>
  <c r="J69" i="44" s="1"/>
  <c r="I89" i="44"/>
  <c r="J89" i="44" s="1"/>
  <c r="I109" i="44"/>
  <c r="J109" i="44" s="1"/>
  <c r="I129" i="44"/>
  <c r="J129" i="44" s="1"/>
  <c r="I149" i="44"/>
  <c r="J149" i="44" s="1"/>
  <c r="I169" i="44"/>
  <c r="J169" i="44" s="1"/>
  <c r="I189" i="44"/>
  <c r="J189" i="44" s="1"/>
  <c r="I209" i="44"/>
  <c r="J209" i="44" s="1"/>
  <c r="I229" i="44"/>
  <c r="J229" i="44" s="1"/>
  <c r="I249" i="44"/>
  <c r="J249" i="44" s="1"/>
  <c r="I269" i="44"/>
  <c r="J269" i="44" s="1"/>
  <c r="I289" i="44"/>
  <c r="J289" i="44" s="1"/>
  <c r="I309" i="44"/>
  <c r="J309" i="44" s="1"/>
  <c r="I329" i="44"/>
  <c r="J329" i="44" s="1"/>
  <c r="I349" i="44"/>
  <c r="J349" i="44" s="1"/>
  <c r="I45" i="44"/>
  <c r="J45" i="44" s="1"/>
  <c r="I131" i="44"/>
  <c r="J131" i="44" s="1"/>
  <c r="I175" i="44"/>
  <c r="J175" i="44" s="1"/>
  <c r="I221" i="44"/>
  <c r="J221" i="44" s="1"/>
  <c r="I266" i="44"/>
  <c r="J266" i="44" s="1"/>
  <c r="I310" i="44"/>
  <c r="J310" i="44" s="1"/>
  <c r="I46" i="44"/>
  <c r="J46" i="44" s="1"/>
  <c r="I90" i="44"/>
  <c r="J90" i="44" s="1"/>
  <c r="I225" i="44"/>
  <c r="J225" i="44" s="1"/>
  <c r="I311" i="44"/>
  <c r="J311" i="44" s="1"/>
  <c r="I9" i="44"/>
  <c r="J9" i="44" s="1"/>
  <c r="I51" i="44"/>
  <c r="J51" i="44" s="1"/>
  <c r="I95" i="44"/>
  <c r="J95" i="44" s="1"/>
  <c r="I141" i="44"/>
  <c r="J141" i="44" s="1"/>
  <c r="I186" i="44"/>
  <c r="J186" i="44" s="1"/>
  <c r="I230" i="44"/>
  <c r="J230" i="44" s="1"/>
  <c r="I274" i="44"/>
  <c r="J274" i="44" s="1"/>
  <c r="I10" i="44"/>
  <c r="J10" i="44" s="1"/>
  <c r="I145" i="44"/>
  <c r="J145" i="44" s="1"/>
  <c r="I231" i="44"/>
  <c r="J231" i="44" s="1"/>
  <c r="I321" i="44"/>
  <c r="J321" i="44" s="1"/>
  <c r="I115" i="44"/>
  <c r="J115" i="44" s="1"/>
  <c r="I341" i="44"/>
  <c r="J341" i="44" s="1"/>
  <c r="I215" i="44"/>
  <c r="J215" i="44" s="1"/>
  <c r="I265" i="44"/>
  <c r="J265" i="44" s="1"/>
  <c r="I134" i="44"/>
  <c r="J134" i="44" s="1"/>
  <c r="I250" i="44"/>
  <c r="J250" i="44" s="1"/>
  <c r="I300" i="44"/>
  <c r="J300" i="44" s="1"/>
  <c r="I345" i="44"/>
  <c r="J345" i="44" s="1"/>
  <c r="I126" i="44"/>
  <c r="J126" i="44" s="1"/>
  <c r="I305" i="44"/>
  <c r="J305" i="44" s="1"/>
  <c r="I351" i="44"/>
  <c r="J351" i="44" s="1"/>
  <c r="I91" i="44"/>
  <c r="J91" i="44" s="1"/>
  <c r="I135" i="44"/>
  <c r="J135" i="44" s="1"/>
  <c r="I181" i="44"/>
  <c r="J181" i="44" s="1"/>
  <c r="I226" i="44"/>
  <c r="J226" i="44" s="1"/>
  <c r="I270" i="44"/>
  <c r="J270" i="44" s="1"/>
  <c r="I50" i="44"/>
  <c r="J50" i="44" s="1"/>
  <c r="I94" i="44"/>
  <c r="J94" i="44" s="1"/>
  <c r="I185" i="44"/>
  <c r="J185" i="44" s="1"/>
  <c r="I271" i="44"/>
  <c r="J271" i="44" s="1"/>
  <c r="I315" i="44"/>
  <c r="J315" i="44" s="1"/>
  <c r="I70" i="44"/>
  <c r="J70" i="44" s="1"/>
  <c r="I295" i="44"/>
  <c r="J295" i="44" s="1"/>
  <c r="I211" i="44"/>
  <c r="J211" i="44" s="1"/>
  <c r="I255" i="44"/>
  <c r="J255" i="44" s="1"/>
  <c r="I301" i="44"/>
  <c r="J301" i="44" s="1"/>
  <c r="I350" i="44"/>
  <c r="J350" i="44" s="1"/>
  <c r="I74" i="44"/>
  <c r="J74" i="44" s="1"/>
  <c r="I210" i="44"/>
  <c r="J210" i="44" s="1"/>
  <c r="I81" i="44"/>
  <c r="J81" i="44" s="1"/>
  <c r="I306" i="44"/>
  <c r="J306" i="44" s="1"/>
  <c r="I54" i="44"/>
  <c r="J54" i="44" s="1"/>
  <c r="I275" i="44"/>
  <c r="J275" i="44" s="1"/>
  <c r="I30" i="44"/>
  <c r="J30" i="44" s="1"/>
  <c r="I75" i="44"/>
  <c r="J75" i="44" s="1"/>
  <c r="I80" i="44"/>
  <c r="J80" i="44" s="1"/>
  <c r="I31" i="44"/>
  <c r="J31" i="44" s="1"/>
  <c r="I125" i="44"/>
  <c r="J125" i="44" s="1"/>
  <c r="I170" i="44"/>
  <c r="J170" i="44" s="1"/>
  <c r="I261" i="44"/>
  <c r="J261" i="44" s="1"/>
  <c r="I41" i="44"/>
  <c r="J41" i="44" s="1"/>
  <c r="I11" i="44"/>
  <c r="J11" i="44" s="1"/>
  <c r="I55" i="44"/>
  <c r="J55" i="44" s="1"/>
  <c r="I101" i="44"/>
  <c r="J101" i="44" s="1"/>
  <c r="I146" i="44"/>
  <c r="J146" i="44" s="1"/>
  <c r="I190" i="44"/>
  <c r="J190" i="44" s="1"/>
  <c r="I325" i="44"/>
  <c r="J325" i="44" s="1"/>
  <c r="I14" i="44"/>
  <c r="J14" i="44" s="1"/>
  <c r="I105" i="44"/>
  <c r="J105" i="44" s="1"/>
  <c r="I235" i="44"/>
  <c r="J235" i="44" s="1"/>
  <c r="I281" i="44"/>
  <c r="J281" i="44" s="1"/>
  <c r="I326" i="44"/>
  <c r="J326" i="44" s="1"/>
  <c r="I150" i="44"/>
  <c r="J150" i="44" s="1"/>
  <c r="I201" i="44"/>
  <c r="J201" i="44" s="1"/>
  <c r="I114" i="44"/>
  <c r="J114" i="44" s="1"/>
  <c r="I291" i="44"/>
  <c r="J291" i="44" s="1"/>
  <c r="I71" i="44"/>
  <c r="J71" i="44" s="1"/>
  <c r="I214" i="44"/>
  <c r="J214" i="44" s="1"/>
  <c r="I191" i="44"/>
  <c r="J191" i="44" s="1"/>
  <c r="I66" i="44"/>
  <c r="J66" i="44" s="1"/>
  <c r="I334" i="44"/>
  <c r="J334" i="44" s="1"/>
  <c r="I205" i="44"/>
  <c r="J205" i="44" s="1"/>
  <c r="I161" i="44"/>
  <c r="J161" i="44" s="1"/>
  <c r="I340" i="44"/>
  <c r="J340" i="44" s="1"/>
  <c r="I254" i="44"/>
  <c r="J254" i="44" s="1"/>
  <c r="I40" i="44"/>
  <c r="J40" i="44" s="1"/>
  <c r="I174" i="44"/>
  <c r="J174" i="44" s="1"/>
  <c r="I15" i="44"/>
  <c r="J15" i="44" s="1"/>
  <c r="I61" i="44"/>
  <c r="J61" i="44" s="1"/>
  <c r="I106" i="44"/>
  <c r="J106" i="44" s="1"/>
  <c r="I194" i="44"/>
  <c r="J194" i="44" s="1"/>
  <c r="I285" i="44"/>
  <c r="J285" i="44" s="1"/>
  <c r="I331" i="44"/>
  <c r="J331" i="44" s="1"/>
  <c r="I111" i="44"/>
  <c r="J111" i="44" s="1"/>
  <c r="I246" i="44"/>
  <c r="J246" i="44" s="1"/>
  <c r="I26" i="44"/>
  <c r="J26" i="44" s="1"/>
  <c r="I335" i="44"/>
  <c r="J335" i="44" s="1"/>
  <c r="I206" i="44"/>
  <c r="J206" i="44" s="1"/>
  <c r="I251" i="44"/>
  <c r="J251" i="44" s="1"/>
  <c r="I171" i="44"/>
  <c r="J171" i="44" s="1"/>
  <c r="I65" i="44"/>
  <c r="J65" i="44" s="1"/>
  <c r="I151" i="44"/>
  <c r="J151" i="44" s="1"/>
  <c r="I195" i="44"/>
  <c r="J195" i="44" s="1"/>
  <c r="I241" i="44"/>
  <c r="J241" i="44" s="1"/>
  <c r="I286" i="44"/>
  <c r="J286" i="44" s="1"/>
  <c r="I330" i="44"/>
  <c r="J330" i="44" s="1"/>
  <c r="I21" i="44"/>
  <c r="J21" i="44" s="1"/>
  <c r="I110" i="44"/>
  <c r="J110" i="44" s="1"/>
  <c r="I154" i="44"/>
  <c r="J154" i="44" s="1"/>
  <c r="I245" i="44"/>
  <c r="J245" i="44" s="1"/>
  <c r="I25" i="44"/>
  <c r="J25" i="44" s="1"/>
  <c r="I155" i="44"/>
  <c r="J155" i="44" s="1"/>
  <c r="I290" i="44"/>
  <c r="J290" i="44" s="1"/>
  <c r="I294" i="44"/>
  <c r="J294" i="44" s="1"/>
  <c r="I120" i="44"/>
  <c r="J120" i="44" s="1"/>
  <c r="I260" i="44"/>
  <c r="J260" i="44" s="1"/>
  <c r="I85" i="44"/>
  <c r="J85" i="44" s="1"/>
  <c r="I220" i="44"/>
  <c r="J220" i="44" s="1"/>
  <c r="I165" i="44"/>
  <c r="J165" i="44" s="1"/>
  <c r="I121" i="44"/>
  <c r="J121" i="44" s="1"/>
  <c r="I34" i="44"/>
  <c r="J34" i="44" s="1"/>
  <c r="I35" i="44"/>
  <c r="J35" i="44" s="1"/>
  <c r="I130" i="44"/>
  <c r="J130" i="44" s="1"/>
  <c r="I166" i="44"/>
  <c r="J166" i="44" s="1"/>
  <c r="I346" i="44"/>
  <c r="J346" i="44" s="1"/>
  <c r="I86" i="44"/>
  <c r="J86" i="44" s="1"/>
  <c r="I263" i="44"/>
  <c r="J263" i="44" s="1"/>
  <c r="I276" i="44"/>
  <c r="J276" i="44" s="1"/>
  <c r="I76" i="44"/>
  <c r="J76" i="44" s="1"/>
  <c r="I57" i="44"/>
  <c r="J57" i="44" s="1"/>
  <c r="I39" i="44"/>
  <c r="J39" i="44" s="1"/>
  <c r="I307" i="44"/>
  <c r="J307" i="44" s="1"/>
  <c r="I320" i="44"/>
  <c r="J320" i="44" s="1"/>
  <c r="I68" i="44"/>
  <c r="J68" i="44" s="1"/>
  <c r="I72" i="44"/>
  <c r="J72" i="44" s="1"/>
  <c r="I273" i="44"/>
  <c r="J273" i="44" s="1"/>
  <c r="I173" i="44"/>
  <c r="J173" i="44" s="1"/>
  <c r="I24" i="44"/>
  <c r="J24" i="44" s="1"/>
  <c r="I316" i="44"/>
  <c r="J316" i="44" s="1"/>
  <c r="I136" i="44"/>
  <c r="J136" i="44" s="1"/>
  <c r="I77" i="44"/>
  <c r="J77" i="44" s="1"/>
  <c r="I99" i="44"/>
  <c r="J99" i="44" s="1"/>
  <c r="I347" i="44"/>
  <c r="J347" i="44" s="1"/>
  <c r="I60" i="44"/>
  <c r="J60" i="44" s="1"/>
  <c r="I108" i="44"/>
  <c r="J108" i="44" s="1"/>
  <c r="I112" i="44"/>
  <c r="J112" i="44" s="1"/>
  <c r="I222" i="44"/>
  <c r="J222" i="44" s="1"/>
  <c r="I62" i="44"/>
  <c r="J62" i="44" s="1"/>
  <c r="I96" i="44"/>
  <c r="J96" i="44" s="1"/>
  <c r="I78" i="44"/>
  <c r="J78" i="44" s="1"/>
  <c r="I236" i="44"/>
  <c r="J236" i="44" s="1"/>
  <c r="I117" i="44"/>
  <c r="J117" i="44" s="1"/>
  <c r="I239" i="44"/>
  <c r="J239" i="44" s="1"/>
  <c r="I354" i="44"/>
  <c r="J354" i="44" s="1"/>
  <c r="I20" i="44"/>
  <c r="J20" i="44" s="1"/>
  <c r="J32" i="29"/>
  <c r="A3" i="29"/>
  <c r="F344" i="25"/>
  <c r="S342" i="49" s="1"/>
  <c r="AJ346" i="44" s="1"/>
  <c r="F325" i="25"/>
  <c r="S323" i="49" s="1"/>
  <c r="AJ327" i="44" s="1"/>
  <c r="F304" i="25"/>
  <c r="S302" i="49" s="1"/>
  <c r="AJ306" i="44" s="1"/>
  <c r="F350" i="25"/>
  <c r="S348" i="49" s="1"/>
  <c r="AJ352" i="44" s="1"/>
  <c r="F331" i="25"/>
  <c r="S329" i="49" s="1"/>
  <c r="AJ333" i="44" s="1"/>
  <c r="F310" i="25"/>
  <c r="S308" i="49" s="1"/>
  <c r="AJ312" i="44" s="1"/>
  <c r="F291" i="25"/>
  <c r="S289" i="49" s="1"/>
  <c r="AJ293" i="44" s="1"/>
  <c r="F289" i="25"/>
  <c r="S287" i="49" s="1"/>
  <c r="AJ291" i="44" s="1"/>
  <c r="F271" i="25"/>
  <c r="S269" i="49" s="1"/>
  <c r="AJ273" i="44" s="1"/>
  <c r="F251" i="25"/>
  <c r="S249" i="49" s="1"/>
  <c r="AJ253" i="44" s="1"/>
  <c r="F231" i="25"/>
  <c r="S229" i="49" s="1"/>
  <c r="AJ233" i="44" s="1"/>
  <c r="F195" i="25"/>
  <c r="S193" i="49" s="1"/>
  <c r="AJ197" i="44" s="1"/>
  <c r="F193" i="25"/>
  <c r="S191" i="49" s="1"/>
  <c r="AJ195" i="44" s="1"/>
  <c r="F191" i="25"/>
  <c r="S189" i="49" s="1"/>
  <c r="AJ193" i="44" s="1"/>
  <c r="F189" i="25"/>
  <c r="S187" i="49" s="1"/>
  <c r="AJ191" i="44" s="1"/>
  <c r="F187" i="25"/>
  <c r="S185" i="49" s="1"/>
  <c r="AJ189" i="44" s="1"/>
  <c r="F185" i="25"/>
  <c r="S183" i="49" s="1"/>
  <c r="AJ187" i="44" s="1"/>
  <c r="F183" i="25"/>
  <c r="S181" i="49" s="1"/>
  <c r="AJ185" i="44" s="1"/>
  <c r="F181" i="25"/>
  <c r="S179" i="49" s="1"/>
  <c r="AJ183" i="44" s="1"/>
  <c r="F179" i="25"/>
  <c r="S177" i="49" s="1"/>
  <c r="AJ181" i="44" s="1"/>
  <c r="F177" i="25"/>
  <c r="S175" i="49" s="1"/>
  <c r="AJ179" i="44" s="1"/>
  <c r="F175" i="25"/>
  <c r="S173" i="49" s="1"/>
  <c r="AJ177" i="44" s="1"/>
  <c r="F173" i="25"/>
  <c r="S171" i="49" s="1"/>
  <c r="AJ175" i="44" s="1"/>
  <c r="F171" i="25"/>
  <c r="S169" i="49" s="1"/>
  <c r="AJ173" i="44" s="1"/>
  <c r="F169" i="25"/>
  <c r="S167" i="49" s="1"/>
  <c r="AJ171" i="44" s="1"/>
  <c r="F167" i="25"/>
  <c r="S165" i="49" s="1"/>
  <c r="AJ169" i="44" s="1"/>
  <c r="F165" i="25"/>
  <c r="S163" i="49" s="1"/>
  <c r="AJ167" i="44" s="1"/>
  <c r="F163" i="25"/>
  <c r="S161" i="49" s="1"/>
  <c r="AJ165" i="44" s="1"/>
  <c r="F161" i="25"/>
  <c r="S159" i="49" s="1"/>
  <c r="AJ163" i="44" s="1"/>
  <c r="F159" i="25"/>
  <c r="S157" i="49" s="1"/>
  <c r="AJ161" i="44" s="1"/>
  <c r="F157" i="25"/>
  <c r="S155" i="49" s="1"/>
  <c r="AJ159" i="44" s="1"/>
  <c r="F155" i="25"/>
  <c r="S153" i="49" s="1"/>
  <c r="AJ157" i="44" s="1"/>
  <c r="F153" i="25"/>
  <c r="S151" i="49" s="1"/>
  <c r="AJ155" i="44" s="1"/>
  <c r="F151" i="25"/>
  <c r="S149" i="49" s="1"/>
  <c r="AJ153" i="44" s="1"/>
  <c r="F149" i="25"/>
  <c r="S147" i="49" s="1"/>
  <c r="AJ151" i="44" s="1"/>
  <c r="F147" i="25"/>
  <c r="S145" i="49" s="1"/>
  <c r="AJ149" i="44" s="1"/>
  <c r="F145" i="25"/>
  <c r="S143" i="49" s="1"/>
  <c r="AJ147" i="44" s="1"/>
  <c r="F143" i="25"/>
  <c r="S141" i="49" s="1"/>
  <c r="AJ145" i="44" s="1"/>
  <c r="F141" i="25"/>
  <c r="S139" i="49" s="1"/>
  <c r="AJ143" i="44" s="1"/>
  <c r="F139" i="25"/>
  <c r="S137" i="49" s="1"/>
  <c r="AJ141" i="44" s="1"/>
  <c r="F137" i="25"/>
  <c r="S135" i="49" s="1"/>
  <c r="AJ139" i="44" s="1"/>
  <c r="F135" i="25"/>
  <c r="S133" i="49" s="1"/>
  <c r="AJ137" i="44" s="1"/>
  <c r="F133" i="25"/>
  <c r="S131" i="49" s="1"/>
  <c r="AJ135" i="44" s="1"/>
  <c r="F131" i="25"/>
  <c r="S129" i="49" s="1"/>
  <c r="AJ133" i="44" s="1"/>
  <c r="F129" i="25"/>
  <c r="S127" i="49" s="1"/>
  <c r="AJ131" i="44" s="1"/>
  <c r="F127" i="25"/>
  <c r="S125" i="49" s="1"/>
  <c r="AJ129" i="44" s="1"/>
  <c r="F125" i="25"/>
  <c r="S123" i="49" s="1"/>
  <c r="AJ127" i="44" s="1"/>
  <c r="F123" i="25"/>
  <c r="S121" i="49" s="1"/>
  <c r="AJ125" i="44" s="1"/>
  <c r="F121" i="25"/>
  <c r="S119" i="49" s="1"/>
  <c r="AJ123" i="44" s="1"/>
  <c r="F119" i="25"/>
  <c r="S117" i="49" s="1"/>
  <c r="AJ121" i="44" s="1"/>
  <c r="F117" i="25"/>
  <c r="S115" i="49" s="1"/>
  <c r="AJ119" i="44" s="1"/>
  <c r="F115" i="25"/>
  <c r="S113" i="49" s="1"/>
  <c r="AJ117" i="44" s="1"/>
  <c r="F113" i="25"/>
  <c r="S111" i="49" s="1"/>
  <c r="AJ115" i="44" s="1"/>
  <c r="F111" i="25"/>
  <c r="S109" i="49" s="1"/>
  <c r="AJ113" i="44" s="1"/>
  <c r="F109" i="25"/>
  <c r="S107" i="49" s="1"/>
  <c r="AJ111" i="44" s="1"/>
  <c r="F107" i="25"/>
  <c r="S105" i="49" s="1"/>
  <c r="AJ109" i="44" s="1"/>
  <c r="F105" i="25"/>
  <c r="S103" i="49" s="1"/>
  <c r="AJ107" i="44" s="1"/>
  <c r="F103" i="25"/>
  <c r="S101" i="49" s="1"/>
  <c r="AJ105" i="44" s="1"/>
  <c r="F101" i="25"/>
  <c r="S99" i="49" s="1"/>
  <c r="AJ103" i="44" s="1"/>
  <c r="F99" i="25"/>
  <c r="S97" i="49" s="1"/>
  <c r="AJ101" i="44" s="1"/>
  <c r="F97" i="25"/>
  <c r="S95" i="49" s="1"/>
  <c r="AJ99" i="44" s="1"/>
  <c r="F95" i="25"/>
  <c r="S93" i="49" s="1"/>
  <c r="AJ97" i="44" s="1"/>
  <c r="F93" i="25"/>
  <c r="S91" i="49" s="1"/>
  <c r="AJ95" i="44" s="1"/>
  <c r="F91" i="25"/>
  <c r="S89" i="49" s="1"/>
  <c r="AJ93" i="44" s="1"/>
  <c r="F89" i="25"/>
  <c r="S87" i="49" s="1"/>
  <c r="AJ91" i="44" s="1"/>
  <c r="F87" i="25"/>
  <c r="S85" i="49" s="1"/>
  <c r="AJ89" i="44" s="1"/>
  <c r="F85" i="25"/>
  <c r="S83" i="49" s="1"/>
  <c r="AJ87" i="44" s="1"/>
  <c r="F83" i="25"/>
  <c r="S81" i="49" s="1"/>
  <c r="AJ85" i="44" s="1"/>
  <c r="F81" i="25"/>
  <c r="S79" i="49" s="1"/>
  <c r="AJ83" i="44" s="1"/>
  <c r="F79" i="25"/>
  <c r="S77" i="49" s="1"/>
  <c r="AJ81" i="44" s="1"/>
  <c r="F77" i="25"/>
  <c r="S75" i="49" s="1"/>
  <c r="AJ79" i="44" s="1"/>
  <c r="F75" i="25"/>
  <c r="S73" i="49" s="1"/>
  <c r="AJ77" i="44" s="1"/>
  <c r="F73" i="25"/>
  <c r="S71" i="49" s="1"/>
  <c r="AJ75" i="44" s="1"/>
  <c r="F71" i="25"/>
  <c r="S69" i="49" s="1"/>
  <c r="AJ73" i="44" s="1"/>
  <c r="F69" i="25"/>
  <c r="S67" i="49" s="1"/>
  <c r="AJ71" i="44" s="1"/>
  <c r="F67" i="25"/>
  <c r="S65" i="49" s="1"/>
  <c r="AJ69" i="44" s="1"/>
  <c r="F65" i="25"/>
  <c r="S63" i="49" s="1"/>
  <c r="AJ67" i="44" s="1"/>
  <c r="F199" i="25"/>
  <c r="S197" i="49" s="1"/>
  <c r="AJ201" i="44" s="1"/>
  <c r="F340" i="25"/>
  <c r="S338" i="49" s="1"/>
  <c r="AJ342" i="44" s="1"/>
  <c r="F275" i="25"/>
  <c r="S273" i="49" s="1"/>
  <c r="AJ277" i="44" s="1"/>
  <c r="F255" i="25"/>
  <c r="S253" i="49" s="1"/>
  <c r="AJ257" i="44" s="1"/>
  <c r="F235" i="25"/>
  <c r="S233" i="49" s="1"/>
  <c r="AJ237" i="44" s="1"/>
  <c r="F220" i="25"/>
  <c r="S218" i="49" s="1"/>
  <c r="AJ222" i="44" s="1"/>
  <c r="F201" i="25"/>
  <c r="S199" i="49" s="1"/>
  <c r="AJ203" i="44" s="1"/>
  <c r="F315" i="25"/>
  <c r="S313" i="49" s="1"/>
  <c r="AJ317" i="44" s="1"/>
  <c r="F203" i="25"/>
  <c r="S201" i="49" s="1"/>
  <c r="AJ205" i="44" s="1"/>
  <c r="F334" i="25"/>
  <c r="S332" i="49" s="1"/>
  <c r="AJ336" i="44" s="1"/>
  <c r="F283" i="25"/>
  <c r="S281" i="49" s="1"/>
  <c r="AJ285" i="44" s="1"/>
  <c r="F273" i="25"/>
  <c r="S271" i="49" s="1"/>
  <c r="AJ275" i="44" s="1"/>
  <c r="F213" i="25"/>
  <c r="S211" i="49" s="1"/>
  <c r="AJ215" i="44" s="1"/>
  <c r="F348" i="25"/>
  <c r="S346" i="49" s="1"/>
  <c r="AJ350" i="44" s="1"/>
  <c r="F250" i="25"/>
  <c r="S248" i="49" s="1"/>
  <c r="AJ252" i="44" s="1"/>
  <c r="F245" i="25"/>
  <c r="S243" i="49" s="1"/>
  <c r="AJ247" i="44" s="1"/>
  <c r="F223" i="25"/>
  <c r="S221" i="49" s="1"/>
  <c r="AJ225" i="44" s="1"/>
  <c r="F206" i="25"/>
  <c r="S204" i="49" s="1"/>
  <c r="AJ208" i="44" s="1"/>
  <c r="F288" i="25"/>
  <c r="S286" i="49" s="1"/>
  <c r="AJ290" i="44" s="1"/>
  <c r="F237" i="25"/>
  <c r="S235" i="49" s="1"/>
  <c r="AJ239" i="44" s="1"/>
  <c r="F265" i="25"/>
  <c r="S263" i="49" s="1"/>
  <c r="AJ267" i="44" s="1"/>
  <c r="F225" i="25"/>
  <c r="S223" i="49" s="1"/>
  <c r="AJ227" i="44" s="1"/>
  <c r="F208" i="25"/>
  <c r="S206" i="49" s="1"/>
  <c r="AJ210" i="44" s="1"/>
  <c r="F277" i="25"/>
  <c r="S275" i="49" s="1"/>
  <c r="AJ279" i="44" s="1"/>
  <c r="F239" i="25"/>
  <c r="S237" i="49" s="1"/>
  <c r="AJ241" i="44" s="1"/>
  <c r="F227" i="25"/>
  <c r="S225" i="49" s="1"/>
  <c r="AJ229" i="44" s="1"/>
  <c r="F215" i="25"/>
  <c r="S213" i="49" s="1"/>
  <c r="AJ217" i="44" s="1"/>
  <c r="F308" i="25"/>
  <c r="S306" i="49" s="1"/>
  <c r="AJ310" i="44" s="1"/>
  <c r="F247" i="25"/>
  <c r="S245" i="49" s="1"/>
  <c r="AJ249" i="44" s="1"/>
  <c r="F234" i="25"/>
  <c r="S232" i="49" s="1"/>
  <c r="AJ236" i="44" s="1"/>
  <c r="F196" i="25"/>
  <c r="S194" i="49" s="1"/>
  <c r="AJ198" i="44" s="1"/>
  <c r="F259" i="25"/>
  <c r="S257" i="49" s="1"/>
  <c r="AJ261" i="44" s="1"/>
  <c r="F229" i="25"/>
  <c r="S227" i="49" s="1"/>
  <c r="AJ231" i="44" s="1"/>
  <c r="F205" i="25"/>
  <c r="S203" i="49" s="1"/>
  <c r="AJ207" i="44" s="1"/>
  <c r="F267" i="25"/>
  <c r="S265" i="49" s="1"/>
  <c r="AJ269" i="44" s="1"/>
  <c r="F217" i="25"/>
  <c r="S215" i="49" s="1"/>
  <c r="AJ219" i="44" s="1"/>
  <c r="F300" i="25"/>
  <c r="S298" i="49" s="1"/>
  <c r="AJ302" i="44" s="1"/>
  <c r="F279" i="25"/>
  <c r="S277" i="49" s="1"/>
  <c r="AJ281" i="44" s="1"/>
  <c r="F249" i="25"/>
  <c r="S247" i="49" s="1"/>
  <c r="AJ251" i="44" s="1"/>
  <c r="F241" i="25"/>
  <c r="S239" i="49" s="1"/>
  <c r="AJ243" i="44" s="1"/>
  <c r="F294" i="25"/>
  <c r="S292" i="49" s="1"/>
  <c r="AJ296" i="44" s="1"/>
  <c r="F281" i="25"/>
  <c r="S279" i="49" s="1"/>
  <c r="AJ283" i="44" s="1"/>
  <c r="F226" i="25"/>
  <c r="S224" i="49" s="1"/>
  <c r="AJ228" i="44" s="1"/>
  <c r="F329" i="25"/>
  <c r="S327" i="49" s="1"/>
  <c r="AJ331" i="44" s="1"/>
  <c r="F337" i="25"/>
  <c r="S335" i="49" s="1"/>
  <c r="AJ339" i="44" s="1"/>
  <c r="F263" i="25"/>
  <c r="S261" i="49" s="1"/>
  <c r="AJ265" i="44" s="1"/>
  <c r="F253" i="25"/>
  <c r="S251" i="49" s="1"/>
  <c r="AJ255" i="44" s="1"/>
  <c r="F248" i="25"/>
  <c r="S246" i="49" s="1"/>
  <c r="AJ250" i="44" s="1"/>
  <c r="F216" i="25"/>
  <c r="S214" i="49" s="1"/>
  <c r="AJ218" i="44" s="1"/>
  <c r="F204" i="25"/>
  <c r="S202" i="49" s="1"/>
  <c r="AJ206" i="44" s="1"/>
  <c r="F197" i="25"/>
  <c r="S195" i="49" s="1"/>
  <c r="AJ199" i="44" s="1"/>
  <c r="F192" i="25"/>
  <c r="S190" i="49" s="1"/>
  <c r="AJ194" i="44" s="1"/>
  <c r="F184" i="25"/>
  <c r="S182" i="49" s="1"/>
  <c r="AJ186" i="44" s="1"/>
  <c r="F176" i="25"/>
  <c r="S174" i="49" s="1"/>
  <c r="AJ178" i="44" s="1"/>
  <c r="F168" i="25"/>
  <c r="S166" i="49" s="1"/>
  <c r="AJ170" i="44" s="1"/>
  <c r="F160" i="25"/>
  <c r="S158" i="49" s="1"/>
  <c r="AJ162" i="44" s="1"/>
  <c r="F152" i="25"/>
  <c r="S150" i="49" s="1"/>
  <c r="AJ154" i="44" s="1"/>
  <c r="F144" i="25"/>
  <c r="S142" i="49" s="1"/>
  <c r="AJ146" i="44" s="1"/>
  <c r="F136" i="25"/>
  <c r="S134" i="49" s="1"/>
  <c r="AJ138" i="44" s="1"/>
  <c r="F128" i="25"/>
  <c r="S126" i="49" s="1"/>
  <c r="AJ130" i="44" s="1"/>
  <c r="F120" i="25"/>
  <c r="S118" i="49" s="1"/>
  <c r="AJ122" i="44" s="1"/>
  <c r="F112" i="25"/>
  <c r="S110" i="49" s="1"/>
  <c r="AJ114" i="44" s="1"/>
  <c r="F104" i="25"/>
  <c r="S102" i="49" s="1"/>
  <c r="AJ106" i="44" s="1"/>
  <c r="F96" i="25"/>
  <c r="S94" i="49" s="1"/>
  <c r="AJ98" i="44" s="1"/>
  <c r="F88" i="25"/>
  <c r="S86" i="49" s="1"/>
  <c r="AJ90" i="44" s="1"/>
  <c r="F80" i="25"/>
  <c r="S78" i="49" s="1"/>
  <c r="AJ82" i="44" s="1"/>
  <c r="F72" i="25"/>
  <c r="S70" i="49" s="1"/>
  <c r="AJ74" i="44" s="1"/>
  <c r="F64" i="25"/>
  <c r="S62" i="49" s="1"/>
  <c r="AJ66" i="44" s="1"/>
  <c r="F56" i="25"/>
  <c r="S54" i="49" s="1"/>
  <c r="AJ58" i="44" s="1"/>
  <c r="F48" i="25"/>
  <c r="S46" i="49" s="1"/>
  <c r="AJ50" i="44" s="1"/>
  <c r="F40" i="25"/>
  <c r="S38" i="49" s="1"/>
  <c r="AJ42" i="44" s="1"/>
  <c r="F32" i="25"/>
  <c r="S30" i="49" s="1"/>
  <c r="AJ34" i="44" s="1"/>
  <c r="F24" i="25"/>
  <c r="S22" i="49" s="1"/>
  <c r="AJ26" i="44" s="1"/>
  <c r="F19" i="25"/>
  <c r="S17" i="49" s="1"/>
  <c r="AJ21" i="44" s="1"/>
  <c r="F14" i="25"/>
  <c r="S12" i="49" s="1"/>
  <c r="AJ16" i="44" s="1"/>
  <c r="F9" i="25"/>
  <c r="S7" i="49" s="1"/>
  <c r="AJ11" i="44" s="1"/>
  <c r="F221" i="25"/>
  <c r="S219" i="49" s="1"/>
  <c r="AJ223" i="44" s="1"/>
  <c r="F142" i="25"/>
  <c r="S140" i="49" s="1"/>
  <c r="AJ144" i="44" s="1"/>
  <c r="F349" i="25"/>
  <c r="S347" i="49" s="1"/>
  <c r="AJ351" i="44" s="1"/>
  <c r="F209" i="25"/>
  <c r="S207" i="49" s="1"/>
  <c r="AJ211" i="44" s="1"/>
  <c r="F54" i="25"/>
  <c r="S52" i="49" s="1"/>
  <c r="AJ56" i="44" s="1"/>
  <c r="F78" i="25"/>
  <c r="S76" i="49" s="1"/>
  <c r="AJ80" i="44" s="1"/>
  <c r="F30" i="25"/>
  <c r="S28" i="49" s="1"/>
  <c r="AJ32" i="44" s="1"/>
  <c r="F21" i="25"/>
  <c r="S19" i="49" s="1"/>
  <c r="AJ23" i="44" s="1"/>
  <c r="F15" i="25"/>
  <c r="S13" i="49" s="1"/>
  <c r="AJ17" i="44" s="1"/>
  <c r="F256" i="25"/>
  <c r="S254" i="49" s="1"/>
  <c r="AJ258" i="44" s="1"/>
  <c r="F182" i="25"/>
  <c r="S180" i="49" s="1"/>
  <c r="AJ184" i="44" s="1"/>
  <c r="F102" i="25"/>
  <c r="S100" i="49" s="1"/>
  <c r="AJ104" i="44" s="1"/>
  <c r="F303" i="25"/>
  <c r="S301" i="49" s="1"/>
  <c r="AJ305" i="44" s="1"/>
  <c r="F166" i="25"/>
  <c r="S164" i="49" s="1"/>
  <c r="AJ168" i="44" s="1"/>
  <c r="F126" i="25"/>
  <c r="S124" i="49" s="1"/>
  <c r="AJ128" i="44" s="1"/>
  <c r="F285" i="25"/>
  <c r="S283" i="49" s="1"/>
  <c r="AJ287" i="44" s="1"/>
  <c r="F243" i="25"/>
  <c r="S241" i="49" s="1"/>
  <c r="AJ245" i="44" s="1"/>
  <c r="F62" i="25"/>
  <c r="S60" i="49" s="1"/>
  <c r="AJ64" i="44" s="1"/>
  <c r="F38" i="25"/>
  <c r="S36" i="49" s="1"/>
  <c r="AJ40" i="44" s="1"/>
  <c r="F321" i="25"/>
  <c r="S319" i="49" s="1"/>
  <c r="AJ323" i="44" s="1"/>
  <c r="F86" i="25"/>
  <c r="S84" i="49" s="1"/>
  <c r="AJ88" i="44" s="1"/>
  <c r="F257" i="25"/>
  <c r="S255" i="49" s="1"/>
  <c r="AJ259" i="44" s="1"/>
  <c r="F46" i="25"/>
  <c r="S44" i="49" s="1"/>
  <c r="AJ48" i="44" s="1"/>
  <c r="F207" i="25"/>
  <c r="S205" i="49" s="1"/>
  <c r="AJ209" i="44" s="1"/>
  <c r="F94" i="25"/>
  <c r="S92" i="49" s="1"/>
  <c r="AJ96" i="44" s="1"/>
  <c r="F228" i="25"/>
  <c r="S226" i="49" s="1"/>
  <c r="AJ230" i="44" s="1"/>
  <c r="F341" i="25"/>
  <c r="S339" i="49" s="1"/>
  <c r="AJ343" i="44" s="1"/>
  <c r="F219" i="25"/>
  <c r="S217" i="49" s="1"/>
  <c r="AJ221" i="44" s="1"/>
  <c r="F158" i="25"/>
  <c r="S156" i="49" s="1"/>
  <c r="AJ160" i="44" s="1"/>
  <c r="F118" i="25"/>
  <c r="S116" i="49" s="1"/>
  <c r="AJ120" i="44" s="1"/>
  <c r="F261" i="25"/>
  <c r="S259" i="49" s="1"/>
  <c r="AJ263" i="44" s="1"/>
  <c r="F258" i="25"/>
  <c r="S256" i="49" s="1"/>
  <c r="AJ260" i="44" s="1"/>
  <c r="F174" i="25"/>
  <c r="S172" i="49" s="1"/>
  <c r="AJ176" i="44" s="1"/>
  <c r="F134" i="25"/>
  <c r="S132" i="49" s="1"/>
  <c r="AJ136" i="44" s="1"/>
  <c r="F16" i="25"/>
  <c r="S14" i="49" s="1"/>
  <c r="AJ18" i="44" s="1"/>
  <c r="F326" i="25"/>
  <c r="S324" i="49" s="1"/>
  <c r="AJ328" i="44" s="1"/>
  <c r="F236" i="25"/>
  <c r="S234" i="49" s="1"/>
  <c r="AJ238" i="44" s="1"/>
  <c r="F233" i="25"/>
  <c r="S231" i="49" s="1"/>
  <c r="AJ235" i="44" s="1"/>
  <c r="F150" i="25"/>
  <c r="S148" i="49" s="1"/>
  <c r="AJ152" i="44" s="1"/>
  <c r="F297" i="25"/>
  <c r="S295" i="49" s="1"/>
  <c r="AJ299" i="44" s="1"/>
  <c r="F269" i="25"/>
  <c r="S267" i="49" s="1"/>
  <c r="AJ271" i="44" s="1"/>
  <c r="F287" i="25"/>
  <c r="S285" i="49" s="1"/>
  <c r="AJ289" i="44" s="1"/>
  <c r="F299" i="25"/>
  <c r="S297" i="49" s="1"/>
  <c r="AJ301" i="44" s="1"/>
  <c r="F190" i="25"/>
  <c r="S188" i="49" s="1"/>
  <c r="AJ192" i="44" s="1"/>
  <c r="F11" i="25"/>
  <c r="S9" i="49" s="1"/>
  <c r="AJ13" i="44" s="1"/>
  <c r="F70" i="25"/>
  <c r="S68" i="49" s="1"/>
  <c r="AJ72" i="44" s="1"/>
  <c r="F211" i="25"/>
  <c r="S209" i="49" s="1"/>
  <c r="AJ213" i="44" s="1"/>
  <c r="F202" i="25"/>
  <c r="S200" i="49" s="1"/>
  <c r="AJ204" i="44" s="1"/>
  <c r="F110" i="25"/>
  <c r="S108" i="49" s="1"/>
  <c r="AJ112" i="44" s="1"/>
  <c r="F351" i="25"/>
  <c r="S349" i="49" s="1"/>
  <c r="AJ353" i="44" s="1"/>
  <c r="F254" i="25"/>
  <c r="S252" i="49" s="1"/>
  <c r="AJ256" i="44" s="1"/>
  <c r="F41" i="25"/>
  <c r="S39" i="49" s="1"/>
  <c r="AJ43" i="44" s="1"/>
  <c r="F28" i="25"/>
  <c r="S26" i="49" s="1"/>
  <c r="AJ30" i="44" s="1"/>
  <c r="F106" i="25"/>
  <c r="S104" i="49" s="1"/>
  <c r="AJ108" i="44" s="1"/>
  <c r="F59" i="25"/>
  <c r="S57" i="49" s="1"/>
  <c r="AJ61" i="44" s="1"/>
  <c r="F74" i="25"/>
  <c r="S72" i="49" s="1"/>
  <c r="AJ76" i="44" s="1"/>
  <c r="F100" i="25"/>
  <c r="S98" i="49" s="1"/>
  <c r="AJ102" i="44" s="1"/>
  <c r="F232" i="25"/>
  <c r="S230" i="49" s="1"/>
  <c r="AJ234" i="44" s="1"/>
  <c r="F50" i="25"/>
  <c r="S48" i="49" s="1"/>
  <c r="AJ52" i="44" s="1"/>
  <c r="P354" i="25"/>
  <c r="F44" i="25"/>
  <c r="S42" i="49" s="1"/>
  <c r="AJ46" i="44" s="1"/>
  <c r="F186" i="25"/>
  <c r="S184" i="49" s="1"/>
  <c r="AJ188" i="44" s="1"/>
  <c r="F25" i="25"/>
  <c r="S23" i="49" s="1"/>
  <c r="AJ27" i="44" s="1"/>
  <c r="F58" i="25"/>
  <c r="S56" i="49" s="1"/>
  <c r="AJ60" i="44" s="1"/>
  <c r="F305" i="25"/>
  <c r="S303" i="49" s="1"/>
  <c r="AJ307" i="44" s="1"/>
  <c r="F8" i="25"/>
  <c r="S6" i="49" s="1"/>
  <c r="AJ10" i="44" s="1"/>
  <c r="F284" i="25"/>
  <c r="S282" i="49" s="1"/>
  <c r="AJ286" i="44" s="1"/>
  <c r="F290" i="25"/>
  <c r="S288" i="49" s="1"/>
  <c r="AJ292" i="44" s="1"/>
  <c r="F156" i="25"/>
  <c r="S154" i="49" s="1"/>
  <c r="AJ158" i="44" s="1"/>
  <c r="F272" i="25"/>
  <c r="S270" i="49" s="1"/>
  <c r="AJ274" i="44" s="1"/>
  <c r="F146" i="25"/>
  <c r="S144" i="49" s="1"/>
  <c r="AJ148" i="44" s="1"/>
  <c r="F332" i="25"/>
  <c r="S330" i="49" s="1"/>
  <c r="AJ334" i="44" s="1"/>
  <c r="F170" i="25"/>
  <c r="S168" i="49" s="1"/>
  <c r="AJ172" i="44" s="1"/>
  <c r="F180" i="25"/>
  <c r="S178" i="49" s="1"/>
  <c r="AJ182" i="44" s="1"/>
  <c r="F224" i="25"/>
  <c r="S222" i="49" s="1"/>
  <c r="AJ226" i="44" s="1"/>
  <c r="F276" i="25"/>
  <c r="S274" i="49" s="1"/>
  <c r="AJ278" i="44" s="1"/>
  <c r="F68" i="25"/>
  <c r="S66" i="49" s="1"/>
  <c r="AJ70" i="44" s="1"/>
  <c r="F140" i="25"/>
  <c r="S138" i="49" s="1"/>
  <c r="AJ142" i="44" s="1"/>
  <c r="F252" i="25"/>
  <c r="S250" i="49" s="1"/>
  <c r="AJ254" i="44" s="1"/>
  <c r="F194" i="25"/>
  <c r="S192" i="49" s="1"/>
  <c r="AJ196" i="44" s="1"/>
  <c r="F200" i="25"/>
  <c r="S198" i="49" s="1"/>
  <c r="AJ202" i="44" s="1"/>
  <c r="F264" i="25"/>
  <c r="S262" i="49" s="1"/>
  <c r="AJ266" i="44" s="1"/>
  <c r="F270" i="25"/>
  <c r="S268" i="49" s="1"/>
  <c r="AJ272" i="44" s="1"/>
  <c r="F347" i="25"/>
  <c r="S345" i="49" s="1"/>
  <c r="AJ349" i="44" s="1"/>
  <c r="F13" i="25"/>
  <c r="S11" i="49" s="1"/>
  <c r="AJ15" i="44" s="1"/>
  <c r="F52" i="25"/>
  <c r="S50" i="49" s="1"/>
  <c r="AJ54" i="44" s="1"/>
  <c r="F307" i="25"/>
  <c r="S305" i="49" s="1"/>
  <c r="AJ309" i="44" s="1"/>
  <c r="F10" i="25"/>
  <c r="S8" i="49" s="1"/>
  <c r="AJ12" i="44" s="1"/>
  <c r="F49" i="25"/>
  <c r="S47" i="49" s="1"/>
  <c r="AJ51" i="44" s="1"/>
  <c r="F274" i="25"/>
  <c r="S272" i="49" s="1"/>
  <c r="AJ276" i="44" s="1"/>
  <c r="F20" i="25"/>
  <c r="S18" i="49" s="1"/>
  <c r="AJ22" i="44" s="1"/>
  <c r="F178" i="25"/>
  <c r="S176" i="49" s="1"/>
  <c r="AJ180" i="44" s="1"/>
  <c r="F311" i="25"/>
  <c r="S309" i="49" s="1"/>
  <c r="AJ313" i="44" s="1"/>
  <c r="F7" i="25"/>
  <c r="S5" i="49" s="1"/>
  <c r="AJ9" i="44" s="1"/>
  <c r="F22" i="25"/>
  <c r="S20" i="49" s="1"/>
  <c r="AJ24" i="44" s="1"/>
  <c r="F124" i="25"/>
  <c r="S122" i="49" s="1"/>
  <c r="AJ126" i="44" s="1"/>
  <c r="F130" i="25"/>
  <c r="S128" i="49" s="1"/>
  <c r="AJ132" i="44" s="1"/>
  <c r="F164" i="25"/>
  <c r="S162" i="49" s="1"/>
  <c r="AJ166" i="44" s="1"/>
  <c r="F230" i="25"/>
  <c r="S228" i="49" s="1"/>
  <c r="AJ232" i="44" s="1"/>
  <c r="F343" i="25"/>
  <c r="S341" i="49" s="1"/>
  <c r="AJ345" i="44" s="1"/>
  <c r="F34" i="25"/>
  <c r="S32" i="49" s="1"/>
  <c r="AJ36" i="44" s="1"/>
  <c r="F43" i="25"/>
  <c r="S41" i="49" s="1"/>
  <c r="AJ45" i="44" s="1"/>
  <c r="F76" i="25"/>
  <c r="S74" i="49" s="1"/>
  <c r="AJ78" i="44" s="1"/>
  <c r="F82" i="25"/>
  <c r="S80" i="49" s="1"/>
  <c r="AJ84" i="44" s="1"/>
  <c r="F278" i="25"/>
  <c r="S276" i="49" s="1"/>
  <c r="AJ280" i="44" s="1"/>
  <c r="F23" i="25"/>
  <c r="S21" i="49" s="1"/>
  <c r="AJ25" i="44" s="1"/>
  <c r="F116" i="25"/>
  <c r="S114" i="49" s="1"/>
  <c r="AJ118" i="44" s="1"/>
  <c r="F122" i="25"/>
  <c r="S120" i="49" s="1"/>
  <c r="AJ124" i="44" s="1"/>
  <c r="F324" i="25"/>
  <c r="S322" i="49" s="1"/>
  <c r="AJ326" i="44" s="1"/>
  <c r="F17" i="25"/>
  <c r="S15" i="49" s="1"/>
  <c r="AJ19" i="44" s="1"/>
  <c r="F26" i="25"/>
  <c r="S24" i="49" s="1"/>
  <c r="AJ28" i="44" s="1"/>
  <c r="F35" i="25"/>
  <c r="S33" i="49" s="1"/>
  <c r="AJ37" i="44" s="1"/>
  <c r="F92" i="25"/>
  <c r="S90" i="49" s="1"/>
  <c r="AJ94" i="44" s="1"/>
  <c r="F98" i="25"/>
  <c r="S96" i="49" s="1"/>
  <c r="AJ100" i="44" s="1"/>
  <c r="F162" i="25"/>
  <c r="S160" i="49" s="1"/>
  <c r="AJ164" i="44" s="1"/>
  <c r="F246" i="25"/>
  <c r="S244" i="49" s="1"/>
  <c r="AJ248" i="44" s="1"/>
  <c r="F338" i="25"/>
  <c r="S336" i="49" s="1"/>
  <c r="AJ340" i="44" s="1"/>
  <c r="F172" i="25"/>
  <c r="S170" i="49" s="1"/>
  <c r="AJ174" i="44" s="1"/>
  <c r="F188" i="25"/>
  <c r="S186" i="49" s="1"/>
  <c r="AJ190" i="44" s="1"/>
  <c r="F309" i="25"/>
  <c r="S307" i="49" s="1"/>
  <c r="AJ311" i="44" s="1"/>
  <c r="F12" i="25"/>
  <c r="S10" i="49" s="1"/>
  <c r="AJ14" i="44" s="1"/>
  <c r="F335" i="25"/>
  <c r="S333" i="49" s="1"/>
  <c r="AJ337" i="44" s="1"/>
  <c r="F132" i="25"/>
  <c r="S130" i="49" s="1"/>
  <c r="AJ134" i="44" s="1"/>
  <c r="F138" i="25"/>
  <c r="S136" i="49" s="1"/>
  <c r="AJ140" i="44" s="1"/>
  <c r="F268" i="25"/>
  <c r="S266" i="49" s="1"/>
  <c r="AJ270" i="44" s="1"/>
  <c r="F319" i="25"/>
  <c r="S317" i="49" s="1"/>
  <c r="AJ321" i="44" s="1"/>
  <c r="F339" i="25"/>
  <c r="S337" i="49" s="1"/>
  <c r="AJ341" i="44" s="1"/>
  <c r="F18" i="25"/>
  <c r="S16" i="49" s="1"/>
  <c r="AJ20" i="44" s="1"/>
  <c r="F27" i="25"/>
  <c r="S25" i="49" s="1"/>
  <c r="AJ29" i="44" s="1"/>
  <c r="F108" i="25"/>
  <c r="S106" i="49" s="1"/>
  <c r="AJ110" i="44" s="1"/>
  <c r="F114" i="25"/>
  <c r="S112" i="49" s="1"/>
  <c r="AJ116" i="44" s="1"/>
  <c r="F238" i="25"/>
  <c r="S236" i="49" s="1"/>
  <c r="AJ240" i="44" s="1"/>
  <c r="F322" i="25"/>
  <c r="S320" i="49" s="1"/>
  <c r="AJ324" i="44" s="1"/>
  <c r="F33" i="25"/>
  <c r="S31" i="49" s="1"/>
  <c r="AJ35" i="44" s="1"/>
  <c r="F36" i="25"/>
  <c r="S34" i="49" s="1"/>
  <c r="AJ38" i="44" s="1"/>
  <c r="F84" i="25"/>
  <c r="S82" i="49" s="1"/>
  <c r="AJ86" i="44" s="1"/>
  <c r="F90" i="25"/>
  <c r="S88" i="49" s="1"/>
  <c r="AJ92" i="44" s="1"/>
  <c r="F286" i="25"/>
  <c r="S284" i="49" s="1"/>
  <c r="AJ288" i="44" s="1"/>
  <c r="F316" i="25"/>
  <c r="S314" i="49" s="1"/>
  <c r="AJ318" i="44" s="1"/>
  <c r="F42" i="25"/>
  <c r="S40" i="49" s="1"/>
  <c r="AJ44" i="44" s="1"/>
  <c r="F51" i="25"/>
  <c r="S49" i="49" s="1"/>
  <c r="AJ53" i="44" s="1"/>
  <c r="F57" i="25"/>
  <c r="S55" i="49" s="1"/>
  <c r="AJ59" i="44" s="1"/>
  <c r="F60" i="25"/>
  <c r="S58" i="49" s="1"/>
  <c r="AJ62" i="44" s="1"/>
  <c r="F66" i="25"/>
  <c r="S64" i="49" s="1"/>
  <c r="AJ68" i="44" s="1"/>
  <c r="F262" i="25"/>
  <c r="S260" i="49" s="1"/>
  <c r="AJ264" i="44" s="1"/>
  <c r="F298" i="25"/>
  <c r="S296" i="49" s="1"/>
  <c r="AJ300" i="44" s="1"/>
  <c r="F346" i="25"/>
  <c r="S344" i="49" s="1"/>
  <c r="AJ348" i="44" s="1"/>
  <c r="F198" i="25"/>
  <c r="S196" i="49" s="1"/>
  <c r="AJ200" i="44" s="1"/>
  <c r="F295" i="25"/>
  <c r="S293" i="49" s="1"/>
  <c r="AJ297" i="44" s="1"/>
  <c r="F148" i="25"/>
  <c r="S146" i="49" s="1"/>
  <c r="AJ150" i="44" s="1"/>
  <c r="F154" i="25"/>
  <c r="S152" i="49" s="1"/>
  <c r="AJ156" i="44" s="1"/>
  <c r="F292" i="25"/>
  <c r="S290" i="49" s="1"/>
  <c r="AJ294" i="44" s="1"/>
  <c r="F266" i="25"/>
  <c r="S264" i="49" s="1"/>
  <c r="AJ268" i="44" s="1"/>
  <c r="F312" i="25"/>
  <c r="S310" i="49" s="1"/>
  <c r="AJ314" i="44" s="1"/>
  <c r="F318" i="25"/>
  <c r="S316" i="49" s="1"/>
  <c r="AJ320" i="44" s="1"/>
  <c r="F214" i="25"/>
  <c r="S212" i="49" s="1"/>
  <c r="AJ216" i="44" s="1"/>
  <c r="F302" i="25"/>
  <c r="S300" i="49" s="1"/>
  <c r="AJ304" i="44" s="1"/>
  <c r="F212" i="25"/>
  <c r="S210" i="49" s="1"/>
  <c r="AJ214" i="44" s="1"/>
  <c r="F244" i="25"/>
  <c r="S242" i="49" s="1"/>
  <c r="AJ246" i="44" s="1"/>
  <c r="F330" i="25"/>
  <c r="S328" i="49" s="1"/>
  <c r="AJ332" i="44" s="1"/>
  <c r="F222" i="25"/>
  <c r="S220" i="49" s="1"/>
  <c r="AJ224" i="44" s="1"/>
  <c r="F313" i="25"/>
  <c r="S311" i="49" s="1"/>
  <c r="AJ315" i="44" s="1"/>
  <c r="F327" i="25"/>
  <c r="S325" i="49" s="1"/>
  <c r="AJ329" i="44" s="1"/>
  <c r="F336" i="25"/>
  <c r="S334" i="49" s="1"/>
  <c r="AJ338" i="44" s="1"/>
  <c r="F210" i="25"/>
  <c r="S208" i="49" s="1"/>
  <c r="AJ212" i="44" s="1"/>
  <c r="F282" i="25"/>
  <c r="S280" i="49" s="1"/>
  <c r="AJ284" i="44" s="1"/>
  <c r="F31" i="25"/>
  <c r="S29" i="49" s="1"/>
  <c r="AJ33" i="44" s="1"/>
  <c r="F39" i="25"/>
  <c r="S37" i="49" s="1"/>
  <c r="AJ41" i="44" s="1"/>
  <c r="F47" i="25"/>
  <c r="S45" i="49" s="1"/>
  <c r="AJ49" i="44" s="1"/>
  <c r="F55" i="25"/>
  <c r="S53" i="49" s="1"/>
  <c r="AJ57" i="44" s="1"/>
  <c r="F63" i="25"/>
  <c r="S61" i="49" s="1"/>
  <c r="AJ65" i="44" s="1"/>
  <c r="F242" i="25"/>
  <c r="S240" i="49" s="1"/>
  <c r="AJ244" i="44" s="1"/>
  <c r="F280" i="25"/>
  <c r="S278" i="49" s="1"/>
  <c r="AJ282" i="44" s="1"/>
  <c r="F342" i="25"/>
  <c r="S340" i="49" s="1"/>
  <c r="AJ344" i="44" s="1"/>
  <c r="F218" i="25"/>
  <c r="S216" i="49" s="1"/>
  <c r="AJ220" i="44" s="1"/>
  <c r="F301" i="25"/>
  <c r="S299" i="49" s="1"/>
  <c r="AJ303" i="44" s="1"/>
  <c r="F317" i="25"/>
  <c r="S315" i="49" s="1"/>
  <c r="AJ319" i="44" s="1"/>
  <c r="F328" i="25"/>
  <c r="S326" i="49" s="1"/>
  <c r="AJ330" i="44" s="1"/>
  <c r="F345" i="25"/>
  <c r="S343" i="49" s="1"/>
  <c r="AJ347" i="44" s="1"/>
  <c r="F29" i="25"/>
  <c r="S27" i="49" s="1"/>
  <c r="AJ31" i="44" s="1"/>
  <c r="F37" i="25"/>
  <c r="S35" i="49" s="1"/>
  <c r="AJ39" i="44" s="1"/>
  <c r="F45" i="25"/>
  <c r="S43" i="49" s="1"/>
  <c r="AJ47" i="44" s="1"/>
  <c r="F53" i="25"/>
  <c r="S51" i="49" s="1"/>
  <c r="AJ55" i="44" s="1"/>
  <c r="F61" i="25"/>
  <c r="S59" i="49" s="1"/>
  <c r="AJ63" i="44" s="1"/>
  <c r="F260" i="25"/>
  <c r="S258" i="49" s="1"/>
  <c r="AJ262" i="44" s="1"/>
  <c r="F314" i="25"/>
  <c r="S312" i="49" s="1"/>
  <c r="AJ316" i="44" s="1"/>
  <c r="F320" i="25"/>
  <c r="S318" i="49" s="1"/>
  <c r="AJ322" i="44" s="1"/>
  <c r="F296" i="25"/>
  <c r="S294" i="49" s="1"/>
  <c r="AJ298" i="44" s="1"/>
  <c r="D4" i="31"/>
  <c r="F240" i="25"/>
  <c r="S238" i="49" s="1"/>
  <c r="AJ242" i="44" s="1"/>
  <c r="F293" i="25"/>
  <c r="S291" i="49" s="1"/>
  <c r="AJ295" i="44" s="1"/>
  <c r="F323" i="25"/>
  <c r="S321" i="49" s="1"/>
  <c r="AJ325" i="44" s="1"/>
  <c r="F333" i="25"/>
  <c r="S331" i="49" s="1"/>
  <c r="AJ335" i="44" s="1"/>
  <c r="F306" i="25"/>
  <c r="S304" i="49" s="1"/>
  <c r="AJ308" i="44" s="1"/>
  <c r="F352" i="25"/>
  <c r="S350" i="49" s="1"/>
  <c r="AJ354" i="44" s="1"/>
  <c r="N9" i="29"/>
  <c r="F32" i="29"/>
  <c r="G32" i="29" s="1"/>
  <c r="N11" i="29"/>
  <c r="BL4" i="31" s="1"/>
  <c r="G3" i="42"/>
  <c r="D18" i="15"/>
  <c r="V49" i="41" s="1"/>
  <c r="V348" i="41" s="1"/>
  <c r="D25" i="15"/>
  <c r="H8" i="2"/>
  <c r="F15" i="31"/>
  <c r="F18" i="31"/>
  <c r="F21" i="31"/>
  <c r="F44" i="31"/>
  <c r="F14" i="31"/>
  <c r="F8" i="31"/>
  <c r="D17" i="15"/>
  <c r="U49" i="41" s="1"/>
  <c r="U348" i="41" s="1"/>
  <c r="D19" i="15"/>
  <c r="F16" i="31"/>
  <c r="F17" i="31"/>
  <c r="D20" i="15"/>
  <c r="D26" i="15"/>
  <c r="F26" i="31"/>
  <c r="D21" i="15"/>
  <c r="F43" i="31"/>
  <c r="F13" i="31"/>
  <c r="F22" i="31"/>
  <c r="F56" i="31"/>
  <c r="D16" i="15"/>
  <c r="T49" i="41" s="1"/>
  <c r="T348" i="41" s="1"/>
  <c r="D24" i="15"/>
  <c r="F9" i="29"/>
  <c r="O9" i="29"/>
  <c r="BB54" i="31"/>
  <c r="F24" i="31"/>
  <c r="F50" i="31"/>
  <c r="F352" i="31"/>
  <c r="F346" i="31"/>
  <c r="F345" i="31"/>
  <c r="F344" i="31"/>
  <c r="F343" i="31"/>
  <c r="F342" i="31"/>
  <c r="F347" i="31"/>
  <c r="F327" i="31"/>
  <c r="F325" i="31"/>
  <c r="F341" i="31"/>
  <c r="F340" i="31"/>
  <c r="F338" i="31"/>
  <c r="F351" i="31"/>
  <c r="F337" i="31"/>
  <c r="F332" i="31"/>
  <c r="F329" i="31"/>
  <c r="F328" i="31"/>
  <c r="F317" i="31"/>
  <c r="F335" i="31"/>
  <c r="F316" i="31"/>
  <c r="F336" i="31"/>
  <c r="F314" i="31"/>
  <c r="F315" i="31"/>
  <c r="F313" i="31"/>
  <c r="F339" i="31"/>
  <c r="F312" i="31"/>
  <c r="F326" i="31"/>
  <c r="F319" i="31"/>
  <c r="F311" i="31"/>
  <c r="F348" i="31"/>
  <c r="F333" i="31"/>
  <c r="F310" i="31"/>
  <c r="F309" i="31"/>
  <c r="F330" i="31"/>
  <c r="F322" i="31"/>
  <c r="F308" i="31"/>
  <c r="F320" i="31"/>
  <c r="F318" i="31"/>
  <c r="F350" i="31"/>
  <c r="F297" i="31"/>
  <c r="F331" i="31"/>
  <c r="F296" i="31"/>
  <c r="F324" i="31"/>
  <c r="F323" i="31"/>
  <c r="F295" i="31"/>
  <c r="F321" i="31"/>
  <c r="F334" i="31"/>
  <c r="F301" i="31"/>
  <c r="F291" i="31"/>
  <c r="F277" i="31"/>
  <c r="F290" i="31"/>
  <c r="F289" i="31"/>
  <c r="F306" i="31"/>
  <c r="F292" i="31"/>
  <c r="F288" i="31"/>
  <c r="F274" i="31"/>
  <c r="F302" i="31"/>
  <c r="F287" i="31"/>
  <c r="F307" i="31"/>
  <c r="F305" i="31"/>
  <c r="F303" i="31"/>
  <c r="F298" i="31"/>
  <c r="F349" i="31"/>
  <c r="F294" i="31"/>
  <c r="F285" i="31"/>
  <c r="F278" i="31"/>
  <c r="F264" i="31"/>
  <c r="F263" i="31"/>
  <c r="F300" i="31"/>
  <c r="F279" i="31"/>
  <c r="F262" i="31"/>
  <c r="F261" i="31"/>
  <c r="F282" i="31"/>
  <c r="F284" i="31"/>
  <c r="F273" i="31"/>
  <c r="F293" i="31"/>
  <c r="F286" i="31"/>
  <c r="F253" i="31"/>
  <c r="F276" i="31"/>
  <c r="F252" i="31"/>
  <c r="F299" i="31"/>
  <c r="F251" i="31"/>
  <c r="F271" i="31"/>
  <c r="F250" i="31"/>
  <c r="F249" i="31"/>
  <c r="F248" i="31"/>
  <c r="F270" i="31"/>
  <c r="F283" i="31"/>
  <c r="F269" i="31"/>
  <c r="F267" i="31"/>
  <c r="F239" i="31"/>
  <c r="F256" i="31"/>
  <c r="F238" i="31"/>
  <c r="F255" i="31"/>
  <c r="F237" i="31"/>
  <c r="F258" i="31"/>
  <c r="F236" i="31"/>
  <c r="F235" i="31"/>
  <c r="F304" i="31"/>
  <c r="F254" i="31"/>
  <c r="F259" i="31"/>
  <c r="F244" i="31"/>
  <c r="F232" i="31"/>
  <c r="F266" i="31"/>
  <c r="F281" i="31"/>
  <c r="F225" i="31"/>
  <c r="F224" i="31"/>
  <c r="F223" i="31"/>
  <c r="F233" i="31"/>
  <c r="F222" i="31"/>
  <c r="F245" i="31"/>
  <c r="F240" i="31"/>
  <c r="F221" i="31"/>
  <c r="F220" i="31"/>
  <c r="F268" i="31"/>
  <c r="F241" i="31"/>
  <c r="F219" i="31"/>
  <c r="F280" i="31"/>
  <c r="F275" i="31"/>
  <c r="F260" i="31"/>
  <c r="F234" i="31"/>
  <c r="F211" i="31"/>
  <c r="F257" i="31"/>
  <c r="F210" i="31"/>
  <c r="F228" i="31"/>
  <c r="F212" i="31"/>
  <c r="F209" i="31"/>
  <c r="F231" i="31"/>
  <c r="F208" i="31"/>
  <c r="F207" i="31"/>
  <c r="F217" i="31"/>
  <c r="F206" i="31"/>
  <c r="F218" i="31"/>
  <c r="F205" i="31"/>
  <c r="F213" i="31"/>
  <c r="F242" i="31"/>
  <c r="F230" i="31"/>
  <c r="F214" i="31"/>
  <c r="F189" i="31"/>
  <c r="F185" i="31"/>
  <c r="F194" i="31"/>
  <c r="F183" i="31"/>
  <c r="F243" i="31"/>
  <c r="F200" i="31"/>
  <c r="F195" i="31"/>
  <c r="F182" i="31"/>
  <c r="F193" i="31"/>
  <c r="F181" i="31"/>
  <c r="F198" i="31"/>
  <c r="F190" i="31"/>
  <c r="F180" i="31"/>
  <c r="F202" i="31"/>
  <c r="F226" i="31"/>
  <c r="F227" i="31"/>
  <c r="F216" i="31"/>
  <c r="F191" i="31"/>
  <c r="F229" i="31"/>
  <c r="F215" i="31"/>
  <c r="F201" i="31"/>
  <c r="F272" i="31"/>
  <c r="F186" i="31"/>
  <c r="F159" i="31"/>
  <c r="F199" i="31"/>
  <c r="F158" i="31"/>
  <c r="F157" i="31"/>
  <c r="F177" i="31"/>
  <c r="F176" i="31"/>
  <c r="F156" i="31"/>
  <c r="F197" i="31"/>
  <c r="F175" i="31"/>
  <c r="F155" i="31"/>
  <c r="F174" i="31"/>
  <c r="F154" i="31"/>
  <c r="F246" i="31"/>
  <c r="F184" i="31"/>
  <c r="F173" i="31"/>
  <c r="F153" i="31"/>
  <c r="F172" i="31"/>
  <c r="F178" i="31"/>
  <c r="F171" i="31"/>
  <c r="F247" i="31"/>
  <c r="F170" i="31"/>
  <c r="F150" i="31"/>
  <c r="F169" i="31"/>
  <c r="F168" i="31"/>
  <c r="F204" i="31"/>
  <c r="F179" i="31"/>
  <c r="F167" i="31"/>
  <c r="F188" i="31"/>
  <c r="F160" i="31"/>
  <c r="F196" i="31"/>
  <c r="F166" i="31"/>
  <c r="F145" i="31"/>
  <c r="F161" i="31"/>
  <c r="F143" i="31"/>
  <c r="F162" i="31"/>
  <c r="F192" i="31"/>
  <c r="F265" i="31"/>
  <c r="F203" i="31"/>
  <c r="F142" i="31"/>
  <c r="F135" i="31"/>
  <c r="F115" i="31"/>
  <c r="F164" i="31"/>
  <c r="F136" i="31"/>
  <c r="F134" i="31"/>
  <c r="F114" i="31"/>
  <c r="F94" i="31"/>
  <c r="F165" i="31"/>
  <c r="F133" i="31"/>
  <c r="F113" i="31"/>
  <c r="F147" i="31"/>
  <c r="F132" i="31"/>
  <c r="F112" i="31"/>
  <c r="F187" i="31"/>
  <c r="F131" i="31"/>
  <c r="F111" i="31"/>
  <c r="F130" i="31"/>
  <c r="F110" i="31"/>
  <c r="F129" i="31"/>
  <c r="F109" i="31"/>
  <c r="F128" i="31"/>
  <c r="F108" i="31"/>
  <c r="F152" i="31"/>
  <c r="F141" i="31"/>
  <c r="F139" i="31"/>
  <c r="F137" i="31"/>
  <c r="F127" i="31"/>
  <c r="F126" i="31"/>
  <c r="F146" i="31"/>
  <c r="F105" i="31"/>
  <c r="F90" i="31"/>
  <c r="F70" i="31"/>
  <c r="F148" i="31"/>
  <c r="F89" i="31"/>
  <c r="F69" i="31"/>
  <c r="F102" i="31"/>
  <c r="F98" i="31"/>
  <c r="F88" i="31"/>
  <c r="F125" i="31"/>
  <c r="F120" i="31"/>
  <c r="F87" i="31"/>
  <c r="F67" i="31"/>
  <c r="F86" i="31"/>
  <c r="F66" i="31"/>
  <c r="F85" i="31"/>
  <c r="F106" i="31"/>
  <c r="F97" i="31"/>
  <c r="F84" i="31"/>
  <c r="F121" i="31"/>
  <c r="F93" i="31"/>
  <c r="F103" i="31"/>
  <c r="F138" i="31"/>
  <c r="F116" i="31"/>
  <c r="F122" i="31"/>
  <c r="F149" i="31"/>
  <c r="F117" i="31"/>
  <c r="F107" i="31"/>
  <c r="F100" i="31"/>
  <c r="F78" i="31"/>
  <c r="F41" i="31"/>
  <c r="F144" i="31"/>
  <c r="F83" i="31"/>
  <c r="F71" i="31"/>
  <c r="F39" i="31"/>
  <c r="F80" i="31"/>
  <c r="F38" i="31"/>
  <c r="F99" i="31"/>
  <c r="F72" i="31"/>
  <c r="F163" i="31"/>
  <c r="F64" i="31"/>
  <c r="F82" i="31"/>
  <c r="F75" i="31"/>
  <c r="F96" i="31"/>
  <c r="F91" i="31"/>
  <c r="F151" i="31"/>
  <c r="F77" i="31"/>
  <c r="F65" i="31"/>
  <c r="F61" i="31"/>
  <c r="F53" i="31"/>
  <c r="F92" i="31"/>
  <c r="F118" i="31"/>
  <c r="F73" i="31"/>
  <c r="F81" i="31"/>
  <c r="F57" i="31"/>
  <c r="F47" i="31"/>
  <c r="F36" i="31"/>
  <c r="F32" i="31"/>
  <c r="F34" i="31"/>
  <c r="F31" i="31"/>
  <c r="F123" i="31"/>
  <c r="F104" i="31"/>
  <c r="F51" i="31"/>
  <c r="F29" i="31"/>
  <c r="F124" i="31"/>
  <c r="F95" i="31"/>
  <c r="F58" i="31"/>
  <c r="F45" i="31"/>
  <c r="F28" i="31"/>
  <c r="F140" i="31"/>
  <c r="F119" i="31"/>
  <c r="F59" i="31"/>
  <c r="F79" i="31"/>
  <c r="F54" i="31"/>
  <c r="F42" i="31"/>
  <c r="F40" i="31"/>
  <c r="F33" i="31"/>
  <c r="F9" i="31"/>
  <c r="F30" i="31"/>
  <c r="F25" i="31"/>
  <c r="F23" i="31"/>
  <c r="F101" i="31"/>
  <c r="F62" i="31"/>
  <c r="F76" i="31"/>
  <c r="F49" i="31"/>
  <c r="F55" i="31"/>
  <c r="F46" i="31"/>
  <c r="F35" i="31"/>
  <c r="F12" i="31"/>
  <c r="F7" i="31"/>
  <c r="F20" i="31"/>
  <c r="F60" i="31"/>
  <c r="F68" i="31"/>
  <c r="F48" i="31"/>
  <c r="D27" i="15"/>
  <c r="AE49" i="41" s="1"/>
  <c r="AE348" i="41" s="1"/>
  <c r="F11" i="31"/>
  <c r="F27" i="31"/>
  <c r="F52" i="31"/>
  <c r="D22" i="15"/>
  <c r="Z49" i="41" s="1"/>
  <c r="Z348" i="41" s="1"/>
  <c r="F10" i="31"/>
  <c r="F19" i="31"/>
  <c r="F37" i="31"/>
  <c r="F74" i="31"/>
  <c r="G5" i="16"/>
  <c r="O5" i="16" s="1"/>
  <c r="E5" i="16"/>
  <c r="U4" i="16"/>
  <c r="T6" i="16"/>
  <c r="S6" i="16"/>
  <c r="G6" i="31"/>
  <c r="H6" i="16"/>
  <c r="O12" i="29" l="1"/>
  <c r="AD49" i="41"/>
  <c r="AD348" i="41" s="1"/>
  <c r="AJ54" i="31"/>
  <c r="X49" i="41"/>
  <c r="X348" i="41" s="1"/>
  <c r="O47" i="50"/>
  <c r="F5" i="29"/>
  <c r="W49" i="41"/>
  <c r="W348" i="41" s="1"/>
  <c r="F10" i="29"/>
  <c r="G10" i="29" s="1"/>
  <c r="AB49" i="41"/>
  <c r="AB348" i="41" s="1"/>
  <c r="F11" i="29"/>
  <c r="AC49" i="41"/>
  <c r="AC348" i="41" s="1"/>
  <c r="O7" i="29"/>
  <c r="Y49" i="41"/>
  <c r="Y348" i="41" s="1"/>
  <c r="G25" i="50"/>
  <c r="O25" i="50" s="1"/>
  <c r="E37" i="50"/>
  <c r="P2" i="50"/>
  <c r="N47" i="50"/>
  <c r="J6" i="44"/>
  <c r="K25" i="29"/>
  <c r="K26" i="29"/>
  <c r="K27" i="29"/>
  <c r="K28" i="29"/>
  <c r="J31" i="29"/>
  <c r="K22" i="29"/>
  <c r="K23" i="29"/>
  <c r="K24" i="29"/>
  <c r="K29" i="29"/>
  <c r="K30" i="29"/>
  <c r="K20" i="29"/>
  <c r="K21" i="29"/>
  <c r="F5" i="25"/>
  <c r="S3" i="49"/>
  <c r="Y215" i="45"/>
  <c r="Z215" i="45" s="1"/>
  <c r="AA215" i="45" s="1"/>
  <c r="Y23" i="45"/>
  <c r="Z23" i="45" s="1"/>
  <c r="AA23" i="45" s="1"/>
  <c r="Y161" i="45"/>
  <c r="Z161" i="45" s="1"/>
  <c r="AA161" i="45" s="1"/>
  <c r="Y252" i="45"/>
  <c r="Z252" i="45" s="1"/>
  <c r="AA252" i="45" s="1"/>
  <c r="Y168" i="45"/>
  <c r="Z168" i="45" s="1"/>
  <c r="AA168" i="45" s="1"/>
  <c r="AA9" i="45"/>
  <c r="Y266" i="45"/>
  <c r="Z266" i="45" s="1"/>
  <c r="AA266" i="45" s="1"/>
  <c r="Y81" i="45"/>
  <c r="Z81" i="45" s="1"/>
  <c r="AA81" i="45" s="1"/>
  <c r="Y294" i="45"/>
  <c r="Z294" i="45" s="1"/>
  <c r="AA294" i="45" s="1"/>
  <c r="Y11" i="45"/>
  <c r="Z11" i="45" s="1"/>
  <c r="AA11" i="45" s="1"/>
  <c r="Y207" i="45"/>
  <c r="Z207" i="45" s="1"/>
  <c r="AA207" i="45" s="1"/>
  <c r="Y66" i="45"/>
  <c r="Z66" i="45" s="1"/>
  <c r="AA66" i="45" s="1"/>
  <c r="Y327" i="45"/>
  <c r="Z327" i="45" s="1"/>
  <c r="AA327" i="45" s="1"/>
  <c r="Y345" i="45"/>
  <c r="Z345" i="45" s="1"/>
  <c r="AA345" i="45" s="1"/>
  <c r="Y83" i="45"/>
  <c r="Z83" i="45" s="1"/>
  <c r="AA83" i="45" s="1"/>
  <c r="Y271" i="45"/>
  <c r="Z271" i="45" s="1"/>
  <c r="AA271" i="45" s="1"/>
  <c r="Y25" i="45"/>
  <c r="Z25" i="45" s="1"/>
  <c r="AA25" i="45" s="1"/>
  <c r="Y315" i="45"/>
  <c r="Z315" i="45" s="1"/>
  <c r="AA315" i="45" s="1"/>
  <c r="Y154" i="45"/>
  <c r="Z154" i="45" s="1"/>
  <c r="AA154" i="45" s="1"/>
  <c r="Y148" i="45"/>
  <c r="Z148" i="45" s="1"/>
  <c r="AA148" i="45" s="1"/>
  <c r="Y301" i="45"/>
  <c r="Z301" i="45" s="1"/>
  <c r="AA301" i="45" s="1"/>
  <c r="Y135" i="45"/>
  <c r="Z135" i="45" s="1"/>
  <c r="AA135" i="45" s="1"/>
  <c r="Y328" i="45"/>
  <c r="Z328" i="45" s="1"/>
  <c r="AA328" i="45" s="1"/>
  <c r="Y228" i="45"/>
  <c r="Z228" i="45" s="1"/>
  <c r="AA228" i="45" s="1"/>
  <c r="Y24" i="45"/>
  <c r="Z24" i="45" s="1"/>
  <c r="AA24" i="45" s="1"/>
  <c r="Y158" i="45"/>
  <c r="Z158" i="45" s="1"/>
  <c r="AA158" i="45" s="1"/>
  <c r="Y241" i="45"/>
  <c r="Z241" i="45" s="1"/>
  <c r="AA241" i="45" s="1"/>
  <c r="Y298" i="45"/>
  <c r="Z298" i="45" s="1"/>
  <c r="AA298" i="45" s="1"/>
  <c r="Y28" i="45"/>
  <c r="Z28" i="45" s="1"/>
  <c r="AA28" i="45" s="1"/>
  <c r="Y270" i="45"/>
  <c r="Z270" i="45" s="1"/>
  <c r="AA270" i="45" s="1"/>
  <c r="Y274" i="45"/>
  <c r="Z274" i="45" s="1"/>
  <c r="AA274" i="45" s="1"/>
  <c r="Y342" i="45"/>
  <c r="Z342" i="45" s="1"/>
  <c r="AA342" i="45" s="1"/>
  <c r="Y353" i="45"/>
  <c r="Z353" i="45" s="1"/>
  <c r="AA353" i="45" s="1"/>
  <c r="Y119" i="45"/>
  <c r="Z119" i="45" s="1"/>
  <c r="AA119" i="45" s="1"/>
  <c r="Y93" i="45"/>
  <c r="Z93" i="45" s="1"/>
  <c r="AA93" i="45" s="1"/>
  <c r="Y106" i="45"/>
  <c r="Z106" i="45" s="1"/>
  <c r="AA106" i="45" s="1"/>
  <c r="Y138" i="45"/>
  <c r="Z138" i="45" s="1"/>
  <c r="AA138" i="45" s="1"/>
  <c r="Y296" i="45"/>
  <c r="Z296" i="45" s="1"/>
  <c r="AA296" i="45" s="1"/>
  <c r="Y304" i="45"/>
  <c r="Z304" i="45" s="1"/>
  <c r="AA304" i="45" s="1"/>
  <c r="Y268" i="45"/>
  <c r="Z268" i="45" s="1"/>
  <c r="AA268" i="45" s="1"/>
  <c r="Y156" i="45"/>
  <c r="Z156" i="45" s="1"/>
  <c r="AA156" i="45" s="1"/>
  <c r="Y17" i="45"/>
  <c r="Z17" i="45" s="1"/>
  <c r="AA17" i="45" s="1"/>
  <c r="Y178" i="45"/>
  <c r="Z178" i="45" s="1"/>
  <c r="AA178" i="45" s="1"/>
  <c r="Y35" i="45"/>
  <c r="Z35" i="45" s="1"/>
  <c r="AA35" i="45" s="1"/>
  <c r="Y214" i="45"/>
  <c r="Z214" i="45" s="1"/>
  <c r="AA214" i="45" s="1"/>
  <c r="Y278" i="45"/>
  <c r="Z278" i="45" s="1"/>
  <c r="AA278" i="45" s="1"/>
  <c r="Y78" i="45"/>
  <c r="Z78" i="45" s="1"/>
  <c r="AA78" i="45" s="1"/>
  <c r="Y169" i="45"/>
  <c r="Z169" i="45" s="1"/>
  <c r="AA169" i="45" s="1"/>
  <c r="Y55" i="45"/>
  <c r="Z55" i="45" s="1"/>
  <c r="AA55" i="45" s="1"/>
  <c r="Y216" i="45"/>
  <c r="Z216" i="45" s="1"/>
  <c r="AA216" i="45" s="1"/>
  <c r="Y134" i="45"/>
  <c r="Z134" i="45" s="1"/>
  <c r="AA134" i="45" s="1"/>
  <c r="Y306" i="45"/>
  <c r="Z306" i="45" s="1"/>
  <c r="AA306" i="45" s="1"/>
  <c r="Y256" i="45"/>
  <c r="Z256" i="45" s="1"/>
  <c r="AA256" i="45" s="1"/>
  <c r="Y352" i="45"/>
  <c r="Z352" i="45" s="1"/>
  <c r="AA352" i="45" s="1"/>
  <c r="Y163" i="45"/>
  <c r="Z163" i="45" s="1"/>
  <c r="AA163" i="45" s="1"/>
  <c r="Y273" i="45"/>
  <c r="Z273" i="45" s="1"/>
  <c r="AA273" i="45" s="1"/>
  <c r="Y319" i="45"/>
  <c r="Z319" i="45" s="1"/>
  <c r="AA319" i="45" s="1"/>
  <c r="Y261" i="45"/>
  <c r="Z261" i="45" s="1"/>
  <c r="AA261" i="45" s="1"/>
  <c r="Y309" i="45"/>
  <c r="Z309" i="45" s="1"/>
  <c r="AA309" i="45" s="1"/>
  <c r="Y324" i="45"/>
  <c r="Z324" i="45" s="1"/>
  <c r="AA324" i="45" s="1"/>
  <c r="Y205" i="45"/>
  <c r="Z205" i="45" s="1"/>
  <c r="AA205" i="45" s="1"/>
  <c r="Y250" i="45"/>
  <c r="Z250" i="45" s="1"/>
  <c r="AA250" i="45" s="1"/>
  <c r="Y125" i="45"/>
  <c r="Z125" i="45" s="1"/>
  <c r="AA125" i="45" s="1"/>
  <c r="Y247" i="45"/>
  <c r="Z247" i="45" s="1"/>
  <c r="AA247" i="45" s="1"/>
  <c r="Y170" i="45"/>
  <c r="Z170" i="45" s="1"/>
  <c r="AA170" i="45" s="1"/>
  <c r="Y20" i="45"/>
  <c r="Z20" i="45" s="1"/>
  <c r="AA20" i="45" s="1"/>
  <c r="Y188" i="45"/>
  <c r="Z188" i="45" s="1"/>
  <c r="AA188" i="45" s="1"/>
  <c r="Y221" i="45"/>
  <c r="Z221" i="45" s="1"/>
  <c r="AA221" i="45" s="1"/>
  <c r="Y33" i="45"/>
  <c r="Z33" i="45" s="1"/>
  <c r="AA33" i="45" s="1"/>
  <c r="Y152" i="45"/>
  <c r="Z152" i="45" s="1"/>
  <c r="AA152" i="45" s="1"/>
  <c r="Y343" i="45"/>
  <c r="Z343" i="45" s="1"/>
  <c r="AA343" i="45" s="1"/>
  <c r="Y50" i="45"/>
  <c r="Z50" i="45" s="1"/>
  <c r="AA50" i="45" s="1"/>
  <c r="Y316" i="45"/>
  <c r="Z316" i="45" s="1"/>
  <c r="AA316" i="45" s="1"/>
  <c r="Y107" i="45"/>
  <c r="Z107" i="45" s="1"/>
  <c r="AA107" i="45" s="1"/>
  <c r="Y19" i="45"/>
  <c r="Z19" i="45" s="1"/>
  <c r="AA19" i="45" s="1"/>
  <c r="Y282" i="45"/>
  <c r="Z282" i="45" s="1"/>
  <c r="AA282" i="45" s="1"/>
  <c r="Y322" i="45"/>
  <c r="Z322" i="45" s="1"/>
  <c r="AA322" i="45" s="1"/>
  <c r="Y183" i="45"/>
  <c r="Z183" i="45" s="1"/>
  <c r="AA183" i="45" s="1"/>
  <c r="Y225" i="45"/>
  <c r="Z225" i="45" s="1"/>
  <c r="AA225" i="45" s="1"/>
  <c r="Y41" i="45"/>
  <c r="Z41" i="45" s="1"/>
  <c r="AA41" i="45" s="1"/>
  <c r="Y176" i="45"/>
  <c r="Z176" i="45" s="1"/>
  <c r="AA176" i="45" s="1"/>
  <c r="Y186" i="45"/>
  <c r="Z186" i="45" s="1"/>
  <c r="AA186" i="45" s="1"/>
  <c r="Y84" i="45"/>
  <c r="Z84" i="45" s="1"/>
  <c r="AA84" i="45" s="1"/>
  <c r="Y208" i="45"/>
  <c r="Z208" i="45" s="1"/>
  <c r="AA208" i="45" s="1"/>
  <c r="Y175" i="45"/>
  <c r="Z175" i="45" s="1"/>
  <c r="AA175" i="45" s="1"/>
  <c r="Y12" i="45"/>
  <c r="Z12" i="45" s="1"/>
  <c r="AA12" i="45" s="1"/>
  <c r="Y193" i="45"/>
  <c r="Z193" i="45" s="1"/>
  <c r="AA193" i="45" s="1"/>
  <c r="Y117" i="45"/>
  <c r="Z117" i="45" s="1"/>
  <c r="AA117" i="45" s="1"/>
  <c r="Y61" i="45"/>
  <c r="Z61" i="45" s="1"/>
  <c r="AA61" i="45" s="1"/>
  <c r="Y201" i="45"/>
  <c r="Z201" i="45" s="1"/>
  <c r="AA201" i="45" s="1"/>
  <c r="Y340" i="45"/>
  <c r="Z340" i="45" s="1"/>
  <c r="AA340" i="45" s="1"/>
  <c r="Y171" i="45"/>
  <c r="Z171" i="45" s="1"/>
  <c r="AA171" i="45" s="1"/>
  <c r="Y90" i="45"/>
  <c r="Z90" i="45" s="1"/>
  <c r="AA90" i="45" s="1"/>
  <c r="Y219" i="45"/>
  <c r="Z219" i="45" s="1"/>
  <c r="AA219" i="45" s="1"/>
  <c r="Y59" i="45"/>
  <c r="Z59" i="45" s="1"/>
  <c r="AA59" i="45" s="1"/>
  <c r="Y92" i="45"/>
  <c r="Z92" i="45" s="1"/>
  <c r="AA92" i="45" s="1"/>
  <c r="Y147" i="45"/>
  <c r="Z147" i="45" s="1"/>
  <c r="AA147" i="45" s="1"/>
  <c r="Y80" i="45"/>
  <c r="Z80" i="45" s="1"/>
  <c r="AA80" i="45" s="1"/>
  <c r="Y258" i="45"/>
  <c r="Z258" i="45" s="1"/>
  <c r="AA258" i="45" s="1"/>
  <c r="Y120" i="45"/>
  <c r="Z120" i="45" s="1"/>
  <c r="AA120" i="45" s="1"/>
  <c r="Y255" i="45"/>
  <c r="Z255" i="45" s="1"/>
  <c r="AA255" i="45" s="1"/>
  <c r="Y37" i="45"/>
  <c r="Z37" i="45" s="1"/>
  <c r="AA37" i="45" s="1"/>
  <c r="Y217" i="45"/>
  <c r="Z217" i="45" s="1"/>
  <c r="AA217" i="45" s="1"/>
  <c r="Y348" i="45"/>
  <c r="Z348" i="45" s="1"/>
  <c r="AA348" i="45" s="1"/>
  <c r="Y57" i="45"/>
  <c r="Z57" i="45" s="1"/>
  <c r="AA57" i="45" s="1"/>
  <c r="Y184" i="45"/>
  <c r="Z184" i="45" s="1"/>
  <c r="AA184" i="45" s="1"/>
  <c r="Y235" i="45"/>
  <c r="Z235" i="45" s="1"/>
  <c r="AA235" i="45" s="1"/>
  <c r="Y313" i="45"/>
  <c r="Z313" i="45" s="1"/>
  <c r="AA313" i="45" s="1"/>
  <c r="Y26" i="45"/>
  <c r="Z26" i="45" s="1"/>
  <c r="AA26" i="45" s="1"/>
  <c r="Y103" i="45"/>
  <c r="Z103" i="45" s="1"/>
  <c r="AA103" i="45" s="1"/>
  <c r="Y77" i="45"/>
  <c r="Z77" i="45" s="1"/>
  <c r="AA77" i="45" s="1"/>
  <c r="Y62" i="45"/>
  <c r="Z62" i="45" s="1"/>
  <c r="AA62" i="45" s="1"/>
  <c r="Y210" i="45"/>
  <c r="Z210" i="45" s="1"/>
  <c r="AA210" i="45" s="1"/>
  <c r="Y243" i="45"/>
  <c r="Z243" i="45" s="1"/>
  <c r="AA243" i="45" s="1"/>
  <c r="Y121" i="45"/>
  <c r="Z121" i="45" s="1"/>
  <c r="AA121" i="45" s="1"/>
  <c r="Y314" i="45"/>
  <c r="Z314" i="45" s="1"/>
  <c r="AA314" i="45" s="1"/>
  <c r="Y34" i="45"/>
  <c r="Z34" i="45" s="1"/>
  <c r="AA34" i="45" s="1"/>
  <c r="Y264" i="45"/>
  <c r="Z264" i="45" s="1"/>
  <c r="AA264" i="45" s="1"/>
  <c r="Y73" i="45"/>
  <c r="Z73" i="45" s="1"/>
  <c r="AA73" i="45" s="1"/>
  <c r="Y333" i="45"/>
  <c r="Z333" i="45" s="1"/>
  <c r="AA333" i="45" s="1"/>
  <c r="Y136" i="45"/>
  <c r="Z136" i="45" s="1"/>
  <c r="AA136" i="45" s="1"/>
  <c r="Y332" i="45"/>
  <c r="Z332" i="45" s="1"/>
  <c r="AA332" i="45" s="1"/>
  <c r="Y151" i="45"/>
  <c r="Z151" i="45" s="1"/>
  <c r="AA151" i="45" s="1"/>
  <c r="Y130" i="45"/>
  <c r="Z130" i="45" s="1"/>
  <c r="AA130" i="45" s="1"/>
  <c r="Y110" i="45"/>
  <c r="Z110" i="45" s="1"/>
  <c r="AA110" i="45" s="1"/>
  <c r="Y213" i="45"/>
  <c r="Z213" i="45" s="1"/>
  <c r="AA213" i="45" s="1"/>
  <c r="Y105" i="45"/>
  <c r="Z105" i="45" s="1"/>
  <c r="AA105" i="45" s="1"/>
  <c r="Y237" i="45"/>
  <c r="Z237" i="45" s="1"/>
  <c r="AA237" i="45" s="1"/>
  <c r="Y48" i="45"/>
  <c r="Z48" i="45" s="1"/>
  <c r="AA48" i="45" s="1"/>
  <c r="Y226" i="45"/>
  <c r="Z226" i="45" s="1"/>
  <c r="AA226" i="45" s="1"/>
  <c r="Y96" i="45"/>
  <c r="Z96" i="45" s="1"/>
  <c r="AA96" i="45" s="1"/>
  <c r="Y145" i="45"/>
  <c r="Z145" i="45" s="1"/>
  <c r="AA145" i="45" s="1"/>
  <c r="Y180" i="45"/>
  <c r="Z180" i="45" s="1"/>
  <c r="AA180" i="45" s="1"/>
  <c r="Y303" i="45"/>
  <c r="Z303" i="45" s="1"/>
  <c r="AA303" i="45" s="1"/>
  <c r="Y29" i="45"/>
  <c r="Z29" i="45" s="1"/>
  <c r="AA29" i="45" s="1"/>
  <c r="Y287" i="45"/>
  <c r="Z287" i="45" s="1"/>
  <c r="AA287" i="45" s="1"/>
  <c r="Y244" i="45"/>
  <c r="Z244" i="45" s="1"/>
  <c r="AA244" i="45" s="1"/>
  <c r="Y283" i="45"/>
  <c r="Z283" i="45" s="1"/>
  <c r="AA283" i="45" s="1"/>
  <c r="Y198" i="45"/>
  <c r="Z198" i="45" s="1"/>
  <c r="AA198" i="45" s="1"/>
  <c r="Y122" i="45"/>
  <c r="Z122" i="45" s="1"/>
  <c r="AA122" i="45" s="1"/>
  <c r="Y116" i="45"/>
  <c r="Z116" i="45" s="1"/>
  <c r="AA116" i="45" s="1"/>
  <c r="Y191" i="45"/>
  <c r="Z191" i="45" s="1"/>
  <c r="AA191" i="45" s="1"/>
  <c r="Y47" i="45"/>
  <c r="Z47" i="45" s="1"/>
  <c r="AA47" i="45" s="1"/>
  <c r="Y220" i="45"/>
  <c r="Z220" i="45" s="1"/>
  <c r="AA220" i="45" s="1"/>
  <c r="Y248" i="45"/>
  <c r="Z248" i="45" s="1"/>
  <c r="AA248" i="45" s="1"/>
  <c r="Y143" i="45"/>
  <c r="Z143" i="45" s="1"/>
  <c r="AA143" i="45" s="1"/>
  <c r="Y104" i="45"/>
  <c r="Z104" i="45" s="1"/>
  <c r="AA104" i="45" s="1"/>
  <c r="Y54" i="45"/>
  <c r="Z54" i="45" s="1"/>
  <c r="AA54" i="45" s="1"/>
  <c r="Y71" i="45"/>
  <c r="Z71" i="45" s="1"/>
  <c r="AA71" i="45" s="1"/>
  <c r="Y87" i="45"/>
  <c r="Z87" i="45" s="1"/>
  <c r="AA87" i="45" s="1"/>
  <c r="Y354" i="45"/>
  <c r="Z354" i="45" s="1"/>
  <c r="AA354" i="45" s="1"/>
  <c r="Y21" i="45"/>
  <c r="Z21" i="45" s="1"/>
  <c r="AA21" i="45" s="1"/>
  <c r="Y249" i="45"/>
  <c r="Z249" i="45" s="1"/>
  <c r="AA249" i="45" s="1"/>
  <c r="Y51" i="45"/>
  <c r="Z51" i="45" s="1"/>
  <c r="AA51" i="45" s="1"/>
  <c r="Y108" i="45"/>
  <c r="Z108" i="45" s="1"/>
  <c r="AA108" i="45" s="1"/>
  <c r="Y311" i="45"/>
  <c r="Z311" i="45" s="1"/>
  <c r="AA311" i="45" s="1"/>
  <c r="Y233" i="45"/>
  <c r="Z233" i="45" s="1"/>
  <c r="AA233" i="45" s="1"/>
  <c r="Y14" i="45"/>
  <c r="Z14" i="45" s="1"/>
  <c r="AA14" i="45" s="1"/>
  <c r="Y146" i="45"/>
  <c r="Z146" i="45" s="1"/>
  <c r="AA146" i="45" s="1"/>
  <c r="Y160" i="45"/>
  <c r="Z160" i="45" s="1"/>
  <c r="AA160" i="45" s="1"/>
  <c r="Y326" i="45"/>
  <c r="Z326" i="45" s="1"/>
  <c r="AA326" i="45" s="1"/>
  <c r="Y224" i="45"/>
  <c r="Z224" i="45" s="1"/>
  <c r="AA224" i="45" s="1"/>
  <c r="Y164" i="45"/>
  <c r="Z164" i="45" s="1"/>
  <c r="AA164" i="45" s="1"/>
  <c r="Y202" i="45"/>
  <c r="Z202" i="45" s="1"/>
  <c r="AA202" i="45" s="1"/>
  <c r="Y109" i="45"/>
  <c r="Z109" i="45" s="1"/>
  <c r="AA109" i="45" s="1"/>
  <c r="Y308" i="45"/>
  <c r="Z308" i="45" s="1"/>
  <c r="AA308" i="45" s="1"/>
  <c r="Y142" i="45"/>
  <c r="Z142" i="45" s="1"/>
  <c r="AA142" i="45" s="1"/>
  <c r="Y111" i="45"/>
  <c r="Z111" i="45" s="1"/>
  <c r="AA111" i="45" s="1"/>
  <c r="Y149" i="45"/>
  <c r="Z149" i="45" s="1"/>
  <c r="AA149" i="45" s="1"/>
  <c r="Y349" i="45"/>
  <c r="Z349" i="45" s="1"/>
  <c r="AA349" i="45" s="1"/>
  <c r="Y75" i="45"/>
  <c r="Z75" i="45" s="1"/>
  <c r="AA75" i="45" s="1"/>
  <c r="Y137" i="45"/>
  <c r="Z137" i="45" s="1"/>
  <c r="AA137" i="45" s="1"/>
  <c r="Y140" i="45"/>
  <c r="Z140" i="45" s="1"/>
  <c r="AA140" i="45" s="1"/>
  <c r="Y15" i="45"/>
  <c r="Z15" i="45" s="1"/>
  <c r="AA15" i="45" s="1"/>
  <c r="Y16" i="45"/>
  <c r="Z16" i="45" s="1"/>
  <c r="AA16" i="45" s="1"/>
  <c r="Y206" i="45"/>
  <c r="Z206" i="45" s="1"/>
  <c r="AA206" i="45" s="1"/>
  <c r="Y339" i="45"/>
  <c r="Z339" i="45" s="1"/>
  <c r="AA339" i="45" s="1"/>
  <c r="Y312" i="45"/>
  <c r="Z312" i="45" s="1"/>
  <c r="AA312" i="45" s="1"/>
  <c r="Y335" i="45"/>
  <c r="Z335" i="45" s="1"/>
  <c r="AA335" i="45" s="1"/>
  <c r="Y13" i="45"/>
  <c r="Z13" i="45" s="1"/>
  <c r="AA13" i="45" s="1"/>
  <c r="Y351" i="45"/>
  <c r="Z351" i="45" s="1"/>
  <c r="AA351" i="45" s="1"/>
  <c r="Y295" i="45"/>
  <c r="Z295" i="45" s="1"/>
  <c r="AA295" i="45" s="1"/>
  <c r="Y52" i="45"/>
  <c r="Z52" i="45" s="1"/>
  <c r="AA52" i="45" s="1"/>
  <c r="Y196" i="45"/>
  <c r="Z196" i="45" s="1"/>
  <c r="AA196" i="45" s="1"/>
  <c r="Y76" i="45"/>
  <c r="Z76" i="45" s="1"/>
  <c r="AA76" i="45" s="1"/>
  <c r="Y38" i="45"/>
  <c r="Z38" i="45" s="1"/>
  <c r="AA38" i="45" s="1"/>
  <c r="Y165" i="45"/>
  <c r="Z165" i="45" s="1"/>
  <c r="AA165" i="45" s="1"/>
  <c r="Y95" i="45"/>
  <c r="Z95" i="45" s="1"/>
  <c r="AA95" i="45" s="1"/>
  <c r="Y56" i="45"/>
  <c r="Z56" i="45" s="1"/>
  <c r="AA56" i="45" s="1"/>
  <c r="Y187" i="45"/>
  <c r="Z187" i="45" s="1"/>
  <c r="AA187" i="45" s="1"/>
  <c r="Y100" i="45"/>
  <c r="Z100" i="45" s="1"/>
  <c r="AA100" i="45" s="1"/>
  <c r="Y346" i="45"/>
  <c r="Z346" i="45" s="1"/>
  <c r="AA346" i="45" s="1"/>
  <c r="Y281" i="45"/>
  <c r="Z281" i="45" s="1"/>
  <c r="AA281" i="45" s="1"/>
  <c r="Y300" i="45"/>
  <c r="Z300" i="45" s="1"/>
  <c r="AA300" i="45" s="1"/>
  <c r="Y209" i="45"/>
  <c r="Z209" i="45" s="1"/>
  <c r="AA209" i="45" s="1"/>
  <c r="Y318" i="45"/>
  <c r="Z318" i="45" s="1"/>
  <c r="AA318" i="45" s="1"/>
  <c r="Y123" i="45"/>
  <c r="Z123" i="45" s="1"/>
  <c r="AA123" i="45" s="1"/>
  <c r="Y212" i="45"/>
  <c r="Z212" i="45" s="1"/>
  <c r="AA212" i="45" s="1"/>
  <c r="Y43" i="45"/>
  <c r="Z43" i="45" s="1"/>
  <c r="AA43" i="45" s="1"/>
  <c r="Y58" i="45"/>
  <c r="Z58" i="45" s="1"/>
  <c r="AA58" i="45" s="1"/>
  <c r="Y172" i="45"/>
  <c r="Z172" i="45" s="1"/>
  <c r="AA172" i="45" s="1"/>
  <c r="Y74" i="45"/>
  <c r="Z74" i="45" s="1"/>
  <c r="AA74" i="45" s="1"/>
  <c r="Y31" i="45"/>
  <c r="Z31" i="45" s="1"/>
  <c r="AA31" i="45" s="1"/>
  <c r="Y27" i="45"/>
  <c r="Z27" i="45" s="1"/>
  <c r="AA27" i="45" s="1"/>
  <c r="Y86" i="45"/>
  <c r="Z86" i="45" s="1"/>
  <c r="AA86" i="45" s="1"/>
  <c r="Y222" i="45"/>
  <c r="Z222" i="45" s="1"/>
  <c r="AA222" i="45" s="1"/>
  <c r="Y329" i="45"/>
  <c r="Z329" i="45" s="1"/>
  <c r="AA329" i="45" s="1"/>
  <c r="Y53" i="45"/>
  <c r="Z53" i="45" s="1"/>
  <c r="AA53" i="45" s="1"/>
  <c r="Y113" i="45"/>
  <c r="Z113" i="45" s="1"/>
  <c r="AA113" i="45" s="1"/>
  <c r="Y153" i="45"/>
  <c r="Z153" i="45" s="1"/>
  <c r="AA153" i="45" s="1"/>
  <c r="Y45" i="45"/>
  <c r="Z45" i="45" s="1"/>
  <c r="AA45" i="45" s="1"/>
  <c r="Y63" i="45"/>
  <c r="Z63" i="45" s="1"/>
  <c r="AA63" i="45" s="1"/>
  <c r="Y276" i="45"/>
  <c r="Z276" i="45" s="1"/>
  <c r="AA276" i="45" s="1"/>
  <c r="Y185" i="45"/>
  <c r="Z185" i="45" s="1"/>
  <c r="AA185" i="45" s="1"/>
  <c r="Y269" i="45"/>
  <c r="Z269" i="45" s="1"/>
  <c r="AA269" i="45" s="1"/>
  <c r="Y60" i="45"/>
  <c r="Z60" i="45" s="1"/>
  <c r="AA60" i="45" s="1"/>
  <c r="Y162" i="45"/>
  <c r="Z162" i="45" s="1"/>
  <c r="AA162" i="45" s="1"/>
  <c r="Y245" i="45"/>
  <c r="Z245" i="45" s="1"/>
  <c r="AA245" i="45" s="1"/>
  <c r="Y114" i="45"/>
  <c r="Z114" i="45" s="1"/>
  <c r="AA114" i="45" s="1"/>
  <c r="Y199" i="45"/>
  <c r="Z199" i="45" s="1"/>
  <c r="AA199" i="45" s="1"/>
  <c r="Y288" i="45"/>
  <c r="Z288" i="45" s="1"/>
  <c r="AA288" i="45" s="1"/>
  <c r="Y272" i="45"/>
  <c r="Z272" i="45" s="1"/>
  <c r="AA272" i="45" s="1"/>
  <c r="Y289" i="45"/>
  <c r="Z289" i="45" s="1"/>
  <c r="AA289" i="45" s="1"/>
  <c r="Y265" i="45"/>
  <c r="Z265" i="45" s="1"/>
  <c r="AA265" i="45" s="1"/>
  <c r="Y182" i="45"/>
  <c r="Z182" i="45" s="1"/>
  <c r="AA182" i="45" s="1"/>
  <c r="Y246" i="45"/>
  <c r="Z246" i="45" s="1"/>
  <c r="AA246" i="45" s="1"/>
  <c r="Y177" i="45"/>
  <c r="Z177" i="45" s="1"/>
  <c r="AA177" i="45" s="1"/>
  <c r="Y131" i="45"/>
  <c r="Z131" i="45" s="1"/>
  <c r="AA131" i="45" s="1"/>
  <c r="Y99" i="45"/>
  <c r="Z99" i="45" s="1"/>
  <c r="AA99" i="45" s="1"/>
  <c r="Y46" i="45"/>
  <c r="Z46" i="45" s="1"/>
  <c r="AA46" i="45" s="1"/>
  <c r="Y179" i="45"/>
  <c r="Z179" i="45" s="1"/>
  <c r="AA179" i="45" s="1"/>
  <c r="Y18" i="45"/>
  <c r="Z18" i="45" s="1"/>
  <c r="AA18" i="45" s="1"/>
  <c r="Y159" i="45"/>
  <c r="Z159" i="45" s="1"/>
  <c r="AA159" i="45" s="1"/>
  <c r="Y262" i="45"/>
  <c r="Z262" i="45" s="1"/>
  <c r="AA262" i="45" s="1"/>
  <c r="Y238" i="45"/>
  <c r="Z238" i="45" s="1"/>
  <c r="AA238" i="45" s="1"/>
  <c r="Y126" i="45"/>
  <c r="Z126" i="45" s="1"/>
  <c r="AA126" i="45" s="1"/>
  <c r="Y68" i="45"/>
  <c r="Z68" i="45" s="1"/>
  <c r="AA68" i="45" s="1"/>
  <c r="Y181" i="45"/>
  <c r="Z181" i="45" s="1"/>
  <c r="AA181" i="45" s="1"/>
  <c r="Y331" i="45"/>
  <c r="Z331" i="45" s="1"/>
  <c r="AA331" i="45" s="1"/>
  <c r="Y157" i="45"/>
  <c r="Z157" i="45" s="1"/>
  <c r="AA157" i="45" s="1"/>
  <c r="Y133" i="45"/>
  <c r="Z133" i="45" s="1"/>
  <c r="AA133" i="45" s="1"/>
  <c r="Y132" i="45"/>
  <c r="Z132" i="45" s="1"/>
  <c r="AA132" i="45" s="1"/>
  <c r="Y89" i="45"/>
  <c r="Z89" i="45" s="1"/>
  <c r="AA89" i="45" s="1"/>
  <c r="Y347" i="45"/>
  <c r="Z347" i="45" s="1"/>
  <c r="AA347" i="45" s="1"/>
  <c r="Y330" i="45"/>
  <c r="Z330" i="45" s="1"/>
  <c r="AA330" i="45" s="1"/>
  <c r="Y240" i="45"/>
  <c r="Z240" i="45" s="1"/>
  <c r="AA240" i="45" s="1"/>
  <c r="Y112" i="45"/>
  <c r="Z112" i="45" s="1"/>
  <c r="AA112" i="45" s="1"/>
  <c r="Y30" i="45"/>
  <c r="Z30" i="45" s="1"/>
  <c r="AA30" i="45" s="1"/>
  <c r="Y91" i="45"/>
  <c r="Z91" i="45" s="1"/>
  <c r="AA91" i="45" s="1"/>
  <c r="Y72" i="45"/>
  <c r="Z72" i="45" s="1"/>
  <c r="AA72" i="45" s="1"/>
  <c r="Y190" i="45"/>
  <c r="Z190" i="45" s="1"/>
  <c r="AA190" i="45" s="1"/>
  <c r="Y102" i="45"/>
  <c r="Z102" i="45" s="1"/>
  <c r="AA102" i="45" s="1"/>
  <c r="Y305" i="45"/>
  <c r="Z305" i="45" s="1"/>
  <c r="AA305" i="45" s="1"/>
  <c r="Y267" i="45"/>
  <c r="Z267" i="45" s="1"/>
  <c r="AA267" i="45" s="1"/>
  <c r="Y211" i="45"/>
  <c r="Z211" i="45" s="1"/>
  <c r="AA211" i="45" s="1"/>
  <c r="Y189" i="45"/>
  <c r="Z189" i="45" s="1"/>
  <c r="AA189" i="45" s="1"/>
  <c r="Y192" i="45"/>
  <c r="Z192" i="45" s="1"/>
  <c r="AA192" i="45" s="1"/>
  <c r="Y139" i="45"/>
  <c r="Z139" i="45" s="1"/>
  <c r="AA139" i="45" s="1"/>
  <c r="Y290" i="45"/>
  <c r="Z290" i="45" s="1"/>
  <c r="AA290" i="45" s="1"/>
  <c r="Y128" i="45"/>
  <c r="Z128" i="45" s="1"/>
  <c r="AA128" i="45" s="1"/>
  <c r="Y150" i="45"/>
  <c r="Z150" i="45" s="1"/>
  <c r="AA150" i="45" s="1"/>
  <c r="Y341" i="45"/>
  <c r="Z341" i="45" s="1"/>
  <c r="AA341" i="45" s="1"/>
  <c r="Y194" i="45"/>
  <c r="Z194" i="45" s="1"/>
  <c r="AA194" i="45" s="1"/>
  <c r="Y22" i="45"/>
  <c r="Z22" i="45" s="1"/>
  <c r="AA22" i="45" s="1"/>
  <c r="Y144" i="45"/>
  <c r="Z144" i="45" s="1"/>
  <c r="AA144" i="45" s="1"/>
  <c r="Y320" i="45"/>
  <c r="Z320" i="45" s="1"/>
  <c r="AA320" i="45" s="1"/>
  <c r="Y223" i="45"/>
  <c r="Z223" i="45" s="1"/>
  <c r="AA223" i="45" s="1"/>
  <c r="Y292" i="45"/>
  <c r="Z292" i="45" s="1"/>
  <c r="AA292" i="45" s="1"/>
  <c r="Y317" i="45"/>
  <c r="Z317" i="45" s="1"/>
  <c r="AA317" i="45" s="1"/>
  <c r="Y94" i="45"/>
  <c r="Z94" i="45" s="1"/>
  <c r="AA94" i="45" s="1"/>
  <c r="Y118" i="45"/>
  <c r="Z118" i="45" s="1"/>
  <c r="AA118" i="45" s="1"/>
  <c r="Y254" i="45"/>
  <c r="Z254" i="45" s="1"/>
  <c r="AA254" i="45" s="1"/>
  <c r="Y174" i="45"/>
  <c r="Z174" i="45" s="1"/>
  <c r="AA174" i="45" s="1"/>
  <c r="Y344" i="45"/>
  <c r="Z344" i="45" s="1"/>
  <c r="AA344" i="45" s="1"/>
  <c r="Y293" i="45"/>
  <c r="Z293" i="45" s="1"/>
  <c r="AA293" i="45" s="1"/>
  <c r="Y253" i="45"/>
  <c r="Z253" i="45" s="1"/>
  <c r="AA253" i="45" s="1"/>
  <c r="Y129" i="45"/>
  <c r="Z129" i="45" s="1"/>
  <c r="AA129" i="45" s="1"/>
  <c r="Y259" i="45"/>
  <c r="Z259" i="45" s="1"/>
  <c r="AA259" i="45" s="1"/>
  <c r="Y32" i="45"/>
  <c r="Z32" i="45" s="1"/>
  <c r="AA32" i="45" s="1"/>
  <c r="Y36" i="45"/>
  <c r="Z36" i="45" s="1"/>
  <c r="AA36" i="45" s="1"/>
  <c r="Y167" i="45"/>
  <c r="Z167" i="45" s="1"/>
  <c r="AA167" i="45" s="1"/>
  <c r="Y79" i="45"/>
  <c r="Z79" i="45" s="1"/>
  <c r="AA79" i="45" s="1"/>
  <c r="Y299" i="45"/>
  <c r="Z299" i="45" s="1"/>
  <c r="AA299" i="45" s="1"/>
  <c r="Y155" i="45"/>
  <c r="Z155" i="45" s="1"/>
  <c r="AA155" i="45" s="1"/>
  <c r="Y232" i="45"/>
  <c r="Z232" i="45" s="1"/>
  <c r="AA232" i="45" s="1"/>
  <c r="Y127" i="45"/>
  <c r="Z127" i="45" s="1"/>
  <c r="AA127" i="45" s="1"/>
  <c r="Y275" i="45"/>
  <c r="Z275" i="45" s="1"/>
  <c r="AA275" i="45" s="1"/>
  <c r="Y337" i="45"/>
  <c r="Z337" i="45" s="1"/>
  <c r="AA337" i="45" s="1"/>
  <c r="Y69" i="45"/>
  <c r="Z69" i="45" s="1"/>
  <c r="AA69" i="45" s="1"/>
  <c r="Y280" i="45"/>
  <c r="Z280" i="45" s="1"/>
  <c r="AA280" i="45" s="1"/>
  <c r="Y239" i="45"/>
  <c r="Z239" i="45" s="1"/>
  <c r="AA239" i="45" s="1"/>
  <c r="Y263" i="45"/>
  <c r="Z263" i="45" s="1"/>
  <c r="AA263" i="45" s="1"/>
  <c r="Y197" i="45"/>
  <c r="Z197" i="45" s="1"/>
  <c r="AA197" i="45" s="1"/>
  <c r="Y101" i="45"/>
  <c r="Z101" i="45" s="1"/>
  <c r="AA101" i="45" s="1"/>
  <c r="Y307" i="45"/>
  <c r="Z307" i="45" s="1"/>
  <c r="AA307" i="45" s="1"/>
  <c r="Y82" i="45"/>
  <c r="Z82" i="45" s="1"/>
  <c r="AA82" i="45" s="1"/>
  <c r="Y242" i="45"/>
  <c r="Z242" i="45" s="1"/>
  <c r="AA242" i="45" s="1"/>
  <c r="Y336" i="45"/>
  <c r="Z336" i="45" s="1"/>
  <c r="AA336" i="45" s="1"/>
  <c r="Y297" i="45"/>
  <c r="Z297" i="45" s="1"/>
  <c r="AA297" i="45" s="1"/>
  <c r="Y260" i="45"/>
  <c r="Z260" i="45" s="1"/>
  <c r="AA260" i="45" s="1"/>
  <c r="Y285" i="45"/>
  <c r="Z285" i="45" s="1"/>
  <c r="AA285" i="45" s="1"/>
  <c r="Y279" i="45"/>
  <c r="Z279" i="45" s="1"/>
  <c r="AA279" i="45" s="1"/>
  <c r="Y49" i="45"/>
  <c r="Z49" i="45" s="1"/>
  <c r="AA49" i="45" s="1"/>
  <c r="Y230" i="45"/>
  <c r="Z230" i="45" s="1"/>
  <c r="AA230" i="45" s="1"/>
  <c r="Y44" i="45"/>
  <c r="Z44" i="45" s="1"/>
  <c r="AA44" i="45" s="1"/>
  <c r="Y334" i="45"/>
  <c r="Z334" i="45" s="1"/>
  <c r="AA334" i="45" s="1"/>
  <c r="Y40" i="45"/>
  <c r="Z40" i="45" s="1"/>
  <c r="AA40" i="45" s="1"/>
  <c r="Y251" i="45"/>
  <c r="Z251" i="45" s="1"/>
  <c r="AA251" i="45" s="1"/>
  <c r="Y195" i="45"/>
  <c r="Z195" i="45" s="1"/>
  <c r="AA195" i="45" s="1"/>
  <c r="Y231" i="45"/>
  <c r="Z231" i="45" s="1"/>
  <c r="AA231" i="45" s="1"/>
  <c r="Y302" i="45"/>
  <c r="Z302" i="45" s="1"/>
  <c r="AA302" i="45" s="1"/>
  <c r="Y39" i="45"/>
  <c r="Z39" i="45" s="1"/>
  <c r="AA39" i="45" s="1"/>
  <c r="Y234" i="45"/>
  <c r="Z234" i="45" s="1"/>
  <c r="AA234" i="45" s="1"/>
  <c r="Y85" i="45"/>
  <c r="Z85" i="45" s="1"/>
  <c r="AA85" i="45" s="1"/>
  <c r="Y200" i="45"/>
  <c r="Z200" i="45" s="1"/>
  <c r="AA200" i="45" s="1"/>
  <c r="Y291" i="45"/>
  <c r="Z291" i="45" s="1"/>
  <c r="AA291" i="45" s="1"/>
  <c r="Y310" i="45"/>
  <c r="Z310" i="45" s="1"/>
  <c r="AA310" i="45" s="1"/>
  <c r="Y42" i="45"/>
  <c r="Z42" i="45" s="1"/>
  <c r="AA42" i="45" s="1"/>
  <c r="Y325" i="45"/>
  <c r="Z325" i="45" s="1"/>
  <c r="AA325" i="45" s="1"/>
  <c r="Y88" i="45"/>
  <c r="Z88" i="45" s="1"/>
  <c r="AA88" i="45" s="1"/>
  <c r="Y227" i="45"/>
  <c r="Z227" i="45" s="1"/>
  <c r="AA227" i="45" s="1"/>
  <c r="Y65" i="45"/>
  <c r="Z65" i="45" s="1"/>
  <c r="AA65" i="45" s="1"/>
  <c r="Y218" i="45"/>
  <c r="Z218" i="45" s="1"/>
  <c r="AA218" i="45" s="1"/>
  <c r="Y166" i="45"/>
  <c r="Z166" i="45" s="1"/>
  <c r="AA166" i="45" s="1"/>
  <c r="Y229" i="45"/>
  <c r="Z229" i="45" s="1"/>
  <c r="AA229" i="45" s="1"/>
  <c r="Y98" i="45"/>
  <c r="Z98" i="45" s="1"/>
  <c r="AA98" i="45" s="1"/>
  <c r="Y321" i="45"/>
  <c r="Z321" i="45" s="1"/>
  <c r="AA321" i="45" s="1"/>
  <c r="Y141" i="45"/>
  <c r="Z141" i="45" s="1"/>
  <c r="AA141" i="45" s="1"/>
  <c r="Y115" i="45"/>
  <c r="Z115" i="45" s="1"/>
  <c r="AA115" i="45" s="1"/>
  <c r="Y284" i="45"/>
  <c r="Z284" i="45" s="1"/>
  <c r="AA284" i="45" s="1"/>
  <c r="Y64" i="45"/>
  <c r="Z64" i="45" s="1"/>
  <c r="AA64" i="45" s="1"/>
  <c r="Y124" i="45"/>
  <c r="Z124" i="45" s="1"/>
  <c r="AA124" i="45" s="1"/>
  <c r="Y257" i="45"/>
  <c r="Z257" i="45" s="1"/>
  <c r="AA257" i="45" s="1"/>
  <c r="Y236" i="45"/>
  <c r="Z236" i="45" s="1"/>
  <c r="AA236" i="45" s="1"/>
  <c r="Y286" i="45"/>
  <c r="Z286" i="45" s="1"/>
  <c r="AA286" i="45" s="1"/>
  <c r="Y338" i="45"/>
  <c r="Z338" i="45" s="1"/>
  <c r="AA338" i="45" s="1"/>
  <c r="Y10" i="45"/>
  <c r="Y97" i="45"/>
  <c r="Z97" i="45" s="1"/>
  <c r="AA97" i="45" s="1"/>
  <c r="Y67" i="45"/>
  <c r="Z67" i="45" s="1"/>
  <c r="AA67" i="45" s="1"/>
  <c r="Y173" i="45"/>
  <c r="Z173" i="45" s="1"/>
  <c r="AA173" i="45" s="1"/>
  <c r="Y70" i="45"/>
  <c r="Z70" i="45" s="1"/>
  <c r="AA70" i="45" s="1"/>
  <c r="Y323" i="45"/>
  <c r="Z323" i="45" s="1"/>
  <c r="AA323" i="45" s="1"/>
  <c r="Y277" i="45"/>
  <c r="Z277" i="45" s="1"/>
  <c r="AA277" i="45" s="1"/>
  <c r="Y350" i="45"/>
  <c r="Z350" i="45" s="1"/>
  <c r="AA350" i="45" s="1"/>
  <c r="Y203" i="45"/>
  <c r="Z203" i="45" s="1"/>
  <c r="AA203" i="45" s="1"/>
  <c r="Y204" i="45"/>
  <c r="Z204" i="45" s="1"/>
  <c r="AA204" i="45" s="1"/>
  <c r="S7" i="46"/>
  <c r="T260" i="46" s="1"/>
  <c r="U260" i="46" s="1"/>
  <c r="AA91" i="44"/>
  <c r="N85" i="42" s="1"/>
  <c r="O85" i="42" s="1"/>
  <c r="Q7" i="44"/>
  <c r="R260" i="44" s="1"/>
  <c r="S260" i="44" s="1"/>
  <c r="AJ7" i="44"/>
  <c r="E3" i="31"/>
  <c r="P319" i="44"/>
  <c r="M313" i="42" s="1"/>
  <c r="P324" i="44"/>
  <c r="M318" i="42" s="1"/>
  <c r="P266" i="44"/>
  <c r="M260" i="42" s="1"/>
  <c r="P186" i="44"/>
  <c r="M180" i="42" s="1"/>
  <c r="P21" i="44"/>
  <c r="M15" i="42" s="1"/>
  <c r="P310" i="44"/>
  <c r="M304" i="42" s="1"/>
  <c r="P44" i="44"/>
  <c r="M38" i="42" s="1"/>
  <c r="P162" i="44"/>
  <c r="M156" i="42" s="1"/>
  <c r="P57" i="44"/>
  <c r="M51" i="42" s="1"/>
  <c r="P123" i="44"/>
  <c r="M117" i="42" s="1"/>
  <c r="P90" i="44"/>
  <c r="M84" i="42" s="1"/>
  <c r="P115" i="44"/>
  <c r="M109" i="42" s="1"/>
  <c r="P330" i="44"/>
  <c r="M324" i="42" s="1"/>
  <c r="P198" i="44"/>
  <c r="M192" i="42" s="1"/>
  <c r="P328" i="44"/>
  <c r="M322" i="42" s="1"/>
  <c r="P138" i="44"/>
  <c r="M132" i="42" s="1"/>
  <c r="P36" i="44"/>
  <c r="M30" i="42" s="1"/>
  <c r="P86" i="44"/>
  <c r="M80" i="42" s="1"/>
  <c r="P214" i="44"/>
  <c r="M208" i="42" s="1"/>
  <c r="P325" i="44"/>
  <c r="M319" i="42" s="1"/>
  <c r="P193" i="44"/>
  <c r="M187" i="42" s="1"/>
  <c r="P304" i="44"/>
  <c r="M298" i="42" s="1"/>
  <c r="P290" i="44"/>
  <c r="M284" i="42" s="1"/>
  <c r="P223" i="44"/>
  <c r="M217" i="42" s="1"/>
  <c r="P15" i="44"/>
  <c r="M9" i="42" s="1"/>
  <c r="P63" i="44"/>
  <c r="M57" i="42" s="1"/>
  <c r="P204" i="44"/>
  <c r="M198" i="42" s="1"/>
  <c r="P196" i="44"/>
  <c r="M190" i="42" s="1"/>
  <c r="P124" i="44"/>
  <c r="M118" i="42" s="1"/>
  <c r="P48" i="44"/>
  <c r="M42" i="42" s="1"/>
  <c r="P56" i="44"/>
  <c r="M50" i="42" s="1"/>
  <c r="P226" i="44"/>
  <c r="M220" i="42" s="1"/>
  <c r="P160" i="44"/>
  <c r="M154" i="42" s="1"/>
  <c r="P84" i="44"/>
  <c r="M78" i="42" s="1"/>
  <c r="P220" i="44"/>
  <c r="M214" i="42" s="1"/>
  <c r="P157" i="44"/>
  <c r="M151" i="42" s="1"/>
  <c r="P274" i="44"/>
  <c r="M268" i="42" s="1"/>
  <c r="P122" i="44"/>
  <c r="M116" i="42" s="1"/>
  <c r="P211" i="44"/>
  <c r="M205" i="42" s="1"/>
  <c r="P49" i="44"/>
  <c r="M43" i="42" s="1"/>
  <c r="P334" i="44"/>
  <c r="M328" i="42" s="1"/>
  <c r="P101" i="44"/>
  <c r="M95" i="42" s="1"/>
  <c r="P292" i="44"/>
  <c r="M286" i="42" s="1"/>
  <c r="O11" i="29"/>
  <c r="P102" i="44"/>
  <c r="M96" i="42" s="1"/>
  <c r="P169" i="44"/>
  <c r="M163" i="42" s="1"/>
  <c r="P114" i="44"/>
  <c r="M108" i="42" s="1"/>
  <c r="P234" i="44"/>
  <c r="M228" i="42" s="1"/>
  <c r="P236" i="44"/>
  <c r="M230" i="42" s="1"/>
  <c r="P69" i="44"/>
  <c r="M63" i="42" s="1"/>
  <c r="P92" i="44"/>
  <c r="M86" i="42" s="1"/>
  <c r="P127" i="44"/>
  <c r="M121" i="42" s="1"/>
  <c r="P152" i="44"/>
  <c r="M146" i="42" s="1"/>
  <c r="P99" i="44"/>
  <c r="M93" i="42" s="1"/>
  <c r="P349" i="44"/>
  <c r="M343" i="42" s="1"/>
  <c r="P332" i="44"/>
  <c r="M326" i="42" s="1"/>
  <c r="P177" i="44"/>
  <c r="M171" i="42" s="1"/>
  <c r="P333" i="44"/>
  <c r="M327" i="42" s="1"/>
  <c r="P85" i="44"/>
  <c r="M79" i="42" s="1"/>
  <c r="P29" i="44"/>
  <c r="M23" i="42" s="1"/>
  <c r="P137" i="44"/>
  <c r="M131" i="42" s="1"/>
  <c r="P286" i="44"/>
  <c r="M280" i="42" s="1"/>
  <c r="P322" i="44"/>
  <c r="M316" i="42" s="1"/>
  <c r="P201" i="44"/>
  <c r="M195" i="42" s="1"/>
  <c r="P71" i="44"/>
  <c r="M65" i="42" s="1"/>
  <c r="P112" i="44"/>
  <c r="M106" i="42" s="1"/>
  <c r="P126" i="44"/>
  <c r="M120" i="42" s="1"/>
  <c r="P306" i="44"/>
  <c r="M300" i="42" s="1"/>
  <c r="P181" i="44"/>
  <c r="M175" i="42" s="1"/>
  <c r="P37" i="44"/>
  <c r="M31" i="42" s="1"/>
  <c r="P213" i="44"/>
  <c r="M207" i="42" s="1"/>
  <c r="P276" i="44"/>
  <c r="M270" i="42" s="1"/>
  <c r="P46" i="44"/>
  <c r="M40" i="42" s="1"/>
  <c r="P225" i="44"/>
  <c r="M219" i="42" s="1"/>
  <c r="P161" i="44"/>
  <c r="M155" i="42" s="1"/>
  <c r="P256" i="44"/>
  <c r="M250" i="42" s="1"/>
  <c r="P118" i="44"/>
  <c r="M112" i="42" s="1"/>
  <c r="P295" i="44"/>
  <c r="M289" i="42" s="1"/>
  <c r="P285" i="44"/>
  <c r="M279" i="42" s="1"/>
  <c r="P203" i="44"/>
  <c r="M197" i="42" s="1"/>
  <c r="P141" i="44"/>
  <c r="M135" i="42" s="1"/>
  <c r="P238" i="44"/>
  <c r="M232" i="42" s="1"/>
  <c r="P205" i="44"/>
  <c r="M199" i="42" s="1"/>
  <c r="P42" i="44"/>
  <c r="M36" i="42" s="1"/>
  <c r="P121" i="44"/>
  <c r="M115" i="42" s="1"/>
  <c r="P279" i="44"/>
  <c r="M273" i="42" s="1"/>
  <c r="P348" i="44"/>
  <c r="M342" i="42" s="1"/>
  <c r="P117" i="44"/>
  <c r="M111" i="42" s="1"/>
  <c r="P233" i="44"/>
  <c r="M227" i="42" s="1"/>
  <c r="P250" i="44"/>
  <c r="M244" i="42" s="1"/>
  <c r="P275" i="44"/>
  <c r="M269" i="42" s="1"/>
  <c r="P12" i="44"/>
  <c r="M6" i="42" s="1"/>
  <c r="P317" i="44"/>
  <c r="M311" i="42" s="1"/>
  <c r="P245" i="44"/>
  <c r="M239" i="42" s="1"/>
  <c r="P163" i="44"/>
  <c r="M157" i="42" s="1"/>
  <c r="P22" i="44"/>
  <c r="M16" i="42" s="1"/>
  <c r="P217" i="44"/>
  <c r="M211" i="42" s="1"/>
  <c r="P51" i="44"/>
  <c r="M45" i="42" s="1"/>
  <c r="P194" i="44"/>
  <c r="M188" i="42" s="1"/>
  <c r="P268" i="44"/>
  <c r="M262" i="42" s="1"/>
  <c r="P219" i="44"/>
  <c r="M213" i="42" s="1"/>
  <c r="P228" i="44"/>
  <c r="M222" i="42" s="1"/>
  <c r="P132" i="44"/>
  <c r="M126" i="42" s="1"/>
  <c r="P156" i="44"/>
  <c r="M150" i="42" s="1"/>
  <c r="P28" i="44"/>
  <c r="M22" i="42" s="1"/>
  <c r="P135" i="44"/>
  <c r="M129" i="42" s="1"/>
  <c r="P323" i="44"/>
  <c r="M317" i="42" s="1"/>
  <c r="P65" i="44"/>
  <c r="M59" i="42" s="1"/>
  <c r="P309" i="44"/>
  <c r="M303" i="42" s="1"/>
  <c r="P13" i="44"/>
  <c r="M7" i="42" s="1"/>
  <c r="P38" i="44"/>
  <c r="M32" i="42" s="1"/>
  <c r="P147" i="44"/>
  <c r="M141" i="42" s="1"/>
  <c r="P58" i="44"/>
  <c r="M52" i="42" s="1"/>
  <c r="P231" i="44"/>
  <c r="M225" i="42" s="1"/>
  <c r="P300" i="44"/>
  <c r="M294" i="42" s="1"/>
  <c r="P74" i="44"/>
  <c r="M68" i="42" s="1"/>
  <c r="P83" i="44"/>
  <c r="M77" i="42" s="1"/>
  <c r="P43" i="44"/>
  <c r="M37" i="42" s="1"/>
  <c r="P289" i="44"/>
  <c r="M283" i="42" s="1"/>
  <c r="P180" i="44"/>
  <c r="M174" i="42" s="1"/>
  <c r="P312" i="44"/>
  <c r="M306" i="42" s="1"/>
  <c r="P70" i="44"/>
  <c r="M64" i="42" s="1"/>
  <c r="P31" i="44"/>
  <c r="M25" i="42" s="1"/>
  <c r="P148" i="44"/>
  <c r="M142" i="42" s="1"/>
  <c r="P88" i="44"/>
  <c r="M82" i="42" s="1"/>
  <c r="P33" i="44"/>
  <c r="M27" i="42" s="1"/>
  <c r="P244" i="44"/>
  <c r="M238" i="42" s="1"/>
  <c r="P346" i="44"/>
  <c r="M340" i="42" s="1"/>
  <c r="P269" i="44"/>
  <c r="M263" i="42" s="1"/>
  <c r="P210" i="44"/>
  <c r="M204" i="42" s="1"/>
  <c r="P150" i="44"/>
  <c r="M144" i="42" s="1"/>
  <c r="P77" i="44"/>
  <c r="M71" i="42" s="1"/>
  <c r="P11" i="44"/>
  <c r="M5" i="42" s="1"/>
  <c r="P270" i="44"/>
  <c r="M264" i="42" s="1"/>
  <c r="P82" i="44"/>
  <c r="M76" i="42" s="1"/>
  <c r="P106" i="44"/>
  <c r="M100" i="42" s="1"/>
  <c r="P249" i="44"/>
  <c r="M243" i="42" s="1"/>
  <c r="P119" i="44"/>
  <c r="M113" i="42" s="1"/>
  <c r="P128" i="44"/>
  <c r="M122" i="42" s="1"/>
  <c r="P347" i="44"/>
  <c r="M341" i="42" s="1"/>
  <c r="P66" i="44"/>
  <c r="M60" i="42" s="1"/>
  <c r="P344" i="44"/>
  <c r="M338" i="42" s="1"/>
  <c r="P229" i="44"/>
  <c r="M223" i="42" s="1"/>
  <c r="P212" i="44"/>
  <c r="M206" i="42" s="1"/>
  <c r="P337" i="44"/>
  <c r="M331" i="42" s="1"/>
  <c r="P171" i="44"/>
  <c r="M165" i="42" s="1"/>
  <c r="P179" i="44"/>
  <c r="M173" i="42" s="1"/>
  <c r="P305" i="44"/>
  <c r="M299" i="42" s="1"/>
  <c r="P24" i="44"/>
  <c r="M18" i="42" s="1"/>
  <c r="P209" i="44"/>
  <c r="M203" i="42" s="1"/>
  <c r="P79" i="44"/>
  <c r="M73" i="42" s="1"/>
  <c r="P174" i="44"/>
  <c r="M168" i="42" s="1"/>
  <c r="P188" i="44"/>
  <c r="M182" i="42" s="1"/>
  <c r="P260" i="44"/>
  <c r="M254" i="42" s="1"/>
  <c r="P242" i="44"/>
  <c r="M236" i="42" s="1"/>
  <c r="P146" i="44"/>
  <c r="M140" i="42" s="1"/>
  <c r="P189" i="44"/>
  <c r="M183" i="42" s="1"/>
  <c r="P299" i="44"/>
  <c r="M293" i="42" s="1"/>
  <c r="P200" i="44"/>
  <c r="M194" i="42" s="1"/>
  <c r="P335" i="44"/>
  <c r="M329" i="42" s="1"/>
  <c r="P350" i="44"/>
  <c r="M344" i="42" s="1"/>
  <c r="P159" i="44"/>
  <c r="M153" i="42" s="1"/>
  <c r="P206" i="44"/>
  <c r="M200" i="42" s="1"/>
  <c r="P282" i="44"/>
  <c r="M276" i="42" s="1"/>
  <c r="P89" i="44"/>
  <c r="M83" i="42" s="1"/>
  <c r="P197" i="44"/>
  <c r="M191" i="42" s="1"/>
  <c r="P52" i="44"/>
  <c r="M46" i="42" s="1"/>
  <c r="P230" i="44"/>
  <c r="M224" i="42" s="1"/>
  <c r="P298" i="44"/>
  <c r="M292" i="42" s="1"/>
  <c r="P144" i="44"/>
  <c r="M138" i="42" s="1"/>
  <c r="P345" i="44"/>
  <c r="M339" i="42" s="1"/>
  <c r="P26" i="44"/>
  <c r="M20" i="42" s="1"/>
  <c r="P321" i="44"/>
  <c r="M315" i="42" s="1"/>
  <c r="P17" i="44"/>
  <c r="M11" i="42" s="1"/>
  <c r="P47" i="44"/>
  <c r="M41" i="42" s="1"/>
  <c r="P59" i="44"/>
  <c r="M53" i="42" s="1"/>
  <c r="P288" i="44"/>
  <c r="M282" i="42" s="1"/>
  <c r="P316" i="44"/>
  <c r="M310" i="42" s="1"/>
  <c r="P60" i="44"/>
  <c r="M54" i="42" s="1"/>
  <c r="P338" i="44"/>
  <c r="M332" i="42" s="1"/>
  <c r="P190" i="44"/>
  <c r="M184" i="42" s="1"/>
  <c r="P215" i="44"/>
  <c r="M209" i="42" s="1"/>
  <c r="P143" i="44"/>
  <c r="M137" i="42" s="1"/>
  <c r="P265" i="44"/>
  <c r="M259" i="42" s="1"/>
  <c r="P103" i="44"/>
  <c r="M97" i="42" s="1"/>
  <c r="P301" i="44"/>
  <c r="M295" i="42" s="1"/>
  <c r="P80" i="44"/>
  <c r="M74" i="42" s="1"/>
  <c r="P191" i="44"/>
  <c r="M185" i="42" s="1"/>
  <c r="P130" i="44"/>
  <c r="M124" i="42" s="1"/>
  <c r="P271" i="44"/>
  <c r="M265" i="42" s="1"/>
  <c r="P32" i="44"/>
  <c r="M26" i="42" s="1"/>
  <c r="P95" i="44"/>
  <c r="M89" i="42" s="1"/>
  <c r="P296" i="44"/>
  <c r="M290" i="42" s="1"/>
  <c r="P154" i="44"/>
  <c r="M148" i="42" s="1"/>
  <c r="P158" i="44"/>
  <c r="M152" i="42" s="1"/>
  <c r="P302" i="44"/>
  <c r="M296" i="42" s="1"/>
  <c r="P185" i="44"/>
  <c r="M179" i="42" s="1"/>
  <c r="P23" i="44"/>
  <c r="M17" i="42" s="1"/>
  <c r="P281" i="44"/>
  <c r="M275" i="42" s="1"/>
  <c r="P9" i="44"/>
  <c r="M3" i="42" s="1"/>
  <c r="P108" i="44"/>
  <c r="M102" i="42" s="1"/>
  <c r="P93" i="44"/>
  <c r="M87" i="42" s="1"/>
  <c r="P100" i="44"/>
  <c r="M94" i="42" s="1"/>
  <c r="P315" i="44"/>
  <c r="M309" i="42" s="1"/>
  <c r="P113" i="44"/>
  <c r="M107" i="42" s="1"/>
  <c r="P76" i="44"/>
  <c r="M70" i="42" s="1"/>
  <c r="P326" i="44"/>
  <c r="M320" i="42" s="1"/>
  <c r="P142" i="44"/>
  <c r="M136" i="42" s="1"/>
  <c r="P105" i="44"/>
  <c r="M99" i="42" s="1"/>
  <c r="P342" i="44"/>
  <c r="M336" i="42" s="1"/>
  <c r="P241" i="44"/>
  <c r="M235" i="42" s="1"/>
  <c r="P294" i="44"/>
  <c r="M288" i="42" s="1"/>
  <c r="P131" i="44"/>
  <c r="M125" i="42" s="1"/>
  <c r="P18" i="44"/>
  <c r="M12" i="42" s="1"/>
  <c r="P336" i="44"/>
  <c r="M330" i="42" s="1"/>
  <c r="P254" i="44"/>
  <c r="M248" i="42" s="1"/>
  <c r="P72" i="44"/>
  <c r="M66" i="42" s="1"/>
  <c r="P53" i="44"/>
  <c r="M47" i="42" s="1"/>
  <c r="P246" i="44"/>
  <c r="M240" i="42" s="1"/>
  <c r="P62" i="44"/>
  <c r="M56" i="42" s="1"/>
  <c r="P25" i="44"/>
  <c r="M19" i="42" s="1"/>
  <c r="P262" i="44"/>
  <c r="M256" i="42" s="1"/>
  <c r="P221" i="44"/>
  <c r="M215" i="42" s="1"/>
  <c r="P253" i="44"/>
  <c r="M247" i="42" s="1"/>
  <c r="P354" i="44"/>
  <c r="M348" i="42" s="1"/>
  <c r="P237" i="44"/>
  <c r="M231" i="42" s="1"/>
  <c r="P339" i="44"/>
  <c r="M333" i="42" s="1"/>
  <c r="P239" i="44"/>
  <c r="M233" i="42" s="1"/>
  <c r="P173" i="44"/>
  <c r="M167" i="42" s="1"/>
  <c r="P259" i="44"/>
  <c r="M253" i="42" s="1"/>
  <c r="P257" i="44"/>
  <c r="M251" i="42" s="1"/>
  <c r="P166" i="44"/>
  <c r="M160" i="42" s="1"/>
  <c r="P145" i="44"/>
  <c r="M139" i="42" s="1"/>
  <c r="P164" i="44"/>
  <c r="M158" i="42" s="1"/>
  <c r="P283" i="44"/>
  <c r="M277" i="42" s="1"/>
  <c r="P182" i="44"/>
  <c r="M176" i="42" s="1"/>
  <c r="P341" i="44"/>
  <c r="M335" i="42" s="1"/>
  <c r="P54" i="44"/>
  <c r="M48" i="42" s="1"/>
  <c r="P111" i="44"/>
  <c r="M105" i="42" s="1"/>
  <c r="P134" i="44"/>
  <c r="M128" i="42" s="1"/>
  <c r="P216" i="44"/>
  <c r="M210" i="42" s="1"/>
  <c r="P192" i="44"/>
  <c r="M186" i="42" s="1"/>
  <c r="P172" i="44"/>
  <c r="M166" i="42" s="1"/>
  <c r="P87" i="44"/>
  <c r="M81" i="42" s="1"/>
  <c r="P139" i="44"/>
  <c r="M133" i="42" s="1"/>
  <c r="P280" i="44"/>
  <c r="M274" i="42" s="1"/>
  <c r="P165" i="44"/>
  <c r="M159" i="42" s="1"/>
  <c r="P222" i="44"/>
  <c r="M216" i="42" s="1"/>
  <c r="P202" i="44"/>
  <c r="M196" i="42" s="1"/>
  <c r="P243" i="44"/>
  <c r="M237" i="42" s="1"/>
  <c r="P329" i="44"/>
  <c r="M323" i="42" s="1"/>
  <c r="P261" i="44"/>
  <c r="M255" i="42" s="1"/>
  <c r="P327" i="44"/>
  <c r="M321" i="42" s="1"/>
  <c r="P39" i="44"/>
  <c r="M33" i="42" s="1"/>
  <c r="P252" i="44"/>
  <c r="M246" i="42" s="1"/>
  <c r="P14" i="44"/>
  <c r="M8" i="42" s="1"/>
  <c r="P170" i="44"/>
  <c r="M164" i="42" s="1"/>
  <c r="P78" i="44"/>
  <c r="M72" i="42" s="1"/>
  <c r="P27" i="44"/>
  <c r="M21" i="42" s="1"/>
  <c r="P297" i="44"/>
  <c r="M291" i="42" s="1"/>
  <c r="P224" i="44"/>
  <c r="M218" i="42" s="1"/>
  <c r="P125" i="44"/>
  <c r="M119" i="42" s="1"/>
  <c r="P264" i="44"/>
  <c r="M258" i="42" s="1"/>
  <c r="P343" i="44"/>
  <c r="M337" i="42" s="1"/>
  <c r="P149" i="44"/>
  <c r="M143" i="42" s="1"/>
  <c r="P81" i="44"/>
  <c r="M75" i="42" s="1"/>
  <c r="P178" i="44"/>
  <c r="M172" i="42" s="1"/>
  <c r="P19" i="44"/>
  <c r="M13" i="42" s="1"/>
  <c r="P232" i="44"/>
  <c r="M226" i="42" s="1"/>
  <c r="P353" i="44"/>
  <c r="M347" i="42" s="1"/>
  <c r="P207" i="44"/>
  <c r="M201" i="42" s="1"/>
  <c r="P168" i="44"/>
  <c r="M162" i="42" s="1"/>
  <c r="P50" i="44"/>
  <c r="M44" i="42" s="1"/>
  <c r="P155" i="44"/>
  <c r="M149" i="42" s="1"/>
  <c r="P64" i="44"/>
  <c r="M58" i="42" s="1"/>
  <c r="P45" i="44"/>
  <c r="M39" i="42" s="1"/>
  <c r="P184" i="44"/>
  <c r="M178" i="42" s="1"/>
  <c r="P263" i="44"/>
  <c r="M257" i="42" s="1"/>
  <c r="P129" i="44"/>
  <c r="M123" i="42" s="1"/>
  <c r="P61" i="44"/>
  <c r="M55" i="42" s="1"/>
  <c r="P248" i="44"/>
  <c r="M242" i="42" s="1"/>
  <c r="P199" i="44"/>
  <c r="M193" i="42" s="1"/>
  <c r="P314" i="44"/>
  <c r="M308" i="42" s="1"/>
  <c r="P308" i="44"/>
  <c r="M302" i="42" s="1"/>
  <c r="P40" i="44"/>
  <c r="M34" i="42" s="1"/>
  <c r="P351" i="44"/>
  <c r="M345" i="42" s="1"/>
  <c r="P107" i="44"/>
  <c r="M101" i="42" s="1"/>
  <c r="P120" i="44"/>
  <c r="M114" i="42" s="1"/>
  <c r="P208" i="44"/>
  <c r="M202" i="42" s="1"/>
  <c r="P94" i="44"/>
  <c r="M88" i="42" s="1"/>
  <c r="P303" i="44"/>
  <c r="M297" i="42" s="1"/>
  <c r="P284" i="44"/>
  <c r="M278" i="42" s="1"/>
  <c r="P104" i="44"/>
  <c r="M98" i="42" s="1"/>
  <c r="P183" i="44"/>
  <c r="M177" i="42" s="1"/>
  <c r="P109" i="44"/>
  <c r="M103" i="42" s="1"/>
  <c r="P41" i="44"/>
  <c r="M35" i="42" s="1"/>
  <c r="P167" i="44"/>
  <c r="M161" i="42" s="1"/>
  <c r="P140" i="44"/>
  <c r="M134" i="42" s="1"/>
  <c r="P272" i="44"/>
  <c r="M266" i="42" s="1"/>
  <c r="P331" i="44"/>
  <c r="M325" i="42" s="1"/>
  <c r="P97" i="44"/>
  <c r="M91" i="42" s="1"/>
  <c r="P68" i="44"/>
  <c r="M62" i="42" s="1"/>
  <c r="P34" i="44"/>
  <c r="M28" i="42" s="1"/>
  <c r="P277" i="44"/>
  <c r="M271" i="42" s="1"/>
  <c r="P153" i="44"/>
  <c r="M147" i="42" s="1"/>
  <c r="P10" i="44"/>
  <c r="M4" i="42" s="1"/>
  <c r="P110" i="44"/>
  <c r="M104" i="42" s="1"/>
  <c r="P133" i="44"/>
  <c r="M127" i="42" s="1"/>
  <c r="P258" i="44"/>
  <c r="M252" i="42" s="1"/>
  <c r="P73" i="44"/>
  <c r="M67" i="42" s="1"/>
  <c r="P98" i="44"/>
  <c r="M92" i="42" s="1"/>
  <c r="P75" i="44"/>
  <c r="M69" i="42" s="1"/>
  <c r="P176" i="44"/>
  <c r="M170" i="42" s="1"/>
  <c r="P352" i="44"/>
  <c r="M346" i="42" s="1"/>
  <c r="P291" i="44"/>
  <c r="M285" i="42" s="1"/>
  <c r="P116" i="44"/>
  <c r="M110" i="42" s="1"/>
  <c r="P240" i="44"/>
  <c r="M234" i="42" s="1"/>
  <c r="P251" i="44"/>
  <c r="M245" i="42" s="1"/>
  <c r="P96" i="44"/>
  <c r="M90" i="42" s="1"/>
  <c r="P20" i="44"/>
  <c r="M14" i="42" s="1"/>
  <c r="P16" i="44"/>
  <c r="M10" i="42" s="1"/>
  <c r="P318" i="44"/>
  <c r="M312" i="42" s="1"/>
  <c r="P55" i="44"/>
  <c r="M49" i="42" s="1"/>
  <c r="P278" i="44"/>
  <c r="M272" i="42" s="1"/>
  <c r="P340" i="44"/>
  <c r="M334" i="42" s="1"/>
  <c r="P218" i="44"/>
  <c r="M212" i="42" s="1"/>
  <c r="P293" i="44"/>
  <c r="M287" i="42" s="1"/>
  <c r="P320" i="44"/>
  <c r="M314" i="42" s="1"/>
  <c r="P311" i="44"/>
  <c r="M305" i="42" s="1"/>
  <c r="P136" i="44"/>
  <c r="M130" i="42" s="1"/>
  <c r="P151" i="44"/>
  <c r="M145" i="42" s="1"/>
  <c r="P255" i="44"/>
  <c r="M249" i="42" s="1"/>
  <c r="P307" i="44"/>
  <c r="M301" i="42" s="1"/>
  <c r="P235" i="44"/>
  <c r="M229" i="42" s="1"/>
  <c r="P287" i="44"/>
  <c r="M281" i="42" s="1"/>
  <c r="P195" i="44"/>
  <c r="M189" i="42" s="1"/>
  <c r="P267" i="44"/>
  <c r="M261" i="42" s="1"/>
  <c r="P175" i="44"/>
  <c r="M169" i="42" s="1"/>
  <c r="P247" i="44"/>
  <c r="M241" i="42" s="1"/>
  <c r="P35" i="44"/>
  <c r="M29" i="42" s="1"/>
  <c r="P187" i="44"/>
  <c r="M181" i="42" s="1"/>
  <c r="P313" i="44"/>
  <c r="M307" i="42" s="1"/>
  <c r="P67" i="44"/>
  <c r="M61" i="42" s="1"/>
  <c r="P273" i="44"/>
  <c r="M267" i="42" s="1"/>
  <c r="P30" i="44"/>
  <c r="M24" i="42" s="1"/>
  <c r="P227" i="44"/>
  <c r="M221" i="42" s="1"/>
  <c r="R54" i="31"/>
  <c r="R354" i="31" s="1"/>
  <c r="K32" i="29"/>
  <c r="AD54" i="31"/>
  <c r="AD354" i="31" s="1"/>
  <c r="O5" i="29"/>
  <c r="O4" i="29"/>
  <c r="F4" i="29"/>
  <c r="G40" i="29" s="1"/>
  <c r="AZ4" i="31"/>
  <c r="F354" i="25"/>
  <c r="BN54" i="31"/>
  <c r="BN4" i="31" s="1"/>
  <c r="Q354" i="25"/>
  <c r="D354" i="16"/>
  <c r="X54" i="31"/>
  <c r="X354" i="31" s="1"/>
  <c r="O10" i="29"/>
  <c r="L54" i="31"/>
  <c r="L4" i="31" s="1"/>
  <c r="F2" i="29"/>
  <c r="G38" i="29" s="1"/>
  <c r="S5" i="16"/>
  <c r="O2" i="29"/>
  <c r="F3" i="29"/>
  <c r="G3" i="29" s="1"/>
  <c r="AP54" i="31"/>
  <c r="AP354" i="31" s="1"/>
  <c r="F7" i="29"/>
  <c r="G43" i="29" s="1"/>
  <c r="BH54" i="31"/>
  <c r="BH354" i="31" s="1"/>
  <c r="O6" i="29"/>
  <c r="F12" i="29"/>
  <c r="G12" i="29" s="1"/>
  <c r="O3" i="29"/>
  <c r="BT54" i="31"/>
  <c r="BT354" i="31" s="1"/>
  <c r="F6" i="29"/>
  <c r="G42" i="29" s="1"/>
  <c r="O8" i="29"/>
  <c r="F8" i="29"/>
  <c r="AV54" i="31"/>
  <c r="D29" i="15"/>
  <c r="S54" i="16" s="1"/>
  <c r="S354" i="16" s="1"/>
  <c r="BB354" i="31"/>
  <c r="BB4" i="31"/>
  <c r="BB3" i="31"/>
  <c r="O13" i="29"/>
  <c r="F13" i="29"/>
  <c r="BZ54" i="31"/>
  <c r="G45" i="29"/>
  <c r="G9" i="29"/>
  <c r="AB215" i="45" l="1"/>
  <c r="I210" i="53"/>
  <c r="Q210" i="53" s="1"/>
  <c r="AB23" i="45"/>
  <c r="I18" i="53"/>
  <c r="Q18" i="53" s="1"/>
  <c r="AB161" i="45"/>
  <c r="I156" i="53"/>
  <c r="Q156" i="53" s="1"/>
  <c r="AB252" i="45"/>
  <c r="I247" i="53"/>
  <c r="Q247" i="53" s="1"/>
  <c r="AB168" i="45"/>
  <c r="I163" i="53"/>
  <c r="Q163" i="53" s="1"/>
  <c r="AB9" i="45"/>
  <c r="I4" i="53"/>
  <c r="AB266" i="45"/>
  <c r="I261" i="53"/>
  <c r="Q261" i="53" s="1"/>
  <c r="AB81" i="45"/>
  <c r="I76" i="53"/>
  <c r="Q76" i="53" s="1"/>
  <c r="AB294" i="45"/>
  <c r="I289" i="53"/>
  <c r="Q289" i="53" s="1"/>
  <c r="AB11" i="45"/>
  <c r="I6" i="53"/>
  <c r="Q6" i="53" s="1"/>
  <c r="AB207" i="45"/>
  <c r="I202" i="53"/>
  <c r="Q202" i="53" s="1"/>
  <c r="AB66" i="45"/>
  <c r="I61" i="53"/>
  <c r="Q61" i="53" s="1"/>
  <c r="AB327" i="45"/>
  <c r="I322" i="53"/>
  <c r="Q322" i="53" s="1"/>
  <c r="AB345" i="45"/>
  <c r="I340" i="53"/>
  <c r="Q340" i="53" s="1"/>
  <c r="AB83" i="45"/>
  <c r="I78" i="53"/>
  <c r="Q78" i="53" s="1"/>
  <c r="AB271" i="45"/>
  <c r="I266" i="53"/>
  <c r="Q266" i="53" s="1"/>
  <c r="AB25" i="45"/>
  <c r="I20" i="53"/>
  <c r="Q20" i="53" s="1"/>
  <c r="AB315" i="45"/>
  <c r="I310" i="53"/>
  <c r="Q310" i="53" s="1"/>
  <c r="AB154" i="45"/>
  <c r="I149" i="53"/>
  <c r="Q149" i="53" s="1"/>
  <c r="AB148" i="45"/>
  <c r="I143" i="53"/>
  <c r="Q143" i="53" s="1"/>
  <c r="AB301" i="45"/>
  <c r="I296" i="53"/>
  <c r="Q296" i="53" s="1"/>
  <c r="AB135" i="45"/>
  <c r="I130" i="53"/>
  <c r="Q130" i="53" s="1"/>
  <c r="AB328" i="45"/>
  <c r="I323" i="53"/>
  <c r="Q323" i="53" s="1"/>
  <c r="AB228" i="45"/>
  <c r="I223" i="53"/>
  <c r="Q223" i="53" s="1"/>
  <c r="AB24" i="45"/>
  <c r="I19" i="53"/>
  <c r="Q19" i="53" s="1"/>
  <c r="AB158" i="45"/>
  <c r="I153" i="53"/>
  <c r="Q153" i="53" s="1"/>
  <c r="AB241" i="45"/>
  <c r="I236" i="53"/>
  <c r="Q236" i="53" s="1"/>
  <c r="AB298" i="45"/>
  <c r="I293" i="53"/>
  <c r="Q293" i="53" s="1"/>
  <c r="AB28" i="45"/>
  <c r="I23" i="53"/>
  <c r="Q23" i="53" s="1"/>
  <c r="AB270" i="45"/>
  <c r="I265" i="53"/>
  <c r="Q265" i="53" s="1"/>
  <c r="AB274" i="45"/>
  <c r="I269" i="53"/>
  <c r="Q269" i="53" s="1"/>
  <c r="AB342" i="45"/>
  <c r="I337" i="53"/>
  <c r="Q337" i="53" s="1"/>
  <c r="AB353" i="45"/>
  <c r="I348" i="53"/>
  <c r="Q348" i="53" s="1"/>
  <c r="AB119" i="45"/>
  <c r="I114" i="53"/>
  <c r="Q114" i="53" s="1"/>
  <c r="AB93" i="45"/>
  <c r="I88" i="53"/>
  <c r="Q88" i="53" s="1"/>
  <c r="AB106" i="45"/>
  <c r="I101" i="53"/>
  <c r="Q101" i="53" s="1"/>
  <c r="AB138" i="45"/>
  <c r="I133" i="53"/>
  <c r="Q133" i="53" s="1"/>
  <c r="AB296" i="45"/>
  <c r="I291" i="53"/>
  <c r="Q291" i="53" s="1"/>
  <c r="AB304" i="45"/>
  <c r="I299" i="53"/>
  <c r="Q299" i="53" s="1"/>
  <c r="AB268" i="45"/>
  <c r="I263" i="53"/>
  <c r="Q263" i="53" s="1"/>
  <c r="AB156" i="45"/>
  <c r="I151" i="53"/>
  <c r="Q151" i="53" s="1"/>
  <c r="AB17" i="45"/>
  <c r="I12" i="53"/>
  <c r="Q12" i="53" s="1"/>
  <c r="AB178" i="45"/>
  <c r="I173" i="53"/>
  <c r="Q173" i="53" s="1"/>
  <c r="AB35" i="45"/>
  <c r="I30" i="53"/>
  <c r="Q30" i="53" s="1"/>
  <c r="AB214" i="45"/>
  <c r="I209" i="53"/>
  <c r="Q209" i="53" s="1"/>
  <c r="AB278" i="45"/>
  <c r="I273" i="53"/>
  <c r="Q273" i="53" s="1"/>
  <c r="AB78" i="45"/>
  <c r="I73" i="53"/>
  <c r="Q73" i="53" s="1"/>
  <c r="AB169" i="45"/>
  <c r="I164" i="53"/>
  <c r="Q164" i="53" s="1"/>
  <c r="AB55" i="45"/>
  <c r="I50" i="53"/>
  <c r="Q50" i="53" s="1"/>
  <c r="AB216" i="45"/>
  <c r="I211" i="53"/>
  <c r="Q211" i="53" s="1"/>
  <c r="AB134" i="45"/>
  <c r="I129" i="53"/>
  <c r="Q129" i="53" s="1"/>
  <c r="AB306" i="45"/>
  <c r="I301" i="53"/>
  <c r="Q301" i="53" s="1"/>
  <c r="AB256" i="45"/>
  <c r="I251" i="53"/>
  <c r="Q251" i="53" s="1"/>
  <c r="AB352" i="45"/>
  <c r="I347" i="53"/>
  <c r="Q347" i="53" s="1"/>
  <c r="AB163" i="45"/>
  <c r="I158" i="53"/>
  <c r="Q158" i="53" s="1"/>
  <c r="AB273" i="45"/>
  <c r="I268" i="53"/>
  <c r="Q268" i="53" s="1"/>
  <c r="AB319" i="45"/>
  <c r="I314" i="53"/>
  <c r="Q314" i="53" s="1"/>
  <c r="AB261" i="45"/>
  <c r="I256" i="53"/>
  <c r="Q256" i="53" s="1"/>
  <c r="AB309" i="45"/>
  <c r="I304" i="53"/>
  <c r="Q304" i="53" s="1"/>
  <c r="AB324" i="45"/>
  <c r="I319" i="53"/>
  <c r="Q319" i="53" s="1"/>
  <c r="AB205" i="45"/>
  <c r="I200" i="53"/>
  <c r="Q200" i="53" s="1"/>
  <c r="AB250" i="45"/>
  <c r="I245" i="53"/>
  <c r="Q245" i="53" s="1"/>
  <c r="AB125" i="45"/>
  <c r="I120" i="53"/>
  <c r="Q120" i="53" s="1"/>
  <c r="AB247" i="45"/>
  <c r="I242" i="53"/>
  <c r="Q242" i="53" s="1"/>
  <c r="AB170" i="45"/>
  <c r="I165" i="53"/>
  <c r="Q165" i="53" s="1"/>
  <c r="AB20" i="45"/>
  <c r="I15" i="53"/>
  <c r="Q15" i="53" s="1"/>
  <c r="AB188" i="45"/>
  <c r="I183" i="53"/>
  <c r="Q183" i="53" s="1"/>
  <c r="AB221" i="45"/>
  <c r="I216" i="53"/>
  <c r="Q216" i="53" s="1"/>
  <c r="AB33" i="45"/>
  <c r="I28" i="53"/>
  <c r="Q28" i="53" s="1"/>
  <c r="AB152" i="45"/>
  <c r="I147" i="53"/>
  <c r="Q147" i="53" s="1"/>
  <c r="AB343" i="45"/>
  <c r="I338" i="53"/>
  <c r="Q338" i="53" s="1"/>
  <c r="AB50" i="45"/>
  <c r="I45" i="53"/>
  <c r="Q45" i="53" s="1"/>
  <c r="AB316" i="45"/>
  <c r="I311" i="53"/>
  <c r="Q311" i="53" s="1"/>
  <c r="AB107" i="45"/>
  <c r="I102" i="53"/>
  <c r="Q102" i="53" s="1"/>
  <c r="AB19" i="45"/>
  <c r="I14" i="53"/>
  <c r="Q14" i="53" s="1"/>
  <c r="AB282" i="45"/>
  <c r="I277" i="53"/>
  <c r="Q277" i="53" s="1"/>
  <c r="AB322" i="45"/>
  <c r="I317" i="53"/>
  <c r="Q317" i="53" s="1"/>
  <c r="AB183" i="45"/>
  <c r="I178" i="53"/>
  <c r="Q178" i="53" s="1"/>
  <c r="AB225" i="45"/>
  <c r="I220" i="53"/>
  <c r="Q220" i="53" s="1"/>
  <c r="AB41" i="45"/>
  <c r="I36" i="53"/>
  <c r="Q36" i="53" s="1"/>
  <c r="AB176" i="45"/>
  <c r="I171" i="53"/>
  <c r="Q171" i="53" s="1"/>
  <c r="AB186" i="45"/>
  <c r="I181" i="53"/>
  <c r="Q181" i="53" s="1"/>
  <c r="AB84" i="45"/>
  <c r="I79" i="53"/>
  <c r="Q79" i="53" s="1"/>
  <c r="AB208" i="45"/>
  <c r="I203" i="53"/>
  <c r="Q203" i="53" s="1"/>
  <c r="AB175" i="45"/>
  <c r="I170" i="53"/>
  <c r="Q170" i="53" s="1"/>
  <c r="AB12" i="45"/>
  <c r="I7" i="53"/>
  <c r="Q7" i="53" s="1"/>
  <c r="AB193" i="45"/>
  <c r="I188" i="53"/>
  <c r="Q188" i="53" s="1"/>
  <c r="AB117" i="45"/>
  <c r="I112" i="53"/>
  <c r="Q112" i="53" s="1"/>
  <c r="AB61" i="45"/>
  <c r="I56" i="53"/>
  <c r="Q56" i="53" s="1"/>
  <c r="AB201" i="45"/>
  <c r="I196" i="53"/>
  <c r="Q196" i="53" s="1"/>
  <c r="AB340" i="45"/>
  <c r="I335" i="53"/>
  <c r="Q335" i="53" s="1"/>
  <c r="AB171" i="45"/>
  <c r="I166" i="53"/>
  <c r="Q166" i="53" s="1"/>
  <c r="AB90" i="45"/>
  <c r="I85" i="53"/>
  <c r="Q85" i="53" s="1"/>
  <c r="AB219" i="45"/>
  <c r="I214" i="53"/>
  <c r="Q214" i="53" s="1"/>
  <c r="AB59" i="45"/>
  <c r="I54" i="53"/>
  <c r="Q54" i="53" s="1"/>
  <c r="AB92" i="45"/>
  <c r="I87" i="53"/>
  <c r="Q87" i="53" s="1"/>
  <c r="AB147" i="45"/>
  <c r="I142" i="53"/>
  <c r="Q142" i="53" s="1"/>
  <c r="AB80" i="45"/>
  <c r="I75" i="53"/>
  <c r="Q75" i="53" s="1"/>
  <c r="AB258" i="45"/>
  <c r="I253" i="53"/>
  <c r="Q253" i="53" s="1"/>
  <c r="AB120" i="45"/>
  <c r="I115" i="53"/>
  <c r="Q115" i="53" s="1"/>
  <c r="AB255" i="45"/>
  <c r="I250" i="53"/>
  <c r="Q250" i="53" s="1"/>
  <c r="AB37" i="45"/>
  <c r="I32" i="53"/>
  <c r="Q32" i="53" s="1"/>
  <c r="AB217" i="45"/>
  <c r="I212" i="53"/>
  <c r="Q212" i="53" s="1"/>
  <c r="AB348" i="45"/>
  <c r="I343" i="53"/>
  <c r="Q343" i="53" s="1"/>
  <c r="AB57" i="45"/>
  <c r="I52" i="53"/>
  <c r="Q52" i="53" s="1"/>
  <c r="AB184" i="45"/>
  <c r="I179" i="53"/>
  <c r="Q179" i="53" s="1"/>
  <c r="AB235" i="45"/>
  <c r="I230" i="53"/>
  <c r="Q230" i="53" s="1"/>
  <c r="AB313" i="45"/>
  <c r="I308" i="53"/>
  <c r="Q308" i="53" s="1"/>
  <c r="AB26" i="45"/>
  <c r="I21" i="53"/>
  <c r="Q21" i="53" s="1"/>
  <c r="AB103" i="45"/>
  <c r="I98" i="53"/>
  <c r="Q98" i="53" s="1"/>
  <c r="AB77" i="45"/>
  <c r="I72" i="53"/>
  <c r="Q72" i="53" s="1"/>
  <c r="AB62" i="45"/>
  <c r="I57" i="53"/>
  <c r="Q57" i="53" s="1"/>
  <c r="AB210" i="45"/>
  <c r="I205" i="53"/>
  <c r="Q205" i="53" s="1"/>
  <c r="AB243" i="45"/>
  <c r="I238" i="53"/>
  <c r="Q238" i="53" s="1"/>
  <c r="AB121" i="45"/>
  <c r="I116" i="53"/>
  <c r="Q116" i="53" s="1"/>
  <c r="AB314" i="45"/>
  <c r="I309" i="53"/>
  <c r="Q309" i="53" s="1"/>
  <c r="AB34" i="45"/>
  <c r="I29" i="53"/>
  <c r="Q29" i="53" s="1"/>
  <c r="AB264" i="45"/>
  <c r="I259" i="53"/>
  <c r="Q259" i="53" s="1"/>
  <c r="AB73" i="45"/>
  <c r="I68" i="53"/>
  <c r="Q68" i="53" s="1"/>
  <c r="AB333" i="45"/>
  <c r="I328" i="53"/>
  <c r="Q328" i="53" s="1"/>
  <c r="AB136" i="45"/>
  <c r="I131" i="53"/>
  <c r="Q131" i="53" s="1"/>
  <c r="AB332" i="45"/>
  <c r="I327" i="53"/>
  <c r="Q327" i="53" s="1"/>
  <c r="AB151" i="45"/>
  <c r="I146" i="53"/>
  <c r="Q146" i="53" s="1"/>
  <c r="AB130" i="45"/>
  <c r="I125" i="53"/>
  <c r="Q125" i="53" s="1"/>
  <c r="AB110" i="45"/>
  <c r="I105" i="53"/>
  <c r="Q105" i="53" s="1"/>
  <c r="AB213" i="45"/>
  <c r="I208" i="53"/>
  <c r="Q208" i="53" s="1"/>
  <c r="AB105" i="45"/>
  <c r="I100" i="53"/>
  <c r="Q100" i="53" s="1"/>
  <c r="AB237" i="45"/>
  <c r="I232" i="53"/>
  <c r="Q232" i="53" s="1"/>
  <c r="AB48" i="45"/>
  <c r="I43" i="53"/>
  <c r="Q43" i="53" s="1"/>
  <c r="AB226" i="45"/>
  <c r="I221" i="53"/>
  <c r="Q221" i="53" s="1"/>
  <c r="AB96" i="45"/>
  <c r="I91" i="53"/>
  <c r="Q91" i="53" s="1"/>
  <c r="AB145" i="45"/>
  <c r="I140" i="53"/>
  <c r="Q140" i="53" s="1"/>
  <c r="AB180" i="45"/>
  <c r="I175" i="53"/>
  <c r="Q175" i="53" s="1"/>
  <c r="AB303" i="45"/>
  <c r="I298" i="53"/>
  <c r="Q298" i="53" s="1"/>
  <c r="AB29" i="45"/>
  <c r="I24" i="53"/>
  <c r="Q24" i="53" s="1"/>
  <c r="AB287" i="45"/>
  <c r="I282" i="53"/>
  <c r="Q282" i="53" s="1"/>
  <c r="AB244" i="45"/>
  <c r="I239" i="53"/>
  <c r="Q239" i="53" s="1"/>
  <c r="AB283" i="45"/>
  <c r="I278" i="53"/>
  <c r="Q278" i="53" s="1"/>
  <c r="AB198" i="45"/>
  <c r="I193" i="53"/>
  <c r="Q193" i="53" s="1"/>
  <c r="AB122" i="45"/>
  <c r="I117" i="53"/>
  <c r="Q117" i="53" s="1"/>
  <c r="AB116" i="45"/>
  <c r="I111" i="53"/>
  <c r="Q111" i="53" s="1"/>
  <c r="AB191" i="45"/>
  <c r="I186" i="53"/>
  <c r="Q186" i="53" s="1"/>
  <c r="AB47" i="45"/>
  <c r="I42" i="53"/>
  <c r="Q42" i="53" s="1"/>
  <c r="AB220" i="45"/>
  <c r="I215" i="53"/>
  <c r="Q215" i="53" s="1"/>
  <c r="AB248" i="45"/>
  <c r="I243" i="53"/>
  <c r="Q243" i="53" s="1"/>
  <c r="AB143" i="45"/>
  <c r="I138" i="53"/>
  <c r="Q138" i="53" s="1"/>
  <c r="AB104" i="45"/>
  <c r="I99" i="53"/>
  <c r="Q99" i="53" s="1"/>
  <c r="AB54" i="45"/>
  <c r="I49" i="53"/>
  <c r="Q49" i="53" s="1"/>
  <c r="AB71" i="45"/>
  <c r="I66" i="53"/>
  <c r="Q66" i="53" s="1"/>
  <c r="AB87" i="45"/>
  <c r="I82" i="53"/>
  <c r="Q82" i="53" s="1"/>
  <c r="AB354" i="45"/>
  <c r="I349" i="53"/>
  <c r="Q349" i="53" s="1"/>
  <c r="AB21" i="45"/>
  <c r="I16" i="53"/>
  <c r="Q16" i="53" s="1"/>
  <c r="AB249" i="45"/>
  <c r="I244" i="53"/>
  <c r="Q244" i="53" s="1"/>
  <c r="AB51" i="45"/>
  <c r="I46" i="53"/>
  <c r="Q46" i="53" s="1"/>
  <c r="AB108" i="45"/>
  <c r="I103" i="53"/>
  <c r="Q103" i="53" s="1"/>
  <c r="AB311" i="45"/>
  <c r="I306" i="53"/>
  <c r="Q306" i="53" s="1"/>
  <c r="AB233" i="45"/>
  <c r="I228" i="53"/>
  <c r="Q228" i="53" s="1"/>
  <c r="AB14" i="45"/>
  <c r="I9" i="53"/>
  <c r="Q9" i="53" s="1"/>
  <c r="AB146" i="45"/>
  <c r="I141" i="53"/>
  <c r="Q141" i="53" s="1"/>
  <c r="AB160" i="45"/>
  <c r="I155" i="53"/>
  <c r="Q155" i="53" s="1"/>
  <c r="AB326" i="45"/>
  <c r="I321" i="53"/>
  <c r="Q321" i="53" s="1"/>
  <c r="AB224" i="45"/>
  <c r="I219" i="53"/>
  <c r="Q219" i="53" s="1"/>
  <c r="AB164" i="45"/>
  <c r="I159" i="53"/>
  <c r="Q159" i="53" s="1"/>
  <c r="AB202" i="45"/>
  <c r="I197" i="53"/>
  <c r="Q197" i="53" s="1"/>
  <c r="AB109" i="45"/>
  <c r="I104" i="53"/>
  <c r="Q104" i="53" s="1"/>
  <c r="AB308" i="45"/>
  <c r="I303" i="53"/>
  <c r="Q303" i="53" s="1"/>
  <c r="AB142" i="45"/>
  <c r="I137" i="53"/>
  <c r="Q137" i="53" s="1"/>
  <c r="AB111" i="45"/>
  <c r="I106" i="53"/>
  <c r="Q106" i="53" s="1"/>
  <c r="AB149" i="45"/>
  <c r="I144" i="53"/>
  <c r="Q144" i="53" s="1"/>
  <c r="AB349" i="45"/>
  <c r="I344" i="53"/>
  <c r="Q344" i="53" s="1"/>
  <c r="AB75" i="45"/>
  <c r="I70" i="53"/>
  <c r="Q70" i="53" s="1"/>
  <c r="AB137" i="45"/>
  <c r="I132" i="53"/>
  <c r="Q132" i="53" s="1"/>
  <c r="AB140" i="45"/>
  <c r="I135" i="53"/>
  <c r="Q135" i="53" s="1"/>
  <c r="AB15" i="45"/>
  <c r="I10" i="53"/>
  <c r="Q10" i="53" s="1"/>
  <c r="AB16" i="45"/>
  <c r="I11" i="53"/>
  <c r="Q11" i="53" s="1"/>
  <c r="AB206" i="45"/>
  <c r="I201" i="53"/>
  <c r="Q201" i="53" s="1"/>
  <c r="AB339" i="45"/>
  <c r="I334" i="53"/>
  <c r="Q334" i="53" s="1"/>
  <c r="AB312" i="45"/>
  <c r="I307" i="53"/>
  <c r="Q307" i="53" s="1"/>
  <c r="AB335" i="45"/>
  <c r="I330" i="53"/>
  <c r="Q330" i="53" s="1"/>
  <c r="AB13" i="45"/>
  <c r="I8" i="53"/>
  <c r="Q8" i="53" s="1"/>
  <c r="AB351" i="45"/>
  <c r="I346" i="53"/>
  <c r="Q346" i="53" s="1"/>
  <c r="AB295" i="45"/>
  <c r="I290" i="53"/>
  <c r="Q290" i="53" s="1"/>
  <c r="AB52" i="45"/>
  <c r="I47" i="53"/>
  <c r="Q47" i="53" s="1"/>
  <c r="AB196" i="45"/>
  <c r="I191" i="53"/>
  <c r="Q191" i="53" s="1"/>
  <c r="AB76" i="45"/>
  <c r="I71" i="53"/>
  <c r="Q71" i="53" s="1"/>
  <c r="AB38" i="45"/>
  <c r="I33" i="53"/>
  <c r="Q33" i="53" s="1"/>
  <c r="AB165" i="45"/>
  <c r="I160" i="53"/>
  <c r="Q160" i="53" s="1"/>
  <c r="AB95" i="45"/>
  <c r="I90" i="53"/>
  <c r="Q90" i="53" s="1"/>
  <c r="AB56" i="45"/>
  <c r="I51" i="53"/>
  <c r="Q51" i="53" s="1"/>
  <c r="AB187" i="45"/>
  <c r="I182" i="53"/>
  <c r="Q182" i="53" s="1"/>
  <c r="AB100" i="45"/>
  <c r="I95" i="53"/>
  <c r="Q95" i="53" s="1"/>
  <c r="AB346" i="45"/>
  <c r="I341" i="53"/>
  <c r="Q341" i="53" s="1"/>
  <c r="AB281" i="45"/>
  <c r="I276" i="53"/>
  <c r="Q276" i="53" s="1"/>
  <c r="AB300" i="45"/>
  <c r="I295" i="53"/>
  <c r="Q295" i="53" s="1"/>
  <c r="AB209" i="45"/>
  <c r="I204" i="53"/>
  <c r="Q204" i="53" s="1"/>
  <c r="AB318" i="45"/>
  <c r="I313" i="53"/>
  <c r="Q313" i="53" s="1"/>
  <c r="AB123" i="45"/>
  <c r="I118" i="53"/>
  <c r="Q118" i="53" s="1"/>
  <c r="AB212" i="45"/>
  <c r="I207" i="53"/>
  <c r="Q207" i="53" s="1"/>
  <c r="AB43" i="45"/>
  <c r="I38" i="53"/>
  <c r="Q38" i="53" s="1"/>
  <c r="AB58" i="45"/>
  <c r="I53" i="53"/>
  <c r="Q53" i="53" s="1"/>
  <c r="AB172" i="45"/>
  <c r="I167" i="53"/>
  <c r="Q167" i="53" s="1"/>
  <c r="AB74" i="45"/>
  <c r="I69" i="53"/>
  <c r="Q69" i="53" s="1"/>
  <c r="AB31" i="45"/>
  <c r="I26" i="53"/>
  <c r="Q26" i="53" s="1"/>
  <c r="AB27" i="45"/>
  <c r="I22" i="53"/>
  <c r="Q22" i="53" s="1"/>
  <c r="AB86" i="45"/>
  <c r="I81" i="53"/>
  <c r="Q81" i="53" s="1"/>
  <c r="AB222" i="45"/>
  <c r="I217" i="53"/>
  <c r="Q217" i="53" s="1"/>
  <c r="AB329" i="45"/>
  <c r="I324" i="53"/>
  <c r="Q324" i="53" s="1"/>
  <c r="AB53" i="45"/>
  <c r="I48" i="53"/>
  <c r="Q48" i="53" s="1"/>
  <c r="AB113" i="45"/>
  <c r="I108" i="53"/>
  <c r="Q108" i="53" s="1"/>
  <c r="AB153" i="45"/>
  <c r="I148" i="53"/>
  <c r="Q148" i="53" s="1"/>
  <c r="AB45" i="45"/>
  <c r="I40" i="53"/>
  <c r="Q40" i="53" s="1"/>
  <c r="AB63" i="45"/>
  <c r="I58" i="53"/>
  <c r="Q58" i="53" s="1"/>
  <c r="AB276" i="45"/>
  <c r="I271" i="53"/>
  <c r="Q271" i="53" s="1"/>
  <c r="AB185" i="45"/>
  <c r="I180" i="53"/>
  <c r="Q180" i="53" s="1"/>
  <c r="AB269" i="45"/>
  <c r="I264" i="53"/>
  <c r="Q264" i="53" s="1"/>
  <c r="AB60" i="45"/>
  <c r="I55" i="53"/>
  <c r="Q55" i="53" s="1"/>
  <c r="AB162" i="45"/>
  <c r="I157" i="53"/>
  <c r="Q157" i="53" s="1"/>
  <c r="AB245" i="45"/>
  <c r="I240" i="53"/>
  <c r="Q240" i="53" s="1"/>
  <c r="AB114" i="45"/>
  <c r="I109" i="53"/>
  <c r="Q109" i="53" s="1"/>
  <c r="AB199" i="45"/>
  <c r="I194" i="53"/>
  <c r="Q194" i="53" s="1"/>
  <c r="AB288" i="45"/>
  <c r="I283" i="53"/>
  <c r="Q283" i="53" s="1"/>
  <c r="AB272" i="45"/>
  <c r="I267" i="53"/>
  <c r="Q267" i="53" s="1"/>
  <c r="AB289" i="45"/>
  <c r="I284" i="53"/>
  <c r="Q284" i="53" s="1"/>
  <c r="AB265" i="45"/>
  <c r="I260" i="53"/>
  <c r="Q260" i="53" s="1"/>
  <c r="AB182" i="45"/>
  <c r="I177" i="53"/>
  <c r="Q177" i="53" s="1"/>
  <c r="AB246" i="45"/>
  <c r="I241" i="53"/>
  <c r="Q241" i="53" s="1"/>
  <c r="AB177" i="45"/>
  <c r="I172" i="53"/>
  <c r="Q172" i="53" s="1"/>
  <c r="AB131" i="45"/>
  <c r="I126" i="53"/>
  <c r="Q126" i="53" s="1"/>
  <c r="AB99" i="45"/>
  <c r="I94" i="53"/>
  <c r="Q94" i="53" s="1"/>
  <c r="AB46" i="45"/>
  <c r="I41" i="53"/>
  <c r="Q41" i="53" s="1"/>
  <c r="AB179" i="45"/>
  <c r="I174" i="53"/>
  <c r="Q174" i="53" s="1"/>
  <c r="AB18" i="45"/>
  <c r="I13" i="53"/>
  <c r="Q13" i="53" s="1"/>
  <c r="AB159" i="45"/>
  <c r="I154" i="53"/>
  <c r="Q154" i="53" s="1"/>
  <c r="AB262" i="45"/>
  <c r="I257" i="53"/>
  <c r="Q257" i="53" s="1"/>
  <c r="AB238" i="45"/>
  <c r="I233" i="53"/>
  <c r="Q233" i="53" s="1"/>
  <c r="AB126" i="45"/>
  <c r="I121" i="53"/>
  <c r="Q121" i="53" s="1"/>
  <c r="AB68" i="45"/>
  <c r="I63" i="53"/>
  <c r="Q63" i="53" s="1"/>
  <c r="AB181" i="45"/>
  <c r="I176" i="53"/>
  <c r="Q176" i="53" s="1"/>
  <c r="AB331" i="45"/>
  <c r="I326" i="53"/>
  <c r="Q326" i="53" s="1"/>
  <c r="AB157" i="45"/>
  <c r="I152" i="53"/>
  <c r="Q152" i="53" s="1"/>
  <c r="AB133" i="45"/>
  <c r="I128" i="53"/>
  <c r="Q128" i="53" s="1"/>
  <c r="AB132" i="45"/>
  <c r="I127" i="53"/>
  <c r="Q127" i="53" s="1"/>
  <c r="AB89" i="45"/>
  <c r="I84" i="53"/>
  <c r="Q84" i="53" s="1"/>
  <c r="AB347" i="45"/>
  <c r="I342" i="53"/>
  <c r="Q342" i="53" s="1"/>
  <c r="AB330" i="45"/>
  <c r="I325" i="53"/>
  <c r="Q325" i="53" s="1"/>
  <c r="AB240" i="45"/>
  <c r="I235" i="53"/>
  <c r="Q235" i="53" s="1"/>
  <c r="AB112" i="45"/>
  <c r="I107" i="53"/>
  <c r="Q107" i="53" s="1"/>
  <c r="AB30" i="45"/>
  <c r="I25" i="53"/>
  <c r="Q25" i="53" s="1"/>
  <c r="AB91" i="45"/>
  <c r="I86" i="53"/>
  <c r="Q86" i="53" s="1"/>
  <c r="AB72" i="45"/>
  <c r="I67" i="53"/>
  <c r="Q67" i="53" s="1"/>
  <c r="AB190" i="45"/>
  <c r="I185" i="53"/>
  <c r="Q185" i="53" s="1"/>
  <c r="AB102" i="45"/>
  <c r="I97" i="53"/>
  <c r="Q97" i="53" s="1"/>
  <c r="AB305" i="45"/>
  <c r="I300" i="53"/>
  <c r="Q300" i="53" s="1"/>
  <c r="AB267" i="45"/>
  <c r="I262" i="53"/>
  <c r="Q262" i="53" s="1"/>
  <c r="AB211" i="45"/>
  <c r="I206" i="53"/>
  <c r="Q206" i="53" s="1"/>
  <c r="AB189" i="45"/>
  <c r="I184" i="53"/>
  <c r="Q184" i="53" s="1"/>
  <c r="AB192" i="45"/>
  <c r="I187" i="53"/>
  <c r="Q187" i="53" s="1"/>
  <c r="AB139" i="45"/>
  <c r="I134" i="53"/>
  <c r="Q134" i="53" s="1"/>
  <c r="AB290" i="45"/>
  <c r="I285" i="53"/>
  <c r="Q285" i="53" s="1"/>
  <c r="AB128" i="45"/>
  <c r="I123" i="53"/>
  <c r="Q123" i="53" s="1"/>
  <c r="AB150" i="45"/>
  <c r="I145" i="53"/>
  <c r="Q145" i="53" s="1"/>
  <c r="AB341" i="45"/>
  <c r="I336" i="53"/>
  <c r="Q336" i="53" s="1"/>
  <c r="AB194" i="45"/>
  <c r="I189" i="53"/>
  <c r="Q189" i="53" s="1"/>
  <c r="AB22" i="45"/>
  <c r="I17" i="53"/>
  <c r="Q17" i="53" s="1"/>
  <c r="AB144" i="45"/>
  <c r="I139" i="53"/>
  <c r="Q139" i="53" s="1"/>
  <c r="AB320" i="45"/>
  <c r="I315" i="53"/>
  <c r="Q315" i="53" s="1"/>
  <c r="AB223" i="45"/>
  <c r="I218" i="53"/>
  <c r="Q218" i="53" s="1"/>
  <c r="AB292" i="45"/>
  <c r="I287" i="53"/>
  <c r="Q287" i="53" s="1"/>
  <c r="AB317" i="45"/>
  <c r="I312" i="53"/>
  <c r="Q312" i="53" s="1"/>
  <c r="AB94" i="45"/>
  <c r="I89" i="53"/>
  <c r="Q89" i="53" s="1"/>
  <c r="AB118" i="45"/>
  <c r="I113" i="53"/>
  <c r="Q113" i="53" s="1"/>
  <c r="AB254" i="45"/>
  <c r="I249" i="53"/>
  <c r="Q249" i="53" s="1"/>
  <c r="AB174" i="45"/>
  <c r="I169" i="53"/>
  <c r="Q169" i="53" s="1"/>
  <c r="AB344" i="45"/>
  <c r="I339" i="53"/>
  <c r="Q339" i="53" s="1"/>
  <c r="AB293" i="45"/>
  <c r="I288" i="53"/>
  <c r="Q288" i="53" s="1"/>
  <c r="AB253" i="45"/>
  <c r="I248" i="53"/>
  <c r="Q248" i="53" s="1"/>
  <c r="AB129" i="45"/>
  <c r="I124" i="53"/>
  <c r="Q124" i="53" s="1"/>
  <c r="AB259" i="45"/>
  <c r="I254" i="53"/>
  <c r="Q254" i="53" s="1"/>
  <c r="AB32" i="45"/>
  <c r="I27" i="53"/>
  <c r="Q27" i="53" s="1"/>
  <c r="AB36" i="45"/>
  <c r="I31" i="53"/>
  <c r="Q31" i="53" s="1"/>
  <c r="AB167" i="45"/>
  <c r="I162" i="53"/>
  <c r="Q162" i="53" s="1"/>
  <c r="AB79" i="45"/>
  <c r="I74" i="53"/>
  <c r="Q74" i="53" s="1"/>
  <c r="AB299" i="45"/>
  <c r="I294" i="53"/>
  <c r="Q294" i="53" s="1"/>
  <c r="AB155" i="45"/>
  <c r="I150" i="53"/>
  <c r="Q150" i="53" s="1"/>
  <c r="AB232" i="45"/>
  <c r="I227" i="53"/>
  <c r="Q227" i="53" s="1"/>
  <c r="AB127" i="45"/>
  <c r="I122" i="53"/>
  <c r="Q122" i="53" s="1"/>
  <c r="AB275" i="45"/>
  <c r="I270" i="53"/>
  <c r="Q270" i="53" s="1"/>
  <c r="AB337" i="45"/>
  <c r="I332" i="53"/>
  <c r="Q332" i="53" s="1"/>
  <c r="AB69" i="45"/>
  <c r="I64" i="53"/>
  <c r="Q64" i="53" s="1"/>
  <c r="AB280" i="45"/>
  <c r="I275" i="53"/>
  <c r="Q275" i="53" s="1"/>
  <c r="AB239" i="45"/>
  <c r="I234" i="53"/>
  <c r="Q234" i="53" s="1"/>
  <c r="AB263" i="45"/>
  <c r="I258" i="53"/>
  <c r="Q258" i="53" s="1"/>
  <c r="AB197" i="45"/>
  <c r="I192" i="53"/>
  <c r="Q192" i="53" s="1"/>
  <c r="AB101" i="45"/>
  <c r="I96" i="53"/>
  <c r="Q96" i="53" s="1"/>
  <c r="AB307" i="45"/>
  <c r="I302" i="53"/>
  <c r="Q302" i="53" s="1"/>
  <c r="AB82" i="45"/>
  <c r="I77" i="53"/>
  <c r="Q77" i="53" s="1"/>
  <c r="AB242" i="45"/>
  <c r="I237" i="53"/>
  <c r="Q237" i="53" s="1"/>
  <c r="AB336" i="45"/>
  <c r="I331" i="53"/>
  <c r="Q331" i="53" s="1"/>
  <c r="AB297" i="45"/>
  <c r="I292" i="53"/>
  <c r="Q292" i="53" s="1"/>
  <c r="AB260" i="45"/>
  <c r="I255" i="53"/>
  <c r="Q255" i="53" s="1"/>
  <c r="AB285" i="45"/>
  <c r="I280" i="53"/>
  <c r="Q280" i="53" s="1"/>
  <c r="AB279" i="45"/>
  <c r="I274" i="53"/>
  <c r="Q274" i="53" s="1"/>
  <c r="AB49" i="45"/>
  <c r="I44" i="53"/>
  <c r="Q44" i="53" s="1"/>
  <c r="AB230" i="45"/>
  <c r="I225" i="53"/>
  <c r="Q225" i="53" s="1"/>
  <c r="AB44" i="45"/>
  <c r="I39" i="53"/>
  <c r="Q39" i="53" s="1"/>
  <c r="AB334" i="45"/>
  <c r="I329" i="53"/>
  <c r="Q329" i="53" s="1"/>
  <c r="AB40" i="45"/>
  <c r="I35" i="53"/>
  <c r="Q35" i="53" s="1"/>
  <c r="AB251" i="45"/>
  <c r="I246" i="53"/>
  <c r="Q246" i="53" s="1"/>
  <c r="AB195" i="45"/>
  <c r="I190" i="53"/>
  <c r="Q190" i="53" s="1"/>
  <c r="AB231" i="45"/>
  <c r="I226" i="53"/>
  <c r="Q226" i="53" s="1"/>
  <c r="AB302" i="45"/>
  <c r="I297" i="53"/>
  <c r="Q297" i="53" s="1"/>
  <c r="AB39" i="45"/>
  <c r="I34" i="53"/>
  <c r="Q34" i="53" s="1"/>
  <c r="AB234" i="45"/>
  <c r="I229" i="53"/>
  <c r="Q229" i="53" s="1"/>
  <c r="AB85" i="45"/>
  <c r="I80" i="53"/>
  <c r="Q80" i="53" s="1"/>
  <c r="AB200" i="45"/>
  <c r="I195" i="53"/>
  <c r="Q195" i="53" s="1"/>
  <c r="AB291" i="45"/>
  <c r="I286" i="53"/>
  <c r="Q286" i="53" s="1"/>
  <c r="AB310" i="45"/>
  <c r="I305" i="53"/>
  <c r="Q305" i="53" s="1"/>
  <c r="AB42" i="45"/>
  <c r="I37" i="53"/>
  <c r="Q37" i="53" s="1"/>
  <c r="AB325" i="45"/>
  <c r="I320" i="53"/>
  <c r="Q320" i="53" s="1"/>
  <c r="AB88" i="45"/>
  <c r="I83" i="53"/>
  <c r="Q83" i="53" s="1"/>
  <c r="AB227" i="45"/>
  <c r="I222" i="53"/>
  <c r="Q222" i="53" s="1"/>
  <c r="AB65" i="45"/>
  <c r="I60" i="53"/>
  <c r="Q60" i="53" s="1"/>
  <c r="AB218" i="45"/>
  <c r="I213" i="53"/>
  <c r="Q213" i="53" s="1"/>
  <c r="AB166" i="45"/>
  <c r="I161" i="53"/>
  <c r="Q161" i="53" s="1"/>
  <c r="AB229" i="45"/>
  <c r="I224" i="53"/>
  <c r="Q224" i="53" s="1"/>
  <c r="AB98" i="45"/>
  <c r="I93" i="53"/>
  <c r="Q93" i="53" s="1"/>
  <c r="AB321" i="45"/>
  <c r="I316" i="53"/>
  <c r="Q316" i="53" s="1"/>
  <c r="AB141" i="45"/>
  <c r="I136" i="53"/>
  <c r="Q136" i="53" s="1"/>
  <c r="AB115" i="45"/>
  <c r="I110" i="53"/>
  <c r="Q110" i="53" s="1"/>
  <c r="AB284" i="45"/>
  <c r="I279" i="53"/>
  <c r="Q279" i="53" s="1"/>
  <c r="AB64" i="45"/>
  <c r="I59" i="53"/>
  <c r="Q59" i="53" s="1"/>
  <c r="AB124" i="45"/>
  <c r="I119" i="53"/>
  <c r="Q119" i="53" s="1"/>
  <c r="AB257" i="45"/>
  <c r="I252" i="53"/>
  <c r="Q252" i="53" s="1"/>
  <c r="AB236" i="45"/>
  <c r="I231" i="53"/>
  <c r="Q231" i="53" s="1"/>
  <c r="AB286" i="45"/>
  <c r="I281" i="53"/>
  <c r="Q281" i="53" s="1"/>
  <c r="AB338" i="45"/>
  <c r="I333" i="53"/>
  <c r="Q333" i="53" s="1"/>
  <c r="AB97" i="45"/>
  <c r="I92" i="53"/>
  <c r="Q92" i="53" s="1"/>
  <c r="AB67" i="45"/>
  <c r="I62" i="53"/>
  <c r="Q62" i="53" s="1"/>
  <c r="AB173" i="45"/>
  <c r="I168" i="53"/>
  <c r="Q168" i="53" s="1"/>
  <c r="AB70" i="45"/>
  <c r="I65" i="53"/>
  <c r="Q65" i="53" s="1"/>
  <c r="AB323" i="45"/>
  <c r="I318" i="53"/>
  <c r="Q318" i="53" s="1"/>
  <c r="AB277" i="45"/>
  <c r="I272" i="53"/>
  <c r="Q272" i="53" s="1"/>
  <c r="AB350" i="45"/>
  <c r="I345" i="53"/>
  <c r="Q345" i="53" s="1"/>
  <c r="AB203" i="45"/>
  <c r="I198" i="53"/>
  <c r="Q198" i="53" s="1"/>
  <c r="AB204" i="45"/>
  <c r="I199" i="53"/>
  <c r="Q199" i="53" s="1"/>
  <c r="Z10" i="45"/>
  <c r="AA10" i="45" s="1"/>
  <c r="AJ354" i="31"/>
  <c r="AJ3" i="31"/>
  <c r="AJ4" i="31"/>
  <c r="G41" i="29"/>
  <c r="G5" i="29"/>
  <c r="G47" i="29"/>
  <c r="G11" i="29"/>
  <c r="T246" i="46"/>
  <c r="U246" i="46" s="1"/>
  <c r="X246" i="46" s="1"/>
  <c r="T195" i="46"/>
  <c r="U195" i="46" s="1"/>
  <c r="X195" i="46" s="1"/>
  <c r="T310" i="46"/>
  <c r="U310" i="46" s="1"/>
  <c r="X310" i="46" s="1"/>
  <c r="T75" i="46"/>
  <c r="U75" i="46" s="1"/>
  <c r="X75" i="46" s="1"/>
  <c r="T250" i="46"/>
  <c r="U250" i="46" s="1"/>
  <c r="X250" i="46" s="1"/>
  <c r="T324" i="46"/>
  <c r="U324" i="46" s="1"/>
  <c r="X324" i="46" s="1"/>
  <c r="T98" i="46"/>
  <c r="U98" i="46" s="1"/>
  <c r="X98" i="46" s="1"/>
  <c r="T335" i="46"/>
  <c r="U335" i="46" s="1"/>
  <c r="X335" i="46" s="1"/>
  <c r="T52" i="46"/>
  <c r="U52" i="46" s="1"/>
  <c r="X52" i="46" s="1"/>
  <c r="T265" i="46"/>
  <c r="U265" i="46" s="1"/>
  <c r="X265" i="46" s="1"/>
  <c r="T316" i="46"/>
  <c r="U316" i="46" s="1"/>
  <c r="X316" i="46" s="1"/>
  <c r="T266" i="46"/>
  <c r="U266" i="46" s="1"/>
  <c r="X266" i="46" s="1"/>
  <c r="T311" i="46"/>
  <c r="U311" i="46" s="1"/>
  <c r="X311" i="46" s="1"/>
  <c r="T330" i="46"/>
  <c r="U330" i="46" s="1"/>
  <c r="X330" i="46" s="1"/>
  <c r="T334" i="46"/>
  <c r="U334" i="46" s="1"/>
  <c r="X334" i="46" s="1"/>
  <c r="T151" i="46"/>
  <c r="U151" i="46" s="1"/>
  <c r="X151" i="46" s="1"/>
  <c r="T211" i="46"/>
  <c r="U211" i="46" s="1"/>
  <c r="X211" i="46" s="1"/>
  <c r="T135" i="46"/>
  <c r="U135" i="46" s="1"/>
  <c r="X135" i="46" s="1"/>
  <c r="T42" i="46"/>
  <c r="U42" i="46" s="1"/>
  <c r="X42" i="46" s="1"/>
  <c r="T95" i="46"/>
  <c r="U95" i="46" s="1"/>
  <c r="X95" i="46" s="1"/>
  <c r="T187" i="46"/>
  <c r="U187" i="46" s="1"/>
  <c r="X187" i="46" s="1"/>
  <c r="T191" i="46"/>
  <c r="U191" i="46" s="1"/>
  <c r="X191" i="46" s="1"/>
  <c r="T25" i="46"/>
  <c r="U25" i="46" s="1"/>
  <c r="X25" i="46" s="1"/>
  <c r="T127" i="46"/>
  <c r="U127" i="46" s="1"/>
  <c r="X127" i="46" s="1"/>
  <c r="T41" i="46"/>
  <c r="U41" i="46" s="1"/>
  <c r="X41" i="46" s="1"/>
  <c r="T350" i="46"/>
  <c r="U350" i="46" s="1"/>
  <c r="X350" i="46" s="1"/>
  <c r="T61" i="46"/>
  <c r="U61" i="46" s="1"/>
  <c r="X61" i="46" s="1"/>
  <c r="T290" i="46"/>
  <c r="U290" i="46" s="1"/>
  <c r="X290" i="46" s="1"/>
  <c r="T48" i="46"/>
  <c r="U48" i="46" s="1"/>
  <c r="X48" i="46" s="1"/>
  <c r="T337" i="46"/>
  <c r="U337" i="46" s="1"/>
  <c r="X337" i="46" s="1"/>
  <c r="T46" i="46"/>
  <c r="U46" i="46" s="1"/>
  <c r="X46" i="46" s="1"/>
  <c r="T346" i="46"/>
  <c r="U346" i="46" s="1"/>
  <c r="X346" i="46" s="1"/>
  <c r="T104" i="46"/>
  <c r="U104" i="46" s="1"/>
  <c r="X104" i="46" s="1"/>
  <c r="T244" i="46"/>
  <c r="U244" i="46" s="1"/>
  <c r="X244" i="46" s="1"/>
  <c r="T198" i="46"/>
  <c r="U198" i="46" s="1"/>
  <c r="X198" i="46" s="1"/>
  <c r="T142" i="46"/>
  <c r="U142" i="46" s="1"/>
  <c r="X142" i="46" s="1"/>
  <c r="T12" i="46"/>
  <c r="U12" i="46" s="1"/>
  <c r="X12" i="46" s="1"/>
  <c r="T11" i="46"/>
  <c r="U11" i="46" s="1"/>
  <c r="X11" i="46" s="1"/>
  <c r="T112" i="46"/>
  <c r="U112" i="46" s="1"/>
  <c r="X112" i="46" s="1"/>
  <c r="T140" i="46"/>
  <c r="U140" i="46" s="1"/>
  <c r="X140" i="46" s="1"/>
  <c r="T259" i="46"/>
  <c r="U259" i="46" s="1"/>
  <c r="X259" i="46" s="1"/>
  <c r="T111" i="46"/>
  <c r="U111" i="46" s="1"/>
  <c r="X111" i="46" s="1"/>
  <c r="T205" i="46"/>
  <c r="U205" i="46" s="1"/>
  <c r="X205" i="46" s="1"/>
  <c r="T89" i="46"/>
  <c r="U89" i="46" s="1"/>
  <c r="X89" i="46" s="1"/>
  <c r="T233" i="46"/>
  <c r="U233" i="46" s="1"/>
  <c r="X233" i="46" s="1"/>
  <c r="T162" i="46"/>
  <c r="U162" i="46" s="1"/>
  <c r="X162" i="46" s="1"/>
  <c r="T284" i="46"/>
  <c r="U284" i="46" s="1"/>
  <c r="X284" i="46" s="1"/>
  <c r="T230" i="46"/>
  <c r="U230" i="46" s="1"/>
  <c r="X230" i="46" s="1"/>
  <c r="T231" i="46"/>
  <c r="U231" i="46" s="1"/>
  <c r="X231" i="46" s="1"/>
  <c r="T243" i="46"/>
  <c r="U243" i="46" s="1"/>
  <c r="X243" i="46" s="1"/>
  <c r="T291" i="46"/>
  <c r="U291" i="46" s="1"/>
  <c r="X291" i="46" s="1"/>
  <c r="T65" i="46"/>
  <c r="U65" i="46" s="1"/>
  <c r="X65" i="46" s="1"/>
  <c r="T304" i="46"/>
  <c r="U304" i="46" s="1"/>
  <c r="X304" i="46" s="1"/>
  <c r="T276" i="46"/>
  <c r="U276" i="46" s="1"/>
  <c r="X276" i="46" s="1"/>
  <c r="T241" i="46"/>
  <c r="U241" i="46" s="1"/>
  <c r="X241" i="46" s="1"/>
  <c r="T207" i="46"/>
  <c r="U207" i="46" s="1"/>
  <c r="X207" i="46" s="1"/>
  <c r="T193" i="46"/>
  <c r="U193" i="46" s="1"/>
  <c r="X193" i="46" s="1"/>
  <c r="T147" i="46"/>
  <c r="U147" i="46" s="1"/>
  <c r="X147" i="46" s="1"/>
  <c r="T174" i="46"/>
  <c r="U174" i="46" s="1"/>
  <c r="X174" i="46" s="1"/>
  <c r="T20" i="46"/>
  <c r="U20" i="46" s="1"/>
  <c r="X20" i="46" s="1"/>
  <c r="T102" i="46"/>
  <c r="U102" i="46" s="1"/>
  <c r="X102" i="46" s="1"/>
  <c r="T39" i="46"/>
  <c r="U39" i="46" s="1"/>
  <c r="X39" i="46" s="1"/>
  <c r="T225" i="46"/>
  <c r="U225" i="46" s="1"/>
  <c r="X225" i="46" s="1"/>
  <c r="T283" i="46"/>
  <c r="U283" i="46" s="1"/>
  <c r="X283" i="46" s="1"/>
  <c r="T214" i="46"/>
  <c r="U214" i="46" s="1"/>
  <c r="X214" i="46" s="1"/>
  <c r="T32" i="46"/>
  <c r="U32" i="46" s="1"/>
  <c r="X32" i="46" s="1"/>
  <c r="T128" i="46"/>
  <c r="U128" i="46" s="1"/>
  <c r="X128" i="46" s="1"/>
  <c r="T33" i="46"/>
  <c r="U33" i="46" s="1"/>
  <c r="X33" i="46" s="1"/>
  <c r="T188" i="46"/>
  <c r="U188" i="46" s="1"/>
  <c r="X188" i="46" s="1"/>
  <c r="T124" i="46"/>
  <c r="U124" i="46" s="1"/>
  <c r="X124" i="46" s="1"/>
  <c r="T263" i="46"/>
  <c r="U263" i="46" s="1"/>
  <c r="X263" i="46" s="1"/>
  <c r="T166" i="46"/>
  <c r="U166" i="46" s="1"/>
  <c r="X166" i="46" s="1"/>
  <c r="T352" i="46"/>
  <c r="U352" i="46" s="1"/>
  <c r="X352" i="46" s="1"/>
  <c r="T245" i="46"/>
  <c r="U245" i="46" s="1"/>
  <c r="X245" i="46" s="1"/>
  <c r="T277" i="46"/>
  <c r="U277" i="46" s="1"/>
  <c r="X277" i="46" s="1"/>
  <c r="T252" i="46"/>
  <c r="U252" i="46" s="1"/>
  <c r="X252" i="46" s="1"/>
  <c r="T223" i="46"/>
  <c r="U223" i="46" s="1"/>
  <c r="X223" i="46" s="1"/>
  <c r="T119" i="46"/>
  <c r="U119" i="46" s="1"/>
  <c r="X119" i="46" s="1"/>
  <c r="T196" i="46"/>
  <c r="U196" i="46" s="1"/>
  <c r="X196" i="46" s="1"/>
  <c r="T53" i="46"/>
  <c r="U53" i="46" s="1"/>
  <c r="X53" i="46" s="1"/>
  <c r="T194" i="46"/>
  <c r="U194" i="46" s="1"/>
  <c r="X194" i="46" s="1"/>
  <c r="T139" i="46"/>
  <c r="U139" i="46" s="1"/>
  <c r="X139" i="46" s="1"/>
  <c r="T295" i="46"/>
  <c r="U295" i="46" s="1"/>
  <c r="X295" i="46" s="1"/>
  <c r="T296" i="46"/>
  <c r="U296" i="46" s="1"/>
  <c r="X296" i="46" s="1"/>
  <c r="T105" i="46"/>
  <c r="U105" i="46" s="1"/>
  <c r="X105" i="46" s="1"/>
  <c r="T93" i="46"/>
  <c r="U93" i="46" s="1"/>
  <c r="X93" i="46" s="1"/>
  <c r="T326" i="46"/>
  <c r="U326" i="46" s="1"/>
  <c r="X326" i="46" s="1"/>
  <c r="T249" i="46"/>
  <c r="U249" i="46" s="1"/>
  <c r="X249" i="46" s="1"/>
  <c r="T308" i="46"/>
  <c r="U308" i="46" s="1"/>
  <c r="X308" i="46" s="1"/>
  <c r="T115" i="46"/>
  <c r="U115" i="46" s="1"/>
  <c r="X115" i="46" s="1"/>
  <c r="T165" i="46"/>
  <c r="U165" i="46" s="1"/>
  <c r="X165" i="46" s="1"/>
  <c r="T63" i="46"/>
  <c r="U63" i="46" s="1"/>
  <c r="X63" i="46" s="1"/>
  <c r="T19" i="46"/>
  <c r="U19" i="46" s="1"/>
  <c r="X19" i="46" s="1"/>
  <c r="T85" i="46"/>
  <c r="U85" i="46" s="1"/>
  <c r="X85" i="46" s="1"/>
  <c r="T269" i="46"/>
  <c r="U269" i="46" s="1"/>
  <c r="X269" i="46" s="1"/>
  <c r="T213" i="46"/>
  <c r="U213" i="46" s="1"/>
  <c r="X213" i="46" s="1"/>
  <c r="T273" i="46"/>
  <c r="U273" i="46" s="1"/>
  <c r="X273" i="46" s="1"/>
  <c r="T288" i="46"/>
  <c r="U288" i="46" s="1"/>
  <c r="X288" i="46" s="1"/>
  <c r="T35" i="46"/>
  <c r="U35" i="46" s="1"/>
  <c r="X35" i="46" s="1"/>
  <c r="T204" i="46"/>
  <c r="U204" i="46" s="1"/>
  <c r="X204" i="46" s="1"/>
  <c r="T348" i="46"/>
  <c r="U348" i="46" s="1"/>
  <c r="X348" i="46" s="1"/>
  <c r="T9" i="46"/>
  <c r="U9" i="46" s="1"/>
  <c r="X9" i="46" s="1"/>
  <c r="T235" i="46"/>
  <c r="U235" i="46" s="1"/>
  <c r="X235" i="46" s="1"/>
  <c r="T275" i="46"/>
  <c r="U275" i="46" s="1"/>
  <c r="X275" i="46" s="1"/>
  <c r="T47" i="46"/>
  <c r="U47" i="46" s="1"/>
  <c r="X47" i="46" s="1"/>
  <c r="T342" i="46"/>
  <c r="U342" i="46" s="1"/>
  <c r="X342" i="46" s="1"/>
  <c r="T183" i="46"/>
  <c r="U183" i="46" s="1"/>
  <c r="X183" i="46" s="1"/>
  <c r="T138" i="46"/>
  <c r="U138" i="46" s="1"/>
  <c r="X138" i="46" s="1"/>
  <c r="T318" i="46"/>
  <c r="U318" i="46" s="1"/>
  <c r="X318" i="46" s="1"/>
  <c r="T10" i="46"/>
  <c r="U10" i="46" s="1"/>
  <c r="X10" i="46" s="1"/>
  <c r="T106" i="46"/>
  <c r="U106" i="46" s="1"/>
  <c r="X106" i="46" s="1"/>
  <c r="T345" i="46"/>
  <c r="U345" i="46" s="1"/>
  <c r="X345" i="46" s="1"/>
  <c r="T253" i="46"/>
  <c r="U253" i="46" s="1"/>
  <c r="X253" i="46" s="1"/>
  <c r="T199" i="46"/>
  <c r="U199" i="46" s="1"/>
  <c r="X199" i="46" s="1"/>
  <c r="T306" i="46"/>
  <c r="U306" i="46" s="1"/>
  <c r="X306" i="46" s="1"/>
  <c r="T221" i="46"/>
  <c r="U221" i="46" s="1"/>
  <c r="X221" i="46" s="1"/>
  <c r="T82" i="46"/>
  <c r="U82" i="46" s="1"/>
  <c r="X82" i="46" s="1"/>
  <c r="T256" i="46"/>
  <c r="U256" i="46" s="1"/>
  <c r="X256" i="46" s="1"/>
  <c r="T113" i="46"/>
  <c r="U113" i="46" s="1"/>
  <c r="X113" i="46" s="1"/>
  <c r="T255" i="46"/>
  <c r="U255" i="46" s="1"/>
  <c r="X255" i="46" s="1"/>
  <c r="T322" i="46"/>
  <c r="U322" i="46" s="1"/>
  <c r="X322" i="46" s="1"/>
  <c r="T321" i="46"/>
  <c r="U321" i="46" s="1"/>
  <c r="X321" i="46" s="1"/>
  <c r="T347" i="46"/>
  <c r="U347" i="46" s="1"/>
  <c r="X347" i="46" s="1"/>
  <c r="T217" i="46"/>
  <c r="U217" i="46" s="1"/>
  <c r="X217" i="46" s="1"/>
  <c r="T264" i="46"/>
  <c r="U264" i="46" s="1"/>
  <c r="X264" i="46" s="1"/>
  <c r="T257" i="46"/>
  <c r="U257" i="46" s="1"/>
  <c r="X257" i="46" s="1"/>
  <c r="T134" i="46"/>
  <c r="U134" i="46" s="1"/>
  <c r="X134" i="46" s="1"/>
  <c r="T114" i="46"/>
  <c r="U114" i="46" s="1"/>
  <c r="X114" i="46" s="1"/>
  <c r="T313" i="46"/>
  <c r="U313" i="46" s="1"/>
  <c r="X313" i="46" s="1"/>
  <c r="T336" i="46"/>
  <c r="U336" i="46" s="1"/>
  <c r="X336" i="46" s="1"/>
  <c r="T285" i="46"/>
  <c r="U285" i="46" s="1"/>
  <c r="X285" i="46" s="1"/>
  <c r="T280" i="46"/>
  <c r="U280" i="46" s="1"/>
  <c r="X280" i="46" s="1"/>
  <c r="T37" i="46"/>
  <c r="U37" i="46" s="1"/>
  <c r="X37" i="46" s="1"/>
  <c r="T126" i="46"/>
  <c r="U126" i="46" s="1"/>
  <c r="X126" i="46" s="1"/>
  <c r="T15" i="46"/>
  <c r="U15" i="46" s="1"/>
  <c r="X15" i="46" s="1"/>
  <c r="T267" i="46"/>
  <c r="U267" i="46" s="1"/>
  <c r="X267" i="46" s="1"/>
  <c r="T312" i="46"/>
  <c r="U312" i="46" s="1"/>
  <c r="X312" i="46" s="1"/>
  <c r="T234" i="46"/>
  <c r="U234" i="46" s="1"/>
  <c r="X234" i="46" s="1"/>
  <c r="T227" i="46"/>
  <c r="U227" i="46" s="1"/>
  <c r="X227" i="46" s="1"/>
  <c r="T96" i="46"/>
  <c r="U96" i="46" s="1"/>
  <c r="X96" i="46" s="1"/>
  <c r="T125" i="46"/>
  <c r="U125" i="46" s="1"/>
  <c r="X125" i="46" s="1"/>
  <c r="T101" i="46"/>
  <c r="U101" i="46" s="1"/>
  <c r="X101" i="46" s="1"/>
  <c r="T70" i="46"/>
  <c r="U70" i="46" s="1"/>
  <c r="X70" i="46" s="1"/>
  <c r="T319" i="46"/>
  <c r="U319" i="46" s="1"/>
  <c r="X319" i="46" s="1"/>
  <c r="T317" i="46"/>
  <c r="U317" i="46" s="1"/>
  <c r="X317" i="46" s="1"/>
  <c r="T281" i="46"/>
  <c r="U281" i="46" s="1"/>
  <c r="X281" i="46" s="1"/>
  <c r="T222" i="46"/>
  <c r="U222" i="46" s="1"/>
  <c r="X222" i="46" s="1"/>
  <c r="T186" i="46"/>
  <c r="U186" i="46" s="1"/>
  <c r="X186" i="46" s="1"/>
  <c r="T202" i="46"/>
  <c r="U202" i="46" s="1"/>
  <c r="X202" i="46" s="1"/>
  <c r="T203" i="46"/>
  <c r="U203" i="46" s="1"/>
  <c r="X203" i="46" s="1"/>
  <c r="T150" i="46"/>
  <c r="U150" i="46" s="1"/>
  <c r="X150" i="46" s="1"/>
  <c r="T333" i="46"/>
  <c r="U333" i="46" s="1"/>
  <c r="X333" i="46" s="1"/>
  <c r="T302" i="46"/>
  <c r="U302" i="46" s="1"/>
  <c r="X302" i="46" s="1"/>
  <c r="T43" i="46"/>
  <c r="U43" i="46" s="1"/>
  <c r="X43" i="46" s="1"/>
  <c r="T212" i="46"/>
  <c r="U212" i="46" s="1"/>
  <c r="X212" i="46" s="1"/>
  <c r="T145" i="46"/>
  <c r="U145" i="46" s="1"/>
  <c r="X145" i="46" s="1"/>
  <c r="T30" i="46"/>
  <c r="U30" i="46" s="1"/>
  <c r="X30" i="46" s="1"/>
  <c r="T31" i="46"/>
  <c r="U31" i="46" s="1"/>
  <c r="X31" i="46" s="1"/>
  <c r="T351" i="46"/>
  <c r="U351" i="46" s="1"/>
  <c r="X351" i="46" s="1"/>
  <c r="T158" i="46"/>
  <c r="U158" i="46" s="1"/>
  <c r="X158" i="46" s="1"/>
  <c r="T21" i="46"/>
  <c r="U21" i="46" s="1"/>
  <c r="X21" i="46" s="1"/>
  <c r="T13" i="46"/>
  <c r="U13" i="46" s="1"/>
  <c r="X13" i="46" s="1"/>
  <c r="T300" i="46"/>
  <c r="U300" i="46" s="1"/>
  <c r="X300" i="46" s="1"/>
  <c r="T206" i="46"/>
  <c r="U206" i="46" s="1"/>
  <c r="X206" i="46" s="1"/>
  <c r="T220" i="46"/>
  <c r="U220" i="46" s="1"/>
  <c r="X220" i="46" s="1"/>
  <c r="T91" i="46"/>
  <c r="U91" i="46" s="1"/>
  <c r="X91" i="46" s="1"/>
  <c r="T314" i="46"/>
  <c r="U314" i="46" s="1"/>
  <c r="X314" i="46" s="1"/>
  <c r="T171" i="46"/>
  <c r="U171" i="46" s="1"/>
  <c r="X171" i="46" s="1"/>
  <c r="T146" i="46"/>
  <c r="U146" i="46" s="1"/>
  <c r="X146" i="46" s="1"/>
  <c r="T129" i="46"/>
  <c r="U129" i="46" s="1"/>
  <c r="X129" i="46" s="1"/>
  <c r="T192" i="46"/>
  <c r="U192" i="46" s="1"/>
  <c r="X192" i="46" s="1"/>
  <c r="T327" i="46"/>
  <c r="U327" i="46" s="1"/>
  <c r="X327" i="46" s="1"/>
  <c r="T210" i="46"/>
  <c r="U210" i="46" s="1"/>
  <c r="X210" i="46" s="1"/>
  <c r="T148" i="46"/>
  <c r="U148" i="46" s="1"/>
  <c r="X148" i="46" s="1"/>
  <c r="T237" i="46"/>
  <c r="U237" i="46" s="1"/>
  <c r="X237" i="46" s="1"/>
  <c r="T172" i="46"/>
  <c r="U172" i="46" s="1"/>
  <c r="X172" i="46" s="1"/>
  <c r="T27" i="46"/>
  <c r="U27" i="46" s="1"/>
  <c r="X27" i="46" s="1"/>
  <c r="T173" i="46"/>
  <c r="U173" i="46" s="1"/>
  <c r="X173" i="46" s="1"/>
  <c r="T292" i="46"/>
  <c r="U292" i="46" s="1"/>
  <c r="X292" i="46" s="1"/>
  <c r="T272" i="46"/>
  <c r="U272" i="46" s="1"/>
  <c r="X272" i="46" s="1"/>
  <c r="T309" i="46"/>
  <c r="U309" i="46" s="1"/>
  <c r="X309" i="46" s="1"/>
  <c r="T189" i="46"/>
  <c r="U189" i="46" s="1"/>
  <c r="X189" i="46" s="1"/>
  <c r="T190" i="46"/>
  <c r="U190" i="46" s="1"/>
  <c r="X190" i="46" s="1"/>
  <c r="T219" i="46"/>
  <c r="U219" i="46" s="1"/>
  <c r="X219" i="46" s="1"/>
  <c r="T68" i="46"/>
  <c r="U68" i="46" s="1"/>
  <c r="X68" i="46" s="1"/>
  <c r="T133" i="46"/>
  <c r="U133" i="46" s="1"/>
  <c r="X133" i="46" s="1"/>
  <c r="T289" i="46"/>
  <c r="U289" i="46" s="1"/>
  <c r="X289" i="46" s="1"/>
  <c r="T36" i="46"/>
  <c r="U36" i="46" s="1"/>
  <c r="X36" i="46" s="1"/>
  <c r="T294" i="46"/>
  <c r="U294" i="46" s="1"/>
  <c r="X294" i="46" s="1"/>
  <c r="T77" i="46"/>
  <c r="U77" i="46" s="1"/>
  <c r="X77" i="46" s="1"/>
  <c r="T229" i="46"/>
  <c r="U229" i="46" s="1"/>
  <c r="X229" i="46" s="1"/>
  <c r="T83" i="46"/>
  <c r="U83" i="46" s="1"/>
  <c r="X83" i="46" s="1"/>
  <c r="T278" i="46"/>
  <c r="U278" i="46" s="1"/>
  <c r="X278" i="46" s="1"/>
  <c r="T197" i="46"/>
  <c r="U197" i="46" s="1"/>
  <c r="X197" i="46" s="1"/>
  <c r="T54" i="46"/>
  <c r="U54" i="46" s="1"/>
  <c r="X54" i="46" s="1"/>
  <c r="T251" i="46"/>
  <c r="U251" i="46" s="1"/>
  <c r="X251" i="46" s="1"/>
  <c r="T57" i="46"/>
  <c r="U57" i="46" s="1"/>
  <c r="X57" i="46" s="1"/>
  <c r="T176" i="46"/>
  <c r="U176" i="46" s="1"/>
  <c r="X176" i="46" s="1"/>
  <c r="T161" i="46"/>
  <c r="U161" i="46" s="1"/>
  <c r="X161" i="46" s="1"/>
  <c r="T120" i="46"/>
  <c r="U120" i="46" s="1"/>
  <c r="X120" i="46" s="1"/>
  <c r="T94" i="46"/>
  <c r="U94" i="46" s="1"/>
  <c r="X94" i="46" s="1"/>
  <c r="T185" i="46"/>
  <c r="U185" i="46" s="1"/>
  <c r="X185" i="46" s="1"/>
  <c r="T282" i="46"/>
  <c r="U282" i="46" s="1"/>
  <c r="X282" i="46" s="1"/>
  <c r="T24" i="46"/>
  <c r="U24" i="46" s="1"/>
  <c r="X24" i="46" s="1"/>
  <c r="T130" i="46"/>
  <c r="U130" i="46" s="1"/>
  <c r="X130" i="46" s="1"/>
  <c r="T338" i="46"/>
  <c r="U338" i="46" s="1"/>
  <c r="X338" i="46" s="1"/>
  <c r="T341" i="46"/>
  <c r="U341" i="46" s="1"/>
  <c r="X341" i="46" s="1"/>
  <c r="T59" i="46"/>
  <c r="U59" i="46" s="1"/>
  <c r="X59" i="46" s="1"/>
  <c r="T97" i="46"/>
  <c r="U97" i="46" s="1"/>
  <c r="X97" i="46" s="1"/>
  <c r="T156" i="46"/>
  <c r="U156" i="46" s="1"/>
  <c r="X156" i="46" s="1"/>
  <c r="T74" i="46"/>
  <c r="U74" i="46" s="1"/>
  <c r="X74" i="46" s="1"/>
  <c r="T164" i="46"/>
  <c r="U164" i="46" s="1"/>
  <c r="X164" i="46" s="1"/>
  <c r="T332" i="46"/>
  <c r="U332" i="46" s="1"/>
  <c r="X332" i="46" s="1"/>
  <c r="T92" i="46"/>
  <c r="U92" i="46" s="1"/>
  <c r="X92" i="46" s="1"/>
  <c r="T159" i="46"/>
  <c r="U159" i="46" s="1"/>
  <c r="X159" i="46" s="1"/>
  <c r="T123" i="46"/>
  <c r="U123" i="46" s="1"/>
  <c r="X123" i="46" s="1"/>
  <c r="T208" i="46"/>
  <c r="U208" i="46" s="1"/>
  <c r="X208" i="46" s="1"/>
  <c r="T144" i="46"/>
  <c r="U144" i="46" s="1"/>
  <c r="X144" i="46" s="1"/>
  <c r="T79" i="46"/>
  <c r="U79" i="46" s="1"/>
  <c r="X79" i="46" s="1"/>
  <c r="T254" i="46"/>
  <c r="U254" i="46" s="1"/>
  <c r="X254" i="46" s="1"/>
  <c r="T155" i="46"/>
  <c r="U155" i="46" s="1"/>
  <c r="X155" i="46" s="1"/>
  <c r="T248" i="46"/>
  <c r="U248" i="46" s="1"/>
  <c r="X248" i="46" s="1"/>
  <c r="T261" i="46"/>
  <c r="U261" i="46" s="1"/>
  <c r="X261" i="46" s="1"/>
  <c r="T14" i="46"/>
  <c r="U14" i="46" s="1"/>
  <c r="X14" i="46" s="1"/>
  <c r="T287" i="46"/>
  <c r="U287" i="46" s="1"/>
  <c r="X287" i="46" s="1"/>
  <c r="T218" i="46"/>
  <c r="U218" i="46" s="1"/>
  <c r="X218" i="46" s="1"/>
  <c r="T87" i="46"/>
  <c r="U87" i="46" s="1"/>
  <c r="X87" i="46" s="1"/>
  <c r="T182" i="46"/>
  <c r="U182" i="46" s="1"/>
  <c r="X182" i="46" s="1"/>
  <c r="T55" i="46"/>
  <c r="U55" i="46" s="1"/>
  <c r="X55" i="46" s="1"/>
  <c r="T118" i="46"/>
  <c r="U118" i="46" s="1"/>
  <c r="X118" i="46" s="1"/>
  <c r="T69" i="46"/>
  <c r="U69" i="46" s="1"/>
  <c r="X69" i="46" s="1"/>
  <c r="T131" i="46"/>
  <c r="U131" i="46" s="1"/>
  <c r="X131" i="46" s="1"/>
  <c r="T17" i="46"/>
  <c r="U17" i="46" s="1"/>
  <c r="X17" i="46" s="1"/>
  <c r="T132" i="46"/>
  <c r="U132" i="46" s="1"/>
  <c r="X132" i="46" s="1"/>
  <c r="T226" i="46"/>
  <c r="U226" i="46" s="1"/>
  <c r="X226" i="46" s="1"/>
  <c r="T343" i="46"/>
  <c r="U343" i="46" s="1"/>
  <c r="X343" i="46" s="1"/>
  <c r="T167" i="46"/>
  <c r="U167" i="46" s="1"/>
  <c r="X167" i="46" s="1"/>
  <c r="T169" i="46"/>
  <c r="U169" i="46" s="1"/>
  <c r="X169" i="46" s="1"/>
  <c r="T137" i="46"/>
  <c r="U137" i="46" s="1"/>
  <c r="X137" i="46" s="1"/>
  <c r="T90" i="46"/>
  <c r="U90" i="46" s="1"/>
  <c r="X90" i="46" s="1"/>
  <c r="T40" i="46"/>
  <c r="U40" i="46" s="1"/>
  <c r="X40" i="46" s="1"/>
  <c r="T180" i="46"/>
  <c r="U180" i="46" s="1"/>
  <c r="X180" i="46" s="1"/>
  <c r="T108" i="46"/>
  <c r="U108" i="46" s="1"/>
  <c r="X108" i="46" s="1"/>
  <c r="T76" i="46"/>
  <c r="U76" i="46" s="1"/>
  <c r="X76" i="46" s="1"/>
  <c r="T175" i="46"/>
  <c r="U175" i="46" s="1"/>
  <c r="X175" i="46" s="1"/>
  <c r="T160" i="46"/>
  <c r="U160" i="46" s="1"/>
  <c r="X160" i="46" s="1"/>
  <c r="T242" i="46"/>
  <c r="U242" i="46" s="1"/>
  <c r="X242" i="46" s="1"/>
  <c r="T178" i="46"/>
  <c r="U178" i="46" s="1"/>
  <c r="X178" i="46" s="1"/>
  <c r="T279" i="46"/>
  <c r="U279" i="46" s="1"/>
  <c r="X279" i="46" s="1"/>
  <c r="T38" i="46"/>
  <c r="U38" i="46" s="1"/>
  <c r="X38" i="46" s="1"/>
  <c r="T177" i="46"/>
  <c r="U177" i="46" s="1"/>
  <c r="X177" i="46" s="1"/>
  <c r="T258" i="46"/>
  <c r="U258" i="46" s="1"/>
  <c r="X258" i="46" s="1"/>
  <c r="T71" i="46"/>
  <c r="U71" i="46" s="1"/>
  <c r="X71" i="46" s="1"/>
  <c r="T238" i="46"/>
  <c r="U238" i="46" s="1"/>
  <c r="X238" i="46" s="1"/>
  <c r="T22" i="46"/>
  <c r="U22" i="46" s="1"/>
  <c r="X22" i="46" s="1"/>
  <c r="T305" i="46"/>
  <c r="U305" i="46" s="1"/>
  <c r="X305" i="46" s="1"/>
  <c r="T26" i="46"/>
  <c r="U26" i="46" s="1"/>
  <c r="X26" i="46" s="1"/>
  <c r="T349" i="46"/>
  <c r="U349" i="46" s="1"/>
  <c r="X349" i="46" s="1"/>
  <c r="T153" i="46"/>
  <c r="U153" i="46" s="1"/>
  <c r="X153" i="46" s="1"/>
  <c r="T268" i="46"/>
  <c r="U268" i="46" s="1"/>
  <c r="X268" i="46" s="1"/>
  <c r="T271" i="46"/>
  <c r="U271" i="46" s="1"/>
  <c r="X271" i="46" s="1"/>
  <c r="T99" i="46"/>
  <c r="U99" i="46" s="1"/>
  <c r="X99" i="46" s="1"/>
  <c r="T80" i="46"/>
  <c r="U80" i="46" s="1"/>
  <c r="X80" i="46" s="1"/>
  <c r="T136" i="46"/>
  <c r="U136" i="46" s="1"/>
  <c r="X136" i="46" s="1"/>
  <c r="T329" i="46"/>
  <c r="U329" i="46" s="1"/>
  <c r="X329" i="46" s="1"/>
  <c r="T354" i="46"/>
  <c r="U354" i="46" s="1"/>
  <c r="X354" i="46" s="1"/>
  <c r="T152" i="46"/>
  <c r="U152" i="46" s="1"/>
  <c r="X152" i="46" s="1"/>
  <c r="T200" i="46"/>
  <c r="U200" i="46" s="1"/>
  <c r="X200" i="46" s="1"/>
  <c r="T247" i="46"/>
  <c r="U247" i="46" s="1"/>
  <c r="X247" i="46" s="1"/>
  <c r="T315" i="46"/>
  <c r="U315" i="46" s="1"/>
  <c r="X315" i="46" s="1"/>
  <c r="T303" i="46"/>
  <c r="U303" i="46" s="1"/>
  <c r="X303" i="46" s="1"/>
  <c r="T339" i="46"/>
  <c r="U339" i="46" s="1"/>
  <c r="X339" i="46" s="1"/>
  <c r="T58" i="46"/>
  <c r="U58" i="46" s="1"/>
  <c r="X58" i="46" s="1"/>
  <c r="T149" i="46"/>
  <c r="U149" i="46" s="1"/>
  <c r="X149" i="46" s="1"/>
  <c r="T154" i="46"/>
  <c r="U154" i="46" s="1"/>
  <c r="X154" i="46" s="1"/>
  <c r="T50" i="46"/>
  <c r="U50" i="46" s="1"/>
  <c r="X50" i="46" s="1"/>
  <c r="T157" i="46"/>
  <c r="U157" i="46" s="1"/>
  <c r="X157" i="46" s="1"/>
  <c r="T215" i="46"/>
  <c r="U215" i="46" s="1"/>
  <c r="X215" i="46" s="1"/>
  <c r="T117" i="46"/>
  <c r="U117" i="46" s="1"/>
  <c r="X117" i="46" s="1"/>
  <c r="T64" i="46"/>
  <c r="U64" i="46" s="1"/>
  <c r="X64" i="46" s="1"/>
  <c r="T73" i="46"/>
  <c r="U73" i="46" s="1"/>
  <c r="X73" i="46" s="1"/>
  <c r="T28" i="46"/>
  <c r="U28" i="46" s="1"/>
  <c r="X28" i="46" s="1"/>
  <c r="T103" i="46"/>
  <c r="U103" i="46" s="1"/>
  <c r="X103" i="46" s="1"/>
  <c r="T201" i="46"/>
  <c r="U201" i="46" s="1"/>
  <c r="X201" i="46" s="1"/>
  <c r="T270" i="46"/>
  <c r="U270" i="46" s="1"/>
  <c r="X270" i="46" s="1"/>
  <c r="T298" i="46"/>
  <c r="U298" i="46" s="1"/>
  <c r="X298" i="46" s="1"/>
  <c r="T184" i="46"/>
  <c r="U184" i="46" s="1"/>
  <c r="X184" i="46" s="1"/>
  <c r="T325" i="46"/>
  <c r="U325" i="46" s="1"/>
  <c r="X325" i="46" s="1"/>
  <c r="T179" i="46"/>
  <c r="U179" i="46" s="1"/>
  <c r="X179" i="46" s="1"/>
  <c r="T121" i="46"/>
  <c r="U121" i="46" s="1"/>
  <c r="X121" i="46" s="1"/>
  <c r="T86" i="46"/>
  <c r="U86" i="46" s="1"/>
  <c r="X86" i="46" s="1"/>
  <c r="T340" i="46"/>
  <c r="U340" i="46" s="1"/>
  <c r="X340" i="46" s="1"/>
  <c r="T116" i="46"/>
  <c r="U116" i="46" s="1"/>
  <c r="X116" i="46" s="1"/>
  <c r="T16" i="46"/>
  <c r="U16" i="46" s="1"/>
  <c r="X16" i="46" s="1"/>
  <c r="T274" i="46"/>
  <c r="U274" i="46" s="1"/>
  <c r="X274" i="46" s="1"/>
  <c r="T262" i="46"/>
  <c r="U262" i="46" s="1"/>
  <c r="X262" i="46" s="1"/>
  <c r="T299" i="46"/>
  <c r="U299" i="46" s="1"/>
  <c r="X299" i="46" s="1"/>
  <c r="T66" i="46"/>
  <c r="U66" i="46" s="1"/>
  <c r="X66" i="46" s="1"/>
  <c r="T228" i="46"/>
  <c r="U228" i="46" s="1"/>
  <c r="X228" i="46" s="1"/>
  <c r="T293" i="46"/>
  <c r="U293" i="46" s="1"/>
  <c r="X293" i="46" s="1"/>
  <c r="T110" i="46"/>
  <c r="U110" i="46" s="1"/>
  <c r="X110" i="46" s="1"/>
  <c r="T320" i="46"/>
  <c r="U320" i="46" s="1"/>
  <c r="X320" i="46" s="1"/>
  <c r="T141" i="46"/>
  <c r="U141" i="46" s="1"/>
  <c r="X141" i="46" s="1"/>
  <c r="T239" i="46"/>
  <c r="U239" i="46" s="1"/>
  <c r="X239" i="46" s="1"/>
  <c r="T72" i="46"/>
  <c r="U72" i="46" s="1"/>
  <c r="X72" i="46" s="1"/>
  <c r="T109" i="46"/>
  <c r="U109" i="46" s="1"/>
  <c r="X109" i="46" s="1"/>
  <c r="T18" i="46"/>
  <c r="U18" i="46" s="1"/>
  <c r="X18" i="46" s="1"/>
  <c r="T107" i="46"/>
  <c r="U107" i="46" s="1"/>
  <c r="X107" i="46" s="1"/>
  <c r="T62" i="46"/>
  <c r="U62" i="46" s="1"/>
  <c r="X62" i="46" s="1"/>
  <c r="T170" i="46"/>
  <c r="U170" i="46" s="1"/>
  <c r="X170" i="46" s="1"/>
  <c r="T56" i="46"/>
  <c r="U56" i="46" s="1"/>
  <c r="X56" i="46" s="1"/>
  <c r="T232" i="46"/>
  <c r="U232" i="46" s="1"/>
  <c r="X232" i="46" s="1"/>
  <c r="T67" i="46"/>
  <c r="U67" i="46" s="1"/>
  <c r="X67" i="46" s="1"/>
  <c r="T78" i="46"/>
  <c r="U78" i="46" s="1"/>
  <c r="X78" i="46" s="1"/>
  <c r="T216" i="46"/>
  <c r="U216" i="46" s="1"/>
  <c r="X216" i="46" s="1"/>
  <c r="T353" i="46"/>
  <c r="U353" i="46" s="1"/>
  <c r="X353" i="46" s="1"/>
  <c r="T236" i="46"/>
  <c r="U236" i="46" s="1"/>
  <c r="X236" i="46" s="1"/>
  <c r="T163" i="46"/>
  <c r="U163" i="46" s="1"/>
  <c r="X163" i="46" s="1"/>
  <c r="T301" i="46"/>
  <c r="U301" i="46" s="1"/>
  <c r="X301" i="46" s="1"/>
  <c r="T88" i="46"/>
  <c r="U88" i="46" s="1"/>
  <c r="X88" i="46" s="1"/>
  <c r="T84" i="46"/>
  <c r="U84" i="46" s="1"/>
  <c r="X84" i="46" s="1"/>
  <c r="T307" i="46"/>
  <c r="U307" i="46" s="1"/>
  <c r="X307" i="46" s="1"/>
  <c r="T23" i="46"/>
  <c r="U23" i="46" s="1"/>
  <c r="X23" i="46" s="1"/>
  <c r="T100" i="46"/>
  <c r="U100" i="46" s="1"/>
  <c r="X100" i="46" s="1"/>
  <c r="T181" i="46"/>
  <c r="U181" i="46" s="1"/>
  <c r="X181" i="46" s="1"/>
  <c r="T81" i="46"/>
  <c r="U81" i="46" s="1"/>
  <c r="X81" i="46" s="1"/>
  <c r="T344" i="46"/>
  <c r="U344" i="46" s="1"/>
  <c r="X344" i="46" s="1"/>
  <c r="T44" i="46"/>
  <c r="U44" i="46" s="1"/>
  <c r="X44" i="46" s="1"/>
  <c r="T331" i="46"/>
  <c r="U331" i="46" s="1"/>
  <c r="X331" i="46" s="1"/>
  <c r="T51" i="46"/>
  <c r="U51" i="46" s="1"/>
  <c r="X51" i="46" s="1"/>
  <c r="T143" i="46"/>
  <c r="U143" i="46" s="1"/>
  <c r="X143" i="46" s="1"/>
  <c r="T45" i="46"/>
  <c r="U45" i="46" s="1"/>
  <c r="X45" i="46" s="1"/>
  <c r="T323" i="46"/>
  <c r="U323" i="46" s="1"/>
  <c r="X323" i="46" s="1"/>
  <c r="T34" i="46"/>
  <c r="U34" i="46" s="1"/>
  <c r="X34" i="46" s="1"/>
  <c r="T29" i="46"/>
  <c r="U29" i="46" s="1"/>
  <c r="X29" i="46" s="1"/>
  <c r="T286" i="46"/>
  <c r="U286" i="46" s="1"/>
  <c r="X286" i="46" s="1"/>
  <c r="T240" i="46"/>
  <c r="U240" i="46" s="1"/>
  <c r="X240" i="46" s="1"/>
  <c r="T60" i="46"/>
  <c r="U60" i="46" s="1"/>
  <c r="X60" i="46" s="1"/>
  <c r="T328" i="46"/>
  <c r="U328" i="46" s="1"/>
  <c r="X328" i="46" s="1"/>
  <c r="T49" i="46"/>
  <c r="U49" i="46" s="1"/>
  <c r="X49" i="46" s="1"/>
  <c r="T209" i="46"/>
  <c r="U209" i="46" s="1"/>
  <c r="X209" i="46" s="1"/>
  <c r="T168" i="46"/>
  <c r="U168" i="46" s="1"/>
  <c r="X168" i="46" s="1"/>
  <c r="T297" i="46"/>
  <c r="U297" i="46" s="1"/>
  <c r="X297" i="46" s="1"/>
  <c r="T122" i="46"/>
  <c r="U122" i="46" s="1"/>
  <c r="X122" i="46" s="1"/>
  <c r="T224" i="46"/>
  <c r="U224" i="46" s="1"/>
  <c r="X224" i="46" s="1"/>
  <c r="G46" i="29"/>
  <c r="AB91" i="44"/>
  <c r="AC91" i="44" s="1"/>
  <c r="Z31" i="29"/>
  <c r="Z32" i="29" s="1"/>
  <c r="K31" i="29"/>
  <c r="E354" i="16"/>
  <c r="E4" i="16" s="1"/>
  <c r="H12" i="29"/>
  <c r="I12" i="29" s="1"/>
  <c r="H3" i="29"/>
  <c r="I3" i="29" s="1"/>
  <c r="H5" i="29"/>
  <c r="H7" i="29"/>
  <c r="H9" i="29"/>
  <c r="I9" i="29" s="1"/>
  <c r="H13" i="29"/>
  <c r="H6" i="29"/>
  <c r="H11" i="29"/>
  <c r="H2" i="29"/>
  <c r="H4" i="29"/>
  <c r="H8" i="29"/>
  <c r="H10" i="29"/>
  <c r="I10" i="29" s="1"/>
  <c r="X260" i="46"/>
  <c r="AA168" i="44"/>
  <c r="N162" i="42" s="1"/>
  <c r="O162" i="42" s="1"/>
  <c r="AA261" i="44"/>
  <c r="N255" i="42" s="1"/>
  <c r="O255" i="42" s="1"/>
  <c r="AA294" i="44"/>
  <c r="N288" i="42" s="1"/>
  <c r="O288" i="42" s="1"/>
  <c r="AA95" i="44"/>
  <c r="N89" i="42" s="1"/>
  <c r="O89" i="42" s="1"/>
  <c r="AA26" i="44"/>
  <c r="N20" i="42" s="1"/>
  <c r="O20" i="42" s="1"/>
  <c r="AA174" i="44"/>
  <c r="N168" i="42" s="1"/>
  <c r="O168" i="42" s="1"/>
  <c r="AA77" i="44"/>
  <c r="N71" i="42" s="1"/>
  <c r="O71" i="42" s="1"/>
  <c r="AA147" i="44"/>
  <c r="N141" i="42" s="1"/>
  <c r="O141" i="42" s="1"/>
  <c r="AA12" i="44"/>
  <c r="N6" i="42" s="1"/>
  <c r="O6" i="42" s="1"/>
  <c r="AA276" i="44"/>
  <c r="N270" i="42" s="1"/>
  <c r="O270" i="42" s="1"/>
  <c r="AA127" i="44"/>
  <c r="N121" i="42" s="1"/>
  <c r="O121" i="42" s="1"/>
  <c r="AA226" i="44"/>
  <c r="N220" i="42" s="1"/>
  <c r="O220" i="42" s="1"/>
  <c r="AA115" i="44"/>
  <c r="N109" i="42" s="1"/>
  <c r="O109" i="42" s="1"/>
  <c r="AA151" i="44"/>
  <c r="N145" i="42" s="1"/>
  <c r="O145" i="42" s="1"/>
  <c r="AA98" i="44"/>
  <c r="N92" i="42" s="1"/>
  <c r="O92" i="42" s="1"/>
  <c r="AA303" i="44"/>
  <c r="N297" i="42" s="1"/>
  <c r="O297" i="42" s="1"/>
  <c r="AA207" i="44"/>
  <c r="N201" i="42" s="1"/>
  <c r="O201" i="42" s="1"/>
  <c r="AA329" i="44"/>
  <c r="N323" i="42" s="1"/>
  <c r="O323" i="42" s="1"/>
  <c r="AA257" i="44"/>
  <c r="N251" i="42" s="1"/>
  <c r="O251" i="42" s="1"/>
  <c r="AA241" i="44"/>
  <c r="N235" i="42" s="1"/>
  <c r="O235" i="42" s="1"/>
  <c r="AA32" i="44"/>
  <c r="N26" i="42" s="1"/>
  <c r="O26" i="42" s="1"/>
  <c r="AA345" i="44"/>
  <c r="N339" i="42" s="1"/>
  <c r="O339" i="42" s="1"/>
  <c r="AA79" i="44"/>
  <c r="N73" i="42" s="1"/>
  <c r="O73" i="42" s="1"/>
  <c r="AA150" i="44"/>
  <c r="N144" i="42" s="1"/>
  <c r="O144" i="42" s="1"/>
  <c r="AA38" i="44"/>
  <c r="N32" i="42" s="1"/>
  <c r="O32" i="42" s="1"/>
  <c r="AA275" i="44"/>
  <c r="N269" i="42" s="1"/>
  <c r="O269" i="42" s="1"/>
  <c r="AA213" i="44"/>
  <c r="N207" i="42" s="1"/>
  <c r="O207" i="42" s="1"/>
  <c r="AA92" i="44"/>
  <c r="N86" i="42" s="1"/>
  <c r="O86" i="42" s="1"/>
  <c r="AA56" i="44"/>
  <c r="N50" i="42" s="1"/>
  <c r="O50" i="42" s="1"/>
  <c r="AA90" i="44"/>
  <c r="N84" i="42" s="1"/>
  <c r="O84" i="42" s="1"/>
  <c r="AA250" i="44"/>
  <c r="N244" i="42" s="1"/>
  <c r="O244" i="42" s="1"/>
  <c r="AA298" i="44"/>
  <c r="N292" i="42" s="1"/>
  <c r="O292" i="42" s="1"/>
  <c r="AA230" i="44"/>
  <c r="N224" i="42" s="1"/>
  <c r="O224" i="42" s="1"/>
  <c r="AA179" i="44"/>
  <c r="N173" i="42" s="1"/>
  <c r="O173" i="42" s="1"/>
  <c r="AA76" i="44"/>
  <c r="N70" i="42" s="1"/>
  <c r="O70" i="42" s="1"/>
  <c r="AA89" i="44"/>
  <c r="N83" i="42" s="1"/>
  <c r="O83" i="42" s="1"/>
  <c r="AA100" i="44"/>
  <c r="N94" i="42" s="1"/>
  <c r="O94" i="42" s="1"/>
  <c r="AA292" i="44"/>
  <c r="N286" i="42" s="1"/>
  <c r="O286" i="42" s="1"/>
  <c r="AA266" i="44"/>
  <c r="N260" i="42" s="1"/>
  <c r="O260" i="42" s="1"/>
  <c r="AA284" i="44"/>
  <c r="N278" i="42" s="1"/>
  <c r="O278" i="42" s="1"/>
  <c r="AA342" i="44"/>
  <c r="N336" i="42" s="1"/>
  <c r="O336" i="42" s="1"/>
  <c r="AA69" i="44"/>
  <c r="N63" i="42" s="1"/>
  <c r="O63" i="42" s="1"/>
  <c r="AA105" i="44"/>
  <c r="N99" i="42" s="1"/>
  <c r="O99" i="42" s="1"/>
  <c r="AA269" i="44"/>
  <c r="N263" i="42" s="1"/>
  <c r="O263" i="42" s="1"/>
  <c r="AA191" i="44"/>
  <c r="N185" i="42" s="1"/>
  <c r="O185" i="42" s="1"/>
  <c r="AA162" i="44"/>
  <c r="N156" i="42" s="1"/>
  <c r="O156" i="42" s="1"/>
  <c r="AA107" i="44"/>
  <c r="N101" i="42" s="1"/>
  <c r="O101" i="42" s="1"/>
  <c r="AA52" i="44"/>
  <c r="N46" i="42" s="1"/>
  <c r="O46" i="42" s="1"/>
  <c r="AA10" i="44"/>
  <c r="N4" i="42" s="1"/>
  <c r="O4" i="42" s="1"/>
  <c r="AA310" i="44"/>
  <c r="N304" i="42" s="1"/>
  <c r="O304" i="42" s="1"/>
  <c r="AA340" i="44"/>
  <c r="N334" i="42" s="1"/>
  <c r="O334" i="42" s="1"/>
  <c r="AA103" i="44"/>
  <c r="N97" i="42" s="1"/>
  <c r="O97" i="42" s="1"/>
  <c r="AA337" i="44"/>
  <c r="N331" i="42" s="1"/>
  <c r="O331" i="42" s="1"/>
  <c r="AA278" i="44"/>
  <c r="N272" i="42" s="1"/>
  <c r="O272" i="42" s="1"/>
  <c r="AA87" i="44"/>
  <c r="N81" i="42" s="1"/>
  <c r="O81" i="42" s="1"/>
  <c r="AA282" i="44"/>
  <c r="N276" i="42" s="1"/>
  <c r="O276" i="42" s="1"/>
  <c r="AA212" i="44"/>
  <c r="N206" i="42" s="1"/>
  <c r="O206" i="42" s="1"/>
  <c r="AA148" i="44"/>
  <c r="N142" i="42" s="1"/>
  <c r="O142" i="42" s="1"/>
  <c r="AA156" i="44"/>
  <c r="N150" i="42" s="1"/>
  <c r="O150" i="42" s="1"/>
  <c r="AA42" i="44"/>
  <c r="N36" i="42" s="1"/>
  <c r="O36" i="42" s="1"/>
  <c r="AA201" i="44"/>
  <c r="N195" i="42" s="1"/>
  <c r="O195" i="42" s="1"/>
  <c r="AA223" i="44"/>
  <c r="N217" i="42" s="1"/>
  <c r="O217" i="42" s="1"/>
  <c r="AA186" i="44"/>
  <c r="N180" i="42" s="1"/>
  <c r="O180" i="42" s="1"/>
  <c r="AA67" i="44"/>
  <c r="N61" i="42" s="1"/>
  <c r="O61" i="42" s="1"/>
  <c r="AA55" i="44"/>
  <c r="N49" i="42" s="1"/>
  <c r="O49" i="42" s="1"/>
  <c r="AA34" i="44"/>
  <c r="N28" i="42" s="1"/>
  <c r="O28" i="42" s="1"/>
  <c r="AA314" i="44"/>
  <c r="N308" i="42" s="1"/>
  <c r="O308" i="42" s="1"/>
  <c r="AA264" i="44"/>
  <c r="N258" i="42" s="1"/>
  <c r="O258" i="42" s="1"/>
  <c r="AA172" i="44"/>
  <c r="N166" i="42" s="1"/>
  <c r="O166" i="42" s="1"/>
  <c r="AA221" i="44"/>
  <c r="N215" i="42" s="1"/>
  <c r="O215" i="42" s="1"/>
  <c r="AA143" i="44"/>
  <c r="N137" i="42" s="1"/>
  <c r="O137" i="42" s="1"/>
  <c r="AA206" i="44"/>
  <c r="N200" i="42" s="1"/>
  <c r="O200" i="42" s="1"/>
  <c r="AA229" i="44"/>
  <c r="N223" i="42" s="1"/>
  <c r="O223" i="42" s="1"/>
  <c r="AA31" i="44"/>
  <c r="N25" i="42" s="1"/>
  <c r="O25" i="42" s="1"/>
  <c r="AA132" i="44"/>
  <c r="N126" i="42" s="1"/>
  <c r="O126" i="42" s="1"/>
  <c r="AA205" i="44"/>
  <c r="N199" i="42" s="1"/>
  <c r="O199" i="42" s="1"/>
  <c r="AA322" i="44"/>
  <c r="N316" i="42" s="1"/>
  <c r="O316" i="42" s="1"/>
  <c r="AA290" i="44"/>
  <c r="N284" i="42" s="1"/>
  <c r="O284" i="42" s="1"/>
  <c r="AA313" i="44"/>
  <c r="N307" i="42" s="1"/>
  <c r="O307" i="42" s="1"/>
  <c r="AA318" i="44"/>
  <c r="N312" i="42" s="1"/>
  <c r="O312" i="42" s="1"/>
  <c r="AA68" i="44"/>
  <c r="N62" i="42" s="1"/>
  <c r="O62" i="42" s="1"/>
  <c r="AA199" i="44"/>
  <c r="N193" i="42" s="1"/>
  <c r="O193" i="42" s="1"/>
  <c r="AA125" i="44"/>
  <c r="N119" i="42" s="1"/>
  <c r="O119" i="42" s="1"/>
  <c r="AA192" i="44"/>
  <c r="N186" i="42" s="1"/>
  <c r="O186" i="42" s="1"/>
  <c r="AA262" i="44"/>
  <c r="N256" i="42" s="1"/>
  <c r="O256" i="42" s="1"/>
  <c r="AA93" i="44"/>
  <c r="N87" i="42" s="1"/>
  <c r="O87" i="42" s="1"/>
  <c r="AA215" i="44"/>
  <c r="N209" i="42" s="1"/>
  <c r="O209" i="42" s="1"/>
  <c r="AA159" i="44"/>
  <c r="N153" i="42" s="1"/>
  <c r="O153" i="42" s="1"/>
  <c r="AA344" i="44"/>
  <c r="N338" i="42" s="1"/>
  <c r="O338" i="42" s="1"/>
  <c r="AA70" i="44"/>
  <c r="N64" i="42" s="1"/>
  <c r="O64" i="42" s="1"/>
  <c r="AA228" i="44"/>
  <c r="N222" i="42" s="1"/>
  <c r="O222" i="42" s="1"/>
  <c r="AA238" i="44"/>
  <c r="N232" i="42" s="1"/>
  <c r="O232" i="42" s="1"/>
  <c r="AA286" i="44"/>
  <c r="N280" i="42" s="1"/>
  <c r="O280" i="42" s="1"/>
  <c r="AA101" i="44"/>
  <c r="N95" i="42" s="1"/>
  <c r="O95" i="42" s="1"/>
  <c r="AA304" i="44"/>
  <c r="N298" i="42" s="1"/>
  <c r="O298" i="42" s="1"/>
  <c r="AA324" i="44"/>
  <c r="N318" i="42" s="1"/>
  <c r="O318" i="42" s="1"/>
  <c r="AA94" i="44"/>
  <c r="N88" i="42" s="1"/>
  <c r="O88" i="42" s="1"/>
  <c r="AA37" i="44"/>
  <c r="N31" i="42" s="1"/>
  <c r="O31" i="42" s="1"/>
  <c r="AA258" i="44"/>
  <c r="N252" i="42" s="1"/>
  <c r="O252" i="42" s="1"/>
  <c r="AA24" i="44"/>
  <c r="N18" i="42" s="1"/>
  <c r="O18" i="42" s="1"/>
  <c r="AA320" i="44"/>
  <c r="N314" i="42" s="1"/>
  <c r="O314" i="42" s="1"/>
  <c r="AA346" i="44"/>
  <c r="N340" i="42" s="1"/>
  <c r="O340" i="42" s="1"/>
  <c r="AA110" i="44"/>
  <c r="N104" i="42" s="1"/>
  <c r="O104" i="42" s="1"/>
  <c r="AA126" i="44"/>
  <c r="N120" i="42" s="1"/>
  <c r="O120" i="42" s="1"/>
  <c r="AA171" i="44"/>
  <c r="N165" i="42" s="1"/>
  <c r="O165" i="42" s="1"/>
  <c r="AA21" i="44"/>
  <c r="N15" i="42" s="1"/>
  <c r="O15" i="42" s="1"/>
  <c r="AA187" i="44"/>
  <c r="N181" i="42" s="1"/>
  <c r="O181" i="42" s="1"/>
  <c r="AA75" i="44"/>
  <c r="N69" i="42" s="1"/>
  <c r="O69" i="42" s="1"/>
  <c r="AA353" i="44"/>
  <c r="N347" i="42" s="1"/>
  <c r="O347" i="42" s="1"/>
  <c r="AA13" i="44"/>
  <c r="N7" i="42" s="1"/>
  <c r="O7" i="42" s="1"/>
  <c r="AA232" i="44"/>
  <c r="N226" i="42" s="1"/>
  <c r="O226" i="42" s="1"/>
  <c r="AA181" i="44"/>
  <c r="N175" i="42" s="1"/>
  <c r="O175" i="42" s="1"/>
  <c r="AA120" i="44"/>
  <c r="N114" i="42" s="1"/>
  <c r="O114" i="42" s="1"/>
  <c r="AA117" i="44"/>
  <c r="N111" i="42" s="1"/>
  <c r="O111" i="42" s="1"/>
  <c r="AA165" i="44"/>
  <c r="N159" i="42" s="1"/>
  <c r="O159" i="42" s="1"/>
  <c r="AA348" i="44"/>
  <c r="N342" i="42" s="1"/>
  <c r="O342" i="42" s="1"/>
  <c r="AA218" i="44"/>
  <c r="N212" i="42" s="1"/>
  <c r="O212" i="42" s="1"/>
  <c r="AA197" i="44"/>
  <c r="N191" i="42" s="1"/>
  <c r="O191" i="42" s="1"/>
  <c r="AA112" i="44"/>
  <c r="N106" i="42" s="1"/>
  <c r="O106" i="42" s="1"/>
  <c r="AA139" i="44"/>
  <c r="N133" i="42" s="1"/>
  <c r="O133" i="42" s="1"/>
  <c r="AA121" i="44"/>
  <c r="N115" i="42" s="1"/>
  <c r="O115" i="42" s="1"/>
  <c r="AA253" i="44"/>
  <c r="N247" i="42" s="1"/>
  <c r="O247" i="42" s="1"/>
  <c r="AA97" i="44"/>
  <c r="N91" i="42" s="1"/>
  <c r="O91" i="42" s="1"/>
  <c r="AA108" i="44"/>
  <c r="N102" i="42" s="1"/>
  <c r="O102" i="42" s="1"/>
  <c r="AA141" i="44"/>
  <c r="N135" i="42" s="1"/>
  <c r="O135" i="42" s="1"/>
  <c r="AA35" i="44"/>
  <c r="N29" i="42" s="1"/>
  <c r="O29" i="42" s="1"/>
  <c r="AA62" i="44"/>
  <c r="N56" i="42" s="1"/>
  <c r="O56" i="42" s="1"/>
  <c r="AA268" i="44"/>
  <c r="N262" i="42" s="1"/>
  <c r="O262" i="42" s="1"/>
  <c r="AA175" i="44"/>
  <c r="N169" i="42" s="1"/>
  <c r="O169" i="42" s="1"/>
  <c r="AA51" i="44"/>
  <c r="N45" i="42" s="1"/>
  <c r="O45" i="42" s="1"/>
  <c r="AA86" i="44"/>
  <c r="N80" i="42" s="1"/>
  <c r="O80" i="42" s="1"/>
  <c r="AA255" i="44"/>
  <c r="N249" i="42" s="1"/>
  <c r="O249" i="42" s="1"/>
  <c r="AA259" i="44"/>
  <c r="N253" i="42" s="1"/>
  <c r="O253" i="42" s="1"/>
  <c r="AA48" i="44"/>
  <c r="N42" i="42" s="1"/>
  <c r="O42" i="42" s="1"/>
  <c r="AA173" i="44"/>
  <c r="N167" i="42" s="1"/>
  <c r="O167" i="42" s="1"/>
  <c r="AA309" i="44"/>
  <c r="N303" i="42" s="1"/>
  <c r="O303" i="42" s="1"/>
  <c r="AA222" i="44"/>
  <c r="N216" i="42" s="1"/>
  <c r="O216" i="42" s="1"/>
  <c r="AA196" i="44"/>
  <c r="N190" i="42" s="1"/>
  <c r="O190" i="42" s="1"/>
  <c r="AA178" i="44"/>
  <c r="N172" i="42" s="1"/>
  <c r="O172" i="42" s="1"/>
  <c r="AA244" i="44"/>
  <c r="N238" i="42" s="1"/>
  <c r="O238" i="42" s="1"/>
  <c r="AA227" i="44"/>
  <c r="N221" i="42" s="1"/>
  <c r="O221" i="42" s="1"/>
  <c r="AA301" i="44"/>
  <c r="N295" i="42" s="1"/>
  <c r="O295" i="42" s="1"/>
  <c r="AA169" i="44"/>
  <c r="N163" i="42" s="1"/>
  <c r="O163" i="42" s="1"/>
  <c r="AA149" i="44"/>
  <c r="N143" i="42" s="1"/>
  <c r="O143" i="42" s="1"/>
  <c r="AA28" i="44"/>
  <c r="N22" i="42" s="1"/>
  <c r="O22" i="42" s="1"/>
  <c r="AA315" i="44"/>
  <c r="N309" i="42" s="1"/>
  <c r="O309" i="42" s="1"/>
  <c r="AA248" i="44"/>
  <c r="N242" i="42" s="1"/>
  <c r="O242" i="42" s="1"/>
  <c r="AA66" i="44"/>
  <c r="N60" i="42" s="1"/>
  <c r="O60" i="42" s="1"/>
  <c r="AA137" i="44"/>
  <c r="N131" i="42" s="1"/>
  <c r="O131" i="42" s="1"/>
  <c r="AA134" i="44"/>
  <c r="N128" i="42" s="1"/>
  <c r="O128" i="42" s="1"/>
  <c r="AA325" i="44"/>
  <c r="N319" i="42" s="1"/>
  <c r="O319" i="42" s="1"/>
  <c r="AA272" i="44"/>
  <c r="N266" i="42" s="1"/>
  <c r="O266" i="42" s="1"/>
  <c r="AA246" i="44"/>
  <c r="N240" i="42" s="1"/>
  <c r="O240" i="42" s="1"/>
  <c r="AA194" i="44"/>
  <c r="N188" i="42" s="1"/>
  <c r="O188" i="42" s="1"/>
  <c r="AA140" i="44"/>
  <c r="N134" i="42" s="1"/>
  <c r="O134" i="42" s="1"/>
  <c r="AA119" i="44"/>
  <c r="N113" i="42" s="1"/>
  <c r="O113" i="42" s="1"/>
  <c r="AA167" i="44"/>
  <c r="N161" i="42" s="1"/>
  <c r="O161" i="42" s="1"/>
  <c r="AA184" i="44"/>
  <c r="N178" i="42" s="1"/>
  <c r="O178" i="42" s="1"/>
  <c r="AA170" i="44"/>
  <c r="N164" i="42" s="1"/>
  <c r="O164" i="42" s="1"/>
  <c r="AA341" i="44"/>
  <c r="N335" i="42" s="1"/>
  <c r="O335" i="42" s="1"/>
  <c r="AA72" i="44"/>
  <c r="N66" i="42" s="1"/>
  <c r="O66" i="42" s="1"/>
  <c r="AA185" i="44"/>
  <c r="N179" i="42" s="1"/>
  <c r="O179" i="42" s="1"/>
  <c r="AA288" i="44"/>
  <c r="N282" i="42" s="1"/>
  <c r="O282" i="42" s="1"/>
  <c r="AA189" i="44"/>
  <c r="N183" i="42" s="1"/>
  <c r="O183" i="42" s="1"/>
  <c r="AA249" i="44"/>
  <c r="N243" i="42" s="1"/>
  <c r="O243" i="42" s="1"/>
  <c r="AA83" i="44"/>
  <c r="N77" i="42" s="1"/>
  <c r="O77" i="42" s="1"/>
  <c r="AA217" i="44"/>
  <c r="N211" i="42" s="1"/>
  <c r="O211" i="42" s="1"/>
  <c r="AA118" i="44"/>
  <c r="N112" i="42" s="1"/>
  <c r="O112" i="42" s="1"/>
  <c r="AA177" i="44"/>
  <c r="N171" i="42" s="1"/>
  <c r="O171" i="42" s="1"/>
  <c r="AA274" i="44"/>
  <c r="N268" i="42" s="1"/>
  <c r="O268" i="42" s="1"/>
  <c r="AA36" i="44"/>
  <c r="N30" i="42" s="1"/>
  <c r="O30" i="42" s="1"/>
  <c r="AA136" i="44"/>
  <c r="N130" i="42" s="1"/>
  <c r="O130" i="42" s="1"/>
  <c r="AA271" i="44"/>
  <c r="N265" i="42" s="1"/>
  <c r="O265" i="42" s="1"/>
  <c r="AA209" i="44"/>
  <c r="N203" i="42" s="1"/>
  <c r="O203" i="42" s="1"/>
  <c r="AA202" i="44"/>
  <c r="N196" i="42" s="1"/>
  <c r="O196" i="42" s="1"/>
  <c r="AA236" i="44"/>
  <c r="N230" i="42" s="1"/>
  <c r="O230" i="42" s="1"/>
  <c r="AA142" i="44"/>
  <c r="N136" i="42" s="1"/>
  <c r="O136" i="42" s="1"/>
  <c r="AA306" i="44"/>
  <c r="N300" i="42" s="1"/>
  <c r="O300" i="42" s="1"/>
  <c r="AA80" i="44"/>
  <c r="N74" i="42" s="1"/>
  <c r="O74" i="42" s="1"/>
  <c r="AA114" i="44"/>
  <c r="N108" i="42" s="1"/>
  <c r="O108" i="42" s="1"/>
  <c r="AA280" i="44"/>
  <c r="N274" i="42" s="1"/>
  <c r="O274" i="42" s="1"/>
  <c r="AA279" i="44"/>
  <c r="N273" i="42" s="1"/>
  <c r="O273" i="42" s="1"/>
  <c r="AA354" i="44"/>
  <c r="N348" i="42" s="1"/>
  <c r="O348" i="42" s="1"/>
  <c r="AA102" i="44"/>
  <c r="N96" i="42" s="1"/>
  <c r="O96" i="42" s="1"/>
  <c r="AA308" i="44"/>
  <c r="N302" i="42" s="1"/>
  <c r="O302" i="42" s="1"/>
  <c r="AA25" i="44"/>
  <c r="N19" i="42" s="1"/>
  <c r="O19" i="42" s="1"/>
  <c r="AA319" i="44"/>
  <c r="N313" i="42" s="1"/>
  <c r="O313" i="42" s="1"/>
  <c r="AA20" i="44"/>
  <c r="N14" i="42" s="1"/>
  <c r="O14" i="42" s="1"/>
  <c r="AA61" i="44"/>
  <c r="N55" i="42" s="1"/>
  <c r="O55" i="42" s="1"/>
  <c r="AA338" i="44"/>
  <c r="N332" i="42" s="1"/>
  <c r="O332" i="42" s="1"/>
  <c r="AA180" i="44"/>
  <c r="N174" i="42" s="1"/>
  <c r="O174" i="42" s="1"/>
  <c r="AA203" i="44"/>
  <c r="N197" i="42" s="1"/>
  <c r="O197" i="42" s="1"/>
  <c r="AA247" i="44"/>
  <c r="N241" i="42" s="1"/>
  <c r="O241" i="42" s="1"/>
  <c r="AA281" i="44"/>
  <c r="N275" i="42" s="1"/>
  <c r="O275" i="42" s="1"/>
  <c r="AA214" i="44"/>
  <c r="N208" i="42" s="1"/>
  <c r="O208" i="42" s="1"/>
  <c r="AA54" i="44"/>
  <c r="N48" i="42" s="1"/>
  <c r="O48" i="42" s="1"/>
  <c r="AA43" i="44"/>
  <c r="N37" i="42" s="1"/>
  <c r="O37" i="42" s="1"/>
  <c r="AA45" i="44"/>
  <c r="N39" i="42" s="1"/>
  <c r="O39" i="42" s="1"/>
  <c r="AA254" i="44"/>
  <c r="N248" i="42" s="1"/>
  <c r="O248" i="42" s="1"/>
  <c r="AA302" i="44"/>
  <c r="N296" i="42" s="1"/>
  <c r="O296" i="42" s="1"/>
  <c r="AA59" i="44"/>
  <c r="N53" i="42" s="1"/>
  <c r="O53" i="42" s="1"/>
  <c r="AA146" i="44"/>
  <c r="N140" i="42" s="1"/>
  <c r="O140" i="42" s="1"/>
  <c r="AA106" i="44"/>
  <c r="N100" i="42" s="1"/>
  <c r="O100" i="42" s="1"/>
  <c r="AA74" i="44"/>
  <c r="N68" i="42" s="1"/>
  <c r="O68" i="42" s="1"/>
  <c r="AA22" i="44"/>
  <c r="N16" i="42" s="1"/>
  <c r="O16" i="42" s="1"/>
  <c r="AA256" i="44"/>
  <c r="N250" i="42" s="1"/>
  <c r="O250" i="42" s="1"/>
  <c r="AA332" i="44"/>
  <c r="N326" i="42" s="1"/>
  <c r="O326" i="42" s="1"/>
  <c r="AA157" i="44"/>
  <c r="N151" i="42" s="1"/>
  <c r="O151" i="42" s="1"/>
  <c r="AA138" i="44"/>
  <c r="N132" i="42" s="1"/>
  <c r="O132" i="42" s="1"/>
  <c r="AA144" i="44"/>
  <c r="N138" i="42" s="1"/>
  <c r="O138" i="42" s="1"/>
  <c r="AA311" i="44"/>
  <c r="N305" i="42" s="1"/>
  <c r="O305" i="42" s="1"/>
  <c r="AA57" i="44"/>
  <c r="N51" i="42" s="1"/>
  <c r="O51" i="42" s="1"/>
  <c r="AA19" i="44"/>
  <c r="N13" i="42" s="1"/>
  <c r="O13" i="42" s="1"/>
  <c r="AA65" i="44"/>
  <c r="N59" i="42" s="1"/>
  <c r="O59" i="42" s="1"/>
  <c r="AA339" i="44"/>
  <c r="N333" i="42" s="1"/>
  <c r="O333" i="42" s="1"/>
  <c r="AA44" i="44"/>
  <c r="N38" i="42" s="1"/>
  <c r="O38" i="42" s="1"/>
  <c r="AA81" i="44"/>
  <c r="N75" i="42" s="1"/>
  <c r="O75" i="42" s="1"/>
  <c r="AA33" i="44"/>
  <c r="N27" i="42" s="1"/>
  <c r="O27" i="42" s="1"/>
  <c r="AA153" i="44"/>
  <c r="N147" i="42" s="1"/>
  <c r="O147" i="42" s="1"/>
  <c r="AA15" i="44"/>
  <c r="N9" i="42" s="1"/>
  <c r="O9" i="42" s="1"/>
  <c r="AA277" i="44"/>
  <c r="N271" i="42" s="1"/>
  <c r="O271" i="42" s="1"/>
  <c r="AA190" i="44"/>
  <c r="N184" i="42" s="1"/>
  <c r="O184" i="42" s="1"/>
  <c r="AA193" i="44"/>
  <c r="N187" i="42" s="1"/>
  <c r="O187" i="42" s="1"/>
  <c r="AA297" i="44"/>
  <c r="N291" i="42" s="1"/>
  <c r="O291" i="42" s="1"/>
  <c r="AA347" i="44"/>
  <c r="N341" i="42" s="1"/>
  <c r="O341" i="42" s="1"/>
  <c r="AA29" i="44"/>
  <c r="N23" i="42" s="1"/>
  <c r="O23" i="42" s="1"/>
  <c r="AA129" i="44"/>
  <c r="N123" i="42" s="1"/>
  <c r="O123" i="42" s="1"/>
  <c r="AA200" i="44"/>
  <c r="N194" i="42" s="1"/>
  <c r="O194" i="42" s="1"/>
  <c r="AA211" i="44"/>
  <c r="N205" i="42" s="1"/>
  <c r="O205" i="42" s="1"/>
  <c r="AA251" i="44"/>
  <c r="N245" i="42" s="1"/>
  <c r="O245" i="42" s="1"/>
  <c r="AA78" i="44"/>
  <c r="N72" i="42" s="1"/>
  <c r="O72" i="42" s="1"/>
  <c r="AA23" i="44"/>
  <c r="N17" i="42" s="1"/>
  <c r="O17" i="42" s="1"/>
  <c r="AA299" i="44"/>
  <c r="N293" i="42" s="1"/>
  <c r="O293" i="42" s="1"/>
  <c r="AA295" i="44"/>
  <c r="N289" i="42" s="1"/>
  <c r="O289" i="42" s="1"/>
  <c r="AA64" i="44"/>
  <c r="N58" i="42" s="1"/>
  <c r="O58" i="42" s="1"/>
  <c r="AA283" i="44"/>
  <c r="N277" i="42" s="1"/>
  <c r="O277" i="42" s="1"/>
  <c r="AA158" i="44"/>
  <c r="N152" i="42" s="1"/>
  <c r="O152" i="42" s="1"/>
  <c r="AA47" i="44"/>
  <c r="N41" i="42" s="1"/>
  <c r="O41" i="42" s="1"/>
  <c r="AA242" i="44"/>
  <c r="N236" i="42" s="1"/>
  <c r="O236" i="42" s="1"/>
  <c r="AA82" i="44"/>
  <c r="N76" i="42" s="1"/>
  <c r="O76" i="42" s="1"/>
  <c r="AA300" i="44"/>
  <c r="N294" i="42" s="1"/>
  <c r="O294" i="42" s="1"/>
  <c r="AA163" i="44"/>
  <c r="N157" i="42" s="1"/>
  <c r="O157" i="42" s="1"/>
  <c r="AA161" i="44"/>
  <c r="N155" i="42" s="1"/>
  <c r="O155" i="42" s="1"/>
  <c r="AA349" i="44"/>
  <c r="N343" i="42" s="1"/>
  <c r="O343" i="42" s="1"/>
  <c r="AA220" i="44"/>
  <c r="N214" i="42" s="1"/>
  <c r="O214" i="42" s="1"/>
  <c r="AA328" i="44"/>
  <c r="N322" i="42" s="1"/>
  <c r="O322" i="42" s="1"/>
  <c r="AA166" i="44"/>
  <c r="N160" i="42" s="1"/>
  <c r="O160" i="42" s="1"/>
  <c r="AA243" i="44"/>
  <c r="N237" i="42" s="1"/>
  <c r="O237" i="42" s="1"/>
  <c r="AA210" i="44"/>
  <c r="N204" i="42" s="1"/>
  <c r="O204" i="42" s="1"/>
  <c r="AA208" i="44"/>
  <c r="N202" i="42" s="1"/>
  <c r="O202" i="42" s="1"/>
  <c r="AA124" i="44"/>
  <c r="N118" i="42" s="1"/>
  <c r="O118" i="42" s="1"/>
  <c r="AA133" i="44"/>
  <c r="N127" i="42" s="1"/>
  <c r="O127" i="42" s="1"/>
  <c r="AA305" i="44"/>
  <c r="N299" i="42" s="1"/>
  <c r="O299" i="42" s="1"/>
  <c r="AA293" i="44"/>
  <c r="N287" i="42" s="1"/>
  <c r="O287" i="42" s="1"/>
  <c r="AA204" i="44"/>
  <c r="N198" i="42" s="1"/>
  <c r="O198" i="42" s="1"/>
  <c r="AA237" i="44"/>
  <c r="N231" i="42" s="1"/>
  <c r="O231" i="42" s="1"/>
  <c r="AA135" i="44"/>
  <c r="N129" i="42" s="1"/>
  <c r="O129" i="42" s="1"/>
  <c r="AA40" i="44"/>
  <c r="N34" i="42" s="1"/>
  <c r="O34" i="42" s="1"/>
  <c r="AA71" i="44"/>
  <c r="N65" i="42" s="1"/>
  <c r="O65" i="42" s="1"/>
  <c r="AA273" i="44"/>
  <c r="N267" i="42" s="1"/>
  <c r="O267" i="42" s="1"/>
  <c r="AA343" i="44"/>
  <c r="N337" i="42" s="1"/>
  <c r="O337" i="42" s="1"/>
  <c r="AA224" i="44"/>
  <c r="N218" i="42" s="1"/>
  <c r="O218" i="42" s="1"/>
  <c r="AA312" i="44"/>
  <c r="N306" i="42" s="1"/>
  <c r="O306" i="42" s="1"/>
  <c r="AA334" i="44"/>
  <c r="N328" i="42" s="1"/>
  <c r="O328" i="42" s="1"/>
  <c r="AA9" i="44"/>
  <c r="AA27" i="44"/>
  <c r="N21" i="42" s="1"/>
  <c r="O21" i="42" s="1"/>
  <c r="AA60" i="44"/>
  <c r="N54" i="42" s="1"/>
  <c r="O54" i="42" s="1"/>
  <c r="AA289" i="44"/>
  <c r="N283" i="42" s="1"/>
  <c r="O283" i="42" s="1"/>
  <c r="AA285" i="44"/>
  <c r="N279" i="42" s="1"/>
  <c r="O279" i="42" s="1"/>
  <c r="AA53" i="44"/>
  <c r="N47" i="42" s="1"/>
  <c r="O47" i="42" s="1"/>
  <c r="AA122" i="44"/>
  <c r="N116" i="42" s="1"/>
  <c r="O116" i="42" s="1"/>
  <c r="AA267" i="44"/>
  <c r="N261" i="42" s="1"/>
  <c r="O261" i="42" s="1"/>
  <c r="AA195" i="44"/>
  <c r="N189" i="42" s="1"/>
  <c r="O189" i="42" s="1"/>
  <c r="AA41" i="44"/>
  <c r="N35" i="42" s="1"/>
  <c r="O35" i="42" s="1"/>
  <c r="AA14" i="44"/>
  <c r="N8" i="42" s="1"/>
  <c r="O8" i="42" s="1"/>
  <c r="AA109" i="44"/>
  <c r="N103" i="42" s="1"/>
  <c r="O103" i="42" s="1"/>
  <c r="AA352" i="44"/>
  <c r="N346" i="42" s="1"/>
  <c r="O346" i="42" s="1"/>
  <c r="AA183" i="44"/>
  <c r="N177" i="42" s="1"/>
  <c r="O177" i="42" s="1"/>
  <c r="AA155" i="44"/>
  <c r="N149" i="42" s="1"/>
  <c r="O149" i="42" s="1"/>
  <c r="AA39" i="44"/>
  <c r="N33" i="42" s="1"/>
  <c r="O33" i="42" s="1"/>
  <c r="AA164" i="44"/>
  <c r="N158" i="42" s="1"/>
  <c r="O158" i="42" s="1"/>
  <c r="AA18" i="44"/>
  <c r="N12" i="42" s="1"/>
  <c r="O12" i="42" s="1"/>
  <c r="AA154" i="44"/>
  <c r="N148" i="42" s="1"/>
  <c r="O148" i="42" s="1"/>
  <c r="AA17" i="44"/>
  <c r="N11" i="42" s="1"/>
  <c r="O11" i="42" s="1"/>
  <c r="AA260" i="44"/>
  <c r="N254" i="42" s="1"/>
  <c r="O254" i="42" s="1"/>
  <c r="AA270" i="44"/>
  <c r="N264" i="42" s="1"/>
  <c r="O264" i="42" s="1"/>
  <c r="AA231" i="44"/>
  <c r="N225" i="42" s="1"/>
  <c r="O225" i="42" s="1"/>
  <c r="AA245" i="44"/>
  <c r="N239" i="42" s="1"/>
  <c r="O239" i="42" s="1"/>
  <c r="AA225" i="44"/>
  <c r="N219" i="42" s="1"/>
  <c r="O219" i="42" s="1"/>
  <c r="AA99" i="44"/>
  <c r="N93" i="42" s="1"/>
  <c r="O93" i="42" s="1"/>
  <c r="AA84" i="44"/>
  <c r="N78" i="42" s="1"/>
  <c r="O78" i="42" s="1"/>
  <c r="AA198" i="44"/>
  <c r="N192" i="42" s="1"/>
  <c r="O192" i="42" s="1"/>
  <c r="AA73" i="44"/>
  <c r="N67" i="42" s="1"/>
  <c r="O67" i="42" s="1"/>
  <c r="AA123" i="44"/>
  <c r="N117" i="42" s="1"/>
  <c r="O117" i="42" s="1"/>
  <c r="AA130" i="44"/>
  <c r="N124" i="42" s="1"/>
  <c r="O124" i="42" s="1"/>
  <c r="AA233" i="44"/>
  <c r="N227" i="42" s="1"/>
  <c r="O227" i="42" s="1"/>
  <c r="AA239" i="44"/>
  <c r="N233" i="42" s="1"/>
  <c r="O233" i="42" s="1"/>
  <c r="AA234" i="44"/>
  <c r="N228" i="42" s="1"/>
  <c r="O228" i="42" s="1"/>
  <c r="AA326" i="44"/>
  <c r="N320" i="42" s="1"/>
  <c r="O320" i="42" s="1"/>
  <c r="AA323" i="44"/>
  <c r="N317" i="42" s="1"/>
  <c r="O317" i="42" s="1"/>
  <c r="AA351" i="44"/>
  <c r="N345" i="42" s="1"/>
  <c r="O345" i="42" s="1"/>
  <c r="AA63" i="44"/>
  <c r="N57" i="42" s="1"/>
  <c r="O57" i="42" s="1"/>
  <c r="AA30" i="44"/>
  <c r="N24" i="42" s="1"/>
  <c r="O24" i="42" s="1"/>
  <c r="AA113" i="44"/>
  <c r="N107" i="42" s="1"/>
  <c r="O107" i="42" s="1"/>
  <c r="AA88" i="44"/>
  <c r="N82" i="42" s="1"/>
  <c r="O82" i="42" s="1"/>
  <c r="AA265" i="44"/>
  <c r="N259" i="42" s="1"/>
  <c r="O259" i="42" s="1"/>
  <c r="AA16" i="44"/>
  <c r="N10" i="42" s="1"/>
  <c r="O10" i="42" s="1"/>
  <c r="AA216" i="44"/>
  <c r="N210" i="42" s="1"/>
  <c r="O210" i="42" s="1"/>
  <c r="AA350" i="44"/>
  <c r="N344" i="42" s="1"/>
  <c r="O344" i="42" s="1"/>
  <c r="AA219" i="44"/>
  <c r="N213" i="42" s="1"/>
  <c r="O213" i="42" s="1"/>
  <c r="AA331" i="44"/>
  <c r="N325" i="42" s="1"/>
  <c r="O325" i="42" s="1"/>
  <c r="AA335" i="44"/>
  <c r="N329" i="42" s="1"/>
  <c r="O329" i="42" s="1"/>
  <c r="AA49" i="44"/>
  <c r="N43" i="42" s="1"/>
  <c r="O43" i="42" s="1"/>
  <c r="AA96" i="44"/>
  <c r="N90" i="42" s="1"/>
  <c r="O90" i="42" s="1"/>
  <c r="AA111" i="44"/>
  <c r="N105" i="42" s="1"/>
  <c r="O105" i="42" s="1"/>
  <c r="AA128" i="44"/>
  <c r="N122" i="42" s="1"/>
  <c r="O122" i="42" s="1"/>
  <c r="AA85" i="44"/>
  <c r="N79" i="42" s="1"/>
  <c r="O79" i="42" s="1"/>
  <c r="AA263" i="44"/>
  <c r="N257" i="42" s="1"/>
  <c r="O257" i="42" s="1"/>
  <c r="AA316" i="44"/>
  <c r="N310" i="42" s="1"/>
  <c r="O310" i="42" s="1"/>
  <c r="AA333" i="44"/>
  <c r="N327" i="42" s="1"/>
  <c r="O327" i="42" s="1"/>
  <c r="AA240" i="44"/>
  <c r="N234" i="42" s="1"/>
  <c r="O234" i="42" s="1"/>
  <c r="AA116" i="44"/>
  <c r="N110" i="42" s="1"/>
  <c r="O110" i="42" s="1"/>
  <c r="AA182" i="44"/>
  <c r="N176" i="42" s="1"/>
  <c r="O176" i="42" s="1"/>
  <c r="AA287" i="44"/>
  <c r="N281" i="42" s="1"/>
  <c r="O281" i="42" s="1"/>
  <c r="AA291" i="44"/>
  <c r="N285" i="42" s="1"/>
  <c r="O285" i="42" s="1"/>
  <c r="AA252" i="44"/>
  <c r="N246" i="42" s="1"/>
  <c r="O246" i="42" s="1"/>
  <c r="AA336" i="44"/>
  <c r="N330" i="42" s="1"/>
  <c r="O330" i="42" s="1"/>
  <c r="AA235" i="44"/>
  <c r="N229" i="42" s="1"/>
  <c r="O229" i="42" s="1"/>
  <c r="AA307" i="44"/>
  <c r="N301" i="42" s="1"/>
  <c r="O301" i="42" s="1"/>
  <c r="AA176" i="44"/>
  <c r="N170" i="42" s="1"/>
  <c r="O170" i="42" s="1"/>
  <c r="AA104" i="44"/>
  <c r="N98" i="42" s="1"/>
  <c r="O98" i="42" s="1"/>
  <c r="AA50" i="44"/>
  <c r="N44" i="42" s="1"/>
  <c r="O44" i="42" s="1"/>
  <c r="AA327" i="44"/>
  <c r="N321" i="42" s="1"/>
  <c r="O321" i="42" s="1"/>
  <c r="AA145" i="44"/>
  <c r="N139" i="42" s="1"/>
  <c r="O139" i="42" s="1"/>
  <c r="AA131" i="44"/>
  <c r="N125" i="42" s="1"/>
  <c r="O125" i="42" s="1"/>
  <c r="AA296" i="44"/>
  <c r="N290" i="42" s="1"/>
  <c r="O290" i="42" s="1"/>
  <c r="AA321" i="44"/>
  <c r="N315" i="42" s="1"/>
  <c r="O315" i="42" s="1"/>
  <c r="AA188" i="44"/>
  <c r="N182" i="42" s="1"/>
  <c r="O182" i="42" s="1"/>
  <c r="AA11" i="44"/>
  <c r="N5" i="42" s="1"/>
  <c r="O5" i="42" s="1"/>
  <c r="AA58" i="44"/>
  <c r="N52" i="42" s="1"/>
  <c r="O52" i="42" s="1"/>
  <c r="AA317" i="44"/>
  <c r="N311" i="42" s="1"/>
  <c r="O311" i="42" s="1"/>
  <c r="AA46" i="44"/>
  <c r="N40" i="42" s="1"/>
  <c r="O40" i="42" s="1"/>
  <c r="AA152" i="44"/>
  <c r="N146" i="42" s="1"/>
  <c r="O146" i="42" s="1"/>
  <c r="AA160" i="44"/>
  <c r="N154" i="42" s="1"/>
  <c r="O154" i="42" s="1"/>
  <c r="AA330" i="44"/>
  <c r="N324" i="42" s="1"/>
  <c r="O324" i="42" s="1"/>
  <c r="AD3" i="31"/>
  <c r="Y5" i="29" s="1"/>
  <c r="Z5" i="29" s="1"/>
  <c r="AD4" i="31"/>
  <c r="R105" i="44"/>
  <c r="S105" i="44" s="1"/>
  <c r="R32" i="44"/>
  <c r="S32" i="44" s="1"/>
  <c r="R52" i="44"/>
  <c r="S52" i="44" s="1"/>
  <c r="R253" i="44"/>
  <c r="S253" i="44" s="1"/>
  <c r="R145" i="44"/>
  <c r="S145" i="44" s="1"/>
  <c r="R328" i="44"/>
  <c r="S328" i="44" s="1"/>
  <c r="R17" i="44"/>
  <c r="S17" i="44" s="1"/>
  <c r="R315" i="44"/>
  <c r="S315" i="44" s="1"/>
  <c r="R217" i="44"/>
  <c r="S217" i="44" s="1"/>
  <c r="R348" i="44"/>
  <c r="S348" i="44" s="1"/>
  <c r="R22" i="44"/>
  <c r="S22" i="44" s="1"/>
  <c r="R171" i="44"/>
  <c r="S171" i="44" s="1"/>
  <c r="R120" i="44"/>
  <c r="S120" i="44" s="1"/>
  <c r="R240" i="44"/>
  <c r="S240" i="44" s="1"/>
  <c r="R344" i="44"/>
  <c r="S344" i="44" s="1"/>
  <c r="R78" i="44"/>
  <c r="S78" i="44" s="1"/>
  <c r="R270" i="44"/>
  <c r="S270" i="44" s="1"/>
  <c r="R314" i="44"/>
  <c r="S314" i="44" s="1"/>
  <c r="R74" i="44"/>
  <c r="S74" i="44" s="1"/>
  <c r="R46" i="44"/>
  <c r="S46" i="44" s="1"/>
  <c r="R211" i="44"/>
  <c r="S211" i="44" s="1"/>
  <c r="R143" i="44"/>
  <c r="S143" i="44" s="1"/>
  <c r="R353" i="44"/>
  <c r="S353" i="44" s="1"/>
  <c r="R95" i="44"/>
  <c r="S95" i="44" s="1"/>
  <c r="R201" i="44"/>
  <c r="S201" i="44" s="1"/>
  <c r="R330" i="44"/>
  <c r="S330" i="44" s="1"/>
  <c r="R210" i="44"/>
  <c r="S210" i="44" s="1"/>
  <c r="R276" i="44"/>
  <c r="S276" i="44" s="1"/>
  <c r="R189" i="44"/>
  <c r="S189" i="44" s="1"/>
  <c r="R291" i="44"/>
  <c r="S291" i="44" s="1"/>
  <c r="R69" i="44"/>
  <c r="S69" i="44" s="1"/>
  <c r="R239" i="44"/>
  <c r="S239" i="44" s="1"/>
  <c r="R118" i="44"/>
  <c r="S118" i="44" s="1"/>
  <c r="R345" i="44"/>
  <c r="S345" i="44" s="1"/>
  <c r="R252" i="44"/>
  <c r="S252" i="44" s="1"/>
  <c r="R213" i="44"/>
  <c r="S213" i="44" s="1"/>
  <c r="R250" i="44"/>
  <c r="S250" i="44" s="1"/>
  <c r="R204" i="44"/>
  <c r="S204" i="44" s="1"/>
  <c r="R304" i="44"/>
  <c r="S304" i="44" s="1"/>
  <c r="R82" i="44"/>
  <c r="S82" i="44" s="1"/>
  <c r="R238" i="44"/>
  <c r="S238" i="44" s="1"/>
  <c r="R228" i="44"/>
  <c r="S228" i="44" s="1"/>
  <c r="R126" i="44"/>
  <c r="S126" i="44" s="1"/>
  <c r="R129" i="44"/>
  <c r="S129" i="44" s="1"/>
  <c r="R35" i="44"/>
  <c r="S35" i="44" s="1"/>
  <c r="R121" i="44"/>
  <c r="S121" i="44" s="1"/>
  <c r="R61" i="44"/>
  <c r="S61" i="44" s="1"/>
  <c r="R337" i="44"/>
  <c r="S337" i="44" s="1"/>
  <c r="R354" i="44"/>
  <c r="S354" i="44" s="1"/>
  <c r="R9" i="44"/>
  <c r="S9" i="44" s="1"/>
  <c r="R295" i="44"/>
  <c r="S295" i="44" s="1"/>
  <c r="R284" i="44"/>
  <c r="S284" i="44" s="1"/>
  <c r="R175" i="44"/>
  <c r="S175" i="44" s="1"/>
  <c r="R53" i="44"/>
  <c r="S53" i="44" s="1"/>
  <c r="R123" i="44"/>
  <c r="S123" i="44" s="1"/>
  <c r="R104" i="44"/>
  <c r="S104" i="44" s="1"/>
  <c r="R340" i="44"/>
  <c r="S340" i="44" s="1"/>
  <c r="R77" i="44"/>
  <c r="S77" i="44" s="1"/>
  <c r="R205" i="44"/>
  <c r="S205" i="44" s="1"/>
  <c r="R10" i="44"/>
  <c r="S10" i="44" s="1"/>
  <c r="R323" i="44"/>
  <c r="S323" i="44" s="1"/>
  <c r="R73" i="44"/>
  <c r="S73" i="44" s="1"/>
  <c r="R285" i="44"/>
  <c r="S285" i="44" s="1"/>
  <c r="R310" i="44"/>
  <c r="S310" i="44" s="1"/>
  <c r="R269" i="44"/>
  <c r="S269" i="44" s="1"/>
  <c r="R115" i="44"/>
  <c r="S115" i="44" s="1"/>
  <c r="R55" i="44"/>
  <c r="S55" i="44" s="1"/>
  <c r="R11" i="44"/>
  <c r="S11" i="44" s="1"/>
  <c r="R234" i="44"/>
  <c r="S234" i="44" s="1"/>
  <c r="R75" i="44"/>
  <c r="S75" i="44" s="1"/>
  <c r="R180" i="44"/>
  <c r="S180" i="44" s="1"/>
  <c r="R128" i="44"/>
  <c r="S128" i="44" s="1"/>
  <c r="R156" i="44"/>
  <c r="S156" i="44" s="1"/>
  <c r="R182" i="44"/>
  <c r="S182" i="44" s="1"/>
  <c r="R106" i="44"/>
  <c r="S106" i="44" s="1"/>
  <c r="R233" i="44"/>
  <c r="S233" i="44" s="1"/>
  <c r="R293" i="44"/>
  <c r="S293" i="44" s="1"/>
  <c r="R146" i="44"/>
  <c r="S146" i="44" s="1"/>
  <c r="R144" i="44"/>
  <c r="S144" i="44" s="1"/>
  <c r="R112" i="44"/>
  <c r="S112" i="44" s="1"/>
  <c r="R76" i="44"/>
  <c r="S76" i="44" s="1"/>
  <c r="R319" i="44"/>
  <c r="S319" i="44" s="1"/>
  <c r="R246" i="44"/>
  <c r="S246" i="44" s="1"/>
  <c r="R70" i="44"/>
  <c r="S70" i="44" s="1"/>
  <c r="R209" i="44"/>
  <c r="S209" i="44" s="1"/>
  <c r="R114" i="44"/>
  <c r="S114" i="44" s="1"/>
  <c r="R289" i="44"/>
  <c r="S289" i="44" s="1"/>
  <c r="R101" i="44"/>
  <c r="S101" i="44" s="1"/>
  <c r="R264" i="44"/>
  <c r="S264" i="44" s="1"/>
  <c r="R265" i="44"/>
  <c r="S265" i="44" s="1"/>
  <c r="R15" i="44"/>
  <c r="S15" i="44" s="1"/>
  <c r="R116" i="44"/>
  <c r="S116" i="44" s="1"/>
  <c r="R266" i="44"/>
  <c r="S266" i="44" s="1"/>
  <c r="R45" i="44"/>
  <c r="S45" i="44" s="1"/>
  <c r="R159" i="44"/>
  <c r="S159" i="44" s="1"/>
  <c r="R147" i="44"/>
  <c r="S147" i="44" s="1"/>
  <c r="R98" i="44"/>
  <c r="S98" i="44" s="1"/>
  <c r="R296" i="44"/>
  <c r="S296" i="44" s="1"/>
  <c r="R236" i="44"/>
  <c r="S236" i="44" s="1"/>
  <c r="R325" i="44"/>
  <c r="S325" i="44" s="1"/>
  <c r="R134" i="44"/>
  <c r="S134" i="44" s="1"/>
  <c r="R62" i="44"/>
  <c r="S62" i="44" s="1"/>
  <c r="R14" i="44"/>
  <c r="S14" i="44" s="1"/>
  <c r="R312" i="44"/>
  <c r="S312" i="44" s="1"/>
  <c r="R218" i="44"/>
  <c r="S218" i="44" s="1"/>
  <c r="R231" i="44"/>
  <c r="S231" i="44" s="1"/>
  <c r="R206" i="44"/>
  <c r="S206" i="44" s="1"/>
  <c r="R247" i="44"/>
  <c r="S247" i="44" s="1"/>
  <c r="R140" i="44"/>
  <c r="S140" i="44" s="1"/>
  <c r="R152" i="44"/>
  <c r="S152" i="44" s="1"/>
  <c r="R119" i="44"/>
  <c r="S119" i="44" s="1"/>
  <c r="R51" i="44"/>
  <c r="S51" i="44" s="1"/>
  <c r="R165" i="44"/>
  <c r="S165" i="44" s="1"/>
  <c r="R336" i="44"/>
  <c r="S336" i="44" s="1"/>
  <c r="R12" i="44"/>
  <c r="S12" i="44" s="1"/>
  <c r="R187" i="44"/>
  <c r="S187" i="44" s="1"/>
  <c r="R40" i="44"/>
  <c r="S40" i="44" s="1"/>
  <c r="R31" i="44"/>
  <c r="S31" i="44" s="1"/>
  <c r="R107" i="44"/>
  <c r="S107" i="44" s="1"/>
  <c r="R193" i="44"/>
  <c r="S193" i="44" s="1"/>
  <c r="R131" i="44"/>
  <c r="S131" i="44" s="1"/>
  <c r="R245" i="44"/>
  <c r="S245" i="44" s="1"/>
  <c r="R298" i="44"/>
  <c r="S298" i="44" s="1"/>
  <c r="R221" i="44"/>
  <c r="S221" i="44" s="1"/>
  <c r="R343" i="44"/>
  <c r="S343" i="44" s="1"/>
  <c r="R113" i="44"/>
  <c r="S113" i="44" s="1"/>
  <c r="R331" i="44"/>
  <c r="S331" i="44" s="1"/>
  <c r="R133" i="44"/>
  <c r="S133" i="44" s="1"/>
  <c r="R92" i="44"/>
  <c r="S92" i="44" s="1"/>
  <c r="R225" i="44"/>
  <c r="S225" i="44" s="1"/>
  <c r="R332" i="44"/>
  <c r="S332" i="44" s="1"/>
  <c r="R16" i="44"/>
  <c r="S16" i="44" s="1"/>
  <c r="R177" i="44"/>
  <c r="S177" i="44" s="1"/>
  <c r="R102" i="44"/>
  <c r="S102" i="44" s="1"/>
  <c r="R125" i="44"/>
  <c r="S125" i="44" s="1"/>
  <c r="R271" i="44"/>
  <c r="S271" i="44" s="1"/>
  <c r="R167" i="44"/>
  <c r="S167" i="44" s="1"/>
  <c r="R256" i="44"/>
  <c r="S256" i="44" s="1"/>
  <c r="R84" i="44"/>
  <c r="S84" i="44" s="1"/>
  <c r="R346" i="44"/>
  <c r="S346" i="44" s="1"/>
  <c r="R13" i="44"/>
  <c r="S13" i="44" s="1"/>
  <c r="R219" i="44"/>
  <c r="S219" i="44" s="1"/>
  <c r="R191" i="44"/>
  <c r="S191" i="44" s="1"/>
  <c r="R235" i="44"/>
  <c r="S235" i="44" s="1"/>
  <c r="R173" i="44"/>
  <c r="S173" i="44" s="1"/>
  <c r="R79" i="44"/>
  <c r="S79" i="44" s="1"/>
  <c r="R226" i="44"/>
  <c r="S226" i="44" s="1"/>
  <c r="R127" i="44"/>
  <c r="S127" i="44" s="1"/>
  <c r="R214" i="44"/>
  <c r="S214" i="44" s="1"/>
  <c r="R161" i="44"/>
  <c r="S161" i="44" s="1"/>
  <c r="R227" i="44"/>
  <c r="S227" i="44" s="1"/>
  <c r="R93" i="44"/>
  <c r="S93" i="44" s="1"/>
  <c r="R352" i="44"/>
  <c r="S352" i="44" s="1"/>
  <c r="R287" i="44"/>
  <c r="S287" i="44" s="1"/>
  <c r="R23" i="44"/>
  <c r="S23" i="44" s="1"/>
  <c r="R292" i="44"/>
  <c r="S292" i="44" s="1"/>
  <c r="R26" i="44"/>
  <c r="S26" i="44" s="1"/>
  <c r="R54" i="44"/>
  <c r="S54" i="44" s="1"/>
  <c r="R124" i="44"/>
  <c r="S124" i="44" s="1"/>
  <c r="R186" i="44"/>
  <c r="S186" i="44" s="1"/>
  <c r="R47" i="44"/>
  <c r="S47" i="44" s="1"/>
  <c r="R67" i="44"/>
  <c r="S67" i="44" s="1"/>
  <c r="R87" i="44"/>
  <c r="S87" i="44" s="1"/>
  <c r="R172" i="44"/>
  <c r="S172" i="44" s="1"/>
  <c r="R110" i="44"/>
  <c r="S110" i="44" s="1"/>
  <c r="R48" i="44"/>
  <c r="S48" i="44" s="1"/>
  <c r="R222" i="44"/>
  <c r="S222" i="44" s="1"/>
  <c r="R215" i="44"/>
  <c r="S215" i="44" s="1"/>
  <c r="R301" i="44"/>
  <c r="S301" i="44" s="1"/>
  <c r="R202" i="44"/>
  <c r="S202" i="44" s="1"/>
  <c r="R179" i="44"/>
  <c r="S179" i="44" s="1"/>
  <c r="R280" i="44"/>
  <c r="S280" i="44" s="1"/>
  <c r="R242" i="44"/>
  <c r="S242" i="44" s="1"/>
  <c r="R322" i="44"/>
  <c r="S322" i="44" s="1"/>
  <c r="R96" i="44"/>
  <c r="S96" i="44" s="1"/>
  <c r="R181" i="44"/>
  <c r="S181" i="44" s="1"/>
  <c r="R311" i="44"/>
  <c r="S311" i="44" s="1"/>
  <c r="R263" i="44"/>
  <c r="S263" i="44" s="1"/>
  <c r="R254" i="44"/>
  <c r="S254" i="44" s="1"/>
  <c r="R290" i="44"/>
  <c r="S290" i="44" s="1"/>
  <c r="R80" i="44"/>
  <c r="S80" i="44" s="1"/>
  <c r="R267" i="44"/>
  <c r="S267" i="44" s="1"/>
  <c r="R37" i="44"/>
  <c r="S37" i="44" s="1"/>
  <c r="R68" i="44"/>
  <c r="S68" i="44" s="1"/>
  <c r="R99" i="44"/>
  <c r="S99" i="44" s="1"/>
  <c r="R306" i="44"/>
  <c r="S306" i="44" s="1"/>
  <c r="R229" i="44"/>
  <c r="S229" i="44" s="1"/>
  <c r="R282" i="44"/>
  <c r="S282" i="44" s="1"/>
  <c r="R184" i="44"/>
  <c r="S184" i="44" s="1"/>
  <c r="R141" i="44"/>
  <c r="S141" i="44" s="1"/>
  <c r="R333" i="44"/>
  <c r="S333" i="44" s="1"/>
  <c r="R334" i="44"/>
  <c r="S334" i="44" s="1"/>
  <c r="R100" i="44"/>
  <c r="S100" i="44" s="1"/>
  <c r="R335" i="44"/>
  <c r="S335" i="44" s="1"/>
  <c r="R185" i="44"/>
  <c r="S185" i="44" s="1"/>
  <c r="R286" i="44"/>
  <c r="S286" i="44" s="1"/>
  <c r="R257" i="44"/>
  <c r="S257" i="44" s="1"/>
  <c r="R154" i="44"/>
  <c r="S154" i="44" s="1"/>
  <c r="R259" i="44"/>
  <c r="S259" i="44" s="1"/>
  <c r="R261" i="44"/>
  <c r="S261" i="44" s="1"/>
  <c r="R162" i="44"/>
  <c r="S162" i="44" s="1"/>
  <c r="R327" i="44"/>
  <c r="S327" i="44" s="1"/>
  <c r="R275" i="44"/>
  <c r="S275" i="44" s="1"/>
  <c r="R278" i="44"/>
  <c r="S278" i="44" s="1"/>
  <c r="R307" i="44"/>
  <c r="S307" i="44" s="1"/>
  <c r="R132" i="44"/>
  <c r="S132" i="44" s="1"/>
  <c r="R347" i="44"/>
  <c r="S347" i="44" s="1"/>
  <c r="R63" i="44"/>
  <c r="S63" i="44" s="1"/>
  <c r="R41" i="44"/>
  <c r="S41" i="44" s="1"/>
  <c r="R64" i="44"/>
  <c r="S64" i="44" s="1"/>
  <c r="R86" i="44"/>
  <c r="S86" i="44" s="1"/>
  <c r="R20" i="44"/>
  <c r="S20" i="44" s="1"/>
  <c r="R42" i="44"/>
  <c r="S42" i="44" s="1"/>
  <c r="R65" i="44"/>
  <c r="S65" i="44" s="1"/>
  <c r="R321" i="44"/>
  <c r="S321" i="44" s="1"/>
  <c r="R56" i="44"/>
  <c r="S56" i="44" s="1"/>
  <c r="R168" i="44"/>
  <c r="S168" i="44" s="1"/>
  <c r="R277" i="44"/>
  <c r="S277" i="44" s="1"/>
  <c r="R192" i="44"/>
  <c r="S192" i="44" s="1"/>
  <c r="R212" i="44"/>
  <c r="S212" i="44" s="1"/>
  <c r="R138" i="44"/>
  <c r="S138" i="44" s="1"/>
  <c r="R36" i="44"/>
  <c r="S36" i="44" s="1"/>
  <c r="R313" i="44"/>
  <c r="S313" i="44" s="1"/>
  <c r="R308" i="44"/>
  <c r="S308" i="44" s="1"/>
  <c r="R135" i="44"/>
  <c r="S135" i="44" s="1"/>
  <c r="R288" i="44"/>
  <c r="S288" i="44" s="1"/>
  <c r="R183" i="44"/>
  <c r="S183" i="44" s="1"/>
  <c r="R89" i="44"/>
  <c r="S89" i="44" s="1"/>
  <c r="R320" i="44"/>
  <c r="S320" i="44" s="1"/>
  <c r="R174" i="44"/>
  <c r="S174" i="44" s="1"/>
  <c r="R19" i="44"/>
  <c r="S19" i="44" s="1"/>
  <c r="R258" i="44"/>
  <c r="S258" i="44" s="1"/>
  <c r="R300" i="44"/>
  <c r="S300" i="44" s="1"/>
  <c r="R342" i="44"/>
  <c r="S342" i="44" s="1"/>
  <c r="R195" i="44"/>
  <c r="S195" i="44" s="1"/>
  <c r="R237" i="44"/>
  <c r="S237" i="44" s="1"/>
  <c r="R279" i="44"/>
  <c r="S279" i="44" s="1"/>
  <c r="R24" i="44"/>
  <c r="S24" i="44" s="1"/>
  <c r="R142" i="44"/>
  <c r="S142" i="44" s="1"/>
  <c r="R59" i="44"/>
  <c r="S59" i="44" s="1"/>
  <c r="R194" i="44"/>
  <c r="S194" i="44" s="1"/>
  <c r="R273" i="44"/>
  <c r="S273" i="44" s="1"/>
  <c r="R148" i="44"/>
  <c r="S148" i="44" s="1"/>
  <c r="R294" i="44"/>
  <c r="S294" i="44" s="1"/>
  <c r="R272" i="44"/>
  <c r="S272" i="44" s="1"/>
  <c r="R255" i="44"/>
  <c r="S255" i="44" s="1"/>
  <c r="R190" i="44"/>
  <c r="S190" i="44" s="1"/>
  <c r="R208" i="44"/>
  <c r="S208" i="44" s="1"/>
  <c r="R163" i="44"/>
  <c r="S163" i="44" s="1"/>
  <c r="R232" i="44"/>
  <c r="S232" i="44" s="1"/>
  <c r="R338" i="44"/>
  <c r="S338" i="44" s="1"/>
  <c r="R317" i="44"/>
  <c r="S317" i="44" s="1"/>
  <c r="R188" i="44"/>
  <c r="S188" i="44" s="1"/>
  <c r="R97" i="44"/>
  <c r="S97" i="44" s="1"/>
  <c r="R196" i="44"/>
  <c r="S196" i="44" s="1"/>
  <c r="R203" i="44"/>
  <c r="S203" i="44" s="1"/>
  <c r="R150" i="44"/>
  <c r="S150" i="44" s="1"/>
  <c r="R149" i="44"/>
  <c r="S149" i="44" s="1"/>
  <c r="R164" i="44"/>
  <c r="S164" i="44" s="1"/>
  <c r="R39" i="44"/>
  <c r="S39" i="44" s="1"/>
  <c r="R243" i="44"/>
  <c r="S243" i="44" s="1"/>
  <c r="R44" i="44"/>
  <c r="S44" i="44" s="1"/>
  <c r="R43" i="44"/>
  <c r="S43" i="44" s="1"/>
  <c r="R316" i="44"/>
  <c r="S316" i="44" s="1"/>
  <c r="R83" i="44"/>
  <c r="S83" i="44" s="1"/>
  <c r="R103" i="44"/>
  <c r="S103" i="44" s="1"/>
  <c r="R27" i="44"/>
  <c r="S27" i="44" s="1"/>
  <c r="R109" i="44"/>
  <c r="S109" i="44" s="1"/>
  <c r="R130" i="44"/>
  <c r="S130" i="44" s="1"/>
  <c r="R151" i="44"/>
  <c r="S151" i="44" s="1"/>
  <c r="R88" i="44"/>
  <c r="S88" i="44" s="1"/>
  <c r="R25" i="44"/>
  <c r="S25" i="44" s="1"/>
  <c r="R85" i="44"/>
  <c r="S85" i="44" s="1"/>
  <c r="R207" i="44"/>
  <c r="S207" i="44" s="1"/>
  <c r="R71" i="44"/>
  <c r="S71" i="44" s="1"/>
  <c r="R94" i="44"/>
  <c r="S94" i="44" s="1"/>
  <c r="R136" i="44"/>
  <c r="S136" i="44" s="1"/>
  <c r="R299" i="44"/>
  <c r="S299" i="44" s="1"/>
  <c r="R178" i="44"/>
  <c r="S178" i="44" s="1"/>
  <c r="R341" i="44"/>
  <c r="S341" i="44" s="1"/>
  <c r="R216" i="44"/>
  <c r="S216" i="44" s="1"/>
  <c r="R66" i="44"/>
  <c r="S66" i="44" s="1"/>
  <c r="R111" i="44"/>
  <c r="S111" i="44" s="1"/>
  <c r="R153" i="44"/>
  <c r="S153" i="44" s="1"/>
  <c r="R28" i="44"/>
  <c r="S28" i="44" s="1"/>
  <c r="R50" i="44"/>
  <c r="S50" i="44" s="1"/>
  <c r="R72" i="44"/>
  <c r="S72" i="44" s="1"/>
  <c r="R117" i="44"/>
  <c r="S117" i="44" s="1"/>
  <c r="R351" i="44"/>
  <c r="S351" i="44" s="1"/>
  <c r="R155" i="44"/>
  <c r="S155" i="44" s="1"/>
  <c r="R49" i="44"/>
  <c r="S49" i="44" s="1"/>
  <c r="R224" i="44"/>
  <c r="S224" i="44" s="1"/>
  <c r="R303" i="44"/>
  <c r="S303" i="44" s="1"/>
  <c r="R350" i="44"/>
  <c r="S350" i="44" s="1"/>
  <c r="R157" i="44"/>
  <c r="S157" i="44" s="1"/>
  <c r="R324" i="44"/>
  <c r="S324" i="44" s="1"/>
  <c r="R199" i="44"/>
  <c r="S199" i="44" s="1"/>
  <c r="R21" i="44"/>
  <c r="S21" i="44" s="1"/>
  <c r="R241" i="44"/>
  <c r="S241" i="44" s="1"/>
  <c r="R262" i="44"/>
  <c r="S262" i="44" s="1"/>
  <c r="R283" i="44"/>
  <c r="S283" i="44" s="1"/>
  <c r="R29" i="44"/>
  <c r="S29" i="44" s="1"/>
  <c r="R57" i="44"/>
  <c r="S57" i="44" s="1"/>
  <c r="R90" i="44"/>
  <c r="S90" i="44" s="1"/>
  <c r="R326" i="44"/>
  <c r="S326" i="44" s="1"/>
  <c r="R38" i="44"/>
  <c r="S38" i="44" s="1"/>
  <c r="R33" i="44"/>
  <c r="S33" i="44" s="1"/>
  <c r="R166" i="44"/>
  <c r="S166" i="44" s="1"/>
  <c r="R160" i="44"/>
  <c r="S160" i="44" s="1"/>
  <c r="R309" i="44"/>
  <c r="S309" i="44" s="1"/>
  <c r="R60" i="44"/>
  <c r="S60" i="44" s="1"/>
  <c r="R297" i="44"/>
  <c r="S297" i="44" s="1"/>
  <c r="R58" i="44"/>
  <c r="S58" i="44" s="1"/>
  <c r="R349" i="44"/>
  <c r="S349" i="44" s="1"/>
  <c r="R220" i="44"/>
  <c r="S220" i="44" s="1"/>
  <c r="R318" i="44"/>
  <c r="S318" i="44" s="1"/>
  <c r="R18" i="44"/>
  <c r="S18" i="44" s="1"/>
  <c r="R244" i="44"/>
  <c r="S244" i="44" s="1"/>
  <c r="R249" i="44"/>
  <c r="S249" i="44" s="1"/>
  <c r="R274" i="44"/>
  <c r="S274" i="44" s="1"/>
  <c r="R302" i="44"/>
  <c r="S302" i="44" s="1"/>
  <c r="R281" i="44"/>
  <c r="S281" i="44" s="1"/>
  <c r="R329" i="44"/>
  <c r="S329" i="44" s="1"/>
  <c r="R268" i="44"/>
  <c r="S268" i="44" s="1"/>
  <c r="R248" i="44"/>
  <c r="S248" i="44" s="1"/>
  <c r="R122" i="44"/>
  <c r="S122" i="44" s="1"/>
  <c r="R139" i="44"/>
  <c r="S139" i="44" s="1"/>
  <c r="R108" i="44"/>
  <c r="S108" i="44" s="1"/>
  <c r="R30" i="44"/>
  <c r="S30" i="44" s="1"/>
  <c r="R200" i="44"/>
  <c r="S200" i="44" s="1"/>
  <c r="R91" i="44"/>
  <c r="S91" i="44" s="1"/>
  <c r="R81" i="44"/>
  <c r="S81" i="44" s="1"/>
  <c r="R169" i="44"/>
  <c r="S169" i="44" s="1"/>
  <c r="R197" i="44"/>
  <c r="S197" i="44" s="1"/>
  <c r="R223" i="44"/>
  <c r="S223" i="44" s="1"/>
  <c r="R305" i="44"/>
  <c r="S305" i="44" s="1"/>
  <c r="R34" i="44"/>
  <c r="S34" i="44" s="1"/>
  <c r="R176" i="44"/>
  <c r="S176" i="44" s="1"/>
  <c r="R251" i="44"/>
  <c r="S251" i="44" s="1"/>
  <c r="R137" i="44"/>
  <c r="S137" i="44" s="1"/>
  <c r="R339" i="44"/>
  <c r="S339" i="44" s="1"/>
  <c r="R198" i="44"/>
  <c r="S198" i="44" s="1"/>
  <c r="R170" i="44"/>
  <c r="S170" i="44" s="1"/>
  <c r="R230" i="44"/>
  <c r="S230" i="44" s="1"/>
  <c r="R158" i="44"/>
  <c r="S158" i="44" s="1"/>
  <c r="BH4" i="31"/>
  <c r="BH3" i="31"/>
  <c r="Y10" i="29" s="1"/>
  <c r="Z10" i="29" s="1"/>
  <c r="BN3" i="31"/>
  <c r="Y11" i="29" s="1"/>
  <c r="Z11" i="29" s="1"/>
  <c r="L3" i="31"/>
  <c r="Y2" i="29" s="1"/>
  <c r="BN354" i="31"/>
  <c r="L354" i="31"/>
  <c r="R4" i="31"/>
  <c r="R3" i="31"/>
  <c r="Y3" i="29" s="1"/>
  <c r="Z3" i="29" s="1"/>
  <c r="G39" i="29"/>
  <c r="G4" i="29"/>
  <c r="G2" i="29"/>
  <c r="AP4" i="31"/>
  <c r="G48" i="29"/>
  <c r="X4" i="31"/>
  <c r="G7" i="29"/>
  <c r="H43" i="29" s="1"/>
  <c r="B43" i="29" s="1"/>
  <c r="AP3" i="31"/>
  <c r="X3" i="31"/>
  <c r="Y4" i="29" s="1"/>
  <c r="Z4" i="29" s="1"/>
  <c r="O14" i="29"/>
  <c r="BT3" i="31"/>
  <c r="Y12" i="29" s="1"/>
  <c r="Z12" i="29" s="1"/>
  <c r="BT4" i="31"/>
  <c r="G6" i="29"/>
  <c r="H42" i="29" s="1"/>
  <c r="B42" i="29" s="1"/>
  <c r="H46" i="29"/>
  <c r="B46" i="29" s="1"/>
  <c r="BE4" i="31"/>
  <c r="BZ354" i="31"/>
  <c r="BZ4" i="31"/>
  <c r="BZ3" i="31"/>
  <c r="G49" i="29"/>
  <c r="G13" i="29"/>
  <c r="AV354" i="31"/>
  <c r="AV3" i="31"/>
  <c r="AV4" i="31"/>
  <c r="H39" i="29"/>
  <c r="O4" i="31"/>
  <c r="G8" i="29"/>
  <c r="G44" i="29"/>
  <c r="F14" i="29"/>
  <c r="H45" i="29"/>
  <c r="B45" i="29" s="1"/>
  <c r="AY4" i="31"/>
  <c r="Y9" i="29"/>
  <c r="Z9" i="29" s="1"/>
  <c r="BB2" i="31"/>
  <c r="H48" i="29"/>
  <c r="BQ4" i="31"/>
  <c r="Y246" i="46" l="1"/>
  <c r="V241" i="53"/>
  <c r="Y195" i="46"/>
  <c r="V190" i="53"/>
  <c r="Y310" i="46"/>
  <c r="V305" i="53"/>
  <c r="Y75" i="46"/>
  <c r="V70" i="53"/>
  <c r="Y250" i="46"/>
  <c r="V245" i="53"/>
  <c r="Y324" i="46"/>
  <c r="V319" i="53"/>
  <c r="Y98" i="46"/>
  <c r="V93" i="53"/>
  <c r="Y335" i="46"/>
  <c r="V330" i="53"/>
  <c r="Y52" i="46"/>
  <c r="V47" i="53"/>
  <c r="Y265" i="46"/>
  <c r="V260" i="53"/>
  <c r="Y316" i="46"/>
  <c r="V311" i="53"/>
  <c r="Y266" i="46"/>
  <c r="V261" i="53"/>
  <c r="Y311" i="46"/>
  <c r="V306" i="53"/>
  <c r="Y330" i="46"/>
  <c r="V325" i="53"/>
  <c r="Y334" i="46"/>
  <c r="V329" i="53"/>
  <c r="Y151" i="46"/>
  <c r="V146" i="53"/>
  <c r="Y211" i="46"/>
  <c r="V206" i="53"/>
  <c r="Y135" i="46"/>
  <c r="V130" i="53"/>
  <c r="Y42" i="46"/>
  <c r="V37" i="53"/>
  <c r="Y95" i="46"/>
  <c r="V90" i="53"/>
  <c r="Y187" i="46"/>
  <c r="V182" i="53"/>
  <c r="Y191" i="46"/>
  <c r="V186" i="53"/>
  <c r="Y25" i="46"/>
  <c r="V20" i="53"/>
  <c r="Y127" i="46"/>
  <c r="V122" i="53"/>
  <c r="Y41" i="46"/>
  <c r="V36" i="53"/>
  <c r="Y350" i="46"/>
  <c r="V345" i="53"/>
  <c r="Y61" i="46"/>
  <c r="V56" i="53"/>
  <c r="Y290" i="46"/>
  <c r="V285" i="53"/>
  <c r="Y48" i="46"/>
  <c r="V43" i="53"/>
  <c r="Y337" i="46"/>
  <c r="V332" i="53"/>
  <c r="Y46" i="46"/>
  <c r="V41" i="53"/>
  <c r="Y346" i="46"/>
  <c r="V341" i="53"/>
  <c r="Y104" i="46"/>
  <c r="V99" i="53"/>
  <c r="Y244" i="46"/>
  <c r="V239" i="53"/>
  <c r="Y198" i="46"/>
  <c r="V193" i="53"/>
  <c r="Y142" i="46"/>
  <c r="V137" i="53"/>
  <c r="Y12" i="46"/>
  <c r="V7" i="53"/>
  <c r="Y11" i="46"/>
  <c r="V6" i="53"/>
  <c r="Y112" i="46"/>
  <c r="V107" i="53"/>
  <c r="Y140" i="46"/>
  <c r="V135" i="53"/>
  <c r="Y259" i="46"/>
  <c r="V254" i="53"/>
  <c r="Y111" i="46"/>
  <c r="V106" i="53"/>
  <c r="Y205" i="46"/>
  <c r="V200" i="53"/>
  <c r="Y89" i="46"/>
  <c r="V84" i="53"/>
  <c r="Y233" i="46"/>
  <c r="V228" i="53"/>
  <c r="Y162" i="46"/>
  <c r="V157" i="53"/>
  <c r="Y284" i="46"/>
  <c r="V279" i="53"/>
  <c r="Y230" i="46"/>
  <c r="V225" i="53"/>
  <c r="Y231" i="46"/>
  <c r="V226" i="53"/>
  <c r="Y243" i="46"/>
  <c r="V238" i="53"/>
  <c r="Y291" i="46"/>
  <c r="V286" i="53"/>
  <c r="Y65" i="46"/>
  <c r="V60" i="53"/>
  <c r="Y304" i="46"/>
  <c r="V299" i="53"/>
  <c r="Y276" i="46"/>
  <c r="V271" i="53"/>
  <c r="Y241" i="46"/>
  <c r="V236" i="53"/>
  <c r="Y207" i="46"/>
  <c r="V202" i="53"/>
  <c r="Y193" i="46"/>
  <c r="V188" i="53"/>
  <c r="Y147" i="46"/>
  <c r="V142" i="53"/>
  <c r="Y174" i="46"/>
  <c r="V169" i="53"/>
  <c r="Y20" i="46"/>
  <c r="V15" i="53"/>
  <c r="Y102" i="46"/>
  <c r="V97" i="53"/>
  <c r="Y39" i="46"/>
  <c r="V34" i="53"/>
  <c r="Y225" i="46"/>
  <c r="V220" i="53"/>
  <c r="Y283" i="46"/>
  <c r="V278" i="53"/>
  <c r="Y214" i="46"/>
  <c r="V209" i="53"/>
  <c r="Y32" i="46"/>
  <c r="V27" i="53"/>
  <c r="Y128" i="46"/>
  <c r="V123" i="53"/>
  <c r="Y33" i="46"/>
  <c r="V28" i="53"/>
  <c r="Y188" i="46"/>
  <c r="V183" i="53"/>
  <c r="Y124" i="46"/>
  <c r="V119" i="53"/>
  <c r="Y263" i="46"/>
  <c r="V258" i="53"/>
  <c r="Y166" i="46"/>
  <c r="V161" i="53"/>
  <c r="Y352" i="46"/>
  <c r="V347" i="53"/>
  <c r="Y245" i="46"/>
  <c r="V240" i="53"/>
  <c r="Y277" i="46"/>
  <c r="V272" i="53"/>
  <c r="Y252" i="46"/>
  <c r="V247" i="53"/>
  <c r="Y223" i="46"/>
  <c r="V218" i="53"/>
  <c r="Y119" i="46"/>
  <c r="V114" i="53"/>
  <c r="Y196" i="46"/>
  <c r="V191" i="53"/>
  <c r="Y53" i="46"/>
  <c r="V48" i="53"/>
  <c r="Y194" i="46"/>
  <c r="V189" i="53"/>
  <c r="Y139" i="46"/>
  <c r="V134" i="53"/>
  <c r="Y295" i="46"/>
  <c r="V290" i="53"/>
  <c r="Y296" i="46"/>
  <c r="V291" i="53"/>
  <c r="Y105" i="46"/>
  <c r="V100" i="53"/>
  <c r="Y93" i="46"/>
  <c r="V88" i="53"/>
  <c r="Y326" i="46"/>
  <c r="V321" i="53"/>
  <c r="Y249" i="46"/>
  <c r="V244" i="53"/>
  <c r="Y308" i="46"/>
  <c r="V303" i="53"/>
  <c r="Y115" i="46"/>
  <c r="V110" i="53"/>
  <c r="Y165" i="46"/>
  <c r="V160" i="53"/>
  <c r="Y63" i="46"/>
  <c r="V58" i="53"/>
  <c r="Y19" i="46"/>
  <c r="V14" i="53"/>
  <c r="Y85" i="46"/>
  <c r="V80" i="53"/>
  <c r="Y269" i="46"/>
  <c r="V264" i="53"/>
  <c r="Y213" i="46"/>
  <c r="V208" i="53"/>
  <c r="Y273" i="46"/>
  <c r="V268" i="53"/>
  <c r="Y288" i="46"/>
  <c r="V283" i="53"/>
  <c r="Y35" i="46"/>
  <c r="V30" i="53"/>
  <c r="Y204" i="46"/>
  <c r="V199" i="53"/>
  <c r="Y348" i="46"/>
  <c r="V343" i="53"/>
  <c r="Y9" i="46"/>
  <c r="V4" i="53"/>
  <c r="Y235" i="46"/>
  <c r="V230" i="53"/>
  <c r="Y275" i="46"/>
  <c r="V270" i="53"/>
  <c r="Y47" i="46"/>
  <c r="V42" i="53"/>
  <c r="Y342" i="46"/>
  <c r="V337" i="53"/>
  <c r="Y183" i="46"/>
  <c r="V178" i="53"/>
  <c r="Y138" i="46"/>
  <c r="V133" i="53"/>
  <c r="Y318" i="46"/>
  <c r="V313" i="53"/>
  <c r="Y10" i="46"/>
  <c r="V5" i="53"/>
  <c r="Y106" i="46"/>
  <c r="V101" i="53"/>
  <c r="Y345" i="46"/>
  <c r="V340" i="53"/>
  <c r="Y253" i="46"/>
  <c r="V248" i="53"/>
  <c r="Y199" i="46"/>
  <c r="V194" i="53"/>
  <c r="Y306" i="46"/>
  <c r="V301" i="53"/>
  <c r="Y221" i="46"/>
  <c r="V216" i="53"/>
  <c r="Y82" i="46"/>
  <c r="V77" i="53"/>
  <c r="Y256" i="46"/>
  <c r="V251" i="53"/>
  <c r="Y113" i="46"/>
  <c r="V108" i="53"/>
  <c r="Y255" i="46"/>
  <c r="V250" i="53"/>
  <c r="Y322" i="46"/>
  <c r="V317" i="53"/>
  <c r="Y321" i="46"/>
  <c r="V316" i="53"/>
  <c r="Y347" i="46"/>
  <c r="V342" i="53"/>
  <c r="Y217" i="46"/>
  <c r="V212" i="53"/>
  <c r="Y264" i="46"/>
  <c r="V259" i="53"/>
  <c r="Y257" i="46"/>
  <c r="V252" i="53"/>
  <c r="Y134" i="46"/>
  <c r="V129" i="53"/>
  <c r="Y114" i="46"/>
  <c r="V109" i="53"/>
  <c r="Y313" i="46"/>
  <c r="V308" i="53"/>
  <c r="Y336" i="46"/>
  <c r="V331" i="53"/>
  <c r="Y285" i="46"/>
  <c r="V280" i="53"/>
  <c r="Y280" i="46"/>
  <c r="V275" i="53"/>
  <c r="Y37" i="46"/>
  <c r="V32" i="53"/>
  <c r="Y126" i="46"/>
  <c r="V121" i="53"/>
  <c r="Y15" i="46"/>
  <c r="V10" i="53"/>
  <c r="Y267" i="46"/>
  <c r="V262" i="53"/>
  <c r="Y312" i="46"/>
  <c r="V307" i="53"/>
  <c r="Y234" i="46"/>
  <c r="V229" i="53"/>
  <c r="Y227" i="46"/>
  <c r="V222" i="53"/>
  <c r="Y96" i="46"/>
  <c r="V91" i="53"/>
  <c r="Y125" i="46"/>
  <c r="V120" i="53"/>
  <c r="Y101" i="46"/>
  <c r="V96" i="53"/>
  <c r="Y70" i="46"/>
  <c r="V65" i="53"/>
  <c r="Y319" i="46"/>
  <c r="V314" i="53"/>
  <c r="Y317" i="46"/>
  <c r="V312" i="53"/>
  <c r="Y281" i="46"/>
  <c r="V276" i="53"/>
  <c r="Y222" i="46"/>
  <c r="V217" i="53"/>
  <c r="Y186" i="46"/>
  <c r="V181" i="53"/>
  <c r="Y202" i="46"/>
  <c r="V197" i="53"/>
  <c r="Y203" i="46"/>
  <c r="V198" i="53"/>
  <c r="Y150" i="46"/>
  <c r="V145" i="53"/>
  <c r="Y333" i="46"/>
  <c r="V328" i="53"/>
  <c r="Y302" i="46"/>
  <c r="V297" i="53"/>
  <c r="Y43" i="46"/>
  <c r="V38" i="53"/>
  <c r="Y212" i="46"/>
  <c r="V207" i="53"/>
  <c r="Y145" i="46"/>
  <c r="V140" i="53"/>
  <c r="Y30" i="46"/>
  <c r="V25" i="53"/>
  <c r="Y31" i="46"/>
  <c r="V26" i="53"/>
  <c r="Y351" i="46"/>
  <c r="V346" i="53"/>
  <c r="Y158" i="46"/>
  <c r="V153" i="53"/>
  <c r="Y21" i="46"/>
  <c r="V16" i="53"/>
  <c r="Y13" i="46"/>
  <c r="V8" i="53"/>
  <c r="Y300" i="46"/>
  <c r="V295" i="53"/>
  <c r="Y206" i="46"/>
  <c r="V201" i="53"/>
  <c r="Y220" i="46"/>
  <c r="V215" i="53"/>
  <c r="Y91" i="46"/>
  <c r="V86" i="53"/>
  <c r="Y314" i="46"/>
  <c r="V309" i="53"/>
  <c r="Y171" i="46"/>
  <c r="V166" i="53"/>
  <c r="Y146" i="46"/>
  <c r="V141" i="53"/>
  <c r="Y129" i="46"/>
  <c r="V124" i="53"/>
  <c r="Y192" i="46"/>
  <c r="V187" i="53"/>
  <c r="Y327" i="46"/>
  <c r="V322" i="53"/>
  <c r="Y210" i="46"/>
  <c r="V205" i="53"/>
  <c r="Y148" i="46"/>
  <c r="V143" i="53"/>
  <c r="Y237" i="46"/>
  <c r="V232" i="53"/>
  <c r="Y172" i="46"/>
  <c r="V167" i="53"/>
  <c r="Y27" i="46"/>
  <c r="V22" i="53"/>
  <c r="Y173" i="46"/>
  <c r="V168" i="53"/>
  <c r="Y292" i="46"/>
  <c r="V287" i="53"/>
  <c r="Y272" i="46"/>
  <c r="V267" i="53"/>
  <c r="Y309" i="46"/>
  <c r="V304" i="53"/>
  <c r="Y189" i="46"/>
  <c r="V184" i="53"/>
  <c r="Y190" i="46"/>
  <c r="V185" i="53"/>
  <c r="Y219" i="46"/>
  <c r="V214" i="53"/>
  <c r="Y68" i="46"/>
  <c r="V63" i="53"/>
  <c r="Y133" i="46"/>
  <c r="V128" i="53"/>
  <c r="Y289" i="46"/>
  <c r="V284" i="53"/>
  <c r="Y36" i="46"/>
  <c r="V31" i="53"/>
  <c r="Y294" i="46"/>
  <c r="V289" i="53"/>
  <c r="Y77" i="46"/>
  <c r="V72" i="53"/>
  <c r="Y229" i="46"/>
  <c r="V224" i="53"/>
  <c r="Y83" i="46"/>
  <c r="V78" i="53"/>
  <c r="Y278" i="46"/>
  <c r="V273" i="53"/>
  <c r="Y197" i="46"/>
  <c r="V192" i="53"/>
  <c r="Y54" i="46"/>
  <c r="V49" i="53"/>
  <c r="Y251" i="46"/>
  <c r="V246" i="53"/>
  <c r="Y57" i="46"/>
  <c r="V52" i="53"/>
  <c r="Y176" i="46"/>
  <c r="V171" i="53"/>
  <c r="Y161" i="46"/>
  <c r="V156" i="53"/>
  <c r="Y120" i="46"/>
  <c r="V115" i="53"/>
  <c r="Y94" i="46"/>
  <c r="V89" i="53"/>
  <c r="Y185" i="46"/>
  <c r="V180" i="53"/>
  <c r="Y282" i="46"/>
  <c r="V277" i="53"/>
  <c r="Y24" i="46"/>
  <c r="V19" i="53"/>
  <c r="Y130" i="46"/>
  <c r="V125" i="53"/>
  <c r="Y338" i="46"/>
  <c r="V333" i="53"/>
  <c r="Y341" i="46"/>
  <c r="V336" i="53"/>
  <c r="Y59" i="46"/>
  <c r="V54" i="53"/>
  <c r="Y97" i="46"/>
  <c r="V92" i="53"/>
  <c r="Y156" i="46"/>
  <c r="V151" i="53"/>
  <c r="Y74" i="46"/>
  <c r="V69" i="53"/>
  <c r="Y164" i="46"/>
  <c r="V159" i="53"/>
  <c r="Y332" i="46"/>
  <c r="V327" i="53"/>
  <c r="Y92" i="46"/>
  <c r="V87" i="53"/>
  <c r="Y159" i="46"/>
  <c r="V154" i="53"/>
  <c r="Y123" i="46"/>
  <c r="V118" i="53"/>
  <c r="Y208" i="46"/>
  <c r="V203" i="53"/>
  <c r="Y144" i="46"/>
  <c r="V139" i="53"/>
  <c r="Y79" i="46"/>
  <c r="V74" i="53"/>
  <c r="Y254" i="46"/>
  <c r="V249" i="53"/>
  <c r="Y155" i="46"/>
  <c r="V150" i="53"/>
  <c r="Y248" i="46"/>
  <c r="V243" i="53"/>
  <c r="Y261" i="46"/>
  <c r="V256" i="53"/>
  <c r="Y14" i="46"/>
  <c r="V9" i="53"/>
  <c r="Y287" i="46"/>
  <c r="V282" i="53"/>
  <c r="Y218" i="46"/>
  <c r="V213" i="53"/>
  <c r="Y87" i="46"/>
  <c r="V82" i="53"/>
  <c r="Y182" i="46"/>
  <c r="V177" i="53"/>
  <c r="Y55" i="46"/>
  <c r="V50" i="53"/>
  <c r="Y118" i="46"/>
  <c r="V113" i="53"/>
  <c r="Y69" i="46"/>
  <c r="V64" i="53"/>
  <c r="Y131" i="46"/>
  <c r="V126" i="53"/>
  <c r="Y17" i="46"/>
  <c r="V12" i="53"/>
  <c r="Y132" i="46"/>
  <c r="V127" i="53"/>
  <c r="Y226" i="46"/>
  <c r="V221" i="53"/>
  <c r="Y343" i="46"/>
  <c r="V338" i="53"/>
  <c r="Y167" i="46"/>
  <c r="V162" i="53"/>
  <c r="Y169" i="46"/>
  <c r="V164" i="53"/>
  <c r="Y137" i="46"/>
  <c r="V132" i="53"/>
  <c r="Y90" i="46"/>
  <c r="V85" i="53"/>
  <c r="Y40" i="46"/>
  <c r="V35" i="53"/>
  <c r="Y180" i="46"/>
  <c r="V175" i="53"/>
  <c r="Y108" i="46"/>
  <c r="V103" i="53"/>
  <c r="Y76" i="46"/>
  <c r="V71" i="53"/>
  <c r="Y175" i="46"/>
  <c r="V170" i="53"/>
  <c r="Y160" i="46"/>
  <c r="V155" i="53"/>
  <c r="Y242" i="46"/>
  <c r="V237" i="53"/>
  <c r="Y178" i="46"/>
  <c r="V173" i="53"/>
  <c r="Y279" i="46"/>
  <c r="V274" i="53"/>
  <c r="Y38" i="46"/>
  <c r="V33" i="53"/>
  <c r="Y177" i="46"/>
  <c r="V172" i="53"/>
  <c r="Y258" i="46"/>
  <c r="V253" i="53"/>
  <c r="Y71" i="46"/>
  <c r="V66" i="53"/>
  <c r="Y238" i="46"/>
  <c r="V233" i="53"/>
  <c r="Y22" i="46"/>
  <c r="V17" i="53"/>
  <c r="Y305" i="46"/>
  <c r="V300" i="53"/>
  <c r="Y26" i="46"/>
  <c r="V21" i="53"/>
  <c r="Y349" i="46"/>
  <c r="V344" i="53"/>
  <c r="Y153" i="46"/>
  <c r="V148" i="53"/>
  <c r="Y268" i="46"/>
  <c r="V263" i="53"/>
  <c r="Y271" i="46"/>
  <c r="V266" i="53"/>
  <c r="Y99" i="46"/>
  <c r="V94" i="53"/>
  <c r="Y80" i="46"/>
  <c r="V75" i="53"/>
  <c r="Y136" i="46"/>
  <c r="V131" i="53"/>
  <c r="Y329" i="46"/>
  <c r="V324" i="53"/>
  <c r="Y354" i="46"/>
  <c r="V349" i="53"/>
  <c r="Y152" i="46"/>
  <c r="V147" i="53"/>
  <c r="Y200" i="46"/>
  <c r="V195" i="53"/>
  <c r="Y247" i="46"/>
  <c r="V242" i="53"/>
  <c r="Y315" i="46"/>
  <c r="V310" i="53"/>
  <c r="Y303" i="46"/>
  <c r="V298" i="53"/>
  <c r="Y339" i="46"/>
  <c r="V334" i="53"/>
  <c r="Y58" i="46"/>
  <c r="V53" i="53"/>
  <c r="Y149" i="46"/>
  <c r="V144" i="53"/>
  <c r="Y154" i="46"/>
  <c r="V149" i="53"/>
  <c r="Y50" i="46"/>
  <c r="V45" i="53"/>
  <c r="Y157" i="46"/>
  <c r="V152" i="53"/>
  <c r="Y215" i="46"/>
  <c r="V210" i="53"/>
  <c r="Y117" i="46"/>
  <c r="V112" i="53"/>
  <c r="Y64" i="46"/>
  <c r="V59" i="53"/>
  <c r="Y73" i="46"/>
  <c r="V68" i="53"/>
  <c r="Y28" i="46"/>
  <c r="V23" i="53"/>
  <c r="Y103" i="46"/>
  <c r="V98" i="53"/>
  <c r="Y201" i="46"/>
  <c r="V196" i="53"/>
  <c r="Y270" i="46"/>
  <c r="V265" i="53"/>
  <c r="Y298" i="46"/>
  <c r="V293" i="53"/>
  <c r="Y184" i="46"/>
  <c r="V179" i="53"/>
  <c r="Y325" i="46"/>
  <c r="V320" i="53"/>
  <c r="Y179" i="46"/>
  <c r="V174" i="53"/>
  <c r="Y121" i="46"/>
  <c r="V116" i="53"/>
  <c r="Y86" i="46"/>
  <c r="V81" i="53"/>
  <c r="Y340" i="46"/>
  <c r="V335" i="53"/>
  <c r="Y116" i="46"/>
  <c r="V111" i="53"/>
  <c r="Y16" i="46"/>
  <c r="V11" i="53"/>
  <c r="Y274" i="46"/>
  <c r="V269" i="53"/>
  <c r="Y262" i="46"/>
  <c r="V257" i="53"/>
  <c r="Y299" i="46"/>
  <c r="V294" i="53"/>
  <c r="Y66" i="46"/>
  <c r="V61" i="53"/>
  <c r="Y228" i="46"/>
  <c r="V223" i="53"/>
  <c r="Y293" i="46"/>
  <c r="V288" i="53"/>
  <c r="Y110" i="46"/>
  <c r="V105" i="53"/>
  <c r="Y320" i="46"/>
  <c r="V315" i="53"/>
  <c r="Y141" i="46"/>
  <c r="V136" i="53"/>
  <c r="Y239" i="46"/>
  <c r="V234" i="53"/>
  <c r="Y72" i="46"/>
  <c r="V67" i="53"/>
  <c r="Y109" i="46"/>
  <c r="V104" i="53"/>
  <c r="Y18" i="46"/>
  <c r="V13" i="53"/>
  <c r="Y107" i="46"/>
  <c r="V102" i="53"/>
  <c r="Y62" i="46"/>
  <c r="V57" i="53"/>
  <c r="Y170" i="46"/>
  <c r="V165" i="53"/>
  <c r="Y56" i="46"/>
  <c r="V51" i="53"/>
  <c r="Y232" i="46"/>
  <c r="V227" i="53"/>
  <c r="Y67" i="46"/>
  <c r="V62" i="53"/>
  <c r="Y78" i="46"/>
  <c r="V73" i="53"/>
  <c r="Y216" i="46"/>
  <c r="V211" i="53"/>
  <c r="Y353" i="46"/>
  <c r="V348" i="53"/>
  <c r="Y236" i="46"/>
  <c r="V231" i="53"/>
  <c r="Y163" i="46"/>
  <c r="V158" i="53"/>
  <c r="Y301" i="46"/>
  <c r="V296" i="53"/>
  <c r="Y88" i="46"/>
  <c r="V83" i="53"/>
  <c r="Y84" i="46"/>
  <c r="V79" i="53"/>
  <c r="Y307" i="46"/>
  <c r="V302" i="53"/>
  <c r="Y23" i="46"/>
  <c r="V18" i="53"/>
  <c r="Y100" i="46"/>
  <c r="V95" i="53"/>
  <c r="Y181" i="46"/>
  <c r="V176" i="53"/>
  <c r="Y81" i="46"/>
  <c r="V76" i="53"/>
  <c r="Y344" i="46"/>
  <c r="V339" i="53"/>
  <c r="Y44" i="46"/>
  <c r="V39" i="53"/>
  <c r="Y331" i="46"/>
  <c r="V326" i="53"/>
  <c r="Y51" i="46"/>
  <c r="V46" i="53"/>
  <c r="Y143" i="46"/>
  <c r="V138" i="53"/>
  <c r="Y45" i="46"/>
  <c r="V40" i="53"/>
  <c r="Y323" i="46"/>
  <c r="V318" i="53"/>
  <c r="Y34" i="46"/>
  <c r="V29" i="53"/>
  <c r="Y29" i="46"/>
  <c r="V24" i="53"/>
  <c r="Y286" i="46"/>
  <c r="V281" i="53"/>
  <c r="Y240" i="46"/>
  <c r="V235" i="53"/>
  <c r="Y60" i="46"/>
  <c r="V55" i="53"/>
  <c r="Y328" i="46"/>
  <c r="V323" i="53"/>
  <c r="Y49" i="46"/>
  <c r="V44" i="53"/>
  <c r="Y209" i="46"/>
  <c r="V204" i="53"/>
  <c r="Y168" i="46"/>
  <c r="V163" i="53"/>
  <c r="Y297" i="46"/>
  <c r="V292" i="53"/>
  <c r="Y122" i="46"/>
  <c r="V117" i="53"/>
  <c r="Y224" i="46"/>
  <c r="V219" i="53"/>
  <c r="Y260" i="46"/>
  <c r="V255" i="53"/>
  <c r="Q4" i="53"/>
  <c r="AB10" i="45"/>
  <c r="AB7" i="45" s="1"/>
  <c r="I5" i="53"/>
  <c r="N3" i="42"/>
  <c r="O3" i="42" s="1"/>
  <c r="O1" i="42" s="1"/>
  <c r="AB9" i="44"/>
  <c r="AC9" i="44" s="1"/>
  <c r="I5" i="29"/>
  <c r="I11" i="29"/>
  <c r="AJ2" i="31"/>
  <c r="Y6" i="29"/>
  <c r="Z6" i="29" s="1"/>
  <c r="AA4" i="31"/>
  <c r="H41" i="29"/>
  <c r="B41" i="29" s="1"/>
  <c r="H47" i="29"/>
  <c r="B47" i="29" s="1"/>
  <c r="BK4" i="31"/>
  <c r="AB284" i="44"/>
  <c r="AC284" i="44" s="1"/>
  <c r="B48" i="29"/>
  <c r="AB142" i="44"/>
  <c r="AC142" i="44" s="1"/>
  <c r="AB191" i="44"/>
  <c r="AC191" i="44" s="1"/>
  <c r="AB58" i="44"/>
  <c r="AC58" i="44" s="1"/>
  <c r="AB145" i="44"/>
  <c r="AC145" i="44" s="1"/>
  <c r="AB116" i="44"/>
  <c r="AC116" i="44" s="1"/>
  <c r="AB128" i="44"/>
  <c r="AC128" i="44" s="1"/>
  <c r="AB219" i="44"/>
  <c r="AC219" i="44" s="1"/>
  <c r="AB113" i="44"/>
  <c r="AC113" i="44" s="1"/>
  <c r="AB198" i="44"/>
  <c r="AC198" i="44" s="1"/>
  <c r="AB270" i="44"/>
  <c r="AC270" i="44" s="1"/>
  <c r="AB39" i="44"/>
  <c r="AC39" i="44" s="1"/>
  <c r="AB41" i="44"/>
  <c r="AC41" i="44" s="1"/>
  <c r="AB289" i="44"/>
  <c r="AC289" i="44" s="1"/>
  <c r="AB224" i="44"/>
  <c r="AC224" i="44" s="1"/>
  <c r="AB237" i="44"/>
  <c r="AC237" i="44" s="1"/>
  <c r="AB208" i="44"/>
  <c r="AC208" i="44" s="1"/>
  <c r="AB349" i="44"/>
  <c r="AC349" i="44" s="1"/>
  <c r="AB47" i="44"/>
  <c r="AC47" i="44" s="1"/>
  <c r="AB23" i="44"/>
  <c r="AC23" i="44" s="1"/>
  <c r="AB29" i="44"/>
  <c r="AC29" i="44" s="1"/>
  <c r="AB157" i="44"/>
  <c r="AC157" i="44" s="1"/>
  <c r="AB146" i="44"/>
  <c r="AC146" i="44" s="1"/>
  <c r="AB338" i="44"/>
  <c r="AC338" i="44" s="1"/>
  <c r="AB102" i="44"/>
  <c r="AC102" i="44" s="1"/>
  <c r="AB306" i="44"/>
  <c r="AC306" i="44" s="1"/>
  <c r="AB136" i="44"/>
  <c r="AC136" i="44" s="1"/>
  <c r="AB83" i="44"/>
  <c r="AC83" i="44" s="1"/>
  <c r="AB66" i="44"/>
  <c r="AC66" i="44" s="1"/>
  <c r="AB301" i="44"/>
  <c r="AC301" i="44" s="1"/>
  <c r="AB309" i="44"/>
  <c r="AC309" i="44" s="1"/>
  <c r="AB51" i="44"/>
  <c r="AC51" i="44" s="1"/>
  <c r="AB108" i="44"/>
  <c r="AC108" i="44" s="1"/>
  <c r="AB197" i="44"/>
  <c r="AC197" i="44" s="1"/>
  <c r="AB24" i="44"/>
  <c r="AC24" i="44" s="1"/>
  <c r="AB101" i="44"/>
  <c r="AC101" i="44" s="1"/>
  <c r="AB159" i="44"/>
  <c r="AC159" i="44" s="1"/>
  <c r="AB205" i="44"/>
  <c r="AC205" i="44" s="1"/>
  <c r="AB221" i="44"/>
  <c r="AC221" i="44" s="1"/>
  <c r="AB67" i="44"/>
  <c r="AC67" i="44" s="1"/>
  <c r="AB148" i="44"/>
  <c r="AC148" i="44" s="1"/>
  <c r="AB179" i="44"/>
  <c r="AC179" i="44" s="1"/>
  <c r="AB303" i="44"/>
  <c r="AC303" i="44" s="1"/>
  <c r="AB276" i="44"/>
  <c r="AC276" i="44" s="1"/>
  <c r="AB95" i="44"/>
  <c r="AC95" i="44" s="1"/>
  <c r="AB30" i="44"/>
  <c r="AC30" i="44" s="1"/>
  <c r="AB19" i="44"/>
  <c r="AC19" i="44" s="1"/>
  <c r="AB249" i="44"/>
  <c r="AC249" i="44" s="1"/>
  <c r="AB172" i="44"/>
  <c r="AC172" i="44" s="1"/>
  <c r="AB160" i="44"/>
  <c r="AC160" i="44" s="1"/>
  <c r="AB188" i="44"/>
  <c r="AC188" i="44" s="1"/>
  <c r="AB252" i="44"/>
  <c r="AC252" i="44" s="1"/>
  <c r="AB333" i="44"/>
  <c r="AC333" i="44" s="1"/>
  <c r="AB96" i="44"/>
  <c r="AC96" i="44" s="1"/>
  <c r="AB216" i="44"/>
  <c r="AC216" i="44" s="1"/>
  <c r="AB63" i="44"/>
  <c r="AC63" i="44" s="1"/>
  <c r="AB233" i="44"/>
  <c r="AC233" i="44" s="1"/>
  <c r="AB99" i="44"/>
  <c r="AC99" i="44" s="1"/>
  <c r="AB17" i="44"/>
  <c r="AC17" i="44" s="1"/>
  <c r="AB183" i="44"/>
  <c r="AC183" i="44" s="1"/>
  <c r="AB267" i="44"/>
  <c r="AC267" i="44" s="1"/>
  <c r="AB273" i="44"/>
  <c r="AC273" i="44" s="1"/>
  <c r="AB243" i="44"/>
  <c r="AC243" i="44" s="1"/>
  <c r="AB163" i="44"/>
  <c r="AC163" i="44" s="1"/>
  <c r="AB251" i="44"/>
  <c r="AC251" i="44" s="1"/>
  <c r="AB297" i="44"/>
  <c r="AC297" i="44" s="1"/>
  <c r="AB33" i="44"/>
  <c r="AC33" i="44" s="1"/>
  <c r="AB302" i="44"/>
  <c r="AC302" i="44" s="1"/>
  <c r="AB281" i="44"/>
  <c r="AC281" i="44" s="1"/>
  <c r="AB20" i="44"/>
  <c r="AC20" i="44" s="1"/>
  <c r="AB279" i="44"/>
  <c r="AC279" i="44" s="1"/>
  <c r="AB236" i="44"/>
  <c r="AC236" i="44" s="1"/>
  <c r="AB274" i="44"/>
  <c r="AC274" i="44" s="1"/>
  <c r="AB189" i="44"/>
  <c r="AC189" i="44" s="1"/>
  <c r="AB315" i="44"/>
  <c r="AC315" i="44" s="1"/>
  <c r="AB48" i="44"/>
  <c r="AC48" i="44" s="1"/>
  <c r="AB268" i="44"/>
  <c r="AC268" i="44" s="1"/>
  <c r="AB253" i="44"/>
  <c r="AC253" i="44" s="1"/>
  <c r="AB348" i="44"/>
  <c r="AC348" i="44" s="1"/>
  <c r="AB13" i="44"/>
  <c r="AC13" i="44" s="1"/>
  <c r="AB126" i="44"/>
  <c r="AC126" i="44" s="1"/>
  <c r="AB238" i="44"/>
  <c r="AC238" i="44" s="1"/>
  <c r="AB93" i="44"/>
  <c r="AC93" i="44" s="1"/>
  <c r="AB318" i="44"/>
  <c r="AC318" i="44" s="1"/>
  <c r="AB31" i="44"/>
  <c r="AC31" i="44" s="1"/>
  <c r="AB264" i="44"/>
  <c r="AC264" i="44" s="1"/>
  <c r="AB282" i="44"/>
  <c r="AC282" i="44" s="1"/>
  <c r="AB310" i="44"/>
  <c r="AC310" i="44" s="1"/>
  <c r="AB292" i="44"/>
  <c r="AC292" i="44" s="1"/>
  <c r="AB241" i="44"/>
  <c r="AC241" i="44" s="1"/>
  <c r="AB261" i="44"/>
  <c r="AC261" i="44" s="1"/>
  <c r="AB61" i="44"/>
  <c r="AC61" i="44" s="1"/>
  <c r="AB175" i="44"/>
  <c r="AC175" i="44" s="1"/>
  <c r="AB32" i="44"/>
  <c r="AC32" i="44" s="1"/>
  <c r="AB195" i="44"/>
  <c r="AC195" i="44" s="1"/>
  <c r="AB132" i="44"/>
  <c r="AC132" i="44" s="1"/>
  <c r="AB12" i="44"/>
  <c r="AC12" i="44" s="1"/>
  <c r="AB152" i="44"/>
  <c r="AC152" i="44" s="1"/>
  <c r="AB321" i="44"/>
  <c r="AC321" i="44" s="1"/>
  <c r="AB16" i="44"/>
  <c r="AC16" i="44" s="1"/>
  <c r="AB351" i="44"/>
  <c r="AC351" i="44" s="1"/>
  <c r="AB130" i="44"/>
  <c r="AC130" i="44" s="1"/>
  <c r="AB154" i="44"/>
  <c r="AC154" i="44" s="1"/>
  <c r="AB352" i="44"/>
  <c r="AC352" i="44" s="1"/>
  <c r="AB71" i="44"/>
  <c r="AC71" i="44" s="1"/>
  <c r="AB305" i="44"/>
  <c r="AC305" i="44" s="1"/>
  <c r="AB166" i="44"/>
  <c r="AC166" i="44" s="1"/>
  <c r="AB211" i="44"/>
  <c r="AC211" i="44" s="1"/>
  <c r="AB193" i="44"/>
  <c r="AC193" i="44" s="1"/>
  <c r="AB81" i="44"/>
  <c r="AC81" i="44" s="1"/>
  <c r="AB311" i="44"/>
  <c r="AC311" i="44" s="1"/>
  <c r="AB254" i="44"/>
  <c r="AC254" i="44" s="1"/>
  <c r="AB247" i="44"/>
  <c r="AC247" i="44" s="1"/>
  <c r="AB319" i="44"/>
  <c r="AC319" i="44" s="1"/>
  <c r="AB280" i="44"/>
  <c r="AC280" i="44" s="1"/>
  <c r="AB202" i="44"/>
  <c r="AC202" i="44" s="1"/>
  <c r="AB177" i="44"/>
  <c r="AC177" i="44" s="1"/>
  <c r="AB288" i="44"/>
  <c r="AC288" i="44" s="1"/>
  <c r="AB167" i="44"/>
  <c r="AC167" i="44" s="1"/>
  <c r="AB325" i="44"/>
  <c r="AC325" i="44" s="1"/>
  <c r="AB178" i="44"/>
  <c r="AC178" i="44" s="1"/>
  <c r="AB121" i="44"/>
  <c r="AC121" i="44" s="1"/>
  <c r="AB165" i="44"/>
  <c r="AC165" i="44" s="1"/>
  <c r="AB353" i="44"/>
  <c r="AC353" i="44" s="1"/>
  <c r="AB110" i="44"/>
  <c r="AC110" i="44" s="1"/>
  <c r="AB228" i="44"/>
  <c r="AC228" i="44" s="1"/>
  <c r="AB314" i="44"/>
  <c r="AC314" i="44" s="1"/>
  <c r="AB201" i="44"/>
  <c r="AC201" i="44" s="1"/>
  <c r="AB10" i="44"/>
  <c r="AC10" i="44" s="1"/>
  <c r="AB105" i="44"/>
  <c r="AC105" i="44" s="1"/>
  <c r="AB250" i="44"/>
  <c r="AC250" i="44" s="1"/>
  <c r="AB257" i="44"/>
  <c r="AC257" i="44" s="1"/>
  <c r="AB115" i="44"/>
  <c r="AC115" i="44" s="1"/>
  <c r="AB77" i="44"/>
  <c r="AC77" i="44" s="1"/>
  <c r="AB111" i="44"/>
  <c r="AC111" i="44" s="1"/>
  <c r="AB60" i="44"/>
  <c r="AC60" i="44" s="1"/>
  <c r="AB347" i="44"/>
  <c r="AC347" i="44" s="1"/>
  <c r="AB354" i="44"/>
  <c r="AC354" i="44" s="1"/>
  <c r="AB218" i="44"/>
  <c r="AC218" i="44" s="1"/>
  <c r="AB68" i="44"/>
  <c r="AC68" i="44" s="1"/>
  <c r="AB46" i="44"/>
  <c r="AC46" i="44" s="1"/>
  <c r="AB296" i="44"/>
  <c r="AC296" i="44" s="1"/>
  <c r="AB287" i="44"/>
  <c r="AC287" i="44" s="1"/>
  <c r="AB263" i="44"/>
  <c r="AC263" i="44" s="1"/>
  <c r="AB335" i="44"/>
  <c r="AC335" i="44" s="1"/>
  <c r="AB265" i="44"/>
  <c r="AC265" i="44" s="1"/>
  <c r="AB323" i="44"/>
  <c r="AC323" i="44" s="1"/>
  <c r="AB123" i="44"/>
  <c r="AC123" i="44" s="1"/>
  <c r="AB245" i="44"/>
  <c r="AC245" i="44" s="1"/>
  <c r="AB18" i="44"/>
  <c r="AC18" i="44" s="1"/>
  <c r="AB109" i="44"/>
  <c r="AC109" i="44" s="1"/>
  <c r="AB53" i="44"/>
  <c r="AC53" i="44" s="1"/>
  <c r="AB40" i="44"/>
  <c r="AC40" i="44" s="1"/>
  <c r="AB133" i="44"/>
  <c r="AC133" i="44" s="1"/>
  <c r="AB328" i="44"/>
  <c r="AC328" i="44" s="1"/>
  <c r="AB82" i="44"/>
  <c r="AC82" i="44" s="1"/>
  <c r="AB200" i="44"/>
  <c r="AC200" i="44" s="1"/>
  <c r="AB190" i="44"/>
  <c r="AC190" i="44" s="1"/>
  <c r="AB44" i="44"/>
  <c r="AC44" i="44" s="1"/>
  <c r="AB45" i="44"/>
  <c r="AC45" i="44" s="1"/>
  <c r="AB203" i="44"/>
  <c r="AC203" i="44" s="1"/>
  <c r="AB114" i="44"/>
  <c r="AC114" i="44" s="1"/>
  <c r="AB209" i="44"/>
  <c r="AC209" i="44" s="1"/>
  <c r="AB185" i="44"/>
  <c r="AC185" i="44" s="1"/>
  <c r="AB119" i="44"/>
  <c r="AC119" i="44" s="1"/>
  <c r="AB134" i="44"/>
  <c r="AC134" i="44" s="1"/>
  <c r="AB149" i="44"/>
  <c r="AC149" i="44" s="1"/>
  <c r="AB196" i="44"/>
  <c r="AC196" i="44" s="1"/>
  <c r="AB255" i="44"/>
  <c r="AC255" i="44" s="1"/>
  <c r="AB35" i="44"/>
  <c r="AC35" i="44" s="1"/>
  <c r="AB117" i="44"/>
  <c r="AC117" i="44" s="1"/>
  <c r="AB75" i="44"/>
  <c r="AC75" i="44" s="1"/>
  <c r="AB346" i="44"/>
  <c r="AC346" i="44" s="1"/>
  <c r="AB70" i="44"/>
  <c r="AC70" i="44" s="1"/>
  <c r="AB192" i="44"/>
  <c r="AC192" i="44" s="1"/>
  <c r="AB290" i="44"/>
  <c r="AC290" i="44" s="1"/>
  <c r="AB206" i="44"/>
  <c r="AC206" i="44" s="1"/>
  <c r="AB42" i="44"/>
  <c r="AC42" i="44" s="1"/>
  <c r="AB278" i="44"/>
  <c r="AC278" i="44" s="1"/>
  <c r="AB52" i="44"/>
  <c r="AC52" i="44" s="1"/>
  <c r="AB69" i="44"/>
  <c r="AC69" i="44" s="1"/>
  <c r="AB89" i="44"/>
  <c r="AC89" i="44" s="1"/>
  <c r="AB226" i="44"/>
  <c r="AC226" i="44" s="1"/>
  <c r="AB350" i="44"/>
  <c r="AC350" i="44" s="1"/>
  <c r="AB204" i="44"/>
  <c r="AC204" i="44" s="1"/>
  <c r="AB59" i="44"/>
  <c r="AC59" i="44" s="1"/>
  <c r="AB248" i="44"/>
  <c r="AC248" i="44" s="1"/>
  <c r="AB215" i="44"/>
  <c r="AC215" i="44" s="1"/>
  <c r="AB213" i="44"/>
  <c r="AC213" i="44" s="1"/>
  <c r="AB336" i="44"/>
  <c r="AC336" i="44" s="1"/>
  <c r="AB155" i="44"/>
  <c r="AC155" i="44" s="1"/>
  <c r="AB214" i="44"/>
  <c r="AC214" i="44" s="1"/>
  <c r="AB98" i="44"/>
  <c r="AC98" i="44" s="1"/>
  <c r="AB331" i="44"/>
  <c r="AC331" i="44" s="1"/>
  <c r="AB88" i="44"/>
  <c r="AC88" i="44" s="1"/>
  <c r="AB326" i="44"/>
  <c r="AC326" i="44" s="1"/>
  <c r="AB164" i="44"/>
  <c r="AC164" i="44" s="1"/>
  <c r="AB14" i="44"/>
  <c r="AC14" i="44" s="1"/>
  <c r="AB285" i="44"/>
  <c r="AC285" i="44" s="1"/>
  <c r="AB312" i="44"/>
  <c r="AC312" i="44" s="1"/>
  <c r="AB124" i="44"/>
  <c r="AC124" i="44" s="1"/>
  <c r="AB220" i="44"/>
  <c r="AC220" i="44" s="1"/>
  <c r="AB242" i="44"/>
  <c r="AC242" i="44" s="1"/>
  <c r="AB299" i="44"/>
  <c r="AC299" i="44" s="1"/>
  <c r="AB277" i="44"/>
  <c r="AC277" i="44" s="1"/>
  <c r="AB339" i="44"/>
  <c r="AC339" i="44" s="1"/>
  <c r="AB138" i="44"/>
  <c r="AC138" i="44" s="1"/>
  <c r="AB43" i="44"/>
  <c r="AC43" i="44" s="1"/>
  <c r="AB180" i="44"/>
  <c r="AC180" i="44" s="1"/>
  <c r="AB308" i="44"/>
  <c r="AC308" i="44" s="1"/>
  <c r="AB80" i="44"/>
  <c r="AC80" i="44" s="1"/>
  <c r="AB217" i="44"/>
  <c r="AC217" i="44" s="1"/>
  <c r="AB140" i="44"/>
  <c r="AC140" i="44" s="1"/>
  <c r="AB137" i="44"/>
  <c r="AC137" i="44" s="1"/>
  <c r="AB169" i="44"/>
  <c r="AC169" i="44" s="1"/>
  <c r="AB222" i="44"/>
  <c r="AC222" i="44" s="1"/>
  <c r="AB86" i="44"/>
  <c r="AC86" i="44" s="1"/>
  <c r="AB141" i="44"/>
  <c r="AC141" i="44" s="1"/>
  <c r="AB112" i="44"/>
  <c r="AC112" i="44" s="1"/>
  <c r="AB120" i="44"/>
  <c r="AC120" i="44" s="1"/>
  <c r="AB187" i="44"/>
  <c r="AC187" i="44" s="1"/>
  <c r="AB320" i="44"/>
  <c r="AC320" i="44" s="1"/>
  <c r="AB125" i="44"/>
  <c r="AC125" i="44" s="1"/>
  <c r="AB322" i="44"/>
  <c r="AC322" i="44" s="1"/>
  <c r="AB55" i="44"/>
  <c r="AC55" i="44" s="1"/>
  <c r="AB107" i="44"/>
  <c r="AC107" i="44" s="1"/>
  <c r="AB342" i="44"/>
  <c r="AC342" i="44" s="1"/>
  <c r="AB76" i="44"/>
  <c r="AC76" i="44" s="1"/>
  <c r="AB56" i="44"/>
  <c r="AC56" i="44" s="1"/>
  <c r="AB79" i="44"/>
  <c r="AC79" i="44" s="1"/>
  <c r="AB207" i="44"/>
  <c r="AC207" i="44" s="1"/>
  <c r="AB127" i="44"/>
  <c r="AC127" i="44" s="1"/>
  <c r="AB11" i="44"/>
  <c r="AC11" i="44" s="1"/>
  <c r="AB240" i="44"/>
  <c r="AC240" i="44" s="1"/>
  <c r="AB260" i="44"/>
  <c r="AC260" i="44" s="1"/>
  <c r="AB36" i="44"/>
  <c r="AC36" i="44" s="1"/>
  <c r="AB173" i="44"/>
  <c r="AC173" i="44" s="1"/>
  <c r="AB186" i="44"/>
  <c r="AC186" i="44" s="1"/>
  <c r="AB340" i="44"/>
  <c r="AC340" i="44" s="1"/>
  <c r="AB294" i="44"/>
  <c r="AC294" i="44" s="1"/>
  <c r="AA6" i="44"/>
  <c r="S6" i="44"/>
  <c r="B39" i="29"/>
  <c r="H38" i="29"/>
  <c r="B38" i="29" s="1"/>
  <c r="G16" i="29"/>
  <c r="AB72" i="44"/>
  <c r="AC72" i="44" s="1"/>
  <c r="AB84" i="44"/>
  <c r="AC84" i="44" s="1"/>
  <c r="AB78" i="44"/>
  <c r="AC78" i="44" s="1"/>
  <c r="AB229" i="44"/>
  <c r="AC229" i="44" s="1"/>
  <c r="AB327" i="44"/>
  <c r="AC327" i="44" s="1"/>
  <c r="AB343" i="44"/>
  <c r="AC343" i="44" s="1"/>
  <c r="AB227" i="44"/>
  <c r="AC227" i="44" s="1"/>
  <c r="AB106" i="44"/>
  <c r="AC106" i="44" s="1"/>
  <c r="AB182" i="44"/>
  <c r="AC182" i="44" s="1"/>
  <c r="AB259" i="44"/>
  <c r="AC259" i="44" s="1"/>
  <c r="AB286" i="44"/>
  <c r="AC286" i="44" s="1"/>
  <c r="AB54" i="44"/>
  <c r="AC54" i="44" s="1"/>
  <c r="AB230" i="44"/>
  <c r="AC230" i="44" s="1"/>
  <c r="AB74" i="44"/>
  <c r="AC74" i="44" s="1"/>
  <c r="AB73" i="44"/>
  <c r="AC73" i="44" s="1"/>
  <c r="AB246" i="44"/>
  <c r="AC246" i="44" s="1"/>
  <c r="AB104" i="44"/>
  <c r="AC104" i="44" s="1"/>
  <c r="AB161" i="44"/>
  <c r="AC161" i="44" s="1"/>
  <c r="AB22" i="44"/>
  <c r="AC22" i="44" s="1"/>
  <c r="AB337" i="44"/>
  <c r="AC337" i="44" s="1"/>
  <c r="AB57" i="44"/>
  <c r="AC57" i="44" s="1"/>
  <c r="AB295" i="44"/>
  <c r="AC295" i="44" s="1"/>
  <c r="AB49" i="44"/>
  <c r="AC49" i="44" s="1"/>
  <c r="AB223" i="44"/>
  <c r="AC223" i="44" s="1"/>
  <c r="AB103" i="44"/>
  <c r="AC103" i="44" s="1"/>
  <c r="AB25" i="44"/>
  <c r="AC25" i="44" s="1"/>
  <c r="AB269" i="44"/>
  <c r="AC269" i="44" s="1"/>
  <c r="AB97" i="44"/>
  <c r="AC97" i="44" s="1"/>
  <c r="AB199" i="44"/>
  <c r="AC199" i="44" s="1"/>
  <c r="AB298" i="44"/>
  <c r="AC298" i="44" s="1"/>
  <c r="AB271" i="44"/>
  <c r="AC271" i="44" s="1"/>
  <c r="AB194" i="44"/>
  <c r="AC194" i="44" s="1"/>
  <c r="AB345" i="44"/>
  <c r="AC345" i="44" s="1"/>
  <c r="AB150" i="44"/>
  <c r="AC150" i="44" s="1"/>
  <c r="AB85" i="44"/>
  <c r="AC85" i="44" s="1"/>
  <c r="AB317" i="44"/>
  <c r="AC317" i="44" s="1"/>
  <c r="AB50" i="44"/>
  <c r="AC50" i="44" s="1"/>
  <c r="AB21" i="44"/>
  <c r="AC21" i="44" s="1"/>
  <c r="AB232" i="44"/>
  <c r="AC232" i="44" s="1"/>
  <c r="AB181" i="44"/>
  <c r="AC181" i="44" s="1"/>
  <c r="AB275" i="44"/>
  <c r="AC275" i="44" s="1"/>
  <c r="AB332" i="44"/>
  <c r="AC332" i="44" s="1"/>
  <c r="AB27" i="44"/>
  <c r="AC27" i="44" s="1"/>
  <c r="AB256" i="44"/>
  <c r="AC256" i="44" s="1"/>
  <c r="AB272" i="44"/>
  <c r="AC272" i="44" s="1"/>
  <c r="AB304" i="44"/>
  <c r="AC304" i="44" s="1"/>
  <c r="AB324" i="44"/>
  <c r="AC324" i="44" s="1"/>
  <c r="AB300" i="44"/>
  <c r="AC300" i="44" s="1"/>
  <c r="AB143" i="44"/>
  <c r="AC143" i="44" s="1"/>
  <c r="AB174" i="44"/>
  <c r="AC174" i="44" s="1"/>
  <c r="AB34" i="44"/>
  <c r="AC34" i="44" s="1"/>
  <c r="AB262" i="44"/>
  <c r="AC262" i="44" s="1"/>
  <c r="AB122" i="44"/>
  <c r="AC122" i="44" s="1"/>
  <c r="AB162" i="44"/>
  <c r="AC162" i="44" s="1"/>
  <c r="AB168" i="44"/>
  <c r="AC168" i="44" s="1"/>
  <c r="AB151" i="44"/>
  <c r="AC151" i="44" s="1"/>
  <c r="AB244" i="44"/>
  <c r="AC244" i="44" s="1"/>
  <c r="AB334" i="44"/>
  <c r="AC334" i="44" s="1"/>
  <c r="AB293" i="44"/>
  <c r="AC293" i="44" s="1"/>
  <c r="AB65" i="44"/>
  <c r="AC65" i="44" s="1"/>
  <c r="AB144" i="44"/>
  <c r="AC144" i="44" s="1"/>
  <c r="AB15" i="44"/>
  <c r="AC15" i="44" s="1"/>
  <c r="AB341" i="44"/>
  <c r="AC341" i="44" s="1"/>
  <c r="AB90" i="44"/>
  <c r="AC90" i="44" s="1"/>
  <c r="AB64" i="44"/>
  <c r="AC64" i="44" s="1"/>
  <c r="AB139" i="44"/>
  <c r="AC139" i="44" s="1"/>
  <c r="AB329" i="44"/>
  <c r="AC329" i="44" s="1"/>
  <c r="AB147" i="44"/>
  <c r="AC147" i="44" s="1"/>
  <c r="AB176" i="44"/>
  <c r="AC176" i="44" s="1"/>
  <c r="AB283" i="44"/>
  <c r="AC283" i="44" s="1"/>
  <c r="AB307" i="44"/>
  <c r="AC307" i="44" s="1"/>
  <c r="AB313" i="44"/>
  <c r="AC313" i="44" s="1"/>
  <c r="AB118" i="44"/>
  <c r="AC118" i="44" s="1"/>
  <c r="AB184" i="44"/>
  <c r="AC184" i="44" s="1"/>
  <c r="AB258" i="44"/>
  <c r="AC258" i="44" s="1"/>
  <c r="AB158" i="44"/>
  <c r="AC158" i="44" s="1"/>
  <c r="AB316" i="44"/>
  <c r="AC316" i="44" s="1"/>
  <c r="AB235" i="44"/>
  <c r="AC235" i="44" s="1"/>
  <c r="AB62" i="44"/>
  <c r="AC62" i="44" s="1"/>
  <c r="AB94" i="44"/>
  <c r="AC94" i="44" s="1"/>
  <c r="AB212" i="44"/>
  <c r="AC212" i="44" s="1"/>
  <c r="AB131" i="44"/>
  <c r="AC131" i="44" s="1"/>
  <c r="AB135" i="44"/>
  <c r="AC135" i="44" s="1"/>
  <c r="AB153" i="44"/>
  <c r="AC153" i="44" s="1"/>
  <c r="AB92" i="44"/>
  <c r="AC92" i="44" s="1"/>
  <c r="AB239" i="44"/>
  <c r="AC239" i="44" s="1"/>
  <c r="AB231" i="44"/>
  <c r="AC231" i="44" s="1"/>
  <c r="AB26" i="44"/>
  <c r="AC26" i="44" s="1"/>
  <c r="AB170" i="44"/>
  <c r="AC170" i="44" s="1"/>
  <c r="AB291" i="44"/>
  <c r="AC291" i="44" s="1"/>
  <c r="AB28" i="44"/>
  <c r="AC28" i="44" s="1"/>
  <c r="AB344" i="44"/>
  <c r="AC344" i="44" s="1"/>
  <c r="AB330" i="44"/>
  <c r="AC330" i="44" s="1"/>
  <c r="AB129" i="44"/>
  <c r="AC129" i="44" s="1"/>
  <c r="AB38" i="44"/>
  <c r="AC38" i="44" s="1"/>
  <c r="AB266" i="44"/>
  <c r="AC266" i="44" s="1"/>
  <c r="AB100" i="44"/>
  <c r="AC100" i="44" s="1"/>
  <c r="AB87" i="44"/>
  <c r="AC87" i="44" s="1"/>
  <c r="AB156" i="44"/>
  <c r="AC156" i="44" s="1"/>
  <c r="AB225" i="44"/>
  <c r="AC225" i="44" s="1"/>
  <c r="AB171" i="44"/>
  <c r="AC171" i="44" s="1"/>
  <c r="AB210" i="44"/>
  <c r="AC210" i="44" s="1"/>
  <c r="AB37" i="44"/>
  <c r="AC37" i="44" s="1"/>
  <c r="AB234" i="44"/>
  <c r="AC234" i="44" s="1"/>
  <c r="AA7" i="44"/>
  <c r="M1" i="42" s="1"/>
  <c r="BH2" i="31"/>
  <c r="AD2" i="31"/>
  <c r="R2" i="31"/>
  <c r="BN2" i="31"/>
  <c r="AP2" i="31"/>
  <c r="L2" i="31"/>
  <c r="I7" i="29"/>
  <c r="I4" i="29"/>
  <c r="Y7" i="29"/>
  <c r="Z7" i="29" s="1"/>
  <c r="AM4" i="31"/>
  <c r="H14" i="29"/>
  <c r="I4" i="31"/>
  <c r="U4" i="31"/>
  <c r="AG4" i="31"/>
  <c r="H40" i="29"/>
  <c r="B40" i="29" s="1"/>
  <c r="X2" i="31"/>
  <c r="I2" i="29"/>
  <c r="I6" i="29"/>
  <c r="BT2" i="31"/>
  <c r="G14" i="29"/>
  <c r="G50" i="29"/>
  <c r="Y13" i="29"/>
  <c r="Z13" i="29" s="1"/>
  <c r="BZ2" i="31"/>
  <c r="I13" i="29"/>
  <c r="H49" i="29"/>
  <c r="B49" i="29" s="1"/>
  <c r="BW4" i="31"/>
  <c r="Y8" i="29"/>
  <c r="Z8" i="29" s="1"/>
  <c r="AV2" i="31"/>
  <c r="H44" i="29"/>
  <c r="B44" i="29" s="1"/>
  <c r="I8" i="29"/>
  <c r="AS4" i="31"/>
  <c r="Z2" i="29"/>
  <c r="N1" i="42" l="1"/>
  <c r="Y7" i="46"/>
  <c r="Y5" i="46" s="1"/>
  <c r="AL3" i="53" a="1"/>
  <c r="AL3" i="53" s="1"/>
  <c r="Q5" i="53"/>
  <c r="AF3" i="53" s="1" a="1"/>
  <c r="AF3" i="53" s="1"/>
  <c r="C1" i="53"/>
  <c r="AC5" i="45"/>
  <c r="AC6" i="45" s="1"/>
  <c r="AB5" i="45"/>
  <c r="L1" i="42"/>
  <c r="R3" i="42" a="1"/>
  <c r="AB7" i="44"/>
  <c r="AC6" i="44" s="1"/>
  <c r="AD9" i="44" s="1"/>
  <c r="I14" i="29"/>
  <c r="H50" i="29"/>
  <c r="Y14" i="29"/>
  <c r="Z5" i="46" l="1"/>
  <c r="Z6" i="46" s="1"/>
  <c r="Z306" i="46" s="1"/>
  <c r="AC289" i="45"/>
  <c r="AD289" i="45" s="1"/>
  <c r="AE289" i="45" s="1"/>
  <c r="AF289" i="45" s="1"/>
  <c r="AC309" i="45"/>
  <c r="AD309" i="45" s="1"/>
  <c r="AE309" i="45" s="1"/>
  <c r="AF309" i="45" s="1"/>
  <c r="AC329" i="45"/>
  <c r="AD329" i="45" s="1"/>
  <c r="AE329" i="45" s="1"/>
  <c r="AF329" i="45" s="1"/>
  <c r="AC349" i="45"/>
  <c r="AD349" i="45" s="1"/>
  <c r="AE349" i="45" s="1"/>
  <c r="AF349" i="45" s="1"/>
  <c r="AC31" i="45"/>
  <c r="AD31" i="45" s="1"/>
  <c r="AE31" i="45" s="1"/>
  <c r="AF31" i="45" s="1"/>
  <c r="AC51" i="45"/>
  <c r="AD51" i="45" s="1"/>
  <c r="AE51" i="45" s="1"/>
  <c r="AF51" i="45" s="1"/>
  <c r="AC71" i="45"/>
  <c r="AD71" i="45" s="1"/>
  <c r="AE71" i="45" s="1"/>
  <c r="AF71" i="45" s="1"/>
  <c r="AC91" i="45"/>
  <c r="AD91" i="45" s="1"/>
  <c r="AE91" i="45" s="1"/>
  <c r="AF91" i="45" s="1"/>
  <c r="AC131" i="45"/>
  <c r="AD131" i="45" s="1"/>
  <c r="AE131" i="45" s="1"/>
  <c r="AF131" i="45" s="1"/>
  <c r="AC171" i="45"/>
  <c r="AD171" i="45" s="1"/>
  <c r="AE171" i="45" s="1"/>
  <c r="AF171" i="45" s="1"/>
  <c r="AC211" i="45"/>
  <c r="AD211" i="45" s="1"/>
  <c r="AE211" i="45" s="1"/>
  <c r="AF211" i="45" s="1"/>
  <c r="AC251" i="45"/>
  <c r="AD251" i="45" s="1"/>
  <c r="AE251" i="45" s="1"/>
  <c r="AF251" i="45" s="1"/>
  <c r="AC291" i="45"/>
  <c r="AD291" i="45" s="1"/>
  <c r="AE291" i="45" s="1"/>
  <c r="AF291" i="45" s="1"/>
  <c r="AC331" i="45"/>
  <c r="AD331" i="45" s="1"/>
  <c r="AE331" i="45" s="1"/>
  <c r="AF331" i="45" s="1"/>
  <c r="AG331" i="45" s="1"/>
  <c r="AC12" i="45"/>
  <c r="AD12" i="45" s="1"/>
  <c r="AE12" i="45" s="1"/>
  <c r="AF12" i="45" s="1"/>
  <c r="AC52" i="45"/>
  <c r="AD52" i="45" s="1"/>
  <c r="AE52" i="45" s="1"/>
  <c r="AF52" i="45" s="1"/>
  <c r="AC72" i="45"/>
  <c r="AD72" i="45" s="1"/>
  <c r="AE72" i="45" s="1"/>
  <c r="AF72" i="45" s="1"/>
  <c r="AC92" i="45"/>
  <c r="AD92" i="45" s="1"/>
  <c r="AE92" i="45" s="1"/>
  <c r="AF92" i="45" s="1"/>
  <c r="AC112" i="45"/>
  <c r="AD112" i="45" s="1"/>
  <c r="AE112" i="45" s="1"/>
  <c r="AF112" i="45" s="1"/>
  <c r="AC132" i="45"/>
  <c r="AD132" i="45" s="1"/>
  <c r="AE132" i="45" s="1"/>
  <c r="AF132" i="45" s="1"/>
  <c r="AC152" i="45"/>
  <c r="AD152" i="45" s="1"/>
  <c r="AE152" i="45" s="1"/>
  <c r="AF152" i="45" s="1"/>
  <c r="AC172" i="45"/>
  <c r="AD172" i="45" s="1"/>
  <c r="AE172" i="45" s="1"/>
  <c r="AF172" i="45" s="1"/>
  <c r="AC274" i="45"/>
  <c r="AD274" i="45" s="1"/>
  <c r="AE274" i="45" s="1"/>
  <c r="AF274" i="45" s="1"/>
  <c r="AC314" i="45"/>
  <c r="AD314" i="45" s="1"/>
  <c r="AE314" i="45" s="1"/>
  <c r="AF314" i="45" s="1"/>
  <c r="AC354" i="45"/>
  <c r="AD354" i="45" s="1"/>
  <c r="AE354" i="45" s="1"/>
  <c r="AF354" i="45" s="1"/>
  <c r="AC15" i="45"/>
  <c r="AD15" i="45" s="1"/>
  <c r="AE15" i="45" s="1"/>
  <c r="AF15" i="45" s="1"/>
  <c r="AC75" i="45"/>
  <c r="AD75" i="45" s="1"/>
  <c r="AE75" i="45" s="1"/>
  <c r="AF75" i="45" s="1"/>
  <c r="AC115" i="45"/>
  <c r="AD115" i="45" s="1"/>
  <c r="AE115" i="45" s="1"/>
  <c r="AF115" i="45" s="1"/>
  <c r="AC155" i="45"/>
  <c r="AD155" i="45" s="1"/>
  <c r="AE155" i="45" s="1"/>
  <c r="AF155" i="45" s="1"/>
  <c r="AC195" i="45"/>
  <c r="AD195" i="45" s="1"/>
  <c r="AE195" i="45" s="1"/>
  <c r="AF195" i="45" s="1"/>
  <c r="AC235" i="45"/>
  <c r="AD235" i="45" s="1"/>
  <c r="AE235" i="45" s="1"/>
  <c r="AF235" i="45" s="1"/>
  <c r="AC275" i="45"/>
  <c r="AD275" i="45" s="1"/>
  <c r="AE275" i="45" s="1"/>
  <c r="AF275" i="45" s="1"/>
  <c r="AC315" i="45"/>
  <c r="AD315" i="45" s="1"/>
  <c r="AE315" i="45" s="1"/>
  <c r="AF315" i="45" s="1"/>
  <c r="AC9" i="45"/>
  <c r="AC316" i="45"/>
  <c r="AD316" i="45" s="1"/>
  <c r="AE316" i="45" s="1"/>
  <c r="AF316" i="45" s="1"/>
  <c r="AC178" i="45"/>
  <c r="AD178" i="45" s="1"/>
  <c r="AE178" i="45" s="1"/>
  <c r="AF178" i="45" s="1"/>
  <c r="AC16" i="45"/>
  <c r="AD16" i="45" s="1"/>
  <c r="AE16" i="45" s="1"/>
  <c r="AF16" i="45" s="1"/>
  <c r="AC136" i="45"/>
  <c r="AD136" i="45" s="1"/>
  <c r="AE136" i="45" s="1"/>
  <c r="AF136" i="45" s="1"/>
  <c r="AC176" i="45"/>
  <c r="AD176" i="45" s="1"/>
  <c r="AE176" i="45" s="1"/>
  <c r="AF176" i="45" s="1"/>
  <c r="AC216" i="45"/>
  <c r="AD216" i="45" s="1"/>
  <c r="AE216" i="45" s="1"/>
  <c r="AF216" i="45" s="1"/>
  <c r="AC276" i="45"/>
  <c r="AD276" i="45" s="1"/>
  <c r="AE276" i="45" s="1"/>
  <c r="AF276" i="45" s="1"/>
  <c r="AC117" i="45"/>
  <c r="AD117" i="45" s="1"/>
  <c r="AE117" i="45" s="1"/>
  <c r="AF117" i="45" s="1"/>
  <c r="AC157" i="45"/>
  <c r="AD157" i="45" s="1"/>
  <c r="AE157" i="45" s="1"/>
  <c r="AF157" i="45" s="1"/>
  <c r="AC197" i="45"/>
  <c r="AD197" i="45" s="1"/>
  <c r="AE197" i="45" s="1"/>
  <c r="AF197" i="45" s="1"/>
  <c r="AC237" i="45"/>
  <c r="AD237" i="45" s="1"/>
  <c r="AE237" i="45" s="1"/>
  <c r="AF237" i="45" s="1"/>
  <c r="AC277" i="45"/>
  <c r="AD277" i="45" s="1"/>
  <c r="AE277" i="45" s="1"/>
  <c r="AF277" i="45" s="1"/>
  <c r="AC317" i="45"/>
  <c r="AD317" i="45" s="1"/>
  <c r="AE317" i="45" s="1"/>
  <c r="AF317" i="45" s="1"/>
  <c r="AC20" i="45"/>
  <c r="AD20" i="45" s="1"/>
  <c r="AE20" i="45" s="1"/>
  <c r="AF20" i="45" s="1"/>
  <c r="AC21" i="45"/>
  <c r="AD21" i="45" s="1"/>
  <c r="AE21" i="45" s="1"/>
  <c r="AF21" i="45" s="1"/>
  <c r="AC81" i="45"/>
  <c r="AD81" i="45" s="1"/>
  <c r="AE81" i="45" s="1"/>
  <c r="AF81" i="45" s="1"/>
  <c r="AC121" i="45"/>
  <c r="AD121" i="45" s="1"/>
  <c r="AE121" i="45" s="1"/>
  <c r="AF121" i="45" s="1"/>
  <c r="AC181" i="45"/>
  <c r="AD181" i="45" s="1"/>
  <c r="AE181" i="45" s="1"/>
  <c r="AF181" i="45" s="1"/>
  <c r="AC221" i="45"/>
  <c r="AD221" i="45" s="1"/>
  <c r="AE221" i="45" s="1"/>
  <c r="AF221" i="45" s="1"/>
  <c r="AC281" i="45"/>
  <c r="AD281" i="45" s="1"/>
  <c r="AE281" i="45" s="1"/>
  <c r="AF281" i="45" s="1"/>
  <c r="AC341" i="45"/>
  <c r="AD341" i="45" s="1"/>
  <c r="AE341" i="45" s="1"/>
  <c r="AF341" i="45" s="1"/>
  <c r="AC42" i="45"/>
  <c r="AD42" i="45" s="1"/>
  <c r="AE42" i="45" s="1"/>
  <c r="AF42" i="45" s="1"/>
  <c r="AC102" i="45"/>
  <c r="AD102" i="45" s="1"/>
  <c r="AE102" i="45" s="1"/>
  <c r="AF102" i="45" s="1"/>
  <c r="AC162" i="45"/>
  <c r="AD162" i="45" s="1"/>
  <c r="AE162" i="45" s="1"/>
  <c r="AF162" i="45" s="1"/>
  <c r="AC202" i="45"/>
  <c r="AD202" i="45" s="1"/>
  <c r="AE202" i="45" s="1"/>
  <c r="AF202" i="45" s="1"/>
  <c r="AC245" i="45"/>
  <c r="AD245" i="45" s="1"/>
  <c r="AE245" i="45" s="1"/>
  <c r="AF245" i="45" s="1"/>
  <c r="AC305" i="45"/>
  <c r="AD305" i="45" s="1"/>
  <c r="AE305" i="45" s="1"/>
  <c r="AF305" i="45" s="1"/>
  <c r="AC100" i="45"/>
  <c r="AD100" i="45" s="1"/>
  <c r="AE100" i="45" s="1"/>
  <c r="AF100" i="45" s="1"/>
  <c r="AC260" i="45"/>
  <c r="AD260" i="45" s="1"/>
  <c r="AE260" i="45" s="1"/>
  <c r="AF260" i="45" s="1"/>
  <c r="AC106" i="45"/>
  <c r="AD106" i="45" s="1"/>
  <c r="AE106" i="45" s="1"/>
  <c r="AF106" i="45" s="1"/>
  <c r="AC346" i="45"/>
  <c r="AD346" i="45" s="1"/>
  <c r="AE346" i="45" s="1"/>
  <c r="AF346" i="45" s="1"/>
  <c r="AC107" i="45"/>
  <c r="AD107" i="45" s="1"/>
  <c r="AE107" i="45" s="1"/>
  <c r="AF107" i="45" s="1"/>
  <c r="AC347" i="45"/>
  <c r="AD347" i="45" s="1"/>
  <c r="AE347" i="45" s="1"/>
  <c r="AF347" i="45" s="1"/>
  <c r="AC326" i="45"/>
  <c r="AD326" i="45" s="1"/>
  <c r="AE326" i="45" s="1"/>
  <c r="AF326" i="45" s="1"/>
  <c r="AC167" i="45"/>
  <c r="AD167" i="45" s="1"/>
  <c r="AE167" i="45" s="1"/>
  <c r="AF167" i="45" s="1"/>
  <c r="AC179" i="45"/>
  <c r="AD179" i="45" s="1"/>
  <c r="AE179" i="45" s="1"/>
  <c r="AF179" i="45" s="1"/>
  <c r="AC188" i="45"/>
  <c r="AD188" i="45" s="1"/>
  <c r="AE188" i="45" s="1"/>
  <c r="AF188" i="45" s="1"/>
  <c r="AC120" i="45"/>
  <c r="AD120" i="45" s="1"/>
  <c r="AE120" i="45" s="1"/>
  <c r="AF120" i="45" s="1"/>
  <c r="AC246" i="45"/>
  <c r="AD246" i="45" s="1"/>
  <c r="AE246" i="45" s="1"/>
  <c r="AF246" i="45" s="1"/>
  <c r="AC259" i="45"/>
  <c r="AD259" i="45" s="1"/>
  <c r="AE259" i="45" s="1"/>
  <c r="AF259" i="45" s="1"/>
  <c r="AC288" i="45"/>
  <c r="AD288" i="45" s="1"/>
  <c r="AE288" i="45" s="1"/>
  <c r="AF288" i="45" s="1"/>
  <c r="AC319" i="45"/>
  <c r="AD319" i="45" s="1"/>
  <c r="AE319" i="45" s="1"/>
  <c r="AF319" i="45" s="1"/>
  <c r="AC299" i="45"/>
  <c r="AD299" i="45" s="1"/>
  <c r="AE299" i="45" s="1"/>
  <c r="AF299" i="45" s="1"/>
  <c r="AC49" i="45"/>
  <c r="AD49" i="45" s="1"/>
  <c r="AE49" i="45" s="1"/>
  <c r="AF49" i="45" s="1"/>
  <c r="AC89" i="45"/>
  <c r="AD89" i="45" s="1"/>
  <c r="AE89" i="45" s="1"/>
  <c r="AF89" i="45" s="1"/>
  <c r="AC149" i="45"/>
  <c r="AD149" i="45" s="1"/>
  <c r="AE149" i="45" s="1"/>
  <c r="AF149" i="45" s="1"/>
  <c r="AC169" i="45"/>
  <c r="AD169" i="45" s="1"/>
  <c r="AE169" i="45" s="1"/>
  <c r="AF169" i="45" s="1"/>
  <c r="AC229" i="45"/>
  <c r="AD229" i="45" s="1"/>
  <c r="AE229" i="45" s="1"/>
  <c r="AF229" i="45" s="1"/>
  <c r="AC192" i="45"/>
  <c r="AD192" i="45" s="1"/>
  <c r="AE192" i="45" s="1"/>
  <c r="AF192" i="45" s="1"/>
  <c r="AC212" i="45"/>
  <c r="AD212" i="45" s="1"/>
  <c r="AE212" i="45" s="1"/>
  <c r="AF212" i="45" s="1"/>
  <c r="AC232" i="45"/>
  <c r="AD232" i="45" s="1"/>
  <c r="AE232" i="45" s="1"/>
  <c r="AF232" i="45" s="1"/>
  <c r="AC252" i="45"/>
  <c r="AD252" i="45" s="1"/>
  <c r="AE252" i="45" s="1"/>
  <c r="AF252" i="45" s="1"/>
  <c r="AC292" i="45"/>
  <c r="AD292" i="45" s="1"/>
  <c r="AE292" i="45" s="1"/>
  <c r="AF292" i="45" s="1"/>
  <c r="AC312" i="45"/>
  <c r="AD312" i="45" s="1"/>
  <c r="AE312" i="45" s="1"/>
  <c r="AF312" i="45" s="1"/>
  <c r="AC332" i="45"/>
  <c r="AD332" i="45" s="1"/>
  <c r="AE332" i="45" s="1"/>
  <c r="AF332" i="45" s="1"/>
  <c r="AC352" i="45"/>
  <c r="AD352" i="45" s="1"/>
  <c r="AE352" i="45" s="1"/>
  <c r="AF352" i="45" s="1"/>
  <c r="AC116" i="45"/>
  <c r="AD116" i="45" s="1"/>
  <c r="AE116" i="45" s="1"/>
  <c r="AF116" i="45" s="1"/>
  <c r="AC256" i="45"/>
  <c r="AD256" i="45" s="1"/>
  <c r="AE256" i="45" s="1"/>
  <c r="AF256" i="45" s="1"/>
  <c r="AC296" i="45"/>
  <c r="AD296" i="45" s="1"/>
  <c r="AE296" i="45" s="1"/>
  <c r="AF296" i="45" s="1"/>
  <c r="AC336" i="45"/>
  <c r="AD336" i="45" s="1"/>
  <c r="AE336" i="45" s="1"/>
  <c r="AF336" i="45" s="1"/>
  <c r="AC18" i="45"/>
  <c r="AD18" i="45" s="1"/>
  <c r="AE18" i="45" s="1"/>
  <c r="AF18" i="45" s="1"/>
  <c r="AC98" i="45"/>
  <c r="AD98" i="45" s="1"/>
  <c r="AE98" i="45" s="1"/>
  <c r="AF98" i="45" s="1"/>
  <c r="AC118" i="45"/>
  <c r="AD118" i="45" s="1"/>
  <c r="AE118" i="45" s="1"/>
  <c r="AF118" i="45" s="1"/>
  <c r="AC138" i="45"/>
  <c r="AD138" i="45" s="1"/>
  <c r="AE138" i="45" s="1"/>
  <c r="AF138" i="45" s="1"/>
  <c r="AC198" i="45"/>
  <c r="AD198" i="45" s="1"/>
  <c r="AE198" i="45" s="1"/>
  <c r="AF198" i="45" s="1"/>
  <c r="AC258" i="45"/>
  <c r="AD258" i="45" s="1"/>
  <c r="AE258" i="45" s="1"/>
  <c r="AF258" i="45" s="1"/>
  <c r="AC298" i="45"/>
  <c r="AD298" i="45" s="1"/>
  <c r="AE298" i="45" s="1"/>
  <c r="AF298" i="45" s="1"/>
  <c r="AC14" i="45"/>
  <c r="AD14" i="45" s="1"/>
  <c r="AE14" i="45" s="1"/>
  <c r="AF14" i="45" s="1"/>
  <c r="AC34" i="45"/>
  <c r="AD34" i="45" s="1"/>
  <c r="AE34" i="45" s="1"/>
  <c r="AF34" i="45" s="1"/>
  <c r="AC54" i="45"/>
  <c r="AD54" i="45" s="1"/>
  <c r="AE54" i="45" s="1"/>
  <c r="AF54" i="45" s="1"/>
  <c r="AC74" i="45"/>
  <c r="AD74" i="45" s="1"/>
  <c r="AE74" i="45" s="1"/>
  <c r="AF74" i="45" s="1"/>
  <c r="AC94" i="45"/>
  <c r="AD94" i="45" s="1"/>
  <c r="AE94" i="45" s="1"/>
  <c r="AF94" i="45" s="1"/>
  <c r="AC114" i="45"/>
  <c r="AD114" i="45" s="1"/>
  <c r="AE114" i="45" s="1"/>
  <c r="AF114" i="45" s="1"/>
  <c r="AC134" i="45"/>
  <c r="AD134" i="45" s="1"/>
  <c r="AE134" i="45" s="1"/>
  <c r="AF134" i="45" s="1"/>
  <c r="AC154" i="45"/>
  <c r="AD154" i="45" s="1"/>
  <c r="AE154" i="45" s="1"/>
  <c r="AF154" i="45" s="1"/>
  <c r="AC174" i="45"/>
  <c r="AD174" i="45" s="1"/>
  <c r="AE174" i="45" s="1"/>
  <c r="AF174" i="45" s="1"/>
  <c r="AC194" i="45"/>
  <c r="AD194" i="45" s="1"/>
  <c r="AE194" i="45" s="1"/>
  <c r="AF194" i="45" s="1"/>
  <c r="AC214" i="45"/>
  <c r="AD214" i="45" s="1"/>
  <c r="AE214" i="45" s="1"/>
  <c r="AF214" i="45" s="1"/>
  <c r="AC234" i="45"/>
  <c r="AD234" i="45" s="1"/>
  <c r="AE234" i="45" s="1"/>
  <c r="AF234" i="45" s="1"/>
  <c r="AC254" i="45"/>
  <c r="AD254" i="45" s="1"/>
  <c r="AE254" i="45" s="1"/>
  <c r="AF254" i="45" s="1"/>
  <c r="AC294" i="45"/>
  <c r="AD294" i="45" s="1"/>
  <c r="AE294" i="45" s="1"/>
  <c r="AF294" i="45" s="1"/>
  <c r="AC334" i="45"/>
  <c r="AD334" i="45" s="1"/>
  <c r="AE334" i="45" s="1"/>
  <c r="AF334" i="45" s="1"/>
  <c r="AC35" i="45"/>
  <c r="AD35" i="45" s="1"/>
  <c r="AE35" i="45" s="1"/>
  <c r="AF35" i="45" s="1"/>
  <c r="AC55" i="45"/>
  <c r="AD55" i="45" s="1"/>
  <c r="AE55" i="45" s="1"/>
  <c r="AF55" i="45" s="1"/>
  <c r="AC95" i="45"/>
  <c r="AD95" i="45" s="1"/>
  <c r="AE95" i="45" s="1"/>
  <c r="AF95" i="45" s="1"/>
  <c r="AC135" i="45"/>
  <c r="AD135" i="45" s="1"/>
  <c r="AE135" i="45" s="1"/>
  <c r="AF135" i="45" s="1"/>
  <c r="AC175" i="45"/>
  <c r="AD175" i="45" s="1"/>
  <c r="AE175" i="45" s="1"/>
  <c r="AF175" i="45" s="1"/>
  <c r="AC215" i="45"/>
  <c r="AD215" i="45" s="1"/>
  <c r="AE215" i="45" s="1"/>
  <c r="AF215" i="45" s="1"/>
  <c r="AC255" i="45"/>
  <c r="AD255" i="45" s="1"/>
  <c r="AE255" i="45" s="1"/>
  <c r="AF255" i="45" s="1"/>
  <c r="AC295" i="45"/>
  <c r="AD295" i="45" s="1"/>
  <c r="AE295" i="45" s="1"/>
  <c r="AF295" i="45" s="1"/>
  <c r="AC335" i="45"/>
  <c r="AD335" i="45" s="1"/>
  <c r="AE335" i="45" s="1"/>
  <c r="AF335" i="45" s="1"/>
  <c r="AC76" i="45"/>
  <c r="AD76" i="45" s="1"/>
  <c r="AE76" i="45" s="1"/>
  <c r="AF76" i="45" s="1"/>
  <c r="AC58" i="45"/>
  <c r="AD58" i="45" s="1"/>
  <c r="AE58" i="45" s="1"/>
  <c r="AF58" i="45" s="1"/>
  <c r="AC278" i="45"/>
  <c r="AD278" i="45" s="1"/>
  <c r="AE278" i="45" s="1"/>
  <c r="AF278" i="45" s="1"/>
  <c r="AC56" i="45"/>
  <c r="AD56" i="45" s="1"/>
  <c r="AE56" i="45" s="1"/>
  <c r="AF56" i="45" s="1"/>
  <c r="AC156" i="45"/>
  <c r="AD156" i="45" s="1"/>
  <c r="AE156" i="45" s="1"/>
  <c r="AF156" i="45" s="1"/>
  <c r="AC196" i="45"/>
  <c r="AD196" i="45" s="1"/>
  <c r="AE196" i="45" s="1"/>
  <c r="AF196" i="45" s="1"/>
  <c r="AC236" i="45"/>
  <c r="AD236" i="45" s="1"/>
  <c r="AE236" i="45" s="1"/>
  <c r="AF236" i="45" s="1"/>
  <c r="AC17" i="45"/>
  <c r="AD17" i="45" s="1"/>
  <c r="AE17" i="45" s="1"/>
  <c r="AF17" i="45" s="1"/>
  <c r="AC37" i="45"/>
  <c r="AD37" i="45" s="1"/>
  <c r="AE37" i="45" s="1"/>
  <c r="AF37" i="45" s="1"/>
  <c r="AC57" i="45"/>
  <c r="AD57" i="45" s="1"/>
  <c r="AE57" i="45" s="1"/>
  <c r="AF57" i="45" s="1"/>
  <c r="AC77" i="45"/>
  <c r="AD77" i="45" s="1"/>
  <c r="AE77" i="45" s="1"/>
  <c r="AF77" i="45" s="1"/>
  <c r="AC97" i="45"/>
  <c r="AD97" i="45" s="1"/>
  <c r="AE97" i="45" s="1"/>
  <c r="AF97" i="45" s="1"/>
  <c r="AC137" i="45"/>
  <c r="AD137" i="45" s="1"/>
  <c r="AE137" i="45" s="1"/>
  <c r="AF137" i="45" s="1"/>
  <c r="AC177" i="45"/>
  <c r="AD177" i="45" s="1"/>
  <c r="AE177" i="45" s="1"/>
  <c r="AF177" i="45" s="1"/>
  <c r="AC217" i="45"/>
  <c r="AD217" i="45" s="1"/>
  <c r="AE217" i="45" s="1"/>
  <c r="AF217" i="45" s="1"/>
  <c r="AC257" i="45"/>
  <c r="AD257" i="45" s="1"/>
  <c r="AE257" i="45" s="1"/>
  <c r="AF257" i="45" s="1"/>
  <c r="AC337" i="45"/>
  <c r="AD337" i="45" s="1"/>
  <c r="AE337" i="45" s="1"/>
  <c r="AF337" i="45" s="1"/>
  <c r="AC19" i="45"/>
  <c r="AD19" i="45" s="1"/>
  <c r="AE19" i="45" s="1"/>
  <c r="AF19" i="45" s="1"/>
  <c r="AC41" i="45"/>
  <c r="AD41" i="45" s="1"/>
  <c r="AE41" i="45" s="1"/>
  <c r="AF41" i="45" s="1"/>
  <c r="AC61" i="45"/>
  <c r="AD61" i="45" s="1"/>
  <c r="AE61" i="45" s="1"/>
  <c r="AF61" i="45" s="1"/>
  <c r="AC101" i="45"/>
  <c r="AD101" i="45" s="1"/>
  <c r="AE101" i="45" s="1"/>
  <c r="AF101" i="45" s="1"/>
  <c r="AC161" i="45"/>
  <c r="AD161" i="45" s="1"/>
  <c r="AE161" i="45" s="1"/>
  <c r="AF161" i="45" s="1"/>
  <c r="AC201" i="45"/>
  <c r="AD201" i="45" s="1"/>
  <c r="AE201" i="45" s="1"/>
  <c r="AF201" i="45" s="1"/>
  <c r="AC261" i="45"/>
  <c r="AD261" i="45" s="1"/>
  <c r="AE261" i="45" s="1"/>
  <c r="AF261" i="45" s="1"/>
  <c r="AC301" i="45"/>
  <c r="AD301" i="45" s="1"/>
  <c r="AE301" i="45" s="1"/>
  <c r="AF301" i="45" s="1"/>
  <c r="AC22" i="45"/>
  <c r="AD22" i="45" s="1"/>
  <c r="AE22" i="45" s="1"/>
  <c r="AF22" i="45" s="1"/>
  <c r="AC62" i="45"/>
  <c r="AD62" i="45" s="1"/>
  <c r="AE62" i="45" s="1"/>
  <c r="AF62" i="45" s="1"/>
  <c r="AC122" i="45"/>
  <c r="AD122" i="45" s="1"/>
  <c r="AE122" i="45" s="1"/>
  <c r="AF122" i="45" s="1"/>
  <c r="AC182" i="45"/>
  <c r="AD182" i="45" s="1"/>
  <c r="AE182" i="45" s="1"/>
  <c r="AF182" i="45" s="1"/>
  <c r="AC225" i="45"/>
  <c r="AD225" i="45" s="1"/>
  <c r="AE225" i="45" s="1"/>
  <c r="AF225" i="45" s="1"/>
  <c r="AC265" i="45"/>
  <c r="AD265" i="45" s="1"/>
  <c r="AE265" i="45" s="1"/>
  <c r="AF265" i="45" s="1"/>
  <c r="AC345" i="45"/>
  <c r="AD345" i="45" s="1"/>
  <c r="AE345" i="45" s="1"/>
  <c r="AF345" i="45" s="1"/>
  <c r="AC180" i="45"/>
  <c r="AD180" i="45" s="1"/>
  <c r="AE180" i="45" s="1"/>
  <c r="AF180" i="45" s="1"/>
  <c r="AC26" i="45"/>
  <c r="AD26" i="45" s="1"/>
  <c r="AE26" i="45" s="1"/>
  <c r="AF26" i="45" s="1"/>
  <c r="AC266" i="45"/>
  <c r="AD266" i="45" s="1"/>
  <c r="AE266" i="45" s="1"/>
  <c r="AF266" i="45" s="1"/>
  <c r="AC27" i="45"/>
  <c r="AD27" i="45" s="1"/>
  <c r="AE27" i="45" s="1"/>
  <c r="AF27" i="45" s="1"/>
  <c r="AC267" i="45"/>
  <c r="AD267" i="45" s="1"/>
  <c r="AE267" i="45" s="1"/>
  <c r="AF267" i="45" s="1"/>
  <c r="AC160" i="45"/>
  <c r="AD160" i="45" s="1"/>
  <c r="AE160" i="45" s="1"/>
  <c r="AF160" i="45" s="1"/>
  <c r="AC327" i="45"/>
  <c r="AD327" i="45" s="1"/>
  <c r="AE327" i="45" s="1"/>
  <c r="AF327" i="45" s="1"/>
  <c r="AC247" i="45"/>
  <c r="AD247" i="45" s="1"/>
  <c r="AE247" i="45" s="1"/>
  <c r="AF247" i="45" s="1"/>
  <c r="AC108" i="45"/>
  <c r="AD108" i="45" s="1"/>
  <c r="AE108" i="45" s="1"/>
  <c r="AF108" i="45" s="1"/>
  <c r="AC348" i="45"/>
  <c r="AD348" i="45" s="1"/>
  <c r="AE348" i="45" s="1"/>
  <c r="AF348" i="45" s="1"/>
  <c r="AC240" i="45"/>
  <c r="AD240" i="45" s="1"/>
  <c r="AE240" i="45" s="1"/>
  <c r="AF240" i="45" s="1"/>
  <c r="AC339" i="45"/>
  <c r="AD339" i="45" s="1"/>
  <c r="AE339" i="45" s="1"/>
  <c r="AF339" i="45" s="1"/>
  <c r="AC208" i="45"/>
  <c r="AD208" i="45" s="1"/>
  <c r="AE208" i="45" s="1"/>
  <c r="AF208" i="45" s="1"/>
  <c r="AC307" i="45"/>
  <c r="AD307" i="45" s="1"/>
  <c r="AE307" i="45" s="1"/>
  <c r="AF307" i="45" s="1"/>
  <c r="AC219" i="45"/>
  <c r="AD219" i="45" s="1"/>
  <c r="AE219" i="45" s="1"/>
  <c r="AF219" i="45" s="1"/>
  <c r="AC297" i="45"/>
  <c r="AD297" i="45" s="1"/>
  <c r="AE297" i="45" s="1"/>
  <c r="AF297" i="45" s="1"/>
  <c r="AC141" i="45"/>
  <c r="AD141" i="45" s="1"/>
  <c r="AE141" i="45" s="1"/>
  <c r="AF141" i="45" s="1"/>
  <c r="AG141" i="45" s="1"/>
  <c r="AC241" i="45"/>
  <c r="AD241" i="45" s="1"/>
  <c r="AE241" i="45" s="1"/>
  <c r="AF241" i="45" s="1"/>
  <c r="AC321" i="45"/>
  <c r="AD321" i="45" s="1"/>
  <c r="AE321" i="45" s="1"/>
  <c r="AF321" i="45" s="1"/>
  <c r="AC82" i="45"/>
  <c r="AD82" i="45" s="1"/>
  <c r="AE82" i="45" s="1"/>
  <c r="AF82" i="45" s="1"/>
  <c r="AC142" i="45"/>
  <c r="AD142" i="45" s="1"/>
  <c r="AE142" i="45" s="1"/>
  <c r="AF142" i="45" s="1"/>
  <c r="AC205" i="45"/>
  <c r="AD205" i="45" s="1"/>
  <c r="AE205" i="45" s="1"/>
  <c r="AF205" i="45" s="1"/>
  <c r="AC285" i="45"/>
  <c r="AD285" i="45" s="1"/>
  <c r="AE285" i="45" s="1"/>
  <c r="AF285" i="45" s="1"/>
  <c r="AC325" i="45"/>
  <c r="AD325" i="45" s="1"/>
  <c r="AE325" i="45" s="1"/>
  <c r="AF325" i="45" s="1"/>
  <c r="AC340" i="45"/>
  <c r="AD340" i="45" s="1"/>
  <c r="AE340" i="45" s="1"/>
  <c r="AF340" i="45" s="1"/>
  <c r="AC186" i="45"/>
  <c r="AD186" i="45" s="1"/>
  <c r="AE186" i="45" s="1"/>
  <c r="AF186" i="45" s="1"/>
  <c r="AC187" i="45"/>
  <c r="AD187" i="45" s="1"/>
  <c r="AE187" i="45" s="1"/>
  <c r="AF187" i="45" s="1"/>
  <c r="AC308" i="45"/>
  <c r="AD308" i="45" s="1"/>
  <c r="AE308" i="45" s="1"/>
  <c r="AF308" i="45" s="1"/>
  <c r="AC328" i="45"/>
  <c r="AD328" i="45" s="1"/>
  <c r="AE328" i="45" s="1"/>
  <c r="AF328" i="45" s="1"/>
  <c r="AC28" i="45"/>
  <c r="AD28" i="45" s="1"/>
  <c r="AE28" i="45" s="1"/>
  <c r="AF28" i="45" s="1"/>
  <c r="AC268" i="45"/>
  <c r="AD268" i="45" s="1"/>
  <c r="AE268" i="45" s="1"/>
  <c r="AF268" i="45" s="1"/>
  <c r="AC248" i="45"/>
  <c r="AD248" i="45" s="1"/>
  <c r="AE248" i="45" s="1"/>
  <c r="AF248" i="45" s="1"/>
  <c r="AC128" i="45"/>
  <c r="AD128" i="45" s="1"/>
  <c r="AE128" i="45" s="1"/>
  <c r="AF128" i="45" s="1"/>
  <c r="AC146" i="45"/>
  <c r="AD146" i="45" s="1"/>
  <c r="AE146" i="45" s="1"/>
  <c r="AF146" i="45" s="1"/>
  <c r="AC139" i="45"/>
  <c r="AD139" i="45" s="1"/>
  <c r="AE139" i="45" s="1"/>
  <c r="AF139" i="45" s="1"/>
  <c r="AC29" i="45"/>
  <c r="AD29" i="45" s="1"/>
  <c r="AE29" i="45" s="1"/>
  <c r="AF29" i="45" s="1"/>
  <c r="AC69" i="45"/>
  <c r="AD69" i="45" s="1"/>
  <c r="AE69" i="45" s="1"/>
  <c r="AF69" i="45" s="1"/>
  <c r="AC109" i="45"/>
  <c r="AD109" i="45" s="1"/>
  <c r="AE109" i="45" s="1"/>
  <c r="AF109" i="45" s="1"/>
  <c r="AC129" i="45"/>
  <c r="AD129" i="45" s="1"/>
  <c r="AE129" i="45" s="1"/>
  <c r="AF129" i="45" s="1"/>
  <c r="AC189" i="45"/>
  <c r="AD189" i="45" s="1"/>
  <c r="AE189" i="45" s="1"/>
  <c r="AF189" i="45" s="1"/>
  <c r="AC249" i="45"/>
  <c r="AD249" i="45" s="1"/>
  <c r="AE249" i="45" s="1"/>
  <c r="AF249" i="45" s="1"/>
  <c r="AC209" i="45"/>
  <c r="AD209" i="45" s="1"/>
  <c r="AE209" i="45" s="1"/>
  <c r="AF209" i="45" s="1"/>
  <c r="AC269" i="45"/>
  <c r="AD269" i="45" s="1"/>
  <c r="AE269" i="45" s="1"/>
  <c r="AF269" i="45" s="1"/>
  <c r="AC46" i="45"/>
  <c r="AD46" i="45" s="1"/>
  <c r="AE46" i="45" s="1"/>
  <c r="AF46" i="45" s="1"/>
  <c r="AC286" i="45"/>
  <c r="AD286" i="45" s="1"/>
  <c r="AE286" i="45" s="1"/>
  <c r="AF286" i="45" s="1"/>
  <c r="AC127" i="45"/>
  <c r="AD127" i="45" s="1"/>
  <c r="AE127" i="45" s="1"/>
  <c r="AF127" i="45" s="1"/>
  <c r="AC207" i="45"/>
  <c r="AD207" i="45" s="1"/>
  <c r="AE207" i="45" s="1"/>
  <c r="AF207" i="45" s="1"/>
  <c r="AC306" i="45"/>
  <c r="AD306" i="45" s="1"/>
  <c r="AE306" i="45" s="1"/>
  <c r="AF306" i="45" s="1"/>
  <c r="AC227" i="45"/>
  <c r="AD227" i="45" s="1"/>
  <c r="AE227" i="45" s="1"/>
  <c r="AF227" i="45" s="1"/>
  <c r="AC148" i="45"/>
  <c r="AD148" i="45" s="1"/>
  <c r="AE148" i="45" s="1"/>
  <c r="AF148" i="45" s="1"/>
  <c r="AC239" i="45"/>
  <c r="AD239" i="45" s="1"/>
  <c r="AE239" i="45" s="1"/>
  <c r="AF239" i="45" s="1"/>
  <c r="AC320" i="45"/>
  <c r="AD320" i="45" s="1"/>
  <c r="AE320" i="45" s="1"/>
  <c r="AF320" i="45" s="1"/>
  <c r="AC166" i="45"/>
  <c r="AD166" i="45" s="1"/>
  <c r="AE166" i="45" s="1"/>
  <c r="AF166" i="45" s="1"/>
  <c r="AC168" i="45"/>
  <c r="AD168" i="45" s="1"/>
  <c r="AE168" i="45" s="1"/>
  <c r="AF168" i="45" s="1"/>
  <c r="AC39" i="45"/>
  <c r="AD39" i="45" s="1"/>
  <c r="AE39" i="45" s="1"/>
  <c r="AF39" i="45" s="1"/>
  <c r="AC119" i="45"/>
  <c r="AD119" i="45" s="1"/>
  <c r="AE119" i="45" s="1"/>
  <c r="AF119" i="45" s="1"/>
  <c r="AC199" i="45"/>
  <c r="AD199" i="45" s="1"/>
  <c r="AE199" i="45" s="1"/>
  <c r="AF199" i="45" s="1"/>
  <c r="AC279" i="45"/>
  <c r="AD279" i="45" s="1"/>
  <c r="AE279" i="45" s="1"/>
  <c r="AF279" i="45" s="1"/>
  <c r="AC40" i="45"/>
  <c r="AD40" i="45" s="1"/>
  <c r="AE40" i="45" s="1"/>
  <c r="AF40" i="45" s="1"/>
  <c r="AC200" i="45"/>
  <c r="AD200" i="45" s="1"/>
  <c r="AE200" i="45" s="1"/>
  <c r="AF200" i="45" s="1"/>
  <c r="AC280" i="45"/>
  <c r="AD280" i="45" s="1"/>
  <c r="AE280" i="45" s="1"/>
  <c r="AF280" i="45" s="1"/>
  <c r="AC126" i="45"/>
  <c r="AD126" i="45" s="1"/>
  <c r="AE126" i="45" s="1"/>
  <c r="AF126" i="45" s="1"/>
  <c r="AC206" i="45"/>
  <c r="AD206" i="45" s="1"/>
  <c r="AE206" i="45" s="1"/>
  <c r="AF206" i="45" s="1"/>
  <c r="AC47" i="45"/>
  <c r="AD47" i="45" s="1"/>
  <c r="AE47" i="45" s="1"/>
  <c r="AF47" i="45" s="1"/>
  <c r="AC287" i="45"/>
  <c r="AD287" i="45" s="1"/>
  <c r="AE287" i="45" s="1"/>
  <c r="AF287" i="45" s="1"/>
  <c r="AC226" i="45"/>
  <c r="AD226" i="45" s="1"/>
  <c r="AE226" i="45" s="1"/>
  <c r="AF226" i="45" s="1"/>
  <c r="AC147" i="45"/>
  <c r="AD147" i="45" s="1"/>
  <c r="AE147" i="45" s="1"/>
  <c r="AF147" i="45" s="1"/>
  <c r="AC228" i="45"/>
  <c r="AD228" i="45" s="1"/>
  <c r="AE228" i="45" s="1"/>
  <c r="AF228" i="45" s="1"/>
  <c r="AC159" i="45"/>
  <c r="AD159" i="45" s="1"/>
  <c r="AE159" i="45" s="1"/>
  <c r="AF159" i="45" s="1"/>
  <c r="AC48" i="45"/>
  <c r="AD48" i="45" s="1"/>
  <c r="AE48" i="45" s="1"/>
  <c r="AF48" i="45" s="1"/>
  <c r="AC59" i="45"/>
  <c r="AD59" i="45" s="1"/>
  <c r="AE59" i="45" s="1"/>
  <c r="AF59" i="45" s="1"/>
  <c r="AC60" i="45"/>
  <c r="AD60" i="45" s="1"/>
  <c r="AE60" i="45" s="1"/>
  <c r="AF60" i="45" s="1"/>
  <c r="AC140" i="45"/>
  <c r="AD140" i="45" s="1"/>
  <c r="AE140" i="45" s="1"/>
  <c r="AF140" i="45" s="1"/>
  <c r="AC220" i="45"/>
  <c r="AD220" i="45" s="1"/>
  <c r="AE220" i="45" s="1"/>
  <c r="AF220" i="45" s="1"/>
  <c r="AC300" i="45"/>
  <c r="AD300" i="45" s="1"/>
  <c r="AE300" i="45" s="1"/>
  <c r="AF300" i="45" s="1"/>
  <c r="AC66" i="45"/>
  <c r="AD66" i="45" s="1"/>
  <c r="AE66" i="45" s="1"/>
  <c r="AF66" i="45" s="1"/>
  <c r="AC67" i="45"/>
  <c r="AD67" i="45" s="1"/>
  <c r="AE67" i="45" s="1"/>
  <c r="AF67" i="45" s="1"/>
  <c r="AC68" i="45"/>
  <c r="AD68" i="45" s="1"/>
  <c r="AE68" i="45" s="1"/>
  <c r="AF68" i="45" s="1"/>
  <c r="AC79" i="45"/>
  <c r="AD79" i="45" s="1"/>
  <c r="AE79" i="45" s="1"/>
  <c r="AF79" i="45" s="1"/>
  <c r="AC80" i="45"/>
  <c r="AD80" i="45" s="1"/>
  <c r="AE80" i="45" s="1"/>
  <c r="AF80" i="45" s="1"/>
  <c r="AC86" i="45"/>
  <c r="AD86" i="45" s="1"/>
  <c r="AE86" i="45" s="1"/>
  <c r="AF86" i="45" s="1"/>
  <c r="AC87" i="45"/>
  <c r="AD87" i="45" s="1"/>
  <c r="AE87" i="45" s="1"/>
  <c r="AF87" i="45" s="1"/>
  <c r="AC88" i="45"/>
  <c r="AD88" i="45" s="1"/>
  <c r="AE88" i="45" s="1"/>
  <c r="AF88" i="45" s="1"/>
  <c r="AC99" i="45"/>
  <c r="AD99" i="45" s="1"/>
  <c r="AE99" i="45" s="1"/>
  <c r="AF99" i="45" s="1"/>
  <c r="AC10" i="45"/>
  <c r="AD10" i="45" s="1"/>
  <c r="AE10" i="45" s="1"/>
  <c r="AF10" i="45" s="1"/>
  <c r="AC30" i="45"/>
  <c r="AD30" i="45" s="1"/>
  <c r="AE30" i="45" s="1"/>
  <c r="AF30" i="45" s="1"/>
  <c r="AC50" i="45"/>
  <c r="AD50" i="45" s="1"/>
  <c r="AE50" i="45" s="1"/>
  <c r="AF50" i="45" s="1"/>
  <c r="AC70" i="45"/>
  <c r="AD70" i="45" s="1"/>
  <c r="AE70" i="45" s="1"/>
  <c r="AF70" i="45" s="1"/>
  <c r="AC90" i="45"/>
  <c r="AD90" i="45" s="1"/>
  <c r="AE90" i="45" s="1"/>
  <c r="AF90" i="45" s="1"/>
  <c r="AC110" i="45"/>
  <c r="AD110" i="45" s="1"/>
  <c r="AE110" i="45" s="1"/>
  <c r="AF110" i="45" s="1"/>
  <c r="AC130" i="45"/>
  <c r="AD130" i="45" s="1"/>
  <c r="AE130" i="45" s="1"/>
  <c r="AF130" i="45" s="1"/>
  <c r="AC150" i="45"/>
  <c r="AD150" i="45" s="1"/>
  <c r="AE150" i="45" s="1"/>
  <c r="AF150" i="45" s="1"/>
  <c r="AC170" i="45"/>
  <c r="AD170" i="45" s="1"/>
  <c r="AE170" i="45" s="1"/>
  <c r="AF170" i="45" s="1"/>
  <c r="AC190" i="45"/>
  <c r="AD190" i="45" s="1"/>
  <c r="AE190" i="45" s="1"/>
  <c r="AF190" i="45" s="1"/>
  <c r="AC210" i="45"/>
  <c r="AD210" i="45" s="1"/>
  <c r="AE210" i="45" s="1"/>
  <c r="AF210" i="45" s="1"/>
  <c r="AC230" i="45"/>
  <c r="AD230" i="45" s="1"/>
  <c r="AE230" i="45" s="1"/>
  <c r="AF230" i="45" s="1"/>
  <c r="AC250" i="45"/>
  <c r="AD250" i="45" s="1"/>
  <c r="AE250" i="45" s="1"/>
  <c r="AF250" i="45" s="1"/>
  <c r="AC270" i="45"/>
  <c r="AD270" i="45" s="1"/>
  <c r="AE270" i="45" s="1"/>
  <c r="AF270" i="45" s="1"/>
  <c r="AC290" i="45"/>
  <c r="AD290" i="45" s="1"/>
  <c r="AE290" i="45" s="1"/>
  <c r="AF290" i="45" s="1"/>
  <c r="AC310" i="45"/>
  <c r="AD310" i="45" s="1"/>
  <c r="AE310" i="45" s="1"/>
  <c r="AF310" i="45" s="1"/>
  <c r="AC330" i="45"/>
  <c r="AD330" i="45" s="1"/>
  <c r="AE330" i="45" s="1"/>
  <c r="AF330" i="45" s="1"/>
  <c r="AC350" i="45"/>
  <c r="AD350" i="45" s="1"/>
  <c r="AE350" i="45" s="1"/>
  <c r="AF350" i="45" s="1"/>
  <c r="AC11" i="45"/>
  <c r="AD11" i="45" s="1"/>
  <c r="AE11" i="45" s="1"/>
  <c r="AF11" i="45" s="1"/>
  <c r="AC111" i="45"/>
  <c r="AD111" i="45" s="1"/>
  <c r="AE111" i="45" s="1"/>
  <c r="AF111" i="45" s="1"/>
  <c r="AC151" i="45"/>
  <c r="AD151" i="45" s="1"/>
  <c r="AE151" i="45" s="1"/>
  <c r="AF151" i="45" s="1"/>
  <c r="AC191" i="45"/>
  <c r="AD191" i="45" s="1"/>
  <c r="AE191" i="45" s="1"/>
  <c r="AF191" i="45" s="1"/>
  <c r="AC231" i="45"/>
  <c r="AD231" i="45" s="1"/>
  <c r="AE231" i="45" s="1"/>
  <c r="AF231" i="45" s="1"/>
  <c r="AC271" i="45"/>
  <c r="AD271" i="45" s="1"/>
  <c r="AE271" i="45" s="1"/>
  <c r="AF271" i="45" s="1"/>
  <c r="AC311" i="45"/>
  <c r="AD311" i="45" s="1"/>
  <c r="AE311" i="45" s="1"/>
  <c r="AF311" i="45" s="1"/>
  <c r="AC351" i="45"/>
  <c r="AD351" i="45" s="1"/>
  <c r="AE351" i="45" s="1"/>
  <c r="AF351" i="45" s="1"/>
  <c r="AC32" i="45"/>
  <c r="AD32" i="45" s="1"/>
  <c r="AE32" i="45" s="1"/>
  <c r="AF32" i="45" s="1"/>
  <c r="AC272" i="45"/>
  <c r="AD272" i="45" s="1"/>
  <c r="AE272" i="45" s="1"/>
  <c r="AF272" i="45" s="1"/>
  <c r="AC36" i="45"/>
  <c r="AD36" i="45" s="1"/>
  <c r="AE36" i="45" s="1"/>
  <c r="AF36" i="45" s="1"/>
  <c r="AC38" i="45"/>
  <c r="AD38" i="45" s="1"/>
  <c r="AE38" i="45" s="1"/>
  <c r="AF38" i="45" s="1"/>
  <c r="AC158" i="45"/>
  <c r="AD158" i="45" s="1"/>
  <c r="AE158" i="45" s="1"/>
  <c r="AF158" i="45" s="1"/>
  <c r="AC238" i="45"/>
  <c r="AD238" i="45" s="1"/>
  <c r="AE238" i="45" s="1"/>
  <c r="AF238" i="45" s="1"/>
  <c r="AC338" i="45"/>
  <c r="AD338" i="45" s="1"/>
  <c r="AE338" i="45" s="1"/>
  <c r="AF338" i="45" s="1"/>
  <c r="AC96" i="45"/>
  <c r="AD96" i="45" s="1"/>
  <c r="AE96" i="45" s="1"/>
  <c r="AF96" i="45" s="1"/>
  <c r="AC78" i="45"/>
  <c r="AD78" i="45" s="1"/>
  <c r="AE78" i="45" s="1"/>
  <c r="AF78" i="45" s="1"/>
  <c r="AC318" i="45"/>
  <c r="AD318" i="45" s="1"/>
  <c r="AE318" i="45" s="1"/>
  <c r="AF318" i="45" s="1"/>
  <c r="AC218" i="45"/>
  <c r="AD218" i="45" s="1"/>
  <c r="AE218" i="45" s="1"/>
  <c r="AF218" i="45" s="1"/>
  <c r="AC13" i="45"/>
  <c r="AD13" i="45" s="1"/>
  <c r="AE13" i="45" s="1"/>
  <c r="AF13" i="45" s="1"/>
  <c r="AC33" i="45"/>
  <c r="AD33" i="45" s="1"/>
  <c r="AE33" i="45" s="1"/>
  <c r="AF33" i="45" s="1"/>
  <c r="AC53" i="45"/>
  <c r="AD53" i="45" s="1"/>
  <c r="AE53" i="45" s="1"/>
  <c r="AF53" i="45" s="1"/>
  <c r="AC73" i="45"/>
  <c r="AD73" i="45" s="1"/>
  <c r="AE73" i="45" s="1"/>
  <c r="AF73" i="45" s="1"/>
  <c r="AC93" i="45"/>
  <c r="AD93" i="45" s="1"/>
  <c r="AE93" i="45" s="1"/>
  <c r="AF93" i="45" s="1"/>
  <c r="AC113" i="45"/>
  <c r="AD113" i="45" s="1"/>
  <c r="AE113" i="45" s="1"/>
  <c r="AF113" i="45" s="1"/>
  <c r="AC133" i="45"/>
  <c r="AD133" i="45" s="1"/>
  <c r="AE133" i="45" s="1"/>
  <c r="AF133" i="45" s="1"/>
  <c r="AC153" i="45"/>
  <c r="AD153" i="45" s="1"/>
  <c r="AE153" i="45" s="1"/>
  <c r="AF153" i="45" s="1"/>
  <c r="AC173" i="45"/>
  <c r="AD173" i="45" s="1"/>
  <c r="AE173" i="45" s="1"/>
  <c r="AF173" i="45" s="1"/>
  <c r="AC193" i="45"/>
  <c r="AD193" i="45" s="1"/>
  <c r="AE193" i="45" s="1"/>
  <c r="AF193" i="45" s="1"/>
  <c r="AC213" i="45"/>
  <c r="AD213" i="45" s="1"/>
  <c r="AE213" i="45" s="1"/>
  <c r="AF213" i="45" s="1"/>
  <c r="AC233" i="45"/>
  <c r="AD233" i="45" s="1"/>
  <c r="AE233" i="45" s="1"/>
  <c r="AF233" i="45" s="1"/>
  <c r="AC253" i="45"/>
  <c r="AD253" i="45" s="1"/>
  <c r="AE253" i="45" s="1"/>
  <c r="AF253" i="45" s="1"/>
  <c r="AC273" i="45"/>
  <c r="AD273" i="45" s="1"/>
  <c r="AE273" i="45" s="1"/>
  <c r="AF273" i="45" s="1"/>
  <c r="AC293" i="45"/>
  <c r="AD293" i="45" s="1"/>
  <c r="AE293" i="45" s="1"/>
  <c r="AF293" i="45" s="1"/>
  <c r="AC313" i="45"/>
  <c r="AD313" i="45" s="1"/>
  <c r="AE313" i="45" s="1"/>
  <c r="AF313" i="45" s="1"/>
  <c r="AC333" i="45"/>
  <c r="AD333" i="45" s="1"/>
  <c r="AE333" i="45" s="1"/>
  <c r="AF333" i="45" s="1"/>
  <c r="AC353" i="45"/>
  <c r="AD353" i="45" s="1"/>
  <c r="AE353" i="45" s="1"/>
  <c r="AF353" i="45" s="1"/>
  <c r="AC222" i="45"/>
  <c r="AD222" i="45" s="1"/>
  <c r="AE222" i="45" s="1"/>
  <c r="AF222" i="45" s="1"/>
  <c r="AC242" i="45"/>
  <c r="AD242" i="45" s="1"/>
  <c r="AE242" i="45" s="1"/>
  <c r="AF242" i="45" s="1"/>
  <c r="AC262" i="45"/>
  <c r="AD262" i="45" s="1"/>
  <c r="AE262" i="45" s="1"/>
  <c r="AF262" i="45" s="1"/>
  <c r="AC282" i="45"/>
  <c r="AD282" i="45" s="1"/>
  <c r="AE282" i="45" s="1"/>
  <c r="AF282" i="45" s="1"/>
  <c r="AC302" i="45"/>
  <c r="AD302" i="45" s="1"/>
  <c r="AE302" i="45" s="1"/>
  <c r="AF302" i="45" s="1"/>
  <c r="AC322" i="45"/>
  <c r="AD322" i="45" s="1"/>
  <c r="AE322" i="45" s="1"/>
  <c r="AF322" i="45" s="1"/>
  <c r="AC342" i="45"/>
  <c r="AD342" i="45" s="1"/>
  <c r="AE342" i="45" s="1"/>
  <c r="AF342" i="45" s="1"/>
  <c r="AC23" i="45"/>
  <c r="AD23" i="45" s="1"/>
  <c r="AE23" i="45" s="1"/>
  <c r="AF23" i="45" s="1"/>
  <c r="AC43" i="45"/>
  <c r="AD43" i="45" s="1"/>
  <c r="AE43" i="45" s="1"/>
  <c r="AF43" i="45" s="1"/>
  <c r="AC63" i="45"/>
  <c r="AD63" i="45" s="1"/>
  <c r="AE63" i="45" s="1"/>
  <c r="AF63" i="45" s="1"/>
  <c r="AC83" i="45"/>
  <c r="AD83" i="45" s="1"/>
  <c r="AE83" i="45" s="1"/>
  <c r="AF83" i="45" s="1"/>
  <c r="AC103" i="45"/>
  <c r="AD103" i="45" s="1"/>
  <c r="AE103" i="45" s="1"/>
  <c r="AF103" i="45" s="1"/>
  <c r="AC123" i="45"/>
  <c r="AD123" i="45" s="1"/>
  <c r="AE123" i="45" s="1"/>
  <c r="AF123" i="45" s="1"/>
  <c r="AC143" i="45"/>
  <c r="AD143" i="45" s="1"/>
  <c r="AE143" i="45" s="1"/>
  <c r="AF143" i="45" s="1"/>
  <c r="AC163" i="45"/>
  <c r="AD163" i="45" s="1"/>
  <c r="AE163" i="45" s="1"/>
  <c r="AF163" i="45" s="1"/>
  <c r="AC183" i="45"/>
  <c r="AD183" i="45" s="1"/>
  <c r="AE183" i="45" s="1"/>
  <c r="AF183" i="45" s="1"/>
  <c r="AC203" i="45"/>
  <c r="AD203" i="45" s="1"/>
  <c r="AE203" i="45" s="1"/>
  <c r="AF203" i="45" s="1"/>
  <c r="AC223" i="45"/>
  <c r="AD223" i="45" s="1"/>
  <c r="AE223" i="45" s="1"/>
  <c r="AF223" i="45" s="1"/>
  <c r="AC243" i="45"/>
  <c r="AD243" i="45" s="1"/>
  <c r="AE243" i="45" s="1"/>
  <c r="AF243" i="45" s="1"/>
  <c r="AC263" i="45"/>
  <c r="AD263" i="45" s="1"/>
  <c r="AE263" i="45" s="1"/>
  <c r="AF263" i="45" s="1"/>
  <c r="AC283" i="45"/>
  <c r="AD283" i="45" s="1"/>
  <c r="AE283" i="45" s="1"/>
  <c r="AF283" i="45" s="1"/>
  <c r="AC303" i="45"/>
  <c r="AD303" i="45" s="1"/>
  <c r="AE303" i="45" s="1"/>
  <c r="AF303" i="45" s="1"/>
  <c r="AC323" i="45"/>
  <c r="AD323" i="45" s="1"/>
  <c r="AE323" i="45" s="1"/>
  <c r="AF323" i="45" s="1"/>
  <c r="AC343" i="45"/>
  <c r="AD343" i="45" s="1"/>
  <c r="AE343" i="45" s="1"/>
  <c r="AF343" i="45" s="1"/>
  <c r="AC24" i="45"/>
  <c r="AD24" i="45" s="1"/>
  <c r="AE24" i="45" s="1"/>
  <c r="AF24" i="45" s="1"/>
  <c r="AC44" i="45"/>
  <c r="AD44" i="45" s="1"/>
  <c r="AE44" i="45" s="1"/>
  <c r="AF44" i="45" s="1"/>
  <c r="AC64" i="45"/>
  <c r="AD64" i="45" s="1"/>
  <c r="AE64" i="45" s="1"/>
  <c r="AF64" i="45" s="1"/>
  <c r="AC84" i="45"/>
  <c r="AD84" i="45" s="1"/>
  <c r="AE84" i="45" s="1"/>
  <c r="AF84" i="45" s="1"/>
  <c r="AC104" i="45"/>
  <c r="AD104" i="45" s="1"/>
  <c r="AE104" i="45" s="1"/>
  <c r="AF104" i="45" s="1"/>
  <c r="AC124" i="45"/>
  <c r="AD124" i="45" s="1"/>
  <c r="AE124" i="45" s="1"/>
  <c r="AF124" i="45" s="1"/>
  <c r="AC144" i="45"/>
  <c r="AD144" i="45" s="1"/>
  <c r="AE144" i="45" s="1"/>
  <c r="AF144" i="45" s="1"/>
  <c r="AC164" i="45"/>
  <c r="AD164" i="45" s="1"/>
  <c r="AE164" i="45" s="1"/>
  <c r="AF164" i="45" s="1"/>
  <c r="AC184" i="45"/>
  <c r="AD184" i="45" s="1"/>
  <c r="AE184" i="45" s="1"/>
  <c r="AF184" i="45" s="1"/>
  <c r="AC204" i="45"/>
  <c r="AD204" i="45" s="1"/>
  <c r="AE204" i="45" s="1"/>
  <c r="AF204" i="45" s="1"/>
  <c r="AC224" i="45"/>
  <c r="AD224" i="45" s="1"/>
  <c r="AE224" i="45" s="1"/>
  <c r="AF224" i="45" s="1"/>
  <c r="AC244" i="45"/>
  <c r="AD244" i="45" s="1"/>
  <c r="AE244" i="45" s="1"/>
  <c r="AF244" i="45" s="1"/>
  <c r="AC264" i="45"/>
  <c r="AD264" i="45" s="1"/>
  <c r="AE264" i="45" s="1"/>
  <c r="AF264" i="45" s="1"/>
  <c r="AC284" i="45"/>
  <c r="AD284" i="45" s="1"/>
  <c r="AE284" i="45" s="1"/>
  <c r="AF284" i="45" s="1"/>
  <c r="AC304" i="45"/>
  <c r="AD304" i="45" s="1"/>
  <c r="AE304" i="45" s="1"/>
  <c r="AF304" i="45" s="1"/>
  <c r="AC324" i="45"/>
  <c r="AD324" i="45" s="1"/>
  <c r="AE324" i="45" s="1"/>
  <c r="AF324" i="45" s="1"/>
  <c r="AC344" i="45"/>
  <c r="AD344" i="45" s="1"/>
  <c r="AE344" i="45" s="1"/>
  <c r="AF344" i="45" s="1"/>
  <c r="AC25" i="45"/>
  <c r="AD25" i="45" s="1"/>
  <c r="AE25" i="45" s="1"/>
  <c r="AF25" i="45" s="1"/>
  <c r="AC45" i="45"/>
  <c r="AD45" i="45" s="1"/>
  <c r="AE45" i="45" s="1"/>
  <c r="AF45" i="45" s="1"/>
  <c r="AC65" i="45"/>
  <c r="AD65" i="45" s="1"/>
  <c r="AE65" i="45" s="1"/>
  <c r="AF65" i="45" s="1"/>
  <c r="AC85" i="45"/>
  <c r="AD85" i="45" s="1"/>
  <c r="AE85" i="45" s="1"/>
  <c r="AF85" i="45" s="1"/>
  <c r="AC105" i="45"/>
  <c r="AD105" i="45" s="1"/>
  <c r="AE105" i="45" s="1"/>
  <c r="AF105" i="45" s="1"/>
  <c r="AC125" i="45"/>
  <c r="AD125" i="45" s="1"/>
  <c r="AE125" i="45" s="1"/>
  <c r="AF125" i="45" s="1"/>
  <c r="AC145" i="45"/>
  <c r="AD145" i="45" s="1"/>
  <c r="AE145" i="45" s="1"/>
  <c r="AF145" i="45" s="1"/>
  <c r="AC165" i="45"/>
  <c r="AD165" i="45" s="1"/>
  <c r="AE165" i="45" s="1"/>
  <c r="AF165" i="45" s="1"/>
  <c r="AC185" i="45"/>
  <c r="AD185" i="45" s="1"/>
  <c r="AE185" i="45" s="1"/>
  <c r="AF185" i="45" s="1"/>
  <c r="X251" i="42"/>
  <c r="R3" i="42"/>
  <c r="X4" i="42"/>
  <c r="X16" i="42"/>
  <c r="X28" i="42"/>
  <c r="X40" i="42"/>
  <c r="X52" i="42"/>
  <c r="X64" i="42"/>
  <c r="X76" i="42"/>
  <c r="X88" i="42"/>
  <c r="X100" i="42"/>
  <c r="X112" i="42"/>
  <c r="X124" i="42"/>
  <c r="X136" i="42"/>
  <c r="X148" i="42"/>
  <c r="X160" i="42"/>
  <c r="X172" i="42"/>
  <c r="X184" i="42"/>
  <c r="X196" i="42"/>
  <c r="X208" i="42"/>
  <c r="X220" i="42"/>
  <c r="X232" i="42"/>
  <c r="X244" i="42"/>
  <c r="X135" i="42"/>
  <c r="X147" i="42"/>
  <c r="X183" i="42"/>
  <c r="X5" i="42"/>
  <c r="X17" i="42"/>
  <c r="X29" i="42"/>
  <c r="X41" i="42"/>
  <c r="X53" i="42"/>
  <c r="X65" i="42"/>
  <c r="X77" i="42"/>
  <c r="X89" i="42"/>
  <c r="X101" i="42"/>
  <c r="X113" i="42"/>
  <c r="X125" i="42"/>
  <c r="X137" i="42"/>
  <c r="X149" i="42"/>
  <c r="X161" i="42"/>
  <c r="X173" i="42"/>
  <c r="X185" i="42"/>
  <c r="X197" i="42"/>
  <c r="X209" i="42"/>
  <c r="X221" i="42"/>
  <c r="X233" i="42"/>
  <c r="X245" i="42"/>
  <c r="X123" i="42"/>
  <c r="X6" i="42"/>
  <c r="X18" i="42"/>
  <c r="X30" i="42"/>
  <c r="X42" i="42"/>
  <c r="X54" i="42"/>
  <c r="X66" i="42"/>
  <c r="X78" i="42"/>
  <c r="X90" i="42"/>
  <c r="X102" i="42"/>
  <c r="X114" i="42"/>
  <c r="X126" i="42"/>
  <c r="X138" i="42"/>
  <c r="X150" i="42"/>
  <c r="X162" i="42"/>
  <c r="X174" i="42"/>
  <c r="X186" i="42"/>
  <c r="X198" i="42"/>
  <c r="X210" i="42"/>
  <c r="X222" i="42"/>
  <c r="X234" i="42"/>
  <c r="X246" i="42"/>
  <c r="X111" i="42"/>
  <c r="X159" i="42"/>
  <c r="X195" i="42"/>
  <c r="X7" i="42"/>
  <c r="X19" i="42"/>
  <c r="X31" i="42"/>
  <c r="X43" i="42"/>
  <c r="X55" i="42"/>
  <c r="X67" i="42"/>
  <c r="X79" i="42"/>
  <c r="X91" i="42"/>
  <c r="X103" i="42"/>
  <c r="X115" i="42"/>
  <c r="X127" i="42"/>
  <c r="X139" i="42"/>
  <c r="X151" i="42"/>
  <c r="X163" i="42"/>
  <c r="X175" i="42"/>
  <c r="X187" i="42"/>
  <c r="X199" i="42"/>
  <c r="X211" i="42"/>
  <c r="X223" i="42"/>
  <c r="X235" i="42"/>
  <c r="X247" i="42"/>
  <c r="X99" i="42"/>
  <c r="X171" i="42"/>
  <c r="X231" i="42"/>
  <c r="X8" i="42"/>
  <c r="X20" i="42"/>
  <c r="X32" i="42"/>
  <c r="X44" i="42"/>
  <c r="X56" i="42"/>
  <c r="X68" i="42"/>
  <c r="X80" i="42"/>
  <c r="X92" i="42"/>
  <c r="X104" i="42"/>
  <c r="X116" i="42"/>
  <c r="X128" i="42"/>
  <c r="X140" i="42"/>
  <c r="X152" i="42"/>
  <c r="X164" i="42"/>
  <c r="X176" i="42"/>
  <c r="X188" i="42"/>
  <c r="X200" i="42"/>
  <c r="X212" i="42"/>
  <c r="X224" i="42"/>
  <c r="X236" i="42"/>
  <c r="X248" i="42"/>
  <c r="X63" i="42"/>
  <c r="X9" i="42"/>
  <c r="X21" i="42"/>
  <c r="X33" i="42"/>
  <c r="X45" i="42"/>
  <c r="X57" i="42"/>
  <c r="X69" i="42"/>
  <c r="X81" i="42"/>
  <c r="X93" i="42"/>
  <c r="X105" i="42"/>
  <c r="X117" i="42"/>
  <c r="X129" i="42"/>
  <c r="X141" i="42"/>
  <c r="X153" i="42"/>
  <c r="X165" i="42"/>
  <c r="X177" i="42"/>
  <c r="X189" i="42"/>
  <c r="X201" i="42"/>
  <c r="X213" i="42"/>
  <c r="X225" i="42"/>
  <c r="X237" i="42"/>
  <c r="X249" i="42"/>
  <c r="X87" i="42"/>
  <c r="X10" i="42"/>
  <c r="X22" i="42"/>
  <c r="X34" i="42"/>
  <c r="X46" i="42"/>
  <c r="X58" i="42"/>
  <c r="X70" i="42"/>
  <c r="X82" i="42"/>
  <c r="X94" i="42"/>
  <c r="X106" i="42"/>
  <c r="X118" i="42"/>
  <c r="X130" i="42"/>
  <c r="X142" i="42"/>
  <c r="X154" i="42"/>
  <c r="X166" i="42"/>
  <c r="X178" i="42"/>
  <c r="X190" i="42"/>
  <c r="X202" i="42"/>
  <c r="X214" i="42"/>
  <c r="X226" i="42"/>
  <c r="X238" i="42"/>
  <c r="X250" i="42"/>
  <c r="X75" i="42"/>
  <c r="X207" i="42"/>
  <c r="X11" i="42"/>
  <c r="X23" i="42"/>
  <c r="X35" i="42"/>
  <c r="X47" i="42"/>
  <c r="X59" i="42"/>
  <c r="X71" i="42"/>
  <c r="X83" i="42"/>
  <c r="X95" i="42"/>
  <c r="X107" i="42"/>
  <c r="X119" i="42"/>
  <c r="X131" i="42"/>
  <c r="X143" i="42"/>
  <c r="X155" i="42"/>
  <c r="X167" i="42"/>
  <c r="X179" i="42"/>
  <c r="X191" i="42"/>
  <c r="X203" i="42"/>
  <c r="X215" i="42"/>
  <c r="X227" i="42"/>
  <c r="X239" i="42"/>
  <c r="X27" i="42"/>
  <c r="X12" i="42"/>
  <c r="X24" i="42"/>
  <c r="X36" i="42"/>
  <c r="X48" i="42"/>
  <c r="X60" i="42"/>
  <c r="X72" i="42"/>
  <c r="X84" i="42"/>
  <c r="X96" i="42"/>
  <c r="X108" i="42"/>
  <c r="X120" i="42"/>
  <c r="X132" i="42"/>
  <c r="X144" i="42"/>
  <c r="X156" i="42"/>
  <c r="X168" i="42"/>
  <c r="X180" i="42"/>
  <c r="X192" i="42"/>
  <c r="X204" i="42"/>
  <c r="X216" i="42"/>
  <c r="X228" i="42"/>
  <c r="X240" i="42"/>
  <c r="X3" i="42"/>
  <c r="X51" i="42"/>
  <c r="X13" i="42"/>
  <c r="X25" i="42"/>
  <c r="X37" i="42"/>
  <c r="X49" i="42"/>
  <c r="X61" i="42"/>
  <c r="X73" i="42"/>
  <c r="X85" i="42"/>
  <c r="X97" i="42"/>
  <c r="X109" i="42"/>
  <c r="X121" i="42"/>
  <c r="X133" i="42"/>
  <c r="X145" i="42"/>
  <c r="X157" i="42"/>
  <c r="X169" i="42"/>
  <c r="X181" i="42"/>
  <c r="X193" i="42"/>
  <c r="X205" i="42"/>
  <c r="X217" i="42"/>
  <c r="X229" i="42"/>
  <c r="X241" i="42"/>
  <c r="V1" i="42"/>
  <c r="X39" i="42"/>
  <c r="X243" i="42"/>
  <c r="X14" i="42"/>
  <c r="X26" i="42"/>
  <c r="X38" i="42"/>
  <c r="X50" i="42"/>
  <c r="X62" i="42"/>
  <c r="X74" i="42"/>
  <c r="X86" i="42"/>
  <c r="X98" i="42"/>
  <c r="X110" i="42"/>
  <c r="X122" i="42"/>
  <c r="X134" i="42"/>
  <c r="X146" i="42"/>
  <c r="X158" i="42"/>
  <c r="X170" i="42"/>
  <c r="X182" i="42"/>
  <c r="X194" i="42"/>
  <c r="X206" i="42"/>
  <c r="X218" i="42"/>
  <c r="X230" i="42"/>
  <c r="X242" i="42"/>
  <c r="X15" i="42"/>
  <c r="X219" i="42"/>
  <c r="U1" i="42"/>
  <c r="AD291" i="44"/>
  <c r="AD307" i="44"/>
  <c r="AD100" i="44"/>
  <c r="AD343" i="44"/>
  <c r="AD264" i="44"/>
  <c r="AD94" i="44"/>
  <c r="AD340" i="44"/>
  <c r="AD16" i="44"/>
  <c r="AD117" i="44"/>
  <c r="AD30" i="44"/>
  <c r="AD228" i="44"/>
  <c r="AD301" i="44"/>
  <c r="AD113" i="44"/>
  <c r="AD239" i="44"/>
  <c r="AD202" i="44"/>
  <c r="AD320" i="44"/>
  <c r="AD26" i="44"/>
  <c r="AD322" i="44"/>
  <c r="AD103" i="44"/>
  <c r="AD233" i="44"/>
  <c r="AD217" i="44"/>
  <c r="AD273" i="44"/>
  <c r="AD295" i="44"/>
  <c r="AD112" i="44"/>
  <c r="AD178" i="44"/>
  <c r="AD327" i="44"/>
  <c r="AD53" i="44"/>
  <c r="AD286" i="44"/>
  <c r="AD184" i="44"/>
  <c r="AD143" i="44"/>
  <c r="AD345" i="44"/>
  <c r="AD219" i="44"/>
  <c r="AD81" i="44"/>
  <c r="AD271" i="44"/>
  <c r="AD338" i="44"/>
  <c r="AD276" i="44"/>
  <c r="AD316" i="44"/>
  <c r="AD151" i="44"/>
  <c r="AD18" i="44"/>
  <c r="AD119" i="44"/>
  <c r="AD227" i="44"/>
  <c r="AD65" i="44"/>
  <c r="AD106" i="44"/>
  <c r="AD177" i="44"/>
  <c r="AD299" i="44"/>
  <c r="AD281" i="44"/>
  <c r="AD283" i="44"/>
  <c r="AD66" i="44"/>
  <c r="AD238" i="44"/>
  <c r="AD188" i="44"/>
  <c r="AD312" i="44"/>
  <c r="AD34" i="44"/>
  <c r="AD213" i="44"/>
  <c r="AD221" i="44"/>
  <c r="AD67" i="44"/>
  <c r="AD346" i="44"/>
  <c r="AD329" i="44"/>
  <c r="AD268" i="44"/>
  <c r="AD309" i="44"/>
  <c r="AD335" i="44"/>
  <c r="AD31" i="44"/>
  <c r="AD339" i="44"/>
  <c r="AD194" i="44"/>
  <c r="AD190" i="44"/>
  <c r="AD306" i="44"/>
  <c r="AD341" i="44"/>
  <c r="AD170" i="44"/>
  <c r="AD189" i="44"/>
  <c r="AD116" i="44"/>
  <c r="AD235" i="44"/>
  <c r="AD236" i="44"/>
  <c r="AD144" i="44"/>
  <c r="AD145" i="44"/>
  <c r="AD120" i="44"/>
  <c r="AD173" i="44"/>
  <c r="AD251" i="44"/>
  <c r="AD303" i="44"/>
  <c r="AD38" i="44"/>
  <c r="AD150" i="44"/>
  <c r="AD199" i="44"/>
  <c r="AD269" i="44"/>
  <c r="AD83" i="44"/>
  <c r="AD249" i="44"/>
  <c r="AD180" i="44"/>
  <c r="AD55" i="44"/>
  <c r="AD109" i="44"/>
  <c r="AD97" i="44"/>
  <c r="AD285" i="44"/>
  <c r="AD172" i="44"/>
  <c r="AD209" i="44"/>
  <c r="AD17" i="44"/>
  <c r="AD148" i="44"/>
  <c r="AD139" i="44"/>
  <c r="AD311" i="44"/>
  <c r="AD25" i="44"/>
  <c r="AD114" i="44"/>
  <c r="AD130" i="44"/>
  <c r="AD32" i="44"/>
  <c r="AD246" i="44"/>
  <c r="AD152" i="44"/>
  <c r="AD11" i="44"/>
  <c r="AD19" i="44"/>
  <c r="AD135" i="44"/>
  <c r="AD216" i="44"/>
  <c r="AD108" i="44"/>
  <c r="AD347" i="44"/>
  <c r="AD255" i="44"/>
  <c r="AD234" i="44"/>
  <c r="AD208" i="44"/>
  <c r="AD133" i="44"/>
  <c r="AD313" i="44"/>
  <c r="AD298" i="44"/>
  <c r="AD51" i="44"/>
  <c r="AD136" i="44"/>
  <c r="AD296" i="44"/>
  <c r="AD37" i="44"/>
  <c r="AD314" i="44"/>
  <c r="AD337" i="44"/>
  <c r="AD204" i="44"/>
  <c r="AD186" i="44"/>
  <c r="AD334" i="44"/>
  <c r="AD128" i="44"/>
  <c r="AD218" i="44"/>
  <c r="AD160" i="44"/>
  <c r="AD110" i="44"/>
  <c r="AD223" i="44"/>
  <c r="AD230" i="44"/>
  <c r="AD242" i="44"/>
  <c r="AD333" i="44"/>
  <c r="AD124" i="44"/>
  <c r="AD58" i="44"/>
  <c r="AD351" i="44"/>
  <c r="AD305" i="44"/>
  <c r="AD169" i="44"/>
  <c r="AD232" i="44"/>
  <c r="AD201" i="44"/>
  <c r="AD260" i="44"/>
  <c r="AD165" i="44"/>
  <c r="AD107" i="44"/>
  <c r="AD261" i="44"/>
  <c r="AD257" i="44"/>
  <c r="AD95" i="44"/>
  <c r="AD39" i="44"/>
  <c r="AD138" i="44"/>
  <c r="AD229" i="44"/>
  <c r="AD59" i="44"/>
  <c r="AD252" i="44"/>
  <c r="AD183" i="44"/>
  <c r="AD279" i="44"/>
  <c r="AD77" i="44"/>
  <c r="AD50" i="44"/>
  <c r="AD304" i="44"/>
  <c r="AD156" i="44"/>
  <c r="AD274" i="44"/>
  <c r="AD179" i="44"/>
  <c r="AD214" i="44"/>
  <c r="AD256" i="44"/>
  <c r="AD123" i="44"/>
  <c r="AD300" i="44"/>
  <c r="AD282" i="44"/>
  <c r="AD226" i="44"/>
  <c r="AD118" i="44"/>
  <c r="AD258" i="44"/>
  <c r="AD275" i="44"/>
  <c r="AD349" i="44"/>
  <c r="AD185" i="44"/>
  <c r="AD131" i="44"/>
  <c r="AD158" i="44"/>
  <c r="AD297" i="44"/>
  <c r="AD287" i="44"/>
  <c r="AD140" i="44"/>
  <c r="AD247" i="44"/>
  <c r="AD54" i="44"/>
  <c r="AD272" i="44"/>
  <c r="AD231" i="44"/>
  <c r="AD325" i="44"/>
  <c r="AD104" i="44"/>
  <c r="AD289" i="44"/>
  <c r="AD21" i="44"/>
  <c r="AD331" i="44"/>
  <c r="AD47" i="44"/>
  <c r="AD129" i="44"/>
  <c r="AD82" i="44"/>
  <c r="AD24" i="44"/>
  <c r="AD302" i="44"/>
  <c r="AD46" i="44"/>
  <c r="AD354" i="44"/>
  <c r="AD60" i="44"/>
  <c r="AD35" i="44"/>
  <c r="AD250" i="44"/>
  <c r="AD41" i="44"/>
  <c r="AD56" i="44"/>
  <c r="AD248" i="44"/>
  <c r="AD93" i="44"/>
  <c r="AD161" i="44"/>
  <c r="AD336" i="44"/>
  <c r="AD15" i="44"/>
  <c r="AD308" i="44"/>
  <c r="AD181" i="44"/>
  <c r="AD154" i="44"/>
  <c r="AD259" i="44"/>
  <c r="AD352" i="44"/>
  <c r="AD40" i="44"/>
  <c r="AD263" i="44"/>
  <c r="AD164" i="44"/>
  <c r="AD92" i="44"/>
  <c r="AD121" i="44"/>
  <c r="AD23" i="44"/>
  <c r="AD205" i="44"/>
  <c r="AD328" i="44"/>
  <c r="AD89" i="44"/>
  <c r="AD146" i="44"/>
  <c r="AD149" i="44"/>
  <c r="AD72" i="44"/>
  <c r="AD45" i="44"/>
  <c r="AD142" i="44"/>
  <c r="AD62" i="44"/>
  <c r="AD159" i="44"/>
  <c r="AD267" i="44"/>
  <c r="AD342" i="44"/>
  <c r="AD284" i="44"/>
  <c r="AD222" i="44"/>
  <c r="AD61" i="44"/>
  <c r="AD174" i="44"/>
  <c r="AD132" i="44"/>
  <c r="AD73" i="44"/>
  <c r="AD102" i="44"/>
  <c r="AD99" i="44"/>
  <c r="AD42" i="44"/>
  <c r="AD210" i="44"/>
  <c r="AD280" i="44"/>
  <c r="AD240" i="44"/>
  <c r="AD353" i="44"/>
  <c r="AD326" i="44"/>
  <c r="AD321" i="44"/>
  <c r="AD243" i="44"/>
  <c r="AD315" i="44"/>
  <c r="AD125" i="44"/>
  <c r="AD207" i="44"/>
  <c r="AD70" i="44"/>
  <c r="AD87" i="44"/>
  <c r="AD348" i="44"/>
  <c r="AD43" i="44"/>
  <c r="AD14" i="44"/>
  <c r="AD64" i="44"/>
  <c r="AD20" i="44"/>
  <c r="AD317" i="44"/>
  <c r="AD206" i="44"/>
  <c r="AD350" i="44"/>
  <c r="AD10" i="44"/>
  <c r="AD29" i="44"/>
  <c r="AD85" i="44"/>
  <c r="AD105" i="44"/>
  <c r="AD75" i="44"/>
  <c r="AD88" i="44"/>
  <c r="AD111" i="44"/>
  <c r="AD176" i="44"/>
  <c r="AD277" i="44"/>
  <c r="AD153" i="44"/>
  <c r="AD134" i="44"/>
  <c r="AD96" i="44"/>
  <c r="AD265" i="44"/>
  <c r="AD167" i="44"/>
  <c r="AD241" i="44"/>
  <c r="AD195" i="44"/>
  <c r="AD76" i="44"/>
  <c r="AD115" i="44"/>
  <c r="AD33" i="44"/>
  <c r="AD12" i="44"/>
  <c r="AD215" i="44"/>
  <c r="AD224" i="44"/>
  <c r="AD288" i="44"/>
  <c r="AD86" i="44"/>
  <c r="AD44" i="44"/>
  <c r="AD290" i="44"/>
  <c r="AD193" i="44"/>
  <c r="AD162" i="44"/>
  <c r="AD192" i="44"/>
  <c r="AD71" i="44"/>
  <c r="AD171" i="44"/>
  <c r="AD292" i="44"/>
  <c r="AD36" i="44"/>
  <c r="AD344" i="44"/>
  <c r="AD166" i="44"/>
  <c r="AD244" i="44"/>
  <c r="AD168" i="44"/>
  <c r="AD127" i="44"/>
  <c r="AD98" i="44"/>
  <c r="AD157" i="44"/>
  <c r="AD101" i="44"/>
  <c r="AD332" i="44"/>
  <c r="AD262" i="44"/>
  <c r="AD68" i="44"/>
  <c r="AD203" i="44"/>
  <c r="AD211" i="44"/>
  <c r="AD191" i="44"/>
  <c r="AD126" i="44"/>
  <c r="AD163" i="44"/>
  <c r="AD155" i="44"/>
  <c r="AD28" i="44"/>
  <c r="AD137" i="44"/>
  <c r="AD253" i="44"/>
  <c r="AD220" i="44"/>
  <c r="AD212" i="44"/>
  <c r="AD200" i="44"/>
  <c r="AD52" i="44"/>
  <c r="AD237" i="44"/>
  <c r="AD310" i="44"/>
  <c r="AD293" i="44"/>
  <c r="AD225" i="44"/>
  <c r="AD22" i="44"/>
  <c r="AD80" i="44"/>
  <c r="AD266" i="44"/>
  <c r="AD319" i="44"/>
  <c r="AD197" i="44"/>
  <c r="AD323" i="44"/>
  <c r="AD182" i="44"/>
  <c r="AD78" i="44"/>
  <c r="AD74" i="44"/>
  <c r="AD91" i="44"/>
  <c r="AD324" i="44"/>
  <c r="AD270" i="44"/>
  <c r="AD84" i="44"/>
  <c r="AD49" i="44"/>
  <c r="AD175" i="44"/>
  <c r="AD278" i="44"/>
  <c r="AD196" i="44"/>
  <c r="AD330" i="44"/>
  <c r="AD198" i="44"/>
  <c r="AD245" i="44"/>
  <c r="AD318" i="44"/>
  <c r="AD294" i="44"/>
  <c r="AD187" i="44"/>
  <c r="AD57" i="44"/>
  <c r="AD63" i="44"/>
  <c r="AD79" i="44"/>
  <c r="AD27" i="44"/>
  <c r="AD147" i="44"/>
  <c r="AD69" i="44"/>
  <c r="AD254" i="44"/>
  <c r="AD13" i="44"/>
  <c r="AD141" i="44"/>
  <c r="AD48" i="44"/>
  <c r="AD90" i="44"/>
  <c r="AD122" i="44"/>
  <c r="Z101" i="46" l="1"/>
  <c r="Z305" i="46"/>
  <c r="AA305" i="46" s="1"/>
  <c r="AB305" i="46" s="1"/>
  <c r="AC305" i="46" s="1"/>
  <c r="Z223" i="46"/>
  <c r="AA223" i="46" s="1"/>
  <c r="AB223" i="46" s="1"/>
  <c r="AC223" i="46" s="1"/>
  <c r="Z291" i="46"/>
  <c r="AA291" i="46" s="1"/>
  <c r="AB291" i="46" s="1"/>
  <c r="AC291" i="46" s="1"/>
  <c r="Z14" i="46"/>
  <c r="AA14" i="46" s="1"/>
  <c r="AB14" i="46" s="1"/>
  <c r="AC14" i="46" s="1"/>
  <c r="Z55" i="46"/>
  <c r="AA55" i="46" s="1"/>
  <c r="AB55" i="46" s="1"/>
  <c r="AC55" i="46" s="1"/>
  <c r="Z152" i="46"/>
  <c r="AA152" i="46" s="1"/>
  <c r="AB152" i="46" s="1"/>
  <c r="AC152" i="46" s="1"/>
  <c r="Z109" i="46"/>
  <c r="AA109" i="46" s="1"/>
  <c r="AB109" i="46" s="1"/>
  <c r="AC109" i="46" s="1"/>
  <c r="Z264" i="46"/>
  <c r="AA264" i="46" s="1"/>
  <c r="AB264" i="46" s="1"/>
  <c r="AC264" i="46" s="1"/>
  <c r="Z86" i="46"/>
  <c r="AA86" i="46" s="1"/>
  <c r="AB86" i="46" s="1"/>
  <c r="AC86" i="46" s="1"/>
  <c r="Z150" i="46"/>
  <c r="AA150" i="46" s="1"/>
  <c r="AB150" i="46" s="1"/>
  <c r="AC150" i="46" s="1"/>
  <c r="Z248" i="46"/>
  <c r="AA248" i="46" s="1"/>
  <c r="AB248" i="46" s="1"/>
  <c r="AC248" i="46" s="1"/>
  <c r="Z325" i="46"/>
  <c r="AA325" i="46" s="1"/>
  <c r="AB325" i="46" s="1"/>
  <c r="AC325" i="46" s="1"/>
  <c r="Z161" i="46"/>
  <c r="AA161" i="46" s="1"/>
  <c r="AB161" i="46" s="1"/>
  <c r="AC161" i="46" s="1"/>
  <c r="Z341" i="46"/>
  <c r="AA341" i="46" s="1"/>
  <c r="AB341" i="46" s="1"/>
  <c r="AC341" i="46" s="1"/>
  <c r="Z154" i="46"/>
  <c r="AA154" i="46" s="1"/>
  <c r="AB154" i="46" s="1"/>
  <c r="AC154" i="46" s="1"/>
  <c r="Z348" i="46"/>
  <c r="AA348" i="46" s="1"/>
  <c r="AB348" i="46" s="1"/>
  <c r="AC348" i="46" s="1"/>
  <c r="Z297" i="46"/>
  <c r="AA297" i="46" s="1"/>
  <c r="AB297" i="46" s="1"/>
  <c r="AC297" i="46" s="1"/>
  <c r="Z74" i="46"/>
  <c r="AA74" i="46" s="1"/>
  <c r="AB74" i="46" s="1"/>
  <c r="AC74" i="46" s="1"/>
  <c r="Z241" i="46"/>
  <c r="AA241" i="46" s="1"/>
  <c r="AB241" i="46" s="1"/>
  <c r="AC241" i="46" s="1"/>
  <c r="Z287" i="46"/>
  <c r="AA287" i="46" s="1"/>
  <c r="AB287" i="46" s="1"/>
  <c r="AC287" i="46" s="1"/>
  <c r="Z255" i="46"/>
  <c r="AA255" i="46" s="1"/>
  <c r="AB255" i="46" s="1"/>
  <c r="AC255" i="46" s="1"/>
  <c r="Z119" i="46"/>
  <c r="AA119" i="46" s="1"/>
  <c r="AB119" i="46" s="1"/>
  <c r="AC119" i="46" s="1"/>
  <c r="Z118" i="46"/>
  <c r="AA118" i="46" s="1"/>
  <c r="AB118" i="46" s="1"/>
  <c r="AC118" i="46" s="1"/>
  <c r="Z111" i="46"/>
  <c r="AA111" i="46" s="1"/>
  <c r="AB111" i="46" s="1"/>
  <c r="AC111" i="46" s="1"/>
  <c r="Z340" i="46"/>
  <c r="AA340" i="46" s="1"/>
  <c r="AB340" i="46" s="1"/>
  <c r="AC340" i="46" s="1"/>
  <c r="Z66" i="46"/>
  <c r="AA66" i="46" s="1"/>
  <c r="AB66" i="46" s="1"/>
  <c r="AC66" i="46" s="1"/>
  <c r="Z162" i="46"/>
  <c r="AA162" i="46" s="1"/>
  <c r="AB162" i="46" s="1"/>
  <c r="AC162" i="46" s="1"/>
  <c r="Z138" i="46"/>
  <c r="AA138" i="46" s="1"/>
  <c r="AB138" i="46" s="1"/>
  <c r="AC138" i="46" s="1"/>
  <c r="Z274" i="46"/>
  <c r="AA274" i="46" s="1"/>
  <c r="AB274" i="46" s="1"/>
  <c r="AC274" i="46" s="1"/>
  <c r="Z126" i="46"/>
  <c r="AA126" i="46" s="1"/>
  <c r="AB126" i="46" s="1"/>
  <c r="AC126" i="46" s="1"/>
  <c r="Z270" i="46"/>
  <c r="AA270" i="46" s="1"/>
  <c r="AB270" i="46" s="1"/>
  <c r="AC270" i="46" s="1"/>
  <c r="Z205" i="46"/>
  <c r="AA205" i="46" s="1"/>
  <c r="AB205" i="46" s="1"/>
  <c r="AC205" i="46" s="1"/>
  <c r="Z233" i="46"/>
  <c r="AA233" i="46" s="1"/>
  <c r="AB233" i="46" s="1"/>
  <c r="AC233" i="46" s="1"/>
  <c r="Z275" i="46"/>
  <c r="AA275" i="46" s="1"/>
  <c r="AB275" i="46" s="1"/>
  <c r="AC275" i="46" s="1"/>
  <c r="Z42" i="46"/>
  <c r="E38" i="52" s="1"/>
  <c r="F38" i="52" s="1"/>
  <c r="Z345" i="46"/>
  <c r="AA345" i="46" s="1"/>
  <c r="AB345" i="46" s="1"/>
  <c r="AC345" i="46" s="1"/>
  <c r="Z39" i="46"/>
  <c r="AA39" i="46" s="1"/>
  <c r="AB39" i="46" s="1"/>
  <c r="AC39" i="46" s="1"/>
  <c r="Z92" i="46"/>
  <c r="AA92" i="46" s="1"/>
  <c r="AB92" i="46" s="1"/>
  <c r="AC92" i="46" s="1"/>
  <c r="Z105" i="46"/>
  <c r="AA105" i="46" s="1"/>
  <c r="AB105" i="46" s="1"/>
  <c r="AC105" i="46" s="1"/>
  <c r="Z338" i="46"/>
  <c r="AA338" i="46" s="1"/>
  <c r="AB338" i="46" s="1"/>
  <c r="AC338" i="46" s="1"/>
  <c r="Z149" i="46"/>
  <c r="AA149" i="46" s="1"/>
  <c r="AB149" i="46" s="1"/>
  <c r="AC149" i="46" s="1"/>
  <c r="Z15" i="46"/>
  <c r="E17" i="52" s="1"/>
  <c r="F17" i="52" s="1"/>
  <c r="Z310" i="46"/>
  <c r="AA310" i="46" s="1"/>
  <c r="AB310" i="46" s="1"/>
  <c r="AC310" i="46" s="1"/>
  <c r="Z157" i="46"/>
  <c r="AA157" i="46" s="1"/>
  <c r="AB157" i="46" s="1"/>
  <c r="AC157" i="46" s="1"/>
  <c r="Z167" i="46"/>
  <c r="AA167" i="46" s="1"/>
  <c r="AB167" i="46" s="1"/>
  <c r="AC167" i="46" s="1"/>
  <c r="Z250" i="46"/>
  <c r="AA250" i="46" s="1"/>
  <c r="AB250" i="46" s="1"/>
  <c r="AC250" i="46" s="1"/>
  <c r="Z240" i="46"/>
  <c r="AA240" i="46" s="1"/>
  <c r="AB240" i="46" s="1"/>
  <c r="AC240" i="46" s="1"/>
  <c r="Z64" i="46"/>
  <c r="E23" i="52" s="1"/>
  <c r="F23" i="52" s="1"/>
  <c r="Z107" i="46"/>
  <c r="AA107" i="46" s="1"/>
  <c r="AB107" i="46" s="1"/>
  <c r="AC107" i="46" s="1"/>
  <c r="Z234" i="46"/>
  <c r="AA234" i="46" s="1"/>
  <c r="AB234" i="46" s="1"/>
  <c r="AC234" i="46" s="1"/>
  <c r="Z28" i="46"/>
  <c r="E18" i="52" s="1"/>
  <c r="F18" i="52" s="1"/>
  <c r="Z202" i="46"/>
  <c r="AA202" i="46" s="1"/>
  <c r="AB202" i="46" s="1"/>
  <c r="AC202" i="46" s="1"/>
  <c r="Z11" i="46"/>
  <c r="E4" i="52" s="1"/>
  <c r="F4" i="52" s="1"/>
  <c r="Z197" i="46"/>
  <c r="AA197" i="46" s="1"/>
  <c r="AB197" i="46" s="1"/>
  <c r="AC197" i="46" s="1"/>
  <c r="Z254" i="46"/>
  <c r="AA254" i="46" s="1"/>
  <c r="AB254" i="46" s="1"/>
  <c r="AC254" i="46" s="1"/>
  <c r="Z242" i="46"/>
  <c r="AA242" i="46" s="1"/>
  <c r="AB242" i="46" s="1"/>
  <c r="AC242" i="46" s="1"/>
  <c r="Z71" i="46"/>
  <c r="AA71" i="46" s="1"/>
  <c r="AB71" i="46" s="1"/>
  <c r="AC71" i="46" s="1"/>
  <c r="Z56" i="46"/>
  <c r="AA56" i="46" s="1"/>
  <c r="AB56" i="46" s="1"/>
  <c r="AC56" i="46" s="1"/>
  <c r="Z262" i="46"/>
  <c r="AA262" i="46" s="1"/>
  <c r="AB262" i="46" s="1"/>
  <c r="AC262" i="46" s="1"/>
  <c r="Z227" i="46"/>
  <c r="AA227" i="46" s="1"/>
  <c r="AB227" i="46" s="1"/>
  <c r="AC227" i="46" s="1"/>
  <c r="Z147" i="46"/>
  <c r="AA147" i="46" s="1"/>
  <c r="AB147" i="46" s="1"/>
  <c r="AC147" i="46" s="1"/>
  <c r="Z123" i="46"/>
  <c r="AA123" i="46" s="1"/>
  <c r="AB123" i="46" s="1"/>
  <c r="AC123" i="46" s="1"/>
  <c r="Z311" i="46"/>
  <c r="AA311" i="46" s="1"/>
  <c r="AB311" i="46" s="1"/>
  <c r="AC311" i="46" s="1"/>
  <c r="Z10" i="46"/>
  <c r="AA10" i="46" s="1"/>
  <c r="AB10" i="46" s="1"/>
  <c r="AC10" i="46" s="1"/>
  <c r="Z47" i="46"/>
  <c r="E42" i="52" s="1"/>
  <c r="F42" i="52" s="1"/>
  <c r="Z195" i="46"/>
  <c r="AA195" i="46" s="1"/>
  <c r="AB195" i="46" s="1"/>
  <c r="AC195" i="46" s="1"/>
  <c r="Z17" i="46"/>
  <c r="E14" i="52" s="1"/>
  <c r="F14" i="52" s="1"/>
  <c r="Z106" i="46"/>
  <c r="E19" i="52" s="1"/>
  <c r="F19" i="52" s="1"/>
  <c r="Z336" i="46"/>
  <c r="AA336" i="46" s="1"/>
  <c r="AB336" i="46" s="1"/>
  <c r="AC336" i="46" s="1"/>
  <c r="Z65" i="46"/>
  <c r="AA65" i="46" s="1"/>
  <c r="AB65" i="46" s="1"/>
  <c r="AC65" i="46" s="1"/>
  <c r="Z263" i="46"/>
  <c r="AA263" i="46" s="1"/>
  <c r="AB263" i="46" s="1"/>
  <c r="AC263" i="46" s="1"/>
  <c r="Z163" i="46"/>
  <c r="AA163" i="46" s="1"/>
  <c r="AB163" i="46" s="1"/>
  <c r="AC163" i="46" s="1"/>
  <c r="Z239" i="46"/>
  <c r="AA239" i="46" s="1"/>
  <c r="AB239" i="46" s="1"/>
  <c r="AC239" i="46" s="1"/>
  <c r="Z32" i="46"/>
  <c r="E33" i="52" s="1"/>
  <c r="F33" i="52" s="1"/>
  <c r="Z323" i="46"/>
  <c r="AA323" i="46" s="1"/>
  <c r="AB323" i="46" s="1"/>
  <c r="AC323" i="46" s="1"/>
  <c r="Z50" i="46"/>
  <c r="AA50" i="46" s="1"/>
  <c r="AB50" i="46" s="1"/>
  <c r="AC50" i="46" s="1"/>
  <c r="Z258" i="46"/>
  <c r="AA258" i="46" s="1"/>
  <c r="AB258" i="46" s="1"/>
  <c r="AC258" i="46" s="1"/>
  <c r="Z315" i="46"/>
  <c r="AA315" i="46" s="1"/>
  <c r="AB315" i="46" s="1"/>
  <c r="AC315" i="46" s="1"/>
  <c r="Z84" i="46"/>
  <c r="AA84" i="46" s="1"/>
  <c r="AB84" i="46" s="1"/>
  <c r="AC84" i="46" s="1"/>
  <c r="Z256" i="46"/>
  <c r="AA256" i="46" s="1"/>
  <c r="AB256" i="46" s="1"/>
  <c r="AC256" i="46" s="1"/>
  <c r="Z160" i="46"/>
  <c r="AA160" i="46" s="1"/>
  <c r="AB160" i="46" s="1"/>
  <c r="AC160" i="46" s="1"/>
  <c r="Z156" i="46"/>
  <c r="AA156" i="46" s="1"/>
  <c r="AB156" i="46" s="1"/>
  <c r="AC156" i="46" s="1"/>
  <c r="Z236" i="46"/>
  <c r="AA236" i="46" s="1"/>
  <c r="AB236" i="46" s="1"/>
  <c r="AC236" i="46" s="1"/>
  <c r="Z151" i="46"/>
  <c r="AA151" i="46" s="1"/>
  <c r="AB151" i="46" s="1"/>
  <c r="AC151" i="46" s="1"/>
  <c r="Z237" i="46"/>
  <c r="AA237" i="46" s="1"/>
  <c r="AB237" i="46" s="1"/>
  <c r="AC237" i="46" s="1"/>
  <c r="Z108" i="46"/>
  <c r="AA108" i="46" s="1"/>
  <c r="AB108" i="46" s="1"/>
  <c r="AC108" i="46" s="1"/>
  <c r="Z140" i="46"/>
  <c r="AA140" i="46" s="1"/>
  <c r="AB140" i="46" s="1"/>
  <c r="AC140" i="46" s="1"/>
  <c r="Z194" i="46"/>
  <c r="AA194" i="46" s="1"/>
  <c r="AB194" i="46" s="1"/>
  <c r="AC194" i="46" s="1"/>
  <c r="Z303" i="46"/>
  <c r="AA303" i="46" s="1"/>
  <c r="AB303" i="46" s="1"/>
  <c r="AC303" i="46" s="1"/>
  <c r="Z99" i="46"/>
  <c r="AA99" i="46" s="1"/>
  <c r="AB99" i="46" s="1"/>
  <c r="AC99" i="46" s="1"/>
  <c r="Z89" i="46"/>
  <c r="AA89" i="46" s="1"/>
  <c r="AB89" i="46" s="1"/>
  <c r="AC89" i="46" s="1"/>
  <c r="Z43" i="46"/>
  <c r="E27" i="52" s="1"/>
  <c r="F27" i="52" s="1"/>
  <c r="Z51" i="46"/>
  <c r="AA51" i="46" s="1"/>
  <c r="AB51" i="46" s="1"/>
  <c r="AC51" i="46" s="1"/>
  <c r="Z208" i="46"/>
  <c r="AA208" i="46" s="1"/>
  <c r="AB208" i="46" s="1"/>
  <c r="AC208" i="46" s="1"/>
  <c r="Z178" i="46"/>
  <c r="AA178" i="46" s="1"/>
  <c r="AB178" i="46" s="1"/>
  <c r="AC178" i="46" s="1"/>
  <c r="Z164" i="46"/>
  <c r="AA164" i="46" s="1"/>
  <c r="AB164" i="46" s="1"/>
  <c r="AC164" i="46" s="1"/>
  <c r="Z288" i="46"/>
  <c r="AA288" i="46" s="1"/>
  <c r="AB288" i="46" s="1"/>
  <c r="AC288" i="46" s="1"/>
  <c r="Z231" i="46"/>
  <c r="AA231" i="46" s="1"/>
  <c r="AB231" i="46" s="1"/>
  <c r="AC231" i="46" s="1"/>
  <c r="Z201" i="46"/>
  <c r="AA201" i="46" s="1"/>
  <c r="AB201" i="46" s="1"/>
  <c r="AC201" i="46" s="1"/>
  <c r="Z78" i="46"/>
  <c r="E32" i="52" s="1"/>
  <c r="F32" i="52" s="1"/>
  <c r="Z22" i="46"/>
  <c r="E5" i="52" s="1"/>
  <c r="F5" i="52" s="1"/>
  <c r="Z285" i="46"/>
  <c r="AA285" i="46" s="1"/>
  <c r="AB285" i="46" s="1"/>
  <c r="AC285" i="46" s="1"/>
  <c r="Z191" i="46"/>
  <c r="AA191" i="46" s="1"/>
  <c r="AB191" i="46" s="1"/>
  <c r="AC191" i="46" s="1"/>
  <c r="Z207" i="46"/>
  <c r="AA207" i="46" s="1"/>
  <c r="AB207" i="46" s="1"/>
  <c r="AC207" i="46" s="1"/>
  <c r="Z349" i="46"/>
  <c r="AA349" i="46" s="1"/>
  <c r="AB349" i="46" s="1"/>
  <c r="AC349" i="46" s="1"/>
  <c r="Z229" i="46"/>
  <c r="AA229" i="46" s="1"/>
  <c r="AB229" i="46" s="1"/>
  <c r="AC229" i="46" s="1"/>
  <c r="Z344" i="46"/>
  <c r="AA344" i="46" s="1"/>
  <c r="AB344" i="46" s="1"/>
  <c r="AC344" i="46" s="1"/>
  <c r="Z238" i="46"/>
  <c r="AA238" i="46" s="1"/>
  <c r="AB238" i="46" s="1"/>
  <c r="AC238" i="46" s="1"/>
  <c r="Z343" i="46"/>
  <c r="AA343" i="46" s="1"/>
  <c r="AB343" i="46" s="1"/>
  <c r="AC343" i="46" s="1"/>
  <c r="Z299" i="46"/>
  <c r="AA299" i="46" s="1"/>
  <c r="AB299" i="46" s="1"/>
  <c r="AC299" i="46" s="1"/>
  <c r="Z21" i="46"/>
  <c r="E46" i="52" s="1"/>
  <c r="F46" i="52" s="1"/>
  <c r="Z354" i="46"/>
  <c r="AA354" i="46" s="1"/>
  <c r="AB354" i="46" s="1"/>
  <c r="AC354" i="46" s="1"/>
  <c r="Z9" i="46"/>
  <c r="E10" i="52" s="1"/>
  <c r="F10" i="52" s="1"/>
  <c r="Z351" i="46"/>
  <c r="AA351" i="46" s="1"/>
  <c r="AB351" i="46" s="1"/>
  <c r="AC351" i="46" s="1"/>
  <c r="Z309" i="46"/>
  <c r="AA309" i="46" s="1"/>
  <c r="AB309" i="46" s="1"/>
  <c r="AC309" i="46" s="1"/>
  <c r="Z33" i="46"/>
  <c r="E20" i="52" s="1"/>
  <c r="F20" i="52" s="1"/>
  <c r="Z12" i="46"/>
  <c r="AA12" i="46" s="1"/>
  <c r="AB12" i="46" s="1"/>
  <c r="AC12" i="46" s="1"/>
  <c r="Z251" i="46"/>
  <c r="AA251" i="46" s="1"/>
  <c r="AB251" i="46" s="1"/>
  <c r="AC251" i="46" s="1"/>
  <c r="Z244" i="46"/>
  <c r="AA244" i="46" s="1"/>
  <c r="AB244" i="46" s="1"/>
  <c r="AC244" i="46" s="1"/>
  <c r="Z216" i="46"/>
  <c r="AA216" i="46" s="1"/>
  <c r="AB216" i="46" s="1"/>
  <c r="AC216" i="46" s="1"/>
  <c r="Z182" i="46"/>
  <c r="AA182" i="46" s="1"/>
  <c r="AB182" i="46" s="1"/>
  <c r="AC182" i="46" s="1"/>
  <c r="Z276" i="46"/>
  <c r="AA276" i="46" s="1"/>
  <c r="AB276" i="46" s="1"/>
  <c r="AC276" i="46" s="1"/>
  <c r="Z79" i="46"/>
  <c r="AA79" i="46" s="1"/>
  <c r="AB79" i="46" s="1"/>
  <c r="AC79" i="46" s="1"/>
  <c r="Z173" i="46"/>
  <c r="AA173" i="46" s="1"/>
  <c r="AB173" i="46" s="1"/>
  <c r="AC173" i="46" s="1"/>
  <c r="Z137" i="46"/>
  <c r="AA137" i="46" s="1"/>
  <c r="AB137" i="46" s="1"/>
  <c r="AC137" i="46" s="1"/>
  <c r="Z228" i="46"/>
  <c r="AA228" i="46" s="1"/>
  <c r="AB228" i="46" s="1"/>
  <c r="AC228" i="46" s="1"/>
  <c r="Z16" i="46"/>
  <c r="E28" i="52" s="1"/>
  <c r="F28" i="52" s="1"/>
  <c r="Z212" i="46"/>
  <c r="AA212" i="46" s="1"/>
  <c r="AB212" i="46" s="1"/>
  <c r="AC212" i="46" s="1"/>
  <c r="Z226" i="46"/>
  <c r="AA226" i="46" s="1"/>
  <c r="AB226" i="46" s="1"/>
  <c r="AC226" i="46" s="1"/>
  <c r="Z261" i="46"/>
  <c r="AA261" i="46" s="1"/>
  <c r="AB261" i="46" s="1"/>
  <c r="AC261" i="46" s="1"/>
  <c r="Z159" i="46"/>
  <c r="AA159" i="46" s="1"/>
  <c r="AB159" i="46" s="1"/>
  <c r="AC159" i="46" s="1"/>
  <c r="Z235" i="46"/>
  <c r="AA235" i="46" s="1"/>
  <c r="AB235" i="46" s="1"/>
  <c r="AC235" i="46" s="1"/>
  <c r="Z199" i="46"/>
  <c r="AA199" i="46" s="1"/>
  <c r="AB199" i="46" s="1"/>
  <c r="AC199" i="46" s="1"/>
  <c r="Z168" i="46"/>
  <c r="AA168" i="46" s="1"/>
  <c r="AB168" i="46" s="1"/>
  <c r="AC168" i="46" s="1"/>
  <c r="Z70" i="46"/>
  <c r="E15" i="52" s="1"/>
  <c r="F15" i="52" s="1"/>
  <c r="Z177" i="46"/>
  <c r="AA177" i="46" s="1"/>
  <c r="AB177" i="46" s="1"/>
  <c r="AC177" i="46" s="1"/>
  <c r="Z90" i="46"/>
  <c r="E40" i="52" s="1"/>
  <c r="F40" i="52" s="1"/>
  <c r="Z347" i="46"/>
  <c r="AA347" i="46" s="1"/>
  <c r="AB347" i="46" s="1"/>
  <c r="AC347" i="46" s="1"/>
  <c r="Z121" i="46"/>
  <c r="AA121" i="46" s="1"/>
  <c r="AB121" i="46" s="1"/>
  <c r="AC121" i="46" s="1"/>
  <c r="Z25" i="46"/>
  <c r="E24" i="52" s="1"/>
  <c r="F24" i="52" s="1"/>
  <c r="Z75" i="46"/>
  <c r="AA75" i="46" s="1"/>
  <c r="AB75" i="46" s="1"/>
  <c r="AC75" i="46" s="1"/>
  <c r="Z245" i="46"/>
  <c r="AA245" i="46" s="1"/>
  <c r="AB245" i="46" s="1"/>
  <c r="AC245" i="46" s="1"/>
  <c r="Z301" i="46"/>
  <c r="AA301" i="46" s="1"/>
  <c r="AB301" i="46" s="1"/>
  <c r="AC301" i="46" s="1"/>
  <c r="Z76" i="46"/>
  <c r="AA76" i="46" s="1"/>
  <c r="AB76" i="46" s="1"/>
  <c r="AC76" i="46" s="1"/>
  <c r="Z38" i="46"/>
  <c r="AA38" i="46" s="1"/>
  <c r="AB38" i="46" s="1"/>
  <c r="AC38" i="46" s="1"/>
  <c r="Z215" i="46"/>
  <c r="AA215" i="46" s="1"/>
  <c r="AB215" i="46" s="1"/>
  <c r="AC215" i="46" s="1"/>
  <c r="Z83" i="46"/>
  <c r="AA83" i="46" s="1"/>
  <c r="AB83" i="46" s="1"/>
  <c r="AC83" i="46" s="1"/>
  <c r="Z225" i="46"/>
  <c r="AA225" i="46" s="1"/>
  <c r="AB225" i="46" s="1"/>
  <c r="AC225" i="46" s="1"/>
  <c r="Z175" i="46"/>
  <c r="AA175" i="46" s="1"/>
  <c r="AB175" i="46" s="1"/>
  <c r="AC175" i="46" s="1"/>
  <c r="Z335" i="46"/>
  <c r="AA335" i="46" s="1"/>
  <c r="AB335" i="46" s="1"/>
  <c r="AC335" i="46" s="1"/>
  <c r="Z206" i="46"/>
  <c r="AA206" i="46" s="1"/>
  <c r="AB206" i="46" s="1"/>
  <c r="AC206" i="46" s="1"/>
  <c r="Z112" i="46"/>
  <c r="AA112" i="46" s="1"/>
  <c r="AB112" i="46" s="1"/>
  <c r="AC112" i="46" s="1"/>
  <c r="Z132" i="46"/>
  <c r="AA132" i="46" s="1"/>
  <c r="AB132" i="46" s="1"/>
  <c r="AC132" i="46" s="1"/>
  <c r="Z184" i="46"/>
  <c r="AA184" i="46" s="1"/>
  <c r="AB184" i="46" s="1"/>
  <c r="AC184" i="46" s="1"/>
  <c r="Z67" i="46"/>
  <c r="AA67" i="46" s="1"/>
  <c r="AB67" i="46" s="1"/>
  <c r="AC67" i="46" s="1"/>
  <c r="Z165" i="46"/>
  <c r="AA165" i="46" s="1"/>
  <c r="AB165" i="46" s="1"/>
  <c r="AC165" i="46" s="1"/>
  <c r="Z139" i="46"/>
  <c r="AA139" i="46" s="1"/>
  <c r="AB139" i="46" s="1"/>
  <c r="AC139" i="46" s="1"/>
  <c r="Z290" i="46"/>
  <c r="AA290" i="46" s="1"/>
  <c r="AB290" i="46" s="1"/>
  <c r="AC290" i="46" s="1"/>
  <c r="Z286" i="46"/>
  <c r="AA286" i="46" s="1"/>
  <c r="AB286" i="46" s="1"/>
  <c r="AC286" i="46" s="1"/>
  <c r="Z136" i="46"/>
  <c r="AA136" i="46" s="1"/>
  <c r="AB136" i="46" s="1"/>
  <c r="AC136" i="46" s="1"/>
  <c r="Z284" i="46"/>
  <c r="AA284" i="46" s="1"/>
  <c r="AB284" i="46" s="1"/>
  <c r="AC284" i="46" s="1"/>
  <c r="Z198" i="46"/>
  <c r="AA198" i="46" s="1"/>
  <c r="AB198" i="46" s="1"/>
  <c r="AC198" i="46" s="1"/>
  <c r="Z266" i="46"/>
  <c r="AA266" i="46" s="1"/>
  <c r="AB266" i="46" s="1"/>
  <c r="AC266" i="46" s="1"/>
  <c r="Z19" i="46"/>
  <c r="E30" i="52" s="1"/>
  <c r="F30" i="52" s="1"/>
  <c r="Z294" i="46"/>
  <c r="AA294" i="46" s="1"/>
  <c r="AB294" i="46" s="1"/>
  <c r="AC294" i="46" s="1"/>
  <c r="Z44" i="46"/>
  <c r="AA44" i="46" s="1"/>
  <c r="AB44" i="46" s="1"/>
  <c r="AC44" i="46" s="1"/>
  <c r="Z281" i="46"/>
  <c r="AA281" i="46" s="1"/>
  <c r="AB281" i="46" s="1"/>
  <c r="AC281" i="46" s="1"/>
  <c r="Z246" i="46"/>
  <c r="AA246" i="46" s="1"/>
  <c r="AB246" i="46" s="1"/>
  <c r="AC246" i="46" s="1"/>
  <c r="Z217" i="46"/>
  <c r="AA217" i="46" s="1"/>
  <c r="AB217" i="46" s="1"/>
  <c r="AC217" i="46" s="1"/>
  <c r="Z34" i="46"/>
  <c r="E3" i="52" s="1"/>
  <c r="F3" i="52" s="1"/>
  <c r="Z280" i="46"/>
  <c r="AA280" i="46" s="1"/>
  <c r="AB280" i="46" s="1"/>
  <c r="AC280" i="46" s="1"/>
  <c r="Z30" i="46"/>
  <c r="E26" i="52" s="1"/>
  <c r="F26" i="52" s="1"/>
  <c r="Z313" i="46"/>
  <c r="AA313" i="46" s="1"/>
  <c r="AB313" i="46" s="1"/>
  <c r="AC313" i="46" s="1"/>
  <c r="Z58" i="46"/>
  <c r="E7" i="52" s="1"/>
  <c r="F7" i="52" s="1"/>
  <c r="Z95" i="46"/>
  <c r="AA95" i="46" s="1"/>
  <c r="AB95" i="46" s="1"/>
  <c r="AC95" i="46" s="1"/>
  <c r="Z85" i="46"/>
  <c r="AA85" i="46" s="1"/>
  <c r="AB85" i="46" s="1"/>
  <c r="AC85" i="46" s="1"/>
  <c r="Z128" i="46"/>
  <c r="AA128" i="46" s="1"/>
  <c r="AB128" i="46" s="1"/>
  <c r="AC128" i="46" s="1"/>
  <c r="AD128" i="46" s="1"/>
  <c r="Z282" i="46"/>
  <c r="AA282" i="46" s="1"/>
  <c r="AB282" i="46" s="1"/>
  <c r="AC282" i="46" s="1"/>
  <c r="Z334" i="46"/>
  <c r="AA334" i="46" s="1"/>
  <c r="AB334" i="46" s="1"/>
  <c r="AC334" i="46" s="1"/>
  <c r="Z322" i="46"/>
  <c r="AA322" i="46" s="1"/>
  <c r="AB322" i="46" s="1"/>
  <c r="AC322" i="46" s="1"/>
  <c r="Z269" i="46"/>
  <c r="AA269" i="46" s="1"/>
  <c r="AB269" i="46" s="1"/>
  <c r="AC269" i="46" s="1"/>
  <c r="Z324" i="46"/>
  <c r="AA324" i="46" s="1"/>
  <c r="AB324" i="46" s="1"/>
  <c r="AC324" i="46" s="1"/>
  <c r="Z49" i="46"/>
  <c r="AA49" i="46" s="1"/>
  <c r="AB49" i="46" s="1"/>
  <c r="AC49" i="46" s="1"/>
  <c r="Z93" i="46"/>
  <c r="AA93" i="46" s="1"/>
  <c r="AB93" i="46" s="1"/>
  <c r="AC93" i="46" s="1"/>
  <c r="Z320" i="46"/>
  <c r="AA320" i="46" s="1"/>
  <c r="AB320" i="46" s="1"/>
  <c r="AC320" i="46" s="1"/>
  <c r="Z134" i="46"/>
  <c r="AA134" i="46" s="1"/>
  <c r="AB134" i="46" s="1"/>
  <c r="AC134" i="46" s="1"/>
  <c r="Z279" i="46"/>
  <c r="AA279" i="46" s="1"/>
  <c r="AB279" i="46" s="1"/>
  <c r="AC279" i="46" s="1"/>
  <c r="Z115" i="46"/>
  <c r="AA115" i="46" s="1"/>
  <c r="AB115" i="46" s="1"/>
  <c r="AC115" i="46" s="1"/>
  <c r="Z221" i="46"/>
  <c r="AA221" i="46" s="1"/>
  <c r="AB221" i="46" s="1"/>
  <c r="AC221" i="46" s="1"/>
  <c r="Z267" i="46"/>
  <c r="AA267" i="46" s="1"/>
  <c r="AB267" i="46" s="1"/>
  <c r="AC267" i="46" s="1"/>
  <c r="Z204" i="46"/>
  <c r="AA204" i="46" s="1"/>
  <c r="AB204" i="46" s="1"/>
  <c r="AC204" i="46" s="1"/>
  <c r="Z68" i="46"/>
  <c r="AA68" i="46" s="1"/>
  <c r="AB68" i="46" s="1"/>
  <c r="AC68" i="46" s="1"/>
  <c r="Z170" i="46"/>
  <c r="AA170" i="46" s="1"/>
  <c r="AB170" i="46" s="1"/>
  <c r="AC170" i="46" s="1"/>
  <c r="Z203" i="46"/>
  <c r="AA203" i="46" s="1"/>
  <c r="AB203" i="46" s="1"/>
  <c r="AC203" i="46" s="1"/>
  <c r="Z230" i="46"/>
  <c r="AA230" i="46" s="1"/>
  <c r="AB230" i="46" s="1"/>
  <c r="AC230" i="46" s="1"/>
  <c r="Z337" i="46"/>
  <c r="AA337" i="46" s="1"/>
  <c r="AB337" i="46" s="1"/>
  <c r="AC337" i="46" s="1"/>
  <c r="Z171" i="46"/>
  <c r="AA171" i="46" s="1"/>
  <c r="AB171" i="46" s="1"/>
  <c r="AC171" i="46" s="1"/>
  <c r="Z179" i="46"/>
  <c r="AA179" i="46" s="1"/>
  <c r="AB179" i="46" s="1"/>
  <c r="AC179" i="46" s="1"/>
  <c r="Z88" i="46"/>
  <c r="AA88" i="46" s="1"/>
  <c r="AB88" i="46" s="1"/>
  <c r="AC88" i="46" s="1"/>
  <c r="Z145" i="46"/>
  <c r="AA145" i="46" s="1"/>
  <c r="AB145" i="46" s="1"/>
  <c r="AC145" i="46" s="1"/>
  <c r="Z133" i="46"/>
  <c r="AA133" i="46" s="1"/>
  <c r="AB133" i="46" s="1"/>
  <c r="AC133" i="46" s="1"/>
  <c r="Z190" i="46"/>
  <c r="AA190" i="46" s="1"/>
  <c r="AB190" i="46" s="1"/>
  <c r="AC190" i="46" s="1"/>
  <c r="Z153" i="46"/>
  <c r="AA153" i="46" s="1"/>
  <c r="AB153" i="46" s="1"/>
  <c r="AC153" i="46" s="1"/>
  <c r="Z329" i="46"/>
  <c r="AA329" i="46" s="1"/>
  <c r="AB329" i="46" s="1"/>
  <c r="AC329" i="46" s="1"/>
  <c r="Z268" i="46"/>
  <c r="AA268" i="46" s="1"/>
  <c r="AB268" i="46" s="1"/>
  <c r="AC268" i="46" s="1"/>
  <c r="Z312" i="46"/>
  <c r="AA312" i="46" s="1"/>
  <c r="AB312" i="46" s="1"/>
  <c r="AC312" i="46" s="1"/>
  <c r="Z209" i="46"/>
  <c r="AA209" i="46" s="1"/>
  <c r="AB209" i="46" s="1"/>
  <c r="AC209" i="46" s="1"/>
  <c r="Z40" i="46"/>
  <c r="E35" i="52" s="1"/>
  <c r="F35" i="52" s="1"/>
  <c r="Z130" i="46"/>
  <c r="AA130" i="46" s="1"/>
  <c r="AB130" i="46" s="1"/>
  <c r="AC130" i="46" s="1"/>
  <c r="Z295" i="46"/>
  <c r="AA295" i="46" s="1"/>
  <c r="AB295" i="46" s="1"/>
  <c r="AC295" i="46" s="1"/>
  <c r="Z183" i="46"/>
  <c r="AA183" i="46" s="1"/>
  <c r="AB183" i="46" s="1"/>
  <c r="AC183" i="46" s="1"/>
  <c r="Z188" i="46"/>
  <c r="AA188" i="46" s="1"/>
  <c r="AB188" i="46" s="1"/>
  <c r="AC188" i="46" s="1"/>
  <c r="Z210" i="46"/>
  <c r="AA210" i="46" s="1"/>
  <c r="AB210" i="46" s="1"/>
  <c r="AC210" i="46" s="1"/>
  <c r="Z166" i="46"/>
  <c r="AA166" i="46" s="1"/>
  <c r="AB166" i="46" s="1"/>
  <c r="AC166" i="46" s="1"/>
  <c r="Z271" i="46"/>
  <c r="AA271" i="46" s="1"/>
  <c r="AB271" i="46" s="1"/>
  <c r="AC271" i="46" s="1"/>
  <c r="Z327" i="46"/>
  <c r="AA327" i="46" s="1"/>
  <c r="AB327" i="46" s="1"/>
  <c r="AC327" i="46" s="1"/>
  <c r="Z45" i="46"/>
  <c r="E41" i="52" s="1"/>
  <c r="F41" i="52" s="1"/>
  <c r="Z350" i="46"/>
  <c r="AA350" i="46" s="1"/>
  <c r="AB350" i="46" s="1"/>
  <c r="AC350" i="46" s="1"/>
  <c r="Z304" i="46"/>
  <c r="AA304" i="46" s="1"/>
  <c r="AB304" i="46" s="1"/>
  <c r="AC304" i="46" s="1"/>
  <c r="Z31" i="46"/>
  <c r="AA31" i="46" s="1"/>
  <c r="AB31" i="46" s="1"/>
  <c r="AC31" i="46" s="1"/>
  <c r="Z114" i="46"/>
  <c r="AA114" i="46" s="1"/>
  <c r="AB114" i="46" s="1"/>
  <c r="AC114" i="46" s="1"/>
  <c r="Z339" i="46"/>
  <c r="AA339" i="46" s="1"/>
  <c r="AB339" i="46" s="1"/>
  <c r="AC339" i="46" s="1"/>
  <c r="Z23" i="46"/>
  <c r="E39" i="52" s="1"/>
  <c r="F39" i="52" s="1"/>
  <c r="Z265" i="46"/>
  <c r="AA265" i="46" s="1"/>
  <c r="AB265" i="46" s="1"/>
  <c r="AC265" i="46" s="1"/>
  <c r="Z321" i="46"/>
  <c r="AA321" i="46" s="1"/>
  <c r="AB321" i="46" s="1"/>
  <c r="AC321" i="46" s="1"/>
  <c r="Z316" i="46"/>
  <c r="AA316" i="46" s="1"/>
  <c r="AB316" i="46" s="1"/>
  <c r="AC316" i="46" s="1"/>
  <c r="Z54" i="46"/>
  <c r="AA54" i="46" s="1"/>
  <c r="AB54" i="46" s="1"/>
  <c r="AC54" i="46" s="1"/>
  <c r="Z155" i="46"/>
  <c r="AA155" i="46" s="1"/>
  <c r="AB155" i="46" s="1"/>
  <c r="AC155" i="46" s="1"/>
  <c r="Z26" i="46"/>
  <c r="E11" i="52" s="1"/>
  <c r="F11" i="52" s="1"/>
  <c r="Z57" i="46"/>
  <c r="E25" i="52" s="1"/>
  <c r="F25" i="52" s="1"/>
  <c r="Z96" i="46"/>
  <c r="AA96" i="46" s="1"/>
  <c r="AB96" i="46" s="1"/>
  <c r="AC96" i="46" s="1"/>
  <c r="Z196" i="46"/>
  <c r="AA196" i="46" s="1"/>
  <c r="AB196" i="46" s="1"/>
  <c r="AC196" i="46" s="1"/>
  <c r="Z113" i="46"/>
  <c r="AA113" i="46" s="1"/>
  <c r="AB113" i="46" s="1"/>
  <c r="AC113" i="46" s="1"/>
  <c r="Z110" i="46"/>
  <c r="AA110" i="46" s="1"/>
  <c r="AB110" i="46" s="1"/>
  <c r="AC110" i="46" s="1"/>
  <c r="Z308" i="46"/>
  <c r="AA308" i="46" s="1"/>
  <c r="AB308" i="46" s="1"/>
  <c r="AC308" i="46" s="1"/>
  <c r="Z257" i="46"/>
  <c r="AA257" i="46" s="1"/>
  <c r="AB257" i="46" s="1"/>
  <c r="AC257" i="46" s="1"/>
  <c r="Z91" i="46"/>
  <c r="E37" i="52" s="1"/>
  <c r="F37" i="52" s="1"/>
  <c r="Z292" i="46"/>
  <c r="AA292" i="46" s="1"/>
  <c r="AB292" i="46" s="1"/>
  <c r="AC292" i="46" s="1"/>
  <c r="Z36" i="46"/>
  <c r="E22" i="52" s="1"/>
  <c r="F22" i="52" s="1"/>
  <c r="Z35" i="46"/>
  <c r="E9" i="52" s="1"/>
  <c r="F9" i="52" s="1"/>
  <c r="Z52" i="46"/>
  <c r="AA52" i="46" s="1"/>
  <c r="AB52" i="46" s="1"/>
  <c r="AC52" i="46" s="1"/>
  <c r="Z142" i="46"/>
  <c r="AA142" i="46" s="1"/>
  <c r="AB142" i="46" s="1"/>
  <c r="AC142" i="46" s="1"/>
  <c r="Z333" i="46"/>
  <c r="AA333" i="46" s="1"/>
  <c r="AB333" i="46" s="1"/>
  <c r="AC333" i="46" s="1"/>
  <c r="Z169" i="46"/>
  <c r="AA169" i="46" s="1"/>
  <c r="AB169" i="46" s="1"/>
  <c r="AC169" i="46" s="1"/>
  <c r="Z131" i="46"/>
  <c r="AA131" i="46" s="1"/>
  <c r="AB131" i="46" s="1"/>
  <c r="AC131" i="46" s="1"/>
  <c r="Z129" i="46"/>
  <c r="AA129" i="46" s="1"/>
  <c r="AB129" i="46" s="1"/>
  <c r="AC129" i="46" s="1"/>
  <c r="Z247" i="46"/>
  <c r="AA247" i="46" s="1"/>
  <c r="AB247" i="46" s="1"/>
  <c r="AC247" i="46" s="1"/>
  <c r="Z186" i="46"/>
  <c r="AA186" i="46" s="1"/>
  <c r="AB186" i="46" s="1"/>
  <c r="AC186" i="46" s="1"/>
  <c r="Z220" i="46"/>
  <c r="AA220" i="46" s="1"/>
  <c r="AB220" i="46" s="1"/>
  <c r="AC220" i="46" s="1"/>
  <c r="Z141" i="46"/>
  <c r="AA141" i="46" s="1"/>
  <c r="AB141" i="46" s="1"/>
  <c r="AC141" i="46" s="1"/>
  <c r="Z181" i="46"/>
  <c r="AA181" i="46" s="1"/>
  <c r="AB181" i="46" s="1"/>
  <c r="AC181" i="46" s="1"/>
  <c r="Z41" i="46"/>
  <c r="E29" i="52" s="1"/>
  <c r="F29" i="52" s="1"/>
  <c r="Z326" i="46"/>
  <c r="AA326" i="46" s="1"/>
  <c r="AB326" i="46" s="1"/>
  <c r="AC326" i="46" s="1"/>
  <c r="Z176" i="46"/>
  <c r="AA176" i="46" s="1"/>
  <c r="AB176" i="46" s="1"/>
  <c r="AC176" i="46" s="1"/>
  <c r="Z29" i="46"/>
  <c r="E12" i="52" s="1"/>
  <c r="F12" i="52" s="1"/>
  <c r="Z135" i="46"/>
  <c r="AA135" i="46" s="1"/>
  <c r="AB135" i="46" s="1"/>
  <c r="AC135" i="46" s="1"/>
  <c r="Z20" i="46"/>
  <c r="E6" i="52" s="1"/>
  <c r="F6" i="52" s="1"/>
  <c r="Z352" i="46"/>
  <c r="AA352" i="46" s="1"/>
  <c r="AB352" i="46" s="1"/>
  <c r="AC352" i="46" s="1"/>
  <c r="Z224" i="46"/>
  <c r="AA224" i="46" s="1"/>
  <c r="AB224" i="46" s="1"/>
  <c r="AC224" i="46" s="1"/>
  <c r="Z222" i="46"/>
  <c r="AA222" i="46" s="1"/>
  <c r="AB222" i="46" s="1"/>
  <c r="AC222" i="46" s="1"/>
  <c r="Z185" i="46"/>
  <c r="AA185" i="46" s="1"/>
  <c r="AB185" i="46" s="1"/>
  <c r="AC185" i="46" s="1"/>
  <c r="Z82" i="46"/>
  <c r="AA82" i="46" s="1"/>
  <c r="AB82" i="46" s="1"/>
  <c r="AC82" i="46" s="1"/>
  <c r="Z180" i="46"/>
  <c r="AA180" i="46" s="1"/>
  <c r="AB180" i="46" s="1"/>
  <c r="AC180" i="46" s="1"/>
  <c r="Z98" i="46"/>
  <c r="AA98" i="46" s="1"/>
  <c r="AB98" i="46" s="1"/>
  <c r="AC98" i="46" s="1"/>
  <c r="Z63" i="46"/>
  <c r="AA63" i="46" s="1"/>
  <c r="AB63" i="46" s="1"/>
  <c r="AC63" i="46" s="1"/>
  <c r="Z193" i="46"/>
  <c r="AA193" i="46" s="1"/>
  <c r="AB193" i="46" s="1"/>
  <c r="AC193" i="46" s="1"/>
  <c r="Z289" i="46"/>
  <c r="AA289" i="46" s="1"/>
  <c r="AB289" i="46" s="1"/>
  <c r="AC289" i="46" s="1"/>
  <c r="Z346" i="46"/>
  <c r="AA346" i="46" s="1"/>
  <c r="AB346" i="46" s="1"/>
  <c r="AC346" i="46" s="1"/>
  <c r="Z272" i="46"/>
  <c r="AA272" i="46" s="1"/>
  <c r="AB272" i="46" s="1"/>
  <c r="AC272" i="46" s="1"/>
  <c r="Z300" i="46"/>
  <c r="AA300" i="46" s="1"/>
  <c r="AB300" i="46" s="1"/>
  <c r="AC300" i="46" s="1"/>
  <c r="Z116" i="46"/>
  <c r="AA116" i="46" s="1"/>
  <c r="AB116" i="46" s="1"/>
  <c r="AC116" i="46" s="1"/>
  <c r="Z243" i="46"/>
  <c r="AA243" i="46" s="1"/>
  <c r="AB243" i="46" s="1"/>
  <c r="AC243" i="46" s="1"/>
  <c r="Z187" i="46"/>
  <c r="AA187" i="46" s="1"/>
  <c r="AB187" i="46" s="1"/>
  <c r="AC187" i="46" s="1"/>
  <c r="Z353" i="46"/>
  <c r="AA353" i="46" s="1"/>
  <c r="AB353" i="46" s="1"/>
  <c r="AC353" i="46" s="1"/>
  <c r="Z332" i="46"/>
  <c r="AA332" i="46" s="1"/>
  <c r="AB332" i="46" s="1"/>
  <c r="AC332" i="46" s="1"/>
  <c r="Z69" i="46"/>
  <c r="AA69" i="46" s="1"/>
  <c r="AB69" i="46" s="1"/>
  <c r="AC69" i="46" s="1"/>
  <c r="Z53" i="46"/>
  <c r="E43" i="52" s="1"/>
  <c r="F43" i="52" s="1"/>
  <c r="Z27" i="46"/>
  <c r="E31" i="52" s="1"/>
  <c r="F31" i="52" s="1"/>
  <c r="Z260" i="46"/>
  <c r="AA260" i="46" s="1"/>
  <c r="AB260" i="46" s="1"/>
  <c r="AC260" i="46" s="1"/>
  <c r="Z253" i="46"/>
  <c r="AA253" i="46" s="1"/>
  <c r="AB253" i="46" s="1"/>
  <c r="AC253" i="46" s="1"/>
  <c r="Z60" i="46"/>
  <c r="AA60" i="46" s="1"/>
  <c r="AB60" i="46" s="1"/>
  <c r="AC60" i="46" s="1"/>
  <c r="Z319" i="46"/>
  <c r="AA319" i="46" s="1"/>
  <c r="AB319" i="46" s="1"/>
  <c r="AC319" i="46" s="1"/>
  <c r="Z72" i="46"/>
  <c r="AA72" i="46" s="1"/>
  <c r="AB72" i="46" s="1"/>
  <c r="AC72" i="46" s="1"/>
  <c r="Z117" i="46"/>
  <c r="AA117" i="46" s="1"/>
  <c r="AB117" i="46" s="1"/>
  <c r="AC117" i="46" s="1"/>
  <c r="Z148" i="46"/>
  <c r="AA148" i="46" s="1"/>
  <c r="AB148" i="46" s="1"/>
  <c r="AC148" i="46" s="1"/>
  <c r="Z48" i="46"/>
  <c r="AA48" i="46" s="1"/>
  <c r="AB48" i="46" s="1"/>
  <c r="AC48" i="46" s="1"/>
  <c r="Z298" i="46"/>
  <c r="AA298" i="46" s="1"/>
  <c r="AB298" i="46" s="1"/>
  <c r="AC298" i="46" s="1"/>
  <c r="Z18" i="46"/>
  <c r="E8" i="52" s="1"/>
  <c r="F8" i="52" s="1"/>
  <c r="Z37" i="46"/>
  <c r="E21" i="52" s="1"/>
  <c r="F21" i="52" s="1"/>
  <c r="Z174" i="46"/>
  <c r="AA174" i="46" s="1"/>
  <c r="AB174" i="46" s="1"/>
  <c r="AC174" i="46" s="1"/>
  <c r="Z213" i="46"/>
  <c r="AA213" i="46" s="1"/>
  <c r="AB213" i="46" s="1"/>
  <c r="AC213" i="46" s="1"/>
  <c r="Z87" i="46"/>
  <c r="E2" i="52" s="1"/>
  <c r="F2" i="52" s="1"/>
  <c r="Z143" i="46"/>
  <c r="AA143" i="46" s="1"/>
  <c r="AB143" i="46" s="1"/>
  <c r="AC143" i="46" s="1"/>
  <c r="Z189" i="46"/>
  <c r="AA189" i="46" s="1"/>
  <c r="AB189" i="46" s="1"/>
  <c r="AC189" i="46" s="1"/>
  <c r="Z302" i="46"/>
  <c r="AA302" i="46" s="1"/>
  <c r="AB302" i="46" s="1"/>
  <c r="AC302" i="46" s="1"/>
  <c r="Z103" i="46"/>
  <c r="AA103" i="46" s="1"/>
  <c r="AB103" i="46" s="1"/>
  <c r="AC103" i="46" s="1"/>
  <c r="Z200" i="46"/>
  <c r="AA200" i="46" s="1"/>
  <c r="AB200" i="46" s="1"/>
  <c r="AC200" i="46" s="1"/>
  <c r="Z124" i="46"/>
  <c r="AA124" i="46" s="1"/>
  <c r="AB124" i="46" s="1"/>
  <c r="AC124" i="46" s="1"/>
  <c r="Z144" i="46"/>
  <c r="AA144" i="46" s="1"/>
  <c r="AB144" i="46" s="1"/>
  <c r="AC144" i="46" s="1"/>
  <c r="AD144" i="46" s="1"/>
  <c r="Z13" i="46"/>
  <c r="AA13" i="46" s="1"/>
  <c r="AB13" i="46" s="1"/>
  <c r="AC13" i="46" s="1"/>
  <c r="Z219" i="46"/>
  <c r="AA219" i="46" s="1"/>
  <c r="AB219" i="46" s="1"/>
  <c r="AC219" i="46" s="1"/>
  <c r="Z125" i="46"/>
  <c r="AA125" i="46" s="1"/>
  <c r="AB125" i="46" s="1"/>
  <c r="AC125" i="46" s="1"/>
  <c r="Z293" i="46"/>
  <c r="AA293" i="46" s="1"/>
  <c r="AB293" i="46" s="1"/>
  <c r="AC293" i="46" s="1"/>
  <c r="Z252" i="46"/>
  <c r="AA252" i="46" s="1"/>
  <c r="AB252" i="46" s="1"/>
  <c r="AC252" i="46" s="1"/>
  <c r="Z278" i="46"/>
  <c r="AA278" i="46" s="1"/>
  <c r="AB278" i="46" s="1"/>
  <c r="AC278" i="46" s="1"/>
  <c r="Z73" i="46"/>
  <c r="AA73" i="46" s="1"/>
  <c r="AB73" i="46" s="1"/>
  <c r="AC73" i="46" s="1"/>
  <c r="Z342" i="46"/>
  <c r="AA342" i="46" s="1"/>
  <c r="AB342" i="46" s="1"/>
  <c r="AC342" i="46" s="1"/>
  <c r="Z296" i="46"/>
  <c r="AA296" i="46" s="1"/>
  <c r="AB296" i="46" s="1"/>
  <c r="AC296" i="46" s="1"/>
  <c r="Z317" i="46"/>
  <c r="AA317" i="46" s="1"/>
  <c r="AB317" i="46" s="1"/>
  <c r="AC317" i="46" s="1"/>
  <c r="Z61" i="46"/>
  <c r="AA61" i="46" s="1"/>
  <c r="AB61" i="46" s="1"/>
  <c r="AC61" i="46" s="1"/>
  <c r="Z46" i="46"/>
  <c r="E45" i="52" s="1"/>
  <c r="F45" i="52" s="1"/>
  <c r="Z122" i="46"/>
  <c r="AA122" i="46" s="1"/>
  <c r="AB122" i="46" s="1"/>
  <c r="AC122" i="46" s="1"/>
  <c r="Z330" i="46"/>
  <c r="AA330" i="46" s="1"/>
  <c r="AB330" i="46" s="1"/>
  <c r="AC330" i="46" s="1"/>
  <c r="Z104" i="46"/>
  <c r="AA104" i="46" s="1"/>
  <c r="AB104" i="46" s="1"/>
  <c r="AC104" i="46" s="1"/>
  <c r="Z81" i="46"/>
  <c r="AA81" i="46" s="1"/>
  <c r="AB81" i="46" s="1"/>
  <c r="AC81" i="46" s="1"/>
  <c r="Z314" i="46"/>
  <c r="AA314" i="46" s="1"/>
  <c r="AB314" i="46" s="1"/>
  <c r="AC314" i="46" s="1"/>
  <c r="Z192" i="46"/>
  <c r="AA192" i="46" s="1"/>
  <c r="AB192" i="46" s="1"/>
  <c r="AC192" i="46" s="1"/>
  <c r="Z273" i="46"/>
  <c r="AA273" i="46" s="1"/>
  <c r="AB273" i="46" s="1"/>
  <c r="AC273" i="46" s="1"/>
  <c r="Z62" i="46"/>
  <c r="E36" i="52" s="1"/>
  <c r="F36" i="52" s="1"/>
  <c r="Z24" i="46"/>
  <c r="E13" i="52" s="1"/>
  <c r="F13" i="52" s="1"/>
  <c r="Z97" i="46"/>
  <c r="AA97" i="46" s="1"/>
  <c r="AB97" i="46" s="1"/>
  <c r="AC97" i="46" s="1"/>
  <c r="Z158" i="46"/>
  <c r="AA158" i="46" s="1"/>
  <c r="AB158" i="46" s="1"/>
  <c r="AC158" i="46" s="1"/>
  <c r="Z127" i="46"/>
  <c r="AA127" i="46" s="1"/>
  <c r="AB127" i="46" s="1"/>
  <c r="AC127" i="46" s="1"/>
  <c r="Z80" i="46"/>
  <c r="AA80" i="46" s="1"/>
  <c r="AB80" i="46" s="1"/>
  <c r="AC80" i="46" s="1"/>
  <c r="Z307" i="46"/>
  <c r="AA307" i="46" s="1"/>
  <c r="AB307" i="46" s="1"/>
  <c r="AC307" i="46" s="1"/>
  <c r="Z77" i="46"/>
  <c r="E44" i="52" s="1"/>
  <c r="F44" i="52" s="1"/>
  <c r="Z259" i="46"/>
  <c r="AA259" i="46" s="1"/>
  <c r="AB259" i="46" s="1"/>
  <c r="AC259" i="46" s="1"/>
  <c r="Z277" i="46"/>
  <c r="AA277" i="46" s="1"/>
  <c r="AB277" i="46" s="1"/>
  <c r="AC277" i="46" s="1"/>
  <c r="Z249" i="46"/>
  <c r="AA249" i="46" s="1"/>
  <c r="AB249" i="46" s="1"/>
  <c r="AC249" i="46" s="1"/>
  <c r="Z232" i="46"/>
  <c r="AA232" i="46" s="1"/>
  <c r="AB232" i="46" s="1"/>
  <c r="AC232" i="46" s="1"/>
  <c r="Z318" i="46"/>
  <c r="AA318" i="46" s="1"/>
  <c r="AB318" i="46" s="1"/>
  <c r="AC318" i="46" s="1"/>
  <c r="Z172" i="46"/>
  <c r="AA172" i="46" s="1"/>
  <c r="AB172" i="46" s="1"/>
  <c r="AC172" i="46" s="1"/>
  <c r="Z102" i="46"/>
  <c r="E16" i="52" s="1"/>
  <c r="F16" i="52" s="1"/>
  <c r="Z283" i="46"/>
  <c r="AA283" i="46" s="1"/>
  <c r="AB283" i="46" s="1"/>
  <c r="AC283" i="46" s="1"/>
  <c r="Z331" i="46"/>
  <c r="AA331" i="46" s="1"/>
  <c r="AB331" i="46" s="1"/>
  <c r="AC331" i="46" s="1"/>
  <c r="Z214" i="46"/>
  <c r="AA214" i="46" s="1"/>
  <c r="AB214" i="46" s="1"/>
  <c r="AC214" i="46" s="1"/>
  <c r="Z120" i="46"/>
  <c r="AA120" i="46" s="1"/>
  <c r="AB120" i="46" s="1"/>
  <c r="AC120" i="46" s="1"/>
  <c r="Z328" i="46"/>
  <c r="AA328" i="46" s="1"/>
  <c r="AB328" i="46" s="1"/>
  <c r="AC328" i="46" s="1"/>
  <c r="Z146" i="46"/>
  <c r="AA146" i="46" s="1"/>
  <c r="AB146" i="46" s="1"/>
  <c r="AC146" i="46" s="1"/>
  <c r="Z218" i="46"/>
  <c r="AA218" i="46" s="1"/>
  <c r="AB218" i="46" s="1"/>
  <c r="AC218" i="46" s="1"/>
  <c r="Z100" i="46"/>
  <c r="AA100" i="46" s="1"/>
  <c r="AB100" i="46" s="1"/>
  <c r="AC100" i="46" s="1"/>
  <c r="Z94" i="46"/>
  <c r="E34" i="52" s="1"/>
  <c r="F34" i="52" s="1"/>
  <c r="Z59" i="46"/>
  <c r="AA59" i="46" s="1"/>
  <c r="AB59" i="46" s="1"/>
  <c r="AC59" i="46" s="1"/>
  <c r="Z211" i="46"/>
  <c r="AA211" i="46" s="1"/>
  <c r="AB211" i="46" s="1"/>
  <c r="AC211" i="46" s="1"/>
  <c r="AC7" i="45"/>
  <c r="AD9" i="45"/>
  <c r="AG96" i="45"/>
  <c r="AG193" i="45"/>
  <c r="AG67" i="45"/>
  <c r="AG191" i="45"/>
  <c r="AG297" i="45"/>
  <c r="AG336" i="45"/>
  <c r="AG33" i="45"/>
  <c r="AG184" i="45"/>
  <c r="AG354" i="45"/>
  <c r="AG37" i="45"/>
  <c r="AG64" i="45"/>
  <c r="AG304" i="45"/>
  <c r="AG187" i="45"/>
  <c r="AG150" i="45"/>
  <c r="AG340" i="45"/>
  <c r="AG113" i="45"/>
  <c r="AG243" i="45"/>
  <c r="AG50" i="45"/>
  <c r="AG143" i="45"/>
  <c r="AG154" i="45"/>
  <c r="AG63" i="45"/>
  <c r="AG339" i="45"/>
  <c r="AG97" i="45"/>
  <c r="AG314" i="45"/>
  <c r="AG283" i="45"/>
  <c r="AG176" i="45"/>
  <c r="AG293" i="45"/>
  <c r="AG134" i="45"/>
  <c r="AG344" i="45"/>
  <c r="AG224" i="45"/>
  <c r="AG76" i="45"/>
  <c r="AG222" i="45"/>
  <c r="AG51" i="45"/>
  <c r="AG319" i="45"/>
  <c r="AG197" i="45"/>
  <c r="AG337" i="45"/>
  <c r="AG258" i="45"/>
  <c r="AG106" i="45"/>
  <c r="AG77" i="45"/>
  <c r="AG190" i="45"/>
  <c r="AG54" i="45"/>
  <c r="AG246" i="45"/>
  <c r="AG124" i="45"/>
  <c r="AG46" i="45"/>
  <c r="AG56" i="45"/>
  <c r="AG210" i="45"/>
  <c r="AG78" i="45"/>
  <c r="AG104" i="45"/>
  <c r="AG266" i="45"/>
  <c r="AG276" i="45"/>
  <c r="AG256" i="45"/>
  <c r="AG91" i="45"/>
  <c r="AG131" i="45"/>
  <c r="AG147" i="45"/>
  <c r="AG238" i="45"/>
  <c r="AA306" i="46"/>
  <c r="AB306" i="46" s="1"/>
  <c r="AC306" i="46" s="1"/>
  <c r="AA101" i="46"/>
  <c r="AB101" i="46" s="1"/>
  <c r="AC101" i="46" s="1"/>
  <c r="AG259" i="45"/>
  <c r="AG144" i="45"/>
  <c r="AG159" i="45"/>
  <c r="AG237" i="45"/>
  <c r="AG127" i="45"/>
  <c r="AG333" i="45"/>
  <c r="AG306" i="45"/>
  <c r="AG70" i="45"/>
  <c r="AG117" i="45"/>
  <c r="AG203" i="45"/>
  <c r="AG126" i="45"/>
  <c r="AG14" i="45"/>
  <c r="AG204" i="45"/>
  <c r="AG241" i="45"/>
  <c r="AG80" i="45"/>
  <c r="AG223" i="45"/>
  <c r="AG186" i="45"/>
  <c r="AG177" i="45"/>
  <c r="AG264" i="45"/>
  <c r="AG107" i="45"/>
  <c r="AG34" i="45"/>
  <c r="AG90" i="45"/>
  <c r="AG83" i="45"/>
  <c r="AG207" i="45"/>
  <c r="AG236" i="45"/>
  <c r="AG198" i="45"/>
  <c r="AG263" i="45"/>
  <c r="AG10" i="45"/>
  <c r="AG158" i="45"/>
  <c r="AG347" i="45"/>
  <c r="AG27" i="45"/>
  <c r="AG74" i="45"/>
  <c r="AG130" i="45"/>
  <c r="AG215" i="45"/>
  <c r="AG250" i="45"/>
  <c r="AG118" i="45"/>
  <c r="AG291" i="45"/>
  <c r="AG140" i="45"/>
  <c r="AG79" i="45"/>
  <c r="AG221" i="45"/>
  <c r="AG251" i="45"/>
  <c r="AG300" i="45"/>
  <c r="AG65" i="45"/>
  <c r="AG161" i="45"/>
  <c r="AG136" i="45"/>
  <c r="AG334" i="45"/>
  <c r="AG151" i="45"/>
  <c r="AG164" i="45"/>
  <c r="AG318" i="45"/>
  <c r="AG11" i="45"/>
  <c r="AG199" i="45"/>
  <c r="AG348" i="45"/>
  <c r="AG20" i="45"/>
  <c r="AG84" i="45"/>
  <c r="AG103" i="45"/>
  <c r="AG30" i="45"/>
  <c r="AG183" i="45"/>
  <c r="AG296" i="45"/>
  <c r="AG142" i="45"/>
  <c r="AG343" i="45"/>
  <c r="AG157" i="45"/>
  <c r="AG286" i="45"/>
  <c r="AG153" i="45"/>
  <c r="AG110" i="45"/>
  <c r="AG166" i="45"/>
  <c r="AG71" i="45"/>
  <c r="AG349" i="45"/>
  <c r="AG217" i="45"/>
  <c r="AG156" i="45"/>
  <c r="AG26" i="45"/>
  <c r="AG239" i="45"/>
  <c r="AG294" i="45"/>
  <c r="AG216" i="45"/>
  <c r="AG270" i="45"/>
  <c r="AG44" i="45"/>
  <c r="AG298" i="45"/>
  <c r="AG308" i="45"/>
  <c r="AG292" i="45"/>
  <c r="AG111" i="45"/>
  <c r="AG172" i="45"/>
  <c r="AG29" i="45"/>
  <c r="AG335" i="45"/>
  <c r="AG179" i="45"/>
  <c r="AG61" i="45"/>
  <c r="AG128" i="45"/>
  <c r="AG169" i="45"/>
  <c r="AG353" i="45"/>
  <c r="AG75" i="45"/>
  <c r="AG248" i="45"/>
  <c r="AG122" i="45"/>
  <c r="AG313" i="45"/>
  <c r="AG86" i="45"/>
  <c r="AG323" i="45"/>
  <c r="AG316" i="45"/>
  <c r="AG282" i="45"/>
  <c r="AG135" i="45"/>
  <c r="AG48" i="45"/>
  <c r="AG295" i="45"/>
  <c r="AG93" i="45"/>
  <c r="AG341" i="45"/>
  <c r="AG163" i="45"/>
  <c r="AG234" i="45"/>
  <c r="AG299" i="45"/>
  <c r="AG88" i="45"/>
  <c r="AG167" i="45"/>
  <c r="AG247" i="45"/>
  <c r="AG116" i="45"/>
  <c r="AG310" i="45"/>
  <c r="AG230" i="45"/>
  <c r="AG219" i="45"/>
  <c r="AG330" i="45"/>
  <c r="AG257" i="45"/>
  <c r="AG81" i="45"/>
  <c r="AG17" i="45"/>
  <c r="AG327" i="45"/>
  <c r="AG206" i="45"/>
  <c r="AG244" i="45"/>
  <c r="AG303" i="45"/>
  <c r="AG274" i="45"/>
  <c r="AG58" i="45"/>
  <c r="AG43" i="45"/>
  <c r="AG160" i="45"/>
  <c r="AG152" i="45"/>
  <c r="AG268" i="45"/>
  <c r="AG129" i="45"/>
  <c r="AG149" i="45"/>
  <c r="AG52" i="45"/>
  <c r="AG229" i="45"/>
  <c r="AG342" i="45"/>
  <c r="AG132" i="45"/>
  <c r="AG68" i="45"/>
  <c r="AG329" i="45"/>
  <c r="AG55" i="45"/>
  <c r="AG98" i="45"/>
  <c r="AG218" i="45"/>
  <c r="AG92" i="45"/>
  <c r="AG133" i="45"/>
  <c r="AG185" i="45"/>
  <c r="AG41" i="45"/>
  <c r="AG145" i="45"/>
  <c r="AG305" i="45"/>
  <c r="AG28" i="45"/>
  <c r="AG125" i="45"/>
  <c r="AG15" i="45"/>
  <c r="AG42" i="45"/>
  <c r="AG315" i="45"/>
  <c r="AG139" i="45"/>
  <c r="AG82" i="45"/>
  <c r="AG60" i="45"/>
  <c r="AG89" i="45"/>
  <c r="AG105" i="45"/>
  <c r="AG255" i="45"/>
  <c r="AG302" i="45"/>
  <c r="AG233" i="45"/>
  <c r="AG188" i="45"/>
  <c r="AG59" i="45"/>
  <c r="AG321" i="45"/>
  <c r="AG138" i="45"/>
  <c r="AG289" i="45"/>
  <c r="AG115" i="45"/>
  <c r="AG102" i="45"/>
  <c r="AG208" i="45"/>
  <c r="AG165" i="45"/>
  <c r="AG32" i="45"/>
  <c r="AG288" i="45"/>
  <c r="AG312" i="45"/>
  <c r="AG325" i="45"/>
  <c r="AG200" i="45"/>
  <c r="AG242" i="45"/>
  <c r="AG121" i="45"/>
  <c r="AG12" i="45"/>
  <c r="AG211" i="45"/>
  <c r="AG137" i="45"/>
  <c r="AG23" i="45"/>
  <c r="AG277" i="45"/>
  <c r="AG24" i="45"/>
  <c r="AG317" i="45"/>
  <c r="AG350" i="45"/>
  <c r="AG19" i="45"/>
  <c r="AG301" i="45"/>
  <c r="AG53" i="45"/>
  <c r="AG309" i="45"/>
  <c r="AG21" i="45"/>
  <c r="AG260" i="45"/>
  <c r="AG73" i="45"/>
  <c r="AG345" i="45"/>
  <c r="AG99" i="45"/>
  <c r="AG35" i="45"/>
  <c r="AG101" i="45"/>
  <c r="AG25" i="45"/>
  <c r="AG69" i="45"/>
  <c r="AG182" i="45"/>
  <c r="AG178" i="45"/>
  <c r="AG31" i="45"/>
  <c r="AG226" i="45"/>
  <c r="AG287" i="45"/>
  <c r="AG114" i="45"/>
  <c r="AG16" i="45"/>
  <c r="AG13" i="45"/>
  <c r="AG123" i="45"/>
  <c r="AG252" i="45"/>
  <c r="AG328" i="45"/>
  <c r="AG338" i="45"/>
  <c r="AG39" i="45"/>
  <c r="AG272" i="45"/>
  <c r="AG49" i="45"/>
  <c r="AG162" i="45"/>
  <c r="AG171" i="45"/>
  <c r="AG175" i="45"/>
  <c r="AG311" i="45"/>
  <c r="AG280" i="45"/>
  <c r="AG109" i="45"/>
  <c r="AG279" i="45"/>
  <c r="AG22" i="45"/>
  <c r="AG192" i="45"/>
  <c r="AG205" i="45"/>
  <c r="AG220" i="45"/>
  <c r="AG281" i="45"/>
  <c r="AG285" i="45"/>
  <c r="AG168" i="45"/>
  <c r="AG40" i="45"/>
  <c r="AG195" i="45"/>
  <c r="AG275" i="45"/>
  <c r="AG108" i="45"/>
  <c r="AG213" i="45"/>
  <c r="AG202" i="45"/>
  <c r="AG155" i="45"/>
  <c r="AG352" i="45"/>
  <c r="AG278" i="45"/>
  <c r="AG351" i="45"/>
  <c r="AG326" i="45"/>
  <c r="AG254" i="45"/>
  <c r="AG324" i="45"/>
  <c r="AG232" i="45"/>
  <c r="AG261" i="45"/>
  <c r="AG231" i="45"/>
  <c r="AG95" i="45"/>
  <c r="AG249" i="45"/>
  <c r="AG269" i="45"/>
  <c r="AG45" i="45"/>
  <c r="AG100" i="45"/>
  <c r="AG262" i="45"/>
  <c r="AG228" i="45"/>
  <c r="AG332" i="45"/>
  <c r="AG85" i="45"/>
  <c r="AG273" i="45"/>
  <c r="AG180" i="45"/>
  <c r="AG173" i="45"/>
  <c r="AG320" i="45"/>
  <c r="AG284" i="45"/>
  <c r="AG66" i="45"/>
  <c r="AG119" i="45"/>
  <c r="AG307" i="45"/>
  <c r="AG227" i="45"/>
  <c r="AG346" i="45"/>
  <c r="AG170" i="45"/>
  <c r="AG18" i="45"/>
  <c r="AG196" i="45"/>
  <c r="AG120" i="45"/>
  <c r="AG174" i="45"/>
  <c r="AG201" i="45"/>
  <c r="AG209" i="45"/>
  <c r="AG322" i="45"/>
  <c r="AG112" i="45"/>
  <c r="AG62" i="45"/>
  <c r="AG225" i="45"/>
  <c r="AG271" i="45"/>
  <c r="AG38" i="45"/>
  <c r="AG181" i="45"/>
  <c r="AG189" i="45"/>
  <c r="AG214" i="45"/>
  <c r="AG194" i="45"/>
  <c r="AG87" i="45"/>
  <c r="AG290" i="45"/>
  <c r="AG57" i="45"/>
  <c r="AG94" i="45"/>
  <c r="AG36" i="45"/>
  <c r="AG267" i="45"/>
  <c r="AG253" i="45"/>
  <c r="AG146" i="45"/>
  <c r="AG47" i="45"/>
  <c r="AG240" i="45"/>
  <c r="AG148" i="45"/>
  <c r="AG72" i="45"/>
  <c r="AG245" i="45"/>
  <c r="AG235" i="45"/>
  <c r="AG212" i="45"/>
  <c r="AG265" i="45"/>
  <c r="AA2" i="42"/>
  <c r="AA1" i="42" s="1"/>
  <c r="AD7" i="44"/>
  <c r="AE310" i="44" s="1"/>
  <c r="AF310" i="44" s="1"/>
  <c r="AA28" i="46" l="1"/>
  <c r="AB28" i="46" s="1"/>
  <c r="AC28" i="46" s="1"/>
  <c r="AA42" i="46"/>
  <c r="AB42" i="46" s="1"/>
  <c r="AC42" i="46" s="1"/>
  <c r="AA32" i="46"/>
  <c r="AB32" i="46" s="1"/>
  <c r="AC32" i="46" s="1"/>
  <c r="AA90" i="46"/>
  <c r="AB90" i="46" s="1"/>
  <c r="AC90" i="46" s="1"/>
  <c r="AA15" i="46"/>
  <c r="AB15" i="46" s="1"/>
  <c r="AC15" i="46" s="1"/>
  <c r="AA106" i="46"/>
  <c r="AB106" i="46" s="1"/>
  <c r="AC106" i="46" s="1"/>
  <c r="AA64" i="46"/>
  <c r="AB64" i="46" s="1"/>
  <c r="AC64" i="46" s="1"/>
  <c r="AA11" i="46"/>
  <c r="AB11" i="46" s="1"/>
  <c r="AC11" i="46" s="1"/>
  <c r="AA43" i="46"/>
  <c r="AB43" i="46" s="1"/>
  <c r="AC43" i="46" s="1"/>
  <c r="AA33" i="46"/>
  <c r="AB33" i="46" s="1"/>
  <c r="AC33" i="46" s="1"/>
  <c r="AA47" i="46"/>
  <c r="AB47" i="46" s="1"/>
  <c r="AC47" i="46" s="1"/>
  <c r="AA17" i="46"/>
  <c r="AB17" i="46" s="1"/>
  <c r="AC17" i="46" s="1"/>
  <c r="AA25" i="46"/>
  <c r="AB25" i="46" s="1"/>
  <c r="AC25" i="46" s="1"/>
  <c r="AA22" i="46"/>
  <c r="AB22" i="46" s="1"/>
  <c r="AC22" i="46" s="1"/>
  <c r="AA9" i="46"/>
  <c r="AB9" i="46" s="1"/>
  <c r="AC9" i="46" s="1"/>
  <c r="AA78" i="46"/>
  <c r="AB78" i="46" s="1"/>
  <c r="AC78" i="46" s="1"/>
  <c r="AA70" i="46"/>
  <c r="AB70" i="46" s="1"/>
  <c r="AC70" i="46" s="1"/>
  <c r="AA16" i="46"/>
  <c r="AB16" i="46" s="1"/>
  <c r="AC16" i="46" s="1"/>
  <c r="AA21" i="46"/>
  <c r="AB21" i="46" s="1"/>
  <c r="AC21" i="46" s="1"/>
  <c r="AA34" i="46"/>
  <c r="AB34" i="46" s="1"/>
  <c r="AC34" i="46" s="1"/>
  <c r="AA19" i="46"/>
  <c r="AB19" i="46" s="1"/>
  <c r="AC19" i="46" s="1"/>
  <c r="AA30" i="46"/>
  <c r="AB30" i="46" s="1"/>
  <c r="AC30" i="46" s="1"/>
  <c r="AA58" i="46"/>
  <c r="AB58" i="46" s="1"/>
  <c r="AC58" i="46" s="1"/>
  <c r="AA41" i="46"/>
  <c r="AB41" i="46" s="1"/>
  <c r="AC41" i="46" s="1"/>
  <c r="AA23" i="46"/>
  <c r="AB23" i="46" s="1"/>
  <c r="AC23" i="46" s="1"/>
  <c r="AA40" i="46"/>
  <c r="AB40" i="46" s="1"/>
  <c r="AC40" i="46" s="1"/>
  <c r="AA57" i="46"/>
  <c r="AB57" i="46" s="1"/>
  <c r="AC57" i="46" s="1"/>
  <c r="AA53" i="46"/>
  <c r="AB53" i="46" s="1"/>
  <c r="AC53" i="46" s="1"/>
  <c r="AA29" i="46"/>
  <c r="AB29" i="46" s="1"/>
  <c r="AC29" i="46" s="1"/>
  <c r="AA26" i="46"/>
  <c r="AB26" i="46" s="1"/>
  <c r="AC26" i="46" s="1"/>
  <c r="AA62" i="46"/>
  <c r="AB62" i="46" s="1"/>
  <c r="AC62" i="46" s="1"/>
  <c r="AA77" i="46"/>
  <c r="AB77" i="46" s="1"/>
  <c r="AC77" i="46" s="1"/>
  <c r="AA36" i="46"/>
  <c r="AB36" i="46" s="1"/>
  <c r="AC36" i="46" s="1"/>
  <c r="AA24" i="46"/>
  <c r="AB24" i="46" s="1"/>
  <c r="AC24" i="46" s="1"/>
  <c r="AA91" i="46"/>
  <c r="AB91" i="46" s="1"/>
  <c r="AC91" i="46" s="1"/>
  <c r="AA45" i="46"/>
  <c r="AB45" i="46" s="1"/>
  <c r="AC45" i="46" s="1"/>
  <c r="AA35" i="46"/>
  <c r="AB35" i="46" s="1"/>
  <c r="AC35" i="46" s="1"/>
  <c r="AA27" i="46"/>
  <c r="AB27" i="46" s="1"/>
  <c r="AC27" i="46" s="1"/>
  <c r="AA94" i="46"/>
  <c r="AB94" i="46" s="1"/>
  <c r="AC94" i="46" s="1"/>
  <c r="AA20" i="46"/>
  <c r="AB20" i="46" s="1"/>
  <c r="AC20" i="46" s="1"/>
  <c r="AD20" i="46" s="1"/>
  <c r="AA18" i="46"/>
  <c r="AB18" i="46" s="1"/>
  <c r="AC18" i="46" s="1"/>
  <c r="Z7" i="46"/>
  <c r="AA46" i="46"/>
  <c r="AB46" i="46" s="1"/>
  <c r="AC46" i="46" s="1"/>
  <c r="AA87" i="46"/>
  <c r="AB87" i="46" s="1"/>
  <c r="AC87" i="46" s="1"/>
  <c r="AA37" i="46"/>
  <c r="AB37" i="46" s="1"/>
  <c r="AC37" i="46" s="1"/>
  <c r="AA102" i="46"/>
  <c r="AB102" i="46" s="1"/>
  <c r="AC102" i="46" s="1"/>
  <c r="AD7" i="45"/>
  <c r="AE9" i="45"/>
  <c r="AF9" i="45" s="1"/>
  <c r="AF7" i="45" s="1"/>
  <c r="AD126" i="46"/>
  <c r="AD346" i="46"/>
  <c r="AD216" i="46"/>
  <c r="AD125" i="46"/>
  <c r="AD298" i="46"/>
  <c r="AD131" i="46"/>
  <c r="AD321" i="46"/>
  <c r="AD147" i="46"/>
  <c r="AD56" i="46"/>
  <c r="AD162" i="46"/>
  <c r="AD202" i="46"/>
  <c r="AD259" i="46"/>
  <c r="AD296" i="46"/>
  <c r="AD38" i="46"/>
  <c r="AD122" i="46"/>
  <c r="AD347" i="46"/>
  <c r="AD79" i="46"/>
  <c r="AD341" i="46"/>
  <c r="AD190" i="46"/>
  <c r="AD336" i="46"/>
  <c r="AD275" i="46"/>
  <c r="AD230" i="46"/>
  <c r="AD327" i="46"/>
  <c r="AD51" i="46"/>
  <c r="AD31" i="46"/>
  <c r="AD258" i="46"/>
  <c r="AD146" i="46"/>
  <c r="AD142" i="46"/>
  <c r="AD177" i="46"/>
  <c r="AD251" i="46"/>
  <c r="AD250" i="46"/>
  <c r="AD76" i="46"/>
  <c r="AD242" i="46"/>
  <c r="AD66" i="46"/>
  <c r="AD297" i="46"/>
  <c r="AD150" i="46"/>
  <c r="AD337" i="46"/>
  <c r="AD203" i="46"/>
  <c r="AD50" i="46"/>
  <c r="AD303" i="46"/>
  <c r="AD151" i="46"/>
  <c r="AD331" i="46"/>
  <c r="AD110" i="46"/>
  <c r="AD137" i="46"/>
  <c r="AD271" i="46"/>
  <c r="AD111" i="46"/>
  <c r="AD339" i="46"/>
  <c r="AD82" i="46"/>
  <c r="AD291" i="46"/>
  <c r="AD351" i="46"/>
  <c r="AD170" i="46"/>
  <c r="AD221" i="46"/>
  <c r="AD191" i="46"/>
  <c r="AD290" i="46"/>
  <c r="AD282" i="46"/>
  <c r="AD197" i="46"/>
  <c r="AD83" i="46"/>
  <c r="AD218" i="46"/>
  <c r="AD217" i="46"/>
  <c r="AD107" i="46"/>
  <c r="AD156" i="46"/>
  <c r="AD130" i="46"/>
  <c r="AD211" i="46"/>
  <c r="AD176" i="46"/>
  <c r="AD136" i="46"/>
  <c r="AD116" i="46"/>
  <c r="AD171" i="46"/>
  <c r="AD246" i="46"/>
  <c r="AD215" i="46"/>
  <c r="AD316" i="46"/>
  <c r="AD236" i="46"/>
  <c r="AD223" i="46"/>
  <c r="AD103" i="46"/>
  <c r="AD307" i="46"/>
  <c r="AD10" i="46"/>
  <c r="AD342" i="46"/>
  <c r="AD84" i="46"/>
  <c r="AD262" i="46"/>
  <c r="AD319" i="46"/>
  <c r="AD222" i="46"/>
  <c r="AD270" i="46"/>
  <c r="AD350" i="46"/>
  <c r="AD330" i="46"/>
  <c r="AD310" i="46"/>
  <c r="AD178" i="46"/>
  <c r="AD231" i="46"/>
  <c r="AD185" i="46"/>
  <c r="AD204" i="46"/>
  <c r="AD206" i="46"/>
  <c r="AD160" i="46"/>
  <c r="AD232" i="46"/>
  <c r="AD354" i="46"/>
  <c r="AD268" i="46"/>
  <c r="AD85" i="46"/>
  <c r="AD238" i="46"/>
  <c r="AD101" i="46"/>
  <c r="AD349" i="46"/>
  <c r="AD245" i="46"/>
  <c r="AD97" i="46"/>
  <c r="AD196" i="46"/>
  <c r="AD301" i="46"/>
  <c r="AD225" i="46"/>
  <c r="AD65" i="46"/>
  <c r="AD265" i="46"/>
  <c r="AD320" i="46"/>
  <c r="AD293" i="46"/>
  <c r="AD143" i="46"/>
  <c r="AD174" i="46"/>
  <c r="AD49" i="46"/>
  <c r="AD183" i="46"/>
  <c r="AD348" i="46"/>
  <c r="AD229" i="46"/>
  <c r="AD159" i="46"/>
  <c r="AD75" i="46"/>
  <c r="AD257" i="46"/>
  <c r="AD194" i="46"/>
  <c r="AD288" i="46"/>
  <c r="AD345" i="46"/>
  <c r="AD135" i="46"/>
  <c r="AD186" i="46"/>
  <c r="AD172" i="46"/>
  <c r="AD284" i="46"/>
  <c r="AD353" i="46"/>
  <c r="AD314" i="46"/>
  <c r="AD113" i="46"/>
  <c r="AD340" i="46"/>
  <c r="AD157" i="46"/>
  <c r="AD54" i="46"/>
  <c r="AD98" i="46"/>
  <c r="AD93" i="46"/>
  <c r="AD12" i="46"/>
  <c r="AD184" i="46"/>
  <c r="AD154" i="46"/>
  <c r="AD138" i="46"/>
  <c r="AD220" i="46"/>
  <c r="AD237" i="46"/>
  <c r="AD333" i="46"/>
  <c r="AD308" i="46"/>
  <c r="AD86" i="46"/>
  <c r="AD289" i="46"/>
  <c r="AD123" i="46"/>
  <c r="AD273" i="46"/>
  <c r="AD205" i="46"/>
  <c r="AD115" i="46"/>
  <c r="AD152" i="46"/>
  <c r="AD335" i="46"/>
  <c r="AD80" i="46"/>
  <c r="AD188" i="46"/>
  <c r="AD219" i="46"/>
  <c r="AD129" i="46"/>
  <c r="AD279" i="46"/>
  <c r="AD192" i="46"/>
  <c r="AD274" i="46"/>
  <c r="AD198" i="46"/>
  <c r="AD208" i="46"/>
  <c r="AD285" i="46"/>
  <c r="AD139" i="46"/>
  <c r="AD175" i="46"/>
  <c r="AD118" i="46"/>
  <c r="AD69" i="46"/>
  <c r="AD248" i="46"/>
  <c r="AD328" i="46"/>
  <c r="AD165" i="46"/>
  <c r="AD112" i="46"/>
  <c r="AD324" i="46"/>
  <c r="AD155" i="46"/>
  <c r="AD88" i="46"/>
  <c r="AD168" i="46"/>
  <c r="AD239" i="46"/>
  <c r="AD13" i="46"/>
  <c r="AD226" i="46"/>
  <c r="AD89" i="46"/>
  <c r="AD269" i="46"/>
  <c r="AD306" i="46"/>
  <c r="AD235" i="46"/>
  <c r="AD329" i="46"/>
  <c r="AD332" i="46"/>
  <c r="AD119" i="46"/>
  <c r="AD255" i="46"/>
  <c r="AD108" i="46"/>
  <c r="AD233" i="46"/>
  <c r="AD247" i="46"/>
  <c r="AD210" i="46"/>
  <c r="AD287" i="46"/>
  <c r="AD322" i="46"/>
  <c r="AD338" i="46"/>
  <c r="AD60" i="46"/>
  <c r="AD180" i="46"/>
  <c r="AD317" i="46"/>
  <c r="AD48" i="46"/>
  <c r="AD140" i="46"/>
  <c r="AD304" i="46"/>
  <c r="AD272" i="46"/>
  <c r="AD74" i="46"/>
  <c r="AD149" i="46"/>
  <c r="AD199" i="46"/>
  <c r="AD163" i="46"/>
  <c r="AD244" i="46"/>
  <c r="AD166" i="46"/>
  <c r="AD124" i="46"/>
  <c r="AD120" i="46"/>
  <c r="AD148" i="46"/>
  <c r="AD309" i="46"/>
  <c r="AD212" i="46"/>
  <c r="AD209" i="46"/>
  <c r="AD294" i="46"/>
  <c r="AD207" i="46"/>
  <c r="AD312" i="46"/>
  <c r="AD344" i="46"/>
  <c r="AD105" i="46"/>
  <c r="AD267" i="46"/>
  <c r="AD39" i="46"/>
  <c r="AD352" i="46"/>
  <c r="AD121" i="46"/>
  <c r="AD104" i="46"/>
  <c r="AD99" i="46"/>
  <c r="AD300" i="46"/>
  <c r="AD100" i="46"/>
  <c r="AD277" i="46"/>
  <c r="AD253" i="46"/>
  <c r="AD133" i="46"/>
  <c r="AD311" i="46"/>
  <c r="AD276" i="46"/>
  <c r="AD286" i="46"/>
  <c r="AD71" i="46"/>
  <c r="AD96" i="46"/>
  <c r="AD326" i="46"/>
  <c r="AD240" i="46"/>
  <c r="AD61" i="46"/>
  <c r="AD95" i="46"/>
  <c r="AD241" i="46"/>
  <c r="AD179" i="46"/>
  <c r="AD55" i="46"/>
  <c r="AD254" i="46"/>
  <c r="AD264" i="46"/>
  <c r="AD292" i="46"/>
  <c r="AD67" i="46"/>
  <c r="AD59" i="46"/>
  <c r="AD132" i="46"/>
  <c r="AD313" i="46"/>
  <c r="AD305" i="46"/>
  <c r="AD227" i="46"/>
  <c r="AD200" i="46"/>
  <c r="AD114" i="46"/>
  <c r="AD201" i="46"/>
  <c r="AD73" i="46"/>
  <c r="AD260" i="46"/>
  <c r="AD72" i="46"/>
  <c r="AD266" i="46"/>
  <c r="AD52" i="46"/>
  <c r="AD315" i="46"/>
  <c r="AD169" i="46"/>
  <c r="AD141" i="46"/>
  <c r="AD134" i="46"/>
  <c r="AD281" i="46"/>
  <c r="AD161" i="46"/>
  <c r="AD243" i="46"/>
  <c r="AD14" i="46"/>
  <c r="AD44" i="46"/>
  <c r="AD193" i="46"/>
  <c r="AD325" i="46"/>
  <c r="AD249" i="46"/>
  <c r="AD252" i="46"/>
  <c r="AD213" i="46"/>
  <c r="AD195" i="46"/>
  <c r="AD234" i="46"/>
  <c r="AD92" i="46"/>
  <c r="AD127" i="46"/>
  <c r="AD167" i="46"/>
  <c r="AD81" i="46"/>
  <c r="AD117" i="46"/>
  <c r="AD278" i="46"/>
  <c r="AD302" i="46"/>
  <c r="AD256" i="46"/>
  <c r="AD182" i="46"/>
  <c r="AD189" i="46"/>
  <c r="AD187" i="46"/>
  <c r="AD153" i="46"/>
  <c r="AD63" i="46"/>
  <c r="AD164" i="46"/>
  <c r="AD323" i="46"/>
  <c r="AD109" i="46"/>
  <c r="AD343" i="46"/>
  <c r="AD145" i="46"/>
  <c r="AD224" i="46"/>
  <c r="AD295" i="46"/>
  <c r="AD68" i="46"/>
  <c r="AD173" i="46"/>
  <c r="AD334" i="46"/>
  <c r="AD263" i="46"/>
  <c r="AD318" i="46"/>
  <c r="AD299" i="46"/>
  <c r="AD261" i="46"/>
  <c r="AD214" i="46"/>
  <c r="AD280" i="46"/>
  <c r="AD283" i="46"/>
  <c r="AD181" i="46"/>
  <c r="AD228" i="46"/>
  <c r="AD158" i="46"/>
  <c r="AG310" i="44"/>
  <c r="AE49" i="44"/>
  <c r="AF49" i="44" s="1"/>
  <c r="AE74" i="44"/>
  <c r="AF74" i="44" s="1"/>
  <c r="AE202" i="44"/>
  <c r="AF202" i="44" s="1"/>
  <c r="AE171" i="44"/>
  <c r="AF171" i="44" s="1"/>
  <c r="AE77" i="44"/>
  <c r="AF77" i="44" s="1"/>
  <c r="AE179" i="44"/>
  <c r="AF179" i="44" s="1"/>
  <c r="AE247" i="44"/>
  <c r="AF247" i="44" s="1"/>
  <c r="AE217" i="44"/>
  <c r="AF217" i="44" s="1"/>
  <c r="AE211" i="44"/>
  <c r="AF211" i="44" s="1"/>
  <c r="AE153" i="44"/>
  <c r="AF153" i="44" s="1"/>
  <c r="AE250" i="44"/>
  <c r="AF250" i="44" s="1"/>
  <c r="AE151" i="44"/>
  <c r="AF151" i="44" s="1"/>
  <c r="AE35" i="44"/>
  <c r="AF35" i="44" s="1"/>
  <c r="AE215" i="44"/>
  <c r="AF215" i="44" s="1"/>
  <c r="AE39" i="44"/>
  <c r="AF39" i="44" s="1"/>
  <c r="AE67" i="44"/>
  <c r="AF67" i="44" s="1"/>
  <c r="AE107" i="44"/>
  <c r="AF107" i="44" s="1"/>
  <c r="AE61" i="44"/>
  <c r="AF61" i="44" s="1"/>
  <c r="AE256" i="44"/>
  <c r="AF256" i="44" s="1"/>
  <c r="AE324" i="44"/>
  <c r="AF324" i="44" s="1"/>
  <c r="AE319" i="44"/>
  <c r="AF319" i="44" s="1"/>
  <c r="AE240" i="44"/>
  <c r="AF240" i="44" s="1"/>
  <c r="AE51" i="44"/>
  <c r="AF51" i="44" s="1"/>
  <c r="AE54" i="44"/>
  <c r="AF54" i="44" s="1"/>
  <c r="AE28" i="44"/>
  <c r="AF28" i="44" s="1"/>
  <c r="AE19" i="44"/>
  <c r="AF19" i="44" s="1"/>
  <c r="AE336" i="44"/>
  <c r="AF336" i="44" s="1"/>
  <c r="AE170" i="44"/>
  <c r="AF170" i="44" s="1"/>
  <c r="AE214" i="44"/>
  <c r="AF214" i="44" s="1"/>
  <c r="AE162" i="44"/>
  <c r="AF162" i="44" s="1"/>
  <c r="AE43" i="44"/>
  <c r="AF43" i="44" s="1"/>
  <c r="AE243" i="44"/>
  <c r="AF243" i="44" s="1"/>
  <c r="AE156" i="44"/>
  <c r="AF156" i="44" s="1"/>
  <c r="AE163" i="44"/>
  <c r="AF163" i="44" s="1"/>
  <c r="AE332" i="44"/>
  <c r="AF332" i="44" s="1"/>
  <c r="AE272" i="44"/>
  <c r="AF272" i="44" s="1"/>
  <c r="AE13" i="44"/>
  <c r="AF13" i="44" s="1"/>
  <c r="AE224" i="44"/>
  <c r="AF224" i="44" s="1"/>
  <c r="AE32" i="44"/>
  <c r="AF32" i="44" s="1"/>
  <c r="AE148" i="44"/>
  <c r="AF148" i="44" s="1"/>
  <c r="AE292" i="44"/>
  <c r="AF292" i="44" s="1"/>
  <c r="AE90" i="44"/>
  <c r="AF90" i="44" s="1"/>
  <c r="AE349" i="44"/>
  <c r="AF349" i="44" s="1"/>
  <c r="AE290" i="44"/>
  <c r="AF290" i="44" s="1"/>
  <c r="AE113" i="44"/>
  <c r="AF113" i="44" s="1"/>
  <c r="AE172" i="44"/>
  <c r="AF172" i="44" s="1"/>
  <c r="AE181" i="44"/>
  <c r="AF181" i="44" s="1"/>
  <c r="AE91" i="44"/>
  <c r="AF91" i="44" s="1"/>
  <c r="AE253" i="44"/>
  <c r="AF253" i="44" s="1"/>
  <c r="AE351" i="44"/>
  <c r="AF351" i="44" s="1"/>
  <c r="AE79" i="44"/>
  <c r="AF79" i="44" s="1"/>
  <c r="AE75" i="44"/>
  <c r="AF75" i="44" s="1"/>
  <c r="AE242" i="44"/>
  <c r="AF242" i="44" s="1"/>
  <c r="AE137" i="44"/>
  <c r="AF137" i="44" s="1"/>
  <c r="AE251" i="44"/>
  <c r="AF251" i="44" s="1"/>
  <c r="AE33" i="44"/>
  <c r="AF33" i="44" s="1"/>
  <c r="AE134" i="44"/>
  <c r="AF134" i="44" s="1"/>
  <c r="AE94" i="44"/>
  <c r="AF94" i="44" s="1"/>
  <c r="AE245" i="44"/>
  <c r="AF245" i="44" s="1"/>
  <c r="AE185" i="44"/>
  <c r="AF185" i="44" s="1"/>
  <c r="AE190" i="44"/>
  <c r="AF190" i="44" s="1"/>
  <c r="AE226" i="44"/>
  <c r="AF226" i="44" s="1"/>
  <c r="AE143" i="44"/>
  <c r="AF143" i="44" s="1"/>
  <c r="AE221" i="44"/>
  <c r="AF221" i="44" s="1"/>
  <c r="AE203" i="44"/>
  <c r="AF203" i="44" s="1"/>
  <c r="AE86" i="44"/>
  <c r="AF86" i="44" s="1"/>
  <c r="AE347" i="44"/>
  <c r="AF347" i="44" s="1"/>
  <c r="AE9" i="44"/>
  <c r="AF9" i="44" s="1"/>
  <c r="AE173" i="44"/>
  <c r="AF173" i="44" s="1"/>
  <c r="AE322" i="44"/>
  <c r="AF322" i="44" s="1"/>
  <c r="AE278" i="44"/>
  <c r="AF278" i="44" s="1"/>
  <c r="AE235" i="44"/>
  <c r="AF235" i="44" s="1"/>
  <c r="AE40" i="44"/>
  <c r="AF40" i="44" s="1"/>
  <c r="AE145" i="44"/>
  <c r="AF145" i="44" s="1"/>
  <c r="AE140" i="44"/>
  <c r="AF140" i="44" s="1"/>
  <c r="AE183" i="44"/>
  <c r="AF183" i="44" s="1"/>
  <c r="AE83" i="44"/>
  <c r="AF83" i="44" s="1"/>
  <c r="AE45" i="44"/>
  <c r="AF45" i="44" s="1"/>
  <c r="AE30" i="44"/>
  <c r="AF30" i="44" s="1"/>
  <c r="AE343" i="44"/>
  <c r="AF343" i="44" s="1"/>
  <c r="AE206" i="44"/>
  <c r="AF206" i="44" s="1"/>
  <c r="AE237" i="44"/>
  <c r="AF237" i="44" s="1"/>
  <c r="AE341" i="44"/>
  <c r="AF341" i="44" s="1"/>
  <c r="AE287" i="44"/>
  <c r="AF287" i="44" s="1"/>
  <c r="AE150" i="44"/>
  <c r="AF150" i="44" s="1"/>
  <c r="AE296" i="44"/>
  <c r="AF296" i="44" s="1"/>
  <c r="AE289" i="44"/>
  <c r="AF289" i="44" s="1"/>
  <c r="AE283" i="44"/>
  <c r="AF283" i="44" s="1"/>
  <c r="AE350" i="44"/>
  <c r="AF350" i="44" s="1"/>
  <c r="AE31" i="44"/>
  <c r="AF31" i="44" s="1"/>
  <c r="AE354" i="44"/>
  <c r="AF354" i="44" s="1"/>
  <c r="AE316" i="44"/>
  <c r="AF316" i="44" s="1"/>
  <c r="AE249" i="44"/>
  <c r="AF249" i="44" s="1"/>
  <c r="AE321" i="44"/>
  <c r="AF321" i="44" s="1"/>
  <c r="AE17" i="44"/>
  <c r="AF17" i="44" s="1"/>
  <c r="AE157" i="44"/>
  <c r="AF157" i="44" s="1"/>
  <c r="AE308" i="44"/>
  <c r="AF308" i="44" s="1"/>
  <c r="AE184" i="44"/>
  <c r="AF184" i="44" s="1"/>
  <c r="AE259" i="44"/>
  <c r="AF259" i="44" s="1"/>
  <c r="AE227" i="44"/>
  <c r="AF227" i="44" s="1"/>
  <c r="AE337" i="44"/>
  <c r="AF337" i="44" s="1"/>
  <c r="AE15" i="44"/>
  <c r="AF15" i="44" s="1"/>
  <c r="AE182" i="44"/>
  <c r="AF182" i="44" s="1"/>
  <c r="AE102" i="44"/>
  <c r="AF102" i="44" s="1"/>
  <c r="AE271" i="44"/>
  <c r="AF271" i="44" s="1"/>
  <c r="AE199" i="44"/>
  <c r="AF199" i="44" s="1"/>
  <c r="AE187" i="44"/>
  <c r="AF187" i="44" s="1"/>
  <c r="AE93" i="44"/>
  <c r="AF93" i="44" s="1"/>
  <c r="AE21" i="44"/>
  <c r="AF21" i="44" s="1"/>
  <c r="AE20" i="44"/>
  <c r="AF20" i="44" s="1"/>
  <c r="AE210" i="44"/>
  <c r="AF210" i="44" s="1"/>
  <c r="AE167" i="44"/>
  <c r="AF167" i="44" s="1"/>
  <c r="AE152" i="44"/>
  <c r="AF152" i="44" s="1"/>
  <c r="AE177" i="44"/>
  <c r="AF177" i="44" s="1"/>
  <c r="AE274" i="44"/>
  <c r="AF274" i="44" s="1"/>
  <c r="AE284" i="44"/>
  <c r="AF284" i="44" s="1"/>
  <c r="AE138" i="44"/>
  <c r="AF138" i="44" s="1"/>
  <c r="AE65" i="44"/>
  <c r="AF65" i="44" s="1"/>
  <c r="AE25" i="44"/>
  <c r="AF25" i="44" s="1"/>
  <c r="AE318" i="44"/>
  <c r="AF318" i="44" s="1"/>
  <c r="AE315" i="44"/>
  <c r="AF315" i="44" s="1"/>
  <c r="AE300" i="44"/>
  <c r="AF300" i="44" s="1"/>
  <c r="AE76" i="44"/>
  <c r="AF76" i="44" s="1"/>
  <c r="AE130" i="44"/>
  <c r="AF130" i="44" s="1"/>
  <c r="AE320" i="44"/>
  <c r="AF320" i="44" s="1"/>
  <c r="AE118" i="44"/>
  <c r="AF118" i="44" s="1"/>
  <c r="AE241" i="44"/>
  <c r="AF241" i="44" s="1"/>
  <c r="AE180" i="44"/>
  <c r="AF180" i="44" s="1"/>
  <c r="AE144" i="44"/>
  <c r="AF144" i="44" s="1"/>
  <c r="AE213" i="44"/>
  <c r="AF213" i="44" s="1"/>
  <c r="AE239" i="44"/>
  <c r="AF239" i="44" s="1"/>
  <c r="AE147" i="44"/>
  <c r="AF147" i="44" s="1"/>
  <c r="AE101" i="44"/>
  <c r="AF101" i="44" s="1"/>
  <c r="AE38" i="44"/>
  <c r="AF38" i="44" s="1"/>
  <c r="AE14" i="44"/>
  <c r="AF14" i="44" s="1"/>
  <c r="AE165" i="44"/>
  <c r="AF165" i="44" s="1"/>
  <c r="AE255" i="44"/>
  <c r="AF255" i="44" s="1"/>
  <c r="AE238" i="44"/>
  <c r="AF238" i="44" s="1"/>
  <c r="AE34" i="44"/>
  <c r="AF34" i="44" s="1"/>
  <c r="AE258" i="44"/>
  <c r="AF258" i="44" s="1"/>
  <c r="AE266" i="44"/>
  <c r="AF266" i="44" s="1"/>
  <c r="AE105" i="44"/>
  <c r="AF105" i="44" s="1"/>
  <c r="AE117" i="44"/>
  <c r="AF117" i="44" s="1"/>
  <c r="AE228" i="44"/>
  <c r="AF228" i="44" s="1"/>
  <c r="AE333" i="44"/>
  <c r="AF333" i="44" s="1"/>
  <c r="AE301" i="44"/>
  <c r="AF301" i="44" s="1"/>
  <c r="AE10" i="44"/>
  <c r="AF10" i="44" s="1"/>
  <c r="AE120" i="44"/>
  <c r="AF120" i="44" s="1"/>
  <c r="AE136" i="44"/>
  <c r="AF136" i="44" s="1"/>
  <c r="AE84" i="44"/>
  <c r="AF84" i="44" s="1"/>
  <c r="AE57" i="44"/>
  <c r="AF57" i="44" s="1"/>
  <c r="AE95" i="44"/>
  <c r="AF95" i="44" s="1"/>
  <c r="AE218" i="44"/>
  <c r="AF218" i="44" s="1"/>
  <c r="AE348" i="44"/>
  <c r="AF348" i="44" s="1"/>
  <c r="AE166" i="44"/>
  <c r="AF166" i="44" s="1"/>
  <c r="AE282" i="44"/>
  <c r="AF282" i="44" s="1"/>
  <c r="AE132" i="44"/>
  <c r="AF132" i="44" s="1"/>
  <c r="AE244" i="44"/>
  <c r="AF244" i="44" s="1"/>
  <c r="AE121" i="44"/>
  <c r="AF121" i="44" s="1"/>
  <c r="AE331" i="44"/>
  <c r="AF331" i="44" s="1"/>
  <c r="AE209" i="44"/>
  <c r="AF209" i="44" s="1"/>
  <c r="AE286" i="44"/>
  <c r="AF286" i="44" s="1"/>
  <c r="AE219" i="44"/>
  <c r="AF219" i="44" s="1"/>
  <c r="AE160" i="44"/>
  <c r="AF160" i="44" s="1"/>
  <c r="AE111" i="44"/>
  <c r="AF111" i="44" s="1"/>
  <c r="AE149" i="44"/>
  <c r="AF149" i="44" s="1"/>
  <c r="AE37" i="44"/>
  <c r="AF37" i="44" s="1"/>
  <c r="AE99" i="44"/>
  <c r="AF99" i="44" s="1"/>
  <c r="AE42" i="44"/>
  <c r="AF42" i="44" s="1"/>
  <c r="AE344" i="44"/>
  <c r="AF344" i="44" s="1"/>
  <c r="AE280" i="44"/>
  <c r="AF280" i="44" s="1"/>
  <c r="AE220" i="44"/>
  <c r="AF220" i="44" s="1"/>
  <c r="AE246" i="44"/>
  <c r="AF246" i="44" s="1"/>
  <c r="AE231" i="44"/>
  <c r="AF231" i="44" s="1"/>
  <c r="AE22" i="44"/>
  <c r="AF22" i="44" s="1"/>
  <c r="AE277" i="44"/>
  <c r="AF277" i="44" s="1"/>
  <c r="AE169" i="44"/>
  <c r="AF169" i="44" s="1"/>
  <c r="AE55" i="44"/>
  <c r="AF55" i="44" s="1"/>
  <c r="AE110" i="44"/>
  <c r="AF110" i="44" s="1"/>
  <c r="AE339" i="44"/>
  <c r="AF339" i="44" s="1"/>
  <c r="AE313" i="44"/>
  <c r="AF313" i="44" s="1"/>
  <c r="AE122" i="44"/>
  <c r="AF122" i="44" s="1"/>
  <c r="AE69" i="44"/>
  <c r="AF69" i="44" s="1"/>
  <c r="AE48" i="44"/>
  <c r="AF48" i="44" s="1"/>
  <c r="AE232" i="44"/>
  <c r="AF232" i="44" s="1"/>
  <c r="AE312" i="44"/>
  <c r="AF312" i="44" s="1"/>
  <c r="AE267" i="44"/>
  <c r="AF267" i="44" s="1"/>
  <c r="AE64" i="44"/>
  <c r="AF64" i="44" s="1"/>
  <c r="AE18" i="44"/>
  <c r="AF18" i="44" s="1"/>
  <c r="AE298" i="44"/>
  <c r="AF298" i="44" s="1"/>
  <c r="AE303" i="44"/>
  <c r="AF303" i="44" s="1"/>
  <c r="AE295" i="44"/>
  <c r="AF295" i="44" s="1"/>
  <c r="AE16" i="44"/>
  <c r="AF16" i="44" s="1"/>
  <c r="AE127" i="44"/>
  <c r="AF127" i="44" s="1"/>
  <c r="AE216" i="44"/>
  <c r="AF216" i="44" s="1"/>
  <c r="AE115" i="44"/>
  <c r="AF115" i="44" s="1"/>
  <c r="AE200" i="44"/>
  <c r="AF200" i="44" s="1"/>
  <c r="AE141" i="44"/>
  <c r="AF141" i="44" s="1"/>
  <c r="AE285" i="44"/>
  <c r="AF285" i="44" s="1"/>
  <c r="AE346" i="44"/>
  <c r="AF346" i="44" s="1"/>
  <c r="AE176" i="44"/>
  <c r="AF176" i="44" s="1"/>
  <c r="AE299" i="44"/>
  <c r="AF299" i="44" s="1"/>
  <c r="AE72" i="44"/>
  <c r="AF72" i="44" s="1"/>
  <c r="AE108" i="44"/>
  <c r="AF108" i="44" s="1"/>
  <c r="AE306" i="44"/>
  <c r="AF306" i="44" s="1"/>
  <c r="AE335" i="44"/>
  <c r="AF335" i="44" s="1"/>
  <c r="AE268" i="44"/>
  <c r="AF268" i="44" s="1"/>
  <c r="AE262" i="44"/>
  <c r="AF262" i="44" s="1"/>
  <c r="AE225" i="44"/>
  <c r="AF225" i="44" s="1"/>
  <c r="AE96" i="44"/>
  <c r="AF96" i="44" s="1"/>
  <c r="AE116" i="44"/>
  <c r="AF116" i="44" s="1"/>
  <c r="AE197" i="44"/>
  <c r="AF197" i="44" s="1"/>
  <c r="AE222" i="44"/>
  <c r="AF222" i="44" s="1"/>
  <c r="AE53" i="44"/>
  <c r="AF53" i="44" s="1"/>
  <c r="AE119" i="44"/>
  <c r="AF119" i="44" s="1"/>
  <c r="AE198" i="44"/>
  <c r="AF198" i="44" s="1"/>
  <c r="AE273" i="44"/>
  <c r="AF273" i="44" s="1"/>
  <c r="AE311" i="44"/>
  <c r="AF311" i="44" s="1"/>
  <c r="AE56" i="44"/>
  <c r="AF56" i="44" s="1"/>
  <c r="AE125" i="44"/>
  <c r="AF125" i="44" s="1"/>
  <c r="AE89" i="44"/>
  <c r="AF89" i="44" s="1"/>
  <c r="AE11" i="44"/>
  <c r="AF11" i="44" s="1"/>
  <c r="AE47" i="44"/>
  <c r="AF47" i="44" s="1"/>
  <c r="AE154" i="44"/>
  <c r="AF154" i="44" s="1"/>
  <c r="AE46" i="44"/>
  <c r="AF46" i="44" s="1"/>
  <c r="AE168" i="44"/>
  <c r="AF168" i="44" s="1"/>
  <c r="AE174" i="44"/>
  <c r="AF174" i="44" s="1"/>
  <c r="AE23" i="44"/>
  <c r="AF23" i="44" s="1"/>
  <c r="AE71" i="44"/>
  <c r="AF71" i="44" s="1"/>
  <c r="AE12" i="44"/>
  <c r="AF12" i="44" s="1"/>
  <c r="AE223" i="44"/>
  <c r="AF223" i="44" s="1"/>
  <c r="AE352" i="44"/>
  <c r="AF352" i="44" s="1"/>
  <c r="AE161" i="44"/>
  <c r="AF161" i="44" s="1"/>
  <c r="AE106" i="44"/>
  <c r="AF106" i="44" s="1"/>
  <c r="AE128" i="44"/>
  <c r="AF128" i="44" s="1"/>
  <c r="AE193" i="44"/>
  <c r="AF193" i="44" s="1"/>
  <c r="AE229" i="44"/>
  <c r="AF229" i="44" s="1"/>
  <c r="AE263" i="44"/>
  <c r="AF263" i="44" s="1"/>
  <c r="AE135" i="44"/>
  <c r="AF135" i="44" s="1"/>
  <c r="AE288" i="44"/>
  <c r="AF288" i="44" s="1"/>
  <c r="AE248" i="44"/>
  <c r="AF248" i="44" s="1"/>
  <c r="AE345" i="44"/>
  <c r="AF345" i="44" s="1"/>
  <c r="AE314" i="44"/>
  <c r="AF314" i="44" s="1"/>
  <c r="AE68" i="44"/>
  <c r="AF68" i="44" s="1"/>
  <c r="AE50" i="44"/>
  <c r="AF50" i="44" s="1"/>
  <c r="AE230" i="44"/>
  <c r="AF230" i="44" s="1"/>
  <c r="AE281" i="44"/>
  <c r="AF281" i="44" s="1"/>
  <c r="AE114" i="44"/>
  <c r="AF114" i="44" s="1"/>
  <c r="AE60" i="44"/>
  <c r="AF60" i="44" s="1"/>
  <c r="AE41" i="44"/>
  <c r="AF41" i="44" s="1"/>
  <c r="AE353" i="44"/>
  <c r="AF353" i="44" s="1"/>
  <c r="AE87" i="44"/>
  <c r="AF87" i="44" s="1"/>
  <c r="AE276" i="44"/>
  <c r="AF276" i="44" s="1"/>
  <c r="AE178" i="44"/>
  <c r="AF178" i="44" s="1"/>
  <c r="AE104" i="44"/>
  <c r="AF104" i="44" s="1"/>
  <c r="AE112" i="44"/>
  <c r="AF112" i="44" s="1"/>
  <c r="AE73" i="44"/>
  <c r="AF73" i="44" s="1"/>
  <c r="AE24" i="44"/>
  <c r="AF24" i="44" s="1"/>
  <c r="AE175" i="44"/>
  <c r="AF175" i="44" s="1"/>
  <c r="AE124" i="44"/>
  <c r="AF124" i="44" s="1"/>
  <c r="AE59" i="44"/>
  <c r="AF59" i="44" s="1"/>
  <c r="AE70" i="44"/>
  <c r="AF70" i="44" s="1"/>
  <c r="AE304" i="44"/>
  <c r="AF304" i="44" s="1"/>
  <c r="AE97" i="44"/>
  <c r="AF97" i="44" s="1"/>
  <c r="AE212" i="44"/>
  <c r="AF212" i="44" s="1"/>
  <c r="AE191" i="44"/>
  <c r="AF191" i="44" s="1"/>
  <c r="AE192" i="44"/>
  <c r="AF192" i="44" s="1"/>
  <c r="AE252" i="44"/>
  <c r="AF252" i="44" s="1"/>
  <c r="AE201" i="44"/>
  <c r="AF201" i="44" s="1"/>
  <c r="AE27" i="44"/>
  <c r="AF27" i="44" s="1"/>
  <c r="AE133" i="44"/>
  <c r="AF133" i="44" s="1"/>
  <c r="AE82" i="44"/>
  <c r="AF82" i="44" s="1"/>
  <c r="AE291" i="44"/>
  <c r="AF291" i="44" s="1"/>
  <c r="AE139" i="44"/>
  <c r="AF139" i="44" s="1"/>
  <c r="AE302" i="44"/>
  <c r="AF302" i="44" s="1"/>
  <c r="AE196" i="44"/>
  <c r="AF196" i="44" s="1"/>
  <c r="AE155" i="44"/>
  <c r="AF155" i="44" s="1"/>
  <c r="AE109" i="44"/>
  <c r="AF109" i="44" s="1"/>
  <c r="AE326" i="44"/>
  <c r="AF326" i="44" s="1"/>
  <c r="AE269" i="44"/>
  <c r="AF269" i="44" s="1"/>
  <c r="AE194" i="44"/>
  <c r="AF194" i="44" s="1"/>
  <c r="AE123" i="44"/>
  <c r="AF123" i="44" s="1"/>
  <c r="AE195" i="44"/>
  <c r="AF195" i="44" s="1"/>
  <c r="AE234" i="44"/>
  <c r="AF234" i="44" s="1"/>
  <c r="AE317" i="44"/>
  <c r="AF317" i="44" s="1"/>
  <c r="AE261" i="44"/>
  <c r="AF261" i="44" s="1"/>
  <c r="AE164" i="44"/>
  <c r="AF164" i="44" s="1"/>
  <c r="AE66" i="44"/>
  <c r="AF66" i="44" s="1"/>
  <c r="AE44" i="44"/>
  <c r="AF44" i="44" s="1"/>
  <c r="AE297" i="44"/>
  <c r="AF297" i="44" s="1"/>
  <c r="AE327" i="44"/>
  <c r="AF327" i="44" s="1"/>
  <c r="AE207" i="44"/>
  <c r="AF207" i="44" s="1"/>
  <c r="AE205" i="44"/>
  <c r="AF205" i="44" s="1"/>
  <c r="AE126" i="44"/>
  <c r="AF126" i="44" s="1"/>
  <c r="AE342" i="44"/>
  <c r="AF342" i="44" s="1"/>
  <c r="AE88" i="44"/>
  <c r="AF88" i="44" s="1"/>
  <c r="AE58" i="44"/>
  <c r="AF58" i="44" s="1"/>
  <c r="AE334" i="44"/>
  <c r="AF334" i="44" s="1"/>
  <c r="AE325" i="44"/>
  <c r="AF325" i="44" s="1"/>
  <c r="AE29" i="44"/>
  <c r="AF29" i="44" s="1"/>
  <c r="AE208" i="44"/>
  <c r="AF208" i="44" s="1"/>
  <c r="AE305" i="44"/>
  <c r="AF305" i="44" s="1"/>
  <c r="AE236" i="44"/>
  <c r="AF236" i="44" s="1"/>
  <c r="AE279" i="44"/>
  <c r="AF279" i="44" s="1"/>
  <c r="AE85" i="44"/>
  <c r="AF85" i="44" s="1"/>
  <c r="AE129" i="44"/>
  <c r="AF129" i="44" s="1"/>
  <c r="AE62" i="44"/>
  <c r="AF62" i="44" s="1"/>
  <c r="AE26" i="44"/>
  <c r="AF26" i="44" s="1"/>
  <c r="AE98" i="44"/>
  <c r="AF98" i="44" s="1"/>
  <c r="AE158" i="44"/>
  <c r="AF158" i="44" s="1"/>
  <c r="AE204" i="44"/>
  <c r="AF204" i="44" s="1"/>
  <c r="AE265" i="44"/>
  <c r="AF265" i="44" s="1"/>
  <c r="AE233" i="44"/>
  <c r="AF233" i="44" s="1"/>
  <c r="AE159" i="44"/>
  <c r="AF159" i="44" s="1"/>
  <c r="AE254" i="44"/>
  <c r="AF254" i="44" s="1"/>
  <c r="AE309" i="44"/>
  <c r="AF309" i="44" s="1"/>
  <c r="AE293" i="44"/>
  <c r="AF293" i="44" s="1"/>
  <c r="AE329" i="44"/>
  <c r="AF329" i="44" s="1"/>
  <c r="AE186" i="44"/>
  <c r="AF186" i="44" s="1"/>
  <c r="AE63" i="44"/>
  <c r="AF63" i="44" s="1"/>
  <c r="AE131" i="44"/>
  <c r="AF131" i="44" s="1"/>
  <c r="AE146" i="44"/>
  <c r="AF146" i="44" s="1"/>
  <c r="AE81" i="44"/>
  <c r="AF81" i="44" s="1"/>
  <c r="AE323" i="44"/>
  <c r="AF323" i="44" s="1"/>
  <c r="AE270" i="44"/>
  <c r="AF270" i="44" s="1"/>
  <c r="AE189" i="44"/>
  <c r="AF189" i="44" s="1"/>
  <c r="AE275" i="44"/>
  <c r="AF275" i="44" s="1"/>
  <c r="AE294" i="44"/>
  <c r="AF294" i="44" s="1"/>
  <c r="AE52" i="44"/>
  <c r="AF52" i="44" s="1"/>
  <c r="AE328" i="44"/>
  <c r="AF328" i="44" s="1"/>
  <c r="AE80" i="44"/>
  <c r="AF80" i="44" s="1"/>
  <c r="AE330" i="44"/>
  <c r="AF330" i="44" s="1"/>
  <c r="AE340" i="44"/>
  <c r="AF340" i="44" s="1"/>
  <c r="AE142" i="44"/>
  <c r="AF142" i="44" s="1"/>
  <c r="AE257" i="44"/>
  <c r="AF257" i="44" s="1"/>
  <c r="AE307" i="44"/>
  <c r="AF307" i="44" s="1"/>
  <c r="AE78" i="44"/>
  <c r="AF78" i="44" s="1"/>
  <c r="AE338" i="44"/>
  <c r="AF338" i="44" s="1"/>
  <c r="AE100" i="44"/>
  <c r="AF100" i="44" s="1"/>
  <c r="AE264" i="44"/>
  <c r="AF264" i="44" s="1"/>
  <c r="AE260" i="44"/>
  <c r="AF260" i="44" s="1"/>
  <c r="AE92" i="44"/>
  <c r="AF92" i="44" s="1"/>
  <c r="AE103" i="44"/>
  <c r="AF103" i="44" s="1"/>
  <c r="AE36" i="44"/>
  <c r="AF36" i="44" s="1"/>
  <c r="AE188" i="44"/>
  <c r="AF188" i="44" s="1"/>
  <c r="AD11" i="46" l="1"/>
  <c r="AE7" i="45"/>
  <c r="AD43" i="46"/>
  <c r="AD28" i="46"/>
  <c r="AD90" i="46"/>
  <c r="AD15" i="46"/>
  <c r="AD106" i="46"/>
  <c r="AD42" i="46"/>
  <c r="AD32" i="46"/>
  <c r="AD33" i="46"/>
  <c r="AD64" i="46"/>
  <c r="AD17" i="46"/>
  <c r="AD47" i="46"/>
  <c r="AD34" i="46"/>
  <c r="AD25" i="46"/>
  <c r="AD22" i="46"/>
  <c r="AD19" i="46"/>
  <c r="AD58" i="46"/>
  <c r="AD40" i="46"/>
  <c r="AD70" i="46"/>
  <c r="AD78" i="46"/>
  <c r="AD30" i="46"/>
  <c r="AD21" i="46"/>
  <c r="AD16" i="46"/>
  <c r="AD41" i="46"/>
  <c r="AD23" i="46"/>
  <c r="AD53" i="46"/>
  <c r="AD26" i="46"/>
  <c r="AD29" i="46"/>
  <c r="AD62" i="46"/>
  <c r="AD35" i="46"/>
  <c r="AD24" i="46"/>
  <c r="AD18" i="46"/>
  <c r="AD27" i="46"/>
  <c r="AD57" i="46"/>
  <c r="AD77" i="46"/>
  <c r="AD37" i="46"/>
  <c r="AD36" i="46"/>
  <c r="AD91" i="46"/>
  <c r="AD46" i="46"/>
  <c r="AD87" i="46"/>
  <c r="AD45" i="46"/>
  <c r="AD94" i="46"/>
  <c r="AA7" i="46"/>
  <c r="AD102" i="46"/>
  <c r="AG74" i="44"/>
  <c r="AD9" i="46"/>
  <c r="AG9" i="45"/>
  <c r="AG7" i="45" s="1"/>
  <c r="AC7" i="46"/>
  <c r="AB7" i="46"/>
  <c r="AG77" i="44"/>
  <c r="F75" i="16" s="1"/>
  <c r="AG171" i="44"/>
  <c r="AG179" i="44"/>
  <c r="AG40" i="44"/>
  <c r="F38" i="16" s="1"/>
  <c r="AG101" i="44"/>
  <c r="AG39" i="44"/>
  <c r="F37" i="16" s="1"/>
  <c r="AG247" i="44"/>
  <c r="AG349" i="44"/>
  <c r="F347" i="16" s="1"/>
  <c r="AG159" i="44"/>
  <c r="AG334" i="44"/>
  <c r="AG70" i="44"/>
  <c r="AG168" i="44"/>
  <c r="AG199" i="44"/>
  <c r="AG169" i="44"/>
  <c r="AG266" i="44"/>
  <c r="AG138" i="44"/>
  <c r="AG271" i="44"/>
  <c r="AG173" i="44"/>
  <c r="AG134" i="44"/>
  <c r="AG113" i="44"/>
  <c r="AG156" i="44"/>
  <c r="AG275" i="44"/>
  <c r="AG305" i="44"/>
  <c r="AG237" i="44"/>
  <c r="AG163" i="44"/>
  <c r="AG98" i="44"/>
  <c r="AG26" i="44"/>
  <c r="AG193" i="44"/>
  <c r="AG197" i="44"/>
  <c r="AG346" i="44"/>
  <c r="AG64" i="44"/>
  <c r="AG160" i="44"/>
  <c r="AG95" i="44"/>
  <c r="AG258" i="44"/>
  <c r="AG102" i="44"/>
  <c r="AG343" i="44"/>
  <c r="AF6" i="44"/>
  <c r="AG9" i="44"/>
  <c r="AG324" i="44"/>
  <c r="AG65" i="44"/>
  <c r="AG172" i="44"/>
  <c r="AG340" i="44"/>
  <c r="AG58" i="44"/>
  <c r="AG63" i="44"/>
  <c r="AG234" i="44"/>
  <c r="AG285" i="44"/>
  <c r="AG57" i="44"/>
  <c r="AG241" i="44"/>
  <c r="AG182" i="44"/>
  <c r="AG347" i="44"/>
  <c r="AG251" i="44"/>
  <c r="AG43" i="44"/>
  <c r="AG256" i="44"/>
  <c r="AG338" i="44"/>
  <c r="AG178" i="44"/>
  <c r="AG94" i="44"/>
  <c r="AG131" i="44"/>
  <c r="AG317" i="44"/>
  <c r="AG342" i="44"/>
  <c r="AG126" i="44"/>
  <c r="AG230" i="44"/>
  <c r="AG286" i="44"/>
  <c r="AG238" i="44"/>
  <c r="AG61" i="44"/>
  <c r="AG299" i="44"/>
  <c r="AG105" i="44"/>
  <c r="AG322" i="44"/>
  <c r="AG88" i="44"/>
  <c r="AG80" i="44"/>
  <c r="AG133" i="44"/>
  <c r="AG116" i="44"/>
  <c r="AG118" i="44"/>
  <c r="AG15" i="44"/>
  <c r="AG31" i="44"/>
  <c r="AG45" i="44"/>
  <c r="AG86" i="44"/>
  <c r="AG137" i="44"/>
  <c r="AG90" i="44"/>
  <c r="AG162" i="44"/>
  <c r="AG177" i="44"/>
  <c r="AG52" i="44"/>
  <c r="AG85" i="44"/>
  <c r="AG194" i="44"/>
  <c r="AG201" i="44"/>
  <c r="AG73" i="44"/>
  <c r="AG50" i="44"/>
  <c r="AG161" i="44"/>
  <c r="AG89" i="44"/>
  <c r="AG200" i="44"/>
  <c r="AG232" i="44"/>
  <c r="AG246" i="44"/>
  <c r="AG209" i="44"/>
  <c r="AG136" i="44"/>
  <c r="AG255" i="44"/>
  <c r="AG350" i="44"/>
  <c r="AG203" i="44"/>
  <c r="AG100" i="44"/>
  <c r="AG345" i="44"/>
  <c r="AG146" i="44"/>
  <c r="AG294" i="44"/>
  <c r="AG309" i="44"/>
  <c r="AG279" i="44"/>
  <c r="AG207" i="44"/>
  <c r="AG115" i="44"/>
  <c r="AG283" i="44"/>
  <c r="AG183" i="44"/>
  <c r="AG221" i="44"/>
  <c r="AG75" i="44"/>
  <c r="AG148" i="44"/>
  <c r="AG67" i="44"/>
  <c r="AG223" i="44"/>
  <c r="AG56" i="44"/>
  <c r="AG216" i="44"/>
  <c r="AG121" i="44"/>
  <c r="AG14" i="44"/>
  <c r="AG76" i="44"/>
  <c r="AG259" i="44"/>
  <c r="AG289" i="44"/>
  <c r="AG143" i="44"/>
  <c r="AG336" i="44"/>
  <c r="AG202" i="44"/>
  <c r="AG109" i="44"/>
  <c r="AG351" i="44"/>
  <c r="AG224" i="44"/>
  <c r="AG189" i="44"/>
  <c r="AG122" i="44"/>
  <c r="AG184" i="44"/>
  <c r="AG44" i="44"/>
  <c r="AG212" i="44"/>
  <c r="AG276" i="44"/>
  <c r="AG273" i="44"/>
  <c r="AG42" i="44"/>
  <c r="AG132" i="44"/>
  <c r="AG315" i="44"/>
  <c r="AG21" i="44"/>
  <c r="AG308" i="44"/>
  <c r="AG150" i="44"/>
  <c r="AG190" i="44"/>
  <c r="AG253" i="44"/>
  <c r="AG13" i="44"/>
  <c r="AG28" i="44"/>
  <c r="AG35" i="44"/>
  <c r="AG49" i="44"/>
  <c r="AG235" i="44"/>
  <c r="AG185" i="44"/>
  <c r="AG54" i="44"/>
  <c r="AG127" i="44"/>
  <c r="AG307" i="44"/>
  <c r="AG87" i="44"/>
  <c r="AG108" i="44"/>
  <c r="AG339" i="44"/>
  <c r="AG99" i="44"/>
  <c r="AG318" i="44"/>
  <c r="AG157" i="44"/>
  <c r="AG204" i="44"/>
  <c r="AG325" i="44"/>
  <c r="AG164" i="44"/>
  <c r="AG119" i="44"/>
  <c r="AG110" i="44"/>
  <c r="AG166" i="44"/>
  <c r="AG245" i="44"/>
  <c r="AG51" i="44"/>
  <c r="AG250" i="44"/>
  <c r="F308" i="16"/>
  <c r="AG79" i="44"/>
  <c r="AG354" i="44"/>
  <c r="AG30" i="44"/>
  <c r="AG84" i="44"/>
  <c r="AG32" i="44"/>
  <c r="AG214" i="44"/>
  <c r="AG292" i="44"/>
  <c r="AG107" i="44"/>
  <c r="AG170" i="44"/>
  <c r="AG274" i="44"/>
  <c r="AG19" i="44"/>
  <c r="AG215" i="44"/>
  <c r="AG145" i="44"/>
  <c r="AG211" i="44"/>
  <c r="AG249" i="44"/>
  <c r="AG243" i="44"/>
  <c r="AG319" i="44"/>
  <c r="AG140" i="44"/>
  <c r="AG290" i="44"/>
  <c r="AG217" i="44"/>
  <c r="AG33" i="44"/>
  <c r="AG180" i="44"/>
  <c r="AG38" i="44"/>
  <c r="AG34" i="44"/>
  <c r="AG296" i="44"/>
  <c r="AG210" i="44"/>
  <c r="AG226" i="44"/>
  <c r="AG333" i="44"/>
  <c r="AG167" i="44"/>
  <c r="AG227" i="44"/>
  <c r="AG83" i="44"/>
  <c r="AG213" i="44"/>
  <c r="AG320" i="44"/>
  <c r="AG242" i="44"/>
  <c r="AG152" i="44"/>
  <c r="AG337" i="44"/>
  <c r="AG240" i="44"/>
  <c r="AG20" i="44"/>
  <c r="AG147" i="44"/>
  <c r="AG272" i="44"/>
  <c r="AG287" i="44"/>
  <c r="AG228" i="44"/>
  <c r="AG93" i="44"/>
  <c r="AG91" i="44"/>
  <c r="AG151" i="44"/>
  <c r="AG316" i="44"/>
  <c r="AG300" i="44"/>
  <c r="AG120" i="44"/>
  <c r="AG130" i="44"/>
  <c r="AG10" i="44"/>
  <c r="AG321" i="44"/>
  <c r="AG153" i="44"/>
  <c r="AG165" i="44"/>
  <c r="AG206" i="44"/>
  <c r="AG278" i="44"/>
  <c r="AG301" i="44"/>
  <c r="AG341" i="44"/>
  <c r="AG117" i="44"/>
  <c r="AG25" i="44"/>
  <c r="AG187" i="44"/>
  <c r="AG181" i="44"/>
  <c r="AG144" i="44"/>
  <c r="AG17" i="44"/>
  <c r="AG284" i="44"/>
  <c r="AG239" i="44"/>
  <c r="AG332" i="44"/>
  <c r="AG218" i="44"/>
  <c r="AG348" i="44"/>
  <c r="AG282" i="44"/>
  <c r="AG233" i="44"/>
  <c r="AG229" i="44"/>
  <c r="AG353" i="44"/>
  <c r="AG244" i="44"/>
  <c r="AG47" i="44"/>
  <c r="AG331" i="44"/>
  <c r="AG158" i="44"/>
  <c r="AG125" i="44"/>
  <c r="AG175" i="44"/>
  <c r="AG176" i="44"/>
  <c r="AG254" i="44"/>
  <c r="AG48" i="44"/>
  <c r="AG219" i="44"/>
  <c r="AG29" i="44"/>
  <c r="AG124" i="44"/>
  <c r="AG297" i="44"/>
  <c r="AG323" i="44"/>
  <c r="AG24" i="44"/>
  <c r="AG326" i="44"/>
  <c r="AG329" i="44"/>
  <c r="AG69" i="44"/>
  <c r="AG11" i="44"/>
  <c r="AG298" i="44"/>
  <c r="AG16" i="44"/>
  <c r="AG154" i="44"/>
  <c r="AG60" i="44"/>
  <c r="AG81" i="44"/>
  <c r="AG295" i="44"/>
  <c r="AG27" i="44"/>
  <c r="AG104" i="44"/>
  <c r="AG114" i="44"/>
  <c r="AG141" i="44"/>
  <c r="AG231" i="44"/>
  <c r="AG149" i="44"/>
  <c r="AG62" i="44"/>
  <c r="AG123" i="44"/>
  <c r="AG111" i="44"/>
  <c r="AG281" i="44"/>
  <c r="AG269" i="44"/>
  <c r="AG248" i="44"/>
  <c r="AG303" i="44"/>
  <c r="AG220" i="44"/>
  <c r="AG72" i="44"/>
  <c r="AG261" i="44"/>
  <c r="AG335" i="44"/>
  <c r="AG71" i="44"/>
  <c r="AG97" i="44"/>
  <c r="AG263" i="44"/>
  <c r="AG262" i="44"/>
  <c r="AG174" i="44"/>
  <c r="AG225" i="44"/>
  <c r="AG191" i="44"/>
  <c r="AG313" i="44"/>
  <c r="AG330" i="44"/>
  <c r="AG96" i="44"/>
  <c r="AG196" i="44"/>
  <c r="AG23" i="44"/>
  <c r="AG252" i="44"/>
  <c r="AG155" i="44"/>
  <c r="AG293" i="44"/>
  <c r="AG311" i="44"/>
  <c r="AG112" i="44"/>
  <c r="AG192" i="44"/>
  <c r="AG66" i="44"/>
  <c r="AG82" i="44"/>
  <c r="AG291" i="44"/>
  <c r="AG277" i="44"/>
  <c r="AG55" i="44"/>
  <c r="AG186" i="44"/>
  <c r="AG328" i="44"/>
  <c r="AG106" i="44"/>
  <c r="AG222" i="44"/>
  <c r="AG78" i="44"/>
  <c r="AG264" i="44"/>
  <c r="AG129" i="44"/>
  <c r="AG344" i="44"/>
  <c r="AG304" i="44"/>
  <c r="AG302" i="44"/>
  <c r="AG257" i="44"/>
  <c r="AG314" i="44"/>
  <c r="AG37" i="44"/>
  <c r="AG46" i="44"/>
  <c r="AG142" i="44"/>
  <c r="AG352" i="44"/>
  <c r="AG268" i="44"/>
  <c r="AG327" i="44"/>
  <c r="AG41" i="44"/>
  <c r="AG312" i="44"/>
  <c r="AG12" i="44"/>
  <c r="AG195" i="44"/>
  <c r="AG280" i="44"/>
  <c r="AG270" i="44"/>
  <c r="AG205" i="44"/>
  <c r="AG265" i="44"/>
  <c r="AG139" i="44"/>
  <c r="AG236" i="44"/>
  <c r="AG22" i="44"/>
  <c r="AG288" i="44"/>
  <c r="AG128" i="44"/>
  <c r="AG208" i="44"/>
  <c r="AG198" i="44"/>
  <c r="AG53" i="44"/>
  <c r="AG68" i="44"/>
  <c r="AG267" i="44"/>
  <c r="AG306" i="44"/>
  <c r="AG18" i="44"/>
  <c r="AG135" i="44"/>
  <c r="AG59" i="44"/>
  <c r="AG260" i="44"/>
  <c r="AG36" i="44"/>
  <c r="AG103" i="44"/>
  <c r="AG92" i="44"/>
  <c r="AG188" i="44"/>
  <c r="AF49" i="41"/>
  <c r="AF348" i="41" s="1"/>
  <c r="AD7" i="46" l="1"/>
  <c r="F72" i="16"/>
  <c r="F169" i="16"/>
  <c r="F177" i="16"/>
  <c r="F99" i="16"/>
  <c r="F245" i="16"/>
  <c r="F25" i="16"/>
  <c r="F342" i="16"/>
  <c r="F242" i="16"/>
  <c r="F325" i="16"/>
  <c r="F298" i="16"/>
  <c r="F307" i="16"/>
  <c r="F140" i="16"/>
  <c r="F153" i="16"/>
  <c r="F60" i="16"/>
  <c r="F252" i="16"/>
  <c r="F299" i="16"/>
  <c r="F215" i="16"/>
  <c r="F228" i="16"/>
  <c r="F161" i="16"/>
  <c r="F16" i="16"/>
  <c r="F326" i="16"/>
  <c r="F9" i="16"/>
  <c r="F174" i="16"/>
  <c r="F216" i="16"/>
  <c r="F276" i="16"/>
  <c r="F91" i="16"/>
  <c r="F81" i="16"/>
  <c r="F288" i="16"/>
  <c r="F290" i="16"/>
  <c r="F49" i="16"/>
  <c r="F323" i="16"/>
  <c r="F337" i="16"/>
  <c r="F52" i="16"/>
  <c r="F11" i="16"/>
  <c r="F313" i="16"/>
  <c r="F42" i="16"/>
  <c r="F349" i="16"/>
  <c r="F257" i="16"/>
  <c r="F221" i="16"/>
  <c r="F281" i="16"/>
  <c r="F253" i="16"/>
  <c r="F87" i="16"/>
  <c r="F83" i="16"/>
  <c r="F304" i="16"/>
  <c r="F203" i="16"/>
  <c r="F35" i="16"/>
  <c r="F184" i="16"/>
  <c r="F21" i="16"/>
  <c r="F333" i="16"/>
  <c r="F229" i="16"/>
  <c r="F67" i="16"/>
  <c r="F173" i="16"/>
  <c r="F330" i="16"/>
  <c r="F204" i="16"/>
  <c r="F226" i="16"/>
  <c r="F225" i="16"/>
  <c r="F138" i="16"/>
  <c r="F212" i="16"/>
  <c r="F43" i="16"/>
  <c r="F114" i="16"/>
  <c r="F103" i="16"/>
  <c r="F124" i="16"/>
  <c r="F336" i="16"/>
  <c r="F239" i="16"/>
  <c r="F338" i="16"/>
  <c r="F341" i="16"/>
  <c r="F344" i="16"/>
  <c r="F235" i="16"/>
  <c r="F111" i="16"/>
  <c r="F167" i="16"/>
  <c r="F196" i="16"/>
  <c r="F189" i="16"/>
  <c r="F143" i="16"/>
  <c r="F286" i="16"/>
  <c r="F279" i="16"/>
  <c r="F36" i="16"/>
  <c r="F89" i="16"/>
  <c r="F84" i="16"/>
  <c r="F320" i="16"/>
  <c r="F176" i="16"/>
  <c r="F56" i="16"/>
  <c r="F154" i="16"/>
  <c r="F263" i="16"/>
  <c r="F69" i="16"/>
  <c r="F268" i="16"/>
  <c r="F53" i="16"/>
  <c r="F139" i="16"/>
  <c r="F123" i="16"/>
  <c r="F285" i="16"/>
  <c r="F243" i="16"/>
  <c r="F106" i="16"/>
  <c r="F251" i="16"/>
  <c r="F130" i="16"/>
  <c r="F107" i="16"/>
  <c r="F65" i="16"/>
  <c r="F113" i="16"/>
  <c r="F144" i="16"/>
  <c r="F134" i="16"/>
  <c r="F159" i="16"/>
  <c r="F50" i="16"/>
  <c r="F80" i="16"/>
  <c r="F206" i="16"/>
  <c r="F262" i="16"/>
  <c r="F264" i="16"/>
  <c r="F250" i="16"/>
  <c r="F194" i="16"/>
  <c r="F165" i="16"/>
  <c r="F255" i="16"/>
  <c r="F112" i="16"/>
  <c r="F282" i="16"/>
  <c r="F270" i="16"/>
  <c r="F241" i="16"/>
  <c r="F82" i="16"/>
  <c r="F175" i="16"/>
  <c r="F29" i="16"/>
  <c r="F131" i="16"/>
  <c r="F297" i="16"/>
  <c r="F340" i="16"/>
  <c r="F254" i="16"/>
  <c r="F55" i="16"/>
  <c r="F170" i="16"/>
  <c r="F100" i="16"/>
  <c r="F195" i="16"/>
  <c r="F303" i="16"/>
  <c r="F132" i="16"/>
  <c r="F197" i="16"/>
  <c r="F302" i="16"/>
  <c r="F293" i="16"/>
  <c r="F77" i="16"/>
  <c r="F227" i="16"/>
  <c r="F33" i="16"/>
  <c r="F219" i="16"/>
  <c r="F137" i="16"/>
  <c r="F104" i="16"/>
  <c r="F95" i="16"/>
  <c r="F296" i="16"/>
  <c r="F346" i="16"/>
  <c r="F211" i="16"/>
  <c r="F180" i="16"/>
  <c r="F62" i="16"/>
  <c r="F44" i="16"/>
  <c r="F147" i="16"/>
  <c r="F265" i="16"/>
  <c r="F312" i="16"/>
  <c r="F259" i="16"/>
  <c r="F327" i="16"/>
  <c r="F237" i="16"/>
  <c r="F163" i="16"/>
  <c r="F317" i="16"/>
  <c r="F30" i="16"/>
  <c r="F202" i="16"/>
  <c r="F183" i="16"/>
  <c r="F74" i="16"/>
  <c r="F66" i="16"/>
  <c r="F278" i="16"/>
  <c r="F275" i="16"/>
  <c r="F94" i="16"/>
  <c r="F70" i="16"/>
  <c r="F324" i="16"/>
  <c r="F156" i="16"/>
  <c r="F151" i="16"/>
  <c r="F331" i="16"/>
  <c r="F51" i="16"/>
  <c r="F193" i="16"/>
  <c r="F300" i="16"/>
  <c r="F289" i="16"/>
  <c r="F328" i="16"/>
  <c r="F218" i="16"/>
  <c r="F102" i="16"/>
  <c r="F22" i="16"/>
  <c r="F329" i="16"/>
  <c r="F15" i="16"/>
  <c r="F319" i="16"/>
  <c r="F145" i="16"/>
  <c r="F224" i="16"/>
  <c r="F247" i="16"/>
  <c r="F28" i="16"/>
  <c r="F164" i="16"/>
  <c r="F85" i="16"/>
  <c r="F233" i="16"/>
  <c r="F188" i="16"/>
  <c r="F40" i="16"/>
  <c r="F182" i="16"/>
  <c r="F200" i="16"/>
  <c r="F12" i="16"/>
  <c r="F146" i="16"/>
  <c r="F205" i="16"/>
  <c r="F343" i="16"/>
  <c r="F207" i="16"/>
  <c r="F48" i="16"/>
  <c r="F186" i="16"/>
  <c r="F45" i="16"/>
  <c r="F8" i="16"/>
  <c r="F18" i="16"/>
  <c r="F208" i="16"/>
  <c r="F209" i="16"/>
  <c r="F352" i="16"/>
  <c r="F160" i="16"/>
  <c r="F13" i="16"/>
  <c r="F78" i="16"/>
  <c r="F59" i="16"/>
  <c r="F315" i="16"/>
  <c r="F41" i="16"/>
  <c r="F283" i="16"/>
  <c r="F63" i="16"/>
  <c r="F256" i="16"/>
  <c r="F191" i="16"/>
  <c r="F171" i="16"/>
  <c r="F166" i="16"/>
  <c r="F310" i="16"/>
  <c r="F238" i="16"/>
  <c r="F155" i="16"/>
  <c r="F47" i="16"/>
  <c r="F120" i="16"/>
  <c r="F71" i="16"/>
  <c r="F311" i="16"/>
  <c r="F64" i="16"/>
  <c r="F128" i="16"/>
  <c r="F108" i="16"/>
  <c r="F305" i="16"/>
  <c r="F148" i="16"/>
  <c r="F271" i="16"/>
  <c r="F334" i="16"/>
  <c r="F119" i="16"/>
  <c r="F73" i="16"/>
  <c r="F277" i="16"/>
  <c r="F98" i="16"/>
  <c r="F244" i="16"/>
  <c r="F101" i="16"/>
  <c r="F126" i="16"/>
  <c r="F39" i="16"/>
  <c r="F127" i="16"/>
  <c r="F190" i="16"/>
  <c r="F223" i="16"/>
  <c r="F267" i="16"/>
  <c r="F79" i="16"/>
  <c r="F122" i="16"/>
  <c r="F351" i="16"/>
  <c r="F185" i="16"/>
  <c r="F118" i="16"/>
  <c r="F335" i="16"/>
  <c r="F32" i="16"/>
  <c r="F213" i="16"/>
  <c r="F88" i="16"/>
  <c r="F116" i="16"/>
  <c r="F236" i="16"/>
  <c r="F129" i="16"/>
  <c r="F249" i="16"/>
  <c r="F232" i="16"/>
  <c r="F322" i="16"/>
  <c r="F93" i="16"/>
  <c r="F24" i="16"/>
  <c r="F273" i="16"/>
  <c r="F269" i="16"/>
  <c r="F68" i="16"/>
  <c r="F321" i="16"/>
  <c r="F23" i="16"/>
  <c r="F274" i="16"/>
  <c r="F199" i="16"/>
  <c r="F7" i="16"/>
  <c r="AG6" i="44"/>
  <c r="F142" i="16"/>
  <c r="F295" i="16"/>
  <c r="F34" i="16"/>
  <c r="F27" i="16"/>
  <c r="F117" i="16"/>
  <c r="F141" i="16"/>
  <c r="F258" i="16"/>
  <c r="F20" i="16"/>
  <c r="F266" i="16"/>
  <c r="F76" i="16"/>
  <c r="F309" i="16"/>
  <c r="F260" i="16"/>
  <c r="F109" i="16"/>
  <c r="F152" i="16"/>
  <c r="F217" i="16"/>
  <c r="F231" i="16"/>
  <c r="F115" i="16"/>
  <c r="F314" i="16"/>
  <c r="F240" i="16"/>
  <c r="F178" i="16"/>
  <c r="F272" i="16"/>
  <c r="F135" i="16"/>
  <c r="F86" i="16"/>
  <c r="F284" i="16"/>
  <c r="F92" i="16"/>
  <c r="F345" i="16"/>
  <c r="F61" i="16"/>
  <c r="F158" i="16"/>
  <c r="F96" i="16"/>
  <c r="F136" i="16"/>
  <c r="F332" i="16"/>
  <c r="F10" i="16"/>
  <c r="F246" i="16"/>
  <c r="F294" i="16"/>
  <c r="F110" i="16"/>
  <c r="F58" i="16"/>
  <c r="F150" i="16"/>
  <c r="F316" i="16"/>
  <c r="F306" i="16"/>
  <c r="F187" i="16"/>
  <c r="F214" i="16"/>
  <c r="F201" i="16"/>
  <c r="F230" i="16"/>
  <c r="F57" i="16"/>
  <c r="F234" i="16"/>
  <c r="F350" i="16"/>
  <c r="F220" i="16"/>
  <c r="F291" i="16"/>
  <c r="F261" i="16"/>
  <c r="F121" i="16"/>
  <c r="F14" i="16"/>
  <c r="F46" i="16"/>
  <c r="F280" i="16"/>
  <c r="F339" i="16"/>
  <c r="F149" i="16"/>
  <c r="F318" i="16"/>
  <c r="F31" i="16"/>
  <c r="F168" i="16"/>
  <c r="F248" i="16"/>
  <c r="F162" i="16"/>
  <c r="F97" i="16"/>
  <c r="F125" i="16"/>
  <c r="F26" i="16"/>
  <c r="F19" i="16"/>
  <c r="F210" i="16"/>
  <c r="F222" i="16"/>
  <c r="F287" i="16"/>
  <c r="F54" i="16"/>
  <c r="F181" i="16"/>
  <c r="F292" i="16"/>
  <c r="F348" i="16"/>
  <c r="F198" i="16"/>
  <c r="F192" i="16"/>
  <c r="F301" i="16"/>
  <c r="F90" i="16"/>
  <c r="F179" i="16"/>
  <c r="F172" i="16"/>
  <c r="F17" i="16"/>
  <c r="F133" i="16"/>
  <c r="F105" i="16"/>
  <c r="F157" i="16"/>
  <c r="Q216" i="16" l="1"/>
  <c r="E211" i="41" s="1"/>
  <c r="Q315" i="16"/>
  <c r="E310" i="41" s="1"/>
  <c r="Q323" i="16"/>
  <c r="E318" i="41" s="1"/>
  <c r="G199" i="31"/>
  <c r="Q299" i="16"/>
  <c r="E294" i="41" s="1"/>
  <c r="D206" i="42"/>
  <c r="Q46" i="16"/>
  <c r="E41" i="41" s="1"/>
  <c r="Q31" i="16"/>
  <c r="E26" i="41" s="1"/>
  <c r="Q36" i="16"/>
  <c r="E31" i="41" s="1"/>
  <c r="Q207" i="16"/>
  <c r="E202" i="41" s="1"/>
  <c r="Q117" i="16"/>
  <c r="E112" i="41" s="1"/>
  <c r="D170" i="42"/>
  <c r="Q50" i="16"/>
  <c r="E45" i="41" s="1"/>
  <c r="Q171" i="16"/>
  <c r="E166" i="41" s="1"/>
  <c r="G265" i="31"/>
  <c r="Q338" i="16"/>
  <c r="E333" i="41" s="1"/>
  <c r="Q311" i="16"/>
  <c r="E306" i="41" s="1"/>
  <c r="Q45" i="16"/>
  <c r="E40" i="41" s="1"/>
  <c r="Q142" i="16"/>
  <c r="E137" i="41" s="1"/>
  <c r="Q106" i="16"/>
  <c r="E101" i="41" s="1"/>
  <c r="Q59" i="16"/>
  <c r="E54" i="41" s="1"/>
  <c r="G223" i="31"/>
  <c r="D192" i="42"/>
  <c r="Q208" i="16"/>
  <c r="E203" i="41" s="1"/>
  <c r="Q51" i="16"/>
  <c r="E46" i="41" s="1"/>
  <c r="G220" i="31"/>
  <c r="G20" i="31"/>
  <c r="Q70" i="16"/>
  <c r="E65" i="41" s="1"/>
  <c r="Q104" i="16"/>
  <c r="E99" i="41" s="1"/>
  <c r="Q87" i="16" l="1"/>
  <c r="E82" i="41" s="1"/>
  <c r="D83" i="42"/>
  <c r="G87" i="31"/>
  <c r="D295" i="42"/>
  <c r="D212" i="42"/>
  <c r="Q121" i="16"/>
  <c r="E116" i="41" s="1"/>
  <c r="D117" i="42"/>
  <c r="G121" i="31"/>
  <c r="G216" i="31"/>
  <c r="D311" i="42"/>
  <c r="G315" i="31"/>
  <c r="D319" i="42"/>
  <c r="D195" i="42"/>
  <c r="Q132" i="16"/>
  <c r="E127" i="41" s="1"/>
  <c r="G323" i="31"/>
  <c r="G132" i="31"/>
  <c r="D128" i="42"/>
  <c r="G210" i="31"/>
  <c r="Q199" i="16"/>
  <c r="E194" i="41" s="1"/>
  <c r="D336" i="42"/>
  <c r="Q340" i="16"/>
  <c r="E335" i="41" s="1"/>
  <c r="Q210" i="16"/>
  <c r="E205" i="41" s="1"/>
  <c r="G340" i="31"/>
  <c r="Q79" i="16"/>
  <c r="E74" i="41" s="1"/>
  <c r="G299" i="31"/>
  <c r="D75" i="42"/>
  <c r="G79" i="31"/>
  <c r="G13" i="31"/>
  <c r="G46" i="31"/>
  <c r="Q13" i="16"/>
  <c r="E8" i="41" s="1"/>
  <c r="D9" i="42"/>
  <c r="D42" i="42"/>
  <c r="D32" i="42"/>
  <c r="G36" i="31"/>
  <c r="G31" i="31"/>
  <c r="G242" i="31"/>
  <c r="D238" i="42"/>
  <c r="Q242" i="16"/>
  <c r="E237" i="41" s="1"/>
  <c r="D113" i="42"/>
  <c r="G117" i="31"/>
  <c r="D27" i="42"/>
  <c r="D203" i="42"/>
  <c r="G207" i="31"/>
  <c r="G174" i="31"/>
  <c r="Q174" i="16"/>
  <c r="E169" i="41" s="1"/>
  <c r="D252" i="42"/>
  <c r="G256" i="31"/>
  <c r="G125" i="31"/>
  <c r="Q219" i="16"/>
  <c r="E214" i="41" s="1"/>
  <c r="G301" i="31"/>
  <c r="D204" i="42"/>
  <c r="Q239" i="16"/>
  <c r="E234" i="41" s="1"/>
  <c r="G208" i="31"/>
  <c r="G239" i="31"/>
  <c r="G50" i="31"/>
  <c r="Q301" i="16"/>
  <c r="E296" i="41" s="1"/>
  <c r="D46" i="42"/>
  <c r="D167" i="42"/>
  <c r="D121" i="42"/>
  <c r="D297" i="42"/>
  <c r="D17" i="42"/>
  <c r="G21" i="31"/>
  <c r="Q21" i="16"/>
  <c r="E16" i="41" s="1"/>
  <c r="G196" i="31"/>
  <c r="Q196" i="16"/>
  <c r="E191" i="41" s="1"/>
  <c r="D103" i="42"/>
  <c r="D161" i="42"/>
  <c r="G107" i="31"/>
  <c r="Q256" i="16"/>
  <c r="E251" i="41" s="1"/>
  <c r="G219" i="31"/>
  <c r="G165" i="31"/>
  <c r="D215" i="42"/>
  <c r="Q223" i="16"/>
  <c r="E218" i="41" s="1"/>
  <c r="D321" i="42"/>
  <c r="Q107" i="16"/>
  <c r="E102" i="41" s="1"/>
  <c r="G325" i="31"/>
  <c r="Q325" i="16"/>
  <c r="E320" i="41" s="1"/>
  <c r="D138" i="42"/>
  <c r="G142" i="31"/>
  <c r="D41" i="42"/>
  <c r="G123" i="31"/>
  <c r="G45" i="31"/>
  <c r="D171" i="42"/>
  <c r="D334" i="42"/>
  <c r="G281" i="31"/>
  <c r="G175" i="31"/>
  <c r="G338" i="31"/>
  <c r="Q175" i="16"/>
  <c r="E170" i="41" s="1"/>
  <c r="D261" i="42"/>
  <c r="Q265" i="16"/>
  <c r="E260" i="41" s="1"/>
  <c r="D277" i="42"/>
  <c r="D235" i="42"/>
  <c r="D216" i="42"/>
  <c r="G171" i="31"/>
  <c r="Q220" i="16"/>
  <c r="E215" i="41" s="1"/>
  <c r="G106" i="31"/>
  <c r="D307" i="42"/>
  <c r="D66" i="42"/>
  <c r="Q125" i="16"/>
  <c r="E120" i="41" s="1"/>
  <c r="G311" i="31"/>
  <c r="G70" i="31"/>
  <c r="Q165" i="16"/>
  <c r="E160" i="41" s="1"/>
  <c r="D183" i="42"/>
  <c r="Q281" i="16"/>
  <c r="E276" i="41" s="1"/>
  <c r="Q187" i="16"/>
  <c r="E182" i="41" s="1"/>
  <c r="D219" i="42"/>
  <c r="G59" i="31"/>
  <c r="D102" i="42"/>
  <c r="D298" i="42"/>
  <c r="D119" i="42"/>
  <c r="D100" i="42"/>
  <c r="D55" i="42"/>
  <c r="G187" i="31"/>
  <c r="D126" i="42"/>
  <c r="D337" i="42"/>
  <c r="G130" i="31"/>
  <c r="Q20" i="16"/>
  <c r="E15" i="41" s="1"/>
  <c r="G341" i="31"/>
  <c r="Q130" i="16"/>
  <c r="E125" i="41" s="1"/>
  <c r="Q341" i="16"/>
  <c r="E336" i="41" s="1"/>
  <c r="G302" i="31"/>
  <c r="G104" i="31"/>
  <c r="Q123" i="16"/>
  <c r="E118" i="41" s="1"/>
  <c r="G236" i="31"/>
  <c r="Q236" i="16"/>
  <c r="E231" i="41" s="1"/>
  <c r="G172" i="31"/>
  <c r="Q302" i="16"/>
  <c r="E297" i="41" s="1"/>
  <c r="Q172" i="16"/>
  <c r="E167" i="41" s="1"/>
  <c r="D232" i="42"/>
  <c r="D168" i="42"/>
  <c r="D47" i="42"/>
  <c r="G51" i="31"/>
  <c r="D16" i="42"/>
  <c r="Q307" i="16"/>
  <c r="E302" i="41" s="1"/>
  <c r="G307" i="31"/>
  <c r="D303" i="42"/>
  <c r="Q272" i="16"/>
  <c r="E267" i="41" s="1"/>
  <c r="G272" i="31"/>
  <c r="D268" i="42"/>
  <c r="Q322" i="16"/>
  <c r="E317" i="41" s="1"/>
  <c r="D318" i="42"/>
  <c r="G322" i="31"/>
  <c r="Q329" i="16"/>
  <c r="E324" i="41" s="1"/>
  <c r="G329" i="31"/>
  <c r="D325" i="42"/>
  <c r="Q247" i="16"/>
  <c r="E242" i="41" s="1"/>
  <c r="G247" i="31"/>
  <c r="D243" i="42"/>
  <c r="Q189" i="16"/>
  <c r="E184" i="41" s="1"/>
  <c r="G189" i="31"/>
  <c r="D185" i="42"/>
  <c r="Q260" i="16"/>
  <c r="E255" i="41" s="1"/>
  <c r="G260" i="31"/>
  <c r="D256" i="42"/>
  <c r="Q200" i="16"/>
  <c r="E195" i="41" s="1"/>
  <c r="G200" i="31"/>
  <c r="D196" i="42"/>
  <c r="Q312" i="16"/>
  <c r="E307" i="41" s="1"/>
  <c r="D308" i="42"/>
  <c r="G312" i="31"/>
  <c r="Q209" i="16"/>
  <c r="E204" i="41" s="1"/>
  <c r="D205" i="42"/>
  <c r="G209" i="31"/>
  <c r="Q162" i="16"/>
  <c r="E157" i="41" s="1"/>
  <c r="G162" i="31"/>
  <c r="D158" i="42"/>
  <c r="Q122" i="16"/>
  <c r="E117" i="41" s="1"/>
  <c r="G122" i="31"/>
  <c r="D118" i="42"/>
  <c r="Q298" i="16" l="1"/>
  <c r="E293" i="41" s="1"/>
  <c r="D294" i="42"/>
  <c r="G298" i="31"/>
  <c r="Q337" i="16"/>
  <c r="E332" i="41" s="1"/>
  <c r="G337" i="31"/>
  <c r="D333" i="42"/>
  <c r="Q78" i="16"/>
  <c r="E73" i="41" s="1"/>
  <c r="G78" i="31"/>
  <c r="D74" i="42"/>
  <c r="D189" i="42"/>
  <c r="Q193" i="16"/>
  <c r="E188" i="41" s="1"/>
  <c r="G193" i="31"/>
  <c r="Q234" i="16"/>
  <c r="E229" i="41" s="1"/>
  <c r="G234" i="31"/>
  <c r="D230" i="42"/>
  <c r="Q82" i="16"/>
  <c r="E77" i="41" s="1"/>
  <c r="G82" i="31"/>
  <c r="D78" i="42"/>
  <c r="Q255" i="16"/>
  <c r="E250" i="41" s="1"/>
  <c r="G255" i="31"/>
  <c r="D251" i="42"/>
  <c r="D345" i="42"/>
  <c r="Q349" i="16"/>
  <c r="E344" i="41" s="1"/>
  <c r="G349" i="31"/>
  <c r="Q243" i="16"/>
  <c r="E238" i="41" s="1"/>
  <c r="G243" i="31"/>
  <c r="D239" i="42"/>
  <c r="Q101" i="16"/>
  <c r="E96" i="41" s="1"/>
  <c r="G101" i="31"/>
  <c r="D97" i="42"/>
  <c r="Q215" i="16"/>
  <c r="E210" i="41" s="1"/>
  <c r="G215" i="31"/>
  <c r="D211" i="42"/>
  <c r="Q347" i="16"/>
  <c r="E342" i="41" s="1"/>
  <c r="G347" i="31"/>
  <c r="D343" i="42"/>
  <c r="D188" i="42"/>
  <c r="Q192" i="16"/>
  <c r="E187" i="41" s="1"/>
  <c r="G192" i="31"/>
  <c r="Q146" i="16"/>
  <c r="E141" i="41" s="1"/>
  <c r="G146" i="31"/>
  <c r="D142" i="42"/>
  <c r="Q249" i="16"/>
  <c r="E244" i="41" s="1"/>
  <c r="G249" i="31"/>
  <c r="D245" i="42"/>
  <c r="Q252" i="16"/>
  <c r="E247" i="41" s="1"/>
  <c r="D248" i="42"/>
  <c r="G252" i="31"/>
  <c r="G259" i="31"/>
  <c r="D255" i="42"/>
  <c r="Q259" i="16"/>
  <c r="E254" i="41" s="1"/>
  <c r="Q145" i="16"/>
  <c r="E140" i="41" s="1"/>
  <c r="G145" i="31"/>
  <c r="D141" i="42"/>
  <c r="Q40" i="16"/>
  <c r="E35" i="41" s="1"/>
  <c r="G40" i="31"/>
  <c r="D36" i="42"/>
  <c r="D146" i="42"/>
  <c r="Q150" i="16"/>
  <c r="E145" i="41" s="1"/>
  <c r="G150" i="31"/>
  <c r="Q335" i="16"/>
  <c r="E330" i="41" s="1"/>
  <c r="G335" i="31"/>
  <c r="D331" i="42"/>
  <c r="G17" i="31"/>
  <c r="Q17" i="16"/>
  <c r="E12" i="41" s="1"/>
  <c r="D13" i="42"/>
  <c r="Q350" i="16"/>
  <c r="E345" i="41" s="1"/>
  <c r="G350" i="31"/>
  <c r="D346" i="42"/>
  <c r="Q204" i="16"/>
  <c r="E199" i="41" s="1"/>
  <c r="G204" i="31"/>
  <c r="D200" i="42"/>
  <c r="G151" i="31"/>
  <c r="Q151" i="16"/>
  <c r="E146" i="41" s="1"/>
  <c r="D147" i="42"/>
  <c r="Q84" i="16"/>
  <c r="E79" i="41" s="1"/>
  <c r="G84" i="31"/>
  <c r="D80" i="42"/>
  <c r="Q48" i="16"/>
  <c r="E43" i="41" s="1"/>
  <c r="G48" i="31"/>
  <c r="D44" i="42"/>
  <c r="Q43" i="16"/>
  <c r="E38" i="41" s="1"/>
  <c r="G43" i="31"/>
  <c r="D39" i="42"/>
  <c r="Q266" i="16"/>
  <c r="E261" i="41" s="1"/>
  <c r="G266" i="31"/>
  <c r="D262" i="42"/>
  <c r="Q310" i="16"/>
  <c r="E305" i="41" s="1"/>
  <c r="G310" i="31"/>
  <c r="D306" i="42"/>
  <c r="Q113" i="16"/>
  <c r="E108" i="41" s="1"/>
  <c r="G113" i="31"/>
  <c r="D109" i="42"/>
  <c r="Q214" i="16"/>
  <c r="E209" i="41" s="1"/>
  <c r="G214" i="31"/>
  <c r="D210" i="42"/>
  <c r="Q138" i="16"/>
  <c r="E133" i="41" s="1"/>
  <c r="G138" i="31"/>
  <c r="D134" i="42"/>
  <c r="Q285" i="16"/>
  <c r="E280" i="41" s="1"/>
  <c r="G285" i="31"/>
  <c r="D281" i="42"/>
  <c r="G197" i="31"/>
  <c r="D193" i="42"/>
  <c r="Q197" i="16"/>
  <c r="E192" i="41" s="1"/>
  <c r="Q344" i="16"/>
  <c r="E339" i="41" s="1"/>
  <c r="D340" i="42"/>
  <c r="G344" i="31"/>
  <c r="Q148" i="16"/>
  <c r="E143" i="41" s="1"/>
  <c r="G148" i="31"/>
  <c r="D144" i="42"/>
  <c r="Q268" i="16"/>
  <c r="E263" i="41" s="1"/>
  <c r="G268" i="31"/>
  <c r="D264" i="42"/>
  <c r="Q228" i="16"/>
  <c r="E223" i="41" s="1"/>
  <c r="G228" i="31"/>
  <c r="D224" i="42"/>
  <c r="Q140" i="16"/>
  <c r="E135" i="41" s="1"/>
  <c r="G140" i="31"/>
  <c r="D136" i="42"/>
  <c r="Q71" i="16"/>
  <c r="E66" i="41" s="1"/>
  <c r="G71" i="31"/>
  <c r="D67" i="42"/>
  <c r="Q309" i="16"/>
  <c r="E304" i="41" s="1"/>
  <c r="G309" i="31"/>
  <c r="D305" i="42"/>
  <c r="Q89" i="16"/>
  <c r="E84" i="41" s="1"/>
  <c r="D85" i="42"/>
  <c r="G89" i="31"/>
  <c r="Q294" i="16"/>
  <c r="E289" i="41" s="1"/>
  <c r="G294" i="31"/>
  <c r="D290" i="42"/>
  <c r="Q314" i="16"/>
  <c r="E309" i="41" s="1"/>
  <c r="G314" i="31"/>
  <c r="D310" i="42"/>
  <c r="Q95" i="16"/>
  <c r="E90" i="41" s="1"/>
  <c r="G95" i="31"/>
  <c r="D91" i="42"/>
  <c r="Q58" i="16"/>
  <c r="E53" i="41" s="1"/>
  <c r="D54" i="42"/>
  <c r="G58" i="31"/>
  <c r="Q319" i="16"/>
  <c r="E314" i="41" s="1"/>
  <c r="G319" i="31"/>
  <c r="D315" i="42"/>
  <c r="Q8" i="16"/>
  <c r="E3" i="41" s="1"/>
  <c r="G8" i="31"/>
  <c r="D4" i="42"/>
  <c r="Q44" i="16"/>
  <c r="E39" i="41" s="1"/>
  <c r="G44" i="31"/>
  <c r="D40" i="42"/>
  <c r="Q182" i="16"/>
  <c r="E177" i="41" s="1"/>
  <c r="G182" i="31"/>
  <c r="D178" i="42"/>
  <c r="Q69" i="16"/>
  <c r="E64" i="41" s="1"/>
  <c r="G69" i="31"/>
  <c r="D65" i="42"/>
  <c r="Q202" i="16"/>
  <c r="E197" i="41" s="1"/>
  <c r="G202" i="31"/>
  <c r="D198" i="42"/>
  <c r="Q168" i="16"/>
  <c r="E163" i="41" s="1"/>
  <c r="G168" i="31"/>
  <c r="D164" i="42"/>
  <c r="Q342" i="16"/>
  <c r="E337" i="41" s="1"/>
  <c r="G342" i="31"/>
  <c r="D338" i="42"/>
  <c r="G198" i="31"/>
  <c r="D194" i="42"/>
  <c r="Q198" i="16"/>
  <c r="E193" i="41" s="1"/>
  <c r="Q170" i="16"/>
  <c r="E165" i="41" s="1"/>
  <c r="G170" i="31"/>
  <c r="D166" i="42"/>
  <c r="Q339" i="16"/>
  <c r="E334" i="41" s="1"/>
  <c r="G339" i="31"/>
  <c r="D335" i="42"/>
  <c r="Q42" i="16"/>
  <c r="E37" i="41" s="1"/>
  <c r="D38" i="42"/>
  <c r="G42" i="31"/>
  <c r="Q116" i="16"/>
  <c r="E111" i="41" s="1"/>
  <c r="G116" i="31"/>
  <c r="D112" i="42"/>
  <c r="Q11" i="16"/>
  <c r="E6" i="41" s="1"/>
  <c r="G11" i="31"/>
  <c r="D7" i="42"/>
  <c r="Q80" i="16"/>
  <c r="E75" i="41" s="1"/>
  <c r="D76" i="42"/>
  <c r="G80" i="31"/>
  <c r="Q290" i="16"/>
  <c r="E285" i="41" s="1"/>
  <c r="G290" i="31"/>
  <c r="D286" i="42"/>
  <c r="D291" i="42"/>
  <c r="Q295" i="16"/>
  <c r="E290" i="41" s="1"/>
  <c r="G295" i="31"/>
  <c r="Q181" i="16"/>
  <c r="E176" i="41" s="1"/>
  <c r="G181" i="31"/>
  <c r="D177" i="42"/>
  <c r="G262" i="31"/>
  <c r="D258" i="42"/>
  <c r="Q262" i="16"/>
  <c r="E257" i="41" s="1"/>
  <c r="D330" i="42"/>
  <c r="Q334" i="16"/>
  <c r="E329" i="41" s="1"/>
  <c r="G334" i="31"/>
  <c r="G29" i="31"/>
  <c r="Q29" i="16"/>
  <c r="E24" i="41" s="1"/>
  <c r="D25" i="42"/>
  <c r="Q93" i="16"/>
  <c r="E88" i="41" s="1"/>
  <c r="G93" i="31"/>
  <c r="D89" i="42"/>
  <c r="D259" i="42"/>
  <c r="Q263" i="16"/>
  <c r="E258" i="41" s="1"/>
  <c r="G263" i="31"/>
  <c r="G53" i="31"/>
  <c r="D49" i="42"/>
  <c r="Q53" i="16"/>
  <c r="E48" i="41" s="1"/>
  <c r="Q303" i="16"/>
  <c r="E298" i="41" s="1"/>
  <c r="G303" i="31"/>
  <c r="D299" i="42"/>
  <c r="D289" i="42"/>
  <c r="Q293" i="16"/>
  <c r="E288" i="41" s="1"/>
  <c r="G293" i="31"/>
  <c r="Q56" i="16"/>
  <c r="E51" i="41" s="1"/>
  <c r="G56" i="31"/>
  <c r="D52" i="42"/>
  <c r="G244" i="31"/>
  <c r="Q244" i="16"/>
  <c r="E239" i="41" s="1"/>
  <c r="D240" i="42"/>
  <c r="Q103" i="16"/>
  <c r="E98" i="41" s="1"/>
  <c r="G103" i="31"/>
  <c r="D99" i="42"/>
  <c r="Q183" i="16"/>
  <c r="E178" i="41" s="1"/>
  <c r="G183" i="31"/>
  <c r="D179" i="42"/>
  <c r="D111" i="42"/>
  <c r="Q115" i="16"/>
  <c r="E110" i="41" s="1"/>
  <c r="G115" i="31"/>
  <c r="Q194" i="16"/>
  <c r="E189" i="41" s="1"/>
  <c r="G194" i="31"/>
  <c r="D190" i="42"/>
  <c r="D201" i="42"/>
  <c r="Q205" i="16"/>
  <c r="E200" i="41" s="1"/>
  <c r="G205" i="31"/>
  <c r="D316" i="42"/>
  <c r="Q320" i="16"/>
  <c r="E315" i="41" s="1"/>
  <c r="G320" i="31"/>
  <c r="Q52" i="16"/>
  <c r="E47" i="41" s="1"/>
  <c r="G52" i="31"/>
  <c r="D48" i="42"/>
  <c r="Q332" i="16"/>
  <c r="E327" i="41" s="1"/>
  <c r="D328" i="42"/>
  <c r="G332" i="31"/>
  <c r="D72" i="42"/>
  <c r="Q76" i="16"/>
  <c r="E71" i="41" s="1"/>
  <c r="G76" i="31"/>
  <c r="G24" i="31"/>
  <c r="Q24" i="16"/>
  <c r="E19" i="41" s="1"/>
  <c r="D20" i="42"/>
  <c r="G261" i="31"/>
  <c r="Q261" i="16"/>
  <c r="E256" i="41" s="1"/>
  <c r="D257" i="42"/>
  <c r="Q167" i="16"/>
  <c r="E162" i="41" s="1"/>
  <c r="G167" i="31"/>
  <c r="D163" i="42"/>
  <c r="Q109" i="16"/>
  <c r="E104" i="41" s="1"/>
  <c r="G109" i="31"/>
  <c r="D105" i="42"/>
  <c r="D254" i="42"/>
  <c r="Q258" i="16"/>
  <c r="E253" i="41" s="1"/>
  <c r="G258" i="31"/>
  <c r="Q139" i="16"/>
  <c r="E134" i="41" s="1"/>
  <c r="G139" i="31"/>
  <c r="D135" i="42"/>
  <c r="Q81" i="16"/>
  <c r="E76" i="41" s="1"/>
  <c r="G81" i="31"/>
  <c r="D77" i="42"/>
  <c r="Q352" i="16"/>
  <c r="E347" i="41" s="1"/>
  <c r="G352" i="31"/>
  <c r="D348" i="42"/>
  <c r="G149" i="31"/>
  <c r="Q149" i="16"/>
  <c r="E144" i="41" s="1"/>
  <c r="D145" i="42"/>
  <c r="Q221" i="16"/>
  <c r="E216" i="41" s="1"/>
  <c r="G221" i="31"/>
  <c r="D217" i="42"/>
  <c r="Q250" i="16"/>
  <c r="E245" i="41" s="1"/>
  <c r="G250" i="31"/>
  <c r="D246" i="42"/>
  <c r="Q26" i="16"/>
  <c r="E21" i="41" s="1"/>
  <c r="G26" i="31"/>
  <c r="D22" i="42"/>
  <c r="Q22" i="16"/>
  <c r="E17" i="41" s="1"/>
  <c r="G22" i="31"/>
  <c r="D18" i="42"/>
  <c r="Q96" i="16"/>
  <c r="E91" i="41" s="1"/>
  <c r="G96" i="31"/>
  <c r="D92" i="42"/>
  <c r="Q129" i="16"/>
  <c r="E124" i="41" s="1"/>
  <c r="G129" i="31"/>
  <c r="D125" i="42"/>
  <c r="Q152" i="16"/>
  <c r="E147" i="41" s="1"/>
  <c r="G152" i="31"/>
  <c r="D148" i="42"/>
  <c r="G35" i="31"/>
  <c r="Q35" i="16"/>
  <c r="E30" i="41" s="1"/>
  <c r="D31" i="42"/>
  <c r="Q331" i="16"/>
  <c r="E326" i="41" s="1"/>
  <c r="G331" i="31"/>
  <c r="D327" i="42"/>
  <c r="Q286" i="16"/>
  <c r="E281" i="41" s="1"/>
  <c r="G286" i="31"/>
  <c r="D282" i="42"/>
  <c r="Q131" i="16"/>
  <c r="E126" i="41" s="1"/>
  <c r="G131" i="31"/>
  <c r="D127" i="42"/>
  <c r="Q54" i="16"/>
  <c r="E49" i="41" s="1"/>
  <c r="G54" i="31"/>
  <c r="D50" i="42"/>
  <c r="Q19" i="16"/>
  <c r="E14" i="41" s="1"/>
  <c r="G19" i="31"/>
  <c r="D15" i="42"/>
  <c r="D231" i="42"/>
  <c r="Q235" i="16"/>
  <c r="E230" i="41" s="1"/>
  <c r="G235" i="31"/>
  <c r="Q213" i="16"/>
  <c r="E208" i="41" s="1"/>
  <c r="D209" i="42"/>
  <c r="G213" i="31"/>
  <c r="D283" i="42"/>
  <c r="Q287" i="16"/>
  <c r="E282" i="41" s="1"/>
  <c r="G287" i="31"/>
  <c r="Q330" i="16"/>
  <c r="E325" i="41" s="1"/>
  <c r="G330" i="31"/>
  <c r="D326" i="42"/>
  <c r="Q222" i="16"/>
  <c r="E217" i="41" s="1"/>
  <c r="G222" i="31"/>
  <c r="D218" i="42"/>
  <c r="D59" i="42"/>
  <c r="Q63" i="16"/>
  <c r="E58" i="41" s="1"/>
  <c r="G63" i="31"/>
  <c r="Q291" i="16"/>
  <c r="E286" i="41" s="1"/>
  <c r="D287" i="42"/>
  <c r="G291" i="31"/>
  <c r="Q238" i="16"/>
  <c r="E233" i="41" s="1"/>
  <c r="G238" i="31"/>
  <c r="D234" i="42"/>
  <c r="Q173" i="16"/>
  <c r="E168" i="41" s="1"/>
  <c r="G173" i="31"/>
  <c r="D169" i="42"/>
  <c r="Q102" i="16"/>
  <c r="E97" i="41" s="1"/>
  <c r="G102" i="31"/>
  <c r="D98" i="42"/>
  <c r="Q226" i="16"/>
  <c r="E221" i="41" s="1"/>
  <c r="G226" i="31"/>
  <c r="D222" i="42"/>
  <c r="G124" i="31"/>
  <c r="Q124" i="16"/>
  <c r="E119" i="41" s="1"/>
  <c r="D120" i="42"/>
  <c r="Q153" i="16"/>
  <c r="E148" i="41" s="1"/>
  <c r="G153" i="31"/>
  <c r="D149" i="42"/>
  <c r="Q38" i="16"/>
  <c r="E33" i="41" s="1"/>
  <c r="G38" i="31"/>
  <c r="D34" i="42"/>
  <c r="G88" i="31"/>
  <c r="D84" i="42"/>
  <c r="Q88" i="16"/>
  <c r="E83" i="41" s="1"/>
  <c r="Q233" i="16"/>
  <c r="E228" i="41" s="1"/>
  <c r="G233" i="31"/>
  <c r="D229" i="42"/>
  <c r="Q225" i="16"/>
  <c r="E220" i="41" s="1"/>
  <c r="G225" i="31"/>
  <c r="D221" i="42"/>
  <c r="D62" i="42" l="1"/>
  <c r="Q66" i="16"/>
  <c r="E61" i="41" s="1"/>
  <c r="G66" i="31"/>
  <c r="D174" i="42"/>
  <c r="G178" i="31"/>
  <c r="Q178" i="16"/>
  <c r="E173" i="41" s="1"/>
  <c r="D339" i="42"/>
  <c r="G343" i="31"/>
  <c r="Q343" i="16"/>
  <c r="E338" i="41" s="1"/>
  <c r="Q277" i="16"/>
  <c r="E272" i="41" s="1"/>
  <c r="G277" i="31"/>
  <c r="D273" i="42"/>
  <c r="Q328" i="16"/>
  <c r="E323" i="41" s="1"/>
  <c r="G328" i="31"/>
  <c r="D324" i="42"/>
  <c r="Q72" i="16"/>
  <c r="E67" i="41" s="1"/>
  <c r="D68" i="42"/>
  <c r="G72" i="31"/>
  <c r="G14" i="31"/>
  <c r="Q14" i="16"/>
  <c r="E9" i="41" s="1"/>
  <c r="D10" i="42"/>
  <c r="Q86" i="16"/>
  <c r="E81" i="41" s="1"/>
  <c r="G86" i="31"/>
  <c r="D82" i="42"/>
  <c r="D30" i="42"/>
  <c r="Q34" i="16"/>
  <c r="E29" i="41" s="1"/>
  <c r="G34" i="31"/>
  <c r="Q157" i="16"/>
  <c r="E152" i="41" s="1"/>
  <c r="G157" i="31"/>
  <c r="D153" i="42"/>
  <c r="G118" i="31"/>
  <c r="D114" i="42"/>
  <c r="Q118" i="16"/>
  <c r="E113" i="41" s="1"/>
  <c r="Q348" i="16"/>
  <c r="E343" i="41" s="1"/>
  <c r="G348" i="31"/>
  <c r="D344" i="42"/>
  <c r="G25" i="31"/>
  <c r="D21" i="42"/>
  <c r="Q25" i="16"/>
  <c r="E20" i="41" s="1"/>
  <c r="D151" i="42"/>
  <c r="Q155" i="16"/>
  <c r="E150" i="41" s="1"/>
  <c r="G155" i="31"/>
  <c r="Q304" i="16"/>
  <c r="E299" i="41" s="1"/>
  <c r="G304" i="31"/>
  <c r="D300" i="42"/>
  <c r="Q180" i="16"/>
  <c r="E175" i="41" s="1"/>
  <c r="G180" i="31"/>
  <c r="D176" i="42"/>
  <c r="Q112" i="16"/>
  <c r="E107" i="41" s="1"/>
  <c r="G112" i="31"/>
  <c r="D108" i="42"/>
  <c r="Q67" i="16"/>
  <c r="E62" i="41" s="1"/>
  <c r="G67" i="31"/>
  <c r="D63" i="42"/>
  <c r="D329" i="42"/>
  <c r="Q333" i="16"/>
  <c r="E328" i="41" s="1"/>
  <c r="G333" i="31"/>
  <c r="D11" i="42"/>
  <c r="Q15" i="16"/>
  <c r="E10" i="41" s="1"/>
  <c r="G15" i="31"/>
  <c r="Q316" i="16"/>
  <c r="E311" i="41" s="1"/>
  <c r="G316" i="31"/>
  <c r="D312" i="42"/>
  <c r="Q201" i="16"/>
  <c r="E196" i="41" s="1"/>
  <c r="G201" i="31"/>
  <c r="D197" i="42"/>
  <c r="Q284" i="16"/>
  <c r="E279" i="41" s="1"/>
  <c r="G284" i="31"/>
  <c r="D280" i="42"/>
  <c r="Q212" i="16"/>
  <c r="E207" i="41" s="1"/>
  <c r="G212" i="31"/>
  <c r="D208" i="42"/>
  <c r="D296" i="42"/>
  <c r="Q300" i="16"/>
  <c r="E295" i="41" s="1"/>
  <c r="G300" i="31"/>
  <c r="G100" i="31"/>
  <c r="Q100" i="16"/>
  <c r="E95" i="41" s="1"/>
  <c r="D96" i="42"/>
  <c r="Q241" i="16"/>
  <c r="E236" i="41" s="1"/>
  <c r="G241" i="31"/>
  <c r="D237" i="42"/>
  <c r="G273" i="31"/>
  <c r="Q273" i="16"/>
  <c r="E268" i="41" s="1"/>
  <c r="D269" i="42"/>
  <c r="D320" i="42"/>
  <c r="G324" i="31"/>
  <c r="Q324" i="16"/>
  <c r="E319" i="41" s="1"/>
  <c r="G224" i="31"/>
  <c r="Q224" i="16"/>
  <c r="E219" i="41" s="1"/>
  <c r="D220" i="42"/>
  <c r="Q211" i="16"/>
  <c r="E206" i="41" s="1"/>
  <c r="G211" i="31"/>
  <c r="D207" i="42"/>
  <c r="Q176" i="16"/>
  <c r="E171" i="41" s="1"/>
  <c r="G176" i="31"/>
  <c r="D172" i="42"/>
  <c r="Q16" i="16"/>
  <c r="E11" i="41" s="1"/>
  <c r="G16" i="31"/>
  <c r="D12" i="42"/>
  <c r="D313" i="42"/>
  <c r="Q317" i="16"/>
  <c r="E312" i="41" s="1"/>
  <c r="G317" i="31"/>
  <c r="Q134" i="16"/>
  <c r="E129" i="41" s="1"/>
  <c r="G134" i="31"/>
  <c r="D130" i="42"/>
  <c r="G278" i="31"/>
  <c r="D274" i="42"/>
  <c r="Q278" i="16"/>
  <c r="E273" i="41" s="1"/>
  <c r="Q251" i="16"/>
  <c r="E246" i="41" s="1"/>
  <c r="G251" i="31"/>
  <c r="D247" i="42"/>
  <c r="Q231" i="16"/>
  <c r="E226" i="41" s="1"/>
  <c r="G231" i="31"/>
  <c r="D227" i="42"/>
  <c r="Q73" i="16"/>
  <c r="E68" i="41" s="1"/>
  <c r="G73" i="31"/>
  <c r="D69" i="42"/>
  <c r="Q47" i="16"/>
  <c r="E42" i="41" s="1"/>
  <c r="G47" i="31"/>
  <c r="D43" i="42"/>
  <c r="Q126" i="16"/>
  <c r="E121" i="41" s="1"/>
  <c r="G126" i="31"/>
  <c r="D122" i="42"/>
  <c r="Q57" i="16"/>
  <c r="E52" i="41" s="1"/>
  <c r="G57" i="31"/>
  <c r="D53" i="42"/>
  <c r="D175" i="42"/>
  <c r="G179" i="31"/>
  <c r="Q179" i="16"/>
  <c r="E174" i="41" s="1"/>
  <c r="Q227" i="16"/>
  <c r="E222" i="41" s="1"/>
  <c r="G227" i="31"/>
  <c r="D223" i="42"/>
  <c r="Q143" i="16"/>
  <c r="E138" i="41" s="1"/>
  <c r="D139" i="42"/>
  <c r="G143" i="31"/>
  <c r="Q92" i="16"/>
  <c r="E87" i="41" s="1"/>
  <c r="G92" i="31"/>
  <c r="D88" i="42"/>
  <c r="Q147" i="16"/>
  <c r="E142" i="41" s="1"/>
  <c r="G147" i="31"/>
  <c r="D143" i="42"/>
  <c r="Q32" i="16"/>
  <c r="E27" i="41" s="1"/>
  <c r="G32" i="31"/>
  <c r="D28" i="42"/>
  <c r="Q108" i="16"/>
  <c r="E103" i="41" s="1"/>
  <c r="G108" i="31"/>
  <c r="D104" i="42"/>
  <c r="D249" i="42"/>
  <c r="Q253" i="16"/>
  <c r="E248" i="41" s="1"/>
  <c r="G253" i="31"/>
  <c r="D37" i="42"/>
  <c r="Q41" i="16"/>
  <c r="E36" i="41" s="1"/>
  <c r="G41" i="31"/>
  <c r="Q327" i="16"/>
  <c r="E322" i="41" s="1"/>
  <c r="G327" i="31"/>
  <c r="D323" i="42"/>
  <c r="Q274" i="16"/>
  <c r="E269" i="41" s="1"/>
  <c r="D270" i="42"/>
  <c r="G274" i="31"/>
  <c r="G217" i="31"/>
  <c r="D213" i="42"/>
  <c r="Q217" i="16"/>
  <c r="E212" i="41" s="1"/>
  <c r="D73" i="42"/>
  <c r="Q77" i="16"/>
  <c r="E72" i="41" s="1"/>
  <c r="G77" i="31"/>
  <c r="G257" i="31"/>
  <c r="Q257" i="16"/>
  <c r="E252" i="41" s="1"/>
  <c r="D253" i="42"/>
  <c r="Q74" i="16"/>
  <c r="E69" i="41" s="1"/>
  <c r="G74" i="31"/>
  <c r="D70" i="42"/>
  <c r="Q305" i="16"/>
  <c r="E300" i="41" s="1"/>
  <c r="G305" i="31"/>
  <c r="D301" i="42"/>
  <c r="Q289" i="16"/>
  <c r="E284" i="41" s="1"/>
  <c r="G289" i="31"/>
  <c r="D285" i="42"/>
  <c r="D156" i="42"/>
  <c r="G160" i="31"/>
  <c r="Q160" i="16"/>
  <c r="E155" i="41" s="1"/>
  <c r="G345" i="31"/>
  <c r="D341" i="42"/>
  <c r="Q345" i="16"/>
  <c r="E340" i="41" s="1"/>
  <c r="Q94" i="16"/>
  <c r="E89" i="41" s="1"/>
  <c r="G94" i="31"/>
  <c r="D90" i="42"/>
  <c r="G203" i="31"/>
  <c r="Q203" i="16"/>
  <c r="E198" i="41" s="1"/>
  <c r="D199" i="42"/>
  <c r="Q282" i="16"/>
  <c r="E277" i="41" s="1"/>
  <c r="G282" i="31"/>
  <c r="D278" i="42"/>
  <c r="D225" i="42"/>
  <c r="Q229" i="16"/>
  <c r="E224" i="41" s="1"/>
  <c r="G229" i="31"/>
  <c r="Q68" i="16"/>
  <c r="E63" i="41" s="1"/>
  <c r="G68" i="31"/>
  <c r="D64" i="42"/>
  <c r="D332" i="42"/>
  <c r="G336" i="31"/>
  <c r="Q336" i="16"/>
  <c r="E331" i="41" s="1"/>
  <c r="G306" i="31"/>
  <c r="D302" i="42"/>
  <c r="Q306" i="16"/>
  <c r="E301" i="41" s="1"/>
  <c r="Q105" i="16"/>
  <c r="E100" i="41" s="1"/>
  <c r="G105" i="31"/>
  <c r="D101" i="42"/>
  <c r="Q137" i="16"/>
  <c r="E132" i="41" s="1"/>
  <c r="G137" i="31"/>
  <c r="D133" i="42"/>
  <c r="Q33" i="16"/>
  <c r="E28" i="41" s="1"/>
  <c r="D29" i="42"/>
  <c r="G33" i="31"/>
  <c r="G114" i="31"/>
  <c r="Q114" i="16"/>
  <c r="E109" i="41" s="1"/>
  <c r="D110" i="42"/>
  <c r="Q27" i="16"/>
  <c r="E22" i="41" s="1"/>
  <c r="G27" i="31"/>
  <c r="D23" i="42"/>
  <c r="Q55" i="16"/>
  <c r="E50" i="41" s="1"/>
  <c r="G55" i="31"/>
  <c r="D51" i="42"/>
  <c r="Q23" i="16"/>
  <c r="E18" i="41" s="1"/>
  <c r="G23" i="31"/>
  <c r="D19" i="42"/>
  <c r="Q161" i="16"/>
  <c r="E156" i="41" s="1"/>
  <c r="D157" i="42"/>
  <c r="G161" i="31"/>
  <c r="Q133" i="16"/>
  <c r="E128" i="41" s="1"/>
  <c r="G133" i="31"/>
  <c r="D129" i="42"/>
  <c r="G110" i="31"/>
  <c r="Q110" i="16"/>
  <c r="E105" i="41" s="1"/>
  <c r="D106" i="42"/>
  <c r="Q159" i="16"/>
  <c r="E154" i="41" s="1"/>
  <c r="G159" i="31"/>
  <c r="D155" i="42"/>
  <c r="G64" i="31"/>
  <c r="Q64" i="16"/>
  <c r="E59" i="41" s="1"/>
  <c r="D60" i="42"/>
  <c r="D284" i="42"/>
  <c r="Q288" i="16"/>
  <c r="E283" i="41" s="1"/>
  <c r="G288" i="31"/>
  <c r="Q75" i="16"/>
  <c r="E70" i="41" s="1"/>
  <c r="D71" i="42"/>
  <c r="G75" i="31"/>
  <c r="D14" i="42"/>
  <c r="Q18" i="16"/>
  <c r="E13" i="41" s="1"/>
  <c r="G18" i="31"/>
  <c r="Q191" i="16"/>
  <c r="E186" i="41" s="1"/>
  <c r="D187" i="42"/>
  <c r="G191" i="31"/>
  <c r="G279" i="31"/>
  <c r="Q279" i="16"/>
  <c r="E274" i="41" s="1"/>
  <c r="D275" i="42"/>
  <c r="Q237" i="16"/>
  <c r="E232" i="41" s="1"/>
  <c r="G237" i="31"/>
  <c r="D233" i="42"/>
  <c r="Q60" i="16"/>
  <c r="E55" i="41" s="1"/>
  <c r="G60" i="31"/>
  <c r="D56" i="42"/>
  <c r="Q326" i="16"/>
  <c r="E321" i="41" s="1"/>
  <c r="G326" i="31"/>
  <c r="D322" i="42"/>
  <c r="Q246" i="16"/>
  <c r="E241" i="41" s="1"/>
  <c r="D242" i="42"/>
  <c r="G246" i="31"/>
  <c r="Q154" i="16"/>
  <c r="E149" i="41" s="1"/>
  <c r="G154" i="31"/>
  <c r="D150" i="42"/>
  <c r="Q62" i="16"/>
  <c r="E57" i="41" s="1"/>
  <c r="D58" i="42"/>
  <c r="G62" i="31"/>
  <c r="Q98" i="16"/>
  <c r="E93" i="41" s="1"/>
  <c r="G98" i="31"/>
  <c r="D94" i="42"/>
  <c r="Q271" i="16"/>
  <c r="E266" i="41" s="1"/>
  <c r="G271" i="31"/>
  <c r="D267" i="42"/>
  <c r="Q275" i="16"/>
  <c r="E270" i="41" s="1"/>
  <c r="G275" i="31"/>
  <c r="D271" i="42"/>
  <c r="G166" i="31"/>
  <c r="Q166" i="16"/>
  <c r="E161" i="41" s="1"/>
  <c r="D162" i="42"/>
  <c r="G99" i="31"/>
  <c r="Q99" i="16"/>
  <c r="E94" i="41" s="1"/>
  <c r="D95" i="42"/>
  <c r="G9" i="31"/>
  <c r="Q9" i="16"/>
  <c r="E4" i="41" s="1"/>
  <c r="D5" i="42"/>
  <c r="Q297" i="16"/>
  <c r="E292" i="41" s="1"/>
  <c r="G297" i="31"/>
  <c r="D293" i="42"/>
  <c r="Q85" i="16"/>
  <c r="E80" i="41" s="1"/>
  <c r="G85" i="31"/>
  <c r="D81" i="42"/>
  <c r="Q164" i="16"/>
  <c r="E159" i="41" s="1"/>
  <c r="G164" i="31"/>
  <c r="D160" i="42"/>
  <c r="Q158" i="16"/>
  <c r="E153" i="41" s="1"/>
  <c r="G158" i="31"/>
  <c r="D154" i="42"/>
  <c r="Q97" i="16"/>
  <c r="E92" i="41" s="1"/>
  <c r="D93" i="42"/>
  <c r="G97" i="31"/>
  <c r="Q269" i="16"/>
  <c r="E264" i="41" s="1"/>
  <c r="G269" i="31"/>
  <c r="D265" i="42"/>
  <c r="Q61" i="16"/>
  <c r="E56" i="41" s="1"/>
  <c r="D57" i="42"/>
  <c r="G61" i="31"/>
  <c r="Q264" i="16"/>
  <c r="E259" i="41" s="1"/>
  <c r="G264" i="31"/>
  <c r="D260" i="42"/>
  <c r="Q190" i="16"/>
  <c r="E185" i="41" s="1"/>
  <c r="G190" i="31"/>
  <c r="D186" i="42"/>
  <c r="D236" i="42"/>
  <c r="Q240" i="16"/>
  <c r="E235" i="41" s="1"/>
  <c r="G240" i="31"/>
  <c r="Q313" i="16"/>
  <c r="E308" i="41" s="1"/>
  <c r="G313" i="31"/>
  <c r="D309" i="42"/>
  <c r="Q169" i="16"/>
  <c r="E164" i="41" s="1"/>
  <c r="G169" i="31"/>
  <c r="D165" i="42"/>
  <c r="Q206" i="16"/>
  <c r="E201" i="41" s="1"/>
  <c r="G206" i="31"/>
  <c r="D202" i="42"/>
  <c r="Q119" i="16"/>
  <c r="E114" i="41" s="1"/>
  <c r="G119" i="31"/>
  <c r="D115" i="42"/>
  <c r="Q296" i="16"/>
  <c r="E291" i="41" s="1"/>
  <c r="G296" i="31"/>
  <c r="D292" i="42"/>
  <c r="D263" i="42"/>
  <c r="G267" i="31"/>
  <c r="Q267" i="16"/>
  <c r="E262" i="41" s="1"/>
  <c r="Q90" i="16"/>
  <c r="E85" i="41" s="1"/>
  <c r="G90" i="31"/>
  <c r="D86" i="42"/>
  <c r="Q65" i="16"/>
  <c r="E60" i="41" s="1"/>
  <c r="G65" i="31"/>
  <c r="D61" i="42"/>
  <c r="G218" i="31"/>
  <c r="Q218" i="16"/>
  <c r="E213" i="41" s="1"/>
  <c r="D214" i="42"/>
  <c r="Q321" i="16"/>
  <c r="E316" i="41" s="1"/>
  <c r="D317" i="42"/>
  <c r="G321" i="31"/>
  <c r="Q245" i="16"/>
  <c r="E240" i="41" s="1"/>
  <c r="G245" i="31"/>
  <c r="D241" i="42"/>
  <c r="D250" i="42"/>
  <c r="Q254" i="16"/>
  <c r="E249" i="41" s="1"/>
  <c r="G254" i="31"/>
  <c r="G120" i="31"/>
  <c r="Q120" i="16"/>
  <c r="E115" i="41" s="1"/>
  <c r="D116" i="42"/>
  <c r="Q232" i="16"/>
  <c r="E227" i="41" s="1"/>
  <c r="G232" i="31"/>
  <c r="D228" i="42"/>
  <c r="Q351" i="16"/>
  <c r="E346" i="41" s="1"/>
  <c r="G351" i="31"/>
  <c r="D347" i="42"/>
  <c r="Q230" i="16"/>
  <c r="E225" i="41" s="1"/>
  <c r="G230" i="31"/>
  <c r="D226" i="42"/>
  <c r="G188" i="31"/>
  <c r="D184" i="42"/>
  <c r="Q188" i="16"/>
  <c r="E183" i="41" s="1"/>
  <c r="Q91" i="16"/>
  <c r="E86" i="41" s="1"/>
  <c r="G91" i="31"/>
  <c r="D87" i="42"/>
  <c r="Q12" i="16"/>
  <c r="E7" i="41" s="1"/>
  <c r="D8" i="42"/>
  <c r="G12" i="31"/>
  <c r="Q144" i="16"/>
  <c r="E139" i="41" s="1"/>
  <c r="G144" i="31"/>
  <c r="D140" i="42"/>
  <c r="Q280" i="16"/>
  <c r="E275" i="41" s="1"/>
  <c r="G280" i="31"/>
  <c r="D276" i="42"/>
  <c r="Q346" i="16"/>
  <c r="E341" i="41" s="1"/>
  <c r="G346" i="31"/>
  <c r="D342" i="42"/>
  <c r="Q136" i="16"/>
  <c r="E131" i="41" s="1"/>
  <c r="G136" i="31"/>
  <c r="D132" i="42"/>
  <c r="G195" i="31"/>
  <c r="Q195" i="16"/>
  <c r="E190" i="41" s="1"/>
  <c r="D191" i="42"/>
  <c r="Q39" i="16"/>
  <c r="E34" i="41" s="1"/>
  <c r="G39" i="31"/>
  <c r="D35" i="42"/>
  <c r="D279" i="42"/>
  <c r="G283" i="31"/>
  <c r="Q283" i="16"/>
  <c r="E278" i="41" s="1"/>
  <c r="Q163" i="16"/>
  <c r="E158" i="41" s="1"/>
  <c r="D159" i="42"/>
  <c r="G163" i="31"/>
  <c r="Q28" i="16"/>
  <c r="E23" i="41" s="1"/>
  <c r="G28" i="31"/>
  <c r="D24" i="42"/>
  <c r="Q10" i="16"/>
  <c r="E5" i="41" s="1"/>
  <c r="D6" i="42"/>
  <c r="G10" i="31"/>
  <c r="Q49" i="16"/>
  <c r="E44" i="41" s="1"/>
  <c r="G49" i="31"/>
  <c r="D45" i="42"/>
  <c r="Q111" i="16"/>
  <c r="E106" i="41" s="1"/>
  <c r="D107" i="42"/>
  <c r="G111" i="31"/>
  <c r="Q128" i="16"/>
  <c r="E123" i="41" s="1"/>
  <c r="G128" i="31"/>
  <c r="D124" i="42"/>
  <c r="D33" i="42"/>
  <c r="G37" i="31"/>
  <c r="Q37" i="16"/>
  <c r="E32" i="41" s="1"/>
  <c r="Q156" i="16"/>
  <c r="E151" i="41" s="1"/>
  <c r="G156" i="31"/>
  <c r="D152" i="42"/>
  <c r="Q135" i="16"/>
  <c r="E130" i="41" s="1"/>
  <c r="G135" i="31"/>
  <c r="D131" i="42"/>
  <c r="G184" i="31"/>
  <c r="Q184" i="16"/>
  <c r="E179" i="41" s="1"/>
  <c r="D180" i="42"/>
  <c r="Q318" i="16"/>
  <c r="E313" i="41" s="1"/>
  <c r="G318" i="31"/>
  <c r="D314" i="42"/>
  <c r="G127" i="31"/>
  <c r="D123" i="42"/>
  <c r="Q127" i="16"/>
  <c r="E122" i="41" s="1"/>
  <c r="D137" i="42"/>
  <c r="Q141" i="16"/>
  <c r="E136" i="41" s="1"/>
  <c r="G141" i="31"/>
  <c r="Q186" i="16"/>
  <c r="E181" i="41" s="1"/>
  <c r="G186" i="31"/>
  <c r="D182" i="42"/>
  <c r="Q292" i="16"/>
  <c r="E287" i="41" s="1"/>
  <c r="G292" i="31"/>
  <c r="D288" i="42"/>
  <c r="Q270" i="16"/>
  <c r="E265" i="41" s="1"/>
  <c r="G270" i="31"/>
  <c r="D266" i="42"/>
  <c r="Q83" i="16"/>
  <c r="E78" i="41" s="1"/>
  <c r="G83" i="31"/>
  <c r="D79" i="42"/>
  <c r="Q185" i="16"/>
  <c r="E180" i="41" s="1"/>
  <c r="G185" i="31"/>
  <c r="D181" i="42"/>
  <c r="Q276" i="16"/>
  <c r="E271" i="41" s="1"/>
  <c r="G276" i="31"/>
  <c r="D272" i="42"/>
  <c r="G308" i="31"/>
  <c r="D304" i="42"/>
  <c r="Q308" i="16"/>
  <c r="E303" i="41" s="1"/>
  <c r="Q177" i="16"/>
  <c r="E172" i="41" s="1"/>
  <c r="G177" i="31"/>
  <c r="D173" i="42"/>
  <c r="Q248" i="16"/>
  <c r="E243" i="41" s="1"/>
  <c r="G248" i="31"/>
  <c r="D244" i="42"/>
  <c r="G30" i="31"/>
  <c r="Q30" i="16"/>
  <c r="E25" i="41" s="1"/>
  <c r="D26" i="42"/>
  <c r="Q7" i="16" l="1"/>
  <c r="E2" i="41" s="1"/>
  <c r="G7" i="31"/>
  <c r="G4" i="31" s="1"/>
  <c r="D3" i="42"/>
  <c r="D349" i="42" s="1"/>
  <c r="F354" i="16"/>
  <c r="D353" i="42" s="1"/>
  <c r="Q354" i="16" l="1"/>
  <c r="E348" i="41" l="1"/>
  <c r="P18" i="50"/>
  <c r="N13" i="29" l="1"/>
  <c r="J34" i="29"/>
  <c r="J35" i="29" s="1"/>
  <c r="BX4" i="31" l="1"/>
  <c r="N14" i="29"/>
  <c r="H37" i="50" l="1"/>
  <c r="P37" i="50" s="1"/>
  <c r="H36" i="50"/>
  <c r="P36" i="50" s="1"/>
  <c r="H25" i="50"/>
  <c r="P25" i="50" s="1"/>
  <c r="H34" i="50"/>
  <c r="P34" i="50" s="1"/>
  <c r="H33" i="50"/>
  <c r="P33" i="50" s="1"/>
  <c r="H31" i="50"/>
  <c r="P31" i="50" s="1"/>
  <c r="H29" i="50"/>
  <c r="P29" i="50" s="1"/>
  <c r="H27" i="50"/>
  <c r="P27" i="50" s="1"/>
  <c r="H30" i="50"/>
  <c r="P30" i="50" s="1"/>
  <c r="H26" i="50"/>
  <c r="P26" i="50" s="1"/>
  <c r="H28" i="50"/>
  <c r="P28" i="50" s="1"/>
  <c r="H35" i="50"/>
  <c r="P35" i="50" s="1"/>
  <c r="H32" i="50"/>
  <c r="P32" i="50" s="1"/>
  <c r="H10" i="2" l="1"/>
  <c r="G4" i="16" s="1"/>
  <c r="F4" i="16" s="1"/>
  <c r="G274" i="16" l="1"/>
  <c r="H274" i="16" s="1"/>
  <c r="G82" i="16"/>
  <c r="H82" i="16" s="1"/>
  <c r="G10" i="16"/>
  <c r="H10" i="16" s="1"/>
  <c r="G293" i="16"/>
  <c r="H293" i="16" s="1"/>
  <c r="G238" i="16"/>
  <c r="H238" i="16" s="1"/>
  <c r="G190" i="16"/>
  <c r="H190" i="16" s="1"/>
  <c r="G284" i="16"/>
  <c r="H284" i="16" s="1"/>
  <c r="G197" i="16"/>
  <c r="H197" i="16" s="1"/>
  <c r="G231" i="16"/>
  <c r="H231" i="16" s="1"/>
  <c r="G341" i="16"/>
  <c r="H341" i="16" s="1"/>
  <c r="G302" i="16"/>
  <c r="H302" i="16" s="1"/>
  <c r="G108" i="16"/>
  <c r="H108" i="16" s="1"/>
  <c r="G271" i="16"/>
  <c r="H271" i="16" s="1"/>
  <c r="G326" i="16"/>
  <c r="H326" i="16" s="1"/>
  <c r="G219" i="16"/>
  <c r="H219" i="16" s="1"/>
  <c r="G101" i="16"/>
  <c r="H101" i="16" s="1"/>
  <c r="G116" i="16"/>
  <c r="H116" i="16" s="1"/>
  <c r="G236" i="16"/>
  <c r="H236" i="16" s="1"/>
  <c r="G29" i="16"/>
  <c r="H29" i="16" s="1"/>
  <c r="G165" i="16"/>
  <c r="H165" i="16" s="1"/>
  <c r="G31" i="16"/>
  <c r="H31" i="16" s="1"/>
  <c r="G269" i="16"/>
  <c r="H269" i="16" s="1"/>
  <c r="G265" i="16"/>
  <c r="H265" i="16" s="1"/>
  <c r="G12" i="16"/>
  <c r="H12" i="16" s="1"/>
  <c r="G203" i="16"/>
  <c r="H203" i="16" s="1"/>
  <c r="G314" i="16"/>
  <c r="H314" i="16" s="1"/>
  <c r="G138" i="16"/>
  <c r="H138" i="16" s="1"/>
  <c r="G311" i="16"/>
  <c r="H311" i="16" s="1"/>
  <c r="G145" i="16"/>
  <c r="H145" i="16" s="1"/>
  <c r="G56" i="16"/>
  <c r="H56" i="16" s="1"/>
  <c r="G335" i="16"/>
  <c r="H335" i="16" s="1"/>
  <c r="G36" i="16"/>
  <c r="H36" i="16" s="1"/>
  <c r="G253" i="16"/>
  <c r="H253" i="16" s="1"/>
  <c r="G350" i="16"/>
  <c r="H350" i="16" s="1"/>
  <c r="G92" i="16"/>
  <c r="H92" i="16" s="1"/>
  <c r="G21" i="16"/>
  <c r="H21" i="16" s="1"/>
  <c r="G139" i="16"/>
  <c r="H139" i="16" s="1"/>
  <c r="G144" i="16"/>
  <c r="H144" i="16" s="1"/>
  <c r="G345" i="16"/>
  <c r="H345" i="16" s="1"/>
  <c r="G195" i="16"/>
  <c r="H195" i="16" s="1"/>
  <c r="G254" i="16"/>
  <c r="H254" i="16" s="1"/>
  <c r="G141" i="16"/>
  <c r="H141" i="16" s="1"/>
  <c r="G177" i="16"/>
  <c r="H177" i="16" s="1"/>
  <c r="G156" i="16"/>
  <c r="H156" i="16" s="1"/>
  <c r="G316" i="16"/>
  <c r="H316" i="16" s="1"/>
  <c r="G201" i="16"/>
  <c r="H201" i="16" s="1"/>
  <c r="G42" i="16"/>
  <c r="H42" i="16" s="1"/>
  <c r="G28" i="16"/>
  <c r="H28" i="16" s="1"/>
  <c r="G179" i="16"/>
  <c r="H179" i="16" s="1"/>
  <c r="G296" i="16"/>
  <c r="H296" i="16" s="1"/>
  <c r="G8" i="16"/>
  <c r="H8" i="16" s="1"/>
  <c r="G126" i="16"/>
  <c r="H126" i="16" s="1"/>
  <c r="G287" i="16"/>
  <c r="H287" i="16" s="1"/>
  <c r="G266" i="16"/>
  <c r="H266" i="16" s="1"/>
  <c r="G93" i="16"/>
  <c r="H93" i="16" s="1"/>
  <c r="G37" i="16"/>
  <c r="H37" i="16" s="1"/>
  <c r="G86" i="16"/>
  <c r="H86" i="16" s="1"/>
  <c r="G51" i="16"/>
  <c r="H51" i="16" s="1"/>
  <c r="G303" i="16"/>
  <c r="H303" i="16" s="1"/>
  <c r="G44" i="16"/>
  <c r="H44" i="16" s="1"/>
  <c r="G18" i="16"/>
  <c r="H18" i="16" s="1"/>
  <c r="G168" i="16"/>
  <c r="H168" i="16" s="1"/>
  <c r="G80" i="16"/>
  <c r="H80" i="16" s="1"/>
  <c r="G65" i="16"/>
  <c r="H65" i="16" s="1"/>
  <c r="G310" i="16"/>
  <c r="H310" i="16" s="1"/>
  <c r="G212" i="16"/>
  <c r="H212" i="16" s="1"/>
  <c r="G204" i="16"/>
  <c r="H204" i="16" s="1"/>
  <c r="G163" i="16"/>
  <c r="H163" i="16" s="1"/>
  <c r="G208" i="16"/>
  <c r="H208" i="16" s="1"/>
  <c r="G337" i="16"/>
  <c r="H337" i="16" s="1"/>
  <c r="G319" i="16"/>
  <c r="H319" i="16" s="1"/>
  <c r="G263" i="16"/>
  <c r="H263" i="16" s="1"/>
  <c r="G305" i="16"/>
  <c r="H305" i="16" s="1"/>
  <c r="G286" i="16"/>
  <c r="H286" i="16" s="1"/>
  <c r="G100" i="16"/>
  <c r="H100" i="16" s="1"/>
  <c r="G54" i="16"/>
  <c r="H54" i="16" s="1"/>
  <c r="G20" i="16"/>
  <c r="H20" i="16" s="1"/>
  <c r="G338" i="16"/>
  <c r="H338" i="16" s="1"/>
  <c r="G73" i="16"/>
  <c r="H73" i="16" s="1"/>
  <c r="G11" i="16"/>
  <c r="H11" i="16" s="1"/>
  <c r="G226" i="16"/>
  <c r="H226" i="16" s="1"/>
  <c r="G155" i="16"/>
  <c r="H155" i="16" s="1"/>
  <c r="G312" i="16"/>
  <c r="H312" i="16" s="1"/>
  <c r="G241" i="16"/>
  <c r="H241" i="16" s="1"/>
  <c r="G181" i="16"/>
  <c r="H181" i="16" s="1"/>
  <c r="G98" i="16"/>
  <c r="H98" i="16" s="1"/>
  <c r="G349" i="16"/>
  <c r="H349" i="16" s="1"/>
  <c r="G198" i="16"/>
  <c r="H198" i="16" s="1"/>
  <c r="G90" i="16"/>
  <c r="H90" i="16" s="1"/>
  <c r="G194" i="16"/>
  <c r="H194" i="16" s="1"/>
  <c r="G140" i="16"/>
  <c r="H140" i="16" s="1"/>
  <c r="G94" i="16"/>
  <c r="H94" i="16" s="1"/>
  <c r="G33" i="16"/>
  <c r="H33" i="16" s="1"/>
  <c r="G61" i="16"/>
  <c r="H61" i="16" s="1"/>
  <c r="G26" i="16"/>
  <c r="H26" i="16" s="1"/>
  <c r="G171" i="16"/>
  <c r="H171" i="16" s="1"/>
  <c r="G16" i="16"/>
  <c r="H16" i="16" s="1"/>
  <c r="G229" i="16"/>
  <c r="H229" i="16" s="1"/>
  <c r="G292" i="16"/>
  <c r="H292" i="16" s="1"/>
  <c r="G30" i="16"/>
  <c r="H30" i="16" s="1"/>
  <c r="G133" i="16"/>
  <c r="H133" i="16" s="1"/>
  <c r="G318" i="16"/>
  <c r="H318" i="16" s="1"/>
  <c r="G127" i="16"/>
  <c r="H127" i="16" s="1"/>
  <c r="G249" i="16"/>
  <c r="H249" i="16" s="1"/>
  <c r="G278" i="16"/>
  <c r="H278" i="16" s="1"/>
  <c r="G124" i="16"/>
  <c r="H124" i="16" s="1"/>
  <c r="G324" i="16"/>
  <c r="H324" i="16" s="1"/>
  <c r="G178" i="16"/>
  <c r="H178" i="16" s="1"/>
  <c r="G264" i="16"/>
  <c r="H264" i="16" s="1"/>
  <c r="G239" i="16"/>
  <c r="H239" i="16" s="1"/>
  <c r="G323" i="16"/>
  <c r="H323" i="16" s="1"/>
  <c r="G328" i="16"/>
  <c r="H328" i="16" s="1"/>
  <c r="G267" i="16"/>
  <c r="H267" i="16" s="1"/>
  <c r="G185" i="16"/>
  <c r="H185" i="16" s="1"/>
  <c r="G24" i="16"/>
  <c r="H24" i="16" s="1"/>
  <c r="G81" i="16"/>
  <c r="H81" i="16" s="1"/>
  <c r="G351" i="16"/>
  <c r="H351" i="16" s="1"/>
  <c r="G216" i="16"/>
  <c r="H216" i="16" s="1"/>
  <c r="G251" i="16"/>
  <c r="H251" i="16" s="1"/>
  <c r="G260" i="16"/>
  <c r="H260" i="16" s="1"/>
  <c r="G235" i="16"/>
  <c r="H235" i="16" s="1"/>
  <c r="G342" i="16"/>
  <c r="H342" i="16" s="1"/>
  <c r="G234" i="16"/>
  <c r="H234" i="16" s="1"/>
  <c r="G72" i="16"/>
  <c r="H72" i="16" s="1"/>
  <c r="G255" i="16"/>
  <c r="H255" i="16" s="1"/>
  <c r="G112" i="16"/>
  <c r="H112" i="16" s="1"/>
  <c r="G228" i="16"/>
  <c r="H228" i="16" s="1"/>
  <c r="G306" i="16"/>
  <c r="H306" i="16" s="1"/>
  <c r="G76" i="16"/>
  <c r="H76" i="16" s="1"/>
  <c r="G215" i="16"/>
  <c r="H215" i="16" s="1"/>
  <c r="G63" i="16"/>
  <c r="H63" i="16" s="1"/>
  <c r="G121" i="16"/>
  <c r="H121" i="16" s="1"/>
  <c r="G270" i="16"/>
  <c r="H270" i="16" s="1"/>
  <c r="G320" i="16"/>
  <c r="H320" i="16" s="1"/>
  <c r="G348" i="16"/>
  <c r="H348" i="16" s="1"/>
  <c r="G109" i="16"/>
  <c r="H109" i="16" s="1"/>
  <c r="G151" i="16"/>
  <c r="H151" i="16" s="1"/>
  <c r="G119" i="16"/>
  <c r="H119" i="16" s="1"/>
  <c r="G120" i="16"/>
  <c r="H120" i="16" s="1"/>
  <c r="G113" i="16"/>
  <c r="H113" i="16" s="1"/>
  <c r="G147" i="16"/>
  <c r="H147" i="16" s="1"/>
  <c r="G184" i="16"/>
  <c r="H184" i="16" s="1"/>
  <c r="G299" i="16"/>
  <c r="H299" i="16" s="1"/>
  <c r="G161" i="16"/>
  <c r="H161" i="16" s="1"/>
  <c r="G333" i="16"/>
  <c r="H333" i="16" s="1"/>
  <c r="G182" i="16"/>
  <c r="H182" i="16" s="1"/>
  <c r="G47" i="16"/>
  <c r="H47" i="16" s="1"/>
  <c r="G102" i="16"/>
  <c r="H102" i="16" s="1"/>
  <c r="G256" i="16"/>
  <c r="H256" i="16" s="1"/>
  <c r="G55" i="16"/>
  <c r="H55" i="16" s="1"/>
  <c r="G209" i="16"/>
  <c r="H209" i="16" s="1"/>
  <c r="G78" i="16"/>
  <c r="H78" i="16" s="1"/>
  <c r="G334" i="16"/>
  <c r="H334" i="16" s="1"/>
  <c r="G136" i="16"/>
  <c r="H136" i="16" s="1"/>
  <c r="G58" i="16"/>
  <c r="H58" i="16" s="1"/>
  <c r="G88" i="16"/>
  <c r="H88" i="16" s="1"/>
  <c r="G60" i="16"/>
  <c r="H60" i="16" s="1"/>
  <c r="G189" i="16"/>
  <c r="H189" i="16" s="1"/>
  <c r="G134" i="16"/>
  <c r="H134" i="16" s="1"/>
  <c r="G277" i="16"/>
  <c r="H277" i="16" s="1"/>
  <c r="G75" i="16"/>
  <c r="H75" i="16" s="1"/>
  <c r="G159" i="16"/>
  <c r="H159" i="16" s="1"/>
  <c r="G297" i="16"/>
  <c r="H297" i="16" s="1"/>
  <c r="G340" i="16"/>
  <c r="H340" i="16" s="1"/>
  <c r="G62" i="16"/>
  <c r="H62" i="16" s="1"/>
  <c r="G49" i="16"/>
  <c r="H49" i="16" s="1"/>
  <c r="G87" i="16"/>
  <c r="H87" i="16" s="1"/>
  <c r="G207" i="16"/>
  <c r="H207" i="16" s="1"/>
  <c r="G130" i="16"/>
  <c r="H130" i="16" s="1"/>
  <c r="G152" i="16"/>
  <c r="H152" i="16" s="1"/>
  <c r="G339" i="16"/>
  <c r="H339" i="16" s="1"/>
  <c r="G95" i="16"/>
  <c r="H95" i="16" s="1"/>
  <c r="G347" i="16"/>
  <c r="H347" i="16" s="1"/>
  <c r="G104" i="16"/>
  <c r="H104" i="16" s="1"/>
  <c r="G262" i="16"/>
  <c r="H262" i="16" s="1"/>
  <c r="G308" i="16"/>
  <c r="H308" i="16" s="1"/>
  <c r="G23" i="16"/>
  <c r="H23" i="16" s="1"/>
  <c r="G237" i="16"/>
  <c r="H237" i="16" s="1"/>
  <c r="G114" i="16"/>
  <c r="H114" i="16" s="1"/>
  <c r="G180" i="16"/>
  <c r="H180" i="16" s="1"/>
  <c r="G167" i="16"/>
  <c r="H167" i="16" s="1"/>
  <c r="G193" i="16"/>
  <c r="H193" i="16" s="1"/>
  <c r="G325" i="16"/>
  <c r="H325" i="16" s="1"/>
  <c r="G223" i="16"/>
  <c r="H223" i="16" s="1"/>
  <c r="G246" i="16"/>
  <c r="H246" i="16" s="1"/>
  <c r="G46" i="16"/>
  <c r="H46" i="16" s="1"/>
  <c r="G170" i="16"/>
  <c r="H170" i="16" s="1"/>
  <c r="G96" i="16"/>
  <c r="H96" i="16" s="1"/>
  <c r="G149" i="16"/>
  <c r="H149" i="16" s="1"/>
  <c r="G176" i="16"/>
  <c r="H176" i="16" s="1"/>
  <c r="G258" i="16"/>
  <c r="H258" i="16" s="1"/>
  <c r="G125" i="16"/>
  <c r="H125" i="16" s="1"/>
  <c r="G89" i="16"/>
  <c r="H89" i="16" s="1"/>
  <c r="G17" i="16"/>
  <c r="H17" i="16" s="1"/>
  <c r="G97" i="16"/>
  <c r="H97" i="16" s="1"/>
  <c r="G83" i="16"/>
  <c r="H83" i="16" s="1"/>
  <c r="G352" i="16"/>
  <c r="H352" i="16" s="1"/>
  <c r="G220" i="16"/>
  <c r="H220" i="16" s="1"/>
  <c r="G196" i="16"/>
  <c r="H196" i="16" s="1"/>
  <c r="G132" i="16"/>
  <c r="H132" i="16" s="1"/>
  <c r="G39" i="16"/>
  <c r="H39" i="16" s="1"/>
  <c r="G329" i="16"/>
  <c r="H329" i="16" s="1"/>
  <c r="G332" i="16"/>
  <c r="H332" i="16" s="1"/>
  <c r="G79" i="16"/>
  <c r="H79" i="16" s="1"/>
  <c r="G273" i="16"/>
  <c r="H273" i="16" s="1"/>
  <c r="G317" i="16"/>
  <c r="H317" i="16" s="1"/>
  <c r="G279" i="16"/>
  <c r="H279" i="16" s="1"/>
  <c r="G123" i="16"/>
  <c r="H123" i="16" s="1"/>
  <c r="G169" i="16"/>
  <c r="H169" i="16" s="1"/>
  <c r="G150" i="16"/>
  <c r="H150" i="16" s="1"/>
  <c r="G191" i="16"/>
  <c r="H191" i="16" s="1"/>
  <c r="G52" i="16"/>
  <c r="H52" i="16" s="1"/>
  <c r="G283" i="16"/>
  <c r="H283" i="16" s="1"/>
  <c r="G66" i="16"/>
  <c r="H66" i="16" s="1"/>
  <c r="G70" i="16"/>
  <c r="H70" i="16" s="1"/>
  <c r="G173" i="16"/>
  <c r="H173" i="16" s="1"/>
  <c r="G343" i="16"/>
  <c r="H343" i="16" s="1"/>
  <c r="G200" i="16"/>
  <c r="H200" i="16" s="1"/>
  <c r="G321" i="16"/>
  <c r="H321" i="16" s="1"/>
  <c r="G64" i="16"/>
  <c r="H64" i="16" s="1"/>
  <c r="G84" i="16"/>
  <c r="H84" i="16" s="1"/>
  <c r="G230" i="16"/>
  <c r="H230" i="16" s="1"/>
  <c r="G19" i="16"/>
  <c r="H19" i="16" s="1"/>
  <c r="G282" i="16"/>
  <c r="H282" i="16" s="1"/>
  <c r="G74" i="16"/>
  <c r="H74" i="16" s="1"/>
  <c r="G106" i="16"/>
  <c r="H106" i="16" s="1"/>
  <c r="G225" i="16"/>
  <c r="H225" i="16" s="1"/>
  <c r="G153" i="16"/>
  <c r="H153" i="16" s="1"/>
  <c r="G272" i="16"/>
  <c r="H272" i="16" s="1"/>
  <c r="G40" i="16"/>
  <c r="H40" i="16" s="1"/>
  <c r="G280" i="16"/>
  <c r="H280" i="16" s="1"/>
  <c r="G135" i="16"/>
  <c r="H135" i="16" s="1"/>
  <c r="G67" i="16"/>
  <c r="H67" i="16" s="1"/>
  <c r="G174" i="16"/>
  <c r="H174" i="16" s="1"/>
  <c r="G244" i="16"/>
  <c r="H244" i="16" s="1"/>
  <c r="G250" i="16"/>
  <c r="H250" i="16" s="1"/>
  <c r="G186" i="16"/>
  <c r="H186" i="16" s="1"/>
  <c r="G344" i="16"/>
  <c r="H344" i="16" s="1"/>
  <c r="G327" i="16"/>
  <c r="H327" i="16" s="1"/>
  <c r="G117" i="16"/>
  <c r="H117" i="16" s="1"/>
  <c r="G164" i="16"/>
  <c r="H164" i="16" s="1"/>
  <c r="G50" i="16"/>
  <c r="H50" i="16" s="1"/>
  <c r="G300" i="16"/>
  <c r="H300" i="16" s="1"/>
  <c r="G107" i="16"/>
  <c r="H107" i="16" s="1"/>
  <c r="G32" i="16"/>
  <c r="H32" i="16" s="1"/>
  <c r="G307" i="16"/>
  <c r="H307" i="16" s="1"/>
  <c r="G289" i="16"/>
  <c r="H289" i="16" s="1"/>
  <c r="G25" i="16"/>
  <c r="H25" i="16" s="1"/>
  <c r="G143" i="16"/>
  <c r="H143" i="16" s="1"/>
  <c r="G166" i="16"/>
  <c r="H166" i="16" s="1"/>
  <c r="G183" i="16"/>
  <c r="H183" i="16" s="1"/>
  <c r="G233" i="16"/>
  <c r="H233" i="16" s="1"/>
  <c r="G68" i="16"/>
  <c r="H68" i="16" s="1"/>
  <c r="G252" i="16"/>
  <c r="H252" i="16" s="1"/>
  <c r="G162" i="16"/>
  <c r="H162" i="16" s="1"/>
  <c r="G91" i="16"/>
  <c r="H91" i="16" s="1"/>
  <c r="G77" i="16"/>
  <c r="H77" i="16" s="1"/>
  <c r="G69" i="16"/>
  <c r="H69" i="16" s="1"/>
  <c r="G158" i="16"/>
  <c r="H158" i="16" s="1"/>
  <c r="G110" i="16"/>
  <c r="H110" i="16" s="1"/>
  <c r="G346" i="16"/>
  <c r="H346" i="16" s="1"/>
  <c r="G129" i="16"/>
  <c r="H129" i="16" s="1"/>
  <c r="G15" i="16"/>
  <c r="H15" i="16" s="1"/>
  <c r="G224" i="16"/>
  <c r="H224" i="16" s="1"/>
  <c r="G281" i="16"/>
  <c r="H281" i="16" s="1"/>
  <c r="G43" i="16"/>
  <c r="H43" i="16" s="1"/>
  <c r="G48" i="16"/>
  <c r="H48" i="16" s="1"/>
  <c r="G157" i="16"/>
  <c r="H157" i="16" s="1"/>
  <c r="G304" i="16"/>
  <c r="H304" i="16" s="1"/>
  <c r="G137" i="16"/>
  <c r="H137" i="16" s="1"/>
  <c r="G154" i="16"/>
  <c r="H154" i="16" s="1"/>
  <c r="G210" i="16"/>
  <c r="H210" i="16" s="1"/>
  <c r="G111" i="16"/>
  <c r="H111" i="16" s="1"/>
  <c r="G188" i="16"/>
  <c r="H188" i="16" s="1"/>
  <c r="G187" i="16"/>
  <c r="H187" i="16" s="1"/>
  <c r="G313" i="16"/>
  <c r="H313" i="16" s="1"/>
  <c r="G285" i="16"/>
  <c r="H285" i="16" s="1"/>
  <c r="G222" i="16"/>
  <c r="H222" i="16" s="1"/>
  <c r="G199" i="16"/>
  <c r="H199" i="16" s="1"/>
  <c r="G290" i="16"/>
  <c r="H290" i="16" s="1"/>
  <c r="G331" i="16"/>
  <c r="H331" i="16" s="1"/>
  <c r="G322" i="16"/>
  <c r="H322" i="16" s="1"/>
  <c r="G148" i="16"/>
  <c r="H148" i="16" s="1"/>
  <c r="G232" i="16"/>
  <c r="H232" i="16" s="1"/>
  <c r="G175" i="16"/>
  <c r="H175" i="16" s="1"/>
  <c r="G301" i="16"/>
  <c r="H301" i="16" s="1"/>
  <c r="G202" i="16"/>
  <c r="H202" i="16" s="1"/>
  <c r="G309" i="16"/>
  <c r="H309" i="16" s="1"/>
  <c r="G57" i="16"/>
  <c r="H57" i="16" s="1"/>
  <c r="G131" i="16"/>
  <c r="H131" i="16" s="1"/>
  <c r="G53" i="16"/>
  <c r="H53" i="16" s="1"/>
  <c r="G261" i="16"/>
  <c r="H261" i="16" s="1"/>
  <c r="G192" i="16"/>
  <c r="H192" i="16" s="1"/>
  <c r="G22" i="16"/>
  <c r="H22" i="16" s="1"/>
  <c r="G128" i="16"/>
  <c r="H128" i="16" s="1"/>
  <c r="G146" i="16"/>
  <c r="H146" i="16" s="1"/>
  <c r="G243" i="16"/>
  <c r="H243" i="16" s="1"/>
  <c r="G242" i="16"/>
  <c r="H242" i="16" s="1"/>
  <c r="G172" i="16"/>
  <c r="H172" i="16" s="1"/>
  <c r="G103" i="16"/>
  <c r="H103" i="16" s="1"/>
  <c r="G7" i="16"/>
  <c r="G276" i="16"/>
  <c r="H276" i="16" s="1"/>
  <c r="G240" i="16"/>
  <c r="H240" i="16" s="1"/>
  <c r="G59" i="16"/>
  <c r="H59" i="16" s="1"/>
  <c r="G35" i="16"/>
  <c r="H35" i="16" s="1"/>
  <c r="G247" i="16"/>
  <c r="H247" i="16" s="1"/>
  <c r="G214" i="16"/>
  <c r="H214" i="16" s="1"/>
  <c r="G288" i="16"/>
  <c r="H288" i="16" s="1"/>
  <c r="G275" i="16"/>
  <c r="H275" i="16" s="1"/>
  <c r="G122" i="16"/>
  <c r="H122" i="16" s="1"/>
  <c r="G227" i="16"/>
  <c r="H227" i="16" s="1"/>
  <c r="G259" i="16"/>
  <c r="H259" i="16" s="1"/>
  <c r="G115" i="16"/>
  <c r="H115" i="16" s="1"/>
  <c r="G38" i="16"/>
  <c r="H38" i="16" s="1"/>
  <c r="G291" i="16"/>
  <c r="H291" i="16" s="1"/>
  <c r="G315" i="16"/>
  <c r="H315" i="16" s="1"/>
  <c r="G206" i="16"/>
  <c r="H206" i="16" s="1"/>
  <c r="G257" i="16"/>
  <c r="H257" i="16" s="1"/>
  <c r="G217" i="16"/>
  <c r="H217" i="16" s="1"/>
  <c r="G41" i="16"/>
  <c r="H41" i="16" s="1"/>
  <c r="G34" i="16"/>
  <c r="H34" i="16" s="1"/>
  <c r="G14" i="16"/>
  <c r="H14" i="16" s="1"/>
  <c r="G105" i="16"/>
  <c r="H105" i="16" s="1"/>
  <c r="G330" i="16"/>
  <c r="H330" i="16" s="1"/>
  <c r="G85" i="16"/>
  <c r="H85" i="16" s="1"/>
  <c r="G268" i="16"/>
  <c r="H268" i="16" s="1"/>
  <c r="G9" i="16"/>
  <c r="H9" i="16" s="1"/>
  <c r="G142" i="16"/>
  <c r="H142" i="16" s="1"/>
  <c r="G71" i="16"/>
  <c r="H71" i="16" s="1"/>
  <c r="G13" i="16"/>
  <c r="H13" i="16" s="1"/>
  <c r="G295" i="16"/>
  <c r="H295" i="16" s="1"/>
  <c r="G27" i="16"/>
  <c r="H27" i="16" s="1"/>
  <c r="G248" i="16"/>
  <c r="H248" i="16" s="1"/>
  <c r="G118" i="16"/>
  <c r="H118" i="16" s="1"/>
  <c r="G294" i="16"/>
  <c r="H294" i="16" s="1"/>
  <c r="G336" i="16"/>
  <c r="H336" i="16" s="1"/>
  <c r="G245" i="16"/>
  <c r="H245" i="16" s="1"/>
  <c r="G99" i="16"/>
  <c r="H99" i="16" s="1"/>
  <c r="G218" i="16"/>
  <c r="H218" i="16" s="1"/>
  <c r="G221" i="16"/>
  <c r="H221" i="16" s="1"/>
  <c r="G160" i="16"/>
  <c r="H160" i="16" s="1"/>
  <c r="G213" i="16"/>
  <c r="H213" i="16" s="1"/>
  <c r="G45" i="16"/>
  <c r="H45" i="16" s="1"/>
  <c r="G205" i="16"/>
  <c r="H205" i="16" s="1"/>
  <c r="G211" i="16"/>
  <c r="H211" i="16" s="1"/>
  <c r="G298" i="16"/>
  <c r="H298" i="16" s="1"/>
  <c r="I64" i="16" l="1"/>
  <c r="J64" i="16"/>
  <c r="I345" i="16"/>
  <c r="J345" i="16"/>
  <c r="I243" i="16"/>
  <c r="J243" i="16"/>
  <c r="I60" i="16"/>
  <c r="J60" i="16"/>
  <c r="I151" i="16"/>
  <c r="J151" i="16"/>
  <c r="I351" i="16"/>
  <c r="J351" i="16"/>
  <c r="I16" i="16"/>
  <c r="J16" i="16"/>
  <c r="I20" i="16"/>
  <c r="J20" i="16"/>
  <c r="I86" i="16"/>
  <c r="J86" i="16"/>
  <c r="I139" i="16"/>
  <c r="J139" i="16"/>
  <c r="I116" i="16"/>
  <c r="J116" i="16"/>
  <c r="I110" i="16"/>
  <c r="J110" i="16"/>
  <c r="I134" i="16"/>
  <c r="J134" i="16"/>
  <c r="I344" i="16"/>
  <c r="J344" i="16"/>
  <c r="I83" i="16"/>
  <c r="J83" i="16"/>
  <c r="I88" i="16"/>
  <c r="J88" i="16"/>
  <c r="I109" i="16"/>
  <c r="J109" i="16"/>
  <c r="I81" i="16"/>
  <c r="J81" i="16"/>
  <c r="I171" i="16"/>
  <c r="J171" i="16"/>
  <c r="I54" i="16"/>
  <c r="J54" i="16"/>
  <c r="I37" i="16"/>
  <c r="J37" i="16"/>
  <c r="I21" i="16"/>
  <c r="J21" i="16"/>
  <c r="I101" i="16"/>
  <c r="J101" i="16"/>
  <c r="I117" i="16"/>
  <c r="J117" i="16"/>
  <c r="I29" i="16"/>
  <c r="J29" i="16"/>
  <c r="I58" i="16"/>
  <c r="J58" i="16"/>
  <c r="I100" i="16"/>
  <c r="J100" i="16"/>
  <c r="I93" i="16"/>
  <c r="J93" i="16"/>
  <c r="I92" i="16"/>
  <c r="J92" i="16"/>
  <c r="I219" i="16"/>
  <c r="J219" i="16"/>
  <c r="I30" i="16"/>
  <c r="J30" i="16"/>
  <c r="I114" i="16"/>
  <c r="J114" i="16"/>
  <c r="I216" i="16"/>
  <c r="J216" i="16"/>
  <c r="I206" i="16"/>
  <c r="J206" i="16"/>
  <c r="I308" i="16"/>
  <c r="J308" i="16"/>
  <c r="I66" i="16"/>
  <c r="J66" i="16"/>
  <c r="I104" i="16"/>
  <c r="J104" i="16"/>
  <c r="I136" i="16"/>
  <c r="J136" i="16"/>
  <c r="I320" i="16"/>
  <c r="J320" i="16"/>
  <c r="I185" i="16"/>
  <c r="J185" i="16"/>
  <c r="I61" i="16"/>
  <c r="J61" i="16"/>
  <c r="I286" i="16"/>
  <c r="J286" i="16"/>
  <c r="I266" i="16"/>
  <c r="J266" i="16"/>
  <c r="I350" i="16"/>
  <c r="J350" i="16"/>
  <c r="I326" i="16"/>
  <c r="J326" i="16"/>
  <c r="I290" i="16"/>
  <c r="J290" i="16"/>
  <c r="I120" i="16"/>
  <c r="J120" i="16"/>
  <c r="I220" i="16"/>
  <c r="J220" i="16"/>
  <c r="I250" i="16"/>
  <c r="J250" i="16"/>
  <c r="I248" i="16"/>
  <c r="J248" i="16"/>
  <c r="I89" i="16"/>
  <c r="J89" i="16"/>
  <c r="I347" i="16"/>
  <c r="J347" i="16"/>
  <c r="I334" i="16"/>
  <c r="J334" i="16"/>
  <c r="I270" i="16"/>
  <c r="J270" i="16"/>
  <c r="I267" i="16"/>
  <c r="J267" i="16"/>
  <c r="I33" i="16"/>
  <c r="J33" i="16"/>
  <c r="I305" i="16"/>
  <c r="J305" i="16"/>
  <c r="I287" i="16"/>
  <c r="J287" i="16"/>
  <c r="I253" i="16"/>
  <c r="J253" i="16"/>
  <c r="I271" i="16"/>
  <c r="J271" i="16"/>
  <c r="I277" i="16"/>
  <c r="J277" i="16"/>
  <c r="I199" i="16"/>
  <c r="J199" i="16"/>
  <c r="I229" i="16"/>
  <c r="J229" i="16"/>
  <c r="I24" i="16"/>
  <c r="J24" i="16"/>
  <c r="I115" i="16"/>
  <c r="J115" i="16"/>
  <c r="I95" i="16"/>
  <c r="J95" i="16"/>
  <c r="I140" i="16"/>
  <c r="J140" i="16"/>
  <c r="I76" i="16"/>
  <c r="J76" i="16"/>
  <c r="I90" i="16"/>
  <c r="J90" i="16"/>
  <c r="I208" i="16"/>
  <c r="J208" i="16"/>
  <c r="I179" i="16"/>
  <c r="J179" i="16"/>
  <c r="I145" i="16"/>
  <c r="J145" i="16"/>
  <c r="I231" i="16"/>
  <c r="J231" i="16"/>
  <c r="I165" i="16"/>
  <c r="J165" i="16"/>
  <c r="I218" i="16"/>
  <c r="J218" i="16"/>
  <c r="I321" i="16"/>
  <c r="J321" i="16"/>
  <c r="I144" i="16"/>
  <c r="J144" i="16"/>
  <c r="I77" i="16"/>
  <c r="J77" i="16"/>
  <c r="I313" i="16"/>
  <c r="J313" i="16"/>
  <c r="I128" i="16"/>
  <c r="J128" i="16"/>
  <c r="I70" i="16"/>
  <c r="J70" i="16"/>
  <c r="I252" i="16"/>
  <c r="J252" i="16"/>
  <c r="I192" i="16"/>
  <c r="J192" i="16"/>
  <c r="I210" i="16"/>
  <c r="J210" i="16"/>
  <c r="I328" i="16"/>
  <c r="J328" i="16"/>
  <c r="I53" i="16"/>
  <c r="J53" i="16"/>
  <c r="I8" i="16"/>
  <c r="J8" i="16"/>
  <c r="I122" i="16"/>
  <c r="J122" i="16"/>
  <c r="I176" i="16"/>
  <c r="J176" i="16"/>
  <c r="I215" i="16"/>
  <c r="J215" i="16"/>
  <c r="I71" i="16"/>
  <c r="J71" i="16"/>
  <c r="I264" i="16"/>
  <c r="J264" i="16"/>
  <c r="I142" i="16"/>
  <c r="J142" i="16"/>
  <c r="I288" i="16"/>
  <c r="J288" i="16"/>
  <c r="I309" i="16"/>
  <c r="J309" i="16"/>
  <c r="I157" i="16"/>
  <c r="J157" i="16"/>
  <c r="I25" i="16"/>
  <c r="J25" i="16"/>
  <c r="I153" i="16"/>
  <c r="J153" i="16"/>
  <c r="I123" i="16"/>
  <c r="J123" i="16"/>
  <c r="I96" i="16"/>
  <c r="J96" i="16"/>
  <c r="I207" i="16"/>
  <c r="J207" i="16"/>
  <c r="I102" i="16"/>
  <c r="J102" i="16"/>
  <c r="I306" i="16"/>
  <c r="J306" i="16"/>
  <c r="I178" i="16"/>
  <c r="J178" i="16"/>
  <c r="I198" i="16"/>
  <c r="J198" i="16"/>
  <c r="I163" i="16"/>
  <c r="J163" i="16"/>
  <c r="I28" i="16"/>
  <c r="J28" i="16"/>
  <c r="I311" i="16"/>
  <c r="J311" i="16"/>
  <c r="I197" i="16"/>
  <c r="J197" i="16"/>
  <c r="I44" i="16"/>
  <c r="J44" i="16"/>
  <c r="I51" i="16"/>
  <c r="J51" i="16"/>
  <c r="I173" i="16"/>
  <c r="J173" i="16"/>
  <c r="I17" i="16"/>
  <c r="J17" i="16"/>
  <c r="I78" i="16"/>
  <c r="J78" i="16"/>
  <c r="I295" i="16"/>
  <c r="J295" i="16"/>
  <c r="I209" i="16"/>
  <c r="J209" i="16"/>
  <c r="I228" i="16"/>
  <c r="J228" i="16"/>
  <c r="I42" i="16"/>
  <c r="J42" i="16"/>
  <c r="I138" i="16"/>
  <c r="J138" i="16"/>
  <c r="I284" i="16"/>
  <c r="J284" i="16"/>
  <c r="I41" i="16"/>
  <c r="J41" i="16"/>
  <c r="I113" i="16"/>
  <c r="J113" i="16"/>
  <c r="I158" i="16"/>
  <c r="J158" i="16"/>
  <c r="I251" i="16"/>
  <c r="J251" i="16"/>
  <c r="I257" i="16"/>
  <c r="J257" i="16"/>
  <c r="I119" i="16"/>
  <c r="J119" i="16"/>
  <c r="I23" i="16"/>
  <c r="J23" i="16"/>
  <c r="I348" i="16"/>
  <c r="J348" i="16"/>
  <c r="I38" i="16"/>
  <c r="J38" i="16"/>
  <c r="I283" i="16"/>
  <c r="J283" i="16"/>
  <c r="I135" i="16"/>
  <c r="J135" i="16"/>
  <c r="I263" i="16"/>
  <c r="J263" i="16"/>
  <c r="I183" i="16"/>
  <c r="J183" i="16"/>
  <c r="I302" i="16"/>
  <c r="J302" i="16"/>
  <c r="I150" i="16"/>
  <c r="J150" i="16"/>
  <c r="I239" i="16"/>
  <c r="J239" i="16"/>
  <c r="I275" i="16"/>
  <c r="J275" i="16"/>
  <c r="I149" i="16"/>
  <c r="J149" i="16"/>
  <c r="I214" i="16"/>
  <c r="J214" i="16"/>
  <c r="I170" i="16"/>
  <c r="J170" i="16"/>
  <c r="I298" i="16"/>
  <c r="J298" i="16"/>
  <c r="I43" i="16"/>
  <c r="J43" i="16"/>
  <c r="I307" i="16"/>
  <c r="J307" i="16"/>
  <c r="I106" i="16"/>
  <c r="J106" i="16"/>
  <c r="I317" i="16"/>
  <c r="J317" i="16"/>
  <c r="I46" i="16"/>
  <c r="J46" i="16"/>
  <c r="I49" i="16"/>
  <c r="J49" i="16"/>
  <c r="I182" i="16"/>
  <c r="J182" i="16"/>
  <c r="I112" i="16"/>
  <c r="J112" i="16"/>
  <c r="I124" i="16"/>
  <c r="J124" i="16"/>
  <c r="I98" i="16"/>
  <c r="J98" i="16"/>
  <c r="I212" i="16"/>
  <c r="J212" i="16"/>
  <c r="I201" i="16"/>
  <c r="J201" i="16"/>
  <c r="I314" i="16"/>
  <c r="J314" i="16"/>
  <c r="I190" i="16"/>
  <c r="J190" i="16"/>
  <c r="I195" i="16"/>
  <c r="J195" i="16"/>
  <c r="I172" i="16"/>
  <c r="J172" i="16"/>
  <c r="I196" i="16"/>
  <c r="J196" i="16"/>
  <c r="I236" i="16"/>
  <c r="J236" i="16"/>
  <c r="I285" i="16"/>
  <c r="J285" i="16"/>
  <c r="I91" i="16"/>
  <c r="J91" i="16"/>
  <c r="I187" i="16"/>
  <c r="J187" i="16"/>
  <c r="I244" i="16"/>
  <c r="J244" i="16"/>
  <c r="I174" i="16"/>
  <c r="J174" i="16"/>
  <c r="I261" i="16"/>
  <c r="J261" i="16"/>
  <c r="I108" i="16"/>
  <c r="J108" i="16"/>
  <c r="I258" i="16"/>
  <c r="J258" i="16"/>
  <c r="I319" i="16"/>
  <c r="J319" i="16"/>
  <c r="I40" i="16"/>
  <c r="J40" i="16"/>
  <c r="I337" i="16"/>
  <c r="J337" i="16"/>
  <c r="I57" i="16"/>
  <c r="J57" i="16"/>
  <c r="I256" i="16"/>
  <c r="J256" i="16"/>
  <c r="I202" i="16"/>
  <c r="J202" i="16"/>
  <c r="I279" i="16"/>
  <c r="J279" i="16"/>
  <c r="I47" i="16"/>
  <c r="J47" i="16"/>
  <c r="I35" i="16"/>
  <c r="J35" i="16"/>
  <c r="I175" i="16"/>
  <c r="J175" i="16"/>
  <c r="I281" i="16"/>
  <c r="J281" i="16"/>
  <c r="I32" i="16"/>
  <c r="J32" i="16"/>
  <c r="I74" i="16"/>
  <c r="J74" i="16"/>
  <c r="I273" i="16"/>
  <c r="J273" i="16"/>
  <c r="I246" i="16"/>
  <c r="J246" i="16"/>
  <c r="I62" i="16"/>
  <c r="J62" i="16"/>
  <c r="I333" i="16"/>
  <c r="J333" i="16"/>
  <c r="I255" i="16"/>
  <c r="J255" i="16"/>
  <c r="I278" i="16"/>
  <c r="J278" i="16"/>
  <c r="I181" i="16"/>
  <c r="J181" i="16"/>
  <c r="I310" i="16"/>
  <c r="J310" i="16"/>
  <c r="I316" i="16"/>
  <c r="J316" i="16"/>
  <c r="I203" i="16"/>
  <c r="J203" i="16"/>
  <c r="I238" i="16"/>
  <c r="J238" i="16"/>
  <c r="I103" i="16"/>
  <c r="J103" i="16"/>
  <c r="I260" i="16"/>
  <c r="J260" i="16"/>
  <c r="I292" i="16"/>
  <c r="J292" i="16"/>
  <c r="I242" i="16"/>
  <c r="J242" i="16"/>
  <c r="I189" i="16"/>
  <c r="J189" i="16"/>
  <c r="I186" i="16"/>
  <c r="J186" i="16"/>
  <c r="I315" i="16"/>
  <c r="J315" i="16"/>
  <c r="I291" i="16"/>
  <c r="J291" i="16"/>
  <c r="I262" i="16"/>
  <c r="J262" i="16"/>
  <c r="I22" i="16"/>
  <c r="J22" i="16"/>
  <c r="I68" i="16"/>
  <c r="J68" i="16"/>
  <c r="I52" i="16"/>
  <c r="J52" i="16"/>
  <c r="I36" i="16"/>
  <c r="J36" i="16"/>
  <c r="I280" i="16"/>
  <c r="J280" i="16"/>
  <c r="I323" i="16"/>
  <c r="J323" i="16"/>
  <c r="I166" i="16"/>
  <c r="J166" i="16"/>
  <c r="I56" i="16"/>
  <c r="J56" i="16"/>
  <c r="I272" i="16"/>
  <c r="J272" i="16"/>
  <c r="I9" i="16"/>
  <c r="J9" i="16"/>
  <c r="I225" i="16"/>
  <c r="J225" i="16"/>
  <c r="I87" i="16"/>
  <c r="J87" i="16"/>
  <c r="I301" i="16"/>
  <c r="J301" i="16"/>
  <c r="I330" i="16"/>
  <c r="J330" i="16"/>
  <c r="I59" i="16"/>
  <c r="J59" i="16"/>
  <c r="I232" i="16"/>
  <c r="J232" i="16"/>
  <c r="I224" i="16"/>
  <c r="J224" i="16"/>
  <c r="I107" i="16"/>
  <c r="J107" i="16"/>
  <c r="I282" i="16"/>
  <c r="J282" i="16"/>
  <c r="I79" i="16"/>
  <c r="J79" i="16"/>
  <c r="I223" i="16"/>
  <c r="J223" i="16"/>
  <c r="I340" i="16"/>
  <c r="J340" i="16"/>
  <c r="I161" i="16"/>
  <c r="J161" i="16"/>
  <c r="I72" i="16"/>
  <c r="J72" i="16"/>
  <c r="I249" i="16"/>
  <c r="J249" i="16"/>
  <c r="I241" i="16"/>
  <c r="J241" i="16"/>
  <c r="I65" i="16"/>
  <c r="J65" i="16"/>
  <c r="I156" i="16"/>
  <c r="J156" i="16"/>
  <c r="I12" i="16"/>
  <c r="J12" i="16"/>
  <c r="I293" i="16"/>
  <c r="J293" i="16"/>
  <c r="I180" i="16"/>
  <c r="J180" i="16"/>
  <c r="I217" i="16"/>
  <c r="J217" i="16"/>
  <c r="I73" i="16"/>
  <c r="J73" i="16"/>
  <c r="I222" i="16"/>
  <c r="J222" i="16"/>
  <c r="I237" i="16"/>
  <c r="J237" i="16"/>
  <c r="I352" i="16"/>
  <c r="J352" i="16"/>
  <c r="I26" i="16"/>
  <c r="J26" i="16"/>
  <c r="I67" i="16"/>
  <c r="J67" i="16"/>
  <c r="I125" i="16"/>
  <c r="J125" i="16"/>
  <c r="I126" i="16"/>
  <c r="J126" i="16"/>
  <c r="I227" i="16"/>
  <c r="J227" i="16"/>
  <c r="I191" i="16"/>
  <c r="J191" i="16"/>
  <c r="I63" i="16"/>
  <c r="J63" i="16"/>
  <c r="I13" i="16"/>
  <c r="J13" i="16"/>
  <c r="I55" i="16"/>
  <c r="J55" i="16"/>
  <c r="I341" i="16"/>
  <c r="J341" i="16"/>
  <c r="I143" i="16"/>
  <c r="J143" i="16"/>
  <c r="I48" i="16"/>
  <c r="J48" i="16"/>
  <c r="I204" i="16"/>
  <c r="J204" i="16"/>
  <c r="I85" i="16"/>
  <c r="J85" i="16"/>
  <c r="I105" i="16"/>
  <c r="J105" i="16"/>
  <c r="I240" i="16"/>
  <c r="J240" i="16"/>
  <c r="I148" i="16"/>
  <c r="J148" i="16"/>
  <c r="I15" i="16"/>
  <c r="J15" i="16"/>
  <c r="I300" i="16"/>
  <c r="J300" i="16"/>
  <c r="I19" i="16"/>
  <c r="J19" i="16"/>
  <c r="I332" i="16"/>
  <c r="J332" i="16"/>
  <c r="I325" i="16"/>
  <c r="J325" i="16"/>
  <c r="I297" i="16"/>
  <c r="J297" i="16"/>
  <c r="I299" i="16"/>
  <c r="J299" i="16"/>
  <c r="I234" i="16"/>
  <c r="J234" i="16"/>
  <c r="I127" i="16"/>
  <c r="J127" i="16"/>
  <c r="I312" i="16"/>
  <c r="J312" i="16"/>
  <c r="I80" i="16"/>
  <c r="J80" i="16"/>
  <c r="I177" i="16"/>
  <c r="J177" i="16"/>
  <c r="I265" i="16"/>
  <c r="J265" i="16"/>
  <c r="I10" i="16"/>
  <c r="J10" i="16"/>
  <c r="I221" i="16"/>
  <c r="J221" i="16"/>
  <c r="I132" i="16"/>
  <c r="J132" i="16"/>
  <c r="I303" i="16"/>
  <c r="J303" i="16"/>
  <c r="I99" i="16"/>
  <c r="J99" i="16"/>
  <c r="I69" i="16"/>
  <c r="J69" i="16"/>
  <c r="I200" i="16"/>
  <c r="J200" i="16"/>
  <c r="I343" i="16"/>
  <c r="J343" i="16"/>
  <c r="I336" i="16"/>
  <c r="J336" i="16"/>
  <c r="I294" i="16"/>
  <c r="J294" i="16"/>
  <c r="I97" i="16"/>
  <c r="J97" i="16"/>
  <c r="I188" i="16"/>
  <c r="J188" i="16"/>
  <c r="I111" i="16"/>
  <c r="J111" i="16"/>
  <c r="I27" i="16"/>
  <c r="J27" i="16"/>
  <c r="I233" i="16"/>
  <c r="J233" i="16"/>
  <c r="I121" i="16"/>
  <c r="J121" i="16"/>
  <c r="I154" i="16"/>
  <c r="J154" i="16"/>
  <c r="I335" i="16"/>
  <c r="J335" i="16"/>
  <c r="I131" i="16"/>
  <c r="J131" i="16"/>
  <c r="I152" i="16"/>
  <c r="J152" i="16"/>
  <c r="I194" i="16"/>
  <c r="J194" i="16"/>
  <c r="I304" i="16"/>
  <c r="J304" i="16"/>
  <c r="I130" i="16"/>
  <c r="J130" i="16"/>
  <c r="I289" i="16"/>
  <c r="J289" i="16"/>
  <c r="I324" i="16"/>
  <c r="J324" i="16"/>
  <c r="I247" i="16"/>
  <c r="J247" i="16"/>
  <c r="I14" i="16"/>
  <c r="J14" i="16"/>
  <c r="I276" i="16"/>
  <c r="J276" i="16"/>
  <c r="I322" i="16"/>
  <c r="J322" i="16"/>
  <c r="I129" i="16"/>
  <c r="J129" i="16"/>
  <c r="I50" i="16"/>
  <c r="J50" i="16"/>
  <c r="I230" i="16"/>
  <c r="J230" i="16"/>
  <c r="I329" i="16"/>
  <c r="J329" i="16"/>
  <c r="I193" i="16"/>
  <c r="J193" i="16"/>
  <c r="I159" i="16"/>
  <c r="J159" i="16"/>
  <c r="I184" i="16"/>
  <c r="J184" i="16"/>
  <c r="I342" i="16"/>
  <c r="J342" i="16"/>
  <c r="I318" i="16"/>
  <c r="J318" i="16"/>
  <c r="I155" i="16"/>
  <c r="J155" i="16"/>
  <c r="I168" i="16"/>
  <c r="J168" i="16"/>
  <c r="I141" i="16"/>
  <c r="J141" i="16"/>
  <c r="I269" i="16"/>
  <c r="J269" i="16"/>
  <c r="I82" i="16"/>
  <c r="J82" i="16"/>
  <c r="I11" i="16"/>
  <c r="J11" i="16"/>
  <c r="I327" i="16"/>
  <c r="J327" i="16"/>
  <c r="I338" i="16"/>
  <c r="J338" i="16"/>
  <c r="I245" i="16"/>
  <c r="J245" i="16"/>
  <c r="I146" i="16"/>
  <c r="J146" i="16"/>
  <c r="I162" i="16"/>
  <c r="J162" i="16"/>
  <c r="I118" i="16"/>
  <c r="J118" i="16"/>
  <c r="I259" i="16"/>
  <c r="J259" i="16"/>
  <c r="I94" i="16"/>
  <c r="J94" i="16"/>
  <c r="I339" i="16"/>
  <c r="J339" i="16"/>
  <c r="I137" i="16"/>
  <c r="J137" i="16"/>
  <c r="I296" i="16"/>
  <c r="J296" i="16"/>
  <c r="I169" i="16"/>
  <c r="J169" i="16"/>
  <c r="I349" i="16"/>
  <c r="J349" i="16"/>
  <c r="I268" i="16"/>
  <c r="J268" i="16"/>
  <c r="I211" i="16"/>
  <c r="J211" i="16"/>
  <c r="I205" i="16"/>
  <c r="J205" i="16"/>
  <c r="I45" i="16"/>
  <c r="J45" i="16"/>
  <c r="I213" i="16"/>
  <c r="J213" i="16"/>
  <c r="I160" i="16"/>
  <c r="J160" i="16"/>
  <c r="I34" i="16"/>
  <c r="J34" i="16"/>
  <c r="G354" i="16"/>
  <c r="H7" i="16"/>
  <c r="I331" i="16"/>
  <c r="J331" i="16"/>
  <c r="I346" i="16"/>
  <c r="J346" i="16"/>
  <c r="I164" i="16"/>
  <c r="J164" i="16"/>
  <c r="I84" i="16"/>
  <c r="J84" i="16"/>
  <c r="I39" i="16"/>
  <c r="J39" i="16"/>
  <c r="I167" i="16"/>
  <c r="J167" i="16"/>
  <c r="I75" i="16"/>
  <c r="J75" i="16"/>
  <c r="I147" i="16"/>
  <c r="J147" i="16"/>
  <c r="I235" i="16"/>
  <c r="J235" i="16"/>
  <c r="I133" i="16"/>
  <c r="J133" i="16"/>
  <c r="I226" i="16"/>
  <c r="J226" i="16"/>
  <c r="I18" i="16"/>
  <c r="J18" i="16"/>
  <c r="I254" i="16"/>
  <c r="J254" i="16"/>
  <c r="I31" i="16"/>
  <c r="J31" i="16"/>
  <c r="I274" i="16"/>
  <c r="J274" i="16"/>
  <c r="V235" i="16" l="1"/>
  <c r="E231" i="42" s="1"/>
  <c r="N235" i="16"/>
  <c r="N54" i="16"/>
  <c r="V54" i="16"/>
  <c r="E50" i="42" s="1"/>
  <c r="N160" i="16"/>
  <c r="V160" i="16"/>
  <c r="E156" i="42" s="1"/>
  <c r="N320" i="16"/>
  <c r="V320" i="16"/>
  <c r="E316" i="42" s="1"/>
  <c r="K325" i="16"/>
  <c r="L325" i="16" s="1"/>
  <c r="M325" i="16" s="1"/>
  <c r="K107" i="16"/>
  <c r="L107" i="16" s="1"/>
  <c r="M107" i="16" s="1"/>
  <c r="K149" i="16"/>
  <c r="L149" i="16" s="1"/>
  <c r="M149" i="16" s="1"/>
  <c r="K153" i="16"/>
  <c r="L153" i="16" s="1"/>
  <c r="M153" i="16" s="1"/>
  <c r="K287" i="16"/>
  <c r="L287" i="16" s="1"/>
  <c r="M287" i="16" s="1"/>
  <c r="K20" i="16"/>
  <c r="L20" i="16" s="1"/>
  <c r="M20" i="16" s="1"/>
  <c r="N303" i="16"/>
  <c r="V303" i="16"/>
  <c r="E299" i="42" s="1"/>
  <c r="N124" i="16"/>
  <c r="V124" i="16"/>
  <c r="E120" i="42" s="1"/>
  <c r="V128" i="16"/>
  <c r="E124" i="42" s="1"/>
  <c r="N128" i="16"/>
  <c r="N329" i="16"/>
  <c r="V329" i="16"/>
  <c r="E325" i="42" s="1"/>
  <c r="V112" i="16"/>
  <c r="E108" i="42" s="1"/>
  <c r="N112" i="16"/>
  <c r="V92" i="16"/>
  <c r="E88" i="42" s="1"/>
  <c r="N92" i="16"/>
  <c r="N75" i="16"/>
  <c r="V75" i="16"/>
  <c r="E71" i="42" s="1"/>
  <c r="V94" i="16"/>
  <c r="E90" i="42" s="1"/>
  <c r="N94" i="16"/>
  <c r="N269" i="16"/>
  <c r="V269" i="16"/>
  <c r="E265" i="42" s="1"/>
  <c r="V230" i="16"/>
  <c r="E226" i="42" s="1"/>
  <c r="N230" i="16"/>
  <c r="N304" i="16"/>
  <c r="V304" i="16"/>
  <c r="E300" i="42" s="1"/>
  <c r="N188" i="16"/>
  <c r="V188" i="16"/>
  <c r="E184" i="42" s="1"/>
  <c r="V221" i="16"/>
  <c r="E217" i="42" s="1"/>
  <c r="N221" i="16"/>
  <c r="V325" i="16"/>
  <c r="E321" i="42" s="1"/>
  <c r="N325" i="16"/>
  <c r="N48" i="16"/>
  <c r="V48" i="16"/>
  <c r="E44" i="42" s="1"/>
  <c r="V67" i="16"/>
  <c r="E63" i="42" s="1"/>
  <c r="N67" i="16"/>
  <c r="V156" i="16"/>
  <c r="E152" i="42" s="1"/>
  <c r="N156" i="16"/>
  <c r="N107" i="16"/>
  <c r="V107" i="16"/>
  <c r="E103" i="42" s="1"/>
  <c r="V56" i="16"/>
  <c r="E52" i="42" s="1"/>
  <c r="N56" i="16"/>
  <c r="V315" i="16"/>
  <c r="E311" i="42" s="1"/>
  <c r="N315" i="16"/>
  <c r="V310" i="16"/>
  <c r="E306" i="42" s="1"/>
  <c r="N310" i="16"/>
  <c r="N281" i="16"/>
  <c r="V281" i="16"/>
  <c r="E277" i="42" s="1"/>
  <c r="V319" i="16"/>
  <c r="E315" i="42" s="1"/>
  <c r="N319" i="16"/>
  <c r="N196" i="16"/>
  <c r="V196" i="16"/>
  <c r="E192" i="42" s="1"/>
  <c r="N182" i="16"/>
  <c r="V182" i="16"/>
  <c r="E178" i="42" s="1"/>
  <c r="N149" i="16"/>
  <c r="V149" i="16"/>
  <c r="E145" i="42" s="1"/>
  <c r="V348" i="16"/>
  <c r="E344" i="42" s="1"/>
  <c r="N348" i="16"/>
  <c r="V42" i="16"/>
  <c r="E38" i="42" s="1"/>
  <c r="N42" i="16"/>
  <c r="V311" i="16"/>
  <c r="E307" i="42" s="1"/>
  <c r="N311" i="16"/>
  <c r="N153" i="16"/>
  <c r="V153" i="16"/>
  <c r="E149" i="42" s="1"/>
  <c r="V122" i="16"/>
  <c r="E118" i="42" s="1"/>
  <c r="N122" i="16"/>
  <c r="N77" i="16"/>
  <c r="V77" i="16"/>
  <c r="E73" i="42" s="1"/>
  <c r="N76" i="16"/>
  <c r="V76" i="16"/>
  <c r="E72" i="42" s="1"/>
  <c r="V287" i="16"/>
  <c r="E283" i="42" s="1"/>
  <c r="N287" i="16"/>
  <c r="N220" i="16"/>
  <c r="V220" i="16"/>
  <c r="E216" i="42" s="1"/>
  <c r="V136" i="16"/>
  <c r="E132" i="42" s="1"/>
  <c r="N136" i="16"/>
  <c r="V93" i="16"/>
  <c r="E89" i="42" s="1"/>
  <c r="N93" i="16"/>
  <c r="N81" i="16"/>
  <c r="V81" i="16"/>
  <c r="E77" i="42" s="1"/>
  <c r="N20" i="16"/>
  <c r="V20" i="16"/>
  <c r="E16" i="42" s="1"/>
  <c r="N293" i="16"/>
  <c r="V293" i="16"/>
  <c r="E289" i="42" s="1"/>
  <c r="N248" i="16"/>
  <c r="V248" i="16"/>
  <c r="E244" i="42" s="1"/>
  <c r="N297" i="16"/>
  <c r="V297" i="16"/>
  <c r="E293" i="42" s="1"/>
  <c r="N171" i="16"/>
  <c r="V171" i="16"/>
  <c r="E167" i="42" s="1"/>
  <c r="K141" i="16"/>
  <c r="L141" i="16" s="1"/>
  <c r="M141" i="16" s="1"/>
  <c r="K23" i="16"/>
  <c r="L23" i="16" s="1"/>
  <c r="M23" i="16" s="1"/>
  <c r="V185" i="16"/>
  <c r="E181" i="42" s="1"/>
  <c r="N185" i="16"/>
  <c r="N86" i="16"/>
  <c r="V86" i="16"/>
  <c r="E82" i="42" s="1"/>
  <c r="V213" i="16"/>
  <c r="E209" i="42" s="1"/>
  <c r="N213" i="16"/>
  <c r="N167" i="16"/>
  <c r="V167" i="16"/>
  <c r="E163" i="42" s="1"/>
  <c r="N45" i="16"/>
  <c r="V45" i="16"/>
  <c r="E41" i="42" s="1"/>
  <c r="V259" i="16"/>
  <c r="E255" i="42" s="1"/>
  <c r="N259" i="16"/>
  <c r="V141" i="16"/>
  <c r="E137" i="42" s="1"/>
  <c r="N141" i="16"/>
  <c r="N50" i="16"/>
  <c r="V50" i="16"/>
  <c r="E46" i="42" s="1"/>
  <c r="V194" i="16"/>
  <c r="E190" i="42" s="1"/>
  <c r="N194" i="16"/>
  <c r="V97" i="16"/>
  <c r="E93" i="42" s="1"/>
  <c r="N97" i="16"/>
  <c r="N10" i="16"/>
  <c r="V10" i="16"/>
  <c r="E6" i="42" s="1"/>
  <c r="V332" i="16"/>
  <c r="E328" i="42" s="1"/>
  <c r="N332" i="16"/>
  <c r="V143" i="16"/>
  <c r="E139" i="42" s="1"/>
  <c r="N143" i="16"/>
  <c r="N26" i="16"/>
  <c r="V26" i="16"/>
  <c r="E22" i="42" s="1"/>
  <c r="V65" i="16"/>
  <c r="E61" i="42" s="1"/>
  <c r="N65" i="16"/>
  <c r="V224" i="16"/>
  <c r="E220" i="42" s="1"/>
  <c r="N224" i="16"/>
  <c r="N166" i="16"/>
  <c r="V166" i="16"/>
  <c r="E162" i="42" s="1"/>
  <c r="N186" i="16"/>
  <c r="V186" i="16"/>
  <c r="E182" i="42" s="1"/>
  <c r="V181" i="16"/>
  <c r="E177" i="42" s="1"/>
  <c r="N181" i="16"/>
  <c r="N175" i="16"/>
  <c r="V175" i="16"/>
  <c r="E171" i="42" s="1"/>
  <c r="N258" i="16"/>
  <c r="V258" i="16"/>
  <c r="E254" i="42" s="1"/>
  <c r="V172" i="16"/>
  <c r="E168" i="42" s="1"/>
  <c r="N172" i="16"/>
  <c r="N49" i="16"/>
  <c r="V49" i="16"/>
  <c r="E45" i="42" s="1"/>
  <c r="N275" i="16"/>
  <c r="V275" i="16"/>
  <c r="E271" i="42" s="1"/>
  <c r="V23" i="16"/>
  <c r="E19" i="42" s="1"/>
  <c r="N23" i="16"/>
  <c r="N228" i="16"/>
  <c r="V228" i="16"/>
  <c r="E224" i="42" s="1"/>
  <c r="N28" i="16"/>
  <c r="V28" i="16"/>
  <c r="E24" i="42" s="1"/>
  <c r="N25" i="16"/>
  <c r="V25" i="16"/>
  <c r="E21" i="42" s="1"/>
  <c r="V8" i="16"/>
  <c r="E4" i="42" s="1"/>
  <c r="N8" i="16"/>
  <c r="V144" i="16"/>
  <c r="E140" i="42" s="1"/>
  <c r="N144" i="16"/>
  <c r="V140" i="16"/>
  <c r="E136" i="42" s="1"/>
  <c r="N140" i="16"/>
  <c r="V305" i="16"/>
  <c r="E301" i="42" s="1"/>
  <c r="N305" i="16"/>
  <c r="N120" i="16"/>
  <c r="V120" i="16"/>
  <c r="E116" i="42" s="1"/>
  <c r="N104" i="16"/>
  <c r="V104" i="16"/>
  <c r="E100" i="42" s="1"/>
  <c r="V100" i="16"/>
  <c r="E96" i="42" s="1"/>
  <c r="N100" i="16"/>
  <c r="V109" i="16"/>
  <c r="E105" i="42" s="1"/>
  <c r="N109" i="16"/>
  <c r="V16" i="16"/>
  <c r="E12" i="42" s="1"/>
  <c r="N16" i="16"/>
  <c r="V170" i="16"/>
  <c r="E166" i="42" s="1"/>
  <c r="N170" i="16"/>
  <c r="N32" i="16"/>
  <c r="V32" i="16"/>
  <c r="E28" i="42" s="1"/>
  <c r="N118" i="16"/>
  <c r="V118" i="16"/>
  <c r="E114" i="42" s="1"/>
  <c r="V53" i="16"/>
  <c r="E49" i="42" s="1"/>
  <c r="N53" i="16"/>
  <c r="K322" i="16"/>
  <c r="L322" i="16" s="1"/>
  <c r="M322" i="16" s="1"/>
  <c r="N280" i="16"/>
  <c r="V280" i="16"/>
  <c r="E276" i="42" s="1"/>
  <c r="N317" i="16"/>
  <c r="V317" i="16"/>
  <c r="E313" i="42" s="1"/>
  <c r="N257" i="16"/>
  <c r="V257" i="16"/>
  <c r="E253" i="42" s="1"/>
  <c r="V295" i="16"/>
  <c r="E291" i="42" s="1"/>
  <c r="N295" i="16"/>
  <c r="V198" i="16"/>
  <c r="E194" i="42" s="1"/>
  <c r="N198" i="16"/>
  <c r="N309" i="16"/>
  <c r="V309" i="16"/>
  <c r="E305" i="42" s="1"/>
  <c r="N328" i="16"/>
  <c r="V328" i="16"/>
  <c r="E324" i="42" s="1"/>
  <c r="V218" i="16"/>
  <c r="E214" i="42" s="1"/>
  <c r="N218" i="16"/>
  <c r="V115" i="16"/>
  <c r="E111" i="42" s="1"/>
  <c r="N115" i="16"/>
  <c r="V267" i="16"/>
  <c r="E263" i="42" s="1"/>
  <c r="N267" i="16"/>
  <c r="N326" i="16"/>
  <c r="V326" i="16"/>
  <c r="E322" i="42" s="1"/>
  <c r="N308" i="16"/>
  <c r="V308" i="16"/>
  <c r="E304" i="42" s="1"/>
  <c r="N29" i="16"/>
  <c r="V29" i="16"/>
  <c r="E25" i="42" s="1"/>
  <c r="V83" i="16"/>
  <c r="E79" i="42" s="1"/>
  <c r="N83" i="16"/>
  <c r="V151" i="16"/>
  <c r="E147" i="42" s="1"/>
  <c r="N151" i="16"/>
  <c r="V283" i="16"/>
  <c r="E279" i="42" s="1"/>
  <c r="N283" i="16"/>
  <c r="N272" i="16"/>
  <c r="V272" i="16"/>
  <c r="E268" i="42" s="1"/>
  <c r="N321" i="16"/>
  <c r="V321" i="16"/>
  <c r="E317" i="42" s="1"/>
  <c r="V193" i="16"/>
  <c r="E189" i="42" s="1"/>
  <c r="N193" i="16"/>
  <c r="N262" i="16"/>
  <c r="V262" i="16"/>
  <c r="E258" i="42" s="1"/>
  <c r="V215" i="16"/>
  <c r="E211" i="42" s="1"/>
  <c r="N215" i="16"/>
  <c r="N82" i="16"/>
  <c r="V82" i="16"/>
  <c r="E78" i="42" s="1"/>
  <c r="V204" i="16"/>
  <c r="E200" i="42" s="1"/>
  <c r="N204" i="16"/>
  <c r="V316" i="16"/>
  <c r="E312" i="42" s="1"/>
  <c r="N316" i="16"/>
  <c r="N214" i="16"/>
  <c r="V214" i="16"/>
  <c r="E210" i="42" s="1"/>
  <c r="N197" i="16"/>
  <c r="V197" i="16"/>
  <c r="E193" i="42" s="1"/>
  <c r="V274" i="16"/>
  <c r="E270" i="42" s="1"/>
  <c r="N274" i="16"/>
  <c r="V19" i="16"/>
  <c r="E15" i="42" s="1"/>
  <c r="N19" i="16"/>
  <c r="N278" i="16"/>
  <c r="V278" i="16"/>
  <c r="E274" i="42" s="1"/>
  <c r="N239" i="16"/>
  <c r="V239" i="16"/>
  <c r="E235" i="42" s="1"/>
  <c r="N290" i="16"/>
  <c r="V290" i="16"/>
  <c r="E286" i="42" s="1"/>
  <c r="K295" i="16"/>
  <c r="L295" i="16" s="1"/>
  <c r="M295" i="16" s="1"/>
  <c r="N177" i="16"/>
  <c r="V177" i="16"/>
  <c r="E173" i="42" s="1"/>
  <c r="V261" i="16"/>
  <c r="E257" i="42" s="1"/>
  <c r="N261" i="16"/>
  <c r="V80" i="16"/>
  <c r="E76" i="42" s="1"/>
  <c r="N80" i="16"/>
  <c r="V222" i="16"/>
  <c r="E218" i="42" s="1"/>
  <c r="N222" i="16"/>
  <c r="V72" i="16"/>
  <c r="E68" i="42" s="1"/>
  <c r="N72" i="16"/>
  <c r="V330" i="16"/>
  <c r="E326" i="42" s="1"/>
  <c r="N330" i="16"/>
  <c r="N36" i="16"/>
  <c r="V36" i="16"/>
  <c r="E32" i="42" s="1"/>
  <c r="N292" i="16"/>
  <c r="V292" i="16"/>
  <c r="E288" i="42" s="1"/>
  <c r="N333" i="16"/>
  <c r="V333" i="16"/>
  <c r="E329" i="42" s="1"/>
  <c r="N279" i="16"/>
  <c r="V279" i="16"/>
  <c r="E275" i="42" s="1"/>
  <c r="N174" i="16"/>
  <c r="V174" i="16"/>
  <c r="E170" i="42" s="1"/>
  <c r="N314" i="16"/>
  <c r="V314" i="16"/>
  <c r="E310" i="42" s="1"/>
  <c r="N106" i="16"/>
  <c r="V106" i="16"/>
  <c r="E102" i="42" s="1"/>
  <c r="N302" i="16"/>
  <c r="V302" i="16"/>
  <c r="E298" i="42" s="1"/>
  <c r="N251" i="16"/>
  <c r="V251" i="16"/>
  <c r="E247" i="42" s="1"/>
  <c r="V78" i="16"/>
  <c r="E74" i="42" s="1"/>
  <c r="N78" i="16"/>
  <c r="N178" i="16"/>
  <c r="V178" i="16"/>
  <c r="E174" i="42" s="1"/>
  <c r="N288" i="16"/>
  <c r="V288" i="16"/>
  <c r="E284" i="42" s="1"/>
  <c r="V210" i="16"/>
  <c r="E206" i="42" s="1"/>
  <c r="N210" i="16"/>
  <c r="V165" i="16"/>
  <c r="E161" i="42" s="1"/>
  <c r="N165" i="16"/>
  <c r="N24" i="16"/>
  <c r="V24" i="16"/>
  <c r="E20" i="42" s="1"/>
  <c r="V270" i="16"/>
  <c r="E266" i="42" s="1"/>
  <c r="N270" i="16"/>
  <c r="V350" i="16"/>
  <c r="E346" i="42" s="1"/>
  <c r="N350" i="16"/>
  <c r="N206" i="16"/>
  <c r="V206" i="16"/>
  <c r="E202" i="42" s="1"/>
  <c r="V117" i="16"/>
  <c r="E113" i="42" s="1"/>
  <c r="N117" i="16"/>
  <c r="N344" i="16"/>
  <c r="V344" i="16"/>
  <c r="E340" i="42" s="1"/>
  <c r="V60" i="16"/>
  <c r="E56" i="42" s="1"/>
  <c r="N60" i="16"/>
  <c r="K285" i="16"/>
  <c r="L285" i="16" s="1"/>
  <c r="M285" i="16" s="1"/>
  <c r="N27" i="16"/>
  <c r="V27" i="16"/>
  <c r="E23" i="42" s="1"/>
  <c r="V337" i="16"/>
  <c r="E333" i="42" s="1"/>
  <c r="N337" i="16"/>
  <c r="N271" i="16"/>
  <c r="V271" i="16"/>
  <c r="E267" i="42" s="1"/>
  <c r="K32" i="16"/>
  <c r="L32" i="16" s="1"/>
  <c r="M32" i="16" s="1"/>
  <c r="V111" i="16"/>
  <c r="E107" i="42" s="1"/>
  <c r="N111" i="16"/>
  <c r="V236" i="16"/>
  <c r="E232" i="42" s="1"/>
  <c r="N236" i="16"/>
  <c r="N123" i="16"/>
  <c r="V123" i="16"/>
  <c r="E119" i="42" s="1"/>
  <c r="N294" i="16"/>
  <c r="V294" i="16"/>
  <c r="E290" i="42" s="1"/>
  <c r="N352" i="16"/>
  <c r="V352" i="16"/>
  <c r="E348" i="42" s="1"/>
  <c r="V35" i="16"/>
  <c r="E31" i="42" s="1"/>
  <c r="N35" i="16"/>
  <c r="V46" i="16"/>
  <c r="E42" i="42" s="1"/>
  <c r="N46" i="16"/>
  <c r="V209" i="16"/>
  <c r="E205" i="42" s="1"/>
  <c r="N209" i="16"/>
  <c r="V157" i="16"/>
  <c r="E153" i="42" s="1"/>
  <c r="N157" i="16"/>
  <c r="V33" i="16"/>
  <c r="E29" i="42" s="1"/>
  <c r="N33" i="16"/>
  <c r="V162" i="16"/>
  <c r="E158" i="42" s="1"/>
  <c r="N162" i="16"/>
  <c r="N131" i="16"/>
  <c r="V131" i="16"/>
  <c r="E127" i="42" s="1"/>
  <c r="N237" i="16"/>
  <c r="V237" i="16"/>
  <c r="E233" i="42" s="1"/>
  <c r="V47" i="16"/>
  <c r="E43" i="42" s="1"/>
  <c r="N47" i="16"/>
  <c r="K222" i="16"/>
  <c r="L222" i="16" s="1"/>
  <c r="M222" i="16" s="1"/>
  <c r="K251" i="16"/>
  <c r="L251" i="16" s="1"/>
  <c r="M251" i="16" s="1"/>
  <c r="N318" i="16"/>
  <c r="V318" i="16"/>
  <c r="E314" i="42" s="1"/>
  <c r="K52" i="16"/>
  <c r="L52" i="16" s="1"/>
  <c r="M52" i="16" s="1"/>
  <c r="K243" i="16"/>
  <c r="L243" i="16" s="1"/>
  <c r="M243" i="16" s="1"/>
  <c r="V9" i="16"/>
  <c r="E5" i="42" s="1"/>
  <c r="N9" i="16"/>
  <c r="V219" i="16"/>
  <c r="E215" i="42" s="1"/>
  <c r="N219" i="16"/>
  <c r="K253" i="16"/>
  <c r="L253" i="16" s="1"/>
  <c r="M253" i="16" s="1"/>
  <c r="N132" i="16"/>
  <c r="V132" i="16"/>
  <c r="E128" i="42" s="1"/>
  <c r="N40" i="16"/>
  <c r="V40" i="16"/>
  <c r="E36" i="42" s="1"/>
  <c r="V250" i="16"/>
  <c r="E246" i="42" s="1"/>
  <c r="N250" i="16"/>
  <c r="K323" i="16"/>
  <c r="L323" i="16" s="1"/>
  <c r="M323" i="16" s="1"/>
  <c r="V129" i="16"/>
  <c r="E125" i="42" s="1"/>
  <c r="N129" i="16"/>
  <c r="N241" i="16"/>
  <c r="V241" i="16"/>
  <c r="E237" i="42" s="1"/>
  <c r="V119" i="16"/>
  <c r="E115" i="42" s="1"/>
  <c r="N119" i="16"/>
  <c r="N58" i="16"/>
  <c r="V58" i="16"/>
  <c r="E54" i="42" s="1"/>
  <c r="V84" i="16"/>
  <c r="E80" i="42" s="1"/>
  <c r="N84" i="16"/>
  <c r="N300" i="16"/>
  <c r="V300" i="16"/>
  <c r="E296" i="42" s="1"/>
  <c r="N190" i="16"/>
  <c r="V190" i="16"/>
  <c r="E186" i="42" s="1"/>
  <c r="N15" i="16"/>
  <c r="V15" i="16"/>
  <c r="E11" i="42" s="1"/>
  <c r="N245" i="16"/>
  <c r="V245" i="16"/>
  <c r="E241" i="42" s="1"/>
  <c r="V14" i="16"/>
  <c r="E10" i="42" s="1"/>
  <c r="N14" i="16"/>
  <c r="N154" i="16"/>
  <c r="V154" i="16"/>
  <c r="E150" i="42" s="1"/>
  <c r="V200" i="16"/>
  <c r="E196" i="42" s="1"/>
  <c r="N200" i="16"/>
  <c r="V312" i="16"/>
  <c r="E308" i="42" s="1"/>
  <c r="N312" i="16"/>
  <c r="N148" i="16"/>
  <c r="V148" i="16"/>
  <c r="E144" i="42" s="1"/>
  <c r="V63" i="16"/>
  <c r="E59" i="42" s="1"/>
  <c r="N63" i="16"/>
  <c r="N73" i="16"/>
  <c r="V73" i="16"/>
  <c r="E69" i="42" s="1"/>
  <c r="N161" i="16"/>
  <c r="V161" i="16"/>
  <c r="E157" i="42" s="1"/>
  <c r="N301" i="16"/>
  <c r="V301" i="16"/>
  <c r="E297" i="42" s="1"/>
  <c r="V52" i="16"/>
  <c r="E48" i="42" s="1"/>
  <c r="N52" i="16"/>
  <c r="N260" i="16"/>
  <c r="V260" i="16"/>
  <c r="E256" i="42" s="1"/>
  <c r="N62" i="16"/>
  <c r="V62" i="16"/>
  <c r="E58" i="42" s="1"/>
  <c r="N202" i="16"/>
  <c r="V202" i="16"/>
  <c r="E198" i="42" s="1"/>
  <c r="N244" i="16"/>
  <c r="V244" i="16"/>
  <c r="E240" i="42" s="1"/>
  <c r="V201" i="16"/>
  <c r="E197" i="42" s="1"/>
  <c r="N201" i="16"/>
  <c r="V307" i="16"/>
  <c r="E303" i="42" s="1"/>
  <c r="N307" i="16"/>
  <c r="N183" i="16"/>
  <c r="V183" i="16"/>
  <c r="E179" i="42" s="1"/>
  <c r="N158" i="16"/>
  <c r="V158" i="16"/>
  <c r="E154" i="42" s="1"/>
  <c r="V17" i="16"/>
  <c r="E13" i="42" s="1"/>
  <c r="N17" i="16"/>
  <c r="N306" i="16"/>
  <c r="V306" i="16"/>
  <c r="E302" i="42" s="1"/>
  <c r="N142" i="16"/>
  <c r="V142" i="16"/>
  <c r="E138" i="42" s="1"/>
  <c r="V192" i="16"/>
  <c r="E188" i="42" s="1"/>
  <c r="N192" i="16"/>
  <c r="N231" i="16"/>
  <c r="V231" i="16"/>
  <c r="E227" i="42" s="1"/>
  <c r="V229" i="16"/>
  <c r="E225" i="42" s="1"/>
  <c r="N229" i="16"/>
  <c r="N334" i="16"/>
  <c r="V334" i="16"/>
  <c r="E330" i="42" s="1"/>
  <c r="V266" i="16"/>
  <c r="E262" i="42" s="1"/>
  <c r="N266" i="16"/>
  <c r="V216" i="16"/>
  <c r="E212" i="42" s="1"/>
  <c r="N216" i="16"/>
  <c r="N101" i="16"/>
  <c r="V101" i="16"/>
  <c r="E97" i="42" s="1"/>
  <c r="V134" i="16"/>
  <c r="E130" i="42" s="1"/>
  <c r="N134" i="16"/>
  <c r="N243" i="16"/>
  <c r="V243" i="16"/>
  <c r="E239" i="42" s="1"/>
  <c r="N289" i="16"/>
  <c r="V289" i="16"/>
  <c r="E285" i="42" s="1"/>
  <c r="N126" i="16"/>
  <c r="V126" i="16"/>
  <c r="E122" i="42" s="1"/>
  <c r="N203" i="16"/>
  <c r="V203" i="16"/>
  <c r="E199" i="42" s="1"/>
  <c r="V96" i="16"/>
  <c r="E92" i="42" s="1"/>
  <c r="N96" i="16"/>
  <c r="V125" i="16"/>
  <c r="E121" i="42" s="1"/>
  <c r="N125" i="16"/>
  <c r="V138" i="16"/>
  <c r="E134" i="42" s="1"/>
  <c r="N138" i="16"/>
  <c r="V90" i="16"/>
  <c r="E86" i="42" s="1"/>
  <c r="N90" i="16"/>
  <c r="N39" i="16"/>
  <c r="V39" i="16"/>
  <c r="E35" i="42" s="1"/>
  <c r="V232" i="16"/>
  <c r="E228" i="42" s="1"/>
  <c r="N232" i="16"/>
  <c r="V351" i="16"/>
  <c r="E347" i="42" s="1"/>
  <c r="N351" i="16"/>
  <c r="K150" i="16"/>
  <c r="L150" i="16" s="1"/>
  <c r="M150" i="16" s="1"/>
  <c r="N31" i="16"/>
  <c r="V31" i="16"/>
  <c r="E27" i="42" s="1"/>
  <c r="N249" i="16"/>
  <c r="V249" i="16"/>
  <c r="E245" i="42" s="1"/>
  <c r="V255" i="16"/>
  <c r="E251" i="42" s="1"/>
  <c r="N255" i="16"/>
  <c r="K106" i="16"/>
  <c r="L106" i="16" s="1"/>
  <c r="M106" i="16" s="1"/>
  <c r="V254" i="16"/>
  <c r="E250" i="42" s="1"/>
  <c r="N254" i="16"/>
  <c r="N146" i="16"/>
  <c r="V146" i="16"/>
  <c r="E142" i="42" s="1"/>
  <c r="N276" i="16"/>
  <c r="V276" i="16"/>
  <c r="E272" i="42" s="1"/>
  <c r="N335" i="16"/>
  <c r="V335" i="16"/>
  <c r="E331" i="42" s="1"/>
  <c r="K14" i="16"/>
  <c r="L14" i="16" s="1"/>
  <c r="M14" i="16" s="1"/>
  <c r="V18" i="16"/>
  <c r="E14" i="42" s="1"/>
  <c r="N18" i="16"/>
  <c r="N346" i="16"/>
  <c r="V346" i="16"/>
  <c r="E342" i="42" s="1"/>
  <c r="K240" i="16"/>
  <c r="L240" i="16" s="1"/>
  <c r="M240" i="16" s="1"/>
  <c r="K102" i="16"/>
  <c r="L102" i="16" s="1"/>
  <c r="M102" i="16" s="1"/>
  <c r="K286" i="16"/>
  <c r="L286" i="16" s="1"/>
  <c r="M286" i="16" s="1"/>
  <c r="V137" i="16"/>
  <c r="E133" i="42" s="1"/>
  <c r="N137" i="16"/>
  <c r="N85" i="16"/>
  <c r="V85" i="16"/>
  <c r="E81" i="42" s="1"/>
  <c r="V74" i="16"/>
  <c r="E70" i="42" s="1"/>
  <c r="N74" i="16"/>
  <c r="N208" i="16"/>
  <c r="V208" i="16"/>
  <c r="E204" i="42" s="1"/>
  <c r="K316" i="16"/>
  <c r="L316" i="16" s="1"/>
  <c r="M316" i="16" s="1"/>
  <c r="V147" i="16"/>
  <c r="E143" i="42" s="1"/>
  <c r="N147" i="16"/>
  <c r="N282" i="16"/>
  <c r="V282" i="16"/>
  <c r="E278" i="42" s="1"/>
  <c r="V176" i="16"/>
  <c r="E172" i="42" s="1"/>
  <c r="N176" i="16"/>
  <c r="V168" i="16"/>
  <c r="E164" i="42" s="1"/>
  <c r="N168" i="16"/>
  <c r="N152" i="16"/>
  <c r="V152" i="16"/>
  <c r="E148" i="42" s="1"/>
  <c r="V341" i="16"/>
  <c r="E337" i="42" s="1"/>
  <c r="N341" i="16"/>
  <c r="N108" i="16"/>
  <c r="V108" i="16"/>
  <c r="E104" i="42" s="1"/>
  <c r="N95" i="16"/>
  <c r="V95" i="16"/>
  <c r="E91" i="42" s="1"/>
  <c r="V155" i="16"/>
  <c r="E151" i="42" s="1"/>
  <c r="N155" i="16"/>
  <c r="N55" i="16"/>
  <c r="V55" i="16"/>
  <c r="E51" i="42" s="1"/>
  <c r="N242" i="16"/>
  <c r="V242" i="16"/>
  <c r="E238" i="42" s="1"/>
  <c r="K302" i="16"/>
  <c r="L302" i="16" s="1"/>
  <c r="M302" i="16" s="1"/>
  <c r="N164" i="16"/>
  <c r="V164" i="16"/>
  <c r="E160" i="42" s="1"/>
  <c r="V343" i="16"/>
  <c r="E339" i="42" s="1"/>
  <c r="N343" i="16"/>
  <c r="K245" i="16"/>
  <c r="L245" i="16" s="1"/>
  <c r="M245" i="16" s="1"/>
  <c r="N342" i="16"/>
  <c r="V342" i="16"/>
  <c r="E338" i="42" s="1"/>
  <c r="V226" i="16"/>
  <c r="E222" i="42" s="1"/>
  <c r="N226" i="16"/>
  <c r="N331" i="16"/>
  <c r="V331" i="16"/>
  <c r="E327" i="42" s="1"/>
  <c r="V169" i="16"/>
  <c r="E165" i="42" s="1"/>
  <c r="N169" i="16"/>
  <c r="N338" i="16"/>
  <c r="V338" i="16"/>
  <c r="E334" i="42" s="1"/>
  <c r="N184" i="16"/>
  <c r="V184" i="16"/>
  <c r="E180" i="42" s="1"/>
  <c r="V247" i="16"/>
  <c r="E243" i="42" s="1"/>
  <c r="N247" i="16"/>
  <c r="N121" i="16"/>
  <c r="V121" i="16"/>
  <c r="E117" i="42" s="1"/>
  <c r="N69" i="16"/>
  <c r="V69" i="16"/>
  <c r="E65" i="42" s="1"/>
  <c r="V127" i="16"/>
  <c r="E123" i="42" s="1"/>
  <c r="N127" i="16"/>
  <c r="V240" i="16"/>
  <c r="E236" i="42" s="1"/>
  <c r="N240" i="16"/>
  <c r="N191" i="16"/>
  <c r="V191" i="16"/>
  <c r="E187" i="42" s="1"/>
  <c r="V217" i="16"/>
  <c r="E213" i="42" s="1"/>
  <c r="N217" i="16"/>
  <c r="N340" i="16"/>
  <c r="V340" i="16"/>
  <c r="E336" i="42" s="1"/>
  <c r="N87" i="16"/>
  <c r="V87" i="16"/>
  <c r="E83" i="42" s="1"/>
  <c r="N68" i="16"/>
  <c r="V68" i="16"/>
  <c r="E64" i="42" s="1"/>
  <c r="N103" i="16"/>
  <c r="V103" i="16"/>
  <c r="E99" i="42" s="1"/>
  <c r="N246" i="16"/>
  <c r="V246" i="16"/>
  <c r="E242" i="42" s="1"/>
  <c r="N256" i="16"/>
  <c r="V256" i="16"/>
  <c r="E252" i="42" s="1"/>
  <c r="V187" i="16"/>
  <c r="E183" i="42" s="1"/>
  <c r="N187" i="16"/>
  <c r="N212" i="16"/>
  <c r="V212" i="16"/>
  <c r="E208" i="42" s="1"/>
  <c r="V43" i="16"/>
  <c r="E39" i="42" s="1"/>
  <c r="N43" i="16"/>
  <c r="V263" i="16"/>
  <c r="E259" i="42" s="1"/>
  <c r="N263" i="16"/>
  <c r="V113" i="16"/>
  <c r="E109" i="42" s="1"/>
  <c r="N113" i="16"/>
  <c r="N173" i="16"/>
  <c r="V173" i="16"/>
  <c r="E169" i="42" s="1"/>
  <c r="V102" i="16"/>
  <c r="E98" i="42" s="1"/>
  <c r="N102" i="16"/>
  <c r="V264" i="16"/>
  <c r="E260" i="42" s="1"/>
  <c r="N264" i="16"/>
  <c r="V252" i="16"/>
  <c r="E248" i="42" s="1"/>
  <c r="N252" i="16"/>
  <c r="V145" i="16"/>
  <c r="E141" i="42" s="1"/>
  <c r="N145" i="16"/>
  <c r="N199" i="16"/>
  <c r="V199" i="16"/>
  <c r="E195" i="42" s="1"/>
  <c r="V347" i="16"/>
  <c r="E343" i="42" s="1"/>
  <c r="N347" i="16"/>
  <c r="N286" i="16"/>
  <c r="V286" i="16"/>
  <c r="E282" i="42" s="1"/>
  <c r="N114" i="16"/>
  <c r="V114" i="16"/>
  <c r="E110" i="42" s="1"/>
  <c r="V21" i="16"/>
  <c r="E17" i="42" s="1"/>
  <c r="N21" i="16"/>
  <c r="V110" i="16"/>
  <c r="E106" i="42" s="1"/>
  <c r="N110" i="16"/>
  <c r="N345" i="16"/>
  <c r="V345" i="16"/>
  <c r="E341" i="42" s="1"/>
  <c r="N34" i="16"/>
  <c r="V34" i="16"/>
  <c r="E30" i="42" s="1"/>
  <c r="N285" i="16"/>
  <c r="V285" i="16"/>
  <c r="E281" i="42" s="1"/>
  <c r="V139" i="16"/>
  <c r="E135" i="42" s="1"/>
  <c r="N139" i="16"/>
  <c r="K282" i="16"/>
  <c r="L282" i="16" s="1"/>
  <c r="M282" i="16" s="1"/>
  <c r="N339" i="16"/>
  <c r="V339" i="16"/>
  <c r="E335" i="42" s="1"/>
  <c r="N291" i="16"/>
  <c r="V291" i="16"/>
  <c r="E287" i="42" s="1"/>
  <c r="V253" i="16"/>
  <c r="E249" i="42" s="1"/>
  <c r="N253" i="16"/>
  <c r="K278" i="16"/>
  <c r="L278" i="16" s="1"/>
  <c r="M278" i="16" s="1"/>
  <c r="V323" i="16"/>
  <c r="E319" i="42" s="1"/>
  <c r="N323" i="16"/>
  <c r="N88" i="16"/>
  <c r="V88" i="16"/>
  <c r="E84" i="42" s="1"/>
  <c r="V322" i="16"/>
  <c r="E318" i="42" s="1"/>
  <c r="N322" i="16"/>
  <c r="N150" i="16"/>
  <c r="V150" i="16"/>
  <c r="E146" i="42" s="1"/>
  <c r="V13" i="16"/>
  <c r="E9" i="42" s="1"/>
  <c r="N13" i="16"/>
  <c r="K349" i="16"/>
  <c r="L349" i="16" s="1"/>
  <c r="M349" i="16" s="1"/>
  <c r="N349" i="16"/>
  <c r="V349" i="16"/>
  <c r="E345" i="42" s="1"/>
  <c r="H354" i="16"/>
  <c r="I7" i="16"/>
  <c r="J7" i="16"/>
  <c r="K296" i="16"/>
  <c r="L296" i="16" s="1"/>
  <c r="M296" i="16" s="1"/>
  <c r="K327" i="16"/>
  <c r="L327" i="16" s="1"/>
  <c r="M327" i="16" s="1"/>
  <c r="K324" i="16"/>
  <c r="L324" i="16" s="1"/>
  <c r="M324" i="16" s="1"/>
  <c r="K234" i="16"/>
  <c r="L234" i="16" s="1"/>
  <c r="M234" i="16" s="1"/>
  <c r="K273" i="16"/>
  <c r="L273" i="16" s="1"/>
  <c r="M273" i="16" s="1"/>
  <c r="K277" i="16"/>
  <c r="L277" i="16" s="1"/>
  <c r="M277" i="16" s="1"/>
  <c r="V11" i="16"/>
  <c r="E7" i="42" s="1"/>
  <c r="N11" i="16"/>
  <c r="V299" i="16"/>
  <c r="E295" i="42" s="1"/>
  <c r="N299" i="16"/>
  <c r="V79" i="16"/>
  <c r="E75" i="42" s="1"/>
  <c r="N79" i="16"/>
  <c r="V284" i="16"/>
  <c r="E280" i="42" s="1"/>
  <c r="N284" i="16"/>
  <c r="V44" i="16"/>
  <c r="E40" i="42" s="1"/>
  <c r="N44" i="16"/>
  <c r="N130" i="16"/>
  <c r="V130" i="16"/>
  <c r="E126" i="42" s="1"/>
  <c r="V12" i="16"/>
  <c r="E8" i="42" s="1"/>
  <c r="N12" i="16"/>
  <c r="N38" i="16"/>
  <c r="V38" i="16"/>
  <c r="E34" i="42" s="1"/>
  <c r="V313" i="16"/>
  <c r="E309" i="42" s="1"/>
  <c r="N313" i="16"/>
  <c r="K168" i="16"/>
  <c r="L168" i="16" s="1"/>
  <c r="M168" i="16" s="1"/>
  <c r="V205" i="16"/>
  <c r="E201" i="42" s="1"/>
  <c r="N205" i="16"/>
  <c r="V265" i="16"/>
  <c r="E261" i="42" s="1"/>
  <c r="N265" i="16"/>
  <c r="V189" i="16"/>
  <c r="E185" i="42" s="1"/>
  <c r="N189" i="16"/>
  <c r="V195" i="16"/>
  <c r="E191" i="42" s="1"/>
  <c r="N195" i="16"/>
  <c r="V163" i="16"/>
  <c r="E159" i="42" s="1"/>
  <c r="N163" i="16"/>
  <c r="N66" i="16"/>
  <c r="V66" i="16"/>
  <c r="E62" i="42" s="1"/>
  <c r="V211" i="16"/>
  <c r="E207" i="42" s="1"/>
  <c r="N211" i="16"/>
  <c r="N336" i="16"/>
  <c r="V336" i="16"/>
  <c r="E332" i="42" s="1"/>
  <c r="V59" i="16"/>
  <c r="E55" i="42" s="1"/>
  <c r="N59" i="16"/>
  <c r="K314" i="16"/>
  <c r="L314" i="16" s="1"/>
  <c r="M314" i="16" s="1"/>
  <c r="V268" i="16"/>
  <c r="E264" i="42" s="1"/>
  <c r="N268" i="16"/>
  <c r="V133" i="16"/>
  <c r="E129" i="42" s="1"/>
  <c r="N133" i="16"/>
  <c r="V296" i="16"/>
  <c r="E292" i="42" s="1"/>
  <c r="N296" i="16"/>
  <c r="N327" i="16"/>
  <c r="V327" i="16"/>
  <c r="E323" i="42" s="1"/>
  <c r="N159" i="16"/>
  <c r="V159" i="16"/>
  <c r="E155" i="42" s="1"/>
  <c r="V324" i="16"/>
  <c r="E320" i="42" s="1"/>
  <c r="N324" i="16"/>
  <c r="V233" i="16"/>
  <c r="E229" i="42" s="1"/>
  <c r="N233" i="16"/>
  <c r="N99" i="16"/>
  <c r="V99" i="16"/>
  <c r="E95" i="42" s="1"/>
  <c r="N234" i="16"/>
  <c r="V234" i="16"/>
  <c r="E230" i="42" s="1"/>
  <c r="V105" i="16"/>
  <c r="E101" i="42" s="1"/>
  <c r="N105" i="16"/>
  <c r="N227" i="16"/>
  <c r="V227" i="16"/>
  <c r="E223" i="42" s="1"/>
  <c r="N180" i="16"/>
  <c r="V180" i="16"/>
  <c r="E176" i="42" s="1"/>
  <c r="V223" i="16"/>
  <c r="E219" i="42" s="1"/>
  <c r="N223" i="16"/>
  <c r="V225" i="16"/>
  <c r="E221" i="42" s="1"/>
  <c r="N225" i="16"/>
  <c r="N22" i="16"/>
  <c r="V22" i="16"/>
  <c r="E18" i="42" s="1"/>
  <c r="N238" i="16"/>
  <c r="V238" i="16"/>
  <c r="E234" i="42" s="1"/>
  <c r="V273" i="16"/>
  <c r="E269" i="42" s="1"/>
  <c r="N273" i="16"/>
  <c r="N57" i="16"/>
  <c r="V57" i="16"/>
  <c r="E53" i="42" s="1"/>
  <c r="N91" i="16"/>
  <c r="V91" i="16"/>
  <c r="E87" i="42" s="1"/>
  <c r="N98" i="16"/>
  <c r="V98" i="16"/>
  <c r="E94" i="42" s="1"/>
  <c r="N298" i="16"/>
  <c r="V298" i="16"/>
  <c r="E294" i="42" s="1"/>
  <c r="V135" i="16"/>
  <c r="E131" i="42" s="1"/>
  <c r="N135" i="16"/>
  <c r="N41" i="16"/>
  <c r="V41" i="16"/>
  <c r="E37" i="42" s="1"/>
  <c r="V51" i="16"/>
  <c r="E47" i="42" s="1"/>
  <c r="N51" i="16"/>
  <c r="N207" i="16"/>
  <c r="V207" i="16"/>
  <c r="E203" i="42" s="1"/>
  <c r="N71" i="16"/>
  <c r="V71" i="16"/>
  <c r="E67" i="42" s="1"/>
  <c r="V70" i="16"/>
  <c r="E66" i="42" s="1"/>
  <c r="N70" i="16"/>
  <c r="N179" i="16"/>
  <c r="V179" i="16"/>
  <c r="E175" i="42" s="1"/>
  <c r="N277" i="16"/>
  <c r="V277" i="16"/>
  <c r="E273" i="42" s="1"/>
  <c r="N89" i="16"/>
  <c r="V89" i="16"/>
  <c r="E85" i="42" s="1"/>
  <c r="V61" i="16"/>
  <c r="E57" i="42" s="1"/>
  <c r="N61" i="16"/>
  <c r="V30" i="16"/>
  <c r="E26" i="42" s="1"/>
  <c r="N30" i="16"/>
  <c r="N37" i="16"/>
  <c r="V37" i="16"/>
  <c r="E33" i="42" s="1"/>
  <c r="N116" i="16"/>
  <c r="V116" i="16"/>
  <c r="E112" i="42" s="1"/>
  <c r="V64" i="16"/>
  <c r="E60" i="42" s="1"/>
  <c r="N64" i="16"/>
  <c r="O286" i="16" l="1"/>
  <c r="U286" i="16" s="1"/>
  <c r="O324" i="16"/>
  <c r="U324" i="16" s="1"/>
  <c r="O295" i="16"/>
  <c r="T295" i="16" s="1"/>
  <c r="O107" i="16"/>
  <c r="U107" i="16" s="1"/>
  <c r="O23" i="16"/>
  <c r="U23" i="16" s="1"/>
  <c r="O141" i="16"/>
  <c r="O222" i="16"/>
  <c r="U222" i="16" s="1"/>
  <c r="O168" i="16"/>
  <c r="P168" i="16" s="1"/>
  <c r="O314" i="16"/>
  <c r="U314" i="16" s="1"/>
  <c r="O102" i="16"/>
  <c r="U102" i="16" s="1"/>
  <c r="O52" i="16"/>
  <c r="O245" i="16"/>
  <c r="P245" i="16" s="1"/>
  <c r="O282" i="16"/>
  <c r="U282" i="16" s="1"/>
  <c r="O273" i="16"/>
  <c r="U273" i="16" s="1"/>
  <c r="O149" i="16"/>
  <c r="T149" i="16" s="1"/>
  <c r="O150" i="16"/>
  <c r="T150" i="16" s="1"/>
  <c r="O278" i="16"/>
  <c r="T278" i="16" s="1"/>
  <c r="O253" i="16"/>
  <c r="T253" i="16" s="1"/>
  <c r="O316" i="16"/>
  <c r="T316" i="16" s="1"/>
  <c r="O106" i="16"/>
  <c r="T106" i="16" s="1"/>
  <c r="O243" i="16"/>
  <c r="U243" i="16" s="1"/>
  <c r="O20" i="16"/>
  <c r="P20" i="16" s="1"/>
  <c r="O349" i="16"/>
  <c r="T349" i="16" s="1"/>
  <c r="O234" i="16"/>
  <c r="T234" i="16" s="1"/>
  <c r="O322" i="16"/>
  <c r="P322" i="16" s="1"/>
  <c r="O302" i="16"/>
  <c r="P302" i="16" s="1"/>
  <c r="O240" i="16"/>
  <c r="T240" i="16" s="1"/>
  <c r="O277" i="16"/>
  <c r="O153" i="16"/>
  <c r="T153" i="16" s="1"/>
  <c r="T141" i="16"/>
  <c r="U141" i="16"/>
  <c r="P141" i="16"/>
  <c r="T277" i="16"/>
  <c r="U277" i="16"/>
  <c r="P277" i="16"/>
  <c r="T245" i="16"/>
  <c r="U245" i="16"/>
  <c r="T52" i="16"/>
  <c r="U52" i="16"/>
  <c r="P52" i="16"/>
  <c r="O32" i="16"/>
  <c r="O323" i="16"/>
  <c r="O327" i="16"/>
  <c r="O287" i="16"/>
  <c r="O325" i="16"/>
  <c r="O296" i="16"/>
  <c r="O14" i="16"/>
  <c r="O251" i="16"/>
  <c r="O285" i="16"/>
  <c r="J5" i="16"/>
  <c r="J354" i="16"/>
  <c r="T286" i="16"/>
  <c r="U302" i="16"/>
  <c r="N7" i="16"/>
  <c r="N354" i="16" s="1"/>
  <c r="V7" i="16"/>
  <c r="I354" i="16"/>
  <c r="I5" i="16" s="1"/>
  <c r="I4" i="16"/>
  <c r="P107" i="16" l="1"/>
  <c r="T107" i="16"/>
  <c r="AB107" i="16" s="1"/>
  <c r="P23" i="16"/>
  <c r="T23" i="16"/>
  <c r="AU18" i="41" s="1"/>
  <c r="P295" i="16"/>
  <c r="P324" i="16"/>
  <c r="T324" i="16"/>
  <c r="AU319" i="41" s="1"/>
  <c r="P222" i="16"/>
  <c r="P286" i="16"/>
  <c r="T314" i="16"/>
  <c r="AB314" i="16" s="1"/>
  <c r="U295" i="16"/>
  <c r="D290" i="41" s="1"/>
  <c r="P273" i="16"/>
  <c r="T273" i="16"/>
  <c r="AU268" i="41" s="1"/>
  <c r="T168" i="16"/>
  <c r="AU163" i="41" s="1"/>
  <c r="P282" i="16"/>
  <c r="T282" i="16"/>
  <c r="AB282" i="16" s="1"/>
  <c r="K5" i="16"/>
  <c r="U153" i="16"/>
  <c r="D148" i="41" s="1"/>
  <c r="U168" i="16"/>
  <c r="T222" i="16"/>
  <c r="AU217" i="41" s="1"/>
  <c r="P253" i="16"/>
  <c r="P153" i="16"/>
  <c r="U253" i="16"/>
  <c r="D248" i="41" s="1"/>
  <c r="P314" i="16"/>
  <c r="U149" i="16"/>
  <c r="P150" i="16"/>
  <c r="U150" i="16"/>
  <c r="D145" i="41" s="1"/>
  <c r="P278" i="16"/>
  <c r="U316" i="16"/>
  <c r="D311" i="41" s="1"/>
  <c r="P149" i="16"/>
  <c r="U278" i="16"/>
  <c r="P316" i="16"/>
  <c r="P102" i="16"/>
  <c r="T102" i="16"/>
  <c r="AB102" i="16" s="1"/>
  <c r="P349" i="16"/>
  <c r="P243" i="16"/>
  <c r="U106" i="16"/>
  <c r="D101" i="41" s="1"/>
  <c r="U20" i="16"/>
  <c r="D15" i="41" s="1"/>
  <c r="T20" i="16"/>
  <c r="AU15" i="41" s="1"/>
  <c r="T322" i="16"/>
  <c r="AU317" i="41" s="1"/>
  <c r="P234" i="16"/>
  <c r="U349" i="16"/>
  <c r="D344" i="41" s="1"/>
  <c r="U322" i="16"/>
  <c r="T243" i="16"/>
  <c r="AU238" i="41" s="1"/>
  <c r="U234" i="16"/>
  <c r="D229" i="41" s="1"/>
  <c r="P106" i="16"/>
  <c r="T302" i="16"/>
  <c r="AB302" i="16" s="1"/>
  <c r="P240" i="16"/>
  <c r="U240" i="16"/>
  <c r="AB52" i="16"/>
  <c r="AU47" i="41"/>
  <c r="AU309" i="41"/>
  <c r="D309" i="41"/>
  <c r="T14" i="16"/>
  <c r="U14" i="16"/>
  <c r="P14" i="16"/>
  <c r="D277" i="41"/>
  <c r="T285" i="16"/>
  <c r="U285" i="16"/>
  <c r="P285" i="16"/>
  <c r="AU229" i="41"/>
  <c r="AB234" i="16"/>
  <c r="D281" i="41"/>
  <c r="D238" i="41"/>
  <c r="AB253" i="16"/>
  <c r="AU248" i="41"/>
  <c r="D217" i="41"/>
  <c r="AU102" i="41"/>
  <c r="D240" i="41"/>
  <c r="AB316" i="16"/>
  <c r="AU311" i="41"/>
  <c r="D97" i="41"/>
  <c r="AB295" i="16"/>
  <c r="AU290" i="41"/>
  <c r="D272" i="41"/>
  <c r="T32" i="16"/>
  <c r="U32" i="16"/>
  <c r="P32" i="16"/>
  <c r="T296" i="16"/>
  <c r="U296" i="16"/>
  <c r="P296" i="16"/>
  <c r="T323" i="16"/>
  <c r="U323" i="16"/>
  <c r="P323" i="16"/>
  <c r="D18" i="41"/>
  <c r="AB23" i="16"/>
  <c r="U327" i="16"/>
  <c r="T327" i="16"/>
  <c r="P327" i="16"/>
  <c r="AB277" i="16"/>
  <c r="AU272" i="41"/>
  <c r="D102" i="41"/>
  <c r="AU240" i="41"/>
  <c r="AB245" i="16"/>
  <c r="AB349" i="16"/>
  <c r="AU344" i="41"/>
  <c r="J3" i="16"/>
  <c r="V354" i="16"/>
  <c r="E3" i="42"/>
  <c r="G14" i="2"/>
  <c r="N1" i="16"/>
  <c r="D136" i="41"/>
  <c r="T251" i="16"/>
  <c r="U251" i="16"/>
  <c r="P251" i="16"/>
  <c r="AB278" i="16"/>
  <c r="AU273" i="41"/>
  <c r="AB286" i="16"/>
  <c r="AU281" i="41"/>
  <c r="AU145" i="41"/>
  <c r="AB150" i="16"/>
  <c r="AU235" i="41"/>
  <c r="AB240" i="16"/>
  <c r="T325" i="16"/>
  <c r="U325" i="16"/>
  <c r="P325" i="16"/>
  <c r="T287" i="16"/>
  <c r="U287" i="16"/>
  <c r="P287" i="16"/>
  <c r="AU144" i="41"/>
  <c r="AB149" i="16"/>
  <c r="AB106" i="16"/>
  <c r="AU101" i="41"/>
  <c r="D297" i="41"/>
  <c r="D319" i="41"/>
  <c r="D268" i="41"/>
  <c r="AB153" i="16"/>
  <c r="AU148" i="41"/>
  <c r="D47" i="41"/>
  <c r="AB141" i="16"/>
  <c r="AU136" i="41"/>
  <c r="AB324" i="16" l="1"/>
  <c r="AB273" i="16"/>
  <c r="AB168" i="16"/>
  <c r="AB322" i="16"/>
  <c r="D235" i="41"/>
  <c r="D163" i="41"/>
  <c r="AB243" i="16"/>
  <c r="AU277" i="41"/>
  <c r="AB222" i="16"/>
  <c r="D144" i="41"/>
  <c r="AB20" i="16"/>
  <c r="D273" i="41"/>
  <c r="AU297" i="41"/>
  <c r="D317" i="41"/>
  <c r="K27" i="16"/>
  <c r="L27" i="16" s="1"/>
  <c r="M27" i="16" s="1"/>
  <c r="O27" i="16" s="1"/>
  <c r="K294" i="16"/>
  <c r="L294" i="16" s="1"/>
  <c r="M294" i="16" s="1"/>
  <c r="O294" i="16" s="1"/>
  <c r="K326" i="16"/>
  <c r="L326" i="16" s="1"/>
  <c r="M326" i="16" s="1"/>
  <c r="O326" i="16" s="1"/>
  <c r="K319" i="16"/>
  <c r="L319" i="16" s="1"/>
  <c r="M319" i="16" s="1"/>
  <c r="O319" i="16" s="1"/>
  <c r="K305" i="16"/>
  <c r="L305" i="16" s="1"/>
  <c r="M305" i="16" s="1"/>
  <c r="O305" i="16" s="1"/>
  <c r="K171" i="16"/>
  <c r="L171" i="16" s="1"/>
  <c r="M171" i="16" s="1"/>
  <c r="O171" i="16" s="1"/>
  <c r="K289" i="16"/>
  <c r="L289" i="16" s="1"/>
  <c r="M289" i="16" s="1"/>
  <c r="O289" i="16" s="1"/>
  <c r="K268" i="16"/>
  <c r="L268" i="16" s="1"/>
  <c r="M268" i="16" s="1"/>
  <c r="O268" i="16" s="1"/>
  <c r="K200" i="16"/>
  <c r="L200" i="16" s="1"/>
  <c r="M200" i="16" s="1"/>
  <c r="O200" i="16" s="1"/>
  <c r="K161" i="16"/>
  <c r="L161" i="16" s="1"/>
  <c r="M161" i="16" s="1"/>
  <c r="O161" i="16" s="1"/>
  <c r="K275" i="16"/>
  <c r="L275" i="16" s="1"/>
  <c r="M275" i="16" s="1"/>
  <c r="O275" i="16" s="1"/>
  <c r="K340" i="16"/>
  <c r="L340" i="16" s="1"/>
  <c r="M340" i="16" s="1"/>
  <c r="O340" i="16" s="1"/>
  <c r="K138" i="16"/>
  <c r="L138" i="16" s="1"/>
  <c r="M138" i="16" s="1"/>
  <c r="O138" i="16" s="1"/>
  <c r="K280" i="16"/>
  <c r="L280" i="16" s="1"/>
  <c r="M280" i="16" s="1"/>
  <c r="O280" i="16" s="1"/>
  <c r="K249" i="16"/>
  <c r="L249" i="16" s="1"/>
  <c r="M249" i="16" s="1"/>
  <c r="O249" i="16" s="1"/>
  <c r="K213" i="16"/>
  <c r="L213" i="16" s="1"/>
  <c r="M213" i="16" s="1"/>
  <c r="O213" i="16" s="1"/>
  <c r="K313" i="16"/>
  <c r="L313" i="16" s="1"/>
  <c r="M313" i="16" s="1"/>
  <c r="O313" i="16" s="1"/>
  <c r="K274" i="16"/>
  <c r="L274" i="16" s="1"/>
  <c r="M274" i="16" s="1"/>
  <c r="O274" i="16" s="1"/>
  <c r="K181" i="16"/>
  <c r="L181" i="16" s="1"/>
  <c r="M181" i="16" s="1"/>
  <c r="O181" i="16" s="1"/>
  <c r="K86" i="16"/>
  <c r="L86" i="16" s="1"/>
  <c r="M86" i="16" s="1"/>
  <c r="O86" i="16" s="1"/>
  <c r="K83" i="16"/>
  <c r="L83" i="16" s="1"/>
  <c r="M83" i="16" s="1"/>
  <c r="O83" i="16" s="1"/>
  <c r="K266" i="16"/>
  <c r="L266" i="16" s="1"/>
  <c r="M266" i="16" s="1"/>
  <c r="O266" i="16" s="1"/>
  <c r="K218" i="16"/>
  <c r="L218" i="16" s="1"/>
  <c r="M218" i="16" s="1"/>
  <c r="O218" i="16" s="1"/>
  <c r="K270" i="16"/>
  <c r="L270" i="16" s="1"/>
  <c r="M270" i="16" s="1"/>
  <c r="O270" i="16" s="1"/>
  <c r="K19" i="16"/>
  <c r="L19" i="16" s="1"/>
  <c r="M19" i="16" s="1"/>
  <c r="O19" i="16" s="1"/>
  <c r="K283" i="16"/>
  <c r="L283" i="16" s="1"/>
  <c r="M283" i="16" s="1"/>
  <c r="O283" i="16" s="1"/>
  <c r="K290" i="16"/>
  <c r="L290" i="16" s="1"/>
  <c r="M290" i="16" s="1"/>
  <c r="O290" i="16" s="1"/>
  <c r="AU97" i="41"/>
  <c r="K311" i="16"/>
  <c r="L311" i="16" s="1"/>
  <c r="M311" i="16" s="1"/>
  <c r="O311" i="16" s="1"/>
  <c r="K236" i="16"/>
  <c r="L236" i="16" s="1"/>
  <c r="M236" i="16" s="1"/>
  <c r="O236" i="16" s="1"/>
  <c r="K267" i="16"/>
  <c r="L267" i="16" s="1"/>
  <c r="M267" i="16" s="1"/>
  <c r="O267" i="16" s="1"/>
  <c r="K320" i="16"/>
  <c r="L320" i="16" s="1"/>
  <c r="M320" i="16" s="1"/>
  <c r="O320" i="16" s="1"/>
  <c r="K284" i="16"/>
  <c r="L284" i="16" s="1"/>
  <c r="M284" i="16" s="1"/>
  <c r="O284" i="16" s="1"/>
  <c r="K308" i="16"/>
  <c r="L308" i="16" s="1"/>
  <c r="M308" i="16" s="1"/>
  <c r="O308" i="16" s="1"/>
  <c r="K211" i="16"/>
  <c r="L211" i="16" s="1"/>
  <c r="M211" i="16" s="1"/>
  <c r="O211" i="16" s="1"/>
  <c r="K176" i="16"/>
  <c r="L176" i="16" s="1"/>
  <c r="M176" i="16" s="1"/>
  <c r="O176" i="16" s="1"/>
  <c r="K279" i="16"/>
  <c r="L279" i="16" s="1"/>
  <c r="M279" i="16" s="1"/>
  <c r="O279" i="16" s="1"/>
  <c r="K221" i="16"/>
  <c r="L221" i="16" s="1"/>
  <c r="M221" i="16" s="1"/>
  <c r="O221" i="16" s="1"/>
  <c r="K65" i="16"/>
  <c r="L65" i="16" s="1"/>
  <c r="M65" i="16" s="1"/>
  <c r="O65" i="16" s="1"/>
  <c r="AB32" i="16"/>
  <c r="AU27" i="41"/>
  <c r="AB325" i="16"/>
  <c r="AU320" i="41"/>
  <c r="L5" i="16"/>
  <c r="I14" i="2" s="1"/>
  <c r="K188" i="16"/>
  <c r="L188" i="16" s="1"/>
  <c r="M188" i="16" s="1"/>
  <c r="O188" i="16" s="1"/>
  <c r="K281" i="16"/>
  <c r="L281" i="16" s="1"/>
  <c r="M281" i="16" s="1"/>
  <c r="O281" i="16" s="1"/>
  <c r="K77" i="16"/>
  <c r="L77" i="16" s="1"/>
  <c r="M77" i="16" s="1"/>
  <c r="O77" i="16" s="1"/>
  <c r="K75" i="16"/>
  <c r="L75" i="16" s="1"/>
  <c r="M75" i="16" s="1"/>
  <c r="O75" i="16" s="1"/>
  <c r="K186" i="16"/>
  <c r="L186" i="16" s="1"/>
  <c r="M186" i="16" s="1"/>
  <c r="O186" i="16" s="1"/>
  <c r="K25" i="16"/>
  <c r="L25" i="16" s="1"/>
  <c r="M25" i="16" s="1"/>
  <c r="O25" i="16" s="1"/>
  <c r="K34" i="16"/>
  <c r="L34" i="16" s="1"/>
  <c r="M34" i="16" s="1"/>
  <c r="O34" i="16" s="1"/>
  <c r="K166" i="16"/>
  <c r="L166" i="16" s="1"/>
  <c r="M166" i="16" s="1"/>
  <c r="O166" i="16" s="1"/>
  <c r="K53" i="16"/>
  <c r="L53" i="16" s="1"/>
  <c r="M53" i="16" s="1"/>
  <c r="O53" i="16" s="1"/>
  <c r="K85" i="16"/>
  <c r="L85" i="16" s="1"/>
  <c r="M85" i="16" s="1"/>
  <c r="O85" i="16" s="1"/>
  <c r="K164" i="16"/>
  <c r="L164" i="16" s="1"/>
  <c r="M164" i="16" s="1"/>
  <c r="O164" i="16" s="1"/>
  <c r="K206" i="16"/>
  <c r="L206" i="16" s="1"/>
  <c r="M206" i="16" s="1"/>
  <c r="O206" i="16" s="1"/>
  <c r="K111" i="16"/>
  <c r="L111" i="16" s="1"/>
  <c r="M111" i="16" s="1"/>
  <c r="O111" i="16" s="1"/>
  <c r="K158" i="16"/>
  <c r="L158" i="16" s="1"/>
  <c r="M158" i="16" s="1"/>
  <c r="O158" i="16" s="1"/>
  <c r="K101" i="16"/>
  <c r="L101" i="16" s="1"/>
  <c r="M101" i="16" s="1"/>
  <c r="O101" i="16" s="1"/>
  <c r="K152" i="16"/>
  <c r="L152" i="16" s="1"/>
  <c r="M152" i="16" s="1"/>
  <c r="O152" i="16" s="1"/>
  <c r="K276" i="16"/>
  <c r="L276" i="16" s="1"/>
  <c r="M276" i="16" s="1"/>
  <c r="O276" i="16" s="1"/>
  <c r="K189" i="16"/>
  <c r="L189" i="16" s="1"/>
  <c r="M189" i="16" s="1"/>
  <c r="O189" i="16" s="1"/>
  <c r="K261" i="16"/>
  <c r="L261" i="16" s="1"/>
  <c r="M261" i="16" s="1"/>
  <c r="O261" i="16" s="1"/>
  <c r="K338" i="16"/>
  <c r="L338" i="16" s="1"/>
  <c r="M338" i="16" s="1"/>
  <c r="O338" i="16" s="1"/>
  <c r="K87" i="16"/>
  <c r="L87" i="16" s="1"/>
  <c r="M87" i="16" s="1"/>
  <c r="O87" i="16" s="1"/>
  <c r="K173" i="16"/>
  <c r="L173" i="16" s="1"/>
  <c r="M173" i="16" s="1"/>
  <c r="O173" i="16" s="1"/>
  <c r="K110" i="16"/>
  <c r="L110" i="16" s="1"/>
  <c r="M110" i="16" s="1"/>
  <c r="O110" i="16" s="1"/>
  <c r="K293" i="16"/>
  <c r="L293" i="16" s="1"/>
  <c r="M293" i="16" s="1"/>
  <c r="O293" i="16" s="1"/>
  <c r="K31" i="16"/>
  <c r="L31" i="16" s="1"/>
  <c r="M31" i="16" s="1"/>
  <c r="O31" i="16" s="1"/>
  <c r="K318" i="16"/>
  <c r="L318" i="16" s="1"/>
  <c r="M318" i="16" s="1"/>
  <c r="O318" i="16" s="1"/>
  <c r="K180" i="16"/>
  <c r="L180" i="16" s="1"/>
  <c r="M180" i="16" s="1"/>
  <c r="O180" i="16" s="1"/>
  <c r="K135" i="16"/>
  <c r="L135" i="16" s="1"/>
  <c r="M135" i="16" s="1"/>
  <c r="O135" i="16" s="1"/>
  <c r="K30" i="16"/>
  <c r="L30" i="16" s="1"/>
  <c r="M30" i="16" s="1"/>
  <c r="O30" i="16" s="1"/>
  <c r="K232" i="16"/>
  <c r="L232" i="16" s="1"/>
  <c r="M232" i="16" s="1"/>
  <c r="O232" i="16" s="1"/>
  <c r="K190" i="16"/>
  <c r="L190" i="16" s="1"/>
  <c r="M190" i="16" s="1"/>
  <c r="O190" i="16" s="1"/>
  <c r="K39" i="16"/>
  <c r="L39" i="16" s="1"/>
  <c r="M39" i="16" s="1"/>
  <c r="O39" i="16" s="1"/>
  <c r="K47" i="16"/>
  <c r="L47" i="16" s="1"/>
  <c r="M47" i="16" s="1"/>
  <c r="O47" i="16" s="1"/>
  <c r="K36" i="16"/>
  <c r="L36" i="16" s="1"/>
  <c r="M36" i="16" s="1"/>
  <c r="O36" i="16" s="1"/>
  <c r="K198" i="16"/>
  <c r="L198" i="16" s="1"/>
  <c r="M198" i="16" s="1"/>
  <c r="O198" i="16" s="1"/>
  <c r="K337" i="16"/>
  <c r="L337" i="16" s="1"/>
  <c r="M337" i="16" s="1"/>
  <c r="O337" i="16" s="1"/>
  <c r="K216" i="16"/>
  <c r="L216" i="16" s="1"/>
  <c r="M216" i="16" s="1"/>
  <c r="O216" i="16" s="1"/>
  <c r="K205" i="16"/>
  <c r="L205" i="16" s="1"/>
  <c r="M205" i="16" s="1"/>
  <c r="O205" i="16" s="1"/>
  <c r="K76" i="16"/>
  <c r="L76" i="16" s="1"/>
  <c r="M76" i="16" s="1"/>
  <c r="O76" i="16" s="1"/>
  <c r="K45" i="16"/>
  <c r="L45" i="16" s="1"/>
  <c r="M45" i="16" s="1"/>
  <c r="O45" i="16" s="1"/>
  <c r="K8" i="16"/>
  <c r="L8" i="16" s="1"/>
  <c r="M8" i="16" s="1"/>
  <c r="O8" i="16" s="1"/>
  <c r="K79" i="16"/>
  <c r="L79" i="16" s="1"/>
  <c r="M79" i="16" s="1"/>
  <c r="O79" i="16" s="1"/>
  <c r="K117" i="16"/>
  <c r="L117" i="16" s="1"/>
  <c r="M117" i="16" s="1"/>
  <c r="O117" i="16" s="1"/>
  <c r="K301" i="16"/>
  <c r="L301" i="16" s="1"/>
  <c r="M301" i="16" s="1"/>
  <c r="O301" i="16" s="1"/>
  <c r="K17" i="16"/>
  <c r="L17" i="16" s="1"/>
  <c r="M17" i="16" s="1"/>
  <c r="O17" i="16" s="1"/>
  <c r="K134" i="16"/>
  <c r="L134" i="16" s="1"/>
  <c r="M134" i="16" s="1"/>
  <c r="O134" i="16" s="1"/>
  <c r="K341" i="16"/>
  <c r="L341" i="16" s="1"/>
  <c r="M341" i="16" s="1"/>
  <c r="O341" i="16" s="1"/>
  <c r="K72" i="16"/>
  <c r="L72" i="16" s="1"/>
  <c r="M72" i="16" s="1"/>
  <c r="O72" i="16" s="1"/>
  <c r="K209" i="16"/>
  <c r="L209" i="16" s="1"/>
  <c r="M209" i="16" s="1"/>
  <c r="O209" i="16" s="1"/>
  <c r="K184" i="16"/>
  <c r="L184" i="16" s="1"/>
  <c r="M184" i="16" s="1"/>
  <c r="O184" i="16" s="1"/>
  <c r="K68" i="16"/>
  <c r="L68" i="16" s="1"/>
  <c r="M68" i="16" s="1"/>
  <c r="O68" i="16" s="1"/>
  <c r="K345" i="16"/>
  <c r="L345" i="16" s="1"/>
  <c r="M345" i="16" s="1"/>
  <c r="O345" i="16" s="1"/>
  <c r="K18" i="16"/>
  <c r="L18" i="16" s="1"/>
  <c r="M18" i="16" s="1"/>
  <c r="O18" i="16" s="1"/>
  <c r="K170" i="16"/>
  <c r="L170" i="16" s="1"/>
  <c r="M170" i="16" s="1"/>
  <c r="O170" i="16" s="1"/>
  <c r="K162" i="16"/>
  <c r="L162" i="16" s="1"/>
  <c r="M162" i="16" s="1"/>
  <c r="O162" i="16" s="1"/>
  <c r="K343" i="16"/>
  <c r="L343" i="16" s="1"/>
  <c r="M343" i="16" s="1"/>
  <c r="O343" i="16" s="1"/>
  <c r="K71" i="16"/>
  <c r="L71" i="16" s="1"/>
  <c r="M71" i="16" s="1"/>
  <c r="O71" i="16" s="1"/>
  <c r="K156" i="16"/>
  <c r="L156" i="16" s="1"/>
  <c r="M156" i="16" s="1"/>
  <c r="O156" i="16" s="1"/>
  <c r="K231" i="16"/>
  <c r="L231" i="16" s="1"/>
  <c r="M231" i="16" s="1"/>
  <c r="O231" i="16" s="1"/>
  <c r="K239" i="16"/>
  <c r="L239" i="16" s="1"/>
  <c r="M239" i="16" s="1"/>
  <c r="O239" i="16" s="1"/>
  <c r="K21" i="16"/>
  <c r="L21" i="16" s="1"/>
  <c r="M21" i="16" s="1"/>
  <c r="O21" i="16" s="1"/>
  <c r="K133" i="16"/>
  <c r="L133" i="16" s="1"/>
  <c r="M133" i="16" s="1"/>
  <c r="O133" i="16" s="1"/>
  <c r="K223" i="16"/>
  <c r="L223" i="16" s="1"/>
  <c r="M223" i="16" s="1"/>
  <c r="O223" i="16" s="1"/>
  <c r="K41" i="16"/>
  <c r="L41" i="16" s="1"/>
  <c r="M41" i="16" s="1"/>
  <c r="O41" i="16" s="1"/>
  <c r="K37" i="16"/>
  <c r="L37" i="16" s="1"/>
  <c r="M37" i="16" s="1"/>
  <c r="O37" i="16" s="1"/>
  <c r="K119" i="16"/>
  <c r="L119" i="16" s="1"/>
  <c r="M119" i="16" s="1"/>
  <c r="O119" i="16" s="1"/>
  <c r="K256" i="16"/>
  <c r="L256" i="16" s="1"/>
  <c r="M256" i="16" s="1"/>
  <c r="O256" i="16" s="1"/>
  <c r="K238" i="16"/>
  <c r="L238" i="16" s="1"/>
  <c r="M238" i="16" s="1"/>
  <c r="O238" i="16" s="1"/>
  <c r="K137" i="16"/>
  <c r="L137" i="16" s="1"/>
  <c r="M137" i="16" s="1"/>
  <c r="O137" i="16" s="1"/>
  <c r="K332" i="16"/>
  <c r="L332" i="16" s="1"/>
  <c r="M332" i="16" s="1"/>
  <c r="O332" i="16" s="1"/>
  <c r="K49" i="16"/>
  <c r="L49" i="16" s="1"/>
  <c r="M49" i="16" s="1"/>
  <c r="O49" i="16" s="1"/>
  <c r="K120" i="16"/>
  <c r="L120" i="16" s="1"/>
  <c r="M120" i="16" s="1"/>
  <c r="O120" i="16" s="1"/>
  <c r="K96" i="16"/>
  <c r="L96" i="16" s="1"/>
  <c r="M96" i="16" s="1"/>
  <c r="O96" i="16" s="1"/>
  <c r="K9" i="16"/>
  <c r="L9" i="16" s="1"/>
  <c r="M9" i="16" s="1"/>
  <c r="O9" i="16" s="1"/>
  <c r="K235" i="16"/>
  <c r="L235" i="16" s="1"/>
  <c r="M235" i="16" s="1"/>
  <c r="O235" i="16" s="1"/>
  <c r="K127" i="16"/>
  <c r="L127" i="16" s="1"/>
  <c r="M127" i="16" s="1"/>
  <c r="O127" i="16" s="1"/>
  <c r="K187" i="16"/>
  <c r="L187" i="16" s="1"/>
  <c r="M187" i="16" s="1"/>
  <c r="O187" i="16" s="1"/>
  <c r="K199" i="16"/>
  <c r="L199" i="16" s="1"/>
  <c r="M199" i="16" s="1"/>
  <c r="O199" i="16" s="1"/>
  <c r="K46" i="16"/>
  <c r="L46" i="16" s="1"/>
  <c r="M46" i="16" s="1"/>
  <c r="O46" i="16" s="1"/>
  <c r="K257" i="16"/>
  <c r="L257" i="16" s="1"/>
  <c r="M257" i="16" s="1"/>
  <c r="O257" i="16" s="1"/>
  <c r="K224" i="16"/>
  <c r="L224" i="16" s="1"/>
  <c r="M224" i="16" s="1"/>
  <c r="O224" i="16" s="1"/>
  <c r="K298" i="16"/>
  <c r="L298" i="16" s="1"/>
  <c r="M298" i="16" s="1"/>
  <c r="O298" i="16" s="1"/>
  <c r="K196" i="16"/>
  <c r="L196" i="16" s="1"/>
  <c r="M196" i="16" s="1"/>
  <c r="O196" i="16" s="1"/>
  <c r="K126" i="16"/>
  <c r="L126" i="16" s="1"/>
  <c r="M126" i="16" s="1"/>
  <c r="O126" i="16" s="1"/>
  <c r="K175" i="16"/>
  <c r="L175" i="16" s="1"/>
  <c r="M175" i="16" s="1"/>
  <c r="O175" i="16" s="1"/>
  <c r="K144" i="16"/>
  <c r="L144" i="16" s="1"/>
  <c r="M144" i="16" s="1"/>
  <c r="O144" i="16" s="1"/>
  <c r="K147" i="16"/>
  <c r="L147" i="16" s="1"/>
  <c r="M147" i="16" s="1"/>
  <c r="O147" i="16" s="1"/>
  <c r="K78" i="16"/>
  <c r="L78" i="16" s="1"/>
  <c r="M78" i="16" s="1"/>
  <c r="O78" i="16" s="1"/>
  <c r="K344" i="16"/>
  <c r="L344" i="16" s="1"/>
  <c r="M344" i="16" s="1"/>
  <c r="O344" i="16" s="1"/>
  <c r="K254" i="16"/>
  <c r="L254" i="16" s="1"/>
  <c r="M254" i="16" s="1"/>
  <c r="O254" i="16" s="1"/>
  <c r="K248" i="16"/>
  <c r="L248" i="16" s="1"/>
  <c r="M248" i="16" s="1"/>
  <c r="O248" i="16" s="1"/>
  <c r="K129" i="16"/>
  <c r="L129" i="16" s="1"/>
  <c r="M129" i="16" s="1"/>
  <c r="O129" i="16" s="1"/>
  <c r="K300" i="16"/>
  <c r="L300" i="16" s="1"/>
  <c r="M300" i="16" s="1"/>
  <c r="O300" i="16" s="1"/>
  <c r="K306" i="16"/>
  <c r="L306" i="16" s="1"/>
  <c r="M306" i="16" s="1"/>
  <c r="O306" i="16" s="1"/>
  <c r="K297" i="16"/>
  <c r="L297" i="16" s="1"/>
  <c r="M297" i="16" s="1"/>
  <c r="O297" i="16" s="1"/>
  <c r="K241" i="16"/>
  <c r="L241" i="16" s="1"/>
  <c r="M241" i="16" s="1"/>
  <c r="O241" i="16" s="1"/>
  <c r="K174" i="16"/>
  <c r="L174" i="16" s="1"/>
  <c r="M174" i="16" s="1"/>
  <c r="O174" i="16" s="1"/>
  <c r="K204" i="16"/>
  <c r="L204" i="16" s="1"/>
  <c r="M204" i="16" s="1"/>
  <c r="O204" i="16" s="1"/>
  <c r="K33" i="16"/>
  <c r="L33" i="16" s="1"/>
  <c r="M33" i="16" s="1"/>
  <c r="O33" i="16" s="1"/>
  <c r="K309" i="16"/>
  <c r="L309" i="16" s="1"/>
  <c r="M309" i="16" s="1"/>
  <c r="O309" i="16" s="1"/>
  <c r="K247" i="16"/>
  <c r="L247" i="16" s="1"/>
  <c r="M247" i="16" s="1"/>
  <c r="O247" i="16" s="1"/>
  <c r="K103" i="16"/>
  <c r="L103" i="16" s="1"/>
  <c r="M103" i="16" s="1"/>
  <c r="O103" i="16" s="1"/>
  <c r="K264" i="16"/>
  <c r="L264" i="16" s="1"/>
  <c r="M264" i="16" s="1"/>
  <c r="O264" i="16" s="1"/>
  <c r="K203" i="16"/>
  <c r="L203" i="16" s="1"/>
  <c r="M203" i="16" s="1"/>
  <c r="O203" i="16" s="1"/>
  <c r="K242" i="16"/>
  <c r="L242" i="16" s="1"/>
  <c r="M242" i="16" s="1"/>
  <c r="O242" i="16" s="1"/>
  <c r="K215" i="16"/>
  <c r="L215" i="16" s="1"/>
  <c r="M215" i="16" s="1"/>
  <c r="O215" i="16" s="1"/>
  <c r="K336" i="16"/>
  <c r="L336" i="16" s="1"/>
  <c r="M336" i="16" s="1"/>
  <c r="O336" i="16" s="1"/>
  <c r="K13" i="16"/>
  <c r="L13" i="16" s="1"/>
  <c r="M13" i="16" s="1"/>
  <c r="O13" i="16" s="1"/>
  <c r="K202" i="16"/>
  <c r="L202" i="16" s="1"/>
  <c r="M202" i="16" s="1"/>
  <c r="O202" i="16" s="1"/>
  <c r="K208" i="16"/>
  <c r="L208" i="16" s="1"/>
  <c r="M208" i="16" s="1"/>
  <c r="O208" i="16" s="1"/>
  <c r="K10" i="16"/>
  <c r="L10" i="16" s="1"/>
  <c r="M10" i="16" s="1"/>
  <c r="O10" i="16" s="1"/>
  <c r="K225" i="16"/>
  <c r="L225" i="16" s="1"/>
  <c r="M225" i="16" s="1"/>
  <c r="O225" i="16" s="1"/>
  <c r="K51" i="16"/>
  <c r="L51" i="16" s="1"/>
  <c r="M51" i="16" s="1"/>
  <c r="O51" i="16" s="1"/>
  <c r="K116" i="16"/>
  <c r="L116" i="16" s="1"/>
  <c r="M116" i="16" s="1"/>
  <c r="O116" i="16" s="1"/>
  <c r="K82" i="16"/>
  <c r="L82" i="16" s="1"/>
  <c r="M82" i="16" s="1"/>
  <c r="O82" i="16" s="1"/>
  <c r="K88" i="16"/>
  <c r="L88" i="16" s="1"/>
  <c r="M88" i="16" s="1"/>
  <c r="O88" i="16" s="1"/>
  <c r="K93" i="16"/>
  <c r="L93" i="16" s="1"/>
  <c r="M93" i="16" s="1"/>
  <c r="O93" i="16" s="1"/>
  <c r="K210" i="16"/>
  <c r="L210" i="16" s="1"/>
  <c r="M210" i="16" s="1"/>
  <c r="O210" i="16" s="1"/>
  <c r="K333" i="16"/>
  <c r="L333" i="16" s="1"/>
  <c r="M333" i="16" s="1"/>
  <c r="O333" i="16" s="1"/>
  <c r="K233" i="16"/>
  <c r="L233" i="16" s="1"/>
  <c r="M233" i="16" s="1"/>
  <c r="O233" i="16" s="1"/>
  <c r="K105" i="16"/>
  <c r="L105" i="16" s="1"/>
  <c r="M105" i="16" s="1"/>
  <c r="O105" i="16" s="1"/>
  <c r="K310" i="16"/>
  <c r="L310" i="16" s="1"/>
  <c r="M310" i="16" s="1"/>
  <c r="O310" i="16" s="1"/>
  <c r="K183" i="16"/>
  <c r="L183" i="16" s="1"/>
  <c r="M183" i="16" s="1"/>
  <c r="O183" i="16" s="1"/>
  <c r="K61" i="16"/>
  <c r="L61" i="16" s="1"/>
  <c r="M61" i="16" s="1"/>
  <c r="O61" i="16" s="1"/>
  <c r="K132" i="16"/>
  <c r="L132" i="16" s="1"/>
  <c r="M132" i="16" s="1"/>
  <c r="O132" i="16" s="1"/>
  <c r="K48" i="16"/>
  <c r="L48" i="16" s="1"/>
  <c r="M48" i="16" s="1"/>
  <c r="O48" i="16" s="1"/>
  <c r="K182" i="16"/>
  <c r="L182" i="16" s="1"/>
  <c r="M182" i="16" s="1"/>
  <c r="O182" i="16" s="1"/>
  <c r="K220" i="16"/>
  <c r="L220" i="16" s="1"/>
  <c r="M220" i="16" s="1"/>
  <c r="O220" i="16" s="1"/>
  <c r="K12" i="16"/>
  <c r="L12" i="16" s="1"/>
  <c r="M12" i="16" s="1"/>
  <c r="O12" i="16" s="1"/>
  <c r="K271" i="16"/>
  <c r="L271" i="16" s="1"/>
  <c r="M271" i="16" s="1"/>
  <c r="O271" i="16" s="1"/>
  <c r="K194" i="16"/>
  <c r="L194" i="16" s="1"/>
  <c r="M194" i="16" s="1"/>
  <c r="O194" i="16" s="1"/>
  <c r="K258" i="16"/>
  <c r="L258" i="16" s="1"/>
  <c r="M258" i="16" s="1"/>
  <c r="O258" i="16" s="1"/>
  <c r="K140" i="16"/>
  <c r="L140" i="16" s="1"/>
  <c r="M140" i="16" s="1"/>
  <c r="O140" i="16" s="1"/>
  <c r="K125" i="16"/>
  <c r="L125" i="16" s="1"/>
  <c r="M125" i="16" s="1"/>
  <c r="O125" i="16" s="1"/>
  <c r="K90" i="16"/>
  <c r="L90" i="16" s="1"/>
  <c r="M90" i="16" s="1"/>
  <c r="O90" i="16" s="1"/>
  <c r="K178" i="16"/>
  <c r="L178" i="16" s="1"/>
  <c r="M178" i="16" s="1"/>
  <c r="O178" i="16" s="1"/>
  <c r="K60" i="16"/>
  <c r="L60" i="16" s="1"/>
  <c r="M60" i="16" s="1"/>
  <c r="O60" i="16" s="1"/>
  <c r="K80" i="16"/>
  <c r="L80" i="16" s="1"/>
  <c r="M80" i="16" s="1"/>
  <c r="O80" i="16" s="1"/>
  <c r="K35" i="16"/>
  <c r="L35" i="16" s="1"/>
  <c r="M35" i="16" s="1"/>
  <c r="O35" i="16" s="1"/>
  <c r="K317" i="16"/>
  <c r="L317" i="16" s="1"/>
  <c r="M317" i="16" s="1"/>
  <c r="O317" i="16" s="1"/>
  <c r="K342" i="16"/>
  <c r="L342" i="16" s="1"/>
  <c r="M342" i="16" s="1"/>
  <c r="O342" i="16" s="1"/>
  <c r="K260" i="16"/>
  <c r="L260" i="16" s="1"/>
  <c r="M260" i="16" s="1"/>
  <c r="O260" i="16" s="1"/>
  <c r="K142" i="16"/>
  <c r="L142" i="16" s="1"/>
  <c r="M142" i="16" s="1"/>
  <c r="O142" i="16" s="1"/>
  <c r="K11" i="16"/>
  <c r="L11" i="16" s="1"/>
  <c r="M11" i="16" s="1"/>
  <c r="O11" i="16" s="1"/>
  <c r="K291" i="16"/>
  <c r="L291" i="16" s="1"/>
  <c r="M291" i="16" s="1"/>
  <c r="O291" i="16" s="1"/>
  <c r="K177" i="16"/>
  <c r="L177" i="16" s="1"/>
  <c r="M177" i="16" s="1"/>
  <c r="O177" i="16" s="1"/>
  <c r="K214" i="16"/>
  <c r="L214" i="16" s="1"/>
  <c r="M214" i="16" s="1"/>
  <c r="O214" i="16" s="1"/>
  <c r="K346" i="16"/>
  <c r="L346" i="16" s="1"/>
  <c r="M346" i="16" s="1"/>
  <c r="O346" i="16" s="1"/>
  <c r="K121" i="16"/>
  <c r="L121" i="16" s="1"/>
  <c r="M121" i="16" s="1"/>
  <c r="O121" i="16" s="1"/>
  <c r="K246" i="16"/>
  <c r="L246" i="16" s="1"/>
  <c r="M246" i="16" s="1"/>
  <c r="O246" i="16" s="1"/>
  <c r="K252" i="16"/>
  <c r="L252" i="16" s="1"/>
  <c r="M252" i="16" s="1"/>
  <c r="O252" i="16" s="1"/>
  <c r="K139" i="16"/>
  <c r="L139" i="16" s="1"/>
  <c r="M139" i="16" s="1"/>
  <c r="O139" i="16" s="1"/>
  <c r="K151" i="16"/>
  <c r="L151" i="16" s="1"/>
  <c r="M151" i="16" s="1"/>
  <c r="O151" i="16" s="1"/>
  <c r="K330" i="16"/>
  <c r="L330" i="16" s="1"/>
  <c r="M330" i="16" s="1"/>
  <c r="O330" i="16" s="1"/>
  <c r="K348" i="16"/>
  <c r="L348" i="16" s="1"/>
  <c r="M348" i="16" s="1"/>
  <c r="O348" i="16" s="1"/>
  <c r="K70" i="16"/>
  <c r="L70" i="16" s="1"/>
  <c r="M70" i="16" s="1"/>
  <c r="O70" i="16" s="1"/>
  <c r="K130" i="16"/>
  <c r="L130" i="16" s="1"/>
  <c r="M130" i="16" s="1"/>
  <c r="O130" i="16" s="1"/>
  <c r="K115" i="16"/>
  <c r="L115" i="16" s="1"/>
  <c r="M115" i="16" s="1"/>
  <c r="O115" i="16" s="1"/>
  <c r="K91" i="16"/>
  <c r="L91" i="16" s="1"/>
  <c r="M91" i="16" s="1"/>
  <c r="O91" i="16" s="1"/>
  <c r="K146" i="16"/>
  <c r="L146" i="16" s="1"/>
  <c r="M146" i="16" s="1"/>
  <c r="O146" i="16" s="1"/>
  <c r="K159" i="16"/>
  <c r="L159" i="16" s="1"/>
  <c r="M159" i="16" s="1"/>
  <c r="O159" i="16" s="1"/>
  <c r="K22" i="16"/>
  <c r="L22" i="16" s="1"/>
  <c r="M22" i="16" s="1"/>
  <c r="O22" i="16" s="1"/>
  <c r="K207" i="16"/>
  <c r="L207" i="16" s="1"/>
  <c r="M207" i="16" s="1"/>
  <c r="O207" i="16" s="1"/>
  <c r="K64" i="16"/>
  <c r="L64" i="16" s="1"/>
  <c r="M64" i="16" s="1"/>
  <c r="O64" i="16" s="1"/>
  <c r="K112" i="16"/>
  <c r="L112" i="16" s="1"/>
  <c r="M112" i="16" s="1"/>
  <c r="O112" i="16" s="1"/>
  <c r="K58" i="16"/>
  <c r="L58" i="16" s="1"/>
  <c r="M58" i="16" s="1"/>
  <c r="O58" i="16" s="1"/>
  <c r="K154" i="16"/>
  <c r="L154" i="16" s="1"/>
  <c r="M154" i="16" s="1"/>
  <c r="O154" i="16" s="1"/>
  <c r="K62" i="16"/>
  <c r="L62" i="16" s="1"/>
  <c r="M62" i="16" s="1"/>
  <c r="O62" i="16" s="1"/>
  <c r="K192" i="16"/>
  <c r="L192" i="16" s="1"/>
  <c r="M192" i="16" s="1"/>
  <c r="O192" i="16" s="1"/>
  <c r="K299" i="16"/>
  <c r="L299" i="16" s="1"/>
  <c r="M299" i="16" s="1"/>
  <c r="O299" i="16" s="1"/>
  <c r="K38" i="16"/>
  <c r="L38" i="16" s="1"/>
  <c r="M38" i="16" s="1"/>
  <c r="O38" i="16" s="1"/>
  <c r="K108" i="16"/>
  <c r="L108" i="16" s="1"/>
  <c r="M108" i="16" s="1"/>
  <c r="O108" i="16" s="1"/>
  <c r="K255" i="16"/>
  <c r="L255" i="16" s="1"/>
  <c r="M255" i="16" s="1"/>
  <c r="O255" i="16" s="1"/>
  <c r="K92" i="16"/>
  <c r="L92" i="16" s="1"/>
  <c r="M92" i="16" s="1"/>
  <c r="O92" i="16" s="1"/>
  <c r="K69" i="16"/>
  <c r="L69" i="16" s="1"/>
  <c r="M69" i="16" s="1"/>
  <c r="O69" i="16" s="1"/>
  <c r="K145" i="16"/>
  <c r="L145" i="16" s="1"/>
  <c r="M145" i="16" s="1"/>
  <c r="O145" i="16" s="1"/>
  <c r="K265" i="16"/>
  <c r="L265" i="16" s="1"/>
  <c r="M265" i="16" s="1"/>
  <c r="O265" i="16" s="1"/>
  <c r="K89" i="16"/>
  <c r="L89" i="16" s="1"/>
  <c r="M89" i="16" s="1"/>
  <c r="O89" i="16" s="1"/>
  <c r="K67" i="16"/>
  <c r="L67" i="16" s="1"/>
  <c r="M67" i="16" s="1"/>
  <c r="O67" i="16" s="1"/>
  <c r="K136" i="16"/>
  <c r="L136" i="16" s="1"/>
  <c r="M136" i="16" s="1"/>
  <c r="O136" i="16" s="1"/>
  <c r="K123" i="16"/>
  <c r="L123" i="16" s="1"/>
  <c r="M123" i="16" s="1"/>
  <c r="O123" i="16" s="1"/>
  <c r="K97" i="16"/>
  <c r="L97" i="16" s="1"/>
  <c r="M97" i="16" s="1"/>
  <c r="O97" i="16" s="1"/>
  <c r="K172" i="16"/>
  <c r="L172" i="16" s="1"/>
  <c r="M172" i="16" s="1"/>
  <c r="O172" i="16" s="1"/>
  <c r="K288" i="16"/>
  <c r="L288" i="16" s="1"/>
  <c r="M288" i="16" s="1"/>
  <c r="O288" i="16" s="1"/>
  <c r="K303" i="16"/>
  <c r="L303" i="16" s="1"/>
  <c r="M303" i="16" s="1"/>
  <c r="O303" i="16" s="1"/>
  <c r="K292" i="16"/>
  <c r="L292" i="16" s="1"/>
  <c r="M292" i="16" s="1"/>
  <c r="O292" i="16" s="1"/>
  <c r="K122" i="16"/>
  <c r="L122" i="16" s="1"/>
  <c r="M122" i="16" s="1"/>
  <c r="O122" i="16" s="1"/>
  <c r="K195" i="16"/>
  <c r="L195" i="16" s="1"/>
  <c r="M195" i="16" s="1"/>
  <c r="O195" i="16" s="1"/>
  <c r="K73" i="16"/>
  <c r="L73" i="16" s="1"/>
  <c r="M73" i="16" s="1"/>
  <c r="O73" i="16" s="1"/>
  <c r="K128" i="16"/>
  <c r="L128" i="16" s="1"/>
  <c r="M128" i="16" s="1"/>
  <c r="O128" i="16" s="1"/>
  <c r="K113" i="16"/>
  <c r="L113" i="16" s="1"/>
  <c r="M113" i="16" s="1"/>
  <c r="O113" i="16" s="1"/>
  <c r="K227" i="16"/>
  <c r="L227" i="16" s="1"/>
  <c r="M227" i="16" s="1"/>
  <c r="O227" i="16" s="1"/>
  <c r="K94" i="16"/>
  <c r="L94" i="16" s="1"/>
  <c r="M94" i="16" s="1"/>
  <c r="O94" i="16" s="1"/>
  <c r="K42" i="16"/>
  <c r="L42" i="16" s="1"/>
  <c r="M42" i="16" s="1"/>
  <c r="O42" i="16" s="1"/>
  <c r="K81" i="16"/>
  <c r="L81" i="16" s="1"/>
  <c r="M81" i="16" s="1"/>
  <c r="O81" i="16" s="1"/>
  <c r="K272" i="16"/>
  <c r="L272" i="16" s="1"/>
  <c r="M272" i="16" s="1"/>
  <c r="O272" i="16" s="1"/>
  <c r="K143" i="16"/>
  <c r="L143" i="16" s="1"/>
  <c r="M143" i="16" s="1"/>
  <c r="O143" i="16" s="1"/>
  <c r="K104" i="16"/>
  <c r="L104" i="16" s="1"/>
  <c r="M104" i="16" s="1"/>
  <c r="O104" i="16" s="1"/>
  <c r="K167" i="16"/>
  <c r="L167" i="16" s="1"/>
  <c r="M167" i="16" s="1"/>
  <c r="O167" i="16" s="1"/>
  <c r="K321" i="16"/>
  <c r="L321" i="16" s="1"/>
  <c r="M321" i="16" s="1"/>
  <c r="O321" i="16" s="1"/>
  <c r="K165" i="16"/>
  <c r="L165" i="16" s="1"/>
  <c r="M165" i="16" s="1"/>
  <c r="O165" i="16" s="1"/>
  <c r="K185" i="16"/>
  <c r="L185" i="16" s="1"/>
  <c r="M185" i="16" s="1"/>
  <c r="O185" i="16" s="1"/>
  <c r="K339" i="16"/>
  <c r="L339" i="16" s="1"/>
  <c r="M339" i="16" s="1"/>
  <c r="O339" i="16" s="1"/>
  <c r="K312" i="16"/>
  <c r="L312" i="16" s="1"/>
  <c r="M312" i="16" s="1"/>
  <c r="O312" i="16" s="1"/>
  <c r="K244" i="16"/>
  <c r="L244" i="16" s="1"/>
  <c r="M244" i="16" s="1"/>
  <c r="O244" i="16" s="1"/>
  <c r="K229" i="16"/>
  <c r="L229" i="16" s="1"/>
  <c r="M229" i="16" s="1"/>
  <c r="O229" i="16" s="1"/>
  <c r="K124" i="16"/>
  <c r="L124" i="16" s="1"/>
  <c r="M124" i="16" s="1"/>
  <c r="O124" i="16" s="1"/>
  <c r="K163" i="16"/>
  <c r="L163" i="16" s="1"/>
  <c r="M163" i="16" s="1"/>
  <c r="O163" i="16" s="1"/>
  <c r="K74" i="16"/>
  <c r="L74" i="16" s="1"/>
  <c r="M74" i="16" s="1"/>
  <c r="O74" i="16" s="1"/>
  <c r="K84" i="16"/>
  <c r="L84" i="16" s="1"/>
  <c r="M84" i="16" s="1"/>
  <c r="O84" i="16" s="1"/>
  <c r="K212" i="16"/>
  <c r="L212" i="16" s="1"/>
  <c r="M212" i="16" s="1"/>
  <c r="O212" i="16" s="1"/>
  <c r="K347" i="16"/>
  <c r="L347" i="16" s="1"/>
  <c r="M347" i="16" s="1"/>
  <c r="O347" i="16" s="1"/>
  <c r="K351" i="16"/>
  <c r="L351" i="16" s="1"/>
  <c r="M351" i="16" s="1"/>
  <c r="O351" i="16" s="1"/>
  <c r="K29" i="16"/>
  <c r="L29" i="16" s="1"/>
  <c r="M29" i="16" s="1"/>
  <c r="O29" i="16" s="1"/>
  <c r="K352" i="16"/>
  <c r="L352" i="16" s="1"/>
  <c r="M352" i="16" s="1"/>
  <c r="O352" i="16" s="1"/>
  <c r="K193" i="16"/>
  <c r="L193" i="16" s="1"/>
  <c r="M193" i="16" s="1"/>
  <c r="O193" i="16" s="1"/>
  <c r="K99" i="16"/>
  <c r="L99" i="16" s="1"/>
  <c r="M99" i="16" s="1"/>
  <c r="O99" i="16" s="1"/>
  <c r="K57" i="16"/>
  <c r="L57" i="16" s="1"/>
  <c r="M57" i="16" s="1"/>
  <c r="O57" i="16" s="1"/>
  <c r="K179" i="16"/>
  <c r="L179" i="16" s="1"/>
  <c r="M179" i="16" s="1"/>
  <c r="O179" i="16" s="1"/>
  <c r="K54" i="16"/>
  <c r="L54" i="16" s="1"/>
  <c r="M54" i="16" s="1"/>
  <c r="O54" i="16" s="1"/>
  <c r="K59" i="16"/>
  <c r="L59" i="16" s="1"/>
  <c r="M59" i="16" s="1"/>
  <c r="O59" i="16" s="1"/>
  <c r="K148" i="16"/>
  <c r="L148" i="16" s="1"/>
  <c r="M148" i="16" s="1"/>
  <c r="O148" i="16" s="1"/>
  <c r="K201" i="16"/>
  <c r="L201" i="16" s="1"/>
  <c r="M201" i="16" s="1"/>
  <c r="O201" i="16" s="1"/>
  <c r="K334" i="16"/>
  <c r="L334" i="16" s="1"/>
  <c r="M334" i="16" s="1"/>
  <c r="O334" i="16" s="1"/>
  <c r="K157" i="16"/>
  <c r="L157" i="16" s="1"/>
  <c r="M157" i="16" s="1"/>
  <c r="O157" i="16" s="1"/>
  <c r="K219" i="16"/>
  <c r="L219" i="16" s="1"/>
  <c r="M219" i="16" s="1"/>
  <c r="O219" i="16" s="1"/>
  <c r="K155" i="16"/>
  <c r="L155" i="16" s="1"/>
  <c r="M155" i="16" s="1"/>
  <c r="O155" i="16" s="1"/>
  <c r="K15" i="16"/>
  <c r="L15" i="16" s="1"/>
  <c r="M15" i="16" s="1"/>
  <c r="O15" i="16" s="1"/>
  <c r="K226" i="16"/>
  <c r="L226" i="16" s="1"/>
  <c r="M226" i="16" s="1"/>
  <c r="O226" i="16" s="1"/>
  <c r="K191" i="16"/>
  <c r="L191" i="16" s="1"/>
  <c r="M191" i="16" s="1"/>
  <c r="O191" i="16" s="1"/>
  <c r="K43" i="16"/>
  <c r="L43" i="16" s="1"/>
  <c r="M43" i="16" s="1"/>
  <c r="O43" i="16" s="1"/>
  <c r="K335" i="16"/>
  <c r="L335" i="16" s="1"/>
  <c r="M335" i="16" s="1"/>
  <c r="O335" i="16" s="1"/>
  <c r="K95" i="16"/>
  <c r="L95" i="16" s="1"/>
  <c r="M95" i="16" s="1"/>
  <c r="O95" i="16" s="1"/>
  <c r="K16" i="16"/>
  <c r="L16" i="16" s="1"/>
  <c r="M16" i="16" s="1"/>
  <c r="O16" i="16" s="1"/>
  <c r="K237" i="16"/>
  <c r="L237" i="16" s="1"/>
  <c r="M237" i="16" s="1"/>
  <c r="O237" i="16" s="1"/>
  <c r="K269" i="16"/>
  <c r="L269" i="16" s="1"/>
  <c r="M269" i="16" s="1"/>
  <c r="O269" i="16" s="1"/>
  <c r="K56" i="16"/>
  <c r="L56" i="16" s="1"/>
  <c r="M56" i="16" s="1"/>
  <c r="O56" i="16" s="1"/>
  <c r="K197" i="16"/>
  <c r="L197" i="16" s="1"/>
  <c r="M197" i="16" s="1"/>
  <c r="O197" i="16" s="1"/>
  <c r="K26" i="16"/>
  <c r="L26" i="16" s="1"/>
  <c r="M26" i="16" s="1"/>
  <c r="O26" i="16" s="1"/>
  <c r="K100" i="16"/>
  <c r="L100" i="16" s="1"/>
  <c r="M100" i="16" s="1"/>
  <c r="O100" i="16" s="1"/>
  <c r="K259" i="16"/>
  <c r="L259" i="16" s="1"/>
  <c r="M259" i="16" s="1"/>
  <c r="O259" i="16" s="1"/>
  <c r="K329" i="16"/>
  <c r="L329" i="16" s="1"/>
  <c r="M329" i="16" s="1"/>
  <c r="O329" i="16" s="1"/>
  <c r="K24" i="16"/>
  <c r="L24" i="16" s="1"/>
  <c r="M24" i="16" s="1"/>
  <c r="O24" i="16" s="1"/>
  <c r="K169" i="16"/>
  <c r="L169" i="16" s="1"/>
  <c r="M169" i="16" s="1"/>
  <c r="O169" i="16" s="1"/>
  <c r="K98" i="16"/>
  <c r="L98" i="16" s="1"/>
  <c r="M98" i="16" s="1"/>
  <c r="O98" i="16" s="1"/>
  <c r="K304" i="16"/>
  <c r="L304" i="16" s="1"/>
  <c r="M304" i="16" s="1"/>
  <c r="O304" i="16" s="1"/>
  <c r="K328" i="16"/>
  <c r="L328" i="16" s="1"/>
  <c r="M328" i="16" s="1"/>
  <c r="O328" i="16" s="1"/>
  <c r="K230" i="16"/>
  <c r="L230" i="16" s="1"/>
  <c r="M230" i="16" s="1"/>
  <c r="O230" i="16" s="1"/>
  <c r="K315" i="16"/>
  <c r="L315" i="16" s="1"/>
  <c r="M315" i="16" s="1"/>
  <c r="O315" i="16" s="1"/>
  <c r="K262" i="16"/>
  <c r="L262" i="16" s="1"/>
  <c r="M262" i="16" s="1"/>
  <c r="O262" i="16" s="1"/>
  <c r="K228" i="16"/>
  <c r="L228" i="16" s="1"/>
  <c r="M228" i="16" s="1"/>
  <c r="O228" i="16" s="1"/>
  <c r="K109" i="16"/>
  <c r="L109" i="16" s="1"/>
  <c r="M109" i="16" s="1"/>
  <c r="O109" i="16" s="1"/>
  <c r="K50" i="16"/>
  <c r="L50" i="16" s="1"/>
  <c r="M50" i="16" s="1"/>
  <c r="O50" i="16" s="1"/>
  <c r="K131" i="16"/>
  <c r="L131" i="16" s="1"/>
  <c r="M131" i="16" s="1"/>
  <c r="O131" i="16" s="1"/>
  <c r="K250" i="16"/>
  <c r="L250" i="16" s="1"/>
  <c r="M250" i="16" s="1"/>
  <c r="O250" i="16" s="1"/>
  <c r="K63" i="16"/>
  <c r="L63" i="16" s="1"/>
  <c r="M63" i="16" s="1"/>
  <c r="O63" i="16" s="1"/>
  <c r="K307" i="16"/>
  <c r="L307" i="16" s="1"/>
  <c r="M307" i="16" s="1"/>
  <c r="O307" i="16" s="1"/>
  <c r="K44" i="16"/>
  <c r="L44" i="16" s="1"/>
  <c r="M44" i="16" s="1"/>
  <c r="O44" i="16" s="1"/>
  <c r="K66" i="16"/>
  <c r="L66" i="16" s="1"/>
  <c r="M66" i="16" s="1"/>
  <c r="O66" i="16" s="1"/>
  <c r="K118" i="16"/>
  <c r="L118" i="16" s="1"/>
  <c r="M118" i="16" s="1"/>
  <c r="O118" i="16" s="1"/>
  <c r="K55" i="16"/>
  <c r="L55" i="16" s="1"/>
  <c r="M55" i="16" s="1"/>
  <c r="O55" i="16" s="1"/>
  <c r="K331" i="16"/>
  <c r="L331" i="16" s="1"/>
  <c r="M331" i="16" s="1"/>
  <c r="O331" i="16" s="1"/>
  <c r="K217" i="16"/>
  <c r="L217" i="16" s="1"/>
  <c r="M217" i="16" s="1"/>
  <c r="O217" i="16" s="1"/>
  <c r="K263" i="16"/>
  <c r="L263" i="16" s="1"/>
  <c r="M263" i="16" s="1"/>
  <c r="O263" i="16" s="1"/>
  <c r="K114" i="16"/>
  <c r="L114" i="16" s="1"/>
  <c r="M114" i="16" s="1"/>
  <c r="O114" i="16" s="1"/>
  <c r="K160" i="16"/>
  <c r="L160" i="16" s="1"/>
  <c r="M160" i="16" s="1"/>
  <c r="O160" i="16" s="1"/>
  <c r="K40" i="16"/>
  <c r="L40" i="16" s="1"/>
  <c r="M40" i="16" s="1"/>
  <c r="O40" i="16" s="1"/>
  <c r="K28" i="16"/>
  <c r="L28" i="16" s="1"/>
  <c r="M28" i="16" s="1"/>
  <c r="O28" i="16" s="1"/>
  <c r="K350" i="16"/>
  <c r="L350" i="16" s="1"/>
  <c r="M350" i="16" s="1"/>
  <c r="O350" i="16" s="1"/>
  <c r="K7" i="16"/>
  <c r="D320" i="41"/>
  <c r="D318" i="41"/>
  <c r="AB323" i="16"/>
  <c r="AU318" i="41"/>
  <c r="AU9" i="41"/>
  <c r="AB14" i="16"/>
  <c r="D27" i="41"/>
  <c r="D322" i="41"/>
  <c r="D280" i="41"/>
  <c r="D9" i="41"/>
  <c r="D291" i="41"/>
  <c r="AU280" i="41"/>
  <c r="AB285" i="16"/>
  <c r="AU282" i="41"/>
  <c r="AB287" i="16"/>
  <c r="AB251" i="16"/>
  <c r="AU246" i="41"/>
  <c r="AB327" i="16"/>
  <c r="AU322" i="41"/>
  <c r="AB296" i="16"/>
  <c r="AU291" i="41"/>
  <c r="E353" i="42"/>
  <c r="V5" i="16"/>
  <c r="H14" i="2" s="1"/>
  <c r="D282" i="41"/>
  <c r="D246" i="41"/>
  <c r="E354" i="42"/>
  <c r="E355" i="42" s="1"/>
  <c r="E349" i="42"/>
  <c r="U249" i="16" l="1"/>
  <c r="P249" i="16"/>
  <c r="T249" i="16"/>
  <c r="T280" i="16"/>
  <c r="U280" i="16"/>
  <c r="P280" i="16"/>
  <c r="T138" i="16"/>
  <c r="U138" i="16"/>
  <c r="P138" i="16"/>
  <c r="T340" i="16"/>
  <c r="P340" i="16"/>
  <c r="U340" i="16"/>
  <c r="U275" i="16"/>
  <c r="P275" i="16"/>
  <c r="T275" i="16"/>
  <c r="P283" i="16"/>
  <c r="U283" i="16"/>
  <c r="T283" i="16"/>
  <c r="U171" i="16"/>
  <c r="T171" i="16"/>
  <c r="P171" i="16"/>
  <c r="T19" i="16"/>
  <c r="U19" i="16"/>
  <c r="P19" i="16"/>
  <c r="T305" i="16"/>
  <c r="U305" i="16"/>
  <c r="P305" i="16"/>
  <c r="T290" i="16"/>
  <c r="U290" i="16"/>
  <c r="P290" i="16"/>
  <c r="P270" i="16"/>
  <c r="T270" i="16"/>
  <c r="U270" i="16"/>
  <c r="P319" i="16"/>
  <c r="T319" i="16"/>
  <c r="U319" i="16"/>
  <c r="U218" i="16"/>
  <c r="P218" i="16"/>
  <c r="T218" i="16"/>
  <c r="T326" i="16"/>
  <c r="P326" i="16"/>
  <c r="U326" i="16"/>
  <c r="U266" i="16"/>
  <c r="T266" i="16"/>
  <c r="P266" i="16"/>
  <c r="U294" i="16"/>
  <c r="T294" i="16"/>
  <c r="P294" i="16"/>
  <c r="U213" i="16"/>
  <c r="P213" i="16"/>
  <c r="T213" i="16"/>
  <c r="P161" i="16"/>
  <c r="U161" i="16"/>
  <c r="T161" i="16"/>
  <c r="U200" i="16"/>
  <c r="T200" i="16"/>
  <c r="P200" i="16"/>
  <c r="T83" i="16"/>
  <c r="U83" i="16"/>
  <c r="P83" i="16"/>
  <c r="T27" i="16"/>
  <c r="U27" i="16"/>
  <c r="P27" i="16"/>
  <c r="T268" i="16"/>
  <c r="U268" i="16"/>
  <c r="P268" i="16"/>
  <c r="T289" i="16"/>
  <c r="U289" i="16"/>
  <c r="P289" i="16"/>
  <c r="T86" i="16"/>
  <c r="U86" i="16"/>
  <c r="P86" i="16"/>
  <c r="U313" i="16"/>
  <c r="T313" i="16"/>
  <c r="P313" i="16"/>
  <c r="P181" i="16"/>
  <c r="T181" i="16"/>
  <c r="U181" i="16"/>
  <c r="T274" i="16"/>
  <c r="P274" i="16"/>
  <c r="U274" i="16"/>
  <c r="T279" i="16"/>
  <c r="U279" i="16"/>
  <c r="P279" i="16"/>
  <c r="P65" i="16"/>
  <c r="T65" i="16"/>
  <c r="U65" i="16"/>
  <c r="U176" i="16"/>
  <c r="T176" i="16"/>
  <c r="P176" i="16"/>
  <c r="T221" i="16"/>
  <c r="U221" i="16"/>
  <c r="P221" i="16"/>
  <c r="P211" i="16"/>
  <c r="U211" i="16"/>
  <c r="T211" i="16"/>
  <c r="T308" i="16"/>
  <c r="P308" i="16"/>
  <c r="U308" i="16"/>
  <c r="T284" i="16"/>
  <c r="U284" i="16"/>
  <c r="P284" i="16"/>
  <c r="U320" i="16"/>
  <c r="P320" i="16"/>
  <c r="T320" i="16"/>
  <c r="T267" i="16"/>
  <c r="P267" i="16"/>
  <c r="U267" i="16"/>
  <c r="P236" i="16"/>
  <c r="T236" i="16"/>
  <c r="U236" i="16"/>
  <c r="P311" i="16"/>
  <c r="U311" i="16"/>
  <c r="T311" i="16"/>
  <c r="U229" i="16"/>
  <c r="T229" i="16"/>
  <c r="P229" i="16"/>
  <c r="U175" i="16"/>
  <c r="T175" i="16"/>
  <c r="P175" i="16"/>
  <c r="T217" i="16"/>
  <c r="U217" i="16"/>
  <c r="P217" i="16"/>
  <c r="T24" i="16"/>
  <c r="U24" i="16"/>
  <c r="P24" i="16"/>
  <c r="U201" i="16"/>
  <c r="T201" i="16"/>
  <c r="P201" i="16"/>
  <c r="T339" i="16"/>
  <c r="U339" i="16"/>
  <c r="P339" i="16"/>
  <c r="T172" i="16"/>
  <c r="U172" i="16"/>
  <c r="P172" i="16"/>
  <c r="T207" i="16"/>
  <c r="U207" i="16"/>
  <c r="P207" i="16"/>
  <c r="T142" i="16"/>
  <c r="U142" i="16"/>
  <c r="P142" i="16"/>
  <c r="T183" i="16"/>
  <c r="U183" i="16"/>
  <c r="P183" i="16"/>
  <c r="T264" i="16"/>
  <c r="U264" i="16"/>
  <c r="P264" i="16"/>
  <c r="T196" i="16"/>
  <c r="U196" i="16"/>
  <c r="P196" i="16"/>
  <c r="U223" i="16"/>
  <c r="T223" i="16"/>
  <c r="P223" i="16"/>
  <c r="T117" i="16"/>
  <c r="U117" i="16"/>
  <c r="P117" i="16"/>
  <c r="T110" i="16"/>
  <c r="U110" i="16"/>
  <c r="P110" i="16"/>
  <c r="T77" i="16"/>
  <c r="U77" i="16"/>
  <c r="P77" i="16"/>
  <c r="U304" i="16"/>
  <c r="T304" i="16"/>
  <c r="P304" i="16"/>
  <c r="T242" i="16"/>
  <c r="U242" i="16"/>
  <c r="P242" i="16"/>
  <c r="T334" i="16"/>
  <c r="U334" i="16"/>
  <c r="P334" i="16"/>
  <c r="T64" i="16"/>
  <c r="U64" i="16"/>
  <c r="P64" i="16"/>
  <c r="T203" i="16"/>
  <c r="U203" i="16"/>
  <c r="P203" i="16"/>
  <c r="T41" i="16"/>
  <c r="U41" i="16"/>
  <c r="P41" i="16"/>
  <c r="T75" i="16"/>
  <c r="U75" i="16"/>
  <c r="P75" i="16"/>
  <c r="T331" i="16"/>
  <c r="U331" i="16"/>
  <c r="P331" i="16"/>
  <c r="T329" i="16"/>
  <c r="U329" i="16"/>
  <c r="P329" i="16"/>
  <c r="U148" i="16"/>
  <c r="T148" i="16"/>
  <c r="P148" i="16"/>
  <c r="T185" i="16"/>
  <c r="U185" i="16"/>
  <c r="P185" i="16"/>
  <c r="T97" i="16"/>
  <c r="U97" i="16"/>
  <c r="P97" i="16"/>
  <c r="T22" i="16"/>
  <c r="U22" i="16"/>
  <c r="P22" i="16"/>
  <c r="T260" i="16"/>
  <c r="U260" i="16"/>
  <c r="P260" i="16"/>
  <c r="T310" i="16"/>
  <c r="U310" i="16"/>
  <c r="P310" i="16"/>
  <c r="U103" i="16"/>
  <c r="T103" i="16"/>
  <c r="P103" i="16"/>
  <c r="T298" i="16"/>
  <c r="U298" i="16"/>
  <c r="P298" i="16"/>
  <c r="T133" i="16"/>
  <c r="U133" i="16"/>
  <c r="P133" i="16"/>
  <c r="T79" i="16"/>
  <c r="U79" i="16"/>
  <c r="P79" i="16"/>
  <c r="T173" i="16"/>
  <c r="U173" i="16"/>
  <c r="P173" i="16"/>
  <c r="T281" i="16"/>
  <c r="U281" i="16"/>
  <c r="P281" i="16"/>
  <c r="T55" i="16"/>
  <c r="U55" i="16"/>
  <c r="P55" i="16"/>
  <c r="T259" i="16"/>
  <c r="U259" i="16"/>
  <c r="P259" i="16"/>
  <c r="T59" i="16"/>
  <c r="U59" i="16"/>
  <c r="P59" i="16"/>
  <c r="T165" i="16"/>
  <c r="U165" i="16"/>
  <c r="P165" i="16"/>
  <c r="T123" i="16"/>
  <c r="U123" i="16"/>
  <c r="P123" i="16"/>
  <c r="T159" i="16"/>
  <c r="U159" i="16"/>
  <c r="P159" i="16"/>
  <c r="U342" i="16"/>
  <c r="T342" i="16"/>
  <c r="P342" i="16"/>
  <c r="T105" i="16"/>
  <c r="U105" i="16"/>
  <c r="P105" i="16"/>
  <c r="T247" i="16"/>
  <c r="U247" i="16"/>
  <c r="P247" i="16"/>
  <c r="U224" i="16"/>
  <c r="T224" i="16"/>
  <c r="P224" i="16"/>
  <c r="U21" i="16"/>
  <c r="T21" i="16"/>
  <c r="P21" i="16"/>
  <c r="T8" i="16"/>
  <c r="AU3" i="41" s="1"/>
  <c r="U8" i="16"/>
  <c r="D3" i="41" s="1"/>
  <c r="P8" i="16"/>
  <c r="U87" i="16"/>
  <c r="T87" i="16"/>
  <c r="P87" i="16"/>
  <c r="T188" i="16"/>
  <c r="U188" i="16"/>
  <c r="P188" i="16"/>
  <c r="U48" i="16"/>
  <c r="T48" i="16"/>
  <c r="P48" i="16"/>
  <c r="T112" i="16"/>
  <c r="U112" i="16"/>
  <c r="P112" i="16"/>
  <c r="T169" i="16"/>
  <c r="U169" i="16"/>
  <c r="P169" i="16"/>
  <c r="T288" i="16"/>
  <c r="U288" i="16"/>
  <c r="P288" i="16"/>
  <c r="U11" i="16"/>
  <c r="D6" i="41" s="1"/>
  <c r="T11" i="16"/>
  <c r="AU6" i="41" s="1"/>
  <c r="P11" i="16"/>
  <c r="T126" i="16"/>
  <c r="U126" i="16"/>
  <c r="P126" i="16"/>
  <c r="T301" i="16"/>
  <c r="U301" i="16"/>
  <c r="P301" i="16"/>
  <c r="T118" i="16"/>
  <c r="U118" i="16"/>
  <c r="P118" i="16"/>
  <c r="T100" i="16"/>
  <c r="U100" i="16"/>
  <c r="P100" i="16"/>
  <c r="U54" i="16"/>
  <c r="T54" i="16"/>
  <c r="P54" i="16"/>
  <c r="T321" i="16"/>
  <c r="U321" i="16"/>
  <c r="P321" i="16"/>
  <c r="T136" i="16"/>
  <c r="U136" i="16"/>
  <c r="P136" i="16"/>
  <c r="T146" i="16"/>
  <c r="U146" i="16"/>
  <c r="P146" i="16"/>
  <c r="T317" i="16"/>
  <c r="U317" i="16"/>
  <c r="P317" i="16"/>
  <c r="T233" i="16"/>
  <c r="U233" i="16"/>
  <c r="P233" i="16"/>
  <c r="T309" i="16"/>
  <c r="U309" i="16"/>
  <c r="P309" i="16"/>
  <c r="T257" i="16"/>
  <c r="U257" i="16"/>
  <c r="P257" i="16"/>
  <c r="T239" i="16"/>
  <c r="U239" i="16"/>
  <c r="P239" i="16"/>
  <c r="T45" i="16"/>
  <c r="U45" i="16"/>
  <c r="P45" i="16"/>
  <c r="T338" i="16"/>
  <c r="U338" i="16"/>
  <c r="P338" i="16"/>
  <c r="T215" i="16"/>
  <c r="U215" i="16"/>
  <c r="P215" i="16"/>
  <c r="T263" i="16"/>
  <c r="U263" i="16"/>
  <c r="P263" i="16"/>
  <c r="T312" i="16"/>
  <c r="U312" i="16"/>
  <c r="P312" i="16"/>
  <c r="U61" i="16"/>
  <c r="T61" i="16"/>
  <c r="P61" i="16"/>
  <c r="T293" i="16"/>
  <c r="U293" i="16"/>
  <c r="P293" i="16"/>
  <c r="T66" i="16"/>
  <c r="U66" i="16"/>
  <c r="P66" i="16"/>
  <c r="T26" i="16"/>
  <c r="U26" i="16"/>
  <c r="P26" i="16"/>
  <c r="U179" i="16"/>
  <c r="T179" i="16"/>
  <c r="P179" i="16"/>
  <c r="T167" i="16"/>
  <c r="U167" i="16"/>
  <c r="P167" i="16"/>
  <c r="T67" i="16"/>
  <c r="U67" i="16"/>
  <c r="P67" i="16"/>
  <c r="T91" i="16"/>
  <c r="U91" i="16"/>
  <c r="P91" i="16"/>
  <c r="U35" i="16"/>
  <c r="T35" i="16"/>
  <c r="P35" i="16"/>
  <c r="T333" i="16"/>
  <c r="U333" i="16"/>
  <c r="P333" i="16"/>
  <c r="T33" i="16"/>
  <c r="U33" i="16"/>
  <c r="P33" i="16"/>
  <c r="T46" i="16"/>
  <c r="U46" i="16"/>
  <c r="P46" i="16"/>
  <c r="T231" i="16"/>
  <c r="U231" i="16"/>
  <c r="P231" i="16"/>
  <c r="T76" i="16"/>
  <c r="U76" i="16"/>
  <c r="P76" i="16"/>
  <c r="T261" i="16"/>
  <c r="U261" i="16"/>
  <c r="P261" i="16"/>
  <c r="U177" i="16"/>
  <c r="T177" i="16"/>
  <c r="P177" i="16"/>
  <c r="T114" i="16"/>
  <c r="U114" i="16"/>
  <c r="P114" i="16"/>
  <c r="T17" i="16"/>
  <c r="U17" i="16"/>
  <c r="P17" i="16"/>
  <c r="T104" i="16"/>
  <c r="U104" i="16"/>
  <c r="P104" i="16"/>
  <c r="T174" i="16"/>
  <c r="U174" i="16"/>
  <c r="P174" i="16"/>
  <c r="T343" i="16"/>
  <c r="U343" i="16"/>
  <c r="P343" i="16"/>
  <c r="T250" i="16"/>
  <c r="U250" i="16"/>
  <c r="P250" i="16"/>
  <c r="T237" i="16"/>
  <c r="U237" i="16"/>
  <c r="P237" i="16"/>
  <c r="T352" i="16"/>
  <c r="U352" i="16"/>
  <c r="P352" i="16"/>
  <c r="T81" i="16"/>
  <c r="U81" i="16"/>
  <c r="P81" i="16"/>
  <c r="T69" i="16"/>
  <c r="U69" i="16"/>
  <c r="P69" i="16"/>
  <c r="T348" i="16"/>
  <c r="U348" i="16"/>
  <c r="P348" i="16"/>
  <c r="T90" i="16"/>
  <c r="U90" i="16"/>
  <c r="P90" i="16"/>
  <c r="T82" i="16"/>
  <c r="U82" i="16"/>
  <c r="P82" i="16"/>
  <c r="T297" i="16"/>
  <c r="U297" i="16"/>
  <c r="P297" i="16"/>
  <c r="T235" i="16"/>
  <c r="U235" i="16"/>
  <c r="P235" i="16"/>
  <c r="U162" i="16"/>
  <c r="T162" i="16"/>
  <c r="P162" i="16"/>
  <c r="U198" i="16"/>
  <c r="T198" i="16"/>
  <c r="P198" i="16"/>
  <c r="T101" i="16"/>
  <c r="U101" i="16"/>
  <c r="P101" i="16"/>
  <c r="T58" i="16"/>
  <c r="U58" i="16"/>
  <c r="P58" i="16"/>
  <c r="T37" i="16"/>
  <c r="U37" i="16"/>
  <c r="P37" i="16"/>
  <c r="T204" i="16"/>
  <c r="U204" i="16"/>
  <c r="P204" i="16"/>
  <c r="T99" i="16"/>
  <c r="U99" i="16"/>
  <c r="P99" i="16"/>
  <c r="T337" i="16"/>
  <c r="U337" i="16"/>
  <c r="P337" i="16"/>
  <c r="T131" i="16"/>
  <c r="U131" i="16"/>
  <c r="P131" i="16"/>
  <c r="T16" i="16"/>
  <c r="U16" i="16"/>
  <c r="P16" i="16"/>
  <c r="T29" i="16"/>
  <c r="U29" i="16"/>
  <c r="P29" i="16"/>
  <c r="T42" i="16"/>
  <c r="U42" i="16"/>
  <c r="P42" i="16"/>
  <c r="T92" i="16"/>
  <c r="U92" i="16"/>
  <c r="P92" i="16"/>
  <c r="T330" i="16"/>
  <c r="U330" i="16"/>
  <c r="P330" i="16"/>
  <c r="T125" i="16"/>
  <c r="U125" i="16"/>
  <c r="P125" i="16"/>
  <c r="T116" i="16"/>
  <c r="U116" i="16"/>
  <c r="P116" i="16"/>
  <c r="T306" i="16"/>
  <c r="U306" i="16"/>
  <c r="P306" i="16"/>
  <c r="T9" i="16"/>
  <c r="AU4" i="41" s="1"/>
  <c r="U9" i="16"/>
  <c r="D4" i="41" s="1"/>
  <c r="P9" i="16"/>
  <c r="T170" i="16"/>
  <c r="U170" i="16"/>
  <c r="P170" i="16"/>
  <c r="T36" i="16"/>
  <c r="U36" i="16"/>
  <c r="P36" i="16"/>
  <c r="T158" i="16"/>
  <c r="U158" i="16"/>
  <c r="P158" i="16"/>
  <c r="T160" i="16"/>
  <c r="U160" i="16"/>
  <c r="P160" i="16"/>
  <c r="T292" i="16"/>
  <c r="U292" i="16"/>
  <c r="P292" i="16"/>
  <c r="T25" i="16"/>
  <c r="U25" i="16"/>
  <c r="P25" i="16"/>
  <c r="U157" i="16"/>
  <c r="T157" i="16"/>
  <c r="P157" i="16"/>
  <c r="T186" i="16"/>
  <c r="U186" i="16"/>
  <c r="P186" i="16"/>
  <c r="T199" i="16"/>
  <c r="U199" i="16"/>
  <c r="P199" i="16"/>
  <c r="T71" i="16"/>
  <c r="U71" i="16"/>
  <c r="P71" i="16"/>
  <c r="T127" i="16"/>
  <c r="U127" i="16"/>
  <c r="P127" i="16"/>
  <c r="T50" i="16"/>
  <c r="U50" i="16"/>
  <c r="P50" i="16"/>
  <c r="U95" i="16"/>
  <c r="T95" i="16"/>
  <c r="P95" i="16"/>
  <c r="T351" i="16"/>
  <c r="U351" i="16"/>
  <c r="P351" i="16"/>
  <c r="T94" i="16"/>
  <c r="U94" i="16"/>
  <c r="P94" i="16"/>
  <c r="T255" i="16"/>
  <c r="U255" i="16"/>
  <c r="P255" i="16"/>
  <c r="T151" i="16"/>
  <c r="U151" i="16"/>
  <c r="P151" i="16"/>
  <c r="T140" i="16"/>
  <c r="U140" i="16"/>
  <c r="P140" i="16"/>
  <c r="T51" i="16"/>
  <c r="U51" i="16"/>
  <c r="P51" i="16"/>
  <c r="T300" i="16"/>
  <c r="U300" i="16"/>
  <c r="P300" i="16"/>
  <c r="T96" i="16"/>
  <c r="U96" i="16"/>
  <c r="P96" i="16"/>
  <c r="T18" i="16"/>
  <c r="U18" i="16"/>
  <c r="P18" i="16"/>
  <c r="T47" i="16"/>
  <c r="U47" i="16"/>
  <c r="P47" i="16"/>
  <c r="T111" i="16"/>
  <c r="U111" i="16"/>
  <c r="P111" i="16"/>
  <c r="T44" i="16"/>
  <c r="U44" i="16"/>
  <c r="P44" i="16"/>
  <c r="T89" i="16"/>
  <c r="U89" i="16"/>
  <c r="P89" i="16"/>
  <c r="T210" i="16"/>
  <c r="U210" i="16"/>
  <c r="P210" i="16"/>
  <c r="T189" i="16"/>
  <c r="U189" i="16"/>
  <c r="P189" i="16"/>
  <c r="T307" i="16"/>
  <c r="U307" i="16"/>
  <c r="P307" i="16"/>
  <c r="T216" i="16"/>
  <c r="U216" i="16"/>
  <c r="P216" i="16"/>
  <c r="T178" i="16"/>
  <c r="U178" i="16"/>
  <c r="P178" i="16"/>
  <c r="T109" i="16"/>
  <c r="U109" i="16"/>
  <c r="P109" i="16"/>
  <c r="T335" i="16"/>
  <c r="U335" i="16"/>
  <c r="P335" i="16"/>
  <c r="T347" i="16"/>
  <c r="U347" i="16"/>
  <c r="P347" i="16"/>
  <c r="T227" i="16"/>
  <c r="U227" i="16"/>
  <c r="P227" i="16"/>
  <c r="T108" i="16"/>
  <c r="U108" i="16"/>
  <c r="P108" i="16"/>
  <c r="U139" i="16"/>
  <c r="T139" i="16"/>
  <c r="P139" i="16"/>
  <c r="T258" i="16"/>
  <c r="U258" i="16"/>
  <c r="P258" i="16"/>
  <c r="T225" i="16"/>
  <c r="U225" i="16"/>
  <c r="P225" i="16"/>
  <c r="T129" i="16"/>
  <c r="U129" i="16"/>
  <c r="P129" i="16"/>
  <c r="U120" i="16"/>
  <c r="T120" i="16"/>
  <c r="P120" i="16"/>
  <c r="T345" i="16"/>
  <c r="U345" i="16"/>
  <c r="P345" i="16"/>
  <c r="T39" i="16"/>
  <c r="U39" i="16"/>
  <c r="P39" i="16"/>
  <c r="T206" i="16"/>
  <c r="U206" i="16"/>
  <c r="P206" i="16"/>
  <c r="T228" i="16"/>
  <c r="U228" i="16"/>
  <c r="P228" i="16"/>
  <c r="T43" i="16"/>
  <c r="U43" i="16"/>
  <c r="P43" i="16"/>
  <c r="T212" i="16"/>
  <c r="U212" i="16"/>
  <c r="P212" i="16"/>
  <c r="T113" i="16"/>
  <c r="U113" i="16"/>
  <c r="P113" i="16"/>
  <c r="T38" i="16"/>
  <c r="U38" i="16"/>
  <c r="P38" i="16"/>
  <c r="T252" i="16"/>
  <c r="U252" i="16"/>
  <c r="P252" i="16"/>
  <c r="T194" i="16"/>
  <c r="U194" i="16"/>
  <c r="P194" i="16"/>
  <c r="T10" i="16"/>
  <c r="AU5" i="41" s="1"/>
  <c r="U10" i="16"/>
  <c r="D5" i="41" s="1"/>
  <c r="P10" i="16"/>
  <c r="T248" i="16"/>
  <c r="U248" i="16"/>
  <c r="P248" i="16"/>
  <c r="T49" i="16"/>
  <c r="U49" i="16"/>
  <c r="P49" i="16"/>
  <c r="T68" i="16"/>
  <c r="U68" i="16"/>
  <c r="P68" i="16"/>
  <c r="U190" i="16"/>
  <c r="T190" i="16"/>
  <c r="P190" i="16"/>
  <c r="T164" i="16"/>
  <c r="U164" i="16"/>
  <c r="P164" i="16"/>
  <c r="T134" i="16"/>
  <c r="U134" i="16"/>
  <c r="P134" i="16"/>
  <c r="U98" i="16"/>
  <c r="T98" i="16"/>
  <c r="P98" i="16"/>
  <c r="U303" i="16"/>
  <c r="T303" i="16"/>
  <c r="P303" i="16"/>
  <c r="T31" i="16"/>
  <c r="U31" i="16"/>
  <c r="P31" i="16"/>
  <c r="T57" i="16"/>
  <c r="U57" i="16"/>
  <c r="P57" i="16"/>
  <c r="T156" i="16"/>
  <c r="U156" i="16"/>
  <c r="P156" i="16"/>
  <c r="T143" i="16"/>
  <c r="U143" i="16"/>
  <c r="P143" i="16"/>
  <c r="T130" i="16"/>
  <c r="U130" i="16"/>
  <c r="P130" i="16"/>
  <c r="T60" i="16"/>
  <c r="U60" i="16"/>
  <c r="P60" i="16"/>
  <c r="T93" i="16"/>
  <c r="U93" i="16"/>
  <c r="P93" i="16"/>
  <c r="U276" i="16"/>
  <c r="T276" i="16"/>
  <c r="P276" i="16"/>
  <c r="T269" i="16"/>
  <c r="U269" i="16"/>
  <c r="P269" i="16"/>
  <c r="T145" i="16"/>
  <c r="U145" i="16"/>
  <c r="P145" i="16"/>
  <c r="T152" i="16"/>
  <c r="U152" i="16"/>
  <c r="P152" i="16"/>
  <c r="K4" i="16"/>
  <c r="K354" i="16"/>
  <c r="L7" i="16"/>
  <c r="T262" i="16"/>
  <c r="U262" i="16"/>
  <c r="P262" i="16"/>
  <c r="T191" i="16"/>
  <c r="U191" i="16"/>
  <c r="P191" i="16"/>
  <c r="T84" i="16"/>
  <c r="U84" i="16"/>
  <c r="P84" i="16"/>
  <c r="U128" i="16"/>
  <c r="T128" i="16"/>
  <c r="P128" i="16"/>
  <c r="T299" i="16"/>
  <c r="U299" i="16"/>
  <c r="P299" i="16"/>
  <c r="T246" i="16"/>
  <c r="U246" i="16"/>
  <c r="P246" i="16"/>
  <c r="U271" i="16"/>
  <c r="T271" i="16"/>
  <c r="P271" i="16"/>
  <c r="T208" i="16"/>
  <c r="U208" i="16"/>
  <c r="P208" i="16"/>
  <c r="T254" i="16"/>
  <c r="U254" i="16"/>
  <c r="P254" i="16"/>
  <c r="T332" i="16"/>
  <c r="U332" i="16"/>
  <c r="P332" i="16"/>
  <c r="T184" i="16"/>
  <c r="U184" i="16"/>
  <c r="P184" i="16"/>
  <c r="T232" i="16"/>
  <c r="U232" i="16"/>
  <c r="P232" i="16"/>
  <c r="T85" i="16"/>
  <c r="U85" i="16"/>
  <c r="P85" i="16"/>
  <c r="T144" i="16"/>
  <c r="U144" i="16"/>
  <c r="P144" i="16"/>
  <c r="T244" i="16"/>
  <c r="U244" i="16"/>
  <c r="P244" i="16"/>
  <c r="T265" i="16"/>
  <c r="U265" i="16"/>
  <c r="P265" i="16"/>
  <c r="T193" i="16"/>
  <c r="U193" i="16"/>
  <c r="P193" i="16"/>
  <c r="T350" i="16"/>
  <c r="U350" i="16"/>
  <c r="P350" i="16"/>
  <c r="T315" i="16"/>
  <c r="U315" i="16"/>
  <c r="P315" i="16"/>
  <c r="T226" i="16"/>
  <c r="U226" i="16"/>
  <c r="P226" i="16"/>
  <c r="T74" i="16"/>
  <c r="U74" i="16"/>
  <c r="P74" i="16"/>
  <c r="U73" i="16"/>
  <c r="T73" i="16"/>
  <c r="P73" i="16"/>
  <c r="U192" i="16"/>
  <c r="T192" i="16"/>
  <c r="P192" i="16"/>
  <c r="T121" i="16"/>
  <c r="U121" i="16"/>
  <c r="P121" i="16"/>
  <c r="T12" i="16"/>
  <c r="AU7" i="41" s="1"/>
  <c r="U12" i="16"/>
  <c r="D7" i="41" s="1"/>
  <c r="P12" i="16"/>
  <c r="U202" i="16"/>
  <c r="T202" i="16"/>
  <c r="P202" i="16"/>
  <c r="T344" i="16"/>
  <c r="U344" i="16"/>
  <c r="P344" i="16"/>
  <c r="T137" i="16"/>
  <c r="U137" i="16"/>
  <c r="P137" i="16"/>
  <c r="T209" i="16"/>
  <c r="U209" i="16"/>
  <c r="P209" i="16"/>
  <c r="T30" i="16"/>
  <c r="U30" i="16"/>
  <c r="P30" i="16"/>
  <c r="T53" i="16"/>
  <c r="U53" i="16"/>
  <c r="P53" i="16"/>
  <c r="U318" i="16"/>
  <c r="T318" i="16"/>
  <c r="P318" i="16"/>
  <c r="T132" i="16"/>
  <c r="U132" i="16"/>
  <c r="P132" i="16"/>
  <c r="T197" i="16"/>
  <c r="U197" i="16"/>
  <c r="P197" i="16"/>
  <c r="T115" i="16"/>
  <c r="U115" i="16"/>
  <c r="P115" i="16"/>
  <c r="T205" i="16"/>
  <c r="U205" i="16"/>
  <c r="P205" i="16"/>
  <c r="T187" i="16"/>
  <c r="U187" i="16"/>
  <c r="P187" i="16"/>
  <c r="T241" i="16"/>
  <c r="U241" i="16"/>
  <c r="P241" i="16"/>
  <c r="T230" i="16"/>
  <c r="U230" i="16"/>
  <c r="P230" i="16"/>
  <c r="T163" i="16"/>
  <c r="U163" i="16"/>
  <c r="P163" i="16"/>
  <c r="T62" i="16"/>
  <c r="U62" i="16"/>
  <c r="P62" i="16"/>
  <c r="T346" i="16"/>
  <c r="U346" i="16"/>
  <c r="P346" i="16"/>
  <c r="T220" i="16"/>
  <c r="U220" i="16"/>
  <c r="P220" i="16"/>
  <c r="T13" i="16"/>
  <c r="U13" i="16"/>
  <c r="P13" i="16"/>
  <c r="T78" i="16"/>
  <c r="U78" i="16"/>
  <c r="P78" i="16"/>
  <c r="T238" i="16"/>
  <c r="U238" i="16"/>
  <c r="P238" i="16"/>
  <c r="T72" i="16"/>
  <c r="U72" i="16"/>
  <c r="P72" i="16"/>
  <c r="U135" i="16"/>
  <c r="T135" i="16"/>
  <c r="P135" i="16"/>
  <c r="T166" i="16"/>
  <c r="U166" i="16"/>
  <c r="P166" i="16"/>
  <c r="T219" i="16"/>
  <c r="U219" i="16"/>
  <c r="P219" i="16"/>
  <c r="T119" i="16"/>
  <c r="U119" i="16"/>
  <c r="P119" i="16"/>
  <c r="T291" i="16"/>
  <c r="U291" i="16"/>
  <c r="P291" i="16"/>
  <c r="T80" i="16"/>
  <c r="U80" i="16"/>
  <c r="P80" i="16"/>
  <c r="T56" i="16"/>
  <c r="U56" i="16"/>
  <c r="P56" i="16"/>
  <c r="T63" i="16"/>
  <c r="U63" i="16"/>
  <c r="P63" i="16"/>
  <c r="T272" i="16"/>
  <c r="U272" i="16"/>
  <c r="P272" i="16"/>
  <c r="T70" i="16"/>
  <c r="U70" i="16"/>
  <c r="P70" i="16"/>
  <c r="T88" i="16"/>
  <c r="U88" i="16"/>
  <c r="P88" i="16"/>
  <c r="T28" i="16"/>
  <c r="U28" i="16"/>
  <c r="P28" i="16"/>
  <c r="T15" i="16"/>
  <c r="U15" i="16"/>
  <c r="P15" i="16"/>
  <c r="T195" i="16"/>
  <c r="U195" i="16"/>
  <c r="P195" i="16"/>
  <c r="T40" i="16"/>
  <c r="U40" i="16"/>
  <c r="P40" i="16"/>
  <c r="T328" i="16"/>
  <c r="U328" i="16"/>
  <c r="P328" i="16"/>
  <c r="T155" i="16"/>
  <c r="U155" i="16"/>
  <c r="P155" i="16"/>
  <c r="U124" i="16"/>
  <c r="T124" i="16"/>
  <c r="P124" i="16"/>
  <c r="T122" i="16"/>
  <c r="U122" i="16"/>
  <c r="P122" i="16"/>
  <c r="T154" i="16"/>
  <c r="U154" i="16"/>
  <c r="P154" i="16"/>
  <c r="T214" i="16"/>
  <c r="U214" i="16"/>
  <c r="P214" i="16"/>
  <c r="U182" i="16"/>
  <c r="T182" i="16"/>
  <c r="P182" i="16"/>
  <c r="T336" i="16"/>
  <c r="U336" i="16"/>
  <c r="P336" i="16"/>
  <c r="T147" i="16"/>
  <c r="U147" i="16"/>
  <c r="P147" i="16"/>
  <c r="T256" i="16"/>
  <c r="U256" i="16"/>
  <c r="P256" i="16"/>
  <c r="T341" i="16"/>
  <c r="U341" i="16"/>
  <c r="P341" i="16"/>
  <c r="T180" i="16"/>
  <c r="U180" i="16"/>
  <c r="P180" i="16"/>
  <c r="U34" i="16"/>
  <c r="T34" i="16"/>
  <c r="P34" i="16"/>
  <c r="AU176" i="41" l="1"/>
  <c r="AB181" i="16"/>
  <c r="D213" i="41"/>
  <c r="D278" i="41"/>
  <c r="AB83" i="16"/>
  <c r="AU78" i="41"/>
  <c r="AB200" i="16"/>
  <c r="AU195" i="41"/>
  <c r="D314" i="41"/>
  <c r="AU278" i="41"/>
  <c r="AB283" i="16"/>
  <c r="D195" i="41"/>
  <c r="AB319" i="16"/>
  <c r="AU314" i="41"/>
  <c r="AU270" i="41"/>
  <c r="AB275" i="16"/>
  <c r="AU166" i="41"/>
  <c r="AB171" i="16"/>
  <c r="D176" i="41"/>
  <c r="AB313" i="16"/>
  <c r="AU308" i="41"/>
  <c r="AB161" i="16"/>
  <c r="AU156" i="41"/>
  <c r="D308" i="41"/>
  <c r="D156" i="41"/>
  <c r="D265" i="41"/>
  <c r="D270" i="41"/>
  <c r="AU265" i="41"/>
  <c r="AB270" i="16"/>
  <c r="D335" i="41"/>
  <c r="D166" i="41"/>
  <c r="D208" i="41"/>
  <c r="D285" i="41"/>
  <c r="AU269" i="41"/>
  <c r="AB274" i="16"/>
  <c r="D284" i="41"/>
  <c r="AU285" i="41"/>
  <c r="AB290" i="16"/>
  <c r="D133" i="41"/>
  <c r="AU284" i="41"/>
  <c r="AB289" i="16"/>
  <c r="AU289" i="41"/>
  <c r="AB294" i="16"/>
  <c r="AU133" i="41"/>
  <c r="AB138" i="16"/>
  <c r="D78" i="41"/>
  <c r="D289" i="41"/>
  <c r="D300" i="41"/>
  <c r="D81" i="41"/>
  <c r="D263" i="41"/>
  <c r="AU300" i="41"/>
  <c r="AB305" i="16"/>
  <c r="D275" i="41"/>
  <c r="AU321" i="41"/>
  <c r="AB326" i="16"/>
  <c r="AU208" i="41"/>
  <c r="AB213" i="16"/>
  <c r="AU263" i="41"/>
  <c r="AB268" i="16"/>
  <c r="AB266" i="16"/>
  <c r="AU261" i="41"/>
  <c r="AB280" i="16"/>
  <c r="AU275" i="41"/>
  <c r="AU81" i="41"/>
  <c r="AB86" i="16"/>
  <c r="D261" i="41"/>
  <c r="D14" i="41"/>
  <c r="AB249" i="16"/>
  <c r="AU244" i="41"/>
  <c r="AB340" i="16"/>
  <c r="AU335" i="41"/>
  <c r="D22" i="41"/>
  <c r="D321" i="41"/>
  <c r="AU14" i="41"/>
  <c r="AB19" i="16"/>
  <c r="AB218" i="16"/>
  <c r="AU213" i="41"/>
  <c r="D269" i="41"/>
  <c r="AU22" i="41"/>
  <c r="AB27" i="16"/>
  <c r="D244" i="41"/>
  <c r="D303" i="41"/>
  <c r="AU303" i="41"/>
  <c r="AB308" i="16"/>
  <c r="AB211" i="16"/>
  <c r="AU206" i="41"/>
  <c r="D206" i="41"/>
  <c r="D306" i="41"/>
  <c r="AB236" i="16"/>
  <c r="AU231" i="41"/>
  <c r="AB221" i="16"/>
  <c r="AU216" i="41"/>
  <c r="AU171" i="41"/>
  <c r="AB176" i="16"/>
  <c r="AU306" i="41"/>
  <c r="AB311" i="16"/>
  <c r="D262" i="41"/>
  <c r="D171" i="41"/>
  <c r="D279" i="41"/>
  <c r="D231" i="41"/>
  <c r="D60" i="41"/>
  <c r="AB284" i="16"/>
  <c r="AU279" i="41"/>
  <c r="AU262" i="41"/>
  <c r="AB267" i="16"/>
  <c r="AU60" i="41"/>
  <c r="AB65" i="16"/>
  <c r="AB320" i="16"/>
  <c r="AU315" i="41"/>
  <c r="D315" i="41"/>
  <c r="D274" i="41"/>
  <c r="D216" i="41"/>
  <c r="AU274" i="41"/>
  <c r="AB279" i="16"/>
  <c r="D209" i="41"/>
  <c r="D110" i="41"/>
  <c r="AB160" i="16"/>
  <c r="AU155" i="41"/>
  <c r="AU338" i="41"/>
  <c r="AB343" i="16"/>
  <c r="AB317" i="16"/>
  <c r="AU312" i="41"/>
  <c r="D108" i="41"/>
  <c r="AB199" i="16"/>
  <c r="AU194" i="41"/>
  <c r="AB125" i="16"/>
  <c r="AU120" i="41"/>
  <c r="AU96" i="41"/>
  <c r="AB101" i="16"/>
  <c r="D343" i="41"/>
  <c r="AU71" i="41"/>
  <c r="AB76" i="16"/>
  <c r="D154" i="41"/>
  <c r="AU196" i="41"/>
  <c r="AB201" i="16"/>
  <c r="D149" i="41"/>
  <c r="AB238" i="16"/>
  <c r="AU233" i="41"/>
  <c r="D69" i="41"/>
  <c r="D257" i="41"/>
  <c r="D88" i="41"/>
  <c r="D26" i="41"/>
  <c r="AB113" i="16"/>
  <c r="AU108" i="41"/>
  <c r="AB206" i="16"/>
  <c r="AU201" i="41"/>
  <c r="AU184" i="41"/>
  <c r="AB189" i="16"/>
  <c r="D91" i="41"/>
  <c r="D153" i="41"/>
  <c r="AU343" i="41"/>
  <c r="AB348" i="16"/>
  <c r="D169" i="41"/>
  <c r="AU62" i="41"/>
  <c r="AB67" i="16"/>
  <c r="AB338" i="16"/>
  <c r="AU333" i="41"/>
  <c r="D141" i="41"/>
  <c r="AB159" i="16"/>
  <c r="AU154" i="41"/>
  <c r="D168" i="41"/>
  <c r="D196" i="41"/>
  <c r="AU68" i="41"/>
  <c r="AB73" i="16"/>
  <c r="D312" i="41"/>
  <c r="D184" i="41"/>
  <c r="D333" i="41"/>
  <c r="AU83" i="41"/>
  <c r="AB88" i="16"/>
  <c r="D225" i="41"/>
  <c r="AB137" i="16"/>
  <c r="AU132" i="41"/>
  <c r="AB208" i="16"/>
  <c r="AU203" i="41"/>
  <c r="AB139" i="16"/>
  <c r="AU134" i="41"/>
  <c r="AB154" i="16"/>
  <c r="AU149" i="41"/>
  <c r="D286" i="41"/>
  <c r="AB230" i="16"/>
  <c r="AU225" i="41"/>
  <c r="D192" i="41"/>
  <c r="AB74" i="16"/>
  <c r="AU69" i="41"/>
  <c r="D139" i="41"/>
  <c r="AB262" i="16"/>
  <c r="AU257" i="41"/>
  <c r="AB93" i="16"/>
  <c r="AU88" i="41"/>
  <c r="AU26" i="41"/>
  <c r="AB31" i="16"/>
  <c r="D44" i="41"/>
  <c r="D134" i="41"/>
  <c r="AU91" i="41"/>
  <c r="AB96" i="16"/>
  <c r="D346" i="41"/>
  <c r="AU153" i="41"/>
  <c r="AB158" i="16"/>
  <c r="D325" i="41"/>
  <c r="D332" i="41"/>
  <c r="AB198" i="16"/>
  <c r="AU193" i="41"/>
  <c r="AB174" i="16"/>
  <c r="AU169" i="41"/>
  <c r="D226" i="41"/>
  <c r="AU141" i="41"/>
  <c r="AB146" i="16"/>
  <c r="D283" i="41"/>
  <c r="AB173" i="16"/>
  <c r="AU168" i="41"/>
  <c r="D17" i="41"/>
  <c r="D70" i="41"/>
  <c r="D259" i="41"/>
  <c r="D29" i="41"/>
  <c r="D13" i="41"/>
  <c r="D68" i="41"/>
  <c r="D96" i="41"/>
  <c r="AU82" i="41"/>
  <c r="AB87" i="16"/>
  <c r="AU239" i="41"/>
  <c r="AB244" i="16"/>
  <c r="D62" i="41"/>
  <c r="AB242" i="16"/>
  <c r="AU237" i="41"/>
  <c r="D73" i="41"/>
  <c r="D339" i="41"/>
  <c r="AU266" i="41"/>
  <c r="AB271" i="16"/>
  <c r="AB49" i="16"/>
  <c r="AU44" i="41"/>
  <c r="D34" i="41"/>
  <c r="D205" i="41"/>
  <c r="AU346" i="41"/>
  <c r="AB351" i="16"/>
  <c r="AB330" i="16"/>
  <c r="AU325" i="41"/>
  <c r="AU332" i="41"/>
  <c r="AB337" i="16"/>
  <c r="D193" i="41"/>
  <c r="D64" i="41"/>
  <c r="AU226" i="41"/>
  <c r="AB231" i="16"/>
  <c r="D162" i="41"/>
  <c r="D288" i="41"/>
  <c r="D40" i="41"/>
  <c r="AB288" i="16"/>
  <c r="AU283" i="41"/>
  <c r="AB8" i="16"/>
  <c r="D118" i="41"/>
  <c r="AB22" i="16"/>
  <c r="AU17" i="41"/>
  <c r="AU70" i="41"/>
  <c r="AB75" i="16"/>
  <c r="AB264" i="16"/>
  <c r="AU259" i="41"/>
  <c r="D19" i="41"/>
  <c r="D158" i="41"/>
  <c r="D338" i="41"/>
  <c r="D337" i="41"/>
  <c r="AB57" i="16"/>
  <c r="AU52" i="41"/>
  <c r="AU63" i="41"/>
  <c r="AB68" i="16"/>
  <c r="AB94" i="16"/>
  <c r="AU89" i="41"/>
  <c r="D82" i="41"/>
  <c r="AB196" i="16"/>
  <c r="AU191" i="41"/>
  <c r="AU175" i="41"/>
  <c r="AB180" i="16"/>
  <c r="D65" i="41"/>
  <c r="AB291" i="16"/>
  <c r="AU286" i="41"/>
  <c r="AU192" i="41"/>
  <c r="AB197" i="16"/>
  <c r="AU139" i="41"/>
  <c r="AB144" i="16"/>
  <c r="L354" i="16"/>
  <c r="M7" i="16"/>
  <c r="D207" i="41"/>
  <c r="AB341" i="16"/>
  <c r="AU336" i="41"/>
  <c r="D117" i="41"/>
  <c r="AU65" i="41"/>
  <c r="AB70" i="16"/>
  <c r="AU73" i="41"/>
  <c r="AB78" i="16"/>
  <c r="AB344" i="16"/>
  <c r="AU339" i="41"/>
  <c r="D221" i="41"/>
  <c r="D266" i="41"/>
  <c r="D55" i="41"/>
  <c r="AB303" i="16"/>
  <c r="AU298" i="41"/>
  <c r="AU207" i="41"/>
  <c r="AB212" i="16"/>
  <c r="AU34" i="41"/>
  <c r="AB39" i="16"/>
  <c r="D103" i="41"/>
  <c r="AB210" i="16"/>
  <c r="AU205" i="41"/>
  <c r="D295" i="41"/>
  <c r="D181" i="41"/>
  <c r="D31" i="41"/>
  <c r="AU64" i="41"/>
  <c r="AB69" i="16"/>
  <c r="D99" i="41"/>
  <c r="AB167" i="16"/>
  <c r="AU162" i="41"/>
  <c r="AB293" i="16"/>
  <c r="AU288" i="41"/>
  <c r="AU40" i="41"/>
  <c r="AB45" i="16"/>
  <c r="D131" i="41"/>
  <c r="AU118" i="41"/>
  <c r="AB123" i="16"/>
  <c r="D74" i="41"/>
  <c r="AU299" i="41"/>
  <c r="AB304" i="16"/>
  <c r="AU19" i="41"/>
  <c r="AB24" i="16"/>
  <c r="AB215" i="16"/>
  <c r="AU210" i="41"/>
  <c r="AU255" i="41"/>
  <c r="AB260" i="16"/>
  <c r="D336" i="41"/>
  <c r="AU117" i="41"/>
  <c r="AB122" i="16"/>
  <c r="D190" i="41"/>
  <c r="D114" i="41"/>
  <c r="D127" i="41"/>
  <c r="AB226" i="16"/>
  <c r="AU221" i="41"/>
  <c r="D80" i="41"/>
  <c r="AU55" i="41"/>
  <c r="AB60" i="16"/>
  <c r="D298" i="41"/>
  <c r="D243" i="41"/>
  <c r="AB108" i="16"/>
  <c r="AU103" i="41"/>
  <c r="AU295" i="41"/>
  <c r="AB300" i="16"/>
  <c r="AU90" i="41"/>
  <c r="AB95" i="16"/>
  <c r="AB186" i="16"/>
  <c r="AU181" i="41"/>
  <c r="AB36" i="16"/>
  <c r="AU31" i="41"/>
  <c r="D87" i="41"/>
  <c r="D94" i="41"/>
  <c r="AB162" i="16"/>
  <c r="AU157" i="41"/>
  <c r="AU99" i="41"/>
  <c r="AB104" i="16"/>
  <c r="D41" i="41"/>
  <c r="AU131" i="41"/>
  <c r="AB136" i="16"/>
  <c r="D164" i="41"/>
  <c r="AB21" i="16"/>
  <c r="AU16" i="41"/>
  <c r="AU74" i="41"/>
  <c r="AB79" i="16"/>
  <c r="D92" i="41"/>
  <c r="D36" i="41"/>
  <c r="D299" i="41"/>
  <c r="D178" i="41"/>
  <c r="D271" i="41"/>
  <c r="AB11" i="16"/>
  <c r="D241" i="41"/>
  <c r="D16" i="41"/>
  <c r="AB152" i="16"/>
  <c r="AU147" i="41"/>
  <c r="D313" i="41"/>
  <c r="D223" i="41"/>
  <c r="D39" i="41"/>
  <c r="AB50" i="16"/>
  <c r="AU45" i="41"/>
  <c r="AB42" i="16"/>
  <c r="AU37" i="41"/>
  <c r="AB204" i="16"/>
  <c r="AU199" i="41"/>
  <c r="AU230" i="41"/>
  <c r="AB235" i="16"/>
  <c r="D347" i="41"/>
  <c r="AU28" i="41"/>
  <c r="AB33" i="16"/>
  <c r="D21" i="41"/>
  <c r="D307" i="41"/>
  <c r="D252" i="41"/>
  <c r="AU107" i="41"/>
  <c r="AB112" i="16"/>
  <c r="D219" i="41"/>
  <c r="D54" i="41"/>
  <c r="AB185" i="16"/>
  <c r="AU180" i="41"/>
  <c r="AU198" i="41"/>
  <c r="AB203" i="16"/>
  <c r="AU137" i="41"/>
  <c r="AB142" i="16"/>
  <c r="AB163" i="16"/>
  <c r="AU158" i="41"/>
  <c r="AU127" i="41"/>
  <c r="AB132" i="16"/>
  <c r="D160" i="41"/>
  <c r="D310" i="41"/>
  <c r="AU160" i="41"/>
  <c r="AB165" i="16"/>
  <c r="AU219" i="41"/>
  <c r="AB224" i="16"/>
  <c r="AB44" i="16"/>
  <c r="AU39" i="41"/>
  <c r="AB352" i="16"/>
  <c r="AU347" i="41"/>
  <c r="D109" i="41"/>
  <c r="AU21" i="41"/>
  <c r="AB26" i="16"/>
  <c r="AB312" i="16"/>
  <c r="AU307" i="41"/>
  <c r="AB257" i="16"/>
  <c r="AU252" i="41"/>
  <c r="AU49" i="41"/>
  <c r="AB54" i="16"/>
  <c r="AU54" i="41"/>
  <c r="AB59" i="16"/>
  <c r="D293" i="41"/>
  <c r="D105" i="41"/>
  <c r="AU249" i="41"/>
  <c r="AB254" i="16"/>
  <c r="D253" i="41"/>
  <c r="AB131" i="16"/>
  <c r="AU126" i="41"/>
  <c r="AB331" i="16"/>
  <c r="AU326" i="41"/>
  <c r="D63" i="41"/>
  <c r="D191" i="41"/>
  <c r="D233" i="41"/>
  <c r="AB119" i="16"/>
  <c r="AU114" i="41"/>
  <c r="AU243" i="41"/>
  <c r="AB248" i="16"/>
  <c r="AB46" i="16"/>
  <c r="AU41" i="41"/>
  <c r="D197" i="41"/>
  <c r="AU38" i="41"/>
  <c r="AB43" i="16"/>
  <c r="D56" i="41"/>
  <c r="D72" i="41"/>
  <c r="D227" i="41"/>
  <c r="D198" i="41"/>
  <c r="AB15" i="16"/>
  <c r="AU10" i="41"/>
  <c r="AB219" i="16"/>
  <c r="AU214" i="41"/>
  <c r="D215" i="41"/>
  <c r="AB10" i="16"/>
  <c r="AU58" i="41"/>
  <c r="AB63" i="16"/>
  <c r="D342" i="41"/>
  <c r="D161" i="41"/>
  <c r="AB241" i="16"/>
  <c r="AU236" i="41"/>
  <c r="D48" i="41"/>
  <c r="AB350" i="16"/>
  <c r="AU345" i="41"/>
  <c r="D179" i="41"/>
  <c r="AU140" i="41"/>
  <c r="AB145" i="16"/>
  <c r="AU138" i="41"/>
  <c r="AB143" i="16"/>
  <c r="AU129" i="41"/>
  <c r="AB134" i="16"/>
  <c r="D189" i="41"/>
  <c r="AU342" i="41"/>
  <c r="AB347" i="16"/>
  <c r="D173" i="41"/>
  <c r="AB140" i="16"/>
  <c r="AU135" i="41"/>
  <c r="AB9" i="16"/>
  <c r="D24" i="41"/>
  <c r="D32" i="41"/>
  <c r="D292" i="41"/>
  <c r="AB114" i="16"/>
  <c r="AU109" i="41"/>
  <c r="D328" i="41"/>
  <c r="D49" i="41"/>
  <c r="AB48" i="16"/>
  <c r="AU43" i="41"/>
  <c r="D242" i="41"/>
  <c r="AB298" i="16"/>
  <c r="AU293" i="41"/>
  <c r="AU143" i="41"/>
  <c r="AB148" i="16"/>
  <c r="D59" i="41"/>
  <c r="AB110" i="16"/>
  <c r="AU105" i="41"/>
  <c r="D202" i="41"/>
  <c r="AB175" i="16"/>
  <c r="AU170" i="41"/>
  <c r="AB209" i="16"/>
  <c r="AU204" i="41"/>
  <c r="D89" i="41"/>
  <c r="D175" i="41"/>
  <c r="D203" i="41"/>
  <c r="D251" i="41"/>
  <c r="AB202" i="16"/>
  <c r="AU197" i="41"/>
  <c r="D76" i="41"/>
  <c r="AU36" i="41"/>
  <c r="AB41" i="16"/>
  <c r="AU8" i="41"/>
  <c r="AB13" i="16"/>
  <c r="AB98" i="16"/>
  <c r="AU93" i="41"/>
  <c r="D12" i="41"/>
  <c r="D128" i="41"/>
  <c r="D93" i="41"/>
  <c r="D152" i="41"/>
  <c r="D199" i="41"/>
  <c r="D28" i="41"/>
  <c r="AB321" i="16"/>
  <c r="AU316" i="41"/>
  <c r="D180" i="41"/>
  <c r="AB155" i="16"/>
  <c r="AU150" i="41"/>
  <c r="D23" i="41"/>
  <c r="D331" i="41"/>
  <c r="AB28" i="16"/>
  <c r="AU23" i="41"/>
  <c r="AU161" i="41"/>
  <c r="AB166" i="16"/>
  <c r="D341" i="41"/>
  <c r="AU48" i="41"/>
  <c r="AB53" i="16"/>
  <c r="D116" i="41"/>
  <c r="AU179" i="41"/>
  <c r="AB184" i="16"/>
  <c r="AB128" i="16"/>
  <c r="AU123" i="41"/>
  <c r="AU189" i="41"/>
  <c r="AB194" i="16"/>
  <c r="D124" i="41"/>
  <c r="AB178" i="16"/>
  <c r="AU173" i="41"/>
  <c r="D106" i="41"/>
  <c r="D20" i="41"/>
  <c r="AB29" i="16"/>
  <c r="AU24" i="41"/>
  <c r="AU32" i="41"/>
  <c r="AB37" i="16"/>
  <c r="AB297" i="16"/>
  <c r="AU292" i="41"/>
  <c r="D232" i="41"/>
  <c r="AB333" i="16"/>
  <c r="AU328" i="41"/>
  <c r="D61" i="41"/>
  <c r="D258" i="41"/>
  <c r="D304" i="41"/>
  <c r="D43" i="41"/>
  <c r="AU242" i="41"/>
  <c r="AB247" i="16"/>
  <c r="D254" i="41"/>
  <c r="D143" i="41"/>
  <c r="AB64" i="16"/>
  <c r="AU59" i="41"/>
  <c r="AB207" i="16"/>
  <c r="AU202" i="41"/>
  <c r="D170" i="41"/>
  <c r="AB80" i="16"/>
  <c r="AU75" i="41"/>
  <c r="D239" i="41"/>
  <c r="D194" i="41"/>
  <c r="AB281" i="16"/>
  <c r="AU276" i="41"/>
  <c r="D132" i="41"/>
  <c r="D84" i="41"/>
  <c r="D125" i="41"/>
  <c r="D222" i="41"/>
  <c r="D165" i="41"/>
  <c r="AB239" i="16"/>
  <c r="AU234" i="41"/>
  <c r="AB217" i="16"/>
  <c r="AU212" i="41"/>
  <c r="D119" i="41"/>
  <c r="D214" i="41"/>
  <c r="AU313" i="41"/>
  <c r="AB318" i="16"/>
  <c r="AU125" i="41"/>
  <c r="AB130" i="16"/>
  <c r="AU222" i="41"/>
  <c r="AB227" i="16"/>
  <c r="D37" i="41"/>
  <c r="AU72" i="41"/>
  <c r="AB77" i="16"/>
  <c r="D142" i="41"/>
  <c r="D58" i="41"/>
  <c r="D294" i="41"/>
  <c r="AU115" i="41"/>
  <c r="AB120" i="16"/>
  <c r="AU142" i="41"/>
  <c r="AB147" i="16"/>
  <c r="D150" i="41"/>
  <c r="AU215" i="41"/>
  <c r="AB220" i="16"/>
  <c r="D236" i="41"/>
  <c r="AB12" i="16"/>
  <c r="D345" i="41"/>
  <c r="AU294" i="41"/>
  <c r="AB299" i="16"/>
  <c r="D140" i="41"/>
  <c r="D138" i="41"/>
  <c r="D129" i="41"/>
  <c r="AB228" i="16"/>
  <c r="AU223" i="41"/>
  <c r="D115" i="41"/>
  <c r="D135" i="41"/>
  <c r="AB336" i="16"/>
  <c r="AU331" i="41"/>
  <c r="D323" i="41"/>
  <c r="AB346" i="16"/>
  <c r="AU341" i="41"/>
  <c r="D182" i="41"/>
  <c r="AU116" i="41"/>
  <c r="AB121" i="16"/>
  <c r="D188" i="41"/>
  <c r="D123" i="41"/>
  <c r="D264" i="41"/>
  <c r="D159" i="41"/>
  <c r="AU124" i="41"/>
  <c r="AB129" i="16"/>
  <c r="D330" i="41"/>
  <c r="AB111" i="16"/>
  <c r="AU106" i="41"/>
  <c r="D146" i="41"/>
  <c r="D122" i="41"/>
  <c r="AB25" i="16"/>
  <c r="AU20" i="41"/>
  <c r="D301" i="41"/>
  <c r="AB237" i="16"/>
  <c r="AU232" i="41"/>
  <c r="AU172" i="41"/>
  <c r="AB177" i="16"/>
  <c r="AU61" i="41"/>
  <c r="AB66" i="16"/>
  <c r="AU258" i="41"/>
  <c r="AB263" i="16"/>
  <c r="AU304" i="41"/>
  <c r="AB309" i="16"/>
  <c r="D95" i="41"/>
  <c r="D296" i="41"/>
  <c r="AB259" i="16"/>
  <c r="AU254" i="41"/>
  <c r="AB103" i="16"/>
  <c r="AU98" i="41"/>
  <c r="D112" i="41"/>
  <c r="AB72" i="16"/>
  <c r="AU67" i="41"/>
  <c r="D52" i="41"/>
  <c r="AU33" i="41"/>
  <c r="AB38" i="16"/>
  <c r="D155" i="41"/>
  <c r="AB91" i="16"/>
  <c r="AU86" i="41"/>
  <c r="AB339" i="16"/>
  <c r="AU334" i="41"/>
  <c r="AB214" i="16"/>
  <c r="AU209" i="41"/>
  <c r="AU253" i="41"/>
  <c r="AB258" i="16"/>
  <c r="AU13" i="41"/>
  <c r="AB18" i="16"/>
  <c r="D120" i="41"/>
  <c r="D255" i="41"/>
  <c r="D83" i="41"/>
  <c r="D201" i="41"/>
  <c r="D267" i="41"/>
  <c r="D8" i="41"/>
  <c r="AB85" i="16"/>
  <c r="AU80" i="41"/>
  <c r="D38" i="41"/>
  <c r="D340" i="41"/>
  <c r="AU94" i="41"/>
  <c r="AB99" i="16"/>
  <c r="D234" i="41"/>
  <c r="AU178" i="41"/>
  <c r="AB183" i="16"/>
  <c r="AB272" i="16"/>
  <c r="AU267" i="41"/>
  <c r="D147" i="41"/>
  <c r="AU84" i="41"/>
  <c r="AB89" i="16"/>
  <c r="AB315" i="16"/>
  <c r="AU310" i="41"/>
  <c r="AB51" i="16"/>
  <c r="AU46" i="41"/>
  <c r="D230" i="41"/>
  <c r="D107" i="41"/>
  <c r="AB133" i="16"/>
  <c r="AU128" i="41"/>
  <c r="AB232" i="16"/>
  <c r="AU227" i="41"/>
  <c r="AB328" i="16"/>
  <c r="AU323" i="41"/>
  <c r="D51" i="41"/>
  <c r="AU130" i="41"/>
  <c r="AB135" i="16"/>
  <c r="AB187" i="16"/>
  <c r="AU182" i="41"/>
  <c r="D25" i="41"/>
  <c r="AU188" i="41"/>
  <c r="AB193" i="16"/>
  <c r="D327" i="41"/>
  <c r="AU264" i="41"/>
  <c r="AB269" i="16"/>
  <c r="AU159" i="41"/>
  <c r="AB164" i="16"/>
  <c r="D247" i="41"/>
  <c r="AU330" i="41"/>
  <c r="AB335" i="16"/>
  <c r="D211" i="41"/>
  <c r="AU146" i="41"/>
  <c r="AB151" i="16"/>
  <c r="AU122" i="41"/>
  <c r="AB127" i="16"/>
  <c r="AU301" i="41"/>
  <c r="AB306" i="16"/>
  <c r="D11" i="41"/>
  <c r="D77" i="41"/>
  <c r="D172" i="41"/>
  <c r="AB35" i="16"/>
  <c r="AU30" i="41"/>
  <c r="AB100" i="16"/>
  <c r="AU95" i="41"/>
  <c r="AU296" i="41"/>
  <c r="AB301" i="16"/>
  <c r="D100" i="41"/>
  <c r="D98" i="41"/>
  <c r="D324" i="41"/>
  <c r="D329" i="41"/>
  <c r="AU112" i="41"/>
  <c r="AB117" i="16"/>
  <c r="D167" i="41"/>
  <c r="AB229" i="16"/>
  <c r="AU224" i="41"/>
  <c r="AB276" i="16"/>
  <c r="AU271" i="41"/>
  <c r="AU186" i="41"/>
  <c r="AB191" i="16"/>
  <c r="D237" i="41"/>
  <c r="D90" i="41"/>
  <c r="D157" i="41"/>
  <c r="AB179" i="16"/>
  <c r="AU174" i="41"/>
  <c r="AU56" i="41"/>
  <c r="AB61" i="16"/>
  <c r="AB169" i="16"/>
  <c r="AU164" i="41"/>
  <c r="AU92" i="41"/>
  <c r="AB97" i="16"/>
  <c r="AU119" i="41"/>
  <c r="AB124" i="16"/>
  <c r="AB345" i="16"/>
  <c r="AU340" i="41"/>
  <c r="D45" i="41"/>
  <c r="AB17" i="16"/>
  <c r="AU12" i="41"/>
  <c r="D137" i="41"/>
  <c r="AU177" i="41"/>
  <c r="AB182" i="16"/>
  <c r="AB56" i="16"/>
  <c r="AU51" i="41"/>
  <c r="D130" i="41"/>
  <c r="D57" i="41"/>
  <c r="AB30" i="16"/>
  <c r="AU25" i="41"/>
  <c r="AB192" i="16"/>
  <c r="AU187" i="41"/>
  <c r="AB332" i="16"/>
  <c r="AU327" i="41"/>
  <c r="D79" i="41"/>
  <c r="D151" i="41"/>
  <c r="AU247" i="41"/>
  <c r="AB252" i="16"/>
  <c r="D220" i="41"/>
  <c r="AB216" i="16"/>
  <c r="AU211" i="41"/>
  <c r="D42" i="41"/>
  <c r="D287" i="41"/>
  <c r="AU11" i="41"/>
  <c r="AB16" i="16"/>
  <c r="AU77" i="41"/>
  <c r="AB82" i="16"/>
  <c r="D245" i="41"/>
  <c r="D30" i="41"/>
  <c r="D228" i="41"/>
  <c r="AU100" i="41"/>
  <c r="AB105" i="16"/>
  <c r="D50" i="41"/>
  <c r="AB329" i="16"/>
  <c r="AU324" i="41"/>
  <c r="AB334" i="16"/>
  <c r="AU329" i="41"/>
  <c r="AB172" i="16"/>
  <c r="AU167" i="41"/>
  <c r="D224" i="41"/>
  <c r="AU29" i="41"/>
  <c r="AB34" i="16"/>
  <c r="D186" i="41"/>
  <c r="AU302" i="41"/>
  <c r="AB307" i="16"/>
  <c r="AU85" i="41"/>
  <c r="AB90" i="16"/>
  <c r="D276" i="41"/>
  <c r="D71" i="41"/>
  <c r="AU110" i="41"/>
  <c r="AB115" i="16"/>
  <c r="AU190" i="41"/>
  <c r="AB195" i="16"/>
  <c r="AB92" i="16"/>
  <c r="AU87" i="41"/>
  <c r="D212" i="41"/>
  <c r="AB256" i="16"/>
  <c r="AU251" i="41"/>
  <c r="AU241" i="41"/>
  <c r="AB246" i="16"/>
  <c r="D46" i="41"/>
  <c r="AB157" i="16"/>
  <c r="AU152" i="41"/>
  <c r="AU76" i="41"/>
  <c r="AB81" i="16"/>
  <c r="D174" i="41"/>
  <c r="D316" i="41"/>
  <c r="D10" i="41"/>
  <c r="AU165" i="41"/>
  <c r="AB170" i="16"/>
  <c r="D177" i="41"/>
  <c r="D35" i="41"/>
  <c r="AU57" i="41"/>
  <c r="AB62" i="16"/>
  <c r="D200" i="41"/>
  <c r="D187" i="41"/>
  <c r="D260" i="41"/>
  <c r="AB84" i="16"/>
  <c r="AU79" i="41"/>
  <c r="AU151" i="41"/>
  <c r="AB156" i="16"/>
  <c r="AU185" i="41"/>
  <c r="AB190" i="16"/>
  <c r="AU220" i="41"/>
  <c r="AB225" i="16"/>
  <c r="D104" i="41"/>
  <c r="AB47" i="16"/>
  <c r="AU42" i="41"/>
  <c r="D250" i="41"/>
  <c r="D66" i="41"/>
  <c r="AB292" i="16"/>
  <c r="AU287" i="41"/>
  <c r="D111" i="41"/>
  <c r="D53" i="41"/>
  <c r="AU245" i="41"/>
  <c r="AB250" i="16"/>
  <c r="D256" i="41"/>
  <c r="AB233" i="16"/>
  <c r="AU228" i="41"/>
  <c r="D113" i="41"/>
  <c r="D121" i="41"/>
  <c r="D183" i="41"/>
  <c r="AU50" i="41"/>
  <c r="AB55" i="16"/>
  <c r="D305" i="41"/>
  <c r="AU218" i="41"/>
  <c r="AB223" i="16"/>
  <c r="AU35" i="41"/>
  <c r="AB40" i="16"/>
  <c r="D75" i="41"/>
  <c r="D67" i="41"/>
  <c r="AB205" i="16"/>
  <c r="AU200" i="41"/>
  <c r="D204" i="41"/>
  <c r="AB265" i="16"/>
  <c r="AU260" i="41"/>
  <c r="D249" i="41"/>
  <c r="D185" i="41"/>
  <c r="D33" i="41"/>
  <c r="AB109" i="16"/>
  <c r="AU104" i="41"/>
  <c r="D302" i="41"/>
  <c r="AB255" i="16"/>
  <c r="AU250" i="41"/>
  <c r="AB71" i="16"/>
  <c r="AU66" i="41"/>
  <c r="AB116" i="16"/>
  <c r="AU111" i="41"/>
  <c r="D126" i="41"/>
  <c r="AU53" i="41"/>
  <c r="AB58" i="16"/>
  <c r="D85" i="41"/>
  <c r="AB261" i="16"/>
  <c r="AU256" i="41"/>
  <c r="D86" i="41"/>
  <c r="D210" i="41"/>
  <c r="AU113" i="41"/>
  <c r="AB118" i="16"/>
  <c r="AU121" i="41"/>
  <c r="AB126" i="16"/>
  <c r="AB188" i="16"/>
  <c r="AU183" i="41"/>
  <c r="AU337" i="41"/>
  <c r="AB342" i="16"/>
  <c r="AU305" i="41"/>
  <c r="AB310" i="16"/>
  <c r="D326" i="41"/>
  <c r="D218" i="41"/>
  <c r="D334" i="41"/>
  <c r="M354" i="16" l="1"/>
  <c r="O7" i="16"/>
  <c r="O354" i="16" l="1"/>
  <c r="O4" i="16"/>
  <c r="T7" i="16"/>
  <c r="AU2" i="41" s="1"/>
  <c r="AU348" i="41" s="1"/>
  <c r="U7" i="16"/>
  <c r="D2" i="41" s="1"/>
  <c r="P7" i="16"/>
  <c r="T354" i="16" l="1"/>
  <c r="AB7" i="16"/>
  <c r="R106" i="16"/>
  <c r="R218" i="16"/>
  <c r="R102" i="16"/>
  <c r="R138" i="16"/>
  <c r="R249" i="16"/>
  <c r="R268" i="16"/>
  <c r="R273" i="16"/>
  <c r="R302" i="16"/>
  <c r="R234" i="16"/>
  <c r="R222" i="16"/>
  <c r="R270" i="16"/>
  <c r="R314" i="16"/>
  <c r="R161" i="16"/>
  <c r="R286" i="16"/>
  <c r="R20" i="16"/>
  <c r="R274" i="16"/>
  <c r="R171" i="16"/>
  <c r="R19" i="16"/>
  <c r="R153" i="16"/>
  <c r="R181" i="16"/>
  <c r="R141" i="16"/>
  <c r="R86" i="16"/>
  <c r="R311" i="16"/>
  <c r="R149" i="16"/>
  <c r="R316" i="16"/>
  <c r="R65" i="16"/>
  <c r="R326" i="16"/>
  <c r="R295" i="16"/>
  <c r="R324" i="16"/>
  <c r="R266" i="16"/>
  <c r="R253" i="16"/>
  <c r="R277" i="16"/>
  <c r="R23" i="16"/>
  <c r="R240" i="16"/>
  <c r="R52" i="16"/>
  <c r="R278" i="16"/>
  <c r="R349" i="16"/>
  <c r="R284" i="16"/>
  <c r="R275" i="16"/>
  <c r="R107" i="16"/>
  <c r="R168" i="16"/>
  <c r="R294" i="16"/>
  <c r="R176" i="16"/>
  <c r="R282" i="16"/>
  <c r="R211" i="16"/>
  <c r="R280" i="16"/>
  <c r="R283" i="16"/>
  <c r="R322" i="16"/>
  <c r="R308" i="16"/>
  <c r="R150" i="16"/>
  <c r="R340" i="16"/>
  <c r="R243" i="16"/>
  <c r="R245" i="16"/>
  <c r="R313" i="16"/>
  <c r="R14" i="16"/>
  <c r="R200" i="16"/>
  <c r="R251" i="16"/>
  <c r="R213" i="16"/>
  <c r="R327" i="16"/>
  <c r="R27" i="16"/>
  <c r="R32" i="16"/>
  <c r="R319" i="16"/>
  <c r="R287" i="16"/>
  <c r="R325" i="16"/>
  <c r="R289" i="16"/>
  <c r="R285" i="16"/>
  <c r="R83" i="16"/>
  <c r="R290" i="16"/>
  <c r="R279" i="16"/>
  <c r="R320" i="16"/>
  <c r="R296" i="16"/>
  <c r="R305" i="16"/>
  <c r="R267" i="16"/>
  <c r="R323" i="16"/>
  <c r="R236" i="16"/>
  <c r="R221" i="16"/>
  <c r="R136" i="16"/>
  <c r="R139" i="16"/>
  <c r="R89" i="16"/>
  <c r="R9" i="16"/>
  <c r="F4" i="41" s="1"/>
  <c r="R29" i="16"/>
  <c r="R352" i="16"/>
  <c r="R133" i="16"/>
  <c r="R178" i="16"/>
  <c r="R126" i="16"/>
  <c r="R80" i="16"/>
  <c r="R116" i="16"/>
  <c r="R281" i="16"/>
  <c r="R104" i="16"/>
  <c r="R12" i="16"/>
  <c r="F7" i="41" s="1"/>
  <c r="R209" i="16"/>
  <c r="R108" i="16"/>
  <c r="R26" i="16"/>
  <c r="R299" i="16"/>
  <c r="R261" i="16"/>
  <c r="R167" i="16"/>
  <c r="R202" i="16"/>
  <c r="R318" i="16"/>
  <c r="R159" i="16"/>
  <c r="R37" i="16"/>
  <c r="R88" i="16"/>
  <c r="R77" i="16"/>
  <c r="R257" i="16"/>
  <c r="R336" i="16"/>
  <c r="R172" i="16"/>
  <c r="R238" i="16"/>
  <c r="R124" i="16"/>
  <c r="R62" i="16"/>
  <c r="R188" i="16"/>
  <c r="R214" i="16"/>
  <c r="R113" i="16"/>
  <c r="R163" i="16"/>
  <c r="R42" i="16"/>
  <c r="R237" i="16"/>
  <c r="R103" i="16"/>
  <c r="R47" i="16"/>
  <c r="R18" i="16"/>
  <c r="R205" i="16"/>
  <c r="R158" i="16"/>
  <c r="R293" i="16"/>
  <c r="R60" i="16"/>
  <c r="R68" i="16"/>
  <c r="R224" i="16"/>
  <c r="R54" i="16"/>
  <c r="R297" i="16"/>
  <c r="R15" i="16"/>
  <c r="R101" i="16"/>
  <c r="R143" i="16"/>
  <c r="R332" i="16"/>
  <c r="R229" i="16"/>
  <c r="R208" i="16"/>
  <c r="R225" i="16"/>
  <c r="R250" i="16"/>
  <c r="R74" i="16"/>
  <c r="R232" i="16"/>
  <c r="R72" i="16"/>
  <c r="R38" i="16"/>
  <c r="R131" i="16"/>
  <c r="R184" i="16"/>
  <c r="R40" i="16"/>
  <c r="R233" i="16"/>
  <c r="R87" i="16"/>
  <c r="R228" i="16"/>
  <c r="R173" i="16"/>
  <c r="R91" i="16"/>
  <c r="R199" i="16"/>
  <c r="R197" i="16"/>
  <c r="R45" i="16"/>
  <c r="R174" i="16"/>
  <c r="R303" i="16"/>
  <c r="R125" i="16"/>
  <c r="R169" i="16"/>
  <c r="R291" i="16"/>
  <c r="R179" i="16"/>
  <c r="R260" i="16"/>
  <c r="R342" i="16"/>
  <c r="R79" i="16"/>
  <c r="R207" i="16"/>
  <c r="R114" i="16"/>
  <c r="R130" i="16"/>
  <c r="R196" i="16"/>
  <c r="R271" i="16"/>
  <c r="R24" i="16"/>
  <c r="R195" i="16"/>
  <c r="R21" i="16"/>
  <c r="R61" i="16"/>
  <c r="R148" i="16"/>
  <c r="R180" i="16"/>
  <c r="R258" i="16"/>
  <c r="R112" i="16"/>
  <c r="R134" i="16"/>
  <c r="R73" i="16"/>
  <c r="R17" i="16"/>
  <c r="R137" i="16"/>
  <c r="R341" i="16"/>
  <c r="R248" i="16"/>
  <c r="R92" i="16"/>
  <c r="R239" i="16"/>
  <c r="R59" i="16"/>
  <c r="R64" i="16"/>
  <c r="R348" i="16"/>
  <c r="R346" i="16"/>
  <c r="R259" i="16"/>
  <c r="R335" i="16"/>
  <c r="R312" i="16"/>
  <c r="R235" i="16"/>
  <c r="R217" i="16"/>
  <c r="R333" i="16"/>
  <c r="R307" i="16"/>
  <c r="R132" i="16"/>
  <c r="R194" i="16"/>
  <c r="R28" i="16"/>
  <c r="R135" i="16"/>
  <c r="R338" i="16"/>
  <c r="R99" i="16"/>
  <c r="R50" i="16"/>
  <c r="R177" i="16"/>
  <c r="R244" i="16"/>
  <c r="R170" i="16"/>
  <c r="R203" i="16"/>
  <c r="R190" i="16"/>
  <c r="R58" i="16"/>
  <c r="R185" i="16"/>
  <c r="R90" i="16"/>
  <c r="R343" i="16"/>
  <c r="R129" i="16"/>
  <c r="R310" i="16"/>
  <c r="R219" i="16"/>
  <c r="R70" i="16"/>
  <c r="R97" i="16"/>
  <c r="R10" i="16"/>
  <c r="F5" i="41" s="1"/>
  <c r="R109" i="16"/>
  <c r="R144" i="16"/>
  <c r="R351" i="16"/>
  <c r="R288" i="16"/>
  <c r="R262" i="16"/>
  <c r="R119" i="16"/>
  <c r="R162" i="16"/>
  <c r="R256" i="16"/>
  <c r="R246" i="16"/>
  <c r="R187" i="16"/>
  <c r="R192" i="16"/>
  <c r="R147" i="16"/>
  <c r="R56" i="16"/>
  <c r="R175" i="16"/>
  <c r="R206" i="16"/>
  <c r="R8" i="16"/>
  <c r="F3" i="41" s="1"/>
  <c r="R330" i="16"/>
  <c r="R242" i="16"/>
  <c r="R226" i="16"/>
  <c r="R41" i="16"/>
  <c r="R298" i="16"/>
  <c r="R121" i="16"/>
  <c r="R151" i="16"/>
  <c r="R166" i="16"/>
  <c r="R105" i="16"/>
  <c r="R67" i="16"/>
  <c r="R331" i="16"/>
  <c r="R146" i="16"/>
  <c r="R337" i="16"/>
  <c r="R78" i="16"/>
  <c r="R123" i="16"/>
  <c r="R230" i="16"/>
  <c r="R120" i="16"/>
  <c r="R31" i="16"/>
  <c r="R350" i="16"/>
  <c r="R127" i="16"/>
  <c r="R252" i="16"/>
  <c r="R16" i="16"/>
  <c r="R33" i="16"/>
  <c r="R223" i="16"/>
  <c r="R198" i="16"/>
  <c r="R122" i="16"/>
  <c r="R300" i="16"/>
  <c r="R304" i="16"/>
  <c r="R46" i="16"/>
  <c r="R272" i="16"/>
  <c r="R165" i="16"/>
  <c r="R347" i="16"/>
  <c r="R145" i="16"/>
  <c r="R111" i="16"/>
  <c r="R193" i="16"/>
  <c r="R82" i="16"/>
  <c r="R142" i="16"/>
  <c r="R182" i="16"/>
  <c r="R84" i="16"/>
  <c r="R292" i="16"/>
  <c r="R201" i="16"/>
  <c r="R155" i="16"/>
  <c r="R215" i="16"/>
  <c r="R220" i="16"/>
  <c r="R154" i="16"/>
  <c r="R34" i="16"/>
  <c r="R339" i="16"/>
  <c r="R43" i="16"/>
  <c r="R309" i="16"/>
  <c r="R315" i="16"/>
  <c r="R30" i="16"/>
  <c r="R11" i="16"/>
  <c r="F6" i="41" s="1"/>
  <c r="R100" i="16"/>
  <c r="R35" i="16"/>
  <c r="R255" i="16"/>
  <c r="R71" i="16"/>
  <c r="R118" i="16"/>
  <c r="R22" i="16"/>
  <c r="R212" i="16"/>
  <c r="R183" i="16"/>
  <c r="R66" i="16"/>
  <c r="R117" i="16"/>
  <c r="R25" i="16"/>
  <c r="R306" i="16"/>
  <c r="R329" i="16"/>
  <c r="R156" i="16"/>
  <c r="R276" i="16"/>
  <c r="R93" i="16"/>
  <c r="R75" i="16"/>
  <c r="R39" i="16"/>
  <c r="R69" i="16"/>
  <c r="R189" i="16"/>
  <c r="R152" i="16"/>
  <c r="R63" i="16"/>
  <c r="R263" i="16"/>
  <c r="R94" i="16"/>
  <c r="R321" i="16"/>
  <c r="R254" i="16"/>
  <c r="R191" i="16"/>
  <c r="R160" i="16"/>
  <c r="R317" i="16"/>
  <c r="R110" i="16"/>
  <c r="R227" i="16"/>
  <c r="R55" i="16"/>
  <c r="R204" i="16"/>
  <c r="R269" i="16"/>
  <c r="R241" i="16"/>
  <c r="R216" i="16"/>
  <c r="R96" i="16"/>
  <c r="R210" i="16"/>
  <c r="R164" i="16"/>
  <c r="R301" i="16"/>
  <c r="R264" i="16"/>
  <c r="R186" i="16"/>
  <c r="R85" i="16"/>
  <c r="R231" i="16"/>
  <c r="R98" i="16"/>
  <c r="R49" i="16"/>
  <c r="R36" i="16"/>
  <c r="R115" i="16"/>
  <c r="R13" i="16"/>
  <c r="R345" i="16"/>
  <c r="R81" i="16"/>
  <c r="R140" i="16"/>
  <c r="R48" i="16"/>
  <c r="R128" i="16"/>
  <c r="R53" i="16"/>
  <c r="R334" i="16"/>
  <c r="R157" i="16"/>
  <c r="R265" i="16"/>
  <c r="R57" i="16"/>
  <c r="R344" i="16"/>
  <c r="R95" i="16"/>
  <c r="R247" i="16"/>
  <c r="R76" i="16"/>
  <c r="R51" i="16"/>
  <c r="R44" i="16"/>
  <c r="R328" i="16"/>
  <c r="P354" i="16"/>
  <c r="R7" i="16"/>
  <c r="F2" i="41" s="1"/>
  <c r="U354" i="16"/>
  <c r="U5" i="16"/>
  <c r="T5" i="16" s="1"/>
  <c r="F114" i="41" l="1"/>
  <c r="H119" i="31"/>
  <c r="F216" i="41"/>
  <c r="H221" i="31"/>
  <c r="F283" i="41"/>
  <c r="H288" i="31"/>
  <c r="F346" i="41"/>
  <c r="H351" i="31"/>
  <c r="F333" i="41"/>
  <c r="H338" i="31"/>
  <c r="F132" i="41"/>
  <c r="H137" i="31"/>
  <c r="F174" i="41"/>
  <c r="H179" i="31"/>
  <c r="F69" i="41"/>
  <c r="H74" i="31"/>
  <c r="F232" i="41"/>
  <c r="H237" i="31"/>
  <c r="F294" i="41"/>
  <c r="H299" i="31"/>
  <c r="F318" i="41"/>
  <c r="H323" i="31"/>
  <c r="F308" i="41"/>
  <c r="H313" i="31"/>
  <c r="F235" i="41"/>
  <c r="H240" i="31"/>
  <c r="F281" i="41"/>
  <c r="H286" i="31"/>
  <c r="F269" i="41"/>
  <c r="H274" i="31"/>
  <c r="F264" i="41"/>
  <c r="H269" i="31"/>
  <c r="F130" i="41"/>
  <c r="H135" i="31"/>
  <c r="F12" i="41"/>
  <c r="H17" i="31"/>
  <c r="F286" i="41"/>
  <c r="H291" i="31"/>
  <c r="F245" i="41"/>
  <c r="H250" i="31"/>
  <c r="F37" i="41"/>
  <c r="H42" i="31"/>
  <c r="F21" i="41"/>
  <c r="H26" i="31"/>
  <c r="F262" i="41"/>
  <c r="H267" i="31"/>
  <c r="F240" i="41"/>
  <c r="H245" i="31"/>
  <c r="F18" i="41"/>
  <c r="H23" i="31"/>
  <c r="F156" i="41"/>
  <c r="H161" i="31"/>
  <c r="F62" i="41"/>
  <c r="H67" i="31"/>
  <c r="F195" i="41"/>
  <c r="H200" i="31"/>
  <c r="F161" i="41"/>
  <c r="H166" i="31"/>
  <c r="F23" i="41"/>
  <c r="H28" i="31"/>
  <c r="F164" i="41"/>
  <c r="H169" i="31"/>
  <c r="F220" i="41"/>
  <c r="H225" i="31"/>
  <c r="F158" i="41"/>
  <c r="H163" i="31"/>
  <c r="F103" i="41"/>
  <c r="H108" i="31"/>
  <c r="F300" i="41"/>
  <c r="H305" i="31"/>
  <c r="F238" i="41"/>
  <c r="H243" i="31"/>
  <c r="F272" i="41"/>
  <c r="H277" i="31"/>
  <c r="F309" i="41"/>
  <c r="H314" i="31"/>
  <c r="F246" i="41"/>
  <c r="H251" i="31"/>
  <c r="F41" i="41"/>
  <c r="H46" i="31"/>
  <c r="F88" i="41"/>
  <c r="H93" i="31"/>
  <c r="F227" i="41"/>
  <c r="H232" i="31"/>
  <c r="F116" i="41"/>
  <c r="H121" i="31"/>
  <c r="F215" i="41"/>
  <c r="H220" i="31"/>
  <c r="H10" i="31"/>
  <c r="F189" i="41"/>
  <c r="H194" i="31"/>
  <c r="F129" i="41"/>
  <c r="H134" i="31"/>
  <c r="F120" i="41"/>
  <c r="H125" i="31"/>
  <c r="F203" i="41"/>
  <c r="H208" i="31"/>
  <c r="F108" i="41"/>
  <c r="H113" i="31"/>
  <c r="F204" i="41"/>
  <c r="H209" i="31"/>
  <c r="F291" i="41"/>
  <c r="H296" i="31"/>
  <c r="F335" i="41"/>
  <c r="H340" i="31"/>
  <c r="F248" i="41"/>
  <c r="H253" i="31"/>
  <c r="F265" i="41"/>
  <c r="H270" i="31"/>
  <c r="F162" i="41"/>
  <c r="H167" i="31"/>
  <c r="F299" i="41"/>
  <c r="H304" i="31"/>
  <c r="F295" i="41"/>
  <c r="H300" i="31"/>
  <c r="P13" i="50"/>
  <c r="P16" i="50" s="1"/>
  <c r="D348" i="41"/>
  <c r="F135" i="41"/>
  <c r="H140" i="31"/>
  <c r="F92" i="41"/>
  <c r="H97" i="31"/>
  <c r="F302" i="41"/>
  <c r="H307" i="31"/>
  <c r="F169" i="41"/>
  <c r="H174" i="31"/>
  <c r="F327" i="41"/>
  <c r="H332" i="31"/>
  <c r="F183" i="41"/>
  <c r="H188" i="31"/>
  <c r="F99" i="41"/>
  <c r="H104" i="31"/>
  <c r="F274" i="41"/>
  <c r="H279" i="31"/>
  <c r="F303" i="41"/>
  <c r="H308" i="31"/>
  <c r="F319" i="41"/>
  <c r="H324" i="31"/>
  <c r="F229" i="41"/>
  <c r="H234" i="31"/>
  <c r="F87" i="41"/>
  <c r="H92" i="31"/>
  <c r="F45" i="41"/>
  <c r="H50" i="31"/>
  <c r="F94" i="41"/>
  <c r="H99" i="31"/>
  <c r="F334" i="41"/>
  <c r="H339" i="31"/>
  <c r="F199" i="41"/>
  <c r="H204" i="31"/>
  <c r="F20" i="41"/>
  <c r="H25" i="31"/>
  <c r="F209" i="41"/>
  <c r="H214" i="31"/>
  <c r="F317" i="41"/>
  <c r="H322" i="31"/>
  <c r="F230" i="41"/>
  <c r="H235" i="31"/>
  <c r="F75" i="41"/>
  <c r="H80" i="31"/>
  <c r="F280" i="41"/>
  <c r="H285" i="31"/>
  <c r="F275" i="41"/>
  <c r="H280" i="31"/>
  <c r="F60" i="41"/>
  <c r="H65" i="31"/>
  <c r="F263" i="41"/>
  <c r="H268" i="31"/>
  <c r="F13" i="41"/>
  <c r="H18" i="31"/>
  <c r="F257" i="41"/>
  <c r="H262" i="31"/>
  <c r="F255" i="41"/>
  <c r="H260" i="31"/>
  <c r="F29" i="41"/>
  <c r="H34" i="31"/>
  <c r="F261" i="41"/>
  <c r="H266" i="31"/>
  <c r="F285" i="41"/>
  <c r="H290" i="31"/>
  <c r="F307" i="41"/>
  <c r="H312" i="31"/>
  <c r="F206" i="41"/>
  <c r="H211" i="31"/>
  <c r="F311" i="41"/>
  <c r="H316" i="31"/>
  <c r="F244" i="41"/>
  <c r="H249" i="31"/>
  <c r="F34" i="41"/>
  <c r="H39" i="31"/>
  <c r="F33" i="41"/>
  <c r="H38" i="31"/>
  <c r="F91" i="41"/>
  <c r="H96" i="31"/>
  <c r="F337" i="41"/>
  <c r="H342" i="31"/>
  <c r="F9" i="41"/>
  <c r="H14" i="31"/>
  <c r="F236" i="41"/>
  <c r="H241" i="31"/>
  <c r="F151" i="41"/>
  <c r="H156" i="31"/>
  <c r="F149" i="41"/>
  <c r="H154" i="31"/>
  <c r="F301" i="41"/>
  <c r="H306" i="31"/>
  <c r="F127" i="41"/>
  <c r="H132" i="31"/>
  <c r="F217" i="41"/>
  <c r="H222" i="31"/>
  <c r="F297" i="41"/>
  <c r="H302" i="31"/>
  <c r="F10" i="41"/>
  <c r="H15" i="31"/>
  <c r="F170" i="41"/>
  <c r="H175" i="31"/>
  <c r="F39" i="41"/>
  <c r="H44" i="31"/>
  <c r="F115" i="41"/>
  <c r="H120" i="31"/>
  <c r="F51" i="41"/>
  <c r="H56" i="31"/>
  <c r="F85" i="41"/>
  <c r="H90" i="31"/>
  <c r="F330" i="41"/>
  <c r="H335" i="31"/>
  <c r="F190" i="41"/>
  <c r="H195" i="31"/>
  <c r="F168" i="41"/>
  <c r="H173" i="31"/>
  <c r="F49" i="41"/>
  <c r="H54" i="31"/>
  <c r="F331" i="41"/>
  <c r="H336" i="31"/>
  <c r="F173" i="41"/>
  <c r="H178" i="31"/>
  <c r="F320" i="41"/>
  <c r="H325" i="31"/>
  <c r="F277" i="41"/>
  <c r="H282" i="31"/>
  <c r="F144" i="41"/>
  <c r="H149" i="31"/>
  <c r="F133" i="41"/>
  <c r="H138" i="31"/>
  <c r="F205" i="41"/>
  <c r="H210" i="31"/>
  <c r="F166" i="41"/>
  <c r="H171" i="31"/>
  <c r="F100" i="41"/>
  <c r="H105" i="31"/>
  <c r="F329" i="41"/>
  <c r="H334" i="31"/>
  <c r="F231" i="41"/>
  <c r="H236" i="31"/>
  <c r="F271" i="41"/>
  <c r="H276" i="31"/>
  <c r="F104" i="41"/>
  <c r="H109" i="31"/>
  <c r="F28" i="41"/>
  <c r="H33" i="31"/>
  <c r="F145" i="41"/>
  <c r="H150" i="31"/>
  <c r="F150" i="41"/>
  <c r="H155" i="31"/>
  <c r="F237" i="41"/>
  <c r="H242" i="31"/>
  <c r="F247" i="41"/>
  <c r="H252" i="31"/>
  <c r="F276" i="41"/>
  <c r="H281" i="31"/>
  <c r="R354" i="16"/>
  <c r="H7" i="31"/>
  <c r="F287" i="41"/>
  <c r="H292" i="31"/>
  <c r="F212" i="41"/>
  <c r="H217" i="31"/>
  <c r="F119" i="41"/>
  <c r="H124" i="31"/>
  <c r="F31" i="41"/>
  <c r="H36" i="31"/>
  <c r="F194" i="41"/>
  <c r="H199" i="31"/>
  <c r="F44" i="41"/>
  <c r="H49" i="31"/>
  <c r="F338" i="41"/>
  <c r="H343" i="31"/>
  <c r="F86" i="41"/>
  <c r="H91" i="31"/>
  <c r="F66" i="41"/>
  <c r="H71" i="31"/>
  <c r="F225" i="41"/>
  <c r="H230" i="31"/>
  <c r="F142" i="41"/>
  <c r="H147" i="31"/>
  <c r="F180" i="41"/>
  <c r="H185" i="31"/>
  <c r="F254" i="41"/>
  <c r="H259" i="31"/>
  <c r="F19" i="41"/>
  <c r="H24" i="31"/>
  <c r="F223" i="41"/>
  <c r="H228" i="31"/>
  <c r="F219" i="41"/>
  <c r="H224" i="31"/>
  <c r="F252" i="41"/>
  <c r="H257" i="31"/>
  <c r="F128" i="41"/>
  <c r="H133" i="31"/>
  <c r="F282" i="41"/>
  <c r="H287" i="31"/>
  <c r="F171" i="41"/>
  <c r="H176" i="31"/>
  <c r="F306" i="41"/>
  <c r="H311" i="31"/>
  <c r="F97" i="41"/>
  <c r="H102" i="31"/>
  <c r="F310" i="41"/>
  <c r="H315" i="31"/>
  <c r="F74" i="41"/>
  <c r="H79" i="31"/>
  <c r="F70" i="41"/>
  <c r="H75" i="31"/>
  <c r="F67" i="41"/>
  <c r="H72" i="31"/>
  <c r="F256" i="41"/>
  <c r="H261" i="31"/>
  <c r="F48" i="41"/>
  <c r="H53" i="31"/>
  <c r="F117" i="41"/>
  <c r="H122" i="31"/>
  <c r="F193" i="41"/>
  <c r="H198" i="31"/>
  <c r="F218" i="41"/>
  <c r="H223" i="31"/>
  <c r="F221" i="41"/>
  <c r="H226" i="31"/>
  <c r="H12" i="31"/>
  <c r="F105" i="41"/>
  <c r="H110" i="31"/>
  <c r="F65" i="41"/>
  <c r="H70" i="31"/>
  <c r="F61" i="41"/>
  <c r="H66" i="31"/>
  <c r="F328" i="41"/>
  <c r="H333" i="31"/>
  <c r="F138" i="41"/>
  <c r="H143" i="31"/>
  <c r="F178" i="41"/>
  <c r="H183" i="31"/>
  <c r="F192" i="41"/>
  <c r="H197" i="31"/>
  <c r="F278" i="41"/>
  <c r="H283" i="31"/>
  <c r="F186" i="41"/>
  <c r="H191" i="31"/>
  <c r="F56" i="41"/>
  <c r="H61" i="31"/>
  <c r="F177" i="41"/>
  <c r="H182" i="31"/>
  <c r="F167" i="41"/>
  <c r="H172" i="31"/>
  <c r="F93" i="41"/>
  <c r="H98" i="31"/>
  <c r="F71" i="41"/>
  <c r="H76" i="31"/>
  <c r="F250" i="41"/>
  <c r="H255" i="31"/>
  <c r="F188" i="41"/>
  <c r="H193" i="31"/>
  <c r="F118" i="41"/>
  <c r="H123" i="31"/>
  <c r="F187" i="41"/>
  <c r="H192" i="31"/>
  <c r="F53" i="41"/>
  <c r="H58" i="31"/>
  <c r="F341" i="41"/>
  <c r="H346" i="31"/>
  <c r="F266" i="41"/>
  <c r="H271" i="31"/>
  <c r="F82" i="41"/>
  <c r="H87" i="31"/>
  <c r="F63" i="41"/>
  <c r="H68" i="31"/>
  <c r="F72" i="41"/>
  <c r="H77" i="31"/>
  <c r="F347" i="41"/>
  <c r="H352" i="31"/>
  <c r="F314" i="41"/>
  <c r="H319" i="31"/>
  <c r="F289" i="41"/>
  <c r="H294" i="31"/>
  <c r="F81" i="41"/>
  <c r="H86" i="31"/>
  <c r="F213" i="41"/>
  <c r="H218" i="31"/>
  <c r="F172" i="41"/>
  <c r="H177" i="31"/>
  <c r="F273" i="41"/>
  <c r="H278" i="31"/>
  <c r="F38" i="41"/>
  <c r="H43" i="31"/>
  <c r="F336" i="41"/>
  <c r="H341" i="31"/>
  <c r="F146" i="41"/>
  <c r="H151" i="31"/>
  <c r="F293" i="41"/>
  <c r="H298" i="31"/>
  <c r="F50" i="41"/>
  <c r="H55" i="31"/>
  <c r="F298" i="41"/>
  <c r="H303" i="31"/>
  <c r="F325" i="41"/>
  <c r="H330" i="31"/>
  <c r="F57" i="41"/>
  <c r="H62" i="31"/>
  <c r="F305" i="41"/>
  <c r="H310" i="31"/>
  <c r="F321" i="41"/>
  <c r="H326" i="31"/>
  <c r="F207" i="41"/>
  <c r="H212" i="31"/>
  <c r="F124" i="41"/>
  <c r="H129" i="31"/>
  <c r="F249" i="41"/>
  <c r="H254" i="31"/>
  <c r="F292" i="41"/>
  <c r="H297" i="31"/>
  <c r="F113" i="41"/>
  <c r="H118" i="31"/>
  <c r="F89" i="41"/>
  <c r="H94" i="31"/>
  <c r="F242" i="41"/>
  <c r="H247" i="31"/>
  <c r="F181" i="41"/>
  <c r="H186" i="31"/>
  <c r="F58" i="41"/>
  <c r="H63" i="31"/>
  <c r="F30" i="41"/>
  <c r="H35" i="31"/>
  <c r="F106" i="41"/>
  <c r="H111" i="31"/>
  <c r="F73" i="41"/>
  <c r="H78" i="31"/>
  <c r="F182" i="41"/>
  <c r="H187" i="31"/>
  <c r="F185" i="41"/>
  <c r="H190" i="31"/>
  <c r="F343" i="41"/>
  <c r="H348" i="31"/>
  <c r="F191" i="41"/>
  <c r="H196" i="31"/>
  <c r="F228" i="41"/>
  <c r="H233" i="31"/>
  <c r="F55" i="41"/>
  <c r="H60" i="31"/>
  <c r="F83" i="41"/>
  <c r="H88" i="31"/>
  <c r="F24" i="41"/>
  <c r="H29" i="31"/>
  <c r="F27" i="41"/>
  <c r="H32" i="31"/>
  <c r="F163" i="41"/>
  <c r="H168" i="31"/>
  <c r="F136" i="41"/>
  <c r="H141" i="31"/>
  <c r="F101" i="41"/>
  <c r="H106" i="31"/>
  <c r="F260" i="41"/>
  <c r="H265" i="31"/>
  <c r="F344" i="41"/>
  <c r="H349" i="31"/>
  <c r="F152" i="41"/>
  <c r="H157" i="31"/>
  <c r="F243" i="41"/>
  <c r="H248" i="31"/>
  <c r="F15" i="41"/>
  <c r="H20" i="31"/>
  <c r="F68" i="41"/>
  <c r="H73" i="31"/>
  <c r="F210" i="41"/>
  <c r="H215" i="31"/>
  <c r="F107" i="41"/>
  <c r="H112" i="31"/>
  <c r="F224" i="41"/>
  <c r="H229" i="31"/>
  <c r="F340" i="41"/>
  <c r="H345" i="31"/>
  <c r="F253" i="41"/>
  <c r="H258" i="31"/>
  <c r="F312" i="41"/>
  <c r="H317" i="31"/>
  <c r="F214" i="41"/>
  <c r="H219" i="31"/>
  <c r="F40" i="41"/>
  <c r="H45" i="31"/>
  <c r="F110" i="41"/>
  <c r="H115" i="31"/>
  <c r="F143" i="41"/>
  <c r="H148" i="31"/>
  <c r="F268" i="41"/>
  <c r="H273" i="31"/>
  <c r="F79" i="41"/>
  <c r="H84" i="31"/>
  <c r="F201" i="41"/>
  <c r="H206" i="31"/>
  <c r="F17" i="41"/>
  <c r="H22" i="31"/>
  <c r="F284" i="41"/>
  <c r="H289" i="31"/>
  <c r="F77" i="41"/>
  <c r="H82" i="31"/>
  <c r="F259" i="41"/>
  <c r="H264" i="31"/>
  <c r="F147" i="41"/>
  <c r="H152" i="31"/>
  <c r="F95" i="41"/>
  <c r="H100" i="31"/>
  <c r="F140" i="41"/>
  <c r="H145" i="31"/>
  <c r="F332" i="41"/>
  <c r="H337" i="31"/>
  <c r="F241" i="41"/>
  <c r="H246" i="31"/>
  <c r="F198" i="41"/>
  <c r="H203" i="31"/>
  <c r="F59" i="41"/>
  <c r="H64" i="31"/>
  <c r="F125" i="41"/>
  <c r="H130" i="31"/>
  <c r="F35" i="41"/>
  <c r="H40" i="31"/>
  <c r="F288" i="41"/>
  <c r="H293" i="31"/>
  <c r="F32" i="41"/>
  <c r="H37" i="31"/>
  <c r="H9" i="31"/>
  <c r="F22" i="41"/>
  <c r="H27" i="31"/>
  <c r="F102" i="41"/>
  <c r="H107" i="31"/>
  <c r="F176" i="41"/>
  <c r="H181" i="31"/>
  <c r="F267" i="41"/>
  <c r="H272" i="31"/>
  <c r="F197" i="41"/>
  <c r="H202" i="31"/>
  <c r="F42" i="41"/>
  <c r="H47" i="31"/>
  <c r="F211" i="41"/>
  <c r="H216" i="31"/>
  <c r="F98" i="41"/>
  <c r="H103" i="31"/>
  <c r="F139" i="41"/>
  <c r="H144" i="31"/>
  <c r="F43" i="41"/>
  <c r="H48" i="31"/>
  <c r="F36" i="41"/>
  <c r="H41" i="31"/>
  <c r="F76" i="41"/>
  <c r="H81" i="31"/>
  <c r="F11" i="41"/>
  <c r="H16" i="31"/>
  <c r="F196" i="41"/>
  <c r="H201" i="31"/>
  <c r="F290" i="41"/>
  <c r="H295" i="31"/>
  <c r="F155" i="41"/>
  <c r="H160" i="31"/>
  <c r="H8" i="31"/>
  <c r="F96" i="41"/>
  <c r="H101" i="31"/>
  <c r="F111" i="41"/>
  <c r="H116" i="31"/>
  <c r="F233" i="41"/>
  <c r="H238" i="31"/>
  <c r="F323" i="41"/>
  <c r="H328" i="31"/>
  <c r="F26" i="41"/>
  <c r="H31" i="31"/>
  <c r="F16" i="41"/>
  <c r="H21" i="31"/>
  <c r="F137" i="41"/>
  <c r="H142" i="31"/>
  <c r="F226" i="41"/>
  <c r="H231" i="31"/>
  <c r="F80" i="41"/>
  <c r="H85" i="31"/>
  <c r="F184" i="41"/>
  <c r="H189" i="31"/>
  <c r="H11" i="31"/>
  <c r="F342" i="41"/>
  <c r="H347" i="31"/>
  <c r="F141" i="41"/>
  <c r="H146" i="31"/>
  <c r="F251" i="41"/>
  <c r="H256" i="31"/>
  <c r="F165" i="41"/>
  <c r="H170" i="31"/>
  <c r="F54" i="41"/>
  <c r="H59" i="31"/>
  <c r="F109" i="41"/>
  <c r="H114" i="31"/>
  <c r="F179" i="41"/>
  <c r="H184" i="31"/>
  <c r="F153" i="41"/>
  <c r="H158" i="31"/>
  <c r="F154" i="41"/>
  <c r="H159" i="31"/>
  <c r="F84" i="41"/>
  <c r="H89" i="31"/>
  <c r="F322" i="41"/>
  <c r="H327" i="31"/>
  <c r="F270" i="41"/>
  <c r="H275" i="31"/>
  <c r="F148" i="41"/>
  <c r="H153" i="31"/>
  <c r="F131" i="41"/>
  <c r="H136" i="31"/>
  <c r="F304" i="41"/>
  <c r="H309" i="31"/>
  <c r="F47" i="41"/>
  <c r="H52" i="31"/>
  <c r="F123" i="41"/>
  <c r="H128" i="31"/>
  <c r="F324" i="41"/>
  <c r="H329" i="31"/>
  <c r="F222" i="41"/>
  <c r="H227" i="31"/>
  <c r="F315" i="41"/>
  <c r="H320" i="31"/>
  <c r="F112" i="41"/>
  <c r="H117" i="31"/>
  <c r="F8" i="41"/>
  <c r="H13" i="31"/>
  <c r="F175" i="41"/>
  <c r="H180" i="31"/>
  <c r="F122" i="41"/>
  <c r="H127" i="31"/>
  <c r="F78" i="41"/>
  <c r="H83" i="31"/>
  <c r="F345" i="41"/>
  <c r="H350" i="31"/>
  <c r="F121" i="41"/>
  <c r="H126" i="31"/>
  <c r="F316" i="41"/>
  <c r="H321" i="31"/>
  <c r="F46" i="41"/>
  <c r="H51" i="31"/>
  <c r="F258" i="41"/>
  <c r="H263" i="31"/>
  <c r="F90" i="41"/>
  <c r="H95" i="31"/>
  <c r="F339" i="41"/>
  <c r="H344" i="31"/>
  <c r="F296" i="41"/>
  <c r="H301" i="31"/>
  <c r="F52" i="41"/>
  <c r="H57" i="31"/>
  <c r="F159" i="41"/>
  <c r="H164" i="31"/>
  <c r="F64" i="41"/>
  <c r="H69" i="31"/>
  <c r="F25" i="41"/>
  <c r="H30" i="31"/>
  <c r="F160" i="41"/>
  <c r="H165" i="31"/>
  <c r="F326" i="41"/>
  <c r="H331" i="31"/>
  <c r="F157" i="41"/>
  <c r="H162" i="31"/>
  <c r="F239" i="41"/>
  <c r="H244" i="31"/>
  <c r="F234" i="41"/>
  <c r="H239" i="31"/>
  <c r="F202" i="41"/>
  <c r="H207" i="31"/>
  <c r="F126" i="41"/>
  <c r="H131" i="31"/>
  <c r="F200" i="41"/>
  <c r="H205" i="31"/>
  <c r="F313" i="41"/>
  <c r="H318" i="31"/>
  <c r="F134" i="41"/>
  <c r="H139" i="31"/>
  <c r="F208" i="41"/>
  <c r="H213" i="31"/>
  <c r="F279" i="41"/>
  <c r="H284" i="31"/>
  <c r="F14" i="41"/>
  <c r="H19" i="31"/>
  <c r="AT227" i="31" l="1"/>
  <c r="AB227" i="31"/>
  <c r="AZ227" i="31"/>
  <c r="V227" i="31"/>
  <c r="J227" i="31"/>
  <c r="BF227" i="31"/>
  <c r="BR227" i="31"/>
  <c r="BL227" i="31"/>
  <c r="AN227" i="31"/>
  <c r="P227" i="31"/>
  <c r="AH227" i="31"/>
  <c r="BX227" i="31"/>
  <c r="AM227" i="31"/>
  <c r="O227" i="31"/>
  <c r="AY227" i="31"/>
  <c r="AA227" i="31"/>
  <c r="BQ227" i="31"/>
  <c r="U227" i="31"/>
  <c r="AG227" i="31"/>
  <c r="BE227" i="31"/>
  <c r="AS227" i="31"/>
  <c r="BW227" i="31"/>
  <c r="BK227" i="31"/>
  <c r="I227" i="31"/>
  <c r="AN62" i="31"/>
  <c r="V62" i="31"/>
  <c r="P62" i="31"/>
  <c r="AH62" i="31"/>
  <c r="J62" i="31"/>
  <c r="AZ62" i="31"/>
  <c r="BX62" i="31"/>
  <c r="BF62" i="31"/>
  <c r="AT62" i="31"/>
  <c r="AB62" i="31"/>
  <c r="BL62" i="31"/>
  <c r="BR62" i="31"/>
  <c r="AM62" i="31"/>
  <c r="AA62" i="31"/>
  <c r="AY62" i="31"/>
  <c r="O62" i="31"/>
  <c r="BQ62" i="31"/>
  <c r="U62" i="31"/>
  <c r="AG62" i="31"/>
  <c r="BE62" i="31"/>
  <c r="AS62" i="31"/>
  <c r="BK62" i="31"/>
  <c r="BW62" i="31"/>
  <c r="I62" i="31"/>
  <c r="V113" i="31"/>
  <c r="AZ113" i="31"/>
  <c r="BX113" i="31"/>
  <c r="AT113" i="31"/>
  <c r="AN113" i="31"/>
  <c r="BR113" i="31"/>
  <c r="BF113" i="31"/>
  <c r="P113" i="31"/>
  <c r="BL113" i="31"/>
  <c r="AH113" i="31"/>
  <c r="AB113" i="31"/>
  <c r="J113" i="31"/>
  <c r="AY113" i="31"/>
  <c r="BQ113" i="31"/>
  <c r="AA113" i="31"/>
  <c r="AM113" i="31"/>
  <c r="O113" i="31"/>
  <c r="U113" i="31"/>
  <c r="AG113" i="31"/>
  <c r="AS113" i="31"/>
  <c r="BE113" i="31"/>
  <c r="BK113" i="31"/>
  <c r="BW113" i="31"/>
  <c r="I113" i="31"/>
  <c r="AB283" i="31"/>
  <c r="BF283" i="31"/>
  <c r="AN283" i="31"/>
  <c r="BX283" i="31"/>
  <c r="AH283" i="31"/>
  <c r="AZ283" i="31"/>
  <c r="J283" i="31"/>
  <c r="V283" i="31"/>
  <c r="P283" i="31"/>
  <c r="AT283" i="31"/>
  <c r="BL283" i="31"/>
  <c r="AA283" i="31"/>
  <c r="BR283" i="31"/>
  <c r="AY283" i="31"/>
  <c r="BQ283" i="31"/>
  <c r="AM283" i="31"/>
  <c r="U283" i="31"/>
  <c r="O283" i="31"/>
  <c r="AS283" i="31"/>
  <c r="AG283" i="31"/>
  <c r="BK283" i="31"/>
  <c r="BE283" i="31"/>
  <c r="BW283" i="31"/>
  <c r="I283" i="31"/>
  <c r="AN292" i="31"/>
  <c r="BL292" i="31"/>
  <c r="AZ292" i="31"/>
  <c r="J292" i="31"/>
  <c r="BF292" i="31"/>
  <c r="AH292" i="31"/>
  <c r="V292" i="31"/>
  <c r="P292" i="31"/>
  <c r="AB292" i="31"/>
  <c r="AT292" i="31"/>
  <c r="BR292" i="31"/>
  <c r="BX292" i="31"/>
  <c r="O292" i="31"/>
  <c r="AY292" i="31"/>
  <c r="BQ292" i="31"/>
  <c r="AA292" i="31"/>
  <c r="AM292" i="31"/>
  <c r="U292" i="31"/>
  <c r="AG292" i="31"/>
  <c r="AS292" i="31"/>
  <c r="BK292" i="31"/>
  <c r="BE292" i="31"/>
  <c r="BW292" i="31"/>
  <c r="I292" i="31"/>
  <c r="AN109" i="31"/>
  <c r="BF109" i="31"/>
  <c r="BX109" i="31"/>
  <c r="BR109" i="31"/>
  <c r="AB109" i="31"/>
  <c r="P109" i="31"/>
  <c r="AZ109" i="31"/>
  <c r="BL109" i="31"/>
  <c r="V109" i="31"/>
  <c r="J109" i="31"/>
  <c r="AH109" i="31"/>
  <c r="AT109" i="31"/>
  <c r="O109" i="31"/>
  <c r="AA109" i="31"/>
  <c r="BQ109" i="31"/>
  <c r="AY109" i="31"/>
  <c r="AM109" i="31"/>
  <c r="AG109" i="31"/>
  <c r="U109" i="31"/>
  <c r="AS109" i="31"/>
  <c r="BE109" i="31"/>
  <c r="BW109" i="31"/>
  <c r="BK109" i="31"/>
  <c r="I109" i="31"/>
  <c r="BF325" i="31"/>
  <c r="AH325" i="31"/>
  <c r="AZ325" i="31"/>
  <c r="AN325" i="31"/>
  <c r="P325" i="31"/>
  <c r="V325" i="31"/>
  <c r="AB325" i="31"/>
  <c r="BL325" i="31"/>
  <c r="AT325" i="31"/>
  <c r="BX325" i="31"/>
  <c r="J325" i="31"/>
  <c r="BR325" i="31"/>
  <c r="BQ325" i="31"/>
  <c r="AM325" i="31"/>
  <c r="AA325" i="31"/>
  <c r="AY325" i="31"/>
  <c r="O325" i="31"/>
  <c r="U325" i="31"/>
  <c r="AS325" i="31"/>
  <c r="AG325" i="31"/>
  <c r="BE325" i="31"/>
  <c r="BW325" i="31"/>
  <c r="I325" i="31"/>
  <c r="BK325" i="31"/>
  <c r="BR44" i="31"/>
  <c r="P44" i="31"/>
  <c r="BX44" i="31"/>
  <c r="BF44" i="31"/>
  <c r="J44" i="31"/>
  <c r="AB44" i="31"/>
  <c r="BL44" i="31"/>
  <c r="AN44" i="31"/>
  <c r="AZ44" i="31"/>
  <c r="V44" i="31"/>
  <c r="AT44" i="31"/>
  <c r="AH44" i="31"/>
  <c r="BQ44" i="31"/>
  <c r="O44" i="31"/>
  <c r="AY44" i="31"/>
  <c r="AM44" i="31"/>
  <c r="AA44" i="31"/>
  <c r="AG44" i="31"/>
  <c r="BE44" i="31"/>
  <c r="AS44" i="31"/>
  <c r="U44" i="31"/>
  <c r="BK44" i="31"/>
  <c r="BW44" i="31"/>
  <c r="I44" i="31"/>
  <c r="J14" i="31"/>
  <c r="AN14" i="31"/>
  <c r="BR14" i="31"/>
  <c r="BL14" i="31"/>
  <c r="AZ14" i="31"/>
  <c r="P14" i="31"/>
  <c r="AB14" i="31"/>
  <c r="BF14" i="31"/>
  <c r="V14" i="31"/>
  <c r="AH14" i="31"/>
  <c r="AT14" i="31"/>
  <c r="BX14" i="31"/>
  <c r="AA14" i="31"/>
  <c r="O14" i="31"/>
  <c r="BQ14" i="31"/>
  <c r="AY14" i="31"/>
  <c r="AM14" i="31"/>
  <c r="U14" i="31"/>
  <c r="AG14" i="31"/>
  <c r="BE14" i="31"/>
  <c r="AS14" i="31"/>
  <c r="BK14" i="31"/>
  <c r="BW14" i="31"/>
  <c r="I14" i="31"/>
  <c r="AZ266" i="31"/>
  <c r="AH266" i="31"/>
  <c r="BL266" i="31"/>
  <c r="BR266" i="31"/>
  <c r="AT266" i="31"/>
  <c r="BX266" i="31"/>
  <c r="P266" i="31"/>
  <c r="AB266" i="31"/>
  <c r="AN266" i="31"/>
  <c r="BF266" i="31"/>
  <c r="V266" i="31"/>
  <c r="J266" i="31"/>
  <c r="AM266" i="31"/>
  <c r="BQ266" i="31"/>
  <c r="AY266" i="31"/>
  <c r="AA266" i="31"/>
  <c r="O266" i="31"/>
  <c r="U266" i="31"/>
  <c r="AG266" i="31"/>
  <c r="BE266" i="31"/>
  <c r="AS266" i="31"/>
  <c r="BK266" i="31"/>
  <c r="BW266" i="31"/>
  <c r="I266" i="31"/>
  <c r="AN235" i="31"/>
  <c r="AZ235" i="31"/>
  <c r="BX235" i="31"/>
  <c r="V235" i="31"/>
  <c r="BR235" i="31"/>
  <c r="AH235" i="31"/>
  <c r="J235" i="31"/>
  <c r="BF235" i="31"/>
  <c r="AT235" i="31"/>
  <c r="AB235" i="31"/>
  <c r="BL235" i="31"/>
  <c r="P235" i="31"/>
  <c r="O235" i="31"/>
  <c r="BQ235" i="31"/>
  <c r="AY235" i="31"/>
  <c r="AA235" i="31"/>
  <c r="AM235" i="31"/>
  <c r="U235" i="31"/>
  <c r="AG235" i="31"/>
  <c r="AS235" i="31"/>
  <c r="BE235" i="31"/>
  <c r="BK235" i="31"/>
  <c r="BW235" i="31"/>
  <c r="I235" i="31"/>
  <c r="AB324" i="31"/>
  <c r="V324" i="31"/>
  <c r="P324" i="31"/>
  <c r="BL324" i="31"/>
  <c r="J324" i="31"/>
  <c r="AH324" i="31"/>
  <c r="AT324" i="31"/>
  <c r="AN324" i="31"/>
  <c r="BF324" i="31"/>
  <c r="BR324" i="31"/>
  <c r="BX324" i="31"/>
  <c r="AZ324" i="31"/>
  <c r="AM324" i="31"/>
  <c r="BQ324" i="31"/>
  <c r="O324" i="31"/>
  <c r="AY324" i="31"/>
  <c r="AA324" i="31"/>
  <c r="AG324" i="31"/>
  <c r="U324" i="31"/>
  <c r="AS324" i="31"/>
  <c r="BE324" i="31"/>
  <c r="BK324" i="31"/>
  <c r="BW324" i="31"/>
  <c r="I324" i="31"/>
  <c r="V208" i="31"/>
  <c r="J208" i="31"/>
  <c r="AN208" i="31"/>
  <c r="AZ208" i="31"/>
  <c r="AB208" i="31"/>
  <c r="BF208" i="31"/>
  <c r="P208" i="31"/>
  <c r="AT208" i="31"/>
  <c r="BR208" i="31"/>
  <c r="BX208" i="31"/>
  <c r="AH208" i="31"/>
  <c r="BL208" i="31"/>
  <c r="AA208" i="31"/>
  <c r="AY208" i="31"/>
  <c r="BQ208" i="31"/>
  <c r="AM208" i="31"/>
  <c r="O208" i="31"/>
  <c r="BE208" i="31"/>
  <c r="AG208" i="31"/>
  <c r="U208" i="31"/>
  <c r="AS208" i="31"/>
  <c r="BK208" i="31"/>
  <c r="BW208" i="31"/>
  <c r="I208" i="31"/>
  <c r="P251" i="31"/>
  <c r="BR251" i="31"/>
  <c r="BL251" i="31"/>
  <c r="AB251" i="31"/>
  <c r="AH251" i="31"/>
  <c r="BX251" i="31"/>
  <c r="AN251" i="31"/>
  <c r="J251" i="31"/>
  <c r="AT251" i="31"/>
  <c r="BF251" i="31"/>
  <c r="V251" i="31"/>
  <c r="AZ251" i="31"/>
  <c r="BQ251" i="31"/>
  <c r="O251" i="31"/>
  <c r="AA251" i="31"/>
  <c r="AY251" i="31"/>
  <c r="AM251" i="31"/>
  <c r="AG251" i="31"/>
  <c r="U251" i="31"/>
  <c r="AS251" i="31"/>
  <c r="BE251" i="31"/>
  <c r="BK251" i="31"/>
  <c r="BW251" i="31"/>
  <c r="I251" i="31"/>
  <c r="BL166" i="31"/>
  <c r="AT166" i="31"/>
  <c r="AB166" i="31"/>
  <c r="AN166" i="31"/>
  <c r="BR166" i="31"/>
  <c r="J166" i="31"/>
  <c r="AZ166" i="31"/>
  <c r="BF166" i="31"/>
  <c r="AH166" i="31"/>
  <c r="V166" i="31"/>
  <c r="BX166" i="31"/>
  <c r="P166" i="31"/>
  <c r="O166" i="31"/>
  <c r="BQ166" i="31"/>
  <c r="AM166" i="31"/>
  <c r="AY166" i="31"/>
  <c r="AA166" i="31"/>
  <c r="U166" i="31"/>
  <c r="AG166" i="31"/>
  <c r="BE166" i="31"/>
  <c r="BK166" i="31"/>
  <c r="AS166" i="31"/>
  <c r="BW166" i="31"/>
  <c r="I166" i="31"/>
  <c r="AH291" i="31"/>
  <c r="P291" i="31"/>
  <c r="BF291" i="31"/>
  <c r="AT291" i="31"/>
  <c r="V291" i="31"/>
  <c r="BL291" i="31"/>
  <c r="BR291" i="31"/>
  <c r="J291" i="31"/>
  <c r="BX291" i="31"/>
  <c r="AN291" i="31"/>
  <c r="AB291" i="31"/>
  <c r="AZ291" i="31"/>
  <c r="AY291" i="31"/>
  <c r="BQ291" i="31"/>
  <c r="AA291" i="31"/>
  <c r="AM291" i="31"/>
  <c r="U291" i="31"/>
  <c r="O291" i="31"/>
  <c r="AG291" i="31"/>
  <c r="AS291" i="31"/>
  <c r="BE291" i="31"/>
  <c r="BK291" i="31"/>
  <c r="BW291" i="31"/>
  <c r="I291" i="31"/>
  <c r="AB237" i="31"/>
  <c r="AH237" i="31"/>
  <c r="BX237" i="31"/>
  <c r="BR237" i="31"/>
  <c r="AT237" i="31"/>
  <c r="P237" i="31"/>
  <c r="V237" i="31"/>
  <c r="BL237" i="31"/>
  <c r="AN237" i="31"/>
  <c r="BF237" i="31"/>
  <c r="AZ237" i="31"/>
  <c r="J237" i="31"/>
  <c r="AY237" i="31"/>
  <c r="O237" i="31"/>
  <c r="AA237" i="31"/>
  <c r="AM237" i="31"/>
  <c r="BQ237" i="31"/>
  <c r="U237" i="31"/>
  <c r="AG237" i="31"/>
  <c r="AS237" i="31"/>
  <c r="BE237" i="31"/>
  <c r="BK237" i="31"/>
  <c r="BW237" i="31"/>
  <c r="I237" i="31"/>
  <c r="AH290" i="31"/>
  <c r="BL290" i="31"/>
  <c r="V290" i="31"/>
  <c r="J290" i="31"/>
  <c r="P290" i="31"/>
  <c r="BX290" i="31"/>
  <c r="AB290" i="31"/>
  <c r="AT290" i="31"/>
  <c r="AN290" i="31"/>
  <c r="BR290" i="31"/>
  <c r="BF290" i="31"/>
  <c r="AZ290" i="31"/>
  <c r="AY290" i="31"/>
  <c r="BQ290" i="31"/>
  <c r="AM290" i="31"/>
  <c r="AA290" i="31"/>
  <c r="O290" i="31"/>
  <c r="AG290" i="31"/>
  <c r="U290" i="31"/>
  <c r="AS290" i="31"/>
  <c r="BK290" i="31"/>
  <c r="BE290" i="31"/>
  <c r="BW290" i="31"/>
  <c r="I290" i="31"/>
  <c r="BF147" i="31"/>
  <c r="AT147" i="31"/>
  <c r="P147" i="31"/>
  <c r="BX147" i="31"/>
  <c r="BR147" i="31"/>
  <c r="BL147" i="31"/>
  <c r="AN147" i="31"/>
  <c r="J147" i="31"/>
  <c r="AB147" i="31"/>
  <c r="AZ147" i="31"/>
  <c r="AH147" i="31"/>
  <c r="V147" i="31"/>
  <c r="O147" i="31"/>
  <c r="AY147" i="31"/>
  <c r="BQ147" i="31"/>
  <c r="AM147" i="31"/>
  <c r="AA147" i="31"/>
  <c r="AG147" i="31"/>
  <c r="U147" i="31"/>
  <c r="BE147" i="31"/>
  <c r="AS147" i="31"/>
  <c r="BK147" i="31"/>
  <c r="BW147" i="31"/>
  <c r="I147" i="31"/>
  <c r="BF30" i="31"/>
  <c r="AN30" i="31"/>
  <c r="AZ30" i="31"/>
  <c r="BR30" i="31"/>
  <c r="AB30" i="31"/>
  <c r="P30" i="31"/>
  <c r="AH30" i="31"/>
  <c r="AT30" i="31"/>
  <c r="BX30" i="31"/>
  <c r="J30" i="31"/>
  <c r="BL30" i="31"/>
  <c r="AM30" i="31"/>
  <c r="V30" i="31"/>
  <c r="BQ30" i="31"/>
  <c r="O30" i="31"/>
  <c r="AY30" i="31"/>
  <c r="AA30" i="31"/>
  <c r="U30" i="31"/>
  <c r="AG30" i="31"/>
  <c r="BE30" i="31"/>
  <c r="AS30" i="31"/>
  <c r="BK30" i="31"/>
  <c r="BW30" i="31"/>
  <c r="I30" i="31"/>
  <c r="AT128" i="31"/>
  <c r="P128" i="31"/>
  <c r="BR128" i="31"/>
  <c r="BL128" i="31"/>
  <c r="AZ128" i="31"/>
  <c r="J128" i="31"/>
  <c r="AN128" i="31"/>
  <c r="AH128" i="31"/>
  <c r="BF128" i="31"/>
  <c r="V128" i="31"/>
  <c r="AB128" i="31"/>
  <c r="BX128" i="31"/>
  <c r="AY128" i="31"/>
  <c r="BQ128" i="31"/>
  <c r="AM128" i="31"/>
  <c r="AA128" i="31"/>
  <c r="U128" i="31"/>
  <c r="O128" i="31"/>
  <c r="AG128" i="31"/>
  <c r="AS128" i="31"/>
  <c r="BE128" i="31"/>
  <c r="BK128" i="31"/>
  <c r="BW128" i="31"/>
  <c r="I128" i="31"/>
  <c r="P85" i="31"/>
  <c r="BL85" i="31"/>
  <c r="V85" i="31"/>
  <c r="AH85" i="31"/>
  <c r="J85" i="31"/>
  <c r="AZ85" i="31"/>
  <c r="AB85" i="31"/>
  <c r="AT85" i="31"/>
  <c r="BX85" i="31"/>
  <c r="AN85" i="31"/>
  <c r="BR85" i="31"/>
  <c r="BF85" i="31"/>
  <c r="AY85" i="31"/>
  <c r="AM85" i="31"/>
  <c r="BQ85" i="31"/>
  <c r="O85" i="31"/>
  <c r="AA85" i="31"/>
  <c r="U85" i="31"/>
  <c r="AG85" i="31"/>
  <c r="AS85" i="31"/>
  <c r="BE85" i="31"/>
  <c r="BK85" i="31"/>
  <c r="BW85" i="31"/>
  <c r="I85" i="31"/>
  <c r="V130" i="31"/>
  <c r="AH130" i="31"/>
  <c r="BF130" i="31"/>
  <c r="P130" i="31"/>
  <c r="AZ130" i="31"/>
  <c r="AB130" i="31"/>
  <c r="AT130" i="31"/>
  <c r="BL130" i="31"/>
  <c r="J130" i="31"/>
  <c r="BR130" i="31"/>
  <c r="AN130" i="31"/>
  <c r="BX130" i="31"/>
  <c r="BQ130" i="31"/>
  <c r="AA130" i="31"/>
  <c r="AM130" i="31"/>
  <c r="AY130" i="31"/>
  <c r="U130" i="31"/>
  <c r="O130" i="31"/>
  <c r="BE130" i="31"/>
  <c r="AG130" i="31"/>
  <c r="BK130" i="31"/>
  <c r="BW130" i="31"/>
  <c r="I130" i="31"/>
  <c r="AS130" i="31"/>
  <c r="V258" i="31"/>
  <c r="BR258" i="31"/>
  <c r="BF258" i="31"/>
  <c r="AN258" i="31"/>
  <c r="AB258" i="31"/>
  <c r="BL258" i="31"/>
  <c r="J258" i="31"/>
  <c r="P258" i="31"/>
  <c r="AZ258" i="31"/>
  <c r="BX258" i="31"/>
  <c r="AH258" i="31"/>
  <c r="AT258" i="31"/>
  <c r="AY258" i="31"/>
  <c r="AA258" i="31"/>
  <c r="AM258" i="31"/>
  <c r="BQ258" i="31"/>
  <c r="O258" i="31"/>
  <c r="U258" i="31"/>
  <c r="AG258" i="31"/>
  <c r="AS258" i="31"/>
  <c r="BE258" i="31"/>
  <c r="BK258" i="31"/>
  <c r="BW258" i="31"/>
  <c r="I258" i="31"/>
  <c r="J196" i="31"/>
  <c r="AN196" i="31"/>
  <c r="BF196" i="31"/>
  <c r="AT196" i="31"/>
  <c r="BR196" i="31"/>
  <c r="AB196" i="31"/>
  <c r="BL196" i="31"/>
  <c r="AZ196" i="31"/>
  <c r="BX196" i="31"/>
  <c r="P196" i="31"/>
  <c r="AH196" i="31"/>
  <c r="V196" i="31"/>
  <c r="O196" i="31"/>
  <c r="AM196" i="31"/>
  <c r="BQ196" i="31"/>
  <c r="AA196" i="31"/>
  <c r="AY196" i="31"/>
  <c r="U196" i="31"/>
  <c r="AG196" i="31"/>
  <c r="AS196" i="31"/>
  <c r="BE196" i="31"/>
  <c r="I196" i="31"/>
  <c r="BW196" i="31"/>
  <c r="BK196" i="31"/>
  <c r="J294" i="31"/>
  <c r="P294" i="31"/>
  <c r="BL294" i="31"/>
  <c r="AZ294" i="31"/>
  <c r="BR294" i="31"/>
  <c r="AT294" i="31"/>
  <c r="AN294" i="31"/>
  <c r="BF294" i="31"/>
  <c r="AH294" i="31"/>
  <c r="BX294" i="31"/>
  <c r="AB294" i="31"/>
  <c r="V294" i="31"/>
  <c r="AA294" i="31"/>
  <c r="AM294" i="31"/>
  <c r="AY294" i="31"/>
  <c r="BQ294" i="31"/>
  <c r="O294" i="31"/>
  <c r="U294" i="31"/>
  <c r="AG294" i="31"/>
  <c r="BE294" i="31"/>
  <c r="AS294" i="31"/>
  <c r="BK294" i="31"/>
  <c r="BW294" i="31"/>
  <c r="I294" i="31"/>
  <c r="AZ197" i="31"/>
  <c r="J197" i="31"/>
  <c r="AN197" i="31"/>
  <c r="V197" i="31"/>
  <c r="P197" i="31"/>
  <c r="AB197" i="31"/>
  <c r="BF197" i="31"/>
  <c r="AT197" i="31"/>
  <c r="BX197" i="31"/>
  <c r="AH197" i="31"/>
  <c r="BL197" i="31"/>
  <c r="AA197" i="31"/>
  <c r="BR197" i="31"/>
  <c r="BQ197" i="31"/>
  <c r="AM197" i="31"/>
  <c r="AY197" i="31"/>
  <c r="U197" i="31"/>
  <c r="O197" i="31"/>
  <c r="AG197" i="31"/>
  <c r="AS197" i="31"/>
  <c r="BE197" i="31"/>
  <c r="BK197" i="31"/>
  <c r="BW197" i="31"/>
  <c r="I197" i="31"/>
  <c r="AZ230" i="31"/>
  <c r="AT230" i="31"/>
  <c r="AN230" i="31"/>
  <c r="AH230" i="31"/>
  <c r="J230" i="31"/>
  <c r="P230" i="31"/>
  <c r="V230" i="31"/>
  <c r="AB230" i="31"/>
  <c r="BF230" i="31"/>
  <c r="BR230" i="31"/>
  <c r="BX230" i="31"/>
  <c r="BL230" i="31"/>
  <c r="AA230" i="31"/>
  <c r="BQ230" i="31"/>
  <c r="AY230" i="31"/>
  <c r="AM230" i="31"/>
  <c r="U230" i="31"/>
  <c r="O230" i="31"/>
  <c r="BE230" i="31"/>
  <c r="AS230" i="31"/>
  <c r="AG230" i="31"/>
  <c r="BK230" i="31"/>
  <c r="BW230" i="31"/>
  <c r="I230" i="31"/>
  <c r="H4" i="31"/>
  <c r="AN7" i="31"/>
  <c r="AT7" i="31"/>
  <c r="P7" i="31"/>
  <c r="BR7" i="31"/>
  <c r="AZ7" i="31"/>
  <c r="BL7" i="31"/>
  <c r="AH7" i="31"/>
  <c r="V7" i="31"/>
  <c r="BF7" i="31"/>
  <c r="AB7" i="31"/>
  <c r="J7" i="31"/>
  <c r="BX7" i="31"/>
  <c r="AG7" i="31"/>
  <c r="O7" i="31"/>
  <c r="AS7" i="31"/>
  <c r="BW7" i="31"/>
  <c r="I7" i="31"/>
  <c r="AY7" i="31"/>
  <c r="BK7" i="31"/>
  <c r="U7" i="31"/>
  <c r="AA7" i="31"/>
  <c r="BQ7" i="31"/>
  <c r="AM7" i="31"/>
  <c r="BE7" i="31"/>
  <c r="AT178" i="31"/>
  <c r="V178" i="31"/>
  <c r="BL178" i="31"/>
  <c r="BR178" i="31"/>
  <c r="BF178" i="31"/>
  <c r="AB178" i="31"/>
  <c r="J178" i="31"/>
  <c r="AH178" i="31"/>
  <c r="AN178" i="31"/>
  <c r="BX178" i="31"/>
  <c r="AZ178" i="31"/>
  <c r="P178" i="31"/>
  <c r="O178" i="31"/>
  <c r="AA178" i="31"/>
  <c r="BQ178" i="31"/>
  <c r="AM178" i="31"/>
  <c r="AY178" i="31"/>
  <c r="U178" i="31"/>
  <c r="AG178" i="31"/>
  <c r="BE178" i="31"/>
  <c r="AS178" i="31"/>
  <c r="BK178" i="31"/>
  <c r="BW178" i="31"/>
  <c r="I178" i="31"/>
  <c r="AZ342" i="31"/>
  <c r="BR342" i="31"/>
  <c r="BX342" i="31"/>
  <c r="AN342" i="31"/>
  <c r="AB342" i="31"/>
  <c r="P342" i="31"/>
  <c r="J342" i="31"/>
  <c r="AH342" i="31"/>
  <c r="AT342" i="31"/>
  <c r="V342" i="31"/>
  <c r="BF342" i="31"/>
  <c r="BL342" i="31"/>
  <c r="O342" i="31"/>
  <c r="AM342" i="31"/>
  <c r="AY342" i="31"/>
  <c r="BQ342" i="31"/>
  <c r="AA342" i="31"/>
  <c r="AG342" i="31"/>
  <c r="U342" i="31"/>
  <c r="BE342" i="31"/>
  <c r="AS342" i="31"/>
  <c r="BK342" i="31"/>
  <c r="BW342" i="31"/>
  <c r="I342" i="31"/>
  <c r="BL34" i="31"/>
  <c r="AB34" i="31"/>
  <c r="BR34" i="31"/>
  <c r="V34" i="31"/>
  <c r="P34" i="31"/>
  <c r="AZ34" i="31"/>
  <c r="AT34" i="31"/>
  <c r="J34" i="31"/>
  <c r="BX34" i="31"/>
  <c r="AH34" i="31"/>
  <c r="AN34" i="31"/>
  <c r="BF34" i="31"/>
  <c r="O34" i="31"/>
  <c r="AY34" i="31"/>
  <c r="AA34" i="31"/>
  <c r="BQ34" i="31"/>
  <c r="AM34" i="31"/>
  <c r="U34" i="31"/>
  <c r="AG34" i="31"/>
  <c r="AS34" i="31"/>
  <c r="BE34" i="31"/>
  <c r="BK34" i="31"/>
  <c r="BW34" i="31"/>
  <c r="I34" i="31"/>
  <c r="J308" i="31"/>
  <c r="AN308" i="31"/>
  <c r="P308" i="31"/>
  <c r="AB308" i="31"/>
  <c r="AH308" i="31"/>
  <c r="AT308" i="31"/>
  <c r="BF308" i="31"/>
  <c r="V308" i="31"/>
  <c r="BL308" i="31"/>
  <c r="BX308" i="31"/>
  <c r="AZ308" i="31"/>
  <c r="BR308" i="31"/>
  <c r="BQ308" i="31"/>
  <c r="AA308" i="31"/>
  <c r="AM308" i="31"/>
  <c r="AY308" i="31"/>
  <c r="O308" i="31"/>
  <c r="U308" i="31"/>
  <c r="AG308" i="31"/>
  <c r="AS308" i="31"/>
  <c r="BE308" i="31"/>
  <c r="BK308" i="31"/>
  <c r="BW308" i="31"/>
  <c r="I308" i="31"/>
  <c r="P300" i="31"/>
  <c r="V300" i="31"/>
  <c r="AH300" i="31"/>
  <c r="BL300" i="31"/>
  <c r="AB300" i="31"/>
  <c r="BR300" i="31"/>
  <c r="AT300" i="31"/>
  <c r="BF300" i="31"/>
  <c r="J300" i="31"/>
  <c r="AN300" i="31"/>
  <c r="AZ300" i="31"/>
  <c r="BX300" i="31"/>
  <c r="AY300" i="31"/>
  <c r="AM300" i="31"/>
  <c r="BQ300" i="31"/>
  <c r="O300" i="31"/>
  <c r="AA300" i="31"/>
  <c r="BE300" i="31"/>
  <c r="U300" i="31"/>
  <c r="AG300" i="31"/>
  <c r="BK300" i="31"/>
  <c r="AS300" i="31"/>
  <c r="BW300" i="31"/>
  <c r="I300" i="31"/>
  <c r="AH125" i="31"/>
  <c r="V125" i="31"/>
  <c r="AZ125" i="31"/>
  <c r="AT125" i="31"/>
  <c r="AB125" i="31"/>
  <c r="BX125" i="31"/>
  <c r="BR125" i="31"/>
  <c r="BL125" i="31"/>
  <c r="BF125" i="31"/>
  <c r="AN125" i="31"/>
  <c r="P125" i="31"/>
  <c r="J125" i="31"/>
  <c r="AM125" i="31"/>
  <c r="BQ125" i="31"/>
  <c r="AA125" i="31"/>
  <c r="AY125" i="31"/>
  <c r="U125" i="31"/>
  <c r="O125" i="31"/>
  <c r="AG125" i="31"/>
  <c r="BE125" i="31"/>
  <c r="AS125" i="31"/>
  <c r="BK125" i="31"/>
  <c r="BW125" i="31"/>
  <c r="I125" i="31"/>
  <c r="AZ314" i="31"/>
  <c r="BF314" i="31"/>
  <c r="AN314" i="31"/>
  <c r="BX314" i="31"/>
  <c r="AT314" i="31"/>
  <c r="BR314" i="31"/>
  <c r="V314" i="31"/>
  <c r="AB314" i="31"/>
  <c r="J314" i="31"/>
  <c r="AH314" i="31"/>
  <c r="P314" i="31"/>
  <c r="BL314" i="31"/>
  <c r="AY314" i="31"/>
  <c r="AA314" i="31"/>
  <c r="BQ314" i="31"/>
  <c r="O314" i="31"/>
  <c r="AM314" i="31"/>
  <c r="U314" i="31"/>
  <c r="AG314" i="31"/>
  <c r="AS314" i="31"/>
  <c r="BE314" i="31"/>
  <c r="BK314" i="31"/>
  <c r="BW314" i="31"/>
  <c r="I314" i="31"/>
  <c r="AT200" i="31"/>
  <c r="BR200" i="31"/>
  <c r="BL200" i="31"/>
  <c r="AB200" i="31"/>
  <c r="AH200" i="31"/>
  <c r="AZ200" i="31"/>
  <c r="J200" i="31"/>
  <c r="AN200" i="31"/>
  <c r="P200" i="31"/>
  <c r="V200" i="31"/>
  <c r="BF200" i="31"/>
  <c r="BX200" i="31"/>
  <c r="AY200" i="31"/>
  <c r="AA200" i="31"/>
  <c r="AM200" i="31"/>
  <c r="BQ200" i="31"/>
  <c r="O200" i="31"/>
  <c r="AG200" i="31"/>
  <c r="AS200" i="31"/>
  <c r="U200" i="31"/>
  <c r="BK200" i="31"/>
  <c r="BE200" i="31"/>
  <c r="I200" i="31"/>
  <c r="BW200" i="31"/>
  <c r="BR17" i="31"/>
  <c r="AZ17" i="31"/>
  <c r="P17" i="31"/>
  <c r="J17" i="31"/>
  <c r="BF17" i="31"/>
  <c r="AH17" i="31"/>
  <c r="AN17" i="31"/>
  <c r="V17" i="31"/>
  <c r="BX17" i="31"/>
  <c r="AB17" i="31"/>
  <c r="BL17" i="31"/>
  <c r="O17" i="31"/>
  <c r="AT17" i="31"/>
  <c r="AY17" i="31"/>
  <c r="BQ17" i="31"/>
  <c r="AA17" i="31"/>
  <c r="AM17" i="31"/>
  <c r="U17" i="31"/>
  <c r="AG17" i="31"/>
  <c r="BE17" i="31"/>
  <c r="AS17" i="31"/>
  <c r="BK17" i="31"/>
  <c r="BW17" i="31"/>
  <c r="I17" i="31"/>
  <c r="J74" i="31"/>
  <c r="AH74" i="31"/>
  <c r="BX74" i="31"/>
  <c r="AN74" i="31"/>
  <c r="AT74" i="31"/>
  <c r="V74" i="31"/>
  <c r="BL74" i="31"/>
  <c r="BF74" i="31"/>
  <c r="AB74" i="31"/>
  <c r="AZ74" i="31"/>
  <c r="BR74" i="31"/>
  <c r="P74" i="31"/>
  <c r="O74" i="31"/>
  <c r="AA74" i="31"/>
  <c r="BQ74" i="31"/>
  <c r="AM74" i="31"/>
  <c r="AY74" i="31"/>
  <c r="AG74" i="31"/>
  <c r="AS74" i="31"/>
  <c r="BE74" i="31"/>
  <c r="U74" i="31"/>
  <c r="BK74" i="31"/>
  <c r="BW74" i="31"/>
  <c r="I74" i="31"/>
  <c r="V89" i="31"/>
  <c r="BF89" i="31"/>
  <c r="BX89" i="31"/>
  <c r="P89" i="31"/>
  <c r="AZ89" i="31"/>
  <c r="BR89" i="31"/>
  <c r="AT89" i="31"/>
  <c r="AB89" i="31"/>
  <c r="AH89" i="31"/>
  <c r="BL89" i="31"/>
  <c r="J89" i="31"/>
  <c r="AN89" i="31"/>
  <c r="AY89" i="31"/>
  <c r="AA89" i="31"/>
  <c r="BQ89" i="31"/>
  <c r="AM89" i="31"/>
  <c r="O89" i="31"/>
  <c r="AS89" i="31"/>
  <c r="AG89" i="31"/>
  <c r="U89" i="31"/>
  <c r="BE89" i="31"/>
  <c r="BK89" i="31"/>
  <c r="BW89" i="31"/>
  <c r="I89" i="31"/>
  <c r="AB140" i="31"/>
  <c r="AT140" i="31"/>
  <c r="BL140" i="31"/>
  <c r="AZ140" i="31"/>
  <c r="AH140" i="31"/>
  <c r="P140" i="31"/>
  <c r="BX140" i="31"/>
  <c r="BR140" i="31"/>
  <c r="V140" i="31"/>
  <c r="AN140" i="31"/>
  <c r="J140" i="31"/>
  <c r="BF140" i="31"/>
  <c r="AA140" i="31"/>
  <c r="AM140" i="31"/>
  <c r="AY140" i="31"/>
  <c r="BQ140" i="31"/>
  <c r="O140" i="31"/>
  <c r="AG140" i="31"/>
  <c r="U140" i="31"/>
  <c r="BE140" i="31"/>
  <c r="AS140" i="31"/>
  <c r="BK140" i="31"/>
  <c r="BW140" i="31"/>
  <c r="I140" i="31"/>
  <c r="J213" i="31"/>
  <c r="AT213" i="31"/>
  <c r="AH213" i="31"/>
  <c r="BR213" i="31"/>
  <c r="AB213" i="31"/>
  <c r="AZ213" i="31"/>
  <c r="BX213" i="31"/>
  <c r="P213" i="31"/>
  <c r="V213" i="31"/>
  <c r="BL213" i="31"/>
  <c r="AM213" i="31"/>
  <c r="AN213" i="31"/>
  <c r="AA213" i="31"/>
  <c r="BF213" i="31"/>
  <c r="AY213" i="31"/>
  <c r="BQ213" i="31"/>
  <c r="U213" i="31"/>
  <c r="O213" i="31"/>
  <c r="AG213" i="31"/>
  <c r="AS213" i="31"/>
  <c r="BE213" i="31"/>
  <c r="BK213" i="31"/>
  <c r="BW213" i="31"/>
  <c r="I213" i="31"/>
  <c r="AT86" i="31"/>
  <c r="BF86" i="31"/>
  <c r="P86" i="31"/>
  <c r="AN86" i="31"/>
  <c r="AB86" i="31"/>
  <c r="BR86" i="31"/>
  <c r="AZ86" i="31"/>
  <c r="BL86" i="31"/>
  <c r="J86" i="31"/>
  <c r="AH86" i="31"/>
  <c r="V86" i="31"/>
  <c r="BX86" i="31"/>
  <c r="AA86" i="31"/>
  <c r="AY86" i="31"/>
  <c r="BQ86" i="31"/>
  <c r="O86" i="31"/>
  <c r="AM86" i="31"/>
  <c r="U86" i="31"/>
  <c r="AG86" i="31"/>
  <c r="AS86" i="31"/>
  <c r="BE86" i="31"/>
  <c r="BW86" i="31"/>
  <c r="BK86" i="31"/>
  <c r="I86" i="31"/>
  <c r="BF139" i="31"/>
  <c r="P139" i="31"/>
  <c r="AH139" i="31"/>
  <c r="BX139" i="31"/>
  <c r="BR139" i="31"/>
  <c r="AT139" i="31"/>
  <c r="BL139" i="31"/>
  <c r="AZ139" i="31"/>
  <c r="V139" i="31"/>
  <c r="AN139" i="31"/>
  <c r="J139" i="31"/>
  <c r="AB139" i="31"/>
  <c r="O139" i="31"/>
  <c r="AA139" i="31"/>
  <c r="BQ139" i="31"/>
  <c r="AY139" i="31"/>
  <c r="AM139" i="31"/>
  <c r="U139" i="31"/>
  <c r="AG139" i="31"/>
  <c r="AS139" i="31"/>
  <c r="BE139" i="31"/>
  <c r="BK139" i="31"/>
  <c r="I139" i="31"/>
  <c r="BW139" i="31"/>
  <c r="AB126" i="31"/>
  <c r="J126" i="31"/>
  <c r="V126" i="31"/>
  <c r="BL126" i="31"/>
  <c r="AZ126" i="31"/>
  <c r="AH126" i="31"/>
  <c r="AN126" i="31"/>
  <c r="P126" i="31"/>
  <c r="BF126" i="31"/>
  <c r="BX126" i="31"/>
  <c r="AA126" i="31"/>
  <c r="BR126" i="31"/>
  <c r="AT126" i="31"/>
  <c r="AY126" i="31"/>
  <c r="O126" i="31"/>
  <c r="AM126" i="31"/>
  <c r="BQ126" i="31"/>
  <c r="U126" i="31"/>
  <c r="AS126" i="31"/>
  <c r="AG126" i="31"/>
  <c r="BE126" i="31"/>
  <c r="BW126" i="31"/>
  <c r="BK126" i="31"/>
  <c r="I126" i="31"/>
  <c r="AZ158" i="31"/>
  <c r="P158" i="31"/>
  <c r="AB158" i="31"/>
  <c r="J158" i="31"/>
  <c r="AH158" i="31"/>
  <c r="BF158" i="31"/>
  <c r="BL158" i="31"/>
  <c r="AN158" i="31"/>
  <c r="V158" i="31"/>
  <c r="BR158" i="31"/>
  <c r="AT158" i="31"/>
  <c r="BX158" i="31"/>
  <c r="BQ158" i="31"/>
  <c r="AM158" i="31"/>
  <c r="AA158" i="31"/>
  <c r="AY158" i="31"/>
  <c r="U158" i="31"/>
  <c r="O158" i="31"/>
  <c r="AG158" i="31"/>
  <c r="AS158" i="31"/>
  <c r="BK158" i="31"/>
  <c r="BE158" i="31"/>
  <c r="BW158" i="31"/>
  <c r="I158" i="31"/>
  <c r="AH160" i="31"/>
  <c r="AZ160" i="31"/>
  <c r="AB160" i="31"/>
  <c r="BL160" i="31"/>
  <c r="AT160" i="31"/>
  <c r="BR160" i="31"/>
  <c r="P160" i="31"/>
  <c r="BF160" i="31"/>
  <c r="V160" i="31"/>
  <c r="AN160" i="31"/>
  <c r="J160" i="31"/>
  <c r="BX160" i="31"/>
  <c r="O160" i="31"/>
  <c r="AY160" i="31"/>
  <c r="AA160" i="31"/>
  <c r="AM160" i="31"/>
  <c r="BQ160" i="31"/>
  <c r="U160" i="31"/>
  <c r="AG160" i="31"/>
  <c r="AS160" i="31"/>
  <c r="BK160" i="31"/>
  <c r="BE160" i="31"/>
  <c r="I160" i="31"/>
  <c r="BW160" i="31"/>
  <c r="AH47" i="31"/>
  <c r="BX47" i="31"/>
  <c r="AZ47" i="31"/>
  <c r="V47" i="31"/>
  <c r="BL47" i="31"/>
  <c r="BF47" i="31"/>
  <c r="J47" i="31"/>
  <c r="P47" i="31"/>
  <c r="AB47" i="31"/>
  <c r="BR47" i="31"/>
  <c r="AN47" i="31"/>
  <c r="AT47" i="31"/>
  <c r="AM47" i="31"/>
  <c r="AY47" i="31"/>
  <c r="BQ47" i="31"/>
  <c r="O47" i="31"/>
  <c r="AA47" i="31"/>
  <c r="U47" i="31"/>
  <c r="AG47" i="31"/>
  <c r="AS47" i="31"/>
  <c r="BE47" i="31"/>
  <c r="BK47" i="31"/>
  <c r="I47" i="31"/>
  <c r="BW47" i="31"/>
  <c r="BR289" i="31"/>
  <c r="AH289" i="31"/>
  <c r="AT289" i="31"/>
  <c r="AZ289" i="31"/>
  <c r="P289" i="31"/>
  <c r="AN289" i="31"/>
  <c r="V289" i="31"/>
  <c r="BF289" i="31"/>
  <c r="BL289" i="31"/>
  <c r="AB289" i="31"/>
  <c r="J289" i="31"/>
  <c r="BX289" i="31"/>
  <c r="AY289" i="31"/>
  <c r="AA289" i="31"/>
  <c r="O289" i="31"/>
  <c r="BQ289" i="31"/>
  <c r="AM289" i="31"/>
  <c r="U289" i="31"/>
  <c r="BE289" i="31"/>
  <c r="AG289" i="31"/>
  <c r="AS289" i="31"/>
  <c r="BK289" i="31"/>
  <c r="BW289" i="31"/>
  <c r="I289" i="31"/>
  <c r="BL349" i="31"/>
  <c r="AZ349" i="31"/>
  <c r="AB349" i="31"/>
  <c r="J349" i="31"/>
  <c r="AT349" i="31"/>
  <c r="BF349" i="31"/>
  <c r="BR349" i="31"/>
  <c r="P349" i="31"/>
  <c r="BX349" i="31"/>
  <c r="AN349" i="31"/>
  <c r="AH349" i="31"/>
  <c r="V349" i="31"/>
  <c r="BQ349" i="31"/>
  <c r="AA349" i="31"/>
  <c r="AY349" i="31"/>
  <c r="AM349" i="31"/>
  <c r="O349" i="31"/>
  <c r="U349" i="31"/>
  <c r="AS349" i="31"/>
  <c r="BE349" i="31"/>
  <c r="AG349" i="31"/>
  <c r="BK349" i="31"/>
  <c r="BW349" i="31"/>
  <c r="I349" i="31"/>
  <c r="AN94" i="31"/>
  <c r="P94" i="31"/>
  <c r="BL94" i="31"/>
  <c r="BF94" i="31"/>
  <c r="BX94" i="31"/>
  <c r="AH94" i="31"/>
  <c r="BR94" i="31"/>
  <c r="AZ94" i="31"/>
  <c r="V94" i="31"/>
  <c r="AB94" i="31"/>
  <c r="AT94" i="31"/>
  <c r="J94" i="31"/>
  <c r="O94" i="31"/>
  <c r="AY94" i="31"/>
  <c r="BQ94" i="31"/>
  <c r="AA94" i="31"/>
  <c r="AM94" i="31"/>
  <c r="U94" i="31"/>
  <c r="AG94" i="31"/>
  <c r="BE94" i="31"/>
  <c r="BK94" i="31"/>
  <c r="AS94" i="31"/>
  <c r="BW94" i="31"/>
  <c r="I94" i="31"/>
  <c r="V303" i="31"/>
  <c r="BF303" i="31"/>
  <c r="BL303" i="31"/>
  <c r="J303" i="31"/>
  <c r="AN303" i="31"/>
  <c r="P303" i="31"/>
  <c r="AT303" i="31"/>
  <c r="AB303" i="31"/>
  <c r="BR303" i="31"/>
  <c r="AH303" i="31"/>
  <c r="AZ303" i="31"/>
  <c r="BX303" i="31"/>
  <c r="AA303" i="31"/>
  <c r="O303" i="31"/>
  <c r="AY303" i="31"/>
  <c r="AM303" i="31"/>
  <c r="BQ303" i="31"/>
  <c r="U303" i="31"/>
  <c r="AG303" i="31"/>
  <c r="AS303" i="31"/>
  <c r="BE303" i="31"/>
  <c r="BW303" i="31"/>
  <c r="BK303" i="31"/>
  <c r="I303" i="31"/>
  <c r="V123" i="31"/>
  <c r="AT123" i="31"/>
  <c r="BR123" i="31"/>
  <c r="AZ123" i="31"/>
  <c r="AB123" i="31"/>
  <c r="P123" i="31"/>
  <c r="J123" i="31"/>
  <c r="BL123" i="31"/>
  <c r="BX123" i="31"/>
  <c r="AN123" i="31"/>
  <c r="AH123" i="31"/>
  <c r="BF123" i="31"/>
  <c r="O123" i="31"/>
  <c r="AY123" i="31"/>
  <c r="AA123" i="31"/>
  <c r="BQ123" i="31"/>
  <c r="AG123" i="31"/>
  <c r="U123" i="31"/>
  <c r="AM123" i="31"/>
  <c r="AS123" i="31"/>
  <c r="BK123" i="31"/>
  <c r="BE123" i="31"/>
  <c r="BW123" i="31"/>
  <c r="I123" i="31"/>
  <c r="P198" i="31"/>
  <c r="J198" i="31"/>
  <c r="BX198" i="31"/>
  <c r="AN198" i="31"/>
  <c r="AB198" i="31"/>
  <c r="AZ198" i="31"/>
  <c r="AT198" i="31"/>
  <c r="BR198" i="31"/>
  <c r="V198" i="31"/>
  <c r="BL198" i="31"/>
  <c r="AH198" i="31"/>
  <c r="BF198" i="31"/>
  <c r="O198" i="31"/>
  <c r="AY198" i="31"/>
  <c r="AM198" i="31"/>
  <c r="BQ198" i="31"/>
  <c r="AA198" i="31"/>
  <c r="U198" i="31"/>
  <c r="AG198" i="31"/>
  <c r="BE198" i="31"/>
  <c r="AS198" i="31"/>
  <c r="BK198" i="31"/>
  <c r="BW198" i="31"/>
  <c r="I198" i="31"/>
  <c r="AH176" i="31"/>
  <c r="BR176" i="31"/>
  <c r="J176" i="31"/>
  <c r="V176" i="31"/>
  <c r="AN176" i="31"/>
  <c r="BF176" i="31"/>
  <c r="BX176" i="31"/>
  <c r="P176" i="31"/>
  <c r="BL176" i="31"/>
  <c r="AB176" i="31"/>
  <c r="AZ176" i="31"/>
  <c r="AT176" i="31"/>
  <c r="BQ176" i="31"/>
  <c r="AM176" i="31"/>
  <c r="O176" i="31"/>
  <c r="AY176" i="31"/>
  <c r="AA176" i="31"/>
  <c r="U176" i="31"/>
  <c r="AG176" i="31"/>
  <c r="BE176" i="31"/>
  <c r="AS176" i="31"/>
  <c r="BW176" i="31"/>
  <c r="BK176" i="31"/>
  <c r="I176" i="31"/>
  <c r="P276" i="31"/>
  <c r="AT276" i="31"/>
  <c r="J276" i="31"/>
  <c r="BX276" i="31"/>
  <c r="AB276" i="31"/>
  <c r="BR276" i="31"/>
  <c r="V276" i="31"/>
  <c r="BF276" i="31"/>
  <c r="BL276" i="31"/>
  <c r="AZ276" i="31"/>
  <c r="AH276" i="31"/>
  <c r="AN276" i="31"/>
  <c r="AM276" i="31"/>
  <c r="BQ276" i="31"/>
  <c r="O276" i="31"/>
  <c r="AA276" i="31"/>
  <c r="AY276" i="31"/>
  <c r="U276" i="31"/>
  <c r="AG276" i="31"/>
  <c r="AS276" i="31"/>
  <c r="BE276" i="31"/>
  <c r="BK276" i="31"/>
  <c r="BW276" i="31"/>
  <c r="I276" i="31"/>
  <c r="AH175" i="31"/>
  <c r="J175" i="31"/>
  <c r="BR175" i="31"/>
  <c r="BF175" i="31"/>
  <c r="P175" i="31"/>
  <c r="AT175" i="31"/>
  <c r="AN175" i="31"/>
  <c r="V175" i="31"/>
  <c r="BX175" i="31"/>
  <c r="AB175" i="31"/>
  <c r="AZ175" i="31"/>
  <c r="BL175" i="31"/>
  <c r="AY175" i="31"/>
  <c r="AM175" i="31"/>
  <c r="AA175" i="31"/>
  <c r="BQ175" i="31"/>
  <c r="O175" i="31"/>
  <c r="U175" i="31"/>
  <c r="AG175" i="31"/>
  <c r="BE175" i="31"/>
  <c r="AS175" i="31"/>
  <c r="BK175" i="31"/>
  <c r="BW175" i="31"/>
  <c r="I175" i="31"/>
  <c r="AT322" i="31"/>
  <c r="BF322" i="31"/>
  <c r="V322" i="31"/>
  <c r="P322" i="31"/>
  <c r="AZ322" i="31"/>
  <c r="J322" i="31"/>
  <c r="BX322" i="31"/>
  <c r="AN322" i="31"/>
  <c r="AB322" i="31"/>
  <c r="AH322" i="31"/>
  <c r="BL322" i="31"/>
  <c r="BR322" i="31"/>
  <c r="O322" i="31"/>
  <c r="AY322" i="31"/>
  <c r="AA322" i="31"/>
  <c r="BQ322" i="31"/>
  <c r="AM322" i="31"/>
  <c r="AG322" i="31"/>
  <c r="U322" i="31"/>
  <c r="BE322" i="31"/>
  <c r="AS322" i="31"/>
  <c r="BK322" i="31"/>
  <c r="BW322" i="31"/>
  <c r="I322" i="31"/>
  <c r="P19" i="50"/>
  <c r="F348" i="41"/>
  <c r="AB217" i="31"/>
  <c r="V217" i="31"/>
  <c r="BX217" i="31"/>
  <c r="BR217" i="31"/>
  <c r="AN217" i="31"/>
  <c r="BL217" i="31"/>
  <c r="AT217" i="31"/>
  <c r="BF217" i="31"/>
  <c r="AZ217" i="31"/>
  <c r="P217" i="31"/>
  <c r="AH217" i="31"/>
  <c r="J217" i="31"/>
  <c r="AY217" i="31"/>
  <c r="O217" i="31"/>
  <c r="AA217" i="31"/>
  <c r="AM217" i="31"/>
  <c r="BQ217" i="31"/>
  <c r="AG217" i="31"/>
  <c r="U217" i="31"/>
  <c r="AS217" i="31"/>
  <c r="BE217" i="31"/>
  <c r="BK217" i="31"/>
  <c r="BW217" i="31"/>
  <c r="I217" i="31"/>
  <c r="J159" i="31"/>
  <c r="V159" i="31"/>
  <c r="AB159" i="31"/>
  <c r="AN159" i="31"/>
  <c r="BL159" i="31"/>
  <c r="AH159" i="31"/>
  <c r="BX159" i="31"/>
  <c r="BF159" i="31"/>
  <c r="P159" i="31"/>
  <c r="AT159" i="31"/>
  <c r="AZ159" i="31"/>
  <c r="BR159" i="31"/>
  <c r="O159" i="31"/>
  <c r="AA159" i="31"/>
  <c r="AM159" i="31"/>
  <c r="BQ159" i="31"/>
  <c r="AY159" i="31"/>
  <c r="AS159" i="31"/>
  <c r="AG159" i="31"/>
  <c r="U159" i="31"/>
  <c r="BE159" i="31"/>
  <c r="BK159" i="31"/>
  <c r="BW159" i="31"/>
  <c r="I159" i="31"/>
  <c r="P345" i="31"/>
  <c r="BR345" i="31"/>
  <c r="AZ345" i="31"/>
  <c r="BF345" i="31"/>
  <c r="AB345" i="31"/>
  <c r="V345" i="31"/>
  <c r="AN345" i="31"/>
  <c r="AT345" i="31"/>
  <c r="BL345" i="31"/>
  <c r="AH345" i="31"/>
  <c r="J345" i="31"/>
  <c r="BX345" i="31"/>
  <c r="O345" i="31"/>
  <c r="AY345" i="31"/>
  <c r="AA345" i="31"/>
  <c r="AM345" i="31"/>
  <c r="BQ345" i="31"/>
  <c r="U345" i="31"/>
  <c r="BE345" i="31"/>
  <c r="AG345" i="31"/>
  <c r="AS345" i="31"/>
  <c r="BK345" i="31"/>
  <c r="I345" i="31"/>
  <c r="BW345" i="31"/>
  <c r="AZ118" i="31"/>
  <c r="AT118" i="31"/>
  <c r="BL118" i="31"/>
  <c r="V118" i="31"/>
  <c r="AB118" i="31"/>
  <c r="AH118" i="31"/>
  <c r="BX118" i="31"/>
  <c r="AN118" i="31"/>
  <c r="P118" i="31"/>
  <c r="BR118" i="31"/>
  <c r="BF118" i="31"/>
  <c r="J118" i="31"/>
  <c r="O118" i="31"/>
  <c r="AY118" i="31"/>
  <c r="BQ118" i="31"/>
  <c r="AA118" i="31"/>
  <c r="AM118" i="31"/>
  <c r="AG118" i="31"/>
  <c r="U118" i="31"/>
  <c r="AS118" i="31"/>
  <c r="BK118" i="31"/>
  <c r="BE118" i="31"/>
  <c r="BW118" i="31"/>
  <c r="I118" i="31"/>
  <c r="AT55" i="31"/>
  <c r="BL55" i="31"/>
  <c r="AN55" i="31"/>
  <c r="BF55" i="31"/>
  <c r="AZ55" i="31"/>
  <c r="P55" i="31"/>
  <c r="V55" i="31"/>
  <c r="AH55" i="31"/>
  <c r="J55" i="31"/>
  <c r="AB55" i="31"/>
  <c r="BR55" i="31"/>
  <c r="BX55" i="31"/>
  <c r="BQ55" i="31"/>
  <c r="O55" i="31"/>
  <c r="AY55" i="31"/>
  <c r="AA55" i="31"/>
  <c r="AM55" i="31"/>
  <c r="U55" i="31"/>
  <c r="AS55" i="31"/>
  <c r="AG55" i="31"/>
  <c r="BE55" i="31"/>
  <c r="BK55" i="31"/>
  <c r="BW55" i="31"/>
  <c r="I55" i="31"/>
  <c r="P319" i="31"/>
  <c r="BR319" i="31"/>
  <c r="AZ319" i="31"/>
  <c r="AN319" i="31"/>
  <c r="BL319" i="31"/>
  <c r="AT319" i="31"/>
  <c r="V319" i="31"/>
  <c r="AB319" i="31"/>
  <c r="BX319" i="31"/>
  <c r="BF319" i="31"/>
  <c r="J319" i="31"/>
  <c r="AH319" i="31"/>
  <c r="AM319" i="31"/>
  <c r="BQ319" i="31"/>
  <c r="AA319" i="31"/>
  <c r="AY319" i="31"/>
  <c r="O319" i="31"/>
  <c r="U319" i="31"/>
  <c r="AG319" i="31"/>
  <c r="AS319" i="31"/>
  <c r="BE319" i="31"/>
  <c r="BK319" i="31"/>
  <c r="BW319" i="31"/>
  <c r="I319" i="31"/>
  <c r="P193" i="31"/>
  <c r="BR193" i="31"/>
  <c r="BX193" i="31"/>
  <c r="V193" i="31"/>
  <c r="AN193" i="31"/>
  <c r="BF193" i="31"/>
  <c r="AB193" i="31"/>
  <c r="J193" i="31"/>
  <c r="AH193" i="31"/>
  <c r="AZ193" i="31"/>
  <c r="AT193" i="31"/>
  <c r="BL193" i="31"/>
  <c r="AM193" i="31"/>
  <c r="O193" i="31"/>
  <c r="AY193" i="31"/>
  <c r="BQ193" i="31"/>
  <c r="AA193" i="31"/>
  <c r="U193" i="31"/>
  <c r="BE193" i="31"/>
  <c r="AG193" i="31"/>
  <c r="BK193" i="31"/>
  <c r="I193" i="31"/>
  <c r="BW193" i="31"/>
  <c r="AS193" i="31"/>
  <c r="AN183" i="31"/>
  <c r="P183" i="31"/>
  <c r="AT183" i="31"/>
  <c r="V183" i="31"/>
  <c r="BL183" i="31"/>
  <c r="BX183" i="31"/>
  <c r="J183" i="31"/>
  <c r="BF183" i="31"/>
  <c r="BR183" i="31"/>
  <c r="AZ183" i="31"/>
  <c r="AB183" i="31"/>
  <c r="AM183" i="31"/>
  <c r="AH183" i="31"/>
  <c r="AY183" i="31"/>
  <c r="BQ183" i="31"/>
  <c r="AA183" i="31"/>
  <c r="O183" i="31"/>
  <c r="U183" i="31"/>
  <c r="AG183" i="31"/>
  <c r="BE183" i="31"/>
  <c r="AS183" i="31"/>
  <c r="BW183" i="31"/>
  <c r="BK183" i="31"/>
  <c r="I183" i="31"/>
  <c r="BF122" i="31"/>
  <c r="AZ122" i="31"/>
  <c r="AT122" i="31"/>
  <c r="BL122" i="31"/>
  <c r="AN122" i="31"/>
  <c r="P122" i="31"/>
  <c r="V122" i="31"/>
  <c r="J122" i="31"/>
  <c r="AH122" i="31"/>
  <c r="AB122" i="31"/>
  <c r="BR122" i="31"/>
  <c r="BX122" i="31"/>
  <c r="AY122" i="31"/>
  <c r="AA122" i="31"/>
  <c r="AM122" i="31"/>
  <c r="U122" i="31"/>
  <c r="BQ122" i="31"/>
  <c r="O122" i="31"/>
  <c r="AG122" i="31"/>
  <c r="AS122" i="31"/>
  <c r="BE122" i="31"/>
  <c r="BK122" i="31"/>
  <c r="BW122" i="31"/>
  <c r="I122" i="31"/>
  <c r="P287" i="31"/>
  <c r="J287" i="31"/>
  <c r="BR287" i="31"/>
  <c r="AT287" i="31"/>
  <c r="AZ287" i="31"/>
  <c r="V287" i="31"/>
  <c r="BL287" i="31"/>
  <c r="BX287" i="31"/>
  <c r="AH287" i="31"/>
  <c r="AN287" i="31"/>
  <c r="BF287" i="31"/>
  <c r="AB287" i="31"/>
  <c r="AA287" i="31"/>
  <c r="AM287" i="31"/>
  <c r="BQ287" i="31"/>
  <c r="AY287" i="31"/>
  <c r="U287" i="31"/>
  <c r="AS287" i="31"/>
  <c r="O287" i="31"/>
  <c r="AG287" i="31"/>
  <c r="BK287" i="31"/>
  <c r="BE287" i="31"/>
  <c r="BW287" i="31"/>
  <c r="I287" i="31"/>
  <c r="BF71" i="31"/>
  <c r="AZ71" i="31"/>
  <c r="J71" i="31"/>
  <c r="AT71" i="31"/>
  <c r="BR71" i="31"/>
  <c r="AN71" i="31"/>
  <c r="BX71" i="31"/>
  <c r="BL71" i="31"/>
  <c r="V71" i="31"/>
  <c r="P71" i="31"/>
  <c r="AH71" i="31"/>
  <c r="AB71" i="31"/>
  <c r="BQ71" i="31"/>
  <c r="O71" i="31"/>
  <c r="AM71" i="31"/>
  <c r="AY71" i="31"/>
  <c r="AA71" i="31"/>
  <c r="U71" i="31"/>
  <c r="AG71" i="31"/>
  <c r="AS71" i="31"/>
  <c r="BE71" i="31"/>
  <c r="BK71" i="31"/>
  <c r="I71" i="31"/>
  <c r="BW71" i="31"/>
  <c r="AB236" i="31"/>
  <c r="AN236" i="31"/>
  <c r="BF236" i="31"/>
  <c r="V236" i="31"/>
  <c r="AZ236" i="31"/>
  <c r="BR236" i="31"/>
  <c r="AH236" i="31"/>
  <c r="AT236" i="31"/>
  <c r="P236" i="31"/>
  <c r="BL236" i="31"/>
  <c r="BX236" i="31"/>
  <c r="AM236" i="31"/>
  <c r="J236" i="31"/>
  <c r="AA236" i="31"/>
  <c r="AY236" i="31"/>
  <c r="BQ236" i="31"/>
  <c r="O236" i="31"/>
  <c r="U236" i="31"/>
  <c r="AG236" i="31"/>
  <c r="BE236" i="31"/>
  <c r="AS236" i="31"/>
  <c r="BK236" i="31"/>
  <c r="BW236" i="31"/>
  <c r="I236" i="31"/>
  <c r="J336" i="31"/>
  <c r="AT336" i="31"/>
  <c r="BL336" i="31"/>
  <c r="AB336" i="31"/>
  <c r="V336" i="31"/>
  <c r="AZ336" i="31"/>
  <c r="BR336" i="31"/>
  <c r="AN336" i="31"/>
  <c r="BF336" i="31"/>
  <c r="P336" i="31"/>
  <c r="BX336" i="31"/>
  <c r="AH336" i="31"/>
  <c r="AY336" i="31"/>
  <c r="AM336" i="31"/>
  <c r="AA336" i="31"/>
  <c r="BQ336" i="31"/>
  <c r="U336" i="31"/>
  <c r="AG336" i="31"/>
  <c r="O336" i="31"/>
  <c r="AS336" i="31"/>
  <c r="BK336" i="31"/>
  <c r="BE336" i="31"/>
  <c r="BW336" i="31"/>
  <c r="I336" i="31"/>
  <c r="BL15" i="31"/>
  <c r="P15" i="31"/>
  <c r="J15" i="31"/>
  <c r="AZ15" i="31"/>
  <c r="BF15" i="31"/>
  <c r="AN15" i="31"/>
  <c r="AT15" i="31"/>
  <c r="V15" i="31"/>
  <c r="AB15" i="31"/>
  <c r="BR15" i="31"/>
  <c r="AH15" i="31"/>
  <c r="BX15" i="31"/>
  <c r="AM15" i="31"/>
  <c r="O15" i="31"/>
  <c r="AA15" i="31"/>
  <c r="AY15" i="31"/>
  <c r="BQ15" i="31"/>
  <c r="U15" i="31"/>
  <c r="BE15" i="31"/>
  <c r="AS15" i="31"/>
  <c r="AG15" i="31"/>
  <c r="BK15" i="31"/>
  <c r="BW15" i="31"/>
  <c r="I15" i="31"/>
  <c r="J96" i="31"/>
  <c r="AB96" i="31"/>
  <c r="BX96" i="31"/>
  <c r="AN96" i="31"/>
  <c r="V96" i="31"/>
  <c r="AZ96" i="31"/>
  <c r="AT96" i="31"/>
  <c r="P96" i="31"/>
  <c r="BL96" i="31"/>
  <c r="BR96" i="31"/>
  <c r="BF96" i="31"/>
  <c r="AY96" i="31"/>
  <c r="AH96" i="31"/>
  <c r="BQ96" i="31"/>
  <c r="AM96" i="31"/>
  <c r="AA96" i="31"/>
  <c r="O96" i="31"/>
  <c r="AG96" i="31"/>
  <c r="AS96" i="31"/>
  <c r="U96" i="31"/>
  <c r="BE96" i="31"/>
  <c r="BK96" i="31"/>
  <c r="BW96" i="31"/>
  <c r="I96" i="31"/>
  <c r="V260" i="31"/>
  <c r="BF260" i="31"/>
  <c r="AB260" i="31"/>
  <c r="P260" i="31"/>
  <c r="BL260" i="31"/>
  <c r="J260" i="31"/>
  <c r="AT260" i="31"/>
  <c r="BR260" i="31"/>
  <c r="BX260" i="31"/>
  <c r="AN260" i="31"/>
  <c r="AZ260" i="31"/>
  <c r="AH260" i="31"/>
  <c r="O260" i="31"/>
  <c r="AY260" i="31"/>
  <c r="AA260" i="31"/>
  <c r="AM260" i="31"/>
  <c r="BQ260" i="31"/>
  <c r="U260" i="31"/>
  <c r="AG260" i="31"/>
  <c r="AS260" i="31"/>
  <c r="BE260" i="31"/>
  <c r="BK260" i="31"/>
  <c r="BW260" i="31"/>
  <c r="I260" i="31"/>
  <c r="AZ214" i="31"/>
  <c r="J214" i="31"/>
  <c r="AN214" i="31"/>
  <c r="BL214" i="31"/>
  <c r="BX214" i="31"/>
  <c r="V214" i="31"/>
  <c r="BR214" i="31"/>
  <c r="AH214" i="31"/>
  <c r="AB214" i="31"/>
  <c r="P214" i="31"/>
  <c r="AT214" i="31"/>
  <c r="BF214" i="31"/>
  <c r="AA214" i="31"/>
  <c r="O214" i="31"/>
  <c r="BQ214" i="31"/>
  <c r="AM214" i="31"/>
  <c r="AY214" i="31"/>
  <c r="BE214" i="31"/>
  <c r="U214" i="31"/>
  <c r="AG214" i="31"/>
  <c r="AS214" i="31"/>
  <c r="BK214" i="31"/>
  <c r="BW214" i="31"/>
  <c r="I214" i="31"/>
  <c r="BF279" i="31"/>
  <c r="AH279" i="31"/>
  <c r="AB279" i="31"/>
  <c r="J279" i="31"/>
  <c r="P279" i="31"/>
  <c r="BX279" i="31"/>
  <c r="BL279" i="31"/>
  <c r="AT279" i="31"/>
  <c r="BR279" i="31"/>
  <c r="AN279" i="31"/>
  <c r="AM279" i="31"/>
  <c r="AZ279" i="31"/>
  <c r="V279" i="31"/>
  <c r="O279" i="31"/>
  <c r="AA279" i="31"/>
  <c r="AY279" i="31"/>
  <c r="BQ279" i="31"/>
  <c r="U279" i="31"/>
  <c r="AS279" i="31"/>
  <c r="AG279" i="31"/>
  <c r="BE279" i="31"/>
  <c r="BK279" i="31"/>
  <c r="BW279" i="31"/>
  <c r="I279" i="31"/>
  <c r="AZ304" i="31"/>
  <c r="V304" i="31"/>
  <c r="AB304" i="31"/>
  <c r="BX304" i="31"/>
  <c r="BL304" i="31"/>
  <c r="J304" i="31"/>
  <c r="BR304" i="31"/>
  <c r="AN304" i="31"/>
  <c r="BF304" i="31"/>
  <c r="AT304" i="31"/>
  <c r="AH304" i="31"/>
  <c r="P304" i="31"/>
  <c r="AA304" i="31"/>
  <c r="BQ304" i="31"/>
  <c r="AM304" i="31"/>
  <c r="AY304" i="31"/>
  <c r="U304" i="31"/>
  <c r="AG304" i="31"/>
  <c r="O304" i="31"/>
  <c r="AS304" i="31"/>
  <c r="BE304" i="31"/>
  <c r="BK304" i="31"/>
  <c r="BW304" i="31"/>
  <c r="I304" i="31"/>
  <c r="BL134" i="31"/>
  <c r="J134" i="31"/>
  <c r="BX134" i="31"/>
  <c r="AN134" i="31"/>
  <c r="AB134" i="31"/>
  <c r="AZ134" i="31"/>
  <c r="AH134" i="31"/>
  <c r="BR134" i="31"/>
  <c r="P134" i="31"/>
  <c r="AT134" i="31"/>
  <c r="V134" i="31"/>
  <c r="BF134" i="31"/>
  <c r="AY134" i="31"/>
  <c r="O134" i="31"/>
  <c r="AA134" i="31"/>
  <c r="BQ134" i="31"/>
  <c r="AM134" i="31"/>
  <c r="U134" i="31"/>
  <c r="AG134" i="31"/>
  <c r="AS134" i="31"/>
  <c r="BE134" i="31"/>
  <c r="BK134" i="31"/>
  <c r="BW134" i="31"/>
  <c r="I134" i="31"/>
  <c r="BF277" i="31"/>
  <c r="P277" i="31"/>
  <c r="AB277" i="31"/>
  <c r="V277" i="31"/>
  <c r="AH277" i="31"/>
  <c r="BL277" i="31"/>
  <c r="J277" i="31"/>
  <c r="AN277" i="31"/>
  <c r="BX277" i="31"/>
  <c r="AT277" i="31"/>
  <c r="BR277" i="31"/>
  <c r="AZ277" i="31"/>
  <c r="AA277" i="31"/>
  <c r="U277" i="31"/>
  <c r="AS277" i="31"/>
  <c r="BK277" i="31"/>
  <c r="BO277" i="31" s="1"/>
  <c r="CN277" i="31" s="1"/>
  <c r="AG277" i="31"/>
  <c r="AM277" i="31"/>
  <c r="BE277" i="31"/>
  <c r="BQ277" i="31"/>
  <c r="AY277" i="31"/>
  <c r="O277" i="31"/>
  <c r="BW277" i="31"/>
  <c r="I277" i="31"/>
  <c r="AN67" i="31"/>
  <c r="BL67" i="31"/>
  <c r="AZ67" i="31"/>
  <c r="BR67" i="31"/>
  <c r="P67" i="31"/>
  <c r="AB67" i="31"/>
  <c r="J67" i="31"/>
  <c r="BF67" i="31"/>
  <c r="BX67" i="31"/>
  <c r="AT67" i="31"/>
  <c r="V67" i="31"/>
  <c r="AH67" i="31"/>
  <c r="BQ67" i="31"/>
  <c r="AA67" i="31"/>
  <c r="AM67" i="31"/>
  <c r="AY67" i="31"/>
  <c r="AG67" i="31"/>
  <c r="U67" i="31"/>
  <c r="AS67" i="31"/>
  <c r="O67" i="31"/>
  <c r="BE67" i="31"/>
  <c r="BK67" i="31"/>
  <c r="BW67" i="31"/>
  <c r="I67" i="31"/>
  <c r="V135" i="31"/>
  <c r="BF135" i="31"/>
  <c r="AH135" i="31"/>
  <c r="J135" i="31"/>
  <c r="P135" i="31"/>
  <c r="AZ135" i="31"/>
  <c r="BX135" i="31"/>
  <c r="AN135" i="31"/>
  <c r="BL135" i="31"/>
  <c r="BR135" i="31"/>
  <c r="AT135" i="31"/>
  <c r="AB135" i="31"/>
  <c r="BQ135" i="31"/>
  <c r="O135" i="31"/>
  <c r="AM135" i="31"/>
  <c r="AY135" i="31"/>
  <c r="AA135" i="31"/>
  <c r="AG135" i="31"/>
  <c r="U135" i="31"/>
  <c r="AS135" i="31"/>
  <c r="BK135" i="31"/>
  <c r="BE135" i="31"/>
  <c r="I135" i="31"/>
  <c r="BW135" i="31"/>
  <c r="AH179" i="31"/>
  <c r="BL179" i="31"/>
  <c r="AT179" i="31"/>
  <c r="AB179" i="31"/>
  <c r="AZ179" i="31"/>
  <c r="BR179" i="31"/>
  <c r="J179" i="31"/>
  <c r="BF179" i="31"/>
  <c r="P179" i="31"/>
  <c r="BX179" i="31"/>
  <c r="V179" i="31"/>
  <c r="AN179" i="31"/>
  <c r="O179" i="31"/>
  <c r="BQ179" i="31"/>
  <c r="AA179" i="31"/>
  <c r="AY179" i="31"/>
  <c r="AM179" i="31"/>
  <c r="U179" i="31"/>
  <c r="AG179" i="31"/>
  <c r="BE179" i="31"/>
  <c r="AS179" i="31"/>
  <c r="BK179" i="31"/>
  <c r="BW179" i="31"/>
  <c r="I179" i="31"/>
  <c r="BL120" i="31"/>
  <c r="AB120" i="31"/>
  <c r="P120" i="31"/>
  <c r="AN120" i="31"/>
  <c r="AZ120" i="31"/>
  <c r="J120" i="31"/>
  <c r="BF120" i="31"/>
  <c r="BR120" i="31"/>
  <c r="AH120" i="31"/>
  <c r="V120" i="31"/>
  <c r="AT120" i="31"/>
  <c r="BX120" i="31"/>
  <c r="AY120" i="31"/>
  <c r="BQ120" i="31"/>
  <c r="AA120" i="31"/>
  <c r="O120" i="31"/>
  <c r="AM120" i="31"/>
  <c r="U120" i="31"/>
  <c r="AG120" i="31"/>
  <c r="BE120" i="31"/>
  <c r="AS120" i="31"/>
  <c r="BK120" i="31"/>
  <c r="I120" i="31"/>
  <c r="BW120" i="31"/>
  <c r="J192" i="31"/>
  <c r="V192" i="31"/>
  <c r="AB192" i="31"/>
  <c r="BF192" i="31"/>
  <c r="AN192" i="31"/>
  <c r="AT192" i="31"/>
  <c r="AZ192" i="31"/>
  <c r="P192" i="31"/>
  <c r="BL192" i="31"/>
  <c r="AH192" i="31"/>
  <c r="BR192" i="31"/>
  <c r="BX192" i="31"/>
  <c r="AM192" i="31"/>
  <c r="AY192" i="31"/>
  <c r="AA192" i="31"/>
  <c r="BQ192" i="31"/>
  <c r="O192" i="31"/>
  <c r="U192" i="31"/>
  <c r="AG192" i="31"/>
  <c r="BE192" i="31"/>
  <c r="AS192" i="31"/>
  <c r="BK192" i="31"/>
  <c r="I192" i="31"/>
  <c r="BW192" i="31"/>
  <c r="AT64" i="31"/>
  <c r="AH64" i="31"/>
  <c r="AN64" i="31"/>
  <c r="J64" i="31"/>
  <c r="AB64" i="31"/>
  <c r="BR64" i="31"/>
  <c r="BL64" i="31"/>
  <c r="P64" i="31"/>
  <c r="BX64" i="31"/>
  <c r="V64" i="31"/>
  <c r="AZ64" i="31"/>
  <c r="BF64" i="31"/>
  <c r="AM64" i="31"/>
  <c r="AA64" i="31"/>
  <c r="BQ64" i="31"/>
  <c r="AY64" i="31"/>
  <c r="O64" i="31"/>
  <c r="U64" i="31"/>
  <c r="BE64" i="31"/>
  <c r="AG64" i="31"/>
  <c r="AS64" i="31"/>
  <c r="BK64" i="31"/>
  <c r="BW64" i="31"/>
  <c r="I64" i="31"/>
  <c r="BR164" i="31"/>
  <c r="AZ164" i="31"/>
  <c r="J164" i="31"/>
  <c r="AB164" i="31"/>
  <c r="AH164" i="31"/>
  <c r="V164" i="31"/>
  <c r="BL164" i="31"/>
  <c r="BF164" i="31"/>
  <c r="BX164" i="31"/>
  <c r="AT164" i="31"/>
  <c r="AN164" i="31"/>
  <c r="P164" i="31"/>
  <c r="BQ164" i="31"/>
  <c r="AA164" i="31"/>
  <c r="AY164" i="31"/>
  <c r="AM164" i="31"/>
  <c r="O164" i="31"/>
  <c r="BE164" i="31"/>
  <c r="U164" i="31"/>
  <c r="AG164" i="31"/>
  <c r="AS164" i="31"/>
  <c r="BW164" i="31"/>
  <c r="BK164" i="31"/>
  <c r="I164" i="31"/>
  <c r="BL298" i="31"/>
  <c r="AN298" i="31"/>
  <c r="AB298" i="31"/>
  <c r="AH298" i="31"/>
  <c r="J298" i="31"/>
  <c r="BR298" i="31"/>
  <c r="V298" i="31"/>
  <c r="BF298" i="31"/>
  <c r="P298" i="31"/>
  <c r="AT298" i="31"/>
  <c r="AZ298" i="31"/>
  <c r="BX298" i="31"/>
  <c r="AA298" i="31"/>
  <c r="BQ298" i="31"/>
  <c r="AM298" i="31"/>
  <c r="AY298" i="31"/>
  <c r="O298" i="31"/>
  <c r="AG298" i="31"/>
  <c r="BE298" i="31"/>
  <c r="U298" i="31"/>
  <c r="AS298" i="31"/>
  <c r="BK298" i="31"/>
  <c r="I298" i="31"/>
  <c r="BW298" i="31"/>
  <c r="AT255" i="31"/>
  <c r="V255" i="31"/>
  <c r="AN255" i="31"/>
  <c r="AB255" i="31"/>
  <c r="J255" i="31"/>
  <c r="AH255" i="31"/>
  <c r="BX255" i="31"/>
  <c r="AZ255" i="31"/>
  <c r="P255" i="31"/>
  <c r="BF255" i="31"/>
  <c r="BL255" i="31"/>
  <c r="BR255" i="31"/>
  <c r="AM255" i="31"/>
  <c r="O255" i="31"/>
  <c r="BQ255" i="31"/>
  <c r="AA255" i="31"/>
  <c r="AY255" i="31"/>
  <c r="U255" i="31"/>
  <c r="AG255" i="31"/>
  <c r="BK255" i="31"/>
  <c r="BE255" i="31"/>
  <c r="BW255" i="31"/>
  <c r="I255" i="31"/>
  <c r="AS255" i="31"/>
  <c r="BR143" i="31"/>
  <c r="AH143" i="31"/>
  <c r="J143" i="31"/>
  <c r="AB143" i="31"/>
  <c r="V143" i="31"/>
  <c r="P143" i="31"/>
  <c r="BL143" i="31"/>
  <c r="BF143" i="31"/>
  <c r="AT143" i="31"/>
  <c r="AZ143" i="31"/>
  <c r="AN143" i="31"/>
  <c r="BX143" i="31"/>
  <c r="AM143" i="31"/>
  <c r="AY143" i="31"/>
  <c r="BQ143" i="31"/>
  <c r="AA143" i="31"/>
  <c r="O143" i="31"/>
  <c r="U143" i="31"/>
  <c r="AG143" i="31"/>
  <c r="AS143" i="31"/>
  <c r="BE143" i="31"/>
  <c r="BK143" i="31"/>
  <c r="BW143" i="31"/>
  <c r="I143" i="31"/>
  <c r="BL53" i="31"/>
  <c r="BF53" i="31"/>
  <c r="AZ53" i="31"/>
  <c r="AT53" i="31"/>
  <c r="AH53" i="31"/>
  <c r="J53" i="31"/>
  <c r="BR53" i="31"/>
  <c r="P53" i="31"/>
  <c r="AN53" i="31"/>
  <c r="AB53" i="31"/>
  <c r="V53" i="31"/>
  <c r="BX53" i="31"/>
  <c r="AY53" i="31"/>
  <c r="AM53" i="31"/>
  <c r="AA53" i="31"/>
  <c r="BQ53" i="31"/>
  <c r="O53" i="31"/>
  <c r="U53" i="31"/>
  <c r="BE53" i="31"/>
  <c r="AG53" i="31"/>
  <c r="BK53" i="31"/>
  <c r="AS53" i="31"/>
  <c r="I53" i="31"/>
  <c r="BW53" i="31"/>
  <c r="BL133" i="31"/>
  <c r="AN133" i="31"/>
  <c r="AZ133" i="31"/>
  <c r="AB133" i="31"/>
  <c r="AH133" i="31"/>
  <c r="BR133" i="31"/>
  <c r="P133" i="31"/>
  <c r="J133" i="31"/>
  <c r="BX133" i="31"/>
  <c r="V133" i="31"/>
  <c r="BF133" i="31"/>
  <c r="AT133" i="31"/>
  <c r="AY133" i="31"/>
  <c r="O133" i="31"/>
  <c r="AA133" i="31"/>
  <c r="BQ133" i="31"/>
  <c r="AM133" i="31"/>
  <c r="AS133" i="31"/>
  <c r="BE133" i="31"/>
  <c r="AG133" i="31"/>
  <c r="U133" i="31"/>
  <c r="BW133" i="31"/>
  <c r="BK133" i="31"/>
  <c r="I133" i="31"/>
  <c r="BF91" i="31"/>
  <c r="J91" i="31"/>
  <c r="AZ91" i="31"/>
  <c r="BL91" i="31"/>
  <c r="BR91" i="31"/>
  <c r="V91" i="31"/>
  <c r="AT91" i="31"/>
  <c r="AN91" i="31"/>
  <c r="BX91" i="31"/>
  <c r="AB91" i="31"/>
  <c r="O91" i="31"/>
  <c r="AH91" i="31"/>
  <c r="P91" i="31"/>
  <c r="BQ91" i="31"/>
  <c r="AY91" i="31"/>
  <c r="AM91" i="31"/>
  <c r="AA91" i="31"/>
  <c r="U91" i="31"/>
  <c r="AG91" i="31"/>
  <c r="BE91" i="31"/>
  <c r="AS91" i="31"/>
  <c r="BK91" i="31"/>
  <c r="BW91" i="31"/>
  <c r="I91" i="31"/>
  <c r="J334" i="31"/>
  <c r="AH334" i="31"/>
  <c r="BX334" i="31"/>
  <c r="AB334" i="31"/>
  <c r="BF334" i="31"/>
  <c r="AZ334" i="31"/>
  <c r="P334" i="31"/>
  <c r="BL334" i="31"/>
  <c r="AT334" i="31"/>
  <c r="V334" i="31"/>
  <c r="BR334" i="31"/>
  <c r="AN334" i="31"/>
  <c r="BQ334" i="31"/>
  <c r="AA334" i="31"/>
  <c r="AM334" i="31"/>
  <c r="O334" i="31"/>
  <c r="AY334" i="31"/>
  <c r="U334" i="31"/>
  <c r="AS334" i="31"/>
  <c r="AG334" i="31"/>
  <c r="BE334" i="31"/>
  <c r="BK334" i="31"/>
  <c r="BW334" i="31"/>
  <c r="I334" i="31"/>
  <c r="AN54" i="31"/>
  <c r="AH54" i="31"/>
  <c r="BX54" i="31"/>
  <c r="BF54" i="31"/>
  <c r="V54" i="31"/>
  <c r="AT54" i="31"/>
  <c r="AZ54" i="31"/>
  <c r="BR54" i="31"/>
  <c r="J54" i="31"/>
  <c r="AB54" i="31"/>
  <c r="P54" i="31"/>
  <c r="BL54" i="31"/>
  <c r="O54" i="31"/>
  <c r="AA54" i="31"/>
  <c r="AY54" i="31"/>
  <c r="AM54" i="31"/>
  <c r="BQ54" i="31"/>
  <c r="U54" i="31"/>
  <c r="AG54" i="31"/>
  <c r="AS54" i="31"/>
  <c r="BE54" i="31"/>
  <c r="BK54" i="31"/>
  <c r="BW54" i="31"/>
  <c r="I54" i="31"/>
  <c r="J302" i="31"/>
  <c r="BL302" i="31"/>
  <c r="AN302" i="31"/>
  <c r="BX302" i="31"/>
  <c r="V302" i="31"/>
  <c r="AH302" i="31"/>
  <c r="AB302" i="31"/>
  <c r="BR302" i="31"/>
  <c r="AT302" i="31"/>
  <c r="BF302" i="31"/>
  <c r="AZ302" i="31"/>
  <c r="P302" i="31"/>
  <c r="AY302" i="31"/>
  <c r="BQ302" i="31"/>
  <c r="AM302" i="31"/>
  <c r="AA302" i="31"/>
  <c r="O302" i="31"/>
  <c r="U302" i="31"/>
  <c r="AG302" i="31"/>
  <c r="AS302" i="31"/>
  <c r="BE302" i="31"/>
  <c r="BK302" i="31"/>
  <c r="BW302" i="31"/>
  <c r="I302" i="31"/>
  <c r="V38" i="31"/>
  <c r="BL38" i="31"/>
  <c r="AN38" i="31"/>
  <c r="BR38" i="31"/>
  <c r="P38" i="31"/>
  <c r="AZ38" i="31"/>
  <c r="AB38" i="31"/>
  <c r="BF38" i="31"/>
  <c r="BX38" i="31"/>
  <c r="AH38" i="31"/>
  <c r="J38" i="31"/>
  <c r="AT38" i="31"/>
  <c r="AY38" i="31"/>
  <c r="AM38" i="31"/>
  <c r="AA38" i="31"/>
  <c r="BQ38" i="31"/>
  <c r="O38" i="31"/>
  <c r="U38" i="31"/>
  <c r="AG38" i="31"/>
  <c r="BE38" i="31"/>
  <c r="AS38" i="31"/>
  <c r="BW38" i="31"/>
  <c r="BK38" i="31"/>
  <c r="I38" i="31"/>
  <c r="AN262" i="31"/>
  <c r="J262" i="31"/>
  <c r="BL262" i="31"/>
  <c r="P262" i="31"/>
  <c r="BF262" i="31"/>
  <c r="AH262" i="31"/>
  <c r="V262" i="31"/>
  <c r="AB262" i="31"/>
  <c r="AZ262" i="31"/>
  <c r="AT262" i="31"/>
  <c r="BR262" i="31"/>
  <c r="BX262" i="31"/>
  <c r="AY262" i="31"/>
  <c r="AM262" i="31"/>
  <c r="BQ262" i="31"/>
  <c r="AA262" i="31"/>
  <c r="O262" i="31"/>
  <c r="U262" i="31"/>
  <c r="AG262" i="31"/>
  <c r="AS262" i="31"/>
  <c r="BE262" i="31"/>
  <c r="BK262" i="31"/>
  <c r="BW262" i="31"/>
  <c r="I262" i="31"/>
  <c r="AZ25" i="31"/>
  <c r="P25" i="31"/>
  <c r="BR25" i="31"/>
  <c r="BX25" i="31"/>
  <c r="BF25" i="31"/>
  <c r="J25" i="31"/>
  <c r="AH25" i="31"/>
  <c r="AT25" i="31"/>
  <c r="AN25" i="31"/>
  <c r="AB25" i="31"/>
  <c r="BL25" i="31"/>
  <c r="V25" i="31"/>
  <c r="AA25" i="31"/>
  <c r="AY25" i="31"/>
  <c r="AM25" i="31"/>
  <c r="BQ25" i="31"/>
  <c r="U25" i="31"/>
  <c r="AG25" i="31"/>
  <c r="O25" i="31"/>
  <c r="BE25" i="31"/>
  <c r="AS25" i="31"/>
  <c r="BW25" i="31"/>
  <c r="BK25" i="31"/>
  <c r="I25" i="31"/>
  <c r="BL104" i="31"/>
  <c r="V104" i="31"/>
  <c r="P104" i="31"/>
  <c r="J104" i="31"/>
  <c r="AH104" i="31"/>
  <c r="BF104" i="31"/>
  <c r="BX104" i="31"/>
  <c r="AB104" i="31"/>
  <c r="AZ104" i="31"/>
  <c r="BR104" i="31"/>
  <c r="AT104" i="31"/>
  <c r="AN104" i="31"/>
  <c r="AA104" i="31"/>
  <c r="AY104" i="31"/>
  <c r="O104" i="31"/>
  <c r="BQ104" i="31"/>
  <c r="AM104" i="31"/>
  <c r="U104" i="31"/>
  <c r="BE104" i="31"/>
  <c r="AG104" i="31"/>
  <c r="AS104" i="31"/>
  <c r="BK104" i="31"/>
  <c r="I104" i="31"/>
  <c r="BW104" i="31"/>
  <c r="J167" i="31"/>
  <c r="BL167" i="31"/>
  <c r="BX167" i="31"/>
  <c r="AB167" i="31"/>
  <c r="AN167" i="31"/>
  <c r="P167" i="31"/>
  <c r="V167" i="31"/>
  <c r="AZ167" i="31"/>
  <c r="BR167" i="31"/>
  <c r="AT167" i="31"/>
  <c r="BF167" i="31"/>
  <c r="AH167" i="31"/>
  <c r="AY167" i="31"/>
  <c r="AA167" i="31"/>
  <c r="AM167" i="31"/>
  <c r="BQ167" i="31"/>
  <c r="O167" i="31"/>
  <c r="U167" i="31"/>
  <c r="AG167" i="31"/>
  <c r="AS167" i="31"/>
  <c r="BE167" i="31"/>
  <c r="BW167" i="31"/>
  <c r="BK167" i="31"/>
  <c r="I167" i="31"/>
  <c r="AH194" i="31"/>
  <c r="J194" i="31"/>
  <c r="AB194" i="31"/>
  <c r="P194" i="31"/>
  <c r="AZ194" i="31"/>
  <c r="AN194" i="31"/>
  <c r="BF194" i="31"/>
  <c r="V194" i="31"/>
  <c r="AA194" i="31"/>
  <c r="AT194" i="31"/>
  <c r="BR194" i="31"/>
  <c r="BL194" i="31"/>
  <c r="BX194" i="31"/>
  <c r="BQ194" i="31"/>
  <c r="AM194" i="31"/>
  <c r="AY194" i="31"/>
  <c r="O194" i="31"/>
  <c r="U194" i="31"/>
  <c r="AG194" i="31"/>
  <c r="AS194" i="31"/>
  <c r="BE194" i="31"/>
  <c r="BK194" i="31"/>
  <c r="BW194" i="31"/>
  <c r="I194" i="31"/>
  <c r="BF243" i="31"/>
  <c r="AT243" i="31"/>
  <c r="AB243" i="31"/>
  <c r="P243" i="31"/>
  <c r="AZ243" i="31"/>
  <c r="BL243" i="31"/>
  <c r="BR243" i="31"/>
  <c r="AN243" i="31"/>
  <c r="BX243" i="31"/>
  <c r="J243" i="31"/>
  <c r="V243" i="31"/>
  <c r="AH243" i="31"/>
  <c r="AA243" i="31"/>
  <c r="O243" i="31"/>
  <c r="BQ243" i="31"/>
  <c r="U243" i="31"/>
  <c r="AY243" i="31"/>
  <c r="AG243" i="31"/>
  <c r="AM243" i="31"/>
  <c r="AS243" i="31"/>
  <c r="BE243" i="31"/>
  <c r="BK243" i="31"/>
  <c r="BW243" i="31"/>
  <c r="I243" i="31"/>
  <c r="AN161" i="31"/>
  <c r="BR161" i="31"/>
  <c r="J161" i="31"/>
  <c r="AH161" i="31"/>
  <c r="P161" i="31"/>
  <c r="AZ161" i="31"/>
  <c r="AT161" i="31"/>
  <c r="V161" i="31"/>
  <c r="BX161" i="31"/>
  <c r="AB161" i="31"/>
  <c r="BL161" i="31"/>
  <c r="BQ161" i="31"/>
  <c r="BF161" i="31"/>
  <c r="AM161" i="31"/>
  <c r="AY161" i="31"/>
  <c r="AA161" i="31"/>
  <c r="O161" i="31"/>
  <c r="U161" i="31"/>
  <c r="AG161" i="31"/>
  <c r="AS161" i="31"/>
  <c r="BK161" i="31"/>
  <c r="BE161" i="31"/>
  <c r="BW161" i="31"/>
  <c r="I161" i="31"/>
  <c r="BF269" i="31"/>
  <c r="BL269" i="31"/>
  <c r="AN269" i="31"/>
  <c r="P269" i="31"/>
  <c r="AH269" i="31"/>
  <c r="BX269" i="31"/>
  <c r="AB269" i="31"/>
  <c r="J269" i="31"/>
  <c r="V269" i="31"/>
  <c r="AZ269" i="31"/>
  <c r="AT269" i="31"/>
  <c r="AA269" i="31"/>
  <c r="BR269" i="31"/>
  <c r="BQ269" i="31"/>
  <c r="AM269" i="31"/>
  <c r="AY269" i="31"/>
  <c r="O269" i="31"/>
  <c r="U269" i="31"/>
  <c r="AS269" i="31"/>
  <c r="BE269" i="31"/>
  <c r="AG269" i="31"/>
  <c r="BK269" i="31"/>
  <c r="I269" i="31"/>
  <c r="BW269" i="31"/>
  <c r="AN137" i="31"/>
  <c r="AZ137" i="31"/>
  <c r="BX137" i="31"/>
  <c r="BL137" i="31"/>
  <c r="BF137" i="31"/>
  <c r="J137" i="31"/>
  <c r="AB137" i="31"/>
  <c r="V137" i="31"/>
  <c r="AH137" i="31"/>
  <c r="P137" i="31"/>
  <c r="BR137" i="31"/>
  <c r="AT137" i="31"/>
  <c r="AY137" i="31"/>
  <c r="AM137" i="31"/>
  <c r="AA137" i="31"/>
  <c r="BQ137" i="31"/>
  <c r="O137" i="31"/>
  <c r="AG137" i="31"/>
  <c r="U137" i="31"/>
  <c r="AS137" i="31"/>
  <c r="BE137" i="31"/>
  <c r="BK137" i="31"/>
  <c r="BW137" i="31"/>
  <c r="I137" i="31"/>
  <c r="V234" i="31"/>
  <c r="AZ234" i="31"/>
  <c r="BF234" i="31"/>
  <c r="P234" i="31"/>
  <c r="BL234" i="31"/>
  <c r="BR234" i="31"/>
  <c r="J234" i="31"/>
  <c r="AH234" i="31"/>
  <c r="AN234" i="31"/>
  <c r="AT234" i="31"/>
  <c r="AB234" i="31"/>
  <c r="BX234" i="31"/>
  <c r="AA234" i="31"/>
  <c r="AM234" i="31"/>
  <c r="BQ234" i="31"/>
  <c r="AY234" i="31"/>
  <c r="U234" i="31"/>
  <c r="O234" i="31"/>
  <c r="AG234" i="31"/>
  <c r="BE234" i="31"/>
  <c r="AS234" i="31"/>
  <c r="BK234" i="31"/>
  <c r="BW234" i="31"/>
  <c r="I234" i="31"/>
  <c r="AN223" i="31"/>
  <c r="AB223" i="31"/>
  <c r="AT223" i="31"/>
  <c r="AZ223" i="31"/>
  <c r="BR223" i="31"/>
  <c r="BX223" i="31"/>
  <c r="J223" i="31"/>
  <c r="AH223" i="31"/>
  <c r="V223" i="31"/>
  <c r="P223" i="31"/>
  <c r="BL223" i="31"/>
  <c r="BF223" i="31"/>
  <c r="BQ223" i="31"/>
  <c r="AY223" i="31"/>
  <c r="AM223" i="31"/>
  <c r="O223" i="31"/>
  <c r="AA223" i="31"/>
  <c r="U223" i="31"/>
  <c r="BE223" i="31"/>
  <c r="AS223" i="31"/>
  <c r="AG223" i="31"/>
  <c r="BK223" i="31"/>
  <c r="I223" i="31"/>
  <c r="BW223" i="31"/>
  <c r="BF203" i="31"/>
  <c r="AT203" i="31"/>
  <c r="AZ203" i="31"/>
  <c r="AB203" i="31"/>
  <c r="AN203" i="31"/>
  <c r="BR203" i="31"/>
  <c r="P203" i="31"/>
  <c r="V203" i="31"/>
  <c r="AH203" i="31"/>
  <c r="J203" i="31"/>
  <c r="BX203" i="31"/>
  <c r="BL203" i="31"/>
  <c r="O203" i="31"/>
  <c r="AM203" i="31"/>
  <c r="AA203" i="31"/>
  <c r="AY203" i="31"/>
  <c r="BQ203" i="31"/>
  <c r="U203" i="31"/>
  <c r="AG203" i="31"/>
  <c r="AS203" i="31"/>
  <c r="BK203" i="31"/>
  <c r="BW203" i="31"/>
  <c r="BE203" i="31"/>
  <c r="I203" i="31"/>
  <c r="AZ57" i="31"/>
  <c r="AB57" i="31"/>
  <c r="BX57" i="31"/>
  <c r="AT57" i="31"/>
  <c r="P57" i="31"/>
  <c r="BF57" i="31"/>
  <c r="BL57" i="31"/>
  <c r="J57" i="31"/>
  <c r="V57" i="31"/>
  <c r="BR57" i="31"/>
  <c r="AN57" i="31"/>
  <c r="AH57" i="31"/>
  <c r="O57" i="31"/>
  <c r="AY57" i="31"/>
  <c r="AM57" i="31"/>
  <c r="BQ57" i="31"/>
  <c r="AA57" i="31"/>
  <c r="U57" i="31"/>
  <c r="AG57" i="31"/>
  <c r="BE57" i="31"/>
  <c r="AS57" i="31"/>
  <c r="BW57" i="31"/>
  <c r="BK57" i="31"/>
  <c r="I57" i="31"/>
  <c r="BR151" i="31"/>
  <c r="J151" i="31"/>
  <c r="AB151" i="31"/>
  <c r="AN151" i="31"/>
  <c r="AT151" i="31"/>
  <c r="V151" i="31"/>
  <c r="BL151" i="31"/>
  <c r="BF151" i="31"/>
  <c r="AZ151" i="31"/>
  <c r="P151" i="31"/>
  <c r="AH151" i="31"/>
  <c r="BX151" i="31"/>
  <c r="BQ151" i="31"/>
  <c r="AA151" i="31"/>
  <c r="AM151" i="31"/>
  <c r="AY151" i="31"/>
  <c r="O151" i="31"/>
  <c r="U151" i="31"/>
  <c r="AG151" i="31"/>
  <c r="BE151" i="31"/>
  <c r="AS151" i="31"/>
  <c r="BK151" i="31"/>
  <c r="BW151" i="31"/>
  <c r="I151" i="31"/>
  <c r="V18" i="31"/>
  <c r="BL18" i="31"/>
  <c r="AN18" i="31"/>
  <c r="AZ18" i="31"/>
  <c r="BF18" i="31"/>
  <c r="BR18" i="31"/>
  <c r="AH18" i="31"/>
  <c r="AB18" i="31"/>
  <c r="AT18" i="31"/>
  <c r="BX18" i="31"/>
  <c r="J18" i="31"/>
  <c r="P18" i="31"/>
  <c r="AY18" i="31"/>
  <c r="BQ18" i="31"/>
  <c r="AA18" i="31"/>
  <c r="AM18" i="31"/>
  <c r="O18" i="31"/>
  <c r="U18" i="31"/>
  <c r="AS18" i="31"/>
  <c r="AG18" i="31"/>
  <c r="BE18" i="31"/>
  <c r="BK18" i="31"/>
  <c r="BW18" i="31"/>
  <c r="I18" i="31"/>
  <c r="V338" i="31"/>
  <c r="J338" i="31"/>
  <c r="AH338" i="31"/>
  <c r="BR338" i="31"/>
  <c r="AZ338" i="31"/>
  <c r="AN338" i="31"/>
  <c r="AB338" i="31"/>
  <c r="BX338" i="31"/>
  <c r="AT338" i="31"/>
  <c r="BL338" i="31"/>
  <c r="P338" i="31"/>
  <c r="BF338" i="31"/>
  <c r="BQ338" i="31"/>
  <c r="O338" i="31"/>
  <c r="AA338" i="31"/>
  <c r="AM338" i="31"/>
  <c r="AY338" i="31"/>
  <c r="U338" i="31"/>
  <c r="AG338" i="31"/>
  <c r="BE338" i="31"/>
  <c r="AS338" i="31"/>
  <c r="BK338" i="31"/>
  <c r="BW338" i="31"/>
  <c r="I338" i="31"/>
  <c r="J242" i="31"/>
  <c r="AB242" i="31"/>
  <c r="BX242" i="31"/>
  <c r="V242" i="31"/>
  <c r="AN242" i="31"/>
  <c r="AZ242" i="31"/>
  <c r="BF242" i="31"/>
  <c r="BR242" i="31"/>
  <c r="BL242" i="31"/>
  <c r="AH242" i="31"/>
  <c r="P242" i="31"/>
  <c r="AT242" i="31"/>
  <c r="AA242" i="31"/>
  <c r="AM242" i="31"/>
  <c r="AY242" i="31"/>
  <c r="O242" i="31"/>
  <c r="U242" i="31"/>
  <c r="AG242" i="31"/>
  <c r="BQ242" i="31"/>
  <c r="AS242" i="31"/>
  <c r="BK242" i="31"/>
  <c r="BE242" i="31"/>
  <c r="BW242" i="31"/>
  <c r="I242" i="31"/>
  <c r="BR226" i="31"/>
  <c r="AZ226" i="31"/>
  <c r="BX226" i="31"/>
  <c r="BL226" i="31"/>
  <c r="AH226" i="31"/>
  <c r="J226" i="31"/>
  <c r="AT226" i="31"/>
  <c r="AN226" i="31"/>
  <c r="P226" i="31"/>
  <c r="BF226" i="31"/>
  <c r="AB226" i="31"/>
  <c r="V226" i="31"/>
  <c r="O226" i="31"/>
  <c r="AM226" i="31"/>
  <c r="AY226" i="31"/>
  <c r="BQ226" i="31"/>
  <c r="AA226" i="31"/>
  <c r="U226" i="31"/>
  <c r="AG226" i="31"/>
  <c r="AS226" i="31"/>
  <c r="BE226" i="31"/>
  <c r="BK226" i="31"/>
  <c r="BW226" i="31"/>
  <c r="I226" i="31"/>
  <c r="AB350" i="31"/>
  <c r="J350" i="31"/>
  <c r="BL350" i="31"/>
  <c r="AZ350" i="31"/>
  <c r="P350" i="31"/>
  <c r="AN350" i="31"/>
  <c r="AH350" i="31"/>
  <c r="AT350" i="31"/>
  <c r="V350" i="31"/>
  <c r="AA350" i="31"/>
  <c r="AY350" i="31"/>
  <c r="BR350" i="31"/>
  <c r="BF350" i="31"/>
  <c r="BX350" i="31"/>
  <c r="BQ350" i="31"/>
  <c r="AM350" i="31"/>
  <c r="O350" i="31"/>
  <c r="AG350" i="31"/>
  <c r="U350" i="31"/>
  <c r="AS350" i="31"/>
  <c r="BE350" i="31"/>
  <c r="BK350" i="31"/>
  <c r="BW350" i="31"/>
  <c r="I350" i="31"/>
  <c r="AZ142" i="31"/>
  <c r="V142" i="31"/>
  <c r="P142" i="31"/>
  <c r="BR142" i="31"/>
  <c r="J142" i="31"/>
  <c r="BF142" i="31"/>
  <c r="AN142" i="31"/>
  <c r="AT142" i="31"/>
  <c r="AH142" i="31"/>
  <c r="BL142" i="31"/>
  <c r="AB142" i="31"/>
  <c r="BX142" i="31"/>
  <c r="O142" i="31"/>
  <c r="AM142" i="31"/>
  <c r="AA142" i="31"/>
  <c r="BQ142" i="31"/>
  <c r="AY142" i="31"/>
  <c r="U142" i="31"/>
  <c r="AG142" i="31"/>
  <c r="BE142" i="31"/>
  <c r="AS142" i="31"/>
  <c r="BK142" i="31"/>
  <c r="BW142" i="31"/>
  <c r="I142" i="31"/>
  <c r="AN254" i="31"/>
  <c r="AZ254" i="31"/>
  <c r="BX254" i="31"/>
  <c r="P254" i="31"/>
  <c r="AT254" i="31"/>
  <c r="AB254" i="31"/>
  <c r="BF254" i="31"/>
  <c r="AH254" i="31"/>
  <c r="J254" i="31"/>
  <c r="BR254" i="31"/>
  <c r="V254" i="31"/>
  <c r="BL254" i="31"/>
  <c r="AY254" i="31"/>
  <c r="BQ254" i="31"/>
  <c r="AA254" i="31"/>
  <c r="AM254" i="31"/>
  <c r="O254" i="31"/>
  <c r="U254" i="31"/>
  <c r="AG254" i="31"/>
  <c r="AS254" i="31"/>
  <c r="BK254" i="31"/>
  <c r="BW254" i="31"/>
  <c r="BE254" i="31"/>
  <c r="I254" i="31"/>
  <c r="BX39" i="31"/>
  <c r="BL39" i="31"/>
  <c r="AN39" i="31"/>
  <c r="BF39" i="31"/>
  <c r="BR39" i="31"/>
  <c r="AT39" i="31"/>
  <c r="V39" i="31"/>
  <c r="AZ39" i="31"/>
  <c r="P39" i="31"/>
  <c r="J39" i="31"/>
  <c r="AH39" i="31"/>
  <c r="AB39" i="31"/>
  <c r="AA39" i="31"/>
  <c r="AY39" i="31"/>
  <c r="O39" i="31"/>
  <c r="AM39" i="31"/>
  <c r="BQ39" i="31"/>
  <c r="U39" i="31"/>
  <c r="AG39" i="31"/>
  <c r="BE39" i="31"/>
  <c r="AS39" i="31"/>
  <c r="BK39" i="31"/>
  <c r="BW39" i="31"/>
  <c r="I39" i="31"/>
  <c r="BL68" i="31"/>
  <c r="BX68" i="31"/>
  <c r="AT68" i="31"/>
  <c r="BF68" i="31"/>
  <c r="P68" i="31"/>
  <c r="AN68" i="31"/>
  <c r="AH68" i="31"/>
  <c r="AB68" i="31"/>
  <c r="J68" i="31"/>
  <c r="V68" i="31"/>
  <c r="AZ68" i="31"/>
  <c r="BR68" i="31"/>
  <c r="AA68" i="31"/>
  <c r="BQ68" i="31"/>
  <c r="O68" i="31"/>
  <c r="AM68" i="31"/>
  <c r="AY68" i="31"/>
  <c r="U68" i="31"/>
  <c r="AS68" i="31"/>
  <c r="AG68" i="31"/>
  <c r="BE68" i="31"/>
  <c r="BK68" i="31"/>
  <c r="I68" i="31"/>
  <c r="BW68" i="31"/>
  <c r="BF171" i="31"/>
  <c r="BX171" i="31"/>
  <c r="AN171" i="31"/>
  <c r="J171" i="31"/>
  <c r="V171" i="31"/>
  <c r="AT171" i="31"/>
  <c r="AH171" i="31"/>
  <c r="AZ171" i="31"/>
  <c r="AB171" i="31"/>
  <c r="BR171" i="31"/>
  <c r="P171" i="31"/>
  <c r="BL171" i="31"/>
  <c r="O171" i="31"/>
  <c r="AM171" i="31"/>
  <c r="AA171" i="31"/>
  <c r="BQ171" i="31"/>
  <c r="AY171" i="31"/>
  <c r="U171" i="31"/>
  <c r="AS171" i="31"/>
  <c r="AG171" i="31"/>
  <c r="BE171" i="31"/>
  <c r="BK171" i="31"/>
  <c r="BW171" i="31"/>
  <c r="I171" i="31"/>
  <c r="BL268" i="31"/>
  <c r="P268" i="31"/>
  <c r="AH268" i="31"/>
  <c r="J268" i="31"/>
  <c r="BF268" i="31"/>
  <c r="AN268" i="31"/>
  <c r="AB268" i="31"/>
  <c r="BR268" i="31"/>
  <c r="AT268" i="31"/>
  <c r="AZ268" i="31"/>
  <c r="V268" i="31"/>
  <c r="BX268" i="31"/>
  <c r="O268" i="31"/>
  <c r="AY268" i="31"/>
  <c r="AA268" i="31"/>
  <c r="AM268" i="31"/>
  <c r="BQ268" i="31"/>
  <c r="U268" i="31"/>
  <c r="AG268" i="31"/>
  <c r="AS268" i="31"/>
  <c r="BE268" i="31"/>
  <c r="BK268" i="31"/>
  <c r="BW268" i="31"/>
  <c r="I268" i="31"/>
  <c r="BR332" i="31"/>
  <c r="AN332" i="31"/>
  <c r="V332" i="31"/>
  <c r="BL332" i="31"/>
  <c r="AB332" i="31"/>
  <c r="BX332" i="31"/>
  <c r="AT332" i="31"/>
  <c r="AZ332" i="31"/>
  <c r="AH332" i="31"/>
  <c r="P332" i="31"/>
  <c r="BF332" i="31"/>
  <c r="J332" i="31"/>
  <c r="BQ332" i="31"/>
  <c r="AM332" i="31"/>
  <c r="AY332" i="31"/>
  <c r="AA332" i="31"/>
  <c r="O332" i="31"/>
  <c r="U332" i="31"/>
  <c r="BE332" i="31"/>
  <c r="AG332" i="31"/>
  <c r="AS332" i="31"/>
  <c r="BW332" i="31"/>
  <c r="BK332" i="31"/>
  <c r="I332" i="31"/>
  <c r="V220" i="31"/>
  <c r="BF220" i="31"/>
  <c r="BX220" i="31"/>
  <c r="AH220" i="31"/>
  <c r="J220" i="31"/>
  <c r="AB220" i="31"/>
  <c r="P220" i="31"/>
  <c r="AT220" i="31"/>
  <c r="BR220" i="31"/>
  <c r="BL220" i="31"/>
  <c r="AZ220" i="31"/>
  <c r="AN220" i="31"/>
  <c r="BQ220" i="31"/>
  <c r="AA220" i="31"/>
  <c r="AY220" i="31"/>
  <c r="O220" i="31"/>
  <c r="AM220" i="31"/>
  <c r="U220" i="31"/>
  <c r="AG220" i="31"/>
  <c r="BE220" i="31"/>
  <c r="BK220" i="31"/>
  <c r="AS220" i="31"/>
  <c r="BW220" i="31"/>
  <c r="I220" i="31"/>
  <c r="AZ108" i="31"/>
  <c r="J108" i="31"/>
  <c r="AN108" i="31"/>
  <c r="BX108" i="31"/>
  <c r="AT108" i="31"/>
  <c r="BR108" i="31"/>
  <c r="P108" i="31"/>
  <c r="V108" i="31"/>
  <c r="AH108" i="31"/>
  <c r="BF108" i="31"/>
  <c r="AB108" i="31"/>
  <c r="BL108" i="31"/>
  <c r="O108" i="31"/>
  <c r="BQ108" i="31"/>
  <c r="AY108" i="31"/>
  <c r="AA108" i="31"/>
  <c r="AM108" i="31"/>
  <c r="U108" i="31"/>
  <c r="AG108" i="31"/>
  <c r="BE108" i="31"/>
  <c r="AS108" i="31"/>
  <c r="BK108" i="31"/>
  <c r="BW108" i="31"/>
  <c r="I108" i="31"/>
  <c r="AZ245" i="31"/>
  <c r="V245" i="31"/>
  <c r="BR245" i="31"/>
  <c r="P245" i="31"/>
  <c r="BF245" i="31"/>
  <c r="AN245" i="31"/>
  <c r="AH245" i="31"/>
  <c r="AT245" i="31"/>
  <c r="J245" i="31"/>
  <c r="BL245" i="31"/>
  <c r="AA245" i="31"/>
  <c r="AB245" i="31"/>
  <c r="BX245" i="31"/>
  <c r="BQ245" i="31"/>
  <c r="O245" i="31"/>
  <c r="AY245" i="31"/>
  <c r="AM245" i="31"/>
  <c r="U245" i="31"/>
  <c r="AG245" i="31"/>
  <c r="AS245" i="31"/>
  <c r="BE245" i="31"/>
  <c r="BK245" i="31"/>
  <c r="BW245" i="31"/>
  <c r="I245" i="31"/>
  <c r="AN286" i="31"/>
  <c r="AT286" i="31"/>
  <c r="J286" i="31"/>
  <c r="BL286" i="31"/>
  <c r="BF286" i="31"/>
  <c r="V286" i="31"/>
  <c r="AZ286" i="31"/>
  <c r="AH286" i="31"/>
  <c r="AB286" i="31"/>
  <c r="BR286" i="31"/>
  <c r="P286" i="31"/>
  <c r="BX286" i="31"/>
  <c r="BK286" i="31"/>
  <c r="BE286" i="31"/>
  <c r="AS286" i="31"/>
  <c r="AY286" i="31"/>
  <c r="O286" i="31"/>
  <c r="U286" i="31"/>
  <c r="AG286" i="31"/>
  <c r="AM286" i="31"/>
  <c r="BQ286" i="31"/>
  <c r="AA286" i="31"/>
  <c r="BW286" i="31"/>
  <c r="I286" i="31"/>
  <c r="AZ351" i="31"/>
  <c r="P351" i="31"/>
  <c r="BR351" i="31"/>
  <c r="V351" i="31"/>
  <c r="BL351" i="31"/>
  <c r="AT351" i="31"/>
  <c r="BX351" i="31"/>
  <c r="J351" i="31"/>
  <c r="BF351" i="31"/>
  <c r="AB351" i="31"/>
  <c r="AN351" i="31"/>
  <c r="AH351" i="31"/>
  <c r="AM351" i="31"/>
  <c r="BQ351" i="31"/>
  <c r="O351" i="31"/>
  <c r="AA351" i="31"/>
  <c r="AY351" i="31"/>
  <c r="U351" i="31"/>
  <c r="AG351" i="31"/>
  <c r="BE351" i="31"/>
  <c r="AS351" i="31"/>
  <c r="BK351" i="31"/>
  <c r="BW351" i="31"/>
  <c r="I351" i="31"/>
  <c r="AN248" i="31"/>
  <c r="P248" i="31"/>
  <c r="BX248" i="31"/>
  <c r="BR248" i="31"/>
  <c r="BF248" i="31"/>
  <c r="AZ248" i="31"/>
  <c r="AB248" i="31"/>
  <c r="AH248" i="31"/>
  <c r="J248" i="31"/>
  <c r="BL248" i="31"/>
  <c r="V248" i="31"/>
  <c r="AT248" i="31"/>
  <c r="AM248" i="31"/>
  <c r="AA248" i="31"/>
  <c r="AY248" i="31"/>
  <c r="O248" i="31"/>
  <c r="BQ248" i="31"/>
  <c r="U248" i="31"/>
  <c r="AG248" i="31"/>
  <c r="BE248" i="31"/>
  <c r="AS248" i="31"/>
  <c r="BK248" i="31"/>
  <c r="BW248" i="31"/>
  <c r="I248" i="31"/>
  <c r="BR102" i="31"/>
  <c r="AH102" i="31"/>
  <c r="J102" i="31"/>
  <c r="BL102" i="31"/>
  <c r="P102" i="31"/>
  <c r="AN102" i="31"/>
  <c r="BF102" i="31"/>
  <c r="AT102" i="31"/>
  <c r="BX102" i="31"/>
  <c r="AZ102" i="31"/>
  <c r="V102" i="31"/>
  <c r="AB102" i="31"/>
  <c r="AA102" i="31"/>
  <c r="AY102" i="31"/>
  <c r="O102" i="31"/>
  <c r="BQ102" i="31"/>
  <c r="AM102" i="31"/>
  <c r="AG102" i="31"/>
  <c r="U102" i="31"/>
  <c r="BE102" i="31"/>
  <c r="AS102" i="31"/>
  <c r="BK102" i="31"/>
  <c r="BW102" i="31"/>
  <c r="I102" i="31"/>
  <c r="BF250" i="31"/>
  <c r="AZ250" i="31"/>
  <c r="AT250" i="31"/>
  <c r="J250" i="31"/>
  <c r="AN250" i="31"/>
  <c r="BL250" i="31"/>
  <c r="AB250" i="31"/>
  <c r="BX250" i="31"/>
  <c r="BR250" i="31"/>
  <c r="P250" i="31"/>
  <c r="AH250" i="31"/>
  <c r="V250" i="31"/>
  <c r="O250" i="31"/>
  <c r="AY250" i="31"/>
  <c r="AA250" i="31"/>
  <c r="BQ250" i="31"/>
  <c r="AM250" i="31"/>
  <c r="U250" i="31"/>
  <c r="BE250" i="31"/>
  <c r="AG250" i="31"/>
  <c r="AS250" i="31"/>
  <c r="BK250" i="31"/>
  <c r="BW250" i="31"/>
  <c r="I250" i="31"/>
  <c r="V40" i="31"/>
  <c r="AH40" i="31"/>
  <c r="BX40" i="31"/>
  <c r="BL40" i="31"/>
  <c r="AN40" i="31"/>
  <c r="J40" i="31"/>
  <c r="AZ40" i="31"/>
  <c r="AT40" i="31"/>
  <c r="AB40" i="31"/>
  <c r="P40" i="31"/>
  <c r="BR40" i="31"/>
  <c r="BF40" i="31"/>
  <c r="BQ40" i="31"/>
  <c r="AM40" i="31"/>
  <c r="AY40" i="31"/>
  <c r="AA40" i="31"/>
  <c r="O40" i="31"/>
  <c r="U40" i="31"/>
  <c r="BE40" i="31"/>
  <c r="AG40" i="31"/>
  <c r="BK40" i="31"/>
  <c r="AS40" i="31"/>
  <c r="BW40" i="31"/>
  <c r="I40" i="31"/>
  <c r="AH311" i="31"/>
  <c r="V311" i="31"/>
  <c r="J311" i="31"/>
  <c r="AN311" i="31"/>
  <c r="BX311" i="31"/>
  <c r="BF311" i="31"/>
  <c r="AT311" i="31"/>
  <c r="BL311" i="31"/>
  <c r="AB311" i="31"/>
  <c r="P311" i="31"/>
  <c r="AZ311" i="31"/>
  <c r="BR311" i="31"/>
  <c r="AA311" i="31"/>
  <c r="O311" i="31"/>
  <c r="BQ311" i="31"/>
  <c r="AY311" i="31"/>
  <c r="AM311" i="31"/>
  <c r="AG311" i="31"/>
  <c r="U311" i="31"/>
  <c r="AS311" i="31"/>
  <c r="BE311" i="31"/>
  <c r="BW311" i="31"/>
  <c r="BK311" i="31"/>
  <c r="I311" i="31"/>
  <c r="AH281" i="31"/>
  <c r="J281" i="31"/>
  <c r="AB281" i="31"/>
  <c r="P281" i="31"/>
  <c r="BF281" i="31"/>
  <c r="AN281" i="31"/>
  <c r="BX281" i="31"/>
  <c r="V281" i="31"/>
  <c r="AT281" i="31"/>
  <c r="BL281" i="31"/>
  <c r="AZ281" i="31"/>
  <c r="BR281" i="31"/>
  <c r="AA281" i="31"/>
  <c r="AM281" i="31"/>
  <c r="BQ281" i="31"/>
  <c r="AY281" i="31"/>
  <c r="O281" i="31"/>
  <c r="U281" i="31"/>
  <c r="AG281" i="31"/>
  <c r="AS281" i="31"/>
  <c r="BE281" i="31"/>
  <c r="BK281" i="31"/>
  <c r="BW281" i="31"/>
  <c r="I281" i="31"/>
  <c r="J309" i="31"/>
  <c r="AT309" i="31"/>
  <c r="BX309" i="31"/>
  <c r="BR309" i="31"/>
  <c r="AH309" i="31"/>
  <c r="AN309" i="31"/>
  <c r="V309" i="31"/>
  <c r="BL309" i="31"/>
  <c r="AZ309" i="31"/>
  <c r="P309" i="31"/>
  <c r="BF309" i="31"/>
  <c r="AB309" i="31"/>
  <c r="O309" i="31"/>
  <c r="AA309" i="31"/>
  <c r="AM309" i="31"/>
  <c r="AY309" i="31"/>
  <c r="BQ309" i="31"/>
  <c r="U309" i="31"/>
  <c r="AG309" i="31"/>
  <c r="AS309" i="31"/>
  <c r="BE309" i="31"/>
  <c r="BK309" i="31"/>
  <c r="I309" i="31"/>
  <c r="BW309" i="31"/>
  <c r="BL190" i="31"/>
  <c r="P190" i="31"/>
  <c r="BR190" i="31"/>
  <c r="AN190" i="31"/>
  <c r="AH190" i="31"/>
  <c r="BX190" i="31"/>
  <c r="AB190" i="31"/>
  <c r="AZ190" i="31"/>
  <c r="BF190" i="31"/>
  <c r="J190" i="31"/>
  <c r="AT190" i="31"/>
  <c r="V190" i="31"/>
  <c r="O190" i="31"/>
  <c r="BQ190" i="31"/>
  <c r="AY190" i="31"/>
  <c r="AA190" i="31"/>
  <c r="AM190" i="31"/>
  <c r="AG190" i="31"/>
  <c r="U190" i="31"/>
  <c r="AS190" i="31"/>
  <c r="BE190" i="31"/>
  <c r="BK190" i="31"/>
  <c r="BW190" i="31"/>
  <c r="I190" i="31"/>
  <c r="AN59" i="31"/>
  <c r="AH59" i="31"/>
  <c r="V59" i="31"/>
  <c r="P59" i="31"/>
  <c r="AT59" i="31"/>
  <c r="BL59" i="31"/>
  <c r="BX59" i="31"/>
  <c r="AB59" i="31"/>
  <c r="J59" i="31"/>
  <c r="BF59" i="31"/>
  <c r="BR59" i="31"/>
  <c r="AZ59" i="31"/>
  <c r="AM59" i="31"/>
  <c r="BQ59" i="31"/>
  <c r="AA59" i="31"/>
  <c r="AY59" i="31"/>
  <c r="O59" i="31"/>
  <c r="U59" i="31"/>
  <c r="AG59" i="31"/>
  <c r="AS59" i="31"/>
  <c r="BE59" i="31"/>
  <c r="BK59" i="31"/>
  <c r="BW59" i="31"/>
  <c r="I59" i="31"/>
  <c r="BF141" i="31"/>
  <c r="P141" i="31"/>
  <c r="BX141" i="31"/>
  <c r="AZ141" i="31"/>
  <c r="AB141" i="31"/>
  <c r="AT141" i="31"/>
  <c r="AN141" i="31"/>
  <c r="J141" i="31"/>
  <c r="V141" i="31"/>
  <c r="BR141" i="31"/>
  <c r="AH141" i="31"/>
  <c r="BL141" i="31"/>
  <c r="AA141" i="31"/>
  <c r="AM141" i="31"/>
  <c r="BQ141" i="31"/>
  <c r="AY141" i="31"/>
  <c r="U141" i="31"/>
  <c r="O141" i="31"/>
  <c r="AG141" i="31"/>
  <c r="AS141" i="31"/>
  <c r="BE141" i="31"/>
  <c r="BW141" i="31"/>
  <c r="BK141" i="31"/>
  <c r="I141" i="31"/>
  <c r="BR261" i="31"/>
  <c r="J261" i="31"/>
  <c r="AT261" i="31"/>
  <c r="P261" i="31"/>
  <c r="AZ261" i="31"/>
  <c r="AH261" i="31"/>
  <c r="BX261" i="31"/>
  <c r="AN261" i="31"/>
  <c r="BL261" i="31"/>
  <c r="AB261" i="31"/>
  <c r="BQ261" i="31"/>
  <c r="V261" i="31"/>
  <c r="BF261" i="31"/>
  <c r="O261" i="31"/>
  <c r="AA261" i="31"/>
  <c r="AM261" i="31"/>
  <c r="AY261" i="31"/>
  <c r="U261" i="31"/>
  <c r="AG261" i="31"/>
  <c r="BE261" i="31"/>
  <c r="AS261" i="31"/>
  <c r="BK261" i="31"/>
  <c r="I261" i="31"/>
  <c r="BW261" i="31"/>
  <c r="AH222" i="31"/>
  <c r="AZ222" i="31"/>
  <c r="BL222" i="31"/>
  <c r="AN222" i="31"/>
  <c r="AB222" i="31"/>
  <c r="P222" i="31"/>
  <c r="J222" i="31"/>
  <c r="BF222" i="31"/>
  <c r="BX222" i="31"/>
  <c r="V222" i="31"/>
  <c r="BR222" i="31"/>
  <c r="AT222" i="31"/>
  <c r="AY222" i="31"/>
  <c r="AA222" i="31"/>
  <c r="BQ222" i="31"/>
  <c r="O222" i="31"/>
  <c r="AM222" i="31"/>
  <c r="U222" i="31"/>
  <c r="AG222" i="31"/>
  <c r="AS222" i="31"/>
  <c r="BE222" i="31"/>
  <c r="BW222" i="31"/>
  <c r="BK222" i="31"/>
  <c r="I222" i="31"/>
  <c r="BF23" i="31"/>
  <c r="BR23" i="31"/>
  <c r="AN23" i="31"/>
  <c r="BL23" i="31"/>
  <c r="AZ23" i="31"/>
  <c r="P23" i="31"/>
  <c r="AT23" i="31"/>
  <c r="J23" i="31"/>
  <c r="AH23" i="31"/>
  <c r="V23" i="31"/>
  <c r="AB23" i="31"/>
  <c r="BX23" i="31"/>
  <c r="AM23" i="31"/>
  <c r="BQ23" i="31"/>
  <c r="AA23" i="31"/>
  <c r="O23" i="31"/>
  <c r="AY23" i="31"/>
  <c r="U23" i="31"/>
  <c r="BE23" i="31"/>
  <c r="AG23" i="31"/>
  <c r="AS23" i="31"/>
  <c r="BK23" i="31"/>
  <c r="BW23" i="31"/>
  <c r="I23" i="31"/>
  <c r="BF273" i="31"/>
  <c r="AH273" i="31"/>
  <c r="AN273" i="31"/>
  <c r="AZ273" i="31"/>
  <c r="AT273" i="31"/>
  <c r="BR273" i="31"/>
  <c r="V273" i="31"/>
  <c r="BL273" i="31"/>
  <c r="AB273" i="31"/>
  <c r="P273" i="31"/>
  <c r="BX273" i="31"/>
  <c r="AY273" i="31"/>
  <c r="AM273" i="31"/>
  <c r="J273" i="31"/>
  <c r="AA273" i="31"/>
  <c r="BQ273" i="31"/>
  <c r="O273" i="31"/>
  <c r="U273" i="31"/>
  <c r="AG273" i="31"/>
  <c r="AS273" i="31"/>
  <c r="BE273" i="31"/>
  <c r="BK273" i="31"/>
  <c r="BW273" i="31"/>
  <c r="I273" i="31"/>
  <c r="AH129" i="31"/>
  <c r="AB129" i="31"/>
  <c r="AN129" i="31"/>
  <c r="AZ129" i="31"/>
  <c r="V129" i="31"/>
  <c r="P129" i="31"/>
  <c r="J129" i="31"/>
  <c r="BR129" i="31"/>
  <c r="BX129" i="31"/>
  <c r="BL129" i="31"/>
  <c r="AT129" i="31"/>
  <c r="BF129" i="31"/>
  <c r="AM129" i="31"/>
  <c r="AA129" i="31"/>
  <c r="AY129" i="31"/>
  <c r="BQ129" i="31"/>
  <c r="O129" i="31"/>
  <c r="U129" i="31"/>
  <c r="AS129" i="31"/>
  <c r="BE129" i="31"/>
  <c r="AG129" i="31"/>
  <c r="BK129" i="31"/>
  <c r="BW129" i="31"/>
  <c r="I129" i="31"/>
  <c r="AN66" i="31"/>
  <c r="J66" i="31"/>
  <c r="AT66" i="31"/>
  <c r="BL66" i="31"/>
  <c r="BR66" i="31"/>
  <c r="AB66" i="31"/>
  <c r="BX66" i="31"/>
  <c r="P66" i="31"/>
  <c r="AZ66" i="31"/>
  <c r="BF66" i="31"/>
  <c r="V66" i="31"/>
  <c r="AH66" i="31"/>
  <c r="AA66" i="31"/>
  <c r="BQ66" i="31"/>
  <c r="AY66" i="31"/>
  <c r="AM66" i="31"/>
  <c r="O66" i="31"/>
  <c r="U66" i="31"/>
  <c r="AG66" i="31"/>
  <c r="BE66" i="31"/>
  <c r="AS66" i="31"/>
  <c r="BK66" i="31"/>
  <c r="I66" i="31"/>
  <c r="BW66" i="31"/>
  <c r="BR224" i="31"/>
  <c r="P224" i="31"/>
  <c r="V224" i="31"/>
  <c r="BF224" i="31"/>
  <c r="AB224" i="31"/>
  <c r="BX224" i="31"/>
  <c r="AZ224" i="31"/>
  <c r="AT224" i="31"/>
  <c r="AN224" i="31"/>
  <c r="J224" i="31"/>
  <c r="BL224" i="31"/>
  <c r="AH224" i="31"/>
  <c r="BQ224" i="31"/>
  <c r="AY224" i="31"/>
  <c r="AA224" i="31"/>
  <c r="AM224" i="31"/>
  <c r="O224" i="31"/>
  <c r="U224" i="31"/>
  <c r="AG224" i="31"/>
  <c r="AS224" i="31"/>
  <c r="BE224" i="31"/>
  <c r="BK224" i="31"/>
  <c r="BW224" i="31"/>
  <c r="I224" i="31"/>
  <c r="AB49" i="31"/>
  <c r="BR49" i="31"/>
  <c r="AH49" i="31"/>
  <c r="AN49" i="31"/>
  <c r="BL49" i="31"/>
  <c r="P49" i="31"/>
  <c r="V49" i="31"/>
  <c r="AZ49" i="31"/>
  <c r="AT49" i="31"/>
  <c r="BF49" i="31"/>
  <c r="J49" i="31"/>
  <c r="BX49" i="31"/>
  <c r="AM49" i="31"/>
  <c r="AY49" i="31"/>
  <c r="BQ49" i="31"/>
  <c r="AA49" i="31"/>
  <c r="O49" i="31"/>
  <c r="U49" i="31"/>
  <c r="AG49" i="31"/>
  <c r="AS49" i="31"/>
  <c r="BE49" i="31"/>
  <c r="BK49" i="31"/>
  <c r="BW49" i="31"/>
  <c r="I49" i="31"/>
  <c r="BL195" i="31"/>
  <c r="AH195" i="31"/>
  <c r="P195" i="31"/>
  <c r="BR195" i="31"/>
  <c r="AT195" i="31"/>
  <c r="AB195" i="31"/>
  <c r="AZ195" i="31"/>
  <c r="AN195" i="31"/>
  <c r="BX195" i="31"/>
  <c r="J195" i="31"/>
  <c r="V195" i="31"/>
  <c r="BF195" i="31"/>
  <c r="O195" i="31"/>
  <c r="AM195" i="31"/>
  <c r="AY195" i="31"/>
  <c r="AA195" i="31"/>
  <c r="BQ195" i="31"/>
  <c r="U195" i="31"/>
  <c r="AG195" i="31"/>
  <c r="AS195" i="31"/>
  <c r="BE195" i="31"/>
  <c r="BK195" i="31"/>
  <c r="BW195" i="31"/>
  <c r="I195" i="31"/>
  <c r="AB132" i="31"/>
  <c r="BL132" i="31"/>
  <c r="BX132" i="31"/>
  <c r="V132" i="31"/>
  <c r="AT132" i="31"/>
  <c r="J132" i="31"/>
  <c r="AN132" i="31"/>
  <c r="P132" i="31"/>
  <c r="BF132" i="31"/>
  <c r="AH132" i="31"/>
  <c r="AZ132" i="31"/>
  <c r="BR132" i="31"/>
  <c r="AM132" i="31"/>
  <c r="AA132" i="31"/>
  <c r="O132" i="31"/>
  <c r="BQ132" i="31"/>
  <c r="AY132" i="31"/>
  <c r="U132" i="31"/>
  <c r="AG132" i="31"/>
  <c r="BE132" i="31"/>
  <c r="AS132" i="31"/>
  <c r="BK132" i="31"/>
  <c r="I132" i="31"/>
  <c r="BW132" i="31"/>
  <c r="AH249" i="31"/>
  <c r="J249" i="31"/>
  <c r="BX249" i="31"/>
  <c r="AZ249" i="31"/>
  <c r="V249" i="31"/>
  <c r="AN249" i="31"/>
  <c r="BR249" i="31"/>
  <c r="BL249" i="31"/>
  <c r="P249" i="31"/>
  <c r="AT249" i="31"/>
  <c r="BF249" i="31"/>
  <c r="AB249" i="31"/>
  <c r="O249" i="31"/>
  <c r="AY249" i="31"/>
  <c r="AM249" i="31"/>
  <c r="BQ249" i="31"/>
  <c r="AA249" i="31"/>
  <c r="U249" i="31"/>
  <c r="AG249" i="31"/>
  <c r="BE249" i="31"/>
  <c r="AS249" i="31"/>
  <c r="BK249" i="31"/>
  <c r="BW249" i="31"/>
  <c r="I249" i="31"/>
  <c r="AN339" i="31"/>
  <c r="BR339" i="31"/>
  <c r="AT339" i="31"/>
  <c r="V339" i="31"/>
  <c r="P339" i="31"/>
  <c r="J339" i="31"/>
  <c r="BF339" i="31"/>
  <c r="AZ339" i="31"/>
  <c r="AH339" i="31"/>
  <c r="AB339" i="31"/>
  <c r="BL339" i="31"/>
  <c r="BX339" i="31"/>
  <c r="O339" i="31"/>
  <c r="AA339" i="31"/>
  <c r="AY339" i="31"/>
  <c r="AM339" i="31"/>
  <c r="BQ339" i="31"/>
  <c r="U339" i="31"/>
  <c r="BE339" i="31"/>
  <c r="AG339" i="31"/>
  <c r="AS339" i="31"/>
  <c r="BK339" i="31"/>
  <c r="BW339" i="31"/>
  <c r="I339" i="31"/>
  <c r="AB253" i="31"/>
  <c r="P253" i="31"/>
  <c r="BX253" i="31"/>
  <c r="BF253" i="31"/>
  <c r="BL253" i="31"/>
  <c r="V253" i="31"/>
  <c r="AH253" i="31"/>
  <c r="AT253" i="31"/>
  <c r="AZ253" i="31"/>
  <c r="J253" i="31"/>
  <c r="AN253" i="31"/>
  <c r="BR253" i="31"/>
  <c r="O253" i="31"/>
  <c r="BQ253" i="31"/>
  <c r="AY253" i="31"/>
  <c r="AM253" i="31"/>
  <c r="AA253" i="31"/>
  <c r="U253" i="31"/>
  <c r="BE253" i="31"/>
  <c r="AG253" i="31"/>
  <c r="AS253" i="31"/>
  <c r="BK253" i="31"/>
  <c r="I253" i="31"/>
  <c r="BW253" i="31"/>
  <c r="AZ155" i="31"/>
  <c r="AB155" i="31"/>
  <c r="AH155" i="31"/>
  <c r="BR155" i="31"/>
  <c r="P155" i="31"/>
  <c r="BX155" i="31"/>
  <c r="AT155" i="31"/>
  <c r="J155" i="31"/>
  <c r="AN155" i="31"/>
  <c r="BL155" i="31"/>
  <c r="V155" i="31"/>
  <c r="BF155" i="31"/>
  <c r="AM155" i="31"/>
  <c r="AY155" i="31"/>
  <c r="O155" i="31"/>
  <c r="AA155" i="31"/>
  <c r="BQ155" i="31"/>
  <c r="U155" i="31"/>
  <c r="AG155" i="31"/>
  <c r="BE155" i="31"/>
  <c r="AS155" i="31"/>
  <c r="BK155" i="31"/>
  <c r="BW155" i="31"/>
  <c r="I155" i="31"/>
  <c r="AZ101" i="31"/>
  <c r="BL101" i="31"/>
  <c r="V101" i="31"/>
  <c r="P101" i="31"/>
  <c r="AT101" i="31"/>
  <c r="BR101" i="31"/>
  <c r="AH101" i="31"/>
  <c r="J101" i="31"/>
  <c r="AB101" i="31"/>
  <c r="AN101" i="31"/>
  <c r="BF101" i="31"/>
  <c r="BX101" i="31"/>
  <c r="AY101" i="31"/>
  <c r="AM101" i="31"/>
  <c r="AA101" i="31"/>
  <c r="O101" i="31"/>
  <c r="BQ101" i="31"/>
  <c r="U101" i="31"/>
  <c r="AG101" i="31"/>
  <c r="BE101" i="31"/>
  <c r="AS101" i="31"/>
  <c r="BK101" i="31"/>
  <c r="BW101" i="31"/>
  <c r="I101" i="31"/>
  <c r="AH58" i="31"/>
  <c r="P58" i="31"/>
  <c r="BL58" i="31"/>
  <c r="BX58" i="31"/>
  <c r="AN58" i="31"/>
  <c r="AB58" i="31"/>
  <c r="V58" i="31"/>
  <c r="AZ58" i="31"/>
  <c r="J58" i="31"/>
  <c r="AT58" i="31"/>
  <c r="BF58" i="31"/>
  <c r="BR58" i="31"/>
  <c r="AM58" i="31"/>
  <c r="AA58" i="31"/>
  <c r="BQ58" i="31"/>
  <c r="AY58" i="31"/>
  <c r="O58" i="31"/>
  <c r="U58" i="31"/>
  <c r="AG58" i="31"/>
  <c r="AS58" i="31"/>
  <c r="BE58" i="31"/>
  <c r="BK58" i="31"/>
  <c r="BW58" i="31"/>
  <c r="I58" i="31"/>
  <c r="P299" i="31"/>
  <c r="AN299" i="31"/>
  <c r="AB299" i="31"/>
  <c r="J299" i="31"/>
  <c r="BF299" i="31"/>
  <c r="AH299" i="31"/>
  <c r="BL299" i="31"/>
  <c r="AZ299" i="31"/>
  <c r="BR299" i="31"/>
  <c r="AT299" i="31"/>
  <c r="BX299" i="31"/>
  <c r="V299" i="31"/>
  <c r="O299" i="31"/>
  <c r="BQ299" i="31"/>
  <c r="AA299" i="31"/>
  <c r="AY299" i="31"/>
  <c r="AM299" i="31"/>
  <c r="U299" i="31"/>
  <c r="BE299" i="31"/>
  <c r="AG299" i="31"/>
  <c r="AS299" i="31"/>
  <c r="BK299" i="31"/>
  <c r="BW299" i="31"/>
  <c r="I299" i="31"/>
  <c r="AB189" i="31"/>
  <c r="AN189" i="31"/>
  <c r="AZ189" i="31"/>
  <c r="P189" i="31"/>
  <c r="V189" i="31"/>
  <c r="BL189" i="31"/>
  <c r="AT189" i="31"/>
  <c r="BR189" i="31"/>
  <c r="AH189" i="31"/>
  <c r="AY189" i="31"/>
  <c r="BF189" i="31"/>
  <c r="J189" i="31"/>
  <c r="BX189" i="31"/>
  <c r="AM189" i="31"/>
  <c r="O189" i="31"/>
  <c r="BQ189" i="31"/>
  <c r="AA189" i="31"/>
  <c r="AG189" i="31"/>
  <c r="U189" i="31"/>
  <c r="BE189" i="31"/>
  <c r="AS189" i="31"/>
  <c r="BK189" i="31"/>
  <c r="BW189" i="31"/>
  <c r="I189" i="31"/>
  <c r="AZ247" i="31"/>
  <c r="BF247" i="31"/>
  <c r="BL247" i="31"/>
  <c r="P247" i="31"/>
  <c r="AT247" i="31"/>
  <c r="AH247" i="31"/>
  <c r="AN247" i="31"/>
  <c r="V247" i="31"/>
  <c r="AB247" i="31"/>
  <c r="J247" i="31"/>
  <c r="BX247" i="31"/>
  <c r="BR247" i="31"/>
  <c r="AA247" i="31"/>
  <c r="O247" i="31"/>
  <c r="AM247" i="31"/>
  <c r="BQ247" i="31"/>
  <c r="AY247" i="31"/>
  <c r="U247" i="31"/>
  <c r="BE247" i="31"/>
  <c r="AG247" i="31"/>
  <c r="AS247" i="31"/>
  <c r="BK247" i="31"/>
  <c r="BW247" i="31"/>
  <c r="I247" i="31"/>
  <c r="BR52" i="31"/>
  <c r="V52" i="31"/>
  <c r="BX52" i="31"/>
  <c r="AT52" i="31"/>
  <c r="AN52" i="31"/>
  <c r="AZ52" i="31"/>
  <c r="AB52" i="31"/>
  <c r="BL52" i="31"/>
  <c r="BF52" i="31"/>
  <c r="J52" i="31"/>
  <c r="P52" i="31"/>
  <c r="AH52" i="31"/>
  <c r="AM52" i="31"/>
  <c r="AY52" i="31"/>
  <c r="AA52" i="31"/>
  <c r="O52" i="31"/>
  <c r="BQ52" i="31"/>
  <c r="U52" i="31"/>
  <c r="AG52" i="31"/>
  <c r="BE52" i="31"/>
  <c r="AS52" i="31"/>
  <c r="BK52" i="31"/>
  <c r="I52" i="31"/>
  <c r="BW52" i="31"/>
  <c r="AT265" i="31"/>
  <c r="AZ265" i="31"/>
  <c r="V265" i="31"/>
  <c r="AB265" i="31"/>
  <c r="P265" i="31"/>
  <c r="AN265" i="31"/>
  <c r="BL265" i="31"/>
  <c r="BF265" i="31"/>
  <c r="BR265" i="31"/>
  <c r="J265" i="31"/>
  <c r="AH265" i="31"/>
  <c r="BX265" i="31"/>
  <c r="BQ265" i="31"/>
  <c r="AM265" i="31"/>
  <c r="O265" i="31"/>
  <c r="AA265" i="31"/>
  <c r="AY265" i="31"/>
  <c r="AG265" i="31"/>
  <c r="U265" i="31"/>
  <c r="BE265" i="31"/>
  <c r="AS265" i="31"/>
  <c r="BK265" i="31"/>
  <c r="I265" i="31"/>
  <c r="BW265" i="31"/>
  <c r="AT114" i="31"/>
  <c r="BF114" i="31"/>
  <c r="AN114" i="31"/>
  <c r="P114" i="31"/>
  <c r="J114" i="31"/>
  <c r="BL114" i="31"/>
  <c r="AZ114" i="31"/>
  <c r="V114" i="31"/>
  <c r="BR114" i="31"/>
  <c r="AH114" i="31"/>
  <c r="AB114" i="31"/>
  <c r="BX114" i="31"/>
  <c r="BQ114" i="31"/>
  <c r="AA114" i="31"/>
  <c r="AY114" i="31"/>
  <c r="O114" i="31"/>
  <c r="AM114" i="31"/>
  <c r="U114" i="31"/>
  <c r="AG114" i="31"/>
  <c r="AS114" i="31"/>
  <c r="BE114" i="31"/>
  <c r="BK114" i="31"/>
  <c r="BW114" i="31"/>
  <c r="I114" i="31"/>
  <c r="BL297" i="31"/>
  <c r="J297" i="31"/>
  <c r="AH297" i="31"/>
  <c r="AZ297" i="31"/>
  <c r="V297" i="31"/>
  <c r="AB297" i="31"/>
  <c r="BR297" i="31"/>
  <c r="BF297" i="31"/>
  <c r="AT297" i="31"/>
  <c r="P297" i="31"/>
  <c r="BX297" i="31"/>
  <c r="AN297" i="31"/>
  <c r="AA297" i="31"/>
  <c r="AY297" i="31"/>
  <c r="AM297" i="31"/>
  <c r="BQ297" i="31"/>
  <c r="O297" i="31"/>
  <c r="U297" i="31"/>
  <c r="AS297" i="31"/>
  <c r="AG297" i="31"/>
  <c r="BE297" i="31"/>
  <c r="BW297" i="31"/>
  <c r="BK297" i="31"/>
  <c r="I297" i="31"/>
  <c r="AB127" i="31"/>
  <c r="BR127" i="31"/>
  <c r="P127" i="31"/>
  <c r="BL127" i="31"/>
  <c r="BF127" i="31"/>
  <c r="V127" i="31"/>
  <c r="AN127" i="31"/>
  <c r="J127" i="31"/>
  <c r="AH127" i="31"/>
  <c r="AZ127" i="31"/>
  <c r="AT127" i="31"/>
  <c r="BX127" i="31"/>
  <c r="BQ127" i="31"/>
  <c r="AM127" i="31"/>
  <c r="AA127" i="31"/>
  <c r="AY127" i="31"/>
  <c r="O127" i="31"/>
  <c r="U127" i="31"/>
  <c r="AG127" i="31"/>
  <c r="AS127" i="31"/>
  <c r="BE127" i="31"/>
  <c r="BK127" i="31"/>
  <c r="BW127" i="31"/>
  <c r="I127" i="31"/>
  <c r="BF84" i="31"/>
  <c r="J84" i="31"/>
  <c r="AH84" i="31"/>
  <c r="AN84" i="31"/>
  <c r="AB84" i="31"/>
  <c r="AT84" i="31"/>
  <c r="V84" i="31"/>
  <c r="P84" i="31"/>
  <c r="AZ84" i="31"/>
  <c r="BL84" i="31"/>
  <c r="BR84" i="31"/>
  <c r="BX84" i="31"/>
  <c r="AY84" i="31"/>
  <c r="AM84" i="31"/>
  <c r="BQ84" i="31"/>
  <c r="AA84" i="31"/>
  <c r="O84" i="31"/>
  <c r="U84" i="31"/>
  <c r="AG84" i="31"/>
  <c r="AS84" i="31"/>
  <c r="BE84" i="31"/>
  <c r="BK84" i="31"/>
  <c r="BW84" i="31"/>
  <c r="I84" i="31"/>
  <c r="P333" i="31"/>
  <c r="J333" i="31"/>
  <c r="BL333" i="31"/>
  <c r="AN333" i="31"/>
  <c r="BX333" i="31"/>
  <c r="AT333" i="31"/>
  <c r="V333" i="31"/>
  <c r="BF333" i="31"/>
  <c r="AB333" i="31"/>
  <c r="AH333" i="31"/>
  <c r="BR333" i="31"/>
  <c r="AZ333" i="31"/>
  <c r="AA333" i="31"/>
  <c r="O333" i="31"/>
  <c r="AM333" i="31"/>
  <c r="BQ333" i="31"/>
  <c r="AY333" i="31"/>
  <c r="U333" i="31"/>
  <c r="AG333" i="31"/>
  <c r="BE333" i="31"/>
  <c r="AS333" i="31"/>
  <c r="BK333" i="31"/>
  <c r="BW333" i="31"/>
  <c r="I333" i="31"/>
  <c r="BF105" i="31"/>
  <c r="AZ105" i="31"/>
  <c r="P105" i="31"/>
  <c r="V105" i="31"/>
  <c r="BL105" i="31"/>
  <c r="BX105" i="31"/>
  <c r="BR105" i="31"/>
  <c r="AT105" i="31"/>
  <c r="AN105" i="31"/>
  <c r="AB105" i="31"/>
  <c r="AY105" i="31"/>
  <c r="J105" i="31"/>
  <c r="AH105" i="31"/>
  <c r="AM105" i="31"/>
  <c r="AA105" i="31"/>
  <c r="O105" i="31"/>
  <c r="BQ105" i="31"/>
  <c r="U105" i="31"/>
  <c r="BE105" i="31"/>
  <c r="AG105" i="31"/>
  <c r="AS105" i="31"/>
  <c r="BK105" i="31"/>
  <c r="I105" i="31"/>
  <c r="BW105" i="31"/>
  <c r="J188" i="31"/>
  <c r="AB188" i="31"/>
  <c r="BR188" i="31"/>
  <c r="AT188" i="31"/>
  <c r="P188" i="31"/>
  <c r="AN188" i="31"/>
  <c r="BX188" i="31"/>
  <c r="V188" i="31"/>
  <c r="AH188" i="31"/>
  <c r="BL188" i="31"/>
  <c r="BF188" i="31"/>
  <c r="AZ188" i="31"/>
  <c r="AY188" i="31"/>
  <c r="BQ188" i="31"/>
  <c r="O188" i="31"/>
  <c r="AA188" i="31"/>
  <c r="AM188" i="31"/>
  <c r="U188" i="31"/>
  <c r="AG188" i="31"/>
  <c r="BE188" i="31"/>
  <c r="AS188" i="31"/>
  <c r="BK188" i="31"/>
  <c r="BW188" i="31"/>
  <c r="I188" i="31"/>
  <c r="J170" i="31"/>
  <c r="AT170" i="31"/>
  <c r="BR170" i="31"/>
  <c r="BL170" i="31"/>
  <c r="BF170" i="31"/>
  <c r="AN170" i="31"/>
  <c r="AH170" i="31"/>
  <c r="P170" i="31"/>
  <c r="V170" i="31"/>
  <c r="BX170" i="31"/>
  <c r="AZ170" i="31"/>
  <c r="AB170" i="31"/>
  <c r="AM170" i="31"/>
  <c r="BQ170" i="31"/>
  <c r="O170" i="31"/>
  <c r="AA170" i="31"/>
  <c r="AY170" i="31"/>
  <c r="U170" i="31"/>
  <c r="AS170" i="31"/>
  <c r="BE170" i="31"/>
  <c r="AG170" i="31"/>
  <c r="BK170" i="31"/>
  <c r="BW170" i="31"/>
  <c r="I170" i="31"/>
  <c r="AH341" i="31"/>
  <c r="BR341" i="31"/>
  <c r="BX341" i="31"/>
  <c r="AZ341" i="31"/>
  <c r="V341" i="31"/>
  <c r="P341" i="31"/>
  <c r="BL341" i="31"/>
  <c r="AT341" i="31"/>
  <c r="AB341" i="31"/>
  <c r="AN341" i="31"/>
  <c r="J341" i="31"/>
  <c r="AA341" i="31"/>
  <c r="BF341" i="31"/>
  <c r="BQ341" i="31"/>
  <c r="AM341" i="31"/>
  <c r="AY341" i="31"/>
  <c r="O341" i="31"/>
  <c r="U341" i="31"/>
  <c r="AG341" i="31"/>
  <c r="BE341" i="31"/>
  <c r="AS341" i="31"/>
  <c r="BW341" i="31"/>
  <c r="BK341" i="31"/>
  <c r="I341" i="31"/>
  <c r="J256" i="31"/>
  <c r="V256" i="31"/>
  <c r="AH256" i="31"/>
  <c r="AZ256" i="31"/>
  <c r="AN256" i="31"/>
  <c r="BX256" i="31"/>
  <c r="BL256" i="31"/>
  <c r="BR256" i="31"/>
  <c r="AB256" i="31"/>
  <c r="AT256" i="31"/>
  <c r="BF256" i="31"/>
  <c r="P256" i="31"/>
  <c r="BQ256" i="31"/>
  <c r="AY256" i="31"/>
  <c r="AA256" i="31"/>
  <c r="AM256" i="31"/>
  <c r="O256" i="31"/>
  <c r="U256" i="31"/>
  <c r="AS256" i="31"/>
  <c r="BE256" i="31"/>
  <c r="AG256" i="31"/>
  <c r="BK256" i="31"/>
  <c r="BW256" i="31"/>
  <c r="I256" i="31"/>
  <c r="J148" i="31"/>
  <c r="AT148" i="31"/>
  <c r="AZ148" i="31"/>
  <c r="AN148" i="31"/>
  <c r="AB148" i="31"/>
  <c r="BF148" i="31"/>
  <c r="AH148" i="31"/>
  <c r="P148" i="31"/>
  <c r="V148" i="31"/>
  <c r="BX148" i="31"/>
  <c r="BL148" i="31"/>
  <c r="BR148" i="31"/>
  <c r="AM148" i="31"/>
  <c r="O148" i="31"/>
  <c r="BQ148" i="31"/>
  <c r="AA148" i="31"/>
  <c r="AY148" i="31"/>
  <c r="U148" i="31"/>
  <c r="BE148" i="31"/>
  <c r="AG148" i="31"/>
  <c r="AS148" i="31"/>
  <c r="BK148" i="31"/>
  <c r="BW148" i="31"/>
  <c r="I148" i="31"/>
  <c r="AB212" i="31"/>
  <c r="BF212" i="31"/>
  <c r="BX212" i="31"/>
  <c r="J212" i="31"/>
  <c r="AT212" i="31"/>
  <c r="BL212" i="31"/>
  <c r="AN212" i="31"/>
  <c r="V212" i="31"/>
  <c r="AZ212" i="31"/>
  <c r="BR212" i="31"/>
  <c r="P212" i="31"/>
  <c r="AH212" i="31"/>
  <c r="O212" i="31"/>
  <c r="AA212" i="31"/>
  <c r="AY212" i="31"/>
  <c r="AM212" i="31"/>
  <c r="BQ212" i="31"/>
  <c r="U212" i="31"/>
  <c r="AG212" i="31"/>
  <c r="BE212" i="31"/>
  <c r="AS212" i="31"/>
  <c r="BW212" i="31"/>
  <c r="BK212" i="31"/>
  <c r="I212" i="31"/>
  <c r="AZ87" i="31"/>
  <c r="BR87" i="31"/>
  <c r="AH87" i="31"/>
  <c r="AN87" i="31"/>
  <c r="AB87" i="31"/>
  <c r="BL87" i="31"/>
  <c r="J87" i="31"/>
  <c r="V87" i="31"/>
  <c r="BX87" i="31"/>
  <c r="AT87" i="31"/>
  <c r="BF87" i="31"/>
  <c r="P87" i="31"/>
  <c r="O87" i="31"/>
  <c r="AM87" i="31"/>
  <c r="AA87" i="31"/>
  <c r="BQ87" i="31"/>
  <c r="AY87" i="31"/>
  <c r="U87" i="31"/>
  <c r="AG87" i="31"/>
  <c r="BE87" i="31"/>
  <c r="AS87" i="31"/>
  <c r="BK87" i="31"/>
  <c r="BW87" i="31"/>
  <c r="I87" i="31"/>
  <c r="BF70" i="31"/>
  <c r="BR70" i="31"/>
  <c r="P70" i="31"/>
  <c r="BX70" i="31"/>
  <c r="AH70" i="31"/>
  <c r="AT70" i="31"/>
  <c r="AN70" i="31"/>
  <c r="AB70" i="31"/>
  <c r="V70" i="31"/>
  <c r="AZ70" i="31"/>
  <c r="BL70" i="31"/>
  <c r="J70" i="31"/>
  <c r="AM70" i="31"/>
  <c r="AY70" i="31"/>
  <c r="BQ70" i="31"/>
  <c r="AA70" i="31"/>
  <c r="U70" i="31"/>
  <c r="O70" i="31"/>
  <c r="BE70" i="31"/>
  <c r="AS70" i="31"/>
  <c r="AG70" i="31"/>
  <c r="BK70" i="31"/>
  <c r="BW70" i="31"/>
  <c r="I70" i="31"/>
  <c r="P75" i="31"/>
  <c r="AT75" i="31"/>
  <c r="V75" i="31"/>
  <c r="BL75" i="31"/>
  <c r="AN75" i="31"/>
  <c r="BR75" i="31"/>
  <c r="AB75" i="31"/>
  <c r="AH75" i="31"/>
  <c r="J75" i="31"/>
  <c r="BF75" i="31"/>
  <c r="AZ75" i="31"/>
  <c r="AY75" i="31"/>
  <c r="O75" i="31"/>
  <c r="BX75" i="31"/>
  <c r="AM75" i="31"/>
  <c r="AA75" i="31"/>
  <c r="BQ75" i="31"/>
  <c r="AG75" i="31"/>
  <c r="U75" i="31"/>
  <c r="AS75" i="31"/>
  <c r="BE75" i="31"/>
  <c r="BK75" i="31"/>
  <c r="BW75" i="31"/>
  <c r="I75" i="31"/>
  <c r="V199" i="31"/>
  <c r="J199" i="31"/>
  <c r="P199" i="31"/>
  <c r="BR199" i="31"/>
  <c r="BL199" i="31"/>
  <c r="AT199" i="31"/>
  <c r="AN199" i="31"/>
  <c r="AH199" i="31"/>
  <c r="BX199" i="31"/>
  <c r="AB199" i="31"/>
  <c r="BF199" i="31"/>
  <c r="AZ199" i="31"/>
  <c r="O199" i="31"/>
  <c r="AM199" i="31"/>
  <c r="BQ199" i="31"/>
  <c r="AA199" i="31"/>
  <c r="AY199" i="31"/>
  <c r="U199" i="31"/>
  <c r="AG199" i="31"/>
  <c r="BE199" i="31"/>
  <c r="AS199" i="31"/>
  <c r="BK199" i="31"/>
  <c r="BW199" i="31"/>
  <c r="I199" i="31"/>
  <c r="J335" i="31"/>
  <c r="BR335" i="31"/>
  <c r="BX335" i="31"/>
  <c r="BL335" i="31"/>
  <c r="AN335" i="31"/>
  <c r="P335" i="31"/>
  <c r="AB335" i="31"/>
  <c r="BF335" i="31"/>
  <c r="AZ335" i="31"/>
  <c r="AT335" i="31"/>
  <c r="AH335" i="31"/>
  <c r="V335" i="31"/>
  <c r="O335" i="31"/>
  <c r="AY335" i="31"/>
  <c r="BQ335" i="31"/>
  <c r="AA335" i="31"/>
  <c r="AM335" i="31"/>
  <c r="U335" i="31"/>
  <c r="AG335" i="31"/>
  <c r="AS335" i="31"/>
  <c r="BE335" i="31"/>
  <c r="BK335" i="31"/>
  <c r="BW335" i="31"/>
  <c r="I335" i="31"/>
  <c r="BF306" i="31"/>
  <c r="AB306" i="31"/>
  <c r="BX306" i="31"/>
  <c r="J306" i="31"/>
  <c r="P306" i="31"/>
  <c r="AT306" i="31"/>
  <c r="V306" i="31"/>
  <c r="AN306" i="31"/>
  <c r="BR306" i="31"/>
  <c r="BL306" i="31"/>
  <c r="AZ306" i="31"/>
  <c r="AH306" i="31"/>
  <c r="BQ306" i="31"/>
  <c r="AM306" i="31"/>
  <c r="O306" i="31"/>
  <c r="AA306" i="31"/>
  <c r="AY306" i="31"/>
  <c r="U306" i="31"/>
  <c r="AG306" i="31"/>
  <c r="BE306" i="31"/>
  <c r="BK306" i="31"/>
  <c r="AS306" i="31"/>
  <c r="I306" i="31"/>
  <c r="BW306" i="31"/>
  <c r="J316" i="31"/>
  <c r="V316" i="31"/>
  <c r="P316" i="31"/>
  <c r="AB316" i="31"/>
  <c r="BF316" i="31"/>
  <c r="AH316" i="31"/>
  <c r="AT316" i="31"/>
  <c r="AN316" i="31"/>
  <c r="BX316" i="31"/>
  <c r="AZ316" i="31"/>
  <c r="BR316" i="31"/>
  <c r="BL316" i="31"/>
  <c r="AY316" i="31"/>
  <c r="AA316" i="31"/>
  <c r="AM316" i="31"/>
  <c r="BQ316" i="31"/>
  <c r="O316" i="31"/>
  <c r="U316" i="31"/>
  <c r="AS316" i="31"/>
  <c r="AG316" i="31"/>
  <c r="BE316" i="31"/>
  <c r="BK316" i="31"/>
  <c r="BW316" i="31"/>
  <c r="I316" i="31"/>
  <c r="AN65" i="31"/>
  <c r="AT65" i="31"/>
  <c r="BL65" i="31"/>
  <c r="AZ65" i="31"/>
  <c r="P65" i="31"/>
  <c r="V65" i="31"/>
  <c r="AB65" i="31"/>
  <c r="J65" i="31"/>
  <c r="BF65" i="31"/>
  <c r="BR65" i="31"/>
  <c r="AH65" i="31"/>
  <c r="BX65" i="31"/>
  <c r="AY65" i="31"/>
  <c r="AA65" i="31"/>
  <c r="AM65" i="31"/>
  <c r="BQ65" i="31"/>
  <c r="U65" i="31"/>
  <c r="AG65" i="31"/>
  <c r="AS65" i="31"/>
  <c r="BE65" i="31"/>
  <c r="O65" i="31"/>
  <c r="BK65" i="31"/>
  <c r="BW65" i="31"/>
  <c r="I65" i="31"/>
  <c r="BL99" i="31"/>
  <c r="AH99" i="31"/>
  <c r="BF99" i="31"/>
  <c r="J99" i="31"/>
  <c r="AN99" i="31"/>
  <c r="AZ99" i="31"/>
  <c r="BX99" i="31"/>
  <c r="BR99" i="31"/>
  <c r="P99" i="31"/>
  <c r="V99" i="31"/>
  <c r="AT99" i="31"/>
  <c r="AB99" i="31"/>
  <c r="AY99" i="31"/>
  <c r="BQ99" i="31"/>
  <c r="O99" i="31"/>
  <c r="AM99" i="31"/>
  <c r="AA99" i="31"/>
  <c r="U99" i="31"/>
  <c r="AG99" i="31"/>
  <c r="AS99" i="31"/>
  <c r="BE99" i="31"/>
  <c r="BW99" i="31"/>
  <c r="BK99" i="31"/>
  <c r="I99" i="31"/>
  <c r="BL174" i="31"/>
  <c r="J174" i="31"/>
  <c r="V174" i="31"/>
  <c r="AN174" i="31"/>
  <c r="BF174" i="31"/>
  <c r="AT174" i="31"/>
  <c r="AB174" i="31"/>
  <c r="AH174" i="31"/>
  <c r="BR174" i="31"/>
  <c r="P174" i="31"/>
  <c r="BX174" i="31"/>
  <c r="AZ174" i="31"/>
  <c r="AM174" i="31"/>
  <c r="AY174" i="31"/>
  <c r="BQ174" i="31"/>
  <c r="AA174" i="31"/>
  <c r="U174" i="31"/>
  <c r="O174" i="31"/>
  <c r="AG174" i="31"/>
  <c r="AS174" i="31"/>
  <c r="BE174" i="31"/>
  <c r="BK174" i="31"/>
  <c r="BW174" i="31"/>
  <c r="I174" i="31"/>
  <c r="V340" i="31"/>
  <c r="AZ340" i="31"/>
  <c r="J340" i="31"/>
  <c r="BX340" i="31"/>
  <c r="AN340" i="31"/>
  <c r="AB340" i="31"/>
  <c r="BR340" i="31"/>
  <c r="BL340" i="31"/>
  <c r="BF340" i="31"/>
  <c r="AH340" i="31"/>
  <c r="AT340" i="31"/>
  <c r="P340" i="31"/>
  <c r="AM340" i="31"/>
  <c r="BQ340" i="31"/>
  <c r="AA340" i="31"/>
  <c r="AY340" i="31"/>
  <c r="O340" i="31"/>
  <c r="AG340" i="31"/>
  <c r="U340" i="31"/>
  <c r="AS340" i="31"/>
  <c r="BE340" i="31"/>
  <c r="BK340" i="31"/>
  <c r="BW340" i="31"/>
  <c r="I340" i="31"/>
  <c r="AZ121" i="31"/>
  <c r="AB121" i="31"/>
  <c r="P121" i="31"/>
  <c r="AN121" i="31"/>
  <c r="AH121" i="31"/>
  <c r="BL121" i="31"/>
  <c r="V121" i="31"/>
  <c r="BR121" i="31"/>
  <c r="AT121" i="31"/>
  <c r="BF121" i="31"/>
  <c r="BX121" i="31"/>
  <c r="J121" i="31"/>
  <c r="BQ121" i="31"/>
  <c r="AY121" i="31"/>
  <c r="AA121" i="31"/>
  <c r="O121" i="31"/>
  <c r="AM121" i="31"/>
  <c r="U121" i="31"/>
  <c r="AG121" i="31"/>
  <c r="AS121" i="31"/>
  <c r="BE121" i="31"/>
  <c r="BK121" i="31"/>
  <c r="BW121" i="31"/>
  <c r="I121" i="31"/>
  <c r="AT163" i="31"/>
  <c r="J163" i="31"/>
  <c r="AN163" i="31"/>
  <c r="AH163" i="31"/>
  <c r="BF163" i="31"/>
  <c r="V163" i="31"/>
  <c r="AB163" i="31"/>
  <c r="P163" i="31"/>
  <c r="AZ163" i="31"/>
  <c r="BR163" i="31"/>
  <c r="BL163" i="31"/>
  <c r="BX163" i="31"/>
  <c r="O163" i="31"/>
  <c r="BQ163" i="31"/>
  <c r="AM163" i="31"/>
  <c r="AA163" i="31"/>
  <c r="AY163" i="31"/>
  <c r="U163" i="31"/>
  <c r="BE163" i="31"/>
  <c r="AG163" i="31"/>
  <c r="BK163" i="31"/>
  <c r="AS163" i="31"/>
  <c r="BW163" i="31"/>
  <c r="I163" i="31"/>
  <c r="V267" i="31"/>
  <c r="BR267" i="31"/>
  <c r="BL267" i="31"/>
  <c r="AH267" i="31"/>
  <c r="AZ267" i="31"/>
  <c r="J267" i="31"/>
  <c r="AN267" i="31"/>
  <c r="BF267" i="31"/>
  <c r="BX267" i="31"/>
  <c r="AT267" i="31"/>
  <c r="P267" i="31"/>
  <c r="AB267" i="31"/>
  <c r="AA267" i="31"/>
  <c r="AM267" i="31"/>
  <c r="AY267" i="31"/>
  <c r="O267" i="31"/>
  <c r="BQ267" i="31"/>
  <c r="U267" i="31"/>
  <c r="AG267" i="31"/>
  <c r="AS267" i="31"/>
  <c r="BE267" i="31"/>
  <c r="BK267" i="31"/>
  <c r="BW267" i="31"/>
  <c r="I267" i="31"/>
  <c r="V240" i="31"/>
  <c r="BX240" i="31"/>
  <c r="BF240" i="31"/>
  <c r="BR240" i="31"/>
  <c r="AT240" i="31"/>
  <c r="AN240" i="31"/>
  <c r="P240" i="31"/>
  <c r="AZ240" i="31"/>
  <c r="J240" i="31"/>
  <c r="AB240" i="31"/>
  <c r="AH240" i="31"/>
  <c r="BL240" i="31"/>
  <c r="AM240" i="31"/>
  <c r="AY240" i="31"/>
  <c r="AA240" i="31"/>
  <c r="BQ240" i="31"/>
  <c r="O240" i="31"/>
  <c r="U240" i="31"/>
  <c r="BE240" i="31"/>
  <c r="AG240" i="31"/>
  <c r="AS240" i="31"/>
  <c r="BK240" i="31"/>
  <c r="I240" i="31"/>
  <c r="BW240" i="31"/>
  <c r="BL288" i="31"/>
  <c r="AT288" i="31"/>
  <c r="J288" i="31"/>
  <c r="V288" i="31"/>
  <c r="AZ288" i="31"/>
  <c r="AB288" i="31"/>
  <c r="BX288" i="31"/>
  <c r="P288" i="31"/>
  <c r="AN288" i="31"/>
  <c r="BR288" i="31"/>
  <c r="AH288" i="31"/>
  <c r="AY288" i="31"/>
  <c r="BF288" i="31"/>
  <c r="O288" i="31"/>
  <c r="BQ288" i="31"/>
  <c r="AM288" i="31"/>
  <c r="AA288" i="31"/>
  <c r="AG288" i="31"/>
  <c r="U288" i="31"/>
  <c r="AS288" i="31"/>
  <c r="BE288" i="31"/>
  <c r="BW288" i="31"/>
  <c r="BK288" i="31"/>
  <c r="I288" i="31"/>
  <c r="BF51" i="31"/>
  <c r="AZ51" i="31"/>
  <c r="BX51" i="31"/>
  <c r="AH51" i="31"/>
  <c r="BR51" i="31"/>
  <c r="AT51" i="31"/>
  <c r="J51" i="31"/>
  <c r="BL51" i="31"/>
  <c r="V51" i="31"/>
  <c r="AN51" i="31"/>
  <c r="AB51" i="31"/>
  <c r="P51" i="31"/>
  <c r="AY51" i="31"/>
  <c r="BQ51" i="31"/>
  <c r="AA51" i="31"/>
  <c r="AM51" i="31"/>
  <c r="O51" i="31"/>
  <c r="AG51" i="31"/>
  <c r="U51" i="31"/>
  <c r="AS51" i="31"/>
  <c r="BK51" i="31"/>
  <c r="BE51" i="31"/>
  <c r="BW51" i="31"/>
  <c r="I51" i="31"/>
  <c r="BL11" i="31"/>
  <c r="AN11" i="31"/>
  <c r="P11" i="31"/>
  <c r="BR11" i="31"/>
  <c r="BF11" i="31"/>
  <c r="AB11" i="31"/>
  <c r="AT11" i="31"/>
  <c r="AZ11" i="31"/>
  <c r="BX11" i="31"/>
  <c r="J11" i="31"/>
  <c r="V11" i="31"/>
  <c r="AH11" i="31"/>
  <c r="AA11" i="31"/>
  <c r="O11" i="31"/>
  <c r="AM11" i="31"/>
  <c r="AY11" i="31"/>
  <c r="BQ11" i="31"/>
  <c r="U11" i="31"/>
  <c r="BE11" i="31"/>
  <c r="AG11" i="31"/>
  <c r="AS11" i="31"/>
  <c r="BK11" i="31"/>
  <c r="BW11" i="31"/>
  <c r="I11" i="31"/>
  <c r="AN60" i="31"/>
  <c r="BR60" i="31"/>
  <c r="AH60" i="31"/>
  <c r="P60" i="31"/>
  <c r="BF60" i="31"/>
  <c r="AZ60" i="31"/>
  <c r="J60" i="31"/>
  <c r="V60" i="31"/>
  <c r="BL60" i="31"/>
  <c r="AT60" i="31"/>
  <c r="BX60" i="31"/>
  <c r="AB60" i="31"/>
  <c r="BQ60" i="31"/>
  <c r="AY60" i="31"/>
  <c r="AM60" i="31"/>
  <c r="AA60" i="31"/>
  <c r="O60" i="31"/>
  <c r="U60" i="31"/>
  <c r="AG60" i="31"/>
  <c r="AS60" i="31"/>
  <c r="BE60" i="31"/>
  <c r="BK60" i="31"/>
  <c r="BW60" i="31"/>
  <c r="I60" i="31"/>
  <c r="J191" i="31"/>
  <c r="AH191" i="31"/>
  <c r="BR191" i="31"/>
  <c r="AT191" i="31"/>
  <c r="V191" i="31"/>
  <c r="P191" i="31"/>
  <c r="AB191" i="31"/>
  <c r="BX191" i="31"/>
  <c r="AN191" i="31"/>
  <c r="BL191" i="31"/>
  <c r="AZ191" i="31"/>
  <c r="BF191" i="31"/>
  <c r="AY191" i="31"/>
  <c r="AM191" i="31"/>
  <c r="AA191" i="31"/>
  <c r="BQ191" i="31"/>
  <c r="O191" i="31"/>
  <c r="AG191" i="31"/>
  <c r="U191" i="31"/>
  <c r="BE191" i="31"/>
  <c r="AS191" i="31"/>
  <c r="BK191" i="31"/>
  <c r="BW191" i="31"/>
  <c r="I191" i="31"/>
  <c r="AB241" i="31"/>
  <c r="AZ241" i="31"/>
  <c r="BF241" i="31"/>
  <c r="AT241" i="31"/>
  <c r="J241" i="31"/>
  <c r="BL241" i="31"/>
  <c r="AH241" i="31"/>
  <c r="AN241" i="31"/>
  <c r="V241" i="31"/>
  <c r="BR241" i="31"/>
  <c r="BX241" i="31"/>
  <c r="P241" i="31"/>
  <c r="AY241" i="31"/>
  <c r="BQ241" i="31"/>
  <c r="AA241" i="31"/>
  <c r="O241" i="31"/>
  <c r="AM241" i="31"/>
  <c r="U241" i="31"/>
  <c r="AG241" i="31"/>
  <c r="BE241" i="31"/>
  <c r="AS241" i="31"/>
  <c r="BK241" i="31"/>
  <c r="BW241" i="31"/>
  <c r="I241" i="31"/>
  <c r="P28" i="31"/>
  <c r="AT28" i="31"/>
  <c r="J28" i="31"/>
  <c r="BL28" i="31"/>
  <c r="AN28" i="31"/>
  <c r="AB28" i="31"/>
  <c r="BR28" i="31"/>
  <c r="AH28" i="31"/>
  <c r="BX28" i="31"/>
  <c r="V28" i="31"/>
  <c r="AZ28" i="31"/>
  <c r="BF28" i="31"/>
  <c r="AM28" i="31"/>
  <c r="AY28" i="31"/>
  <c r="BQ28" i="31"/>
  <c r="O28" i="31"/>
  <c r="AA28" i="31"/>
  <c r="U28" i="31"/>
  <c r="AG28" i="31"/>
  <c r="AS28" i="31"/>
  <c r="BE28" i="31"/>
  <c r="BW28" i="31"/>
  <c r="BK28" i="31"/>
  <c r="I28" i="31"/>
  <c r="AB216" i="31"/>
  <c r="V216" i="31"/>
  <c r="AH216" i="31"/>
  <c r="BF216" i="31"/>
  <c r="P216" i="31"/>
  <c r="AT216" i="31"/>
  <c r="AN216" i="31"/>
  <c r="BL216" i="31"/>
  <c r="BX216" i="31"/>
  <c r="AZ216" i="31"/>
  <c r="J216" i="31"/>
  <c r="BR216" i="31"/>
  <c r="AM216" i="31"/>
  <c r="AY216" i="31"/>
  <c r="BQ216" i="31"/>
  <c r="AA216" i="31"/>
  <c r="O216" i="31"/>
  <c r="U216" i="31"/>
  <c r="AG216" i="31"/>
  <c r="AS216" i="31"/>
  <c r="BE216" i="31"/>
  <c r="BK216" i="31"/>
  <c r="BW216" i="31"/>
  <c r="I216" i="31"/>
  <c r="AZ157" i="31"/>
  <c r="J157" i="31"/>
  <c r="AN157" i="31"/>
  <c r="BF157" i="31"/>
  <c r="BR157" i="31"/>
  <c r="P157" i="31"/>
  <c r="BX157" i="31"/>
  <c r="AH157" i="31"/>
  <c r="AT157" i="31"/>
  <c r="V157" i="31"/>
  <c r="AB157" i="31"/>
  <c r="O157" i="31"/>
  <c r="BL157" i="31"/>
  <c r="AM157" i="31"/>
  <c r="BQ157" i="31"/>
  <c r="AY157" i="31"/>
  <c r="AA157" i="31"/>
  <c r="U157" i="31"/>
  <c r="AG157" i="31"/>
  <c r="BE157" i="31"/>
  <c r="AS157" i="31"/>
  <c r="BW157" i="31"/>
  <c r="BK157" i="31"/>
  <c r="I157" i="31"/>
  <c r="V202" i="31"/>
  <c r="AN202" i="31"/>
  <c r="J202" i="31"/>
  <c r="BL202" i="31"/>
  <c r="AZ202" i="31"/>
  <c r="AH202" i="31"/>
  <c r="AT202" i="31"/>
  <c r="BR202" i="31"/>
  <c r="AB202" i="31"/>
  <c r="BF202" i="31"/>
  <c r="P202" i="31"/>
  <c r="BX202" i="31"/>
  <c r="BQ202" i="31"/>
  <c r="AM202" i="31"/>
  <c r="AY202" i="31"/>
  <c r="AA202" i="31"/>
  <c r="O202" i="31"/>
  <c r="AG202" i="31"/>
  <c r="U202" i="31"/>
  <c r="AS202" i="31"/>
  <c r="BE202" i="31"/>
  <c r="BK202" i="31"/>
  <c r="BW202" i="31"/>
  <c r="I202" i="31"/>
  <c r="P205" i="31"/>
  <c r="AT205" i="31"/>
  <c r="AN205" i="31"/>
  <c r="J205" i="31"/>
  <c r="BF205" i="31"/>
  <c r="AH205" i="31"/>
  <c r="BX205" i="31"/>
  <c r="AZ205" i="31"/>
  <c r="V205" i="31"/>
  <c r="BR205" i="31"/>
  <c r="BL205" i="31"/>
  <c r="AB205" i="31"/>
  <c r="BQ205" i="31"/>
  <c r="AA205" i="31"/>
  <c r="O205" i="31"/>
  <c r="AY205" i="31"/>
  <c r="AM205" i="31"/>
  <c r="U205" i="31"/>
  <c r="AG205" i="31"/>
  <c r="BE205" i="31"/>
  <c r="AS205" i="31"/>
  <c r="BK205" i="31"/>
  <c r="BW205" i="31"/>
  <c r="I205" i="31"/>
  <c r="AT201" i="31"/>
  <c r="J201" i="31"/>
  <c r="BR201" i="31"/>
  <c r="BX201" i="31"/>
  <c r="BF201" i="31"/>
  <c r="AZ201" i="31"/>
  <c r="V201" i="31"/>
  <c r="AB201" i="31"/>
  <c r="AH201" i="31"/>
  <c r="AN201" i="31"/>
  <c r="P201" i="31"/>
  <c r="BL201" i="31"/>
  <c r="AA201" i="31"/>
  <c r="O201" i="31"/>
  <c r="AM201" i="31"/>
  <c r="BQ201" i="31"/>
  <c r="AY201" i="31"/>
  <c r="U201" i="31"/>
  <c r="AG201" i="31"/>
  <c r="BE201" i="31"/>
  <c r="AS201" i="31"/>
  <c r="BK201" i="31"/>
  <c r="BW201" i="31"/>
  <c r="I201" i="31"/>
  <c r="P352" i="31"/>
  <c r="BF352" i="31"/>
  <c r="BR352" i="31"/>
  <c r="AH352" i="31"/>
  <c r="J352" i="31"/>
  <c r="BL352" i="31"/>
  <c r="V352" i="31"/>
  <c r="AN352" i="31"/>
  <c r="BX352" i="31"/>
  <c r="AB352" i="31"/>
  <c r="AZ352" i="31"/>
  <c r="AT352" i="31"/>
  <c r="AM352" i="31"/>
  <c r="AY352" i="31"/>
  <c r="BQ352" i="31"/>
  <c r="AA352" i="31"/>
  <c r="O352" i="31"/>
  <c r="AG352" i="31"/>
  <c r="U352" i="31"/>
  <c r="AS352" i="31"/>
  <c r="BE352" i="31"/>
  <c r="BK352" i="31"/>
  <c r="BW352" i="31"/>
  <c r="I352" i="31"/>
  <c r="J246" i="31"/>
  <c r="AB246" i="31"/>
  <c r="AT246" i="31"/>
  <c r="AN246" i="31"/>
  <c r="BL246" i="31"/>
  <c r="V246" i="31"/>
  <c r="AH246" i="31"/>
  <c r="P246" i="31"/>
  <c r="BR246" i="31"/>
  <c r="BF246" i="31"/>
  <c r="AZ246" i="31"/>
  <c r="BX246" i="31"/>
  <c r="AY246" i="31"/>
  <c r="BQ246" i="31"/>
  <c r="AA246" i="31"/>
  <c r="AM246" i="31"/>
  <c r="O246" i="31"/>
  <c r="U246" i="31"/>
  <c r="AG246" i="31"/>
  <c r="AS246" i="31"/>
  <c r="BE246" i="31"/>
  <c r="BK246" i="31"/>
  <c r="BW246" i="31"/>
  <c r="I246" i="31"/>
  <c r="BL257" i="31"/>
  <c r="AZ257" i="31"/>
  <c r="BF257" i="31"/>
  <c r="AN257" i="31"/>
  <c r="P257" i="31"/>
  <c r="BX257" i="31"/>
  <c r="AH257" i="31"/>
  <c r="BR257" i="31"/>
  <c r="AT257" i="31"/>
  <c r="AB257" i="31"/>
  <c r="V257" i="31"/>
  <c r="J257" i="31"/>
  <c r="O257" i="31"/>
  <c r="AA257" i="31"/>
  <c r="AY257" i="31"/>
  <c r="BQ257" i="31"/>
  <c r="AM257" i="31"/>
  <c r="U257" i="31"/>
  <c r="AG257" i="31"/>
  <c r="BE257" i="31"/>
  <c r="AS257" i="31"/>
  <c r="BK257" i="31"/>
  <c r="BW257" i="31"/>
  <c r="I257" i="31"/>
  <c r="V270" i="31"/>
  <c r="AN270" i="31"/>
  <c r="BF270" i="31"/>
  <c r="BX270" i="31"/>
  <c r="AH270" i="31"/>
  <c r="BR270" i="31"/>
  <c r="BL270" i="31"/>
  <c r="AZ270" i="31"/>
  <c r="P270" i="31"/>
  <c r="AB270" i="31"/>
  <c r="J270" i="31"/>
  <c r="AT270" i="31"/>
  <c r="AM270" i="31"/>
  <c r="AA270" i="31"/>
  <c r="BQ270" i="31"/>
  <c r="AY270" i="31"/>
  <c r="U270" i="31"/>
  <c r="O270" i="31"/>
  <c r="AG270" i="31"/>
  <c r="AS270" i="31"/>
  <c r="BE270" i="31"/>
  <c r="BK270" i="31"/>
  <c r="BW270" i="31"/>
  <c r="I270" i="31"/>
  <c r="AN301" i="31"/>
  <c r="AH301" i="31"/>
  <c r="V301" i="31"/>
  <c r="P301" i="31"/>
  <c r="AB301" i="31"/>
  <c r="AT301" i="31"/>
  <c r="BL301" i="31"/>
  <c r="BR301" i="31"/>
  <c r="AZ301" i="31"/>
  <c r="BF301" i="31"/>
  <c r="BX301" i="31"/>
  <c r="J301" i="31"/>
  <c r="AM301" i="31"/>
  <c r="AA301" i="31"/>
  <c r="BQ301" i="31"/>
  <c r="AY301" i="31"/>
  <c r="O301" i="31"/>
  <c r="U301" i="31"/>
  <c r="AG301" i="31"/>
  <c r="BE301" i="31"/>
  <c r="AS301" i="31"/>
  <c r="BK301" i="31"/>
  <c r="BW301" i="31"/>
  <c r="I301" i="31"/>
  <c r="BR31" i="31"/>
  <c r="AN31" i="31"/>
  <c r="V31" i="31"/>
  <c r="AB31" i="31"/>
  <c r="P31" i="31"/>
  <c r="BL31" i="31"/>
  <c r="AH31" i="31"/>
  <c r="AT31" i="31"/>
  <c r="BF31" i="31"/>
  <c r="J31" i="31"/>
  <c r="AZ31" i="31"/>
  <c r="BX31" i="31"/>
  <c r="AY31" i="31"/>
  <c r="O31" i="31"/>
  <c r="AA31" i="31"/>
  <c r="AM31" i="31"/>
  <c r="BQ31" i="31"/>
  <c r="AG31" i="31"/>
  <c r="U31" i="31"/>
  <c r="AS31" i="31"/>
  <c r="BK31" i="31"/>
  <c r="BE31" i="31"/>
  <c r="BW31" i="31"/>
  <c r="I31" i="31"/>
  <c r="BF107" i="31"/>
  <c r="BR107" i="31"/>
  <c r="AH107" i="31"/>
  <c r="J107" i="31"/>
  <c r="AN107" i="31"/>
  <c r="AT107" i="31"/>
  <c r="AZ107" i="31"/>
  <c r="P107" i="31"/>
  <c r="BX107" i="31"/>
  <c r="V107" i="31"/>
  <c r="AB107" i="31"/>
  <c r="BL107" i="31"/>
  <c r="AA107" i="31"/>
  <c r="BQ107" i="31"/>
  <c r="AY107" i="31"/>
  <c r="O107" i="31"/>
  <c r="U107" i="31"/>
  <c r="AM107" i="31"/>
  <c r="AG107" i="31"/>
  <c r="AS107" i="31"/>
  <c r="BE107" i="31"/>
  <c r="BK107" i="31"/>
  <c r="BW107" i="31"/>
  <c r="I107" i="31"/>
  <c r="P78" i="31"/>
  <c r="AZ78" i="31"/>
  <c r="J78" i="31"/>
  <c r="AB78" i="31"/>
  <c r="BR78" i="31"/>
  <c r="BX78" i="31"/>
  <c r="V78" i="31"/>
  <c r="BL78" i="31"/>
  <c r="AH78" i="31"/>
  <c r="BF78" i="31"/>
  <c r="AT78" i="31"/>
  <c r="AN78" i="31"/>
  <c r="AY78" i="31"/>
  <c r="AA78" i="31"/>
  <c r="O78" i="31"/>
  <c r="BQ78" i="31"/>
  <c r="AM78" i="31"/>
  <c r="U78" i="31"/>
  <c r="AG78" i="31"/>
  <c r="AS78" i="31"/>
  <c r="BE78" i="31"/>
  <c r="BW78" i="31"/>
  <c r="I78" i="31"/>
  <c r="BK78" i="31"/>
  <c r="AN344" i="31"/>
  <c r="P344" i="31"/>
  <c r="AZ344" i="31"/>
  <c r="J344" i="31"/>
  <c r="BR344" i="31"/>
  <c r="BX344" i="31"/>
  <c r="AT344" i="31"/>
  <c r="AH344" i="31"/>
  <c r="BL344" i="31"/>
  <c r="BF344" i="31"/>
  <c r="V344" i="31"/>
  <c r="AB344" i="31"/>
  <c r="BQ344" i="31"/>
  <c r="AY344" i="31"/>
  <c r="AA344" i="31"/>
  <c r="AM344" i="31"/>
  <c r="O344" i="31"/>
  <c r="U344" i="31"/>
  <c r="BE344" i="31"/>
  <c r="AG344" i="31"/>
  <c r="AS344" i="31"/>
  <c r="BK344" i="31"/>
  <c r="BW344" i="31"/>
  <c r="I344" i="31"/>
  <c r="BF13" i="31"/>
  <c r="AH13" i="31"/>
  <c r="V13" i="31"/>
  <c r="AT13" i="31"/>
  <c r="J13" i="31"/>
  <c r="BL13" i="31"/>
  <c r="AB13" i="31"/>
  <c r="BR13" i="31"/>
  <c r="AZ13" i="31"/>
  <c r="AN13" i="31"/>
  <c r="P13" i="31"/>
  <c r="AM13" i="31"/>
  <c r="BX13" i="31"/>
  <c r="AY13" i="31"/>
  <c r="BQ13" i="31"/>
  <c r="AA13" i="31"/>
  <c r="O13" i="31"/>
  <c r="U13" i="31"/>
  <c r="AG13" i="31"/>
  <c r="AS13" i="31"/>
  <c r="BE13" i="31"/>
  <c r="BK13" i="31"/>
  <c r="I13" i="31"/>
  <c r="BW13" i="31"/>
  <c r="AT328" i="31"/>
  <c r="J328" i="31"/>
  <c r="AH328" i="31"/>
  <c r="BL328" i="31"/>
  <c r="P328" i="31"/>
  <c r="BF328" i="31"/>
  <c r="AN328" i="31"/>
  <c r="BR328" i="31"/>
  <c r="V328" i="31"/>
  <c r="AB328" i="31"/>
  <c r="AZ328" i="31"/>
  <c r="BX328" i="31"/>
  <c r="O328" i="31"/>
  <c r="AY328" i="31"/>
  <c r="AM328" i="31"/>
  <c r="AA328" i="31"/>
  <c r="BQ328" i="31"/>
  <c r="U328" i="31"/>
  <c r="AG328" i="31"/>
  <c r="BE328" i="31"/>
  <c r="AS328" i="31"/>
  <c r="BK328" i="31"/>
  <c r="BW328" i="31"/>
  <c r="I328" i="31"/>
  <c r="J41" i="31"/>
  <c r="V41" i="31"/>
  <c r="BX41" i="31"/>
  <c r="BR41" i="31"/>
  <c r="AZ41" i="31"/>
  <c r="AB41" i="31"/>
  <c r="AN41" i="31"/>
  <c r="P41" i="31"/>
  <c r="BF41" i="31"/>
  <c r="AT41" i="31"/>
  <c r="AH41" i="31"/>
  <c r="BL41" i="31"/>
  <c r="AM41" i="31"/>
  <c r="AA41" i="31"/>
  <c r="BQ41" i="31"/>
  <c r="O41" i="31"/>
  <c r="AY41" i="31"/>
  <c r="AG41" i="31"/>
  <c r="U41" i="31"/>
  <c r="BE41" i="31"/>
  <c r="AS41" i="31"/>
  <c r="BK41" i="31"/>
  <c r="BW41" i="31"/>
  <c r="I41" i="31"/>
  <c r="AT27" i="31"/>
  <c r="BF27" i="31"/>
  <c r="P27" i="31"/>
  <c r="BL27" i="31"/>
  <c r="BR27" i="31"/>
  <c r="AH27" i="31"/>
  <c r="J27" i="31"/>
  <c r="BX27" i="31"/>
  <c r="V27" i="31"/>
  <c r="AZ27" i="31"/>
  <c r="AN27" i="31"/>
  <c r="AB27" i="31"/>
  <c r="AA27" i="31"/>
  <c r="AM27" i="31"/>
  <c r="AY27" i="31"/>
  <c r="BQ27" i="31"/>
  <c r="O27" i="31"/>
  <c r="AG27" i="31"/>
  <c r="U27" i="31"/>
  <c r="BE27" i="31"/>
  <c r="AS27" i="31"/>
  <c r="BK27" i="31"/>
  <c r="BW27" i="31"/>
  <c r="I27" i="31"/>
  <c r="P145" i="31"/>
  <c r="V145" i="31"/>
  <c r="AH145" i="31"/>
  <c r="AN145" i="31"/>
  <c r="AT145" i="31"/>
  <c r="J145" i="31"/>
  <c r="BR145" i="31"/>
  <c r="AZ145" i="31"/>
  <c r="AB145" i="31"/>
  <c r="BX145" i="31"/>
  <c r="BF145" i="31"/>
  <c r="BL145" i="31"/>
  <c r="AY145" i="31"/>
  <c r="AA145" i="31"/>
  <c r="BQ145" i="31"/>
  <c r="AM145" i="31"/>
  <c r="O145" i="31"/>
  <c r="U145" i="31"/>
  <c r="AG145" i="31"/>
  <c r="AS145" i="31"/>
  <c r="BK145" i="31"/>
  <c r="BE145" i="31"/>
  <c r="I145" i="31"/>
  <c r="BW145" i="31"/>
  <c r="AH32" i="31"/>
  <c r="BL32" i="31"/>
  <c r="V32" i="31"/>
  <c r="AB32" i="31"/>
  <c r="AZ32" i="31"/>
  <c r="AN32" i="31"/>
  <c r="BX32" i="31"/>
  <c r="P32" i="31"/>
  <c r="BR32" i="31"/>
  <c r="AT32" i="31"/>
  <c r="BF32" i="31"/>
  <c r="J32" i="31"/>
  <c r="AM32" i="31"/>
  <c r="AA32" i="31"/>
  <c r="BQ32" i="31"/>
  <c r="AY32" i="31"/>
  <c r="U32" i="31"/>
  <c r="O32" i="31"/>
  <c r="BE32" i="31"/>
  <c r="AG32" i="31"/>
  <c r="AS32" i="31"/>
  <c r="BK32" i="31"/>
  <c r="I32" i="31"/>
  <c r="BW32" i="31"/>
  <c r="AH111" i="31"/>
  <c r="J111" i="31"/>
  <c r="BL111" i="31"/>
  <c r="AN111" i="31"/>
  <c r="V111" i="31"/>
  <c r="AZ111" i="31"/>
  <c r="AB111" i="31"/>
  <c r="AT111" i="31"/>
  <c r="BR111" i="31"/>
  <c r="BF111" i="31"/>
  <c r="P111" i="31"/>
  <c r="BX111" i="31"/>
  <c r="AY111" i="31"/>
  <c r="O111" i="31"/>
  <c r="BQ111" i="31"/>
  <c r="AA111" i="31"/>
  <c r="AM111" i="31"/>
  <c r="AG111" i="31"/>
  <c r="U111" i="31"/>
  <c r="AS111" i="31"/>
  <c r="BE111" i="31"/>
  <c r="BK111" i="31"/>
  <c r="BW111" i="31"/>
  <c r="I111" i="31"/>
  <c r="AB43" i="31"/>
  <c r="BR43" i="31"/>
  <c r="BX43" i="31"/>
  <c r="BF43" i="31"/>
  <c r="AT43" i="31"/>
  <c r="P43" i="31"/>
  <c r="AH43" i="31"/>
  <c r="AZ43" i="31"/>
  <c r="AN43" i="31"/>
  <c r="BL43" i="31"/>
  <c r="J43" i="31"/>
  <c r="V43" i="31"/>
  <c r="O43" i="31"/>
  <c r="AY43" i="31"/>
  <c r="AM43" i="31"/>
  <c r="BQ43" i="31"/>
  <c r="AA43" i="31"/>
  <c r="U43" i="31"/>
  <c r="AG43" i="31"/>
  <c r="AS43" i="31"/>
  <c r="BE43" i="31"/>
  <c r="BK43" i="31"/>
  <c r="BW43" i="31"/>
  <c r="I43" i="31"/>
  <c r="BR172" i="31"/>
  <c r="P172" i="31"/>
  <c r="J172" i="31"/>
  <c r="AN172" i="31"/>
  <c r="BX172" i="31"/>
  <c r="BF172" i="31"/>
  <c r="AH172" i="31"/>
  <c r="AB172" i="31"/>
  <c r="AT172" i="31"/>
  <c r="BL172" i="31"/>
  <c r="AZ172" i="31"/>
  <c r="V172" i="31"/>
  <c r="O172" i="31"/>
  <c r="AA172" i="31"/>
  <c r="BQ172" i="31"/>
  <c r="AM172" i="31"/>
  <c r="AY172" i="31"/>
  <c r="U172" i="31"/>
  <c r="AS172" i="31"/>
  <c r="BE172" i="31"/>
  <c r="BK172" i="31"/>
  <c r="AG172" i="31"/>
  <c r="BW172" i="31"/>
  <c r="I172" i="31"/>
  <c r="BL228" i="31"/>
  <c r="AT228" i="31"/>
  <c r="BF228" i="31"/>
  <c r="AZ228" i="31"/>
  <c r="P228" i="31"/>
  <c r="AN228" i="31"/>
  <c r="J228" i="31"/>
  <c r="AH228" i="31"/>
  <c r="BX228" i="31"/>
  <c r="BR228" i="31"/>
  <c r="AA228" i="31"/>
  <c r="AB228" i="31"/>
  <c r="V228" i="31"/>
  <c r="AM228" i="31"/>
  <c r="BQ228" i="31"/>
  <c r="O228" i="31"/>
  <c r="AY228" i="31"/>
  <c r="U228" i="31"/>
  <c r="AG228" i="31"/>
  <c r="BE228" i="31"/>
  <c r="AS228" i="31"/>
  <c r="BW228" i="31"/>
  <c r="BK228" i="31"/>
  <c r="I228" i="31"/>
  <c r="J210" i="31"/>
  <c r="AN210" i="31"/>
  <c r="BX210" i="31"/>
  <c r="V210" i="31"/>
  <c r="BR210" i="31"/>
  <c r="AZ210" i="31"/>
  <c r="BF210" i="31"/>
  <c r="AH210" i="31"/>
  <c r="AT210" i="31"/>
  <c r="BL210" i="31"/>
  <c r="AB210" i="31"/>
  <c r="P210" i="31"/>
  <c r="AA210" i="31"/>
  <c r="AY210" i="31"/>
  <c r="AM210" i="31"/>
  <c r="BQ210" i="31"/>
  <c r="O210" i="31"/>
  <c r="U210" i="31"/>
  <c r="AG210" i="31"/>
  <c r="AS210" i="31"/>
  <c r="BE210" i="31"/>
  <c r="BW210" i="31"/>
  <c r="BK210" i="31"/>
  <c r="I210" i="31"/>
  <c r="BF150" i="31"/>
  <c r="AH150" i="31"/>
  <c r="J150" i="31"/>
  <c r="AZ150" i="31"/>
  <c r="V150" i="31"/>
  <c r="BX150" i="31"/>
  <c r="BL150" i="31"/>
  <c r="AN150" i="31"/>
  <c r="AB150" i="31"/>
  <c r="AT150" i="31"/>
  <c r="P150" i="31"/>
  <c r="BR150" i="31"/>
  <c r="O150" i="31"/>
  <c r="AY150" i="31"/>
  <c r="AM150" i="31"/>
  <c r="AA150" i="31"/>
  <c r="BQ150" i="31"/>
  <c r="U150" i="31"/>
  <c r="AG150" i="31"/>
  <c r="AS150" i="31"/>
  <c r="BE150" i="31"/>
  <c r="BK150" i="31"/>
  <c r="BW150" i="31"/>
  <c r="I150" i="31"/>
  <c r="AN331" i="31"/>
  <c r="BF331" i="31"/>
  <c r="AZ331" i="31"/>
  <c r="J331" i="31"/>
  <c r="AH331" i="31"/>
  <c r="AB331" i="31"/>
  <c r="V331" i="31"/>
  <c r="BX331" i="31"/>
  <c r="P331" i="31"/>
  <c r="BR331" i="31"/>
  <c r="BL331" i="31"/>
  <c r="AT331" i="31"/>
  <c r="AA331" i="31"/>
  <c r="AM331" i="31"/>
  <c r="O331" i="31"/>
  <c r="AY331" i="31"/>
  <c r="BQ331" i="31"/>
  <c r="U331" i="31"/>
  <c r="AG331" i="31"/>
  <c r="AS331" i="31"/>
  <c r="BK331" i="31"/>
  <c r="BE331" i="31"/>
  <c r="BW331" i="31"/>
  <c r="I331" i="31"/>
  <c r="BL103" i="31"/>
  <c r="AZ103" i="31"/>
  <c r="BX103" i="31"/>
  <c r="P103" i="31"/>
  <c r="AB103" i="31"/>
  <c r="J103" i="31"/>
  <c r="AH103" i="31"/>
  <c r="V103" i="31"/>
  <c r="AT103" i="31"/>
  <c r="BF103" i="31"/>
  <c r="AN103" i="31"/>
  <c r="BR103" i="31"/>
  <c r="O103" i="31"/>
  <c r="BQ103" i="31"/>
  <c r="AA103" i="31"/>
  <c r="AM103" i="31"/>
  <c r="AY103" i="31"/>
  <c r="U103" i="31"/>
  <c r="AG103" i="31"/>
  <c r="BE103" i="31"/>
  <c r="AS103" i="31"/>
  <c r="BK103" i="31"/>
  <c r="BW103" i="31"/>
  <c r="I103" i="31"/>
  <c r="AT186" i="31"/>
  <c r="P186" i="31"/>
  <c r="BX186" i="31"/>
  <c r="AB186" i="31"/>
  <c r="V186" i="31"/>
  <c r="AN186" i="31"/>
  <c r="BL186" i="31"/>
  <c r="J186" i="31"/>
  <c r="BF186" i="31"/>
  <c r="AH186" i="31"/>
  <c r="BR186" i="31"/>
  <c r="AZ186" i="31"/>
  <c r="O186" i="31"/>
  <c r="AY186" i="31"/>
  <c r="AA186" i="31"/>
  <c r="BQ186" i="31"/>
  <c r="AM186" i="31"/>
  <c r="U186" i="31"/>
  <c r="AS186" i="31"/>
  <c r="AG186" i="31"/>
  <c r="BE186" i="31"/>
  <c r="BK186" i="31"/>
  <c r="BW186" i="31"/>
  <c r="I186" i="31"/>
  <c r="J185" i="31"/>
  <c r="BR185" i="31"/>
  <c r="P185" i="31"/>
  <c r="AT185" i="31"/>
  <c r="AN185" i="31"/>
  <c r="AB185" i="31"/>
  <c r="V185" i="31"/>
  <c r="BL185" i="31"/>
  <c r="BF185" i="31"/>
  <c r="AZ185" i="31"/>
  <c r="AH185" i="31"/>
  <c r="BX185" i="31"/>
  <c r="AY185" i="31"/>
  <c r="O185" i="31"/>
  <c r="BQ185" i="31"/>
  <c r="AM185" i="31"/>
  <c r="AA185" i="31"/>
  <c r="U185" i="31"/>
  <c r="BE185" i="31"/>
  <c r="AG185" i="31"/>
  <c r="AS185" i="31"/>
  <c r="BK185" i="31"/>
  <c r="BW185" i="31"/>
  <c r="I185" i="31"/>
  <c r="V46" i="31"/>
  <c r="AH46" i="31"/>
  <c r="J46" i="31"/>
  <c r="AB46" i="31"/>
  <c r="AT46" i="31"/>
  <c r="BR46" i="31"/>
  <c r="AZ46" i="31"/>
  <c r="AN46" i="31"/>
  <c r="BX46" i="31"/>
  <c r="P46" i="31"/>
  <c r="BL46" i="31"/>
  <c r="BF46" i="31"/>
  <c r="AM46" i="31"/>
  <c r="AY46" i="31"/>
  <c r="BQ46" i="31"/>
  <c r="AA46" i="31"/>
  <c r="O46" i="31"/>
  <c r="U46" i="31"/>
  <c r="AS46" i="31"/>
  <c r="AG46" i="31"/>
  <c r="BK46" i="31"/>
  <c r="BE46" i="31"/>
  <c r="BW46" i="31"/>
  <c r="I46" i="31"/>
  <c r="AZ321" i="31"/>
  <c r="AB321" i="31"/>
  <c r="BX321" i="31"/>
  <c r="AT321" i="31"/>
  <c r="BR321" i="31"/>
  <c r="BL321" i="31"/>
  <c r="BF321" i="31"/>
  <c r="P321" i="31"/>
  <c r="J321" i="31"/>
  <c r="AH321" i="31"/>
  <c r="V321" i="31"/>
  <c r="AN321" i="31"/>
  <c r="BQ321" i="31"/>
  <c r="O321" i="31"/>
  <c r="AM321" i="31"/>
  <c r="AA321" i="31"/>
  <c r="AY321" i="31"/>
  <c r="AG321" i="31"/>
  <c r="U321" i="31"/>
  <c r="BE321" i="31"/>
  <c r="AS321" i="31"/>
  <c r="BK321" i="31"/>
  <c r="BW321" i="31"/>
  <c r="I321" i="31"/>
  <c r="AZ8" i="31"/>
  <c r="BL8" i="31"/>
  <c r="P8" i="31"/>
  <c r="BR8" i="31"/>
  <c r="V8" i="31"/>
  <c r="J8" i="31"/>
  <c r="AH8" i="31"/>
  <c r="BX8" i="31"/>
  <c r="AT8" i="31"/>
  <c r="AB8" i="31"/>
  <c r="AN8" i="31"/>
  <c r="BF8" i="31"/>
  <c r="BQ8" i="31"/>
  <c r="AY8" i="31"/>
  <c r="AM8" i="31"/>
  <c r="AA8" i="31"/>
  <c r="U8" i="31"/>
  <c r="O8" i="31"/>
  <c r="AG8" i="31"/>
  <c r="AS8" i="31"/>
  <c r="BE8" i="31"/>
  <c r="BK8" i="31"/>
  <c r="BW8" i="31"/>
  <c r="I8" i="31"/>
  <c r="AN233" i="31"/>
  <c r="AH233" i="31"/>
  <c r="V233" i="31"/>
  <c r="BF233" i="31"/>
  <c r="AB233" i="31"/>
  <c r="BL233" i="31"/>
  <c r="J233" i="31"/>
  <c r="AZ233" i="31"/>
  <c r="BR233" i="31"/>
  <c r="AT233" i="31"/>
  <c r="P233" i="31"/>
  <c r="BX233" i="31"/>
  <c r="AY233" i="31"/>
  <c r="AM233" i="31"/>
  <c r="BQ233" i="31"/>
  <c r="AA233" i="31"/>
  <c r="U233" i="31"/>
  <c r="AG233" i="31"/>
  <c r="O233" i="31"/>
  <c r="AS233" i="31"/>
  <c r="BE233" i="31"/>
  <c r="BK233" i="31"/>
  <c r="BW233" i="31"/>
  <c r="I233" i="31"/>
  <c r="AN348" i="31"/>
  <c r="AZ348" i="31"/>
  <c r="BR348" i="31"/>
  <c r="BL348" i="31"/>
  <c r="AT348" i="31"/>
  <c r="J348" i="31"/>
  <c r="P348" i="31"/>
  <c r="AB348" i="31"/>
  <c r="BF348" i="31"/>
  <c r="AH348" i="31"/>
  <c r="V348" i="31"/>
  <c r="BX348" i="31"/>
  <c r="BQ348" i="31"/>
  <c r="AA348" i="31"/>
  <c r="AM348" i="31"/>
  <c r="AY348" i="31"/>
  <c r="U348" i="31"/>
  <c r="AG348" i="31"/>
  <c r="O348" i="31"/>
  <c r="AS348" i="31"/>
  <c r="BK348" i="31"/>
  <c r="BE348" i="31"/>
  <c r="BW348" i="31"/>
  <c r="I348" i="31"/>
  <c r="BR83" i="31"/>
  <c r="AT83" i="31"/>
  <c r="BX83" i="31"/>
  <c r="AH83" i="31"/>
  <c r="AZ83" i="31"/>
  <c r="P83" i="31"/>
  <c r="J83" i="31"/>
  <c r="BF83" i="31"/>
  <c r="AN83" i="31"/>
  <c r="BL83" i="31"/>
  <c r="AB83" i="31"/>
  <c r="V83" i="31"/>
  <c r="AM83" i="31"/>
  <c r="AY83" i="31"/>
  <c r="O83" i="31"/>
  <c r="AA83" i="31"/>
  <c r="BQ83" i="31"/>
  <c r="U83" i="31"/>
  <c r="AG83" i="31"/>
  <c r="BE83" i="31"/>
  <c r="BK83" i="31"/>
  <c r="I83" i="31"/>
  <c r="BW83" i="31"/>
  <c r="AS83" i="31"/>
  <c r="AZ206" i="31"/>
  <c r="AB206" i="31"/>
  <c r="BX206" i="31"/>
  <c r="BR206" i="31"/>
  <c r="BL206" i="31"/>
  <c r="V206" i="31"/>
  <c r="AN206" i="31"/>
  <c r="AT206" i="31"/>
  <c r="AH206" i="31"/>
  <c r="J206" i="31"/>
  <c r="BF206" i="31"/>
  <c r="P206" i="31"/>
  <c r="AY206" i="31"/>
  <c r="BQ206" i="31"/>
  <c r="AM206" i="31"/>
  <c r="AA206" i="31"/>
  <c r="O206" i="31"/>
  <c r="U206" i="31"/>
  <c r="AG206" i="31"/>
  <c r="BE206" i="31"/>
  <c r="AS206" i="31"/>
  <c r="BK206" i="31"/>
  <c r="BW206" i="31"/>
  <c r="I206" i="31"/>
  <c r="J252" i="31"/>
  <c r="AT252" i="31"/>
  <c r="AN252" i="31"/>
  <c r="AH252" i="31"/>
  <c r="BL252" i="31"/>
  <c r="P252" i="31"/>
  <c r="BR252" i="31"/>
  <c r="V252" i="31"/>
  <c r="AZ252" i="31"/>
  <c r="BF252" i="31"/>
  <c r="AB252" i="31"/>
  <c r="BX252" i="31"/>
  <c r="AM252" i="31"/>
  <c r="AA252" i="31"/>
  <c r="BQ252" i="31"/>
  <c r="AY252" i="31"/>
  <c r="U252" i="31"/>
  <c r="O252" i="31"/>
  <c r="AG252" i="31"/>
  <c r="AS252" i="31"/>
  <c r="BE252" i="31"/>
  <c r="BK252" i="31"/>
  <c r="I252" i="31"/>
  <c r="BW252" i="31"/>
  <c r="BR21" i="31"/>
  <c r="AN21" i="31"/>
  <c r="J21" i="31"/>
  <c r="P21" i="31"/>
  <c r="AZ21" i="31"/>
  <c r="AT21" i="31"/>
  <c r="BX21" i="31"/>
  <c r="AH21" i="31"/>
  <c r="BL21" i="31"/>
  <c r="AB21" i="31"/>
  <c r="V21" i="31"/>
  <c r="BF21" i="31"/>
  <c r="AY21" i="31"/>
  <c r="AA21" i="31"/>
  <c r="BQ21" i="31"/>
  <c r="AM21" i="31"/>
  <c r="O21" i="31"/>
  <c r="U21" i="31"/>
  <c r="AG21" i="31"/>
  <c r="BE21" i="31"/>
  <c r="AS21" i="31"/>
  <c r="BK21" i="31"/>
  <c r="BW21" i="31"/>
  <c r="I21" i="31"/>
  <c r="BL343" i="31"/>
  <c r="AB343" i="31"/>
  <c r="BX343" i="31"/>
  <c r="BR343" i="31"/>
  <c r="AZ343" i="31"/>
  <c r="P343" i="31"/>
  <c r="AN343" i="31"/>
  <c r="V343" i="31"/>
  <c r="AT343" i="31"/>
  <c r="J343" i="31"/>
  <c r="AH343" i="31"/>
  <c r="BF343" i="31"/>
  <c r="AM343" i="31"/>
  <c r="AY343" i="31"/>
  <c r="BQ343" i="31"/>
  <c r="O343" i="31"/>
  <c r="AA343" i="31"/>
  <c r="AG343" i="31"/>
  <c r="U343" i="31"/>
  <c r="AS343" i="31"/>
  <c r="BK343" i="31"/>
  <c r="BE343" i="31"/>
  <c r="BW343" i="31"/>
  <c r="I343" i="31"/>
  <c r="V274" i="31"/>
  <c r="AT274" i="31"/>
  <c r="BX274" i="31"/>
  <c r="J274" i="31"/>
  <c r="AN274" i="31"/>
  <c r="BR274" i="31"/>
  <c r="AH274" i="31"/>
  <c r="BL274" i="31"/>
  <c r="AB274" i="31"/>
  <c r="BQ274" i="31"/>
  <c r="P274" i="31"/>
  <c r="AZ274" i="31"/>
  <c r="BF274" i="31"/>
  <c r="AM274" i="31"/>
  <c r="AY274" i="31"/>
  <c r="AA274" i="31"/>
  <c r="U274" i="31"/>
  <c r="O274" i="31"/>
  <c r="AG274" i="31"/>
  <c r="BE274" i="31"/>
  <c r="BK274" i="31"/>
  <c r="AS274" i="31"/>
  <c r="I274" i="31"/>
  <c r="BW274" i="31"/>
  <c r="V215" i="31"/>
  <c r="BF215" i="31"/>
  <c r="BX215" i="31"/>
  <c r="AB215" i="31"/>
  <c r="P215" i="31"/>
  <c r="J215" i="31"/>
  <c r="AZ215" i="31"/>
  <c r="AH215" i="31"/>
  <c r="AT215" i="31"/>
  <c r="BL215" i="31"/>
  <c r="BR215" i="31"/>
  <c r="AN215" i="31"/>
  <c r="AA215" i="31"/>
  <c r="BQ215" i="31"/>
  <c r="O215" i="31"/>
  <c r="AM215" i="31"/>
  <c r="AY215" i="31"/>
  <c r="U215" i="31"/>
  <c r="AG215" i="31"/>
  <c r="AS215" i="31"/>
  <c r="BK215" i="31"/>
  <c r="BE215" i="31"/>
  <c r="BW215" i="31"/>
  <c r="I215" i="31"/>
  <c r="BF72" i="31"/>
  <c r="AZ72" i="31"/>
  <c r="J72" i="31"/>
  <c r="BL72" i="31"/>
  <c r="AH72" i="31"/>
  <c r="AT72" i="31"/>
  <c r="P72" i="31"/>
  <c r="AB72" i="31"/>
  <c r="BX72" i="31"/>
  <c r="BR72" i="31"/>
  <c r="V72" i="31"/>
  <c r="AN72" i="31"/>
  <c r="AY72" i="31"/>
  <c r="AM72" i="31"/>
  <c r="AA72" i="31"/>
  <c r="BQ72" i="31"/>
  <c r="O72" i="31"/>
  <c r="U72" i="31"/>
  <c r="AG72" i="31"/>
  <c r="AS72" i="31"/>
  <c r="BK72" i="31"/>
  <c r="BE72" i="31"/>
  <c r="BW72" i="31"/>
  <c r="I72" i="31"/>
  <c r="BL244" i="31"/>
  <c r="AZ244" i="31"/>
  <c r="AT244" i="31"/>
  <c r="AN244" i="31"/>
  <c r="BX244" i="31"/>
  <c r="P244" i="31"/>
  <c r="AH244" i="31"/>
  <c r="J244" i="31"/>
  <c r="BR244" i="31"/>
  <c r="V244" i="31"/>
  <c r="BF244" i="31"/>
  <c r="AA244" i="31"/>
  <c r="AB244" i="31"/>
  <c r="O244" i="31"/>
  <c r="AY244" i="31"/>
  <c r="AM244" i="31"/>
  <c r="BQ244" i="31"/>
  <c r="U244" i="31"/>
  <c r="BE244" i="31"/>
  <c r="AG244" i="31"/>
  <c r="BK244" i="31"/>
  <c r="AS244" i="31"/>
  <c r="BW244" i="31"/>
  <c r="I244" i="31"/>
  <c r="BF117" i="31"/>
  <c r="V117" i="31"/>
  <c r="AN117" i="31"/>
  <c r="BL117" i="31"/>
  <c r="AB117" i="31"/>
  <c r="BX117" i="31"/>
  <c r="P117" i="31"/>
  <c r="AH117" i="31"/>
  <c r="J117" i="31"/>
  <c r="AZ117" i="31"/>
  <c r="BR117" i="31"/>
  <c r="AT117" i="31"/>
  <c r="O117" i="31"/>
  <c r="AY117" i="31"/>
  <c r="BQ117" i="31"/>
  <c r="AM117" i="31"/>
  <c r="AA117" i="31"/>
  <c r="AG117" i="31"/>
  <c r="U117" i="31"/>
  <c r="AS117" i="31"/>
  <c r="BE117" i="31"/>
  <c r="BK117" i="31"/>
  <c r="BW117" i="31"/>
  <c r="I117" i="31"/>
  <c r="P238" i="31"/>
  <c r="AB238" i="31"/>
  <c r="BF238" i="31"/>
  <c r="AN238" i="31"/>
  <c r="AT238" i="31"/>
  <c r="BR238" i="31"/>
  <c r="BX238" i="31"/>
  <c r="AH238" i="31"/>
  <c r="J238" i="31"/>
  <c r="V238" i="31"/>
  <c r="AZ238" i="31"/>
  <c r="BL238" i="31"/>
  <c r="O238" i="31"/>
  <c r="AY238" i="31"/>
  <c r="BQ238" i="31"/>
  <c r="AA238" i="31"/>
  <c r="AM238" i="31"/>
  <c r="U238" i="31"/>
  <c r="AS238" i="31"/>
  <c r="AG238" i="31"/>
  <c r="BE238" i="31"/>
  <c r="BK238" i="31"/>
  <c r="BW238" i="31"/>
  <c r="I238" i="31"/>
  <c r="AN100" i="31"/>
  <c r="AH100" i="31"/>
  <c r="BL100" i="31"/>
  <c r="AZ100" i="31"/>
  <c r="P100" i="31"/>
  <c r="BX100" i="31"/>
  <c r="BF100" i="31"/>
  <c r="AT100" i="31"/>
  <c r="BR100" i="31"/>
  <c r="AB100" i="31"/>
  <c r="V100" i="31"/>
  <c r="J100" i="31"/>
  <c r="AA100" i="31"/>
  <c r="O100" i="31"/>
  <c r="AY100" i="31"/>
  <c r="AM100" i="31"/>
  <c r="BQ100" i="31"/>
  <c r="U100" i="31"/>
  <c r="AG100" i="31"/>
  <c r="BE100" i="31"/>
  <c r="AS100" i="31"/>
  <c r="BK100" i="31"/>
  <c r="I100" i="31"/>
  <c r="BW100" i="31"/>
  <c r="BL73" i="31"/>
  <c r="BR73" i="31"/>
  <c r="V73" i="31"/>
  <c r="P73" i="31"/>
  <c r="BF73" i="31"/>
  <c r="AB73" i="31"/>
  <c r="AT73" i="31"/>
  <c r="AZ73" i="31"/>
  <c r="AH73" i="31"/>
  <c r="BX73" i="31"/>
  <c r="AN73" i="31"/>
  <c r="J73" i="31"/>
  <c r="AA73" i="31"/>
  <c r="AM73" i="31"/>
  <c r="O73" i="31"/>
  <c r="AY73" i="31"/>
  <c r="BQ73" i="31"/>
  <c r="U73" i="31"/>
  <c r="AS73" i="31"/>
  <c r="AG73" i="31"/>
  <c r="BE73" i="31"/>
  <c r="BK73" i="31"/>
  <c r="BW73" i="31"/>
  <c r="I73" i="31"/>
  <c r="AN29" i="31"/>
  <c r="BF29" i="31"/>
  <c r="BR29" i="31"/>
  <c r="AB29" i="31"/>
  <c r="BL29" i="31"/>
  <c r="J29" i="31"/>
  <c r="BX29" i="31"/>
  <c r="AH29" i="31"/>
  <c r="P29" i="31"/>
  <c r="V29" i="31"/>
  <c r="AT29" i="31"/>
  <c r="AZ29" i="31"/>
  <c r="BQ29" i="31"/>
  <c r="AM29" i="31"/>
  <c r="AY29" i="31"/>
  <c r="AA29" i="31"/>
  <c r="O29" i="31"/>
  <c r="AG29" i="31"/>
  <c r="AS29" i="31"/>
  <c r="U29" i="31"/>
  <c r="BE29" i="31"/>
  <c r="BW29" i="31"/>
  <c r="BK29" i="31"/>
  <c r="I29" i="31"/>
  <c r="AH35" i="31"/>
  <c r="BF35" i="31"/>
  <c r="BR35" i="31"/>
  <c r="V35" i="31"/>
  <c r="AZ35" i="31"/>
  <c r="AT35" i="31"/>
  <c r="BX35" i="31"/>
  <c r="AB35" i="31"/>
  <c r="J35" i="31"/>
  <c r="BL35" i="31"/>
  <c r="AN35" i="31"/>
  <c r="P35" i="31"/>
  <c r="AM35" i="31"/>
  <c r="AY35" i="31"/>
  <c r="O35" i="31"/>
  <c r="AA35" i="31"/>
  <c r="BQ35" i="31"/>
  <c r="U35" i="31"/>
  <c r="AG35" i="31"/>
  <c r="AS35" i="31"/>
  <c r="BK35" i="31"/>
  <c r="BE35" i="31"/>
  <c r="BW35" i="31"/>
  <c r="I35" i="31"/>
  <c r="AN278" i="31"/>
  <c r="BF278" i="31"/>
  <c r="BX278" i="31"/>
  <c r="V278" i="31"/>
  <c r="AT278" i="31"/>
  <c r="BL278" i="31"/>
  <c r="AB278" i="31"/>
  <c r="AZ278" i="31"/>
  <c r="J278" i="31"/>
  <c r="BR278" i="31"/>
  <c r="AH278" i="31"/>
  <c r="P278" i="31"/>
  <c r="AA278" i="31"/>
  <c r="AY278" i="31"/>
  <c r="BQ278" i="31"/>
  <c r="AM278" i="31"/>
  <c r="O278" i="31"/>
  <c r="BE278" i="31"/>
  <c r="U278" i="31"/>
  <c r="AG278" i="31"/>
  <c r="BK278" i="31"/>
  <c r="BW278" i="31"/>
  <c r="AS278" i="31"/>
  <c r="I278" i="31"/>
  <c r="BR182" i="31"/>
  <c r="V182" i="31"/>
  <c r="BX182" i="31"/>
  <c r="J182" i="31"/>
  <c r="BF182" i="31"/>
  <c r="AH182" i="31"/>
  <c r="BL182" i="31"/>
  <c r="AT182" i="31"/>
  <c r="AB182" i="31"/>
  <c r="AZ182" i="31"/>
  <c r="P182" i="31"/>
  <c r="AN182" i="31"/>
  <c r="AY182" i="31"/>
  <c r="BQ182" i="31"/>
  <c r="AA182" i="31"/>
  <c r="AM182" i="31"/>
  <c r="U182" i="31"/>
  <c r="O182" i="31"/>
  <c r="AG182" i="31"/>
  <c r="AS182" i="31"/>
  <c r="BE182" i="31"/>
  <c r="BK182" i="31"/>
  <c r="BW182" i="31"/>
  <c r="I182" i="31"/>
  <c r="BR110" i="31"/>
  <c r="BX110" i="31"/>
  <c r="AT110" i="31"/>
  <c r="AN110" i="31"/>
  <c r="V110" i="31"/>
  <c r="AH110" i="31"/>
  <c r="AB110" i="31"/>
  <c r="J110" i="31"/>
  <c r="AZ110" i="31"/>
  <c r="P110" i="31"/>
  <c r="BL110" i="31"/>
  <c r="BF110" i="31"/>
  <c r="O110" i="31"/>
  <c r="AY110" i="31"/>
  <c r="AM110" i="31"/>
  <c r="AA110" i="31"/>
  <c r="BQ110" i="31"/>
  <c r="AG110" i="31"/>
  <c r="U110" i="31"/>
  <c r="AS110" i="31"/>
  <c r="BE110" i="31"/>
  <c r="BK110" i="31"/>
  <c r="I110" i="31"/>
  <c r="BW110" i="31"/>
  <c r="P24" i="31"/>
  <c r="J24" i="31"/>
  <c r="AB24" i="31"/>
  <c r="V24" i="31"/>
  <c r="AZ24" i="31"/>
  <c r="BX24" i="31"/>
  <c r="AN24" i="31"/>
  <c r="AT24" i="31"/>
  <c r="BR24" i="31"/>
  <c r="BL24" i="31"/>
  <c r="BF24" i="31"/>
  <c r="AH24" i="31"/>
  <c r="AM24" i="31"/>
  <c r="AY24" i="31"/>
  <c r="BQ24" i="31"/>
  <c r="AA24" i="31"/>
  <c r="U24" i="31"/>
  <c r="O24" i="31"/>
  <c r="AG24" i="31"/>
  <c r="BE24" i="31"/>
  <c r="AS24" i="31"/>
  <c r="BK24" i="31"/>
  <c r="BW24" i="31"/>
  <c r="I24" i="31"/>
  <c r="AT36" i="31"/>
  <c r="P36" i="31"/>
  <c r="BX36" i="31"/>
  <c r="AN36" i="31"/>
  <c r="AH36" i="31"/>
  <c r="V36" i="31"/>
  <c r="AZ36" i="31"/>
  <c r="BF36" i="31"/>
  <c r="AB36" i="31"/>
  <c r="J36" i="31"/>
  <c r="BL36" i="31"/>
  <c r="BR36" i="31"/>
  <c r="AY36" i="31"/>
  <c r="AM36" i="31"/>
  <c r="O36" i="31"/>
  <c r="BQ36" i="31"/>
  <c r="AA36" i="31"/>
  <c r="AG36" i="31"/>
  <c r="AS36" i="31"/>
  <c r="U36" i="31"/>
  <c r="BE36" i="31"/>
  <c r="BK36" i="31"/>
  <c r="I36" i="31"/>
  <c r="BW36" i="31"/>
  <c r="BL138" i="31"/>
  <c r="V138" i="31"/>
  <c r="BX138" i="31"/>
  <c r="AN138" i="31"/>
  <c r="BR138" i="31"/>
  <c r="AH138" i="31"/>
  <c r="AZ138" i="31"/>
  <c r="BF138" i="31"/>
  <c r="AB138" i="31"/>
  <c r="AT138" i="31"/>
  <c r="P138" i="31"/>
  <c r="J138" i="31"/>
  <c r="AM138" i="31"/>
  <c r="BQ138" i="31"/>
  <c r="O138" i="31"/>
  <c r="AY138" i="31"/>
  <c r="AA138" i="31"/>
  <c r="U138" i="31"/>
  <c r="AG138" i="31"/>
  <c r="BE138" i="31"/>
  <c r="BK138" i="31"/>
  <c r="BW138" i="31"/>
  <c r="AS138" i="31"/>
  <c r="I138" i="31"/>
  <c r="AZ90" i="31"/>
  <c r="J90" i="31"/>
  <c r="BF90" i="31"/>
  <c r="AT90" i="31"/>
  <c r="AB90" i="31"/>
  <c r="BR90" i="31"/>
  <c r="BL90" i="31"/>
  <c r="AN90" i="31"/>
  <c r="BX90" i="31"/>
  <c r="AM90" i="31"/>
  <c r="V90" i="31"/>
  <c r="AH90" i="31"/>
  <c r="AY90" i="31"/>
  <c r="AA90" i="31"/>
  <c r="P90" i="31"/>
  <c r="BQ90" i="31"/>
  <c r="O90" i="31"/>
  <c r="U90" i="31"/>
  <c r="AS90" i="31"/>
  <c r="AG90" i="31"/>
  <c r="BE90" i="31"/>
  <c r="BK90" i="31"/>
  <c r="BW90" i="31"/>
  <c r="I90" i="31"/>
  <c r="BF154" i="31"/>
  <c r="BR154" i="31"/>
  <c r="BX154" i="31"/>
  <c r="AZ154" i="31"/>
  <c r="V154" i="31"/>
  <c r="AB154" i="31"/>
  <c r="BL154" i="31"/>
  <c r="AT154" i="31"/>
  <c r="AN154" i="31"/>
  <c r="J154" i="31"/>
  <c r="P154" i="31"/>
  <c r="AH154" i="31"/>
  <c r="AY154" i="31"/>
  <c r="AA154" i="31"/>
  <c r="AM154" i="31"/>
  <c r="BQ154" i="31"/>
  <c r="O154" i="31"/>
  <c r="U154" i="31"/>
  <c r="AG154" i="31"/>
  <c r="AS154" i="31"/>
  <c r="BE154" i="31"/>
  <c r="BK154" i="31"/>
  <c r="BW154" i="31"/>
  <c r="I154" i="31"/>
  <c r="AT211" i="31"/>
  <c r="V211" i="31"/>
  <c r="AN211" i="31"/>
  <c r="AH211" i="31"/>
  <c r="AB211" i="31"/>
  <c r="BR211" i="31"/>
  <c r="BX211" i="31"/>
  <c r="BL211" i="31"/>
  <c r="J211" i="31"/>
  <c r="BF211" i="31"/>
  <c r="AZ211" i="31"/>
  <c r="P211" i="31"/>
  <c r="AA211" i="31"/>
  <c r="O211" i="31"/>
  <c r="AM211" i="31"/>
  <c r="AY211" i="31"/>
  <c r="BQ211" i="31"/>
  <c r="U211" i="31"/>
  <c r="AG211" i="31"/>
  <c r="AS211" i="31"/>
  <c r="BE211" i="31"/>
  <c r="BK211" i="31"/>
  <c r="BW211" i="31"/>
  <c r="I211" i="31"/>
  <c r="AN280" i="31"/>
  <c r="AZ280" i="31"/>
  <c r="AH280" i="31"/>
  <c r="BL280" i="31"/>
  <c r="BR280" i="31"/>
  <c r="J280" i="31"/>
  <c r="BX280" i="31"/>
  <c r="V280" i="31"/>
  <c r="BF280" i="31"/>
  <c r="AB280" i="31"/>
  <c r="AT280" i="31"/>
  <c r="P280" i="31"/>
  <c r="BQ280" i="31"/>
  <c r="AA280" i="31"/>
  <c r="AY280" i="31"/>
  <c r="AM280" i="31"/>
  <c r="U280" i="31"/>
  <c r="O280" i="31"/>
  <c r="AG280" i="31"/>
  <c r="BE280" i="31"/>
  <c r="AS280" i="31"/>
  <c r="BK280" i="31"/>
  <c r="BW280" i="31"/>
  <c r="I280" i="31"/>
  <c r="BL50" i="31"/>
  <c r="AN50" i="31"/>
  <c r="J50" i="31"/>
  <c r="AT50" i="31"/>
  <c r="V50" i="31"/>
  <c r="P50" i="31"/>
  <c r="AH50" i="31"/>
  <c r="AZ50" i="31"/>
  <c r="BX50" i="31"/>
  <c r="BR50" i="31"/>
  <c r="BF50" i="31"/>
  <c r="AB50" i="31"/>
  <c r="AM50" i="31"/>
  <c r="AY50" i="31"/>
  <c r="BQ50" i="31"/>
  <c r="AA50" i="31"/>
  <c r="U50" i="31"/>
  <c r="O50" i="31"/>
  <c r="AG50" i="31"/>
  <c r="AS50" i="31"/>
  <c r="BE50" i="31"/>
  <c r="BK50" i="31"/>
  <c r="BW50" i="31"/>
  <c r="I50" i="31"/>
  <c r="AT307" i="31"/>
  <c r="AH307" i="31"/>
  <c r="J307" i="31"/>
  <c r="BF307" i="31"/>
  <c r="AN307" i="31"/>
  <c r="V307" i="31"/>
  <c r="BR307" i="31"/>
  <c r="P307" i="31"/>
  <c r="AZ307" i="31"/>
  <c r="BL307" i="31"/>
  <c r="BX307" i="31"/>
  <c r="AB307" i="31"/>
  <c r="AM307" i="31"/>
  <c r="BQ307" i="31"/>
  <c r="AY307" i="31"/>
  <c r="AA307" i="31"/>
  <c r="O307" i="31"/>
  <c r="AG307" i="31"/>
  <c r="AS307" i="31"/>
  <c r="BE307" i="31"/>
  <c r="U307" i="31"/>
  <c r="BK307" i="31"/>
  <c r="BW307" i="31"/>
  <c r="I307" i="31"/>
  <c r="AN296" i="31"/>
  <c r="BR296" i="31"/>
  <c r="BX296" i="31"/>
  <c r="AZ296" i="31"/>
  <c r="AH296" i="31"/>
  <c r="AB296" i="31"/>
  <c r="AT296" i="31"/>
  <c r="V296" i="31"/>
  <c r="P296" i="31"/>
  <c r="BL296" i="31"/>
  <c r="J296" i="31"/>
  <c r="AY296" i="31"/>
  <c r="BF296" i="31"/>
  <c r="O296" i="31"/>
  <c r="AM296" i="31"/>
  <c r="BQ296" i="31"/>
  <c r="AA296" i="31"/>
  <c r="U296" i="31"/>
  <c r="AG296" i="31"/>
  <c r="AS296" i="31"/>
  <c r="BE296" i="31"/>
  <c r="BK296" i="31"/>
  <c r="BW296" i="31"/>
  <c r="I296" i="31"/>
  <c r="V232" i="31"/>
  <c r="P232" i="31"/>
  <c r="AN232" i="31"/>
  <c r="BR232" i="31"/>
  <c r="BL232" i="31"/>
  <c r="BF232" i="31"/>
  <c r="J232" i="31"/>
  <c r="AH232" i="31"/>
  <c r="BX232" i="31"/>
  <c r="AB232" i="31"/>
  <c r="AZ232" i="31"/>
  <c r="AT232" i="31"/>
  <c r="O232" i="31"/>
  <c r="AA232" i="31"/>
  <c r="AY232" i="31"/>
  <c r="AM232" i="31"/>
  <c r="BQ232" i="31"/>
  <c r="U232" i="31"/>
  <c r="AG232" i="31"/>
  <c r="AS232" i="31"/>
  <c r="BE232" i="31"/>
  <c r="BK232" i="31"/>
  <c r="BW232" i="31"/>
  <c r="I232" i="31"/>
  <c r="BL225" i="31"/>
  <c r="V225" i="31"/>
  <c r="AH225" i="31"/>
  <c r="AN225" i="31"/>
  <c r="AB225" i="31"/>
  <c r="AZ225" i="31"/>
  <c r="AT225" i="31"/>
  <c r="J225" i="31"/>
  <c r="P225" i="31"/>
  <c r="BF225" i="31"/>
  <c r="BR225" i="31"/>
  <c r="BX225" i="31"/>
  <c r="AA225" i="31"/>
  <c r="AY225" i="31"/>
  <c r="BQ225" i="31"/>
  <c r="AM225" i="31"/>
  <c r="O225" i="31"/>
  <c r="U225" i="31"/>
  <c r="AG225" i="31"/>
  <c r="AS225" i="31"/>
  <c r="BE225" i="31"/>
  <c r="BK225" i="31"/>
  <c r="BW225" i="31"/>
  <c r="I225" i="31"/>
  <c r="BR26" i="31"/>
  <c r="AN26" i="31"/>
  <c r="AZ26" i="31"/>
  <c r="AH26" i="31"/>
  <c r="P26" i="31"/>
  <c r="J26" i="31"/>
  <c r="V26" i="31"/>
  <c r="BF26" i="31"/>
  <c r="BL26" i="31"/>
  <c r="AB26" i="31"/>
  <c r="AT26" i="31"/>
  <c r="BX26" i="31"/>
  <c r="O26" i="31"/>
  <c r="AY26" i="31"/>
  <c r="AA26" i="31"/>
  <c r="AM26" i="31"/>
  <c r="BQ26" i="31"/>
  <c r="U26" i="31"/>
  <c r="BE26" i="31"/>
  <c r="AG26" i="31"/>
  <c r="AS26" i="31"/>
  <c r="BK26" i="31"/>
  <c r="I26" i="31"/>
  <c r="BW26" i="31"/>
  <c r="BF313" i="31"/>
  <c r="BL313" i="31"/>
  <c r="BX313" i="31"/>
  <c r="AT313" i="31"/>
  <c r="J313" i="31"/>
  <c r="AN313" i="31"/>
  <c r="AH313" i="31"/>
  <c r="AB313" i="31"/>
  <c r="BR313" i="31"/>
  <c r="AZ313" i="31"/>
  <c r="P313" i="31"/>
  <c r="V313" i="31"/>
  <c r="AY313" i="31"/>
  <c r="AA313" i="31"/>
  <c r="BQ313" i="31"/>
  <c r="AM313" i="31"/>
  <c r="O313" i="31"/>
  <c r="U313" i="31"/>
  <c r="BE313" i="31"/>
  <c r="AS313" i="31"/>
  <c r="AG313" i="31"/>
  <c r="BK313" i="31"/>
  <c r="BW313" i="31"/>
  <c r="I313" i="31"/>
  <c r="AZ221" i="31"/>
  <c r="AB221" i="31"/>
  <c r="AH221" i="31"/>
  <c r="BR221" i="31"/>
  <c r="V221" i="31"/>
  <c r="BX221" i="31"/>
  <c r="P221" i="31"/>
  <c r="J221" i="31"/>
  <c r="BL221" i="31"/>
  <c r="AN221" i="31"/>
  <c r="BF221" i="31"/>
  <c r="AT221" i="31"/>
  <c r="AA221" i="31"/>
  <c r="AY221" i="31"/>
  <c r="O221" i="31"/>
  <c r="AM221" i="31"/>
  <c r="BQ221" i="31"/>
  <c r="U221" i="31"/>
  <c r="AG221" i="31"/>
  <c r="AS221" i="31"/>
  <c r="BE221" i="31"/>
  <c r="BK221" i="31"/>
  <c r="BW221" i="31"/>
  <c r="I221" i="31"/>
  <c r="BR284" i="31"/>
  <c r="BL284" i="31"/>
  <c r="P284" i="31"/>
  <c r="BF284" i="31"/>
  <c r="J284" i="31"/>
  <c r="V284" i="31"/>
  <c r="AH284" i="31"/>
  <c r="AT284" i="31"/>
  <c r="AN284" i="31"/>
  <c r="AB284" i="31"/>
  <c r="AZ284" i="31"/>
  <c r="BX284" i="31"/>
  <c r="AA284" i="31"/>
  <c r="BQ284" i="31"/>
  <c r="AY284" i="31"/>
  <c r="O284" i="31"/>
  <c r="AM284" i="31"/>
  <c r="U284" i="31"/>
  <c r="AG284" i="31"/>
  <c r="AS284" i="31"/>
  <c r="BE284" i="31"/>
  <c r="BW284" i="31"/>
  <c r="I284" i="31"/>
  <c r="BK284" i="31"/>
  <c r="BF264" i="31"/>
  <c r="AT264" i="31"/>
  <c r="AB264" i="31"/>
  <c r="AZ264" i="31"/>
  <c r="BL264" i="31"/>
  <c r="J264" i="31"/>
  <c r="AN264" i="31"/>
  <c r="P264" i="31"/>
  <c r="BX264" i="31"/>
  <c r="AH264" i="31"/>
  <c r="BR264" i="31"/>
  <c r="BE264" i="31"/>
  <c r="AG264" i="31"/>
  <c r="AK264" i="31" s="1"/>
  <c r="CI264" i="31" s="1"/>
  <c r="U264" i="31"/>
  <c r="O264" i="31"/>
  <c r="V264" i="31"/>
  <c r="BK264" i="31"/>
  <c r="AS264" i="31"/>
  <c r="AA264" i="31"/>
  <c r="AM264" i="31"/>
  <c r="BQ264" i="31"/>
  <c r="AY264" i="31"/>
  <c r="I264" i="31"/>
  <c r="BW264" i="31"/>
  <c r="V218" i="31"/>
  <c r="BF218" i="31"/>
  <c r="BL218" i="31"/>
  <c r="AZ218" i="31"/>
  <c r="AN218" i="31"/>
  <c r="J218" i="31"/>
  <c r="P218" i="31"/>
  <c r="AT218" i="31"/>
  <c r="AH218" i="31"/>
  <c r="AB218" i="31"/>
  <c r="BR218" i="31"/>
  <c r="BX218" i="31"/>
  <c r="O218" i="31"/>
  <c r="AM218" i="31"/>
  <c r="AA218" i="31"/>
  <c r="BQ218" i="31"/>
  <c r="AY218" i="31"/>
  <c r="U218" i="31"/>
  <c r="AG218" i="31"/>
  <c r="AS218" i="31"/>
  <c r="BE218" i="31"/>
  <c r="BK218" i="31"/>
  <c r="I218" i="31"/>
  <c r="BW218" i="31"/>
  <c r="J165" i="31"/>
  <c r="AB165" i="31"/>
  <c r="BL165" i="31"/>
  <c r="V165" i="31"/>
  <c r="AH165" i="31"/>
  <c r="BX165" i="31"/>
  <c r="AZ165" i="31"/>
  <c r="P165" i="31"/>
  <c r="AN165" i="31"/>
  <c r="AT165" i="31"/>
  <c r="BF165" i="31"/>
  <c r="BR165" i="31"/>
  <c r="AM165" i="31"/>
  <c r="AY165" i="31"/>
  <c r="BQ165" i="31"/>
  <c r="AA165" i="31"/>
  <c r="O165" i="31"/>
  <c r="U165" i="31"/>
  <c r="AG165" i="31"/>
  <c r="BE165" i="31"/>
  <c r="AS165" i="31"/>
  <c r="BK165" i="31"/>
  <c r="BW165" i="31"/>
  <c r="I165" i="31"/>
  <c r="AN330" i="31"/>
  <c r="V330" i="31"/>
  <c r="P330" i="31"/>
  <c r="AT330" i="31"/>
  <c r="BR330" i="31"/>
  <c r="BF330" i="31"/>
  <c r="J330" i="31"/>
  <c r="AB330" i="31"/>
  <c r="AH330" i="31"/>
  <c r="BL330" i="31"/>
  <c r="AZ330" i="31"/>
  <c r="BX330" i="31"/>
  <c r="AY330" i="31"/>
  <c r="BQ330" i="31"/>
  <c r="AA330" i="31"/>
  <c r="O330" i="31"/>
  <c r="AM330" i="31"/>
  <c r="AG330" i="31"/>
  <c r="U330" i="31"/>
  <c r="AS330" i="31"/>
  <c r="BE330" i="31"/>
  <c r="BK330" i="31"/>
  <c r="BW330" i="31"/>
  <c r="I330" i="31"/>
  <c r="AT69" i="31"/>
  <c r="AN69" i="31"/>
  <c r="V69" i="31"/>
  <c r="AZ69" i="31"/>
  <c r="BL69" i="31"/>
  <c r="P69" i="31"/>
  <c r="AB69" i="31"/>
  <c r="BR69" i="31"/>
  <c r="J69" i="31"/>
  <c r="AH69" i="31"/>
  <c r="BF69" i="31"/>
  <c r="BX69" i="31"/>
  <c r="AY69" i="31"/>
  <c r="BQ69" i="31"/>
  <c r="O69" i="31"/>
  <c r="AA69" i="31"/>
  <c r="AM69" i="31"/>
  <c r="U69" i="31"/>
  <c r="AS69" i="31"/>
  <c r="AG69" i="31"/>
  <c r="BE69" i="31"/>
  <c r="BW69" i="31"/>
  <c r="BK69" i="31"/>
  <c r="I69" i="31"/>
  <c r="BL295" i="31"/>
  <c r="AH295" i="31"/>
  <c r="BX295" i="31"/>
  <c r="V295" i="31"/>
  <c r="P295" i="31"/>
  <c r="BF295" i="31"/>
  <c r="J295" i="31"/>
  <c r="AZ295" i="31"/>
  <c r="BR295" i="31"/>
  <c r="AN295" i="31"/>
  <c r="AB295" i="31"/>
  <c r="AT295" i="31"/>
  <c r="BE295" i="31"/>
  <c r="AY295" i="31"/>
  <c r="U295" i="31"/>
  <c r="AA295" i="31"/>
  <c r="BK295" i="31"/>
  <c r="BQ295" i="31"/>
  <c r="AS295" i="31"/>
  <c r="O295" i="31"/>
  <c r="AG295" i="31"/>
  <c r="AM295" i="31"/>
  <c r="I295" i="31"/>
  <c r="BW295" i="31"/>
  <c r="AZ22" i="31"/>
  <c r="V22" i="31"/>
  <c r="BL22" i="31"/>
  <c r="BF22" i="31"/>
  <c r="J22" i="31"/>
  <c r="AB22" i="31"/>
  <c r="AN22" i="31"/>
  <c r="BX22" i="31"/>
  <c r="AH22" i="31"/>
  <c r="BR22" i="31"/>
  <c r="P22" i="31"/>
  <c r="AA22" i="31"/>
  <c r="AT22" i="31"/>
  <c r="AM22" i="31"/>
  <c r="AY22" i="31"/>
  <c r="BQ22" i="31"/>
  <c r="O22" i="31"/>
  <c r="U22" i="31"/>
  <c r="AG22" i="31"/>
  <c r="BE22" i="31"/>
  <c r="AS22" i="31"/>
  <c r="BK22" i="31"/>
  <c r="I22" i="31"/>
  <c r="BW22" i="31"/>
  <c r="AH229" i="31"/>
  <c r="V229" i="31"/>
  <c r="BL229" i="31"/>
  <c r="AZ229" i="31"/>
  <c r="BF229" i="31"/>
  <c r="BX229" i="31"/>
  <c r="AN229" i="31"/>
  <c r="P229" i="31"/>
  <c r="J229" i="31"/>
  <c r="BR229" i="31"/>
  <c r="AT229" i="31"/>
  <c r="AB229" i="31"/>
  <c r="AA229" i="31"/>
  <c r="BQ229" i="31"/>
  <c r="AY229" i="31"/>
  <c r="AM229" i="31"/>
  <c r="O229" i="31"/>
  <c r="U229" i="31"/>
  <c r="AG229" i="31"/>
  <c r="BE229" i="31"/>
  <c r="AS229" i="31"/>
  <c r="BK229" i="31"/>
  <c r="BW229" i="31"/>
  <c r="I229" i="31"/>
  <c r="V131" i="31"/>
  <c r="BF131" i="31"/>
  <c r="AT131" i="31"/>
  <c r="J131" i="31"/>
  <c r="AZ131" i="31"/>
  <c r="BL131" i="31"/>
  <c r="AB131" i="31"/>
  <c r="P131" i="31"/>
  <c r="BR131" i="31"/>
  <c r="AH131" i="31"/>
  <c r="AN131" i="31"/>
  <c r="BX131" i="31"/>
  <c r="BQ131" i="31"/>
  <c r="AA131" i="31"/>
  <c r="AM131" i="31"/>
  <c r="AY131" i="31"/>
  <c r="O131" i="31"/>
  <c r="U131" i="31"/>
  <c r="AG131" i="31"/>
  <c r="AS131" i="31"/>
  <c r="BE131" i="31"/>
  <c r="BK131" i="31"/>
  <c r="BW131" i="31"/>
  <c r="I131" i="31"/>
  <c r="AT181" i="31"/>
  <c r="P181" i="31"/>
  <c r="BX181" i="31"/>
  <c r="BR181" i="31"/>
  <c r="AN181" i="31"/>
  <c r="BL181" i="31"/>
  <c r="AZ181" i="31"/>
  <c r="J181" i="31"/>
  <c r="BF181" i="31"/>
  <c r="AB181" i="31"/>
  <c r="V181" i="31"/>
  <c r="AH181" i="31"/>
  <c r="BQ181" i="31"/>
  <c r="AM181" i="31"/>
  <c r="AA181" i="31"/>
  <c r="AY181" i="31"/>
  <c r="O181" i="31"/>
  <c r="U181" i="31"/>
  <c r="AG181" i="31"/>
  <c r="BE181" i="31"/>
  <c r="AS181" i="31"/>
  <c r="BK181" i="31"/>
  <c r="BW181" i="31"/>
  <c r="I181" i="31"/>
  <c r="BF77" i="31"/>
  <c r="AH77" i="31"/>
  <c r="BX77" i="31"/>
  <c r="AT77" i="31"/>
  <c r="BR77" i="31"/>
  <c r="V77" i="31"/>
  <c r="J77" i="31"/>
  <c r="AZ77" i="31"/>
  <c r="AN77" i="31"/>
  <c r="BL77" i="31"/>
  <c r="O77" i="31"/>
  <c r="AM77" i="31"/>
  <c r="P77" i="31"/>
  <c r="AB77" i="31"/>
  <c r="AA77" i="31"/>
  <c r="BQ77" i="31"/>
  <c r="AY77" i="31"/>
  <c r="U77" i="31"/>
  <c r="AS77" i="31"/>
  <c r="AG77" i="31"/>
  <c r="BK77" i="31"/>
  <c r="BE77" i="31"/>
  <c r="BW77" i="31"/>
  <c r="I77" i="31"/>
  <c r="AZ305" i="31"/>
  <c r="BR305" i="31"/>
  <c r="AT305" i="31"/>
  <c r="V305" i="31"/>
  <c r="BL305" i="31"/>
  <c r="AN305" i="31"/>
  <c r="AB305" i="31"/>
  <c r="BF305" i="31"/>
  <c r="P305" i="31"/>
  <c r="AH305" i="31"/>
  <c r="J305" i="31"/>
  <c r="BX305" i="31"/>
  <c r="AA305" i="31"/>
  <c r="O305" i="31"/>
  <c r="AM305" i="31"/>
  <c r="BQ305" i="31"/>
  <c r="AY305" i="31"/>
  <c r="U305" i="31"/>
  <c r="AG305" i="31"/>
  <c r="BE305" i="31"/>
  <c r="AS305" i="31"/>
  <c r="BK305" i="31"/>
  <c r="BW305" i="31"/>
  <c r="I305" i="31"/>
  <c r="BF207" i="31"/>
  <c r="J207" i="31"/>
  <c r="AH207" i="31"/>
  <c r="V207" i="31"/>
  <c r="P207" i="31"/>
  <c r="AT207" i="31"/>
  <c r="AZ207" i="31"/>
  <c r="AN207" i="31"/>
  <c r="BX207" i="31"/>
  <c r="BL207" i="31"/>
  <c r="BR207" i="31"/>
  <c r="AY207" i="31"/>
  <c r="AB207" i="31"/>
  <c r="AA207" i="31"/>
  <c r="AM207" i="31"/>
  <c r="BQ207" i="31"/>
  <c r="O207" i="31"/>
  <c r="U207" i="31"/>
  <c r="AG207" i="31"/>
  <c r="BE207" i="31"/>
  <c r="AS207" i="31"/>
  <c r="BK207" i="31"/>
  <c r="BW207" i="31"/>
  <c r="I207" i="31"/>
  <c r="P81" i="31"/>
  <c r="AZ81" i="31"/>
  <c r="AT81" i="31"/>
  <c r="BR81" i="31"/>
  <c r="AH81" i="31"/>
  <c r="BF81" i="31"/>
  <c r="J81" i="31"/>
  <c r="AB81" i="31"/>
  <c r="BX81" i="31"/>
  <c r="BL81" i="31"/>
  <c r="AN81" i="31"/>
  <c r="V81" i="31"/>
  <c r="BQ81" i="31"/>
  <c r="AM81" i="31"/>
  <c r="AY81" i="31"/>
  <c r="AA81" i="31"/>
  <c r="O81" i="31"/>
  <c r="U81" i="31"/>
  <c r="AG81" i="31"/>
  <c r="AS81" i="31"/>
  <c r="BE81" i="31"/>
  <c r="BW81" i="31"/>
  <c r="BK81" i="31"/>
  <c r="I81" i="31"/>
  <c r="BF98" i="31"/>
  <c r="AT98" i="31"/>
  <c r="BR98" i="31"/>
  <c r="V98" i="31"/>
  <c r="P98" i="31"/>
  <c r="AN98" i="31"/>
  <c r="BL98" i="31"/>
  <c r="J98" i="31"/>
  <c r="BX98" i="31"/>
  <c r="AH98" i="31"/>
  <c r="AZ98" i="31"/>
  <c r="AB98" i="31"/>
  <c r="BQ98" i="31"/>
  <c r="AY98" i="31"/>
  <c r="O98" i="31"/>
  <c r="AM98" i="31"/>
  <c r="AA98" i="31"/>
  <c r="U98" i="31"/>
  <c r="AG98" i="31"/>
  <c r="BE98" i="31"/>
  <c r="BK98" i="31"/>
  <c r="AS98" i="31"/>
  <c r="I98" i="31"/>
  <c r="BW98" i="31"/>
  <c r="AB239" i="31"/>
  <c r="AT239" i="31"/>
  <c r="BR239" i="31"/>
  <c r="AH239" i="31"/>
  <c r="AZ239" i="31"/>
  <c r="BF239" i="31"/>
  <c r="AN239" i="31"/>
  <c r="V239" i="31"/>
  <c r="P239" i="31"/>
  <c r="BL239" i="31"/>
  <c r="BX239" i="31"/>
  <c r="J239" i="31"/>
  <c r="BQ239" i="31"/>
  <c r="AM239" i="31"/>
  <c r="AA239" i="31"/>
  <c r="AY239" i="31"/>
  <c r="U239" i="31"/>
  <c r="AG239" i="31"/>
  <c r="AS239" i="31"/>
  <c r="O239" i="31"/>
  <c r="BK239" i="31"/>
  <c r="BE239" i="31"/>
  <c r="BW239" i="31"/>
  <c r="I239" i="31"/>
  <c r="BR153" i="31"/>
  <c r="AB153" i="31"/>
  <c r="BF153" i="31"/>
  <c r="V153" i="31"/>
  <c r="AT153" i="31"/>
  <c r="AZ153" i="31"/>
  <c r="P153" i="31"/>
  <c r="AN153" i="31"/>
  <c r="BX153" i="31"/>
  <c r="BL153" i="31"/>
  <c r="AH153" i="31"/>
  <c r="J153" i="31"/>
  <c r="O153" i="31"/>
  <c r="AA153" i="31"/>
  <c r="AY153" i="31"/>
  <c r="BQ153" i="31"/>
  <c r="AM153" i="31"/>
  <c r="U153" i="31"/>
  <c r="AG153" i="31"/>
  <c r="BE153" i="31"/>
  <c r="AS153" i="31"/>
  <c r="BK153" i="31"/>
  <c r="BW153" i="31"/>
  <c r="I153" i="31"/>
  <c r="BL95" i="31"/>
  <c r="V95" i="31"/>
  <c r="AH95" i="31"/>
  <c r="AT95" i="31"/>
  <c r="AZ95" i="31"/>
  <c r="AN95" i="31"/>
  <c r="BX95" i="31"/>
  <c r="J95" i="31"/>
  <c r="P95" i="31"/>
  <c r="AB95" i="31"/>
  <c r="BF95" i="31"/>
  <c r="BR95" i="31"/>
  <c r="AA95" i="31"/>
  <c r="AY95" i="31"/>
  <c r="BQ95" i="31"/>
  <c r="AM95" i="31"/>
  <c r="O95" i="31"/>
  <c r="U95" i="31"/>
  <c r="AG95" i="31"/>
  <c r="AS95" i="31"/>
  <c r="BE95" i="31"/>
  <c r="I95" i="31"/>
  <c r="BW95" i="31"/>
  <c r="BK95" i="31"/>
  <c r="AB275" i="31"/>
  <c r="AT275" i="31"/>
  <c r="V275" i="31"/>
  <c r="BR275" i="31"/>
  <c r="AH275" i="31"/>
  <c r="P275" i="31"/>
  <c r="AN275" i="31"/>
  <c r="AZ275" i="31"/>
  <c r="J275" i="31"/>
  <c r="BX275" i="31"/>
  <c r="BF275" i="31"/>
  <c r="BL275" i="31"/>
  <c r="BQ275" i="31"/>
  <c r="AY275" i="31"/>
  <c r="O275" i="31"/>
  <c r="AM275" i="31"/>
  <c r="AA275" i="31"/>
  <c r="AG275" i="31"/>
  <c r="U275" i="31"/>
  <c r="AS275" i="31"/>
  <c r="BE275" i="31"/>
  <c r="BK275" i="31"/>
  <c r="BW275" i="31"/>
  <c r="I275" i="31"/>
  <c r="BL146" i="31"/>
  <c r="P146" i="31"/>
  <c r="AB146" i="31"/>
  <c r="AT146" i="31"/>
  <c r="BF146" i="31"/>
  <c r="V146" i="31"/>
  <c r="BR146" i="31"/>
  <c r="J146" i="31"/>
  <c r="AH146" i="31"/>
  <c r="AN146" i="31"/>
  <c r="AZ146" i="31"/>
  <c r="BX146" i="31"/>
  <c r="BQ146" i="31"/>
  <c r="AY146" i="31"/>
  <c r="O146" i="31"/>
  <c r="AA146" i="31"/>
  <c r="AM146" i="31"/>
  <c r="U146" i="31"/>
  <c r="AG146" i="31"/>
  <c r="BE146" i="31"/>
  <c r="AS146" i="31"/>
  <c r="BK146" i="31"/>
  <c r="BW146" i="31"/>
  <c r="I146" i="31"/>
  <c r="V48" i="31"/>
  <c r="AH48" i="31"/>
  <c r="BR48" i="31"/>
  <c r="BX48" i="31"/>
  <c r="J48" i="31"/>
  <c r="BL48" i="31"/>
  <c r="AN48" i="31"/>
  <c r="P48" i="31"/>
  <c r="AT48" i="31"/>
  <c r="BF48" i="31"/>
  <c r="AZ48" i="31"/>
  <c r="AB48" i="31"/>
  <c r="O48" i="31"/>
  <c r="AA48" i="31"/>
  <c r="AM48" i="31"/>
  <c r="AY48" i="31"/>
  <c r="BQ48" i="31"/>
  <c r="U48" i="31"/>
  <c r="AS48" i="31"/>
  <c r="AG48" i="31"/>
  <c r="BE48" i="31"/>
  <c r="BW48" i="31"/>
  <c r="BK48" i="31"/>
  <c r="I48" i="31"/>
  <c r="BL9" i="31"/>
  <c r="BR9" i="31"/>
  <c r="P9" i="31"/>
  <c r="AB9" i="31"/>
  <c r="J9" i="31"/>
  <c r="AN9" i="31"/>
  <c r="BX9" i="31"/>
  <c r="AH9" i="31"/>
  <c r="AT9" i="31"/>
  <c r="V9" i="31"/>
  <c r="BF9" i="31"/>
  <c r="AZ9" i="31"/>
  <c r="AM9" i="31"/>
  <c r="BQ9" i="31"/>
  <c r="O9" i="31"/>
  <c r="AY9" i="31"/>
  <c r="AA9" i="31"/>
  <c r="U9" i="31"/>
  <c r="AG9" i="31"/>
  <c r="BE9" i="31"/>
  <c r="AS9" i="31"/>
  <c r="BK9" i="31"/>
  <c r="I9" i="31"/>
  <c r="BW9" i="31"/>
  <c r="P115" i="31"/>
  <c r="AZ115" i="31"/>
  <c r="BL115" i="31"/>
  <c r="AH115" i="31"/>
  <c r="AT115" i="31"/>
  <c r="V115" i="31"/>
  <c r="BX115" i="31"/>
  <c r="J115" i="31"/>
  <c r="AN115" i="31"/>
  <c r="AB115" i="31"/>
  <c r="BR115" i="31"/>
  <c r="BF115" i="31"/>
  <c r="AM115" i="31"/>
  <c r="AY115" i="31"/>
  <c r="AA115" i="31"/>
  <c r="BQ115" i="31"/>
  <c r="O115" i="31"/>
  <c r="U115" i="31"/>
  <c r="AG115" i="31"/>
  <c r="AS115" i="31"/>
  <c r="BE115" i="31"/>
  <c r="BK115" i="31"/>
  <c r="I115" i="31"/>
  <c r="BW115" i="31"/>
  <c r="AH326" i="31"/>
  <c r="BF326" i="31"/>
  <c r="P326" i="31"/>
  <c r="AT326" i="31"/>
  <c r="BR326" i="31"/>
  <c r="BX326" i="31"/>
  <c r="AN326" i="31"/>
  <c r="AB326" i="31"/>
  <c r="BL326" i="31"/>
  <c r="AZ326" i="31"/>
  <c r="J326" i="31"/>
  <c r="V326" i="31"/>
  <c r="AM326" i="31"/>
  <c r="O326" i="31"/>
  <c r="AA326" i="31"/>
  <c r="AY326" i="31"/>
  <c r="BQ326" i="31"/>
  <c r="U326" i="31"/>
  <c r="AG326" i="31"/>
  <c r="AS326" i="31"/>
  <c r="BE326" i="31"/>
  <c r="BK326" i="31"/>
  <c r="BW326" i="31"/>
  <c r="I326" i="31"/>
  <c r="AH271" i="31"/>
  <c r="V271" i="31"/>
  <c r="BF271" i="31"/>
  <c r="BX271" i="31"/>
  <c r="AN271" i="31"/>
  <c r="P271" i="31"/>
  <c r="AB271" i="31"/>
  <c r="BL271" i="31"/>
  <c r="BR271" i="31"/>
  <c r="AT271" i="31"/>
  <c r="J271" i="31"/>
  <c r="AZ271" i="31"/>
  <c r="BQ271" i="31"/>
  <c r="O271" i="31"/>
  <c r="AY271" i="31"/>
  <c r="AM271" i="31"/>
  <c r="AA271" i="31"/>
  <c r="U271" i="31"/>
  <c r="AG271" i="31"/>
  <c r="AS271" i="31"/>
  <c r="BE271" i="31"/>
  <c r="BK271" i="31"/>
  <c r="BW271" i="31"/>
  <c r="I271" i="31"/>
  <c r="BR79" i="31"/>
  <c r="BL79" i="31"/>
  <c r="AB79" i="31"/>
  <c r="BX79" i="31"/>
  <c r="AH79" i="31"/>
  <c r="AN79" i="31"/>
  <c r="P79" i="31"/>
  <c r="V79" i="31"/>
  <c r="J79" i="31"/>
  <c r="BF79" i="31"/>
  <c r="AT79" i="31"/>
  <c r="AZ79" i="31"/>
  <c r="AY79" i="31"/>
  <c r="BQ79" i="31"/>
  <c r="AM79" i="31"/>
  <c r="AA79" i="31"/>
  <c r="O79" i="31"/>
  <c r="U79" i="31"/>
  <c r="AG79" i="31"/>
  <c r="AS79" i="31"/>
  <c r="BK79" i="31"/>
  <c r="BW79" i="31"/>
  <c r="BE79" i="31"/>
  <c r="I79" i="31"/>
  <c r="P33" i="31"/>
  <c r="AZ33" i="31"/>
  <c r="BX33" i="31"/>
  <c r="AT33" i="31"/>
  <c r="V33" i="31"/>
  <c r="AB33" i="31"/>
  <c r="AN33" i="31"/>
  <c r="BL33" i="31"/>
  <c r="AH33" i="31"/>
  <c r="BF33" i="31"/>
  <c r="J33" i="31"/>
  <c r="BR33" i="31"/>
  <c r="BQ33" i="31"/>
  <c r="AA33" i="31"/>
  <c r="AY33" i="31"/>
  <c r="AM33" i="31"/>
  <c r="O33" i="31"/>
  <c r="AG33" i="31"/>
  <c r="U33" i="31"/>
  <c r="BE33" i="31"/>
  <c r="AS33" i="31"/>
  <c r="BK33" i="31"/>
  <c r="BW33" i="31"/>
  <c r="I33" i="31"/>
  <c r="J219" i="31"/>
  <c r="AH219" i="31"/>
  <c r="BR219" i="31"/>
  <c r="AB219" i="31"/>
  <c r="BL219" i="31"/>
  <c r="P219" i="31"/>
  <c r="BX219" i="31"/>
  <c r="AZ219" i="31"/>
  <c r="BF219" i="31"/>
  <c r="V219" i="31"/>
  <c r="AT219" i="31"/>
  <c r="AN219" i="31"/>
  <c r="AA219" i="31"/>
  <c r="BQ219" i="31"/>
  <c r="AM219" i="31"/>
  <c r="AY219" i="31"/>
  <c r="O219" i="31"/>
  <c r="U219" i="31"/>
  <c r="AG219" i="31"/>
  <c r="AS219" i="31"/>
  <c r="BE219" i="31"/>
  <c r="BK219" i="31"/>
  <c r="BW219" i="31"/>
  <c r="I219" i="31"/>
  <c r="J282" i="31"/>
  <c r="AT282" i="31"/>
  <c r="AH282" i="31"/>
  <c r="AZ282" i="31"/>
  <c r="BL282" i="31"/>
  <c r="BF282" i="31"/>
  <c r="AN282" i="31"/>
  <c r="BR282" i="31"/>
  <c r="V282" i="31"/>
  <c r="BX282" i="31"/>
  <c r="AB282" i="31"/>
  <c r="P282" i="31"/>
  <c r="O282" i="31"/>
  <c r="AM282" i="31"/>
  <c r="AA282" i="31"/>
  <c r="BQ282" i="31"/>
  <c r="AY282" i="31"/>
  <c r="U282" i="31"/>
  <c r="AG282" i="31"/>
  <c r="AS282" i="31"/>
  <c r="BK282" i="31"/>
  <c r="BE282" i="31"/>
  <c r="BW282" i="31"/>
  <c r="I282" i="31"/>
  <c r="AN329" i="31"/>
  <c r="AZ329" i="31"/>
  <c r="AH329" i="31"/>
  <c r="AT329" i="31"/>
  <c r="P329" i="31"/>
  <c r="BL329" i="31"/>
  <c r="BF329" i="31"/>
  <c r="J329" i="31"/>
  <c r="BR329" i="31"/>
  <c r="V329" i="31"/>
  <c r="BX329" i="31"/>
  <c r="AB329" i="31"/>
  <c r="BQ329" i="31"/>
  <c r="AY329" i="31"/>
  <c r="AM329" i="31"/>
  <c r="AA329" i="31"/>
  <c r="O329" i="31"/>
  <c r="U329" i="31"/>
  <c r="AG329" i="31"/>
  <c r="AS329" i="31"/>
  <c r="BE329" i="31"/>
  <c r="BK329" i="31"/>
  <c r="BW329" i="31"/>
  <c r="I329" i="31"/>
  <c r="J82" i="31"/>
  <c r="V82" i="31"/>
  <c r="AH82" i="31"/>
  <c r="AT82" i="31"/>
  <c r="AB82" i="31"/>
  <c r="AZ82" i="31"/>
  <c r="AN82" i="31"/>
  <c r="BR82" i="31"/>
  <c r="BX82" i="31"/>
  <c r="BL82" i="31"/>
  <c r="P82" i="31"/>
  <c r="BF82" i="31"/>
  <c r="BQ82" i="31"/>
  <c r="AM82" i="31"/>
  <c r="AY82" i="31"/>
  <c r="AA82" i="31"/>
  <c r="O82" i="31"/>
  <c r="U82" i="31"/>
  <c r="BE82" i="31"/>
  <c r="AG82" i="31"/>
  <c r="AS82" i="31"/>
  <c r="BK82" i="31"/>
  <c r="BW82" i="31"/>
  <c r="I82" i="31"/>
  <c r="AN318" i="31"/>
  <c r="AZ318" i="31"/>
  <c r="AB318" i="31"/>
  <c r="BR318" i="31"/>
  <c r="BF318" i="31"/>
  <c r="V318" i="31"/>
  <c r="AH318" i="31"/>
  <c r="P318" i="31"/>
  <c r="J318" i="31"/>
  <c r="BL318" i="31"/>
  <c r="AT318" i="31"/>
  <c r="BX318" i="31"/>
  <c r="AA318" i="31"/>
  <c r="AM318" i="31"/>
  <c r="AY318" i="31"/>
  <c r="O318" i="31"/>
  <c r="BQ318" i="31"/>
  <c r="U318" i="31"/>
  <c r="AG318" i="31"/>
  <c r="AS318" i="31"/>
  <c r="BE318" i="31"/>
  <c r="BK318" i="31"/>
  <c r="BW318" i="31"/>
  <c r="I318" i="31"/>
  <c r="BL231" i="31"/>
  <c r="BF231" i="31"/>
  <c r="BX231" i="31"/>
  <c r="AZ231" i="31"/>
  <c r="P231" i="31"/>
  <c r="AN231" i="31"/>
  <c r="BR231" i="31"/>
  <c r="J231" i="31"/>
  <c r="AT231" i="31"/>
  <c r="AB231" i="31"/>
  <c r="AH231" i="31"/>
  <c r="V231" i="31"/>
  <c r="AY231" i="31"/>
  <c r="AM231" i="31"/>
  <c r="AA231" i="31"/>
  <c r="BQ231" i="31"/>
  <c r="O231" i="31"/>
  <c r="U231" i="31"/>
  <c r="AG231" i="31"/>
  <c r="AS231" i="31"/>
  <c r="BK231" i="31"/>
  <c r="BE231" i="31"/>
  <c r="BW231" i="31"/>
  <c r="I231" i="31"/>
  <c r="AB272" i="31"/>
  <c r="BL272" i="31"/>
  <c r="BR272" i="31"/>
  <c r="AZ272" i="31"/>
  <c r="BF272" i="31"/>
  <c r="V272" i="31"/>
  <c r="J272" i="31"/>
  <c r="AT272" i="31"/>
  <c r="P272" i="31"/>
  <c r="AH272" i="31"/>
  <c r="AN272" i="31"/>
  <c r="BX272" i="31"/>
  <c r="O272" i="31"/>
  <c r="AM272" i="31"/>
  <c r="AY272" i="31"/>
  <c r="AA272" i="31"/>
  <c r="BQ272" i="31"/>
  <c r="U272" i="31"/>
  <c r="AS272" i="31"/>
  <c r="BE272" i="31"/>
  <c r="AG272" i="31"/>
  <c r="BK272" i="31"/>
  <c r="BW272" i="31"/>
  <c r="I272" i="31"/>
  <c r="P136" i="31"/>
  <c r="AN136" i="31"/>
  <c r="BR136" i="31"/>
  <c r="AH136" i="31"/>
  <c r="J136" i="31"/>
  <c r="AZ136" i="31"/>
  <c r="AT136" i="31"/>
  <c r="AB136" i="31"/>
  <c r="V136" i="31"/>
  <c r="BL136" i="31"/>
  <c r="BF136" i="31"/>
  <c r="BX136" i="31"/>
  <c r="AM136" i="31"/>
  <c r="BQ136" i="31"/>
  <c r="AA136" i="31"/>
  <c r="O136" i="31"/>
  <c r="AY136" i="31"/>
  <c r="AS136" i="31"/>
  <c r="AG136" i="31"/>
  <c r="U136" i="31"/>
  <c r="BE136" i="31"/>
  <c r="I136" i="31"/>
  <c r="BW136" i="31"/>
  <c r="BK136" i="31"/>
  <c r="V16" i="31"/>
  <c r="BF16" i="31"/>
  <c r="AB16" i="31"/>
  <c r="BX16" i="31"/>
  <c r="AT16" i="31"/>
  <c r="BR16" i="31"/>
  <c r="BL16" i="31"/>
  <c r="AZ16" i="31"/>
  <c r="AH16" i="31"/>
  <c r="J16" i="31"/>
  <c r="AN16" i="31"/>
  <c r="P16" i="31"/>
  <c r="AY16" i="31"/>
  <c r="O16" i="31"/>
  <c r="BQ16" i="31"/>
  <c r="AA16" i="31"/>
  <c r="AM16" i="31"/>
  <c r="U16" i="31"/>
  <c r="AS16" i="31"/>
  <c r="AG16" i="31"/>
  <c r="BE16" i="31"/>
  <c r="BK16" i="31"/>
  <c r="BW16" i="31"/>
  <c r="I16" i="31"/>
  <c r="BF187" i="31"/>
  <c r="AT187" i="31"/>
  <c r="AN187" i="31"/>
  <c r="AB187" i="31"/>
  <c r="BR187" i="31"/>
  <c r="V187" i="31"/>
  <c r="P187" i="31"/>
  <c r="AZ187" i="31"/>
  <c r="BL187" i="31"/>
  <c r="J187" i="31"/>
  <c r="AH187" i="31"/>
  <c r="BX187" i="31"/>
  <c r="AM187" i="31"/>
  <c r="AA187" i="31"/>
  <c r="AY187" i="31"/>
  <c r="O187" i="31"/>
  <c r="BQ187" i="31"/>
  <c r="U187" i="31"/>
  <c r="AG187" i="31"/>
  <c r="AS187" i="31"/>
  <c r="BE187" i="31"/>
  <c r="BK187" i="31"/>
  <c r="BW187" i="31"/>
  <c r="I187" i="31"/>
  <c r="P76" i="31"/>
  <c r="AT76" i="31"/>
  <c r="BX76" i="31"/>
  <c r="AZ76" i="31"/>
  <c r="J76" i="31"/>
  <c r="BF76" i="31"/>
  <c r="BR76" i="31"/>
  <c r="AB76" i="31"/>
  <c r="AH76" i="31"/>
  <c r="V76" i="31"/>
  <c r="BL76" i="31"/>
  <c r="AN76" i="31"/>
  <c r="O76" i="31"/>
  <c r="AY76" i="31"/>
  <c r="AM76" i="31"/>
  <c r="BQ76" i="31"/>
  <c r="AA76" i="31"/>
  <c r="U76" i="31"/>
  <c r="AG76" i="31"/>
  <c r="AS76" i="31"/>
  <c r="BE76" i="31"/>
  <c r="BK76" i="31"/>
  <c r="BW76" i="31"/>
  <c r="I76" i="31"/>
  <c r="BF173" i="31"/>
  <c r="AZ173" i="31"/>
  <c r="BX173" i="31"/>
  <c r="BR173" i="31"/>
  <c r="AT173" i="31"/>
  <c r="V173" i="31"/>
  <c r="AB173" i="31"/>
  <c r="AN173" i="31"/>
  <c r="P173" i="31"/>
  <c r="J173" i="31"/>
  <c r="BL173" i="31"/>
  <c r="AH173" i="31"/>
  <c r="AA173" i="31"/>
  <c r="AM173" i="31"/>
  <c r="O173" i="31"/>
  <c r="BQ173" i="31"/>
  <c r="AY173" i="31"/>
  <c r="U173" i="31"/>
  <c r="AG173" i="31"/>
  <c r="AS173" i="31"/>
  <c r="BE173" i="31"/>
  <c r="BK173" i="31"/>
  <c r="I173" i="31"/>
  <c r="BW173" i="31"/>
  <c r="AH10" i="31"/>
  <c r="P10" i="31"/>
  <c r="AZ10" i="31"/>
  <c r="AN10" i="31"/>
  <c r="V10" i="31"/>
  <c r="BX10" i="31"/>
  <c r="J10" i="31"/>
  <c r="AT10" i="31"/>
  <c r="BR10" i="31"/>
  <c r="BL10" i="31"/>
  <c r="AB10" i="31"/>
  <c r="BF10" i="31"/>
  <c r="AY10" i="31"/>
  <c r="AM10" i="31"/>
  <c r="BQ10" i="31"/>
  <c r="O10" i="31"/>
  <c r="AA10" i="31"/>
  <c r="U10" i="31"/>
  <c r="AS10" i="31"/>
  <c r="AG10" i="31"/>
  <c r="BK10" i="31"/>
  <c r="BE10" i="31"/>
  <c r="BW10" i="31"/>
  <c r="I10" i="31"/>
  <c r="BL180" i="31"/>
  <c r="AB180" i="31"/>
  <c r="BF180" i="31"/>
  <c r="AT180" i="31"/>
  <c r="V180" i="31"/>
  <c r="P180" i="31"/>
  <c r="AN180" i="31"/>
  <c r="AH180" i="31"/>
  <c r="BX180" i="31"/>
  <c r="J180" i="31"/>
  <c r="BR180" i="31"/>
  <c r="AZ180" i="31"/>
  <c r="O180" i="31"/>
  <c r="AY180" i="31"/>
  <c r="AA180" i="31"/>
  <c r="BQ180" i="31"/>
  <c r="AM180" i="31"/>
  <c r="U180" i="31"/>
  <c r="AS180" i="31"/>
  <c r="AG180" i="31"/>
  <c r="BE180" i="31"/>
  <c r="BK180" i="31"/>
  <c r="BW180" i="31"/>
  <c r="I180" i="31"/>
  <c r="P168" i="31"/>
  <c r="AZ168" i="31"/>
  <c r="AB168" i="31"/>
  <c r="AT168" i="31"/>
  <c r="V168" i="31"/>
  <c r="BR168" i="31"/>
  <c r="AN168" i="31"/>
  <c r="BL168" i="31"/>
  <c r="BF168" i="31"/>
  <c r="AH168" i="31"/>
  <c r="AY168" i="31"/>
  <c r="BQ168" i="31"/>
  <c r="J168" i="31"/>
  <c r="BX168" i="31"/>
  <c r="AA168" i="31"/>
  <c r="AM168" i="31"/>
  <c r="O168" i="31"/>
  <c r="U168" i="31"/>
  <c r="BE168" i="31"/>
  <c r="AG168" i="31"/>
  <c r="AS168" i="31"/>
  <c r="BK168" i="31"/>
  <c r="BW168" i="31"/>
  <c r="I168" i="31"/>
  <c r="AZ19" i="31"/>
  <c r="P19" i="31"/>
  <c r="J19" i="31"/>
  <c r="AN19" i="31"/>
  <c r="BX19" i="31"/>
  <c r="BR19" i="31"/>
  <c r="AT19" i="31"/>
  <c r="AB19" i="31"/>
  <c r="AH19" i="31"/>
  <c r="BF19" i="31"/>
  <c r="BL19" i="31"/>
  <c r="V19" i="31"/>
  <c r="AY19" i="31"/>
  <c r="AM19" i="31"/>
  <c r="BQ19" i="31"/>
  <c r="AA19" i="31"/>
  <c r="O19" i="31"/>
  <c r="U19" i="31"/>
  <c r="AS19" i="31"/>
  <c r="AG19" i="31"/>
  <c r="BE19" i="31"/>
  <c r="BK19" i="31"/>
  <c r="BW19" i="31"/>
  <c r="I19" i="31"/>
  <c r="AT263" i="31"/>
  <c r="J263" i="31"/>
  <c r="AN263" i="31"/>
  <c r="BF263" i="31"/>
  <c r="AH263" i="31"/>
  <c r="BL263" i="31"/>
  <c r="V263" i="31"/>
  <c r="AZ263" i="31"/>
  <c r="AB263" i="31"/>
  <c r="BX263" i="31"/>
  <c r="P263" i="31"/>
  <c r="BR263" i="31"/>
  <c r="O263" i="31"/>
  <c r="BQ263" i="31"/>
  <c r="AM263" i="31"/>
  <c r="AY263" i="31"/>
  <c r="AA263" i="31"/>
  <c r="U263" i="31"/>
  <c r="AG263" i="31"/>
  <c r="AS263" i="31"/>
  <c r="BE263" i="31"/>
  <c r="BK263" i="31"/>
  <c r="BW263" i="31"/>
  <c r="I263" i="31"/>
  <c r="AZ320" i="31"/>
  <c r="J320" i="31"/>
  <c r="V320" i="31"/>
  <c r="AN320" i="31"/>
  <c r="BF320" i="31"/>
  <c r="P320" i="31"/>
  <c r="AT320" i="31"/>
  <c r="AB320" i="31"/>
  <c r="BX320" i="31"/>
  <c r="AH320" i="31"/>
  <c r="BR320" i="31"/>
  <c r="BL320" i="31"/>
  <c r="O320" i="31"/>
  <c r="AA320" i="31"/>
  <c r="AM320" i="31"/>
  <c r="BQ320" i="31"/>
  <c r="AY320" i="31"/>
  <c r="U320" i="31"/>
  <c r="AG320" i="31"/>
  <c r="AS320" i="31"/>
  <c r="BE320" i="31"/>
  <c r="BW320" i="31"/>
  <c r="BK320" i="31"/>
  <c r="I320" i="31"/>
  <c r="AH347" i="31"/>
  <c r="J347" i="31"/>
  <c r="P347" i="31"/>
  <c r="BL347" i="31"/>
  <c r="AZ347" i="31"/>
  <c r="AN347" i="31"/>
  <c r="AB347" i="31"/>
  <c r="AT347" i="31"/>
  <c r="BF347" i="31"/>
  <c r="BR347" i="31"/>
  <c r="V347" i="31"/>
  <c r="BX347" i="31"/>
  <c r="BQ347" i="31"/>
  <c r="AM347" i="31"/>
  <c r="AY347" i="31"/>
  <c r="AA347" i="31"/>
  <c r="O347" i="31"/>
  <c r="U347" i="31"/>
  <c r="AG347" i="31"/>
  <c r="BE347" i="31"/>
  <c r="AS347" i="31"/>
  <c r="BK347" i="31"/>
  <c r="I347" i="31"/>
  <c r="BW347" i="31"/>
  <c r="P144" i="31"/>
  <c r="AB144" i="31"/>
  <c r="BL144" i="31"/>
  <c r="AZ144" i="31"/>
  <c r="AT144" i="31"/>
  <c r="BX144" i="31"/>
  <c r="BR144" i="31"/>
  <c r="AN144" i="31"/>
  <c r="J144" i="31"/>
  <c r="AH144" i="31"/>
  <c r="BF144" i="31"/>
  <c r="V144" i="31"/>
  <c r="AY144" i="31"/>
  <c r="BQ144" i="31"/>
  <c r="AM144" i="31"/>
  <c r="O144" i="31"/>
  <c r="AA144" i="31"/>
  <c r="U144" i="31"/>
  <c r="AG144" i="31"/>
  <c r="AS144" i="31"/>
  <c r="BE144" i="31"/>
  <c r="BK144" i="31"/>
  <c r="I144" i="31"/>
  <c r="BW144" i="31"/>
  <c r="BR152" i="31"/>
  <c r="V152" i="31"/>
  <c r="BX152" i="31"/>
  <c r="AZ152" i="31"/>
  <c r="J152" i="31"/>
  <c r="P152" i="31"/>
  <c r="AN152" i="31"/>
  <c r="BF152" i="31"/>
  <c r="AB152" i="31"/>
  <c r="AH152" i="31"/>
  <c r="BL152" i="31"/>
  <c r="AT152" i="31"/>
  <c r="BQ152" i="31"/>
  <c r="O152" i="31"/>
  <c r="AA152" i="31"/>
  <c r="AY152" i="31"/>
  <c r="AM152" i="31"/>
  <c r="U152" i="31"/>
  <c r="AG152" i="31"/>
  <c r="AS152" i="31"/>
  <c r="BE152" i="31"/>
  <c r="BK152" i="31"/>
  <c r="BW152" i="31"/>
  <c r="I152" i="31"/>
  <c r="BR20" i="31"/>
  <c r="V20" i="31"/>
  <c r="J20" i="31"/>
  <c r="AT20" i="31"/>
  <c r="P20" i="31"/>
  <c r="AN20" i="31"/>
  <c r="BF20" i="31"/>
  <c r="BL20" i="31"/>
  <c r="AZ20" i="31"/>
  <c r="AH20" i="31"/>
  <c r="AB20" i="31"/>
  <c r="BX20" i="31"/>
  <c r="AM20" i="31"/>
  <c r="AY20" i="31"/>
  <c r="BQ20" i="31"/>
  <c r="AA20" i="31"/>
  <c r="O20" i="31"/>
  <c r="U20" i="31"/>
  <c r="AG20" i="31"/>
  <c r="AS20" i="31"/>
  <c r="BE20" i="31"/>
  <c r="BK20" i="31"/>
  <c r="BW20" i="31"/>
  <c r="I20" i="31"/>
  <c r="J88" i="31"/>
  <c r="V88" i="31"/>
  <c r="AN88" i="31"/>
  <c r="BL88" i="31"/>
  <c r="BF88" i="31"/>
  <c r="P88" i="31"/>
  <c r="AB88" i="31"/>
  <c r="AT88" i="31"/>
  <c r="BR88" i="31"/>
  <c r="AH88" i="31"/>
  <c r="AZ88" i="31"/>
  <c r="BX88" i="31"/>
  <c r="AY88" i="31"/>
  <c r="BQ88" i="31"/>
  <c r="O88" i="31"/>
  <c r="AM88" i="31"/>
  <c r="AA88" i="31"/>
  <c r="U88" i="31"/>
  <c r="AG88" i="31"/>
  <c r="BE88" i="31"/>
  <c r="AS88" i="31"/>
  <c r="BK88" i="31"/>
  <c r="I88" i="31"/>
  <c r="BW88" i="31"/>
  <c r="P63" i="31"/>
  <c r="AT63" i="31"/>
  <c r="BX63" i="31"/>
  <c r="AB63" i="31"/>
  <c r="V63" i="31"/>
  <c r="BL63" i="31"/>
  <c r="AZ63" i="31"/>
  <c r="BF63" i="31"/>
  <c r="AN63" i="31"/>
  <c r="AH63" i="31"/>
  <c r="BR63" i="31"/>
  <c r="O63" i="31"/>
  <c r="J63" i="31"/>
  <c r="AY63" i="31"/>
  <c r="BQ63" i="31"/>
  <c r="AM63" i="31"/>
  <c r="AA63" i="31"/>
  <c r="U63" i="31"/>
  <c r="AG63" i="31"/>
  <c r="AS63" i="31"/>
  <c r="BE63" i="31"/>
  <c r="BK63" i="31"/>
  <c r="BW63" i="31"/>
  <c r="I63" i="31"/>
  <c r="AN310" i="31"/>
  <c r="P310" i="31"/>
  <c r="AZ310" i="31"/>
  <c r="BR310" i="31"/>
  <c r="AT310" i="31"/>
  <c r="AB310" i="31"/>
  <c r="BL310" i="31"/>
  <c r="J310" i="31"/>
  <c r="V310" i="31"/>
  <c r="AH310" i="31"/>
  <c r="BX310" i="31"/>
  <c r="BF310" i="31"/>
  <c r="BQ310" i="31"/>
  <c r="AA310" i="31"/>
  <c r="AM310" i="31"/>
  <c r="O310" i="31"/>
  <c r="AY310" i="31"/>
  <c r="U310" i="31"/>
  <c r="AG310" i="31"/>
  <c r="AS310" i="31"/>
  <c r="BE310" i="31"/>
  <c r="BK310" i="31"/>
  <c r="I310" i="31"/>
  <c r="BW310" i="31"/>
  <c r="AT177" i="31"/>
  <c r="AB177" i="31"/>
  <c r="AZ177" i="31"/>
  <c r="AN177" i="31"/>
  <c r="BX177" i="31"/>
  <c r="BR177" i="31"/>
  <c r="BF177" i="31"/>
  <c r="AH177" i="31"/>
  <c r="J177" i="31"/>
  <c r="V177" i="31"/>
  <c r="BL177" i="31"/>
  <c r="P177" i="31"/>
  <c r="AM177" i="31"/>
  <c r="O177" i="31"/>
  <c r="AY177" i="31"/>
  <c r="AA177" i="31"/>
  <c r="BQ177" i="31"/>
  <c r="U177" i="31"/>
  <c r="AG177" i="31"/>
  <c r="AS177" i="31"/>
  <c r="BE177" i="31"/>
  <c r="BK177" i="31"/>
  <c r="I177" i="31"/>
  <c r="BW177" i="31"/>
  <c r="AH61" i="31"/>
  <c r="BX61" i="31"/>
  <c r="P61" i="31"/>
  <c r="AB61" i="31"/>
  <c r="BF61" i="31"/>
  <c r="AZ61" i="31"/>
  <c r="BL61" i="31"/>
  <c r="AN61" i="31"/>
  <c r="AT61" i="31"/>
  <c r="V61" i="31"/>
  <c r="J61" i="31"/>
  <c r="BR61" i="31"/>
  <c r="AM61" i="31"/>
  <c r="AY61" i="31"/>
  <c r="O61" i="31"/>
  <c r="BQ61" i="31"/>
  <c r="AA61" i="31"/>
  <c r="AG61" i="31"/>
  <c r="U61" i="31"/>
  <c r="AS61" i="31"/>
  <c r="BE61" i="31"/>
  <c r="BK61" i="31"/>
  <c r="I61" i="31"/>
  <c r="BW61" i="31"/>
  <c r="AH12" i="31"/>
  <c r="BL12" i="31"/>
  <c r="AB12" i="31"/>
  <c r="BX12" i="31"/>
  <c r="BR12" i="31"/>
  <c r="P12" i="31"/>
  <c r="J12" i="31"/>
  <c r="V12" i="31"/>
  <c r="AT12" i="31"/>
  <c r="AN12" i="31"/>
  <c r="BF12" i="31"/>
  <c r="AZ12" i="31"/>
  <c r="BQ12" i="31"/>
  <c r="AY12" i="31"/>
  <c r="AM12" i="31"/>
  <c r="AA12" i="31"/>
  <c r="O12" i="31"/>
  <c r="U12" i="31"/>
  <c r="AG12" i="31"/>
  <c r="AS12" i="31"/>
  <c r="BE12" i="31"/>
  <c r="BK12" i="31"/>
  <c r="BW12" i="31"/>
  <c r="I12" i="31"/>
  <c r="AH315" i="31"/>
  <c r="V315" i="31"/>
  <c r="J315" i="31"/>
  <c r="P315" i="31"/>
  <c r="AB315" i="31"/>
  <c r="AZ315" i="31"/>
  <c r="AN315" i="31"/>
  <c r="BF315" i="31"/>
  <c r="AT315" i="31"/>
  <c r="BR315" i="31"/>
  <c r="BX315" i="31"/>
  <c r="BL315" i="31"/>
  <c r="AM315" i="31"/>
  <c r="BQ315" i="31"/>
  <c r="AY315" i="31"/>
  <c r="O315" i="31"/>
  <c r="AA315" i="31"/>
  <c r="U315" i="31"/>
  <c r="AG315" i="31"/>
  <c r="AS315" i="31"/>
  <c r="BE315" i="31"/>
  <c r="BW315" i="31"/>
  <c r="BK315" i="31"/>
  <c r="I315" i="31"/>
  <c r="AH259" i="31"/>
  <c r="AB259" i="31"/>
  <c r="BR259" i="31"/>
  <c r="BL259" i="31"/>
  <c r="J259" i="31"/>
  <c r="AN259" i="31"/>
  <c r="BF259" i="31"/>
  <c r="AZ259" i="31"/>
  <c r="AT259" i="31"/>
  <c r="V259" i="31"/>
  <c r="P259" i="31"/>
  <c r="BX259" i="31"/>
  <c r="O259" i="31"/>
  <c r="AM259" i="31"/>
  <c r="AA259" i="31"/>
  <c r="AY259" i="31"/>
  <c r="BQ259" i="31"/>
  <c r="AG259" i="31"/>
  <c r="U259" i="31"/>
  <c r="AS259" i="31"/>
  <c r="BE259" i="31"/>
  <c r="BK259" i="31"/>
  <c r="BW259" i="31"/>
  <c r="I259" i="31"/>
  <c r="AN124" i="31"/>
  <c r="P124" i="31"/>
  <c r="BX124" i="31"/>
  <c r="J124" i="31"/>
  <c r="AB124" i="31"/>
  <c r="V124" i="31"/>
  <c r="BL124" i="31"/>
  <c r="AZ124" i="31"/>
  <c r="AH124" i="31"/>
  <c r="BR124" i="31"/>
  <c r="BF124" i="31"/>
  <c r="AT124" i="31"/>
  <c r="AM124" i="31"/>
  <c r="AY124" i="31"/>
  <c r="O124" i="31"/>
  <c r="BQ124" i="31"/>
  <c r="AA124" i="31"/>
  <c r="U124" i="31"/>
  <c r="AG124" i="31"/>
  <c r="BE124" i="31"/>
  <c r="AS124" i="31"/>
  <c r="BK124" i="31"/>
  <c r="BW124" i="31"/>
  <c r="I124" i="31"/>
  <c r="AT149" i="31"/>
  <c r="P149" i="31"/>
  <c r="AN149" i="31"/>
  <c r="BR149" i="31"/>
  <c r="V149" i="31"/>
  <c r="BL149" i="31"/>
  <c r="BF149" i="31"/>
  <c r="AB149" i="31"/>
  <c r="J149" i="31"/>
  <c r="AH149" i="31"/>
  <c r="AZ149" i="31"/>
  <c r="BX149" i="31"/>
  <c r="AY149" i="31"/>
  <c r="BQ149" i="31"/>
  <c r="O149" i="31"/>
  <c r="AM149" i="31"/>
  <c r="AA149" i="31"/>
  <c r="AG149" i="31"/>
  <c r="U149" i="31"/>
  <c r="BE149" i="31"/>
  <c r="AS149" i="31"/>
  <c r="BK149" i="31"/>
  <c r="BW149" i="31"/>
  <c r="I149" i="31"/>
  <c r="P56" i="31"/>
  <c r="BF56" i="31"/>
  <c r="BX56" i="31"/>
  <c r="AZ56" i="31"/>
  <c r="V56" i="31"/>
  <c r="AB56" i="31"/>
  <c r="AN56" i="31"/>
  <c r="BR56" i="31"/>
  <c r="AH56" i="31"/>
  <c r="AT56" i="31"/>
  <c r="BL56" i="31"/>
  <c r="J56" i="31"/>
  <c r="AY56" i="31"/>
  <c r="AM56" i="31"/>
  <c r="AA56" i="31"/>
  <c r="BQ56" i="31"/>
  <c r="U56" i="31"/>
  <c r="O56" i="31"/>
  <c r="AG56" i="31"/>
  <c r="BE56" i="31"/>
  <c r="AS56" i="31"/>
  <c r="BK56" i="31"/>
  <c r="BW56" i="31"/>
  <c r="I56" i="31"/>
  <c r="AH156" i="31"/>
  <c r="BL156" i="31"/>
  <c r="BR156" i="31"/>
  <c r="V156" i="31"/>
  <c r="BF156" i="31"/>
  <c r="AZ156" i="31"/>
  <c r="AT156" i="31"/>
  <c r="AN156" i="31"/>
  <c r="BX156" i="31"/>
  <c r="AB156" i="31"/>
  <c r="P156" i="31"/>
  <c r="J156" i="31"/>
  <c r="AA156" i="31"/>
  <c r="O156" i="31"/>
  <c r="AY156" i="31"/>
  <c r="BQ156" i="31"/>
  <c r="AM156" i="31"/>
  <c r="AG156" i="31"/>
  <c r="U156" i="31"/>
  <c r="AS156" i="31"/>
  <c r="BE156" i="31"/>
  <c r="BK156" i="31"/>
  <c r="BW156" i="31"/>
  <c r="I156" i="31"/>
  <c r="AZ312" i="31"/>
  <c r="AB312" i="31"/>
  <c r="P312" i="31"/>
  <c r="AH312" i="31"/>
  <c r="BR312" i="31"/>
  <c r="V312" i="31"/>
  <c r="BF312" i="31"/>
  <c r="AT312" i="31"/>
  <c r="BX312" i="31"/>
  <c r="AN312" i="31"/>
  <c r="BL312" i="31"/>
  <c r="J312" i="31"/>
  <c r="AM312" i="31"/>
  <c r="BQ312" i="31"/>
  <c r="AA312" i="31"/>
  <c r="AY312" i="31"/>
  <c r="U312" i="31"/>
  <c r="O312" i="31"/>
  <c r="AG312" i="31"/>
  <c r="BE312" i="31"/>
  <c r="AS312" i="31"/>
  <c r="BK312" i="31"/>
  <c r="BW312" i="31"/>
  <c r="I312" i="31"/>
  <c r="V285" i="31"/>
  <c r="AH285" i="31"/>
  <c r="P285" i="31"/>
  <c r="AZ285" i="31"/>
  <c r="BL285" i="31"/>
  <c r="BX285" i="31"/>
  <c r="AT285" i="31"/>
  <c r="AN285" i="31"/>
  <c r="BF285" i="31"/>
  <c r="J285" i="31"/>
  <c r="BR285" i="31"/>
  <c r="AB285" i="31"/>
  <c r="AY285" i="31"/>
  <c r="AA285" i="31"/>
  <c r="O285" i="31"/>
  <c r="AM285" i="31"/>
  <c r="BQ285" i="31"/>
  <c r="U285" i="31"/>
  <c r="BE285" i="31"/>
  <c r="AS285" i="31"/>
  <c r="BW285" i="31"/>
  <c r="I285" i="31"/>
  <c r="BK285" i="31"/>
  <c r="AG285" i="31"/>
  <c r="BL92" i="31"/>
  <c r="AT92" i="31"/>
  <c r="BX92" i="31"/>
  <c r="AZ92" i="31"/>
  <c r="BR92" i="31"/>
  <c r="AN92" i="31"/>
  <c r="J92" i="31"/>
  <c r="BF92" i="31"/>
  <c r="AH92" i="31"/>
  <c r="AB92" i="31"/>
  <c r="P92" i="31"/>
  <c r="V92" i="31"/>
  <c r="AY92" i="31"/>
  <c r="BQ92" i="31"/>
  <c r="AA92" i="31"/>
  <c r="AM92" i="31"/>
  <c r="O92" i="31"/>
  <c r="U92" i="31"/>
  <c r="AG92" i="31"/>
  <c r="BE92" i="31"/>
  <c r="AS92" i="31"/>
  <c r="I92" i="31"/>
  <c r="BW92" i="31"/>
  <c r="BK92" i="31"/>
  <c r="BR97" i="31"/>
  <c r="V97" i="31"/>
  <c r="P97" i="31"/>
  <c r="BL97" i="31"/>
  <c r="AT97" i="31"/>
  <c r="AB97" i="31"/>
  <c r="BX97" i="31"/>
  <c r="AN97" i="31"/>
  <c r="BF97" i="31"/>
  <c r="AH97" i="31"/>
  <c r="AZ97" i="31"/>
  <c r="J97" i="31"/>
  <c r="AY97" i="31"/>
  <c r="AM97" i="31"/>
  <c r="AA97" i="31"/>
  <c r="BQ97" i="31"/>
  <c r="O97" i="31"/>
  <c r="AG97" i="31"/>
  <c r="BE97" i="31"/>
  <c r="U97" i="31"/>
  <c r="AS97" i="31"/>
  <c r="BK97" i="31"/>
  <c r="BW97" i="31"/>
  <c r="I97" i="31"/>
  <c r="AN209" i="31"/>
  <c r="BF209" i="31"/>
  <c r="J209" i="31"/>
  <c r="BX209" i="31"/>
  <c r="AT209" i="31"/>
  <c r="BR209" i="31"/>
  <c r="AB209" i="31"/>
  <c r="AZ209" i="31"/>
  <c r="AH209" i="31"/>
  <c r="BL209" i="31"/>
  <c r="P209" i="31"/>
  <c r="V209" i="31"/>
  <c r="AM209" i="31"/>
  <c r="BQ209" i="31"/>
  <c r="AY209" i="31"/>
  <c r="AA209" i="31"/>
  <c r="U209" i="31"/>
  <c r="O209" i="31"/>
  <c r="AG209" i="31"/>
  <c r="BE209" i="31"/>
  <c r="AS209" i="31"/>
  <c r="BK209" i="31"/>
  <c r="I209" i="31"/>
  <c r="BW209" i="31"/>
  <c r="AT93" i="31"/>
  <c r="AZ93" i="31"/>
  <c r="AB93" i="31"/>
  <c r="V93" i="31"/>
  <c r="J93" i="31"/>
  <c r="BL93" i="31"/>
  <c r="BF93" i="31"/>
  <c r="P93" i="31"/>
  <c r="BX93" i="31"/>
  <c r="BR93" i="31"/>
  <c r="AN93" i="31"/>
  <c r="AH93" i="31"/>
  <c r="AM93" i="31"/>
  <c r="AA93" i="31"/>
  <c r="BQ93" i="31"/>
  <c r="U93" i="31"/>
  <c r="AY93" i="31"/>
  <c r="O93" i="31"/>
  <c r="AG93" i="31"/>
  <c r="BE93" i="31"/>
  <c r="AS93" i="31"/>
  <c r="BK93" i="31"/>
  <c r="BW93" i="31"/>
  <c r="I93" i="31"/>
  <c r="AB169" i="31"/>
  <c r="BL169" i="31"/>
  <c r="BX169" i="31"/>
  <c r="BR169" i="31"/>
  <c r="J169" i="31"/>
  <c r="AH169" i="31"/>
  <c r="AZ169" i="31"/>
  <c r="P169" i="31"/>
  <c r="AT169" i="31"/>
  <c r="AN169" i="31"/>
  <c r="BF169" i="31"/>
  <c r="V169" i="31"/>
  <c r="BQ169" i="31"/>
  <c r="AA169" i="31"/>
  <c r="AM169" i="31"/>
  <c r="O169" i="31"/>
  <c r="AY169" i="31"/>
  <c r="AG169" i="31"/>
  <c r="AS169" i="31"/>
  <c r="U169" i="31"/>
  <c r="BE169" i="31"/>
  <c r="BK169" i="31"/>
  <c r="BW169" i="31"/>
  <c r="I169" i="31"/>
  <c r="AH42" i="31"/>
  <c r="AN42" i="31"/>
  <c r="J42" i="31"/>
  <c r="AT42" i="31"/>
  <c r="AB42" i="31"/>
  <c r="BL42" i="31"/>
  <c r="P42" i="31"/>
  <c r="AZ42" i="31"/>
  <c r="BF42" i="31"/>
  <c r="V42" i="31"/>
  <c r="BR42" i="31"/>
  <c r="BX42" i="31"/>
  <c r="AY42" i="31"/>
  <c r="AM42" i="31"/>
  <c r="AA42" i="31"/>
  <c r="BQ42" i="31"/>
  <c r="O42" i="31"/>
  <c r="AG42" i="31"/>
  <c r="U42" i="31"/>
  <c r="AS42" i="31"/>
  <c r="BK42" i="31"/>
  <c r="BE42" i="31"/>
  <c r="BW42" i="31"/>
  <c r="I42" i="31"/>
  <c r="AT323" i="31"/>
  <c r="J323" i="31"/>
  <c r="BX323" i="31"/>
  <c r="V323" i="31"/>
  <c r="AH323" i="31"/>
  <c r="BR323" i="31"/>
  <c r="AZ323" i="31"/>
  <c r="BL323" i="31"/>
  <c r="AB323" i="31"/>
  <c r="BF323" i="31"/>
  <c r="P323" i="31"/>
  <c r="AN323" i="31"/>
  <c r="AM323" i="31"/>
  <c r="AA323" i="31"/>
  <c r="BQ323" i="31"/>
  <c r="O323" i="31"/>
  <c r="AY323" i="31"/>
  <c r="AG323" i="31"/>
  <c r="U323" i="31"/>
  <c r="AS323" i="31"/>
  <c r="BK323" i="31"/>
  <c r="BW323" i="31"/>
  <c r="BE323" i="31"/>
  <c r="I323" i="31"/>
  <c r="AB119" i="31"/>
  <c r="BF119" i="31"/>
  <c r="AT119" i="31"/>
  <c r="P119" i="31"/>
  <c r="J119" i="31"/>
  <c r="BL119" i="31"/>
  <c r="AH119" i="31"/>
  <c r="AZ119" i="31"/>
  <c r="BX119" i="31"/>
  <c r="BR119" i="31"/>
  <c r="V119" i="31"/>
  <c r="AN119" i="31"/>
  <c r="AA119" i="31"/>
  <c r="BQ119" i="31"/>
  <c r="AM119" i="31"/>
  <c r="AY119" i="31"/>
  <c r="O119" i="31"/>
  <c r="U119" i="31"/>
  <c r="AG119" i="31"/>
  <c r="AS119" i="31"/>
  <c r="BE119" i="31"/>
  <c r="BW119" i="31"/>
  <c r="BK119" i="31"/>
  <c r="I119" i="31"/>
  <c r="BL293" i="31"/>
  <c r="AH293" i="31"/>
  <c r="J293" i="31"/>
  <c r="BR293" i="31"/>
  <c r="AB293" i="31"/>
  <c r="BX293" i="31"/>
  <c r="AN293" i="31"/>
  <c r="BF293" i="31"/>
  <c r="V293" i="31"/>
  <c r="P293" i="31"/>
  <c r="AZ293" i="31"/>
  <c r="AT293" i="31"/>
  <c r="O293" i="31"/>
  <c r="BQ293" i="31"/>
  <c r="AA293" i="31"/>
  <c r="AY293" i="31"/>
  <c r="AM293" i="31"/>
  <c r="U293" i="31"/>
  <c r="AG293" i="31"/>
  <c r="AS293" i="31"/>
  <c r="BE293" i="31"/>
  <c r="BW293" i="31"/>
  <c r="BK293" i="31"/>
  <c r="I293" i="31"/>
  <c r="AN80" i="31"/>
  <c r="AH80" i="31"/>
  <c r="BF80" i="31"/>
  <c r="AZ80" i="31"/>
  <c r="BL80" i="31"/>
  <c r="P80" i="31"/>
  <c r="BX80" i="31"/>
  <c r="V80" i="31"/>
  <c r="J80" i="31"/>
  <c r="AT80" i="31"/>
  <c r="BR80" i="31"/>
  <c r="AB80" i="31"/>
  <c r="AA80" i="31"/>
  <c r="BQ80" i="31"/>
  <c r="AM80" i="31"/>
  <c r="AY80" i="31"/>
  <c r="U80" i="31"/>
  <c r="O80" i="31"/>
  <c r="BE80" i="31"/>
  <c r="AG80" i="31"/>
  <c r="AS80" i="31"/>
  <c r="BK80" i="31"/>
  <c r="BW80" i="31"/>
  <c r="I80" i="31"/>
  <c r="BL317" i="31"/>
  <c r="AT317" i="31"/>
  <c r="V317" i="31"/>
  <c r="J317" i="31"/>
  <c r="AB317" i="31"/>
  <c r="P317" i="31"/>
  <c r="BF317" i="31"/>
  <c r="AN317" i="31"/>
  <c r="AH317" i="31"/>
  <c r="AZ317" i="31"/>
  <c r="BR317" i="31"/>
  <c r="BX317" i="31"/>
  <c r="O317" i="31"/>
  <c r="BQ317" i="31"/>
  <c r="AY317" i="31"/>
  <c r="AM317" i="31"/>
  <c r="AA317" i="31"/>
  <c r="U317" i="31"/>
  <c r="AG317" i="31"/>
  <c r="BE317" i="31"/>
  <c r="AS317" i="31"/>
  <c r="BW317" i="31"/>
  <c r="BK317" i="31"/>
  <c r="I317" i="31"/>
  <c r="AN184" i="31"/>
  <c r="AH184" i="31"/>
  <c r="BX184" i="31"/>
  <c r="BR184" i="31"/>
  <c r="BL184" i="31"/>
  <c r="AZ184" i="31"/>
  <c r="V184" i="31"/>
  <c r="AT184" i="31"/>
  <c r="BF184" i="31"/>
  <c r="J184" i="31"/>
  <c r="AB184" i="31"/>
  <c r="O184" i="31"/>
  <c r="P184" i="31"/>
  <c r="AA184" i="31"/>
  <c r="AM184" i="31"/>
  <c r="AY184" i="31"/>
  <c r="BQ184" i="31"/>
  <c r="U184" i="31"/>
  <c r="AG184" i="31"/>
  <c r="AS184" i="31"/>
  <c r="BK184" i="31"/>
  <c r="BE184" i="31"/>
  <c r="I184" i="31"/>
  <c r="BW184" i="31"/>
  <c r="AT106" i="31"/>
  <c r="J106" i="31"/>
  <c r="BL106" i="31"/>
  <c r="AB106" i="31"/>
  <c r="P106" i="31"/>
  <c r="AH106" i="31"/>
  <c r="BX106" i="31"/>
  <c r="AZ106" i="31"/>
  <c r="BF106" i="31"/>
  <c r="BR106" i="31"/>
  <c r="AN106" i="31"/>
  <c r="V106" i="31"/>
  <c r="AM106" i="31"/>
  <c r="BQ106" i="31"/>
  <c r="O106" i="31"/>
  <c r="AA106" i="31"/>
  <c r="AY106" i="31"/>
  <c r="U106" i="31"/>
  <c r="AS106" i="31"/>
  <c r="AG106" i="31"/>
  <c r="BE106" i="31"/>
  <c r="BK106" i="31"/>
  <c r="BW106" i="31"/>
  <c r="I106" i="31"/>
  <c r="BL112" i="31"/>
  <c r="AT112" i="31"/>
  <c r="BX112" i="31"/>
  <c r="AH112" i="31"/>
  <c r="V112" i="31"/>
  <c r="AZ112" i="31"/>
  <c r="AB112" i="31"/>
  <c r="J112" i="31"/>
  <c r="AN112" i="31"/>
  <c r="BF112" i="31"/>
  <c r="BR112" i="31"/>
  <c r="P112" i="31"/>
  <c r="AY112" i="31"/>
  <c r="BQ112" i="31"/>
  <c r="AA112" i="31"/>
  <c r="O112" i="31"/>
  <c r="AM112" i="31"/>
  <c r="U112" i="31"/>
  <c r="AS112" i="31"/>
  <c r="AG112" i="31"/>
  <c r="BE112" i="31"/>
  <c r="BK112" i="31"/>
  <c r="BW112" i="31"/>
  <c r="I112" i="31"/>
  <c r="AT204" i="31"/>
  <c r="BF204" i="31"/>
  <c r="BX204" i="31"/>
  <c r="BL204" i="31"/>
  <c r="J204" i="31"/>
  <c r="AH204" i="31"/>
  <c r="AB204" i="31"/>
  <c r="BR204" i="31"/>
  <c r="AZ204" i="31"/>
  <c r="V204" i="31"/>
  <c r="AN204" i="31"/>
  <c r="P204" i="31"/>
  <c r="BQ204" i="31"/>
  <c r="O204" i="31"/>
  <c r="AY204" i="31"/>
  <c r="AA204" i="31"/>
  <c r="AM204" i="31"/>
  <c r="U204" i="31"/>
  <c r="AG204" i="31"/>
  <c r="BE204" i="31"/>
  <c r="AS204" i="31"/>
  <c r="BK204" i="31"/>
  <c r="BW204" i="31"/>
  <c r="I204" i="31"/>
  <c r="BL337" i="31"/>
  <c r="V337" i="31"/>
  <c r="AN337" i="31"/>
  <c r="AH337" i="31"/>
  <c r="AB337" i="31"/>
  <c r="BR337" i="31"/>
  <c r="BX337" i="31"/>
  <c r="AZ337" i="31"/>
  <c r="J337" i="31"/>
  <c r="BF337" i="31"/>
  <c r="AT337" i="31"/>
  <c r="P337" i="31"/>
  <c r="BQ337" i="31"/>
  <c r="AY337" i="31"/>
  <c r="AA337" i="31"/>
  <c r="AM337" i="31"/>
  <c r="O337" i="31"/>
  <c r="U337" i="31"/>
  <c r="AG337" i="31"/>
  <c r="BE337" i="31"/>
  <c r="AS337" i="31"/>
  <c r="BK337" i="31"/>
  <c r="BW337" i="31"/>
  <c r="I337" i="31"/>
  <c r="AN162" i="31"/>
  <c r="AZ162" i="31"/>
  <c r="AH162" i="31"/>
  <c r="AB162" i="31"/>
  <c r="P162" i="31"/>
  <c r="BR162" i="31"/>
  <c r="BL162" i="31"/>
  <c r="BX162" i="31"/>
  <c r="J162" i="31"/>
  <c r="BF162" i="31"/>
  <c r="AT162" i="31"/>
  <c r="V162" i="31"/>
  <c r="AA162" i="31"/>
  <c r="BQ162" i="31"/>
  <c r="AM162" i="31"/>
  <c r="O162" i="31"/>
  <c r="AY162" i="31"/>
  <c r="U162" i="31"/>
  <c r="AS162" i="31"/>
  <c r="AG162" i="31"/>
  <c r="BK162" i="31"/>
  <c r="BE162" i="31"/>
  <c r="BW162" i="31"/>
  <c r="I162" i="31"/>
  <c r="BF327" i="31"/>
  <c r="AN327" i="31"/>
  <c r="BR327" i="31"/>
  <c r="V327" i="31"/>
  <c r="AZ327" i="31"/>
  <c r="P327" i="31"/>
  <c r="BX327" i="31"/>
  <c r="BL327" i="31"/>
  <c r="AH327" i="31"/>
  <c r="AT327" i="31"/>
  <c r="J327" i="31"/>
  <c r="AB327" i="31"/>
  <c r="AM327" i="31"/>
  <c r="AY327" i="31"/>
  <c r="AA327" i="31"/>
  <c r="BQ327" i="31"/>
  <c r="O327" i="31"/>
  <c r="AG327" i="31"/>
  <c r="BE327" i="31"/>
  <c r="U327" i="31"/>
  <c r="AS327" i="31"/>
  <c r="I327" i="31"/>
  <c r="BK327" i="31"/>
  <c r="BW327" i="31"/>
  <c r="P116" i="31"/>
  <c r="BR116" i="31"/>
  <c r="V116" i="31"/>
  <c r="AH116" i="31"/>
  <c r="AZ116" i="31"/>
  <c r="BF116" i="31"/>
  <c r="AN116" i="31"/>
  <c r="BL116" i="31"/>
  <c r="AB116" i="31"/>
  <c r="J116" i="31"/>
  <c r="BX116" i="31"/>
  <c r="AT116" i="31"/>
  <c r="AM116" i="31"/>
  <c r="O116" i="31"/>
  <c r="AA116" i="31"/>
  <c r="BQ116" i="31"/>
  <c r="AY116" i="31"/>
  <c r="U116" i="31"/>
  <c r="AG116" i="31"/>
  <c r="AS116" i="31"/>
  <c r="BE116" i="31"/>
  <c r="BK116" i="31"/>
  <c r="I116" i="31"/>
  <c r="BW116" i="31"/>
  <c r="AN37" i="31"/>
  <c r="BL37" i="31"/>
  <c r="BF37" i="31"/>
  <c r="AH37" i="31"/>
  <c r="J37" i="31"/>
  <c r="BX37" i="31"/>
  <c r="AB37" i="31"/>
  <c r="V37" i="31"/>
  <c r="AT37" i="31"/>
  <c r="BR37" i="31"/>
  <c r="P37" i="31"/>
  <c r="AZ37" i="31"/>
  <c r="AM37" i="31"/>
  <c r="AA37" i="31"/>
  <c r="O37" i="31"/>
  <c r="BQ37" i="31"/>
  <c r="AY37" i="31"/>
  <c r="U37" i="31"/>
  <c r="AG37" i="31"/>
  <c r="AS37" i="31"/>
  <c r="BE37" i="31"/>
  <c r="BK37" i="31"/>
  <c r="BW37" i="31"/>
  <c r="I37" i="31"/>
  <c r="V45" i="31"/>
  <c r="AZ45" i="31"/>
  <c r="AN45" i="31"/>
  <c r="BL45" i="31"/>
  <c r="BR45" i="31"/>
  <c r="AH45" i="31"/>
  <c r="AT45" i="31"/>
  <c r="P45" i="31"/>
  <c r="BF45" i="31"/>
  <c r="J45" i="31"/>
  <c r="AB45" i="31"/>
  <c r="BX45" i="31"/>
  <c r="AM45" i="31"/>
  <c r="AA45" i="31"/>
  <c r="AY45" i="31"/>
  <c r="BQ45" i="31"/>
  <c r="O45" i="31"/>
  <c r="U45" i="31"/>
  <c r="AG45" i="31"/>
  <c r="BE45" i="31"/>
  <c r="AS45" i="31"/>
  <c r="BK45" i="31"/>
  <c r="BW45" i="31"/>
  <c r="I45" i="31"/>
  <c r="P346" i="31"/>
  <c r="AZ346" i="31"/>
  <c r="AH346" i="31"/>
  <c r="AB346" i="31"/>
  <c r="BF346" i="31"/>
  <c r="V346" i="31"/>
  <c r="AN346" i="31"/>
  <c r="J346" i="31"/>
  <c r="BR346" i="31"/>
  <c r="AT346" i="31"/>
  <c r="BL346" i="31"/>
  <c r="BX346" i="31"/>
  <c r="O346" i="31"/>
  <c r="AM346" i="31"/>
  <c r="AA346" i="31"/>
  <c r="BQ346" i="31"/>
  <c r="AY346" i="31"/>
  <c r="U346" i="31"/>
  <c r="AG346" i="31"/>
  <c r="BE346" i="31"/>
  <c r="AS346" i="31"/>
  <c r="BK346" i="31"/>
  <c r="BW346" i="31"/>
  <c r="I346" i="31"/>
  <c r="Y264" i="31" l="1"/>
  <c r="CG264" i="31" s="1"/>
  <c r="CA277" i="31"/>
  <c r="CP277" i="31" s="1"/>
  <c r="AW286" i="31"/>
  <c r="CK286" i="31" s="1"/>
  <c r="AW277" i="31"/>
  <c r="CK277" i="31" s="1"/>
  <c r="M272" i="41" s="1"/>
  <c r="BO286" i="31"/>
  <c r="CN286" i="31" s="1"/>
  <c r="CA295" i="31"/>
  <c r="CP295" i="31" s="1"/>
  <c r="CA264" i="31"/>
  <c r="CP264" i="31" s="1"/>
  <c r="BI295" i="31"/>
  <c r="CM295" i="31" s="1"/>
  <c r="O290" i="41" s="1"/>
  <c r="BI264" i="31"/>
  <c r="CM264" i="31" s="1"/>
  <c r="AC119" i="31"/>
  <c r="AE119" i="31" s="1"/>
  <c r="CH119" i="31" s="1"/>
  <c r="BA16" i="31"/>
  <c r="BC16" i="31" s="1"/>
  <c r="CL16" i="31" s="1"/>
  <c r="BG190" i="31"/>
  <c r="BI190" i="31" s="1"/>
  <c r="CM190" i="31" s="1"/>
  <c r="K229" i="31"/>
  <c r="M229" i="31" s="1"/>
  <c r="CE229" i="31" s="1"/>
  <c r="AC69" i="31"/>
  <c r="AE69" i="31" s="1"/>
  <c r="CH69" i="31" s="1"/>
  <c r="K165" i="31"/>
  <c r="M165" i="31" s="1"/>
  <c r="CE165" i="31" s="1"/>
  <c r="K313" i="31"/>
  <c r="M313" i="31" s="1"/>
  <c r="CE313" i="31" s="1"/>
  <c r="BA211" i="31"/>
  <c r="BC211" i="31" s="1"/>
  <c r="CL211" i="31" s="1"/>
  <c r="AC24" i="31"/>
  <c r="AE24" i="31" s="1"/>
  <c r="CH24" i="31" s="1"/>
  <c r="K215" i="31"/>
  <c r="M215" i="31" s="1"/>
  <c r="CE215" i="31" s="1"/>
  <c r="K206" i="31"/>
  <c r="BS186" i="31"/>
  <c r="BU186" i="31" s="1"/>
  <c r="CO186" i="31" s="1"/>
  <c r="K331" i="31"/>
  <c r="M331" i="31" s="1"/>
  <c r="CE331" i="31" s="1"/>
  <c r="Q228" i="31"/>
  <c r="S228" i="31" s="1"/>
  <c r="CF228" i="31" s="1"/>
  <c r="AO145" i="31"/>
  <c r="AQ145" i="31" s="1"/>
  <c r="CJ145" i="31" s="1"/>
  <c r="AO13" i="31"/>
  <c r="AQ13" i="31" s="1"/>
  <c r="CJ13" i="31" s="1"/>
  <c r="K107" i="31"/>
  <c r="M107" i="31" s="1"/>
  <c r="CE107" i="31" s="1"/>
  <c r="K246" i="31"/>
  <c r="M246" i="31" s="1"/>
  <c r="CE246" i="31" s="1"/>
  <c r="BG191" i="31"/>
  <c r="BI191" i="31" s="1"/>
  <c r="CM191" i="31" s="1"/>
  <c r="AO288" i="31"/>
  <c r="AQ288" i="31" s="1"/>
  <c r="CJ288" i="31" s="1"/>
  <c r="BA340" i="31"/>
  <c r="BC340" i="31" s="1"/>
  <c r="CL340" i="31" s="1"/>
  <c r="K199" i="31"/>
  <c r="M199" i="31" s="1"/>
  <c r="CE199" i="31" s="1"/>
  <c r="BS87" i="31"/>
  <c r="BU87" i="31" s="1"/>
  <c r="CO87" i="31" s="1"/>
  <c r="AC170" i="31"/>
  <c r="AE170" i="31" s="1"/>
  <c r="CH170" i="31" s="1"/>
  <c r="BG189" i="31"/>
  <c r="BI189" i="31" s="1"/>
  <c r="CM189" i="31" s="1"/>
  <c r="AC155" i="31"/>
  <c r="AE155" i="31" s="1"/>
  <c r="CH155" i="31" s="1"/>
  <c r="BA59" i="31"/>
  <c r="BC59" i="31" s="1"/>
  <c r="CL59" i="31" s="1"/>
  <c r="K102" i="31"/>
  <c r="M102" i="31" s="1"/>
  <c r="CE102" i="31" s="1"/>
  <c r="BA286" i="31"/>
  <c r="BC286" i="31" s="1"/>
  <c r="CL286" i="31" s="1"/>
  <c r="K226" i="31"/>
  <c r="K57" i="31"/>
  <c r="M57" i="31" s="1"/>
  <c r="CE57" i="31" s="1"/>
  <c r="BA194" i="31"/>
  <c r="BC194" i="31" s="1"/>
  <c r="CL194" i="31" s="1"/>
  <c r="BS133" i="31"/>
  <c r="BU133" i="31" s="1"/>
  <c r="CO133" i="31" s="1"/>
  <c r="K143" i="31"/>
  <c r="M143" i="31" s="1"/>
  <c r="CE143" i="31" s="1"/>
  <c r="Q67" i="31"/>
  <c r="S67" i="31" s="1"/>
  <c r="CF67" i="31" s="1"/>
  <c r="BS336" i="31"/>
  <c r="BU336" i="31" s="1"/>
  <c r="CO336" i="31" s="1"/>
  <c r="AC183" i="31"/>
  <c r="AE183" i="31" s="1"/>
  <c r="CH183" i="31" s="1"/>
  <c r="AO345" i="31"/>
  <c r="AQ345" i="31" s="1"/>
  <c r="CJ345" i="31" s="1"/>
  <c r="W276" i="31"/>
  <c r="Y276" i="31" s="1"/>
  <c r="CG276" i="31" s="1"/>
  <c r="W94" i="31"/>
  <c r="Y94" i="31" s="1"/>
  <c r="CG94" i="31" s="1"/>
  <c r="Q158" i="31"/>
  <c r="S158" i="31" s="1"/>
  <c r="CF158" i="31" s="1"/>
  <c r="AC200" i="31"/>
  <c r="AE200" i="31" s="1"/>
  <c r="CH200" i="31" s="1"/>
  <c r="BA62" i="31"/>
  <c r="BC62" i="31" s="1"/>
  <c r="CL62" i="31" s="1"/>
  <c r="AC346" i="31"/>
  <c r="AE346" i="31" s="1"/>
  <c r="CH346" i="31" s="1"/>
  <c r="BS323" i="31"/>
  <c r="BU323" i="31" s="1"/>
  <c r="CO323" i="31" s="1"/>
  <c r="W149" i="31"/>
  <c r="Y149" i="31" s="1"/>
  <c r="CG149" i="31" s="1"/>
  <c r="Q88" i="31"/>
  <c r="S88" i="31" s="1"/>
  <c r="CF88" i="31" s="1"/>
  <c r="BS10" i="31"/>
  <c r="BU10" i="31" s="1"/>
  <c r="CO10" i="31" s="1"/>
  <c r="Q5" i="41" s="1"/>
  <c r="K115" i="31"/>
  <c r="M115" i="31" s="1"/>
  <c r="CE115" i="31" s="1"/>
  <c r="AC181" i="31"/>
  <c r="AE181" i="31" s="1"/>
  <c r="CH181" i="31" s="1"/>
  <c r="W330" i="31"/>
  <c r="Y330" i="31" s="1"/>
  <c r="CG330" i="31" s="1"/>
  <c r="BA284" i="31"/>
  <c r="BC284" i="31" s="1"/>
  <c r="CL284" i="31" s="1"/>
  <c r="BA232" i="31"/>
  <c r="BC232" i="31" s="1"/>
  <c r="CL232" i="31" s="1"/>
  <c r="W110" i="31"/>
  <c r="Y110" i="31" s="1"/>
  <c r="CG110" i="31" s="1"/>
  <c r="BA29" i="31"/>
  <c r="BC29" i="31" s="1"/>
  <c r="CL29" i="31" s="1"/>
  <c r="W27" i="31"/>
  <c r="Y27" i="31" s="1"/>
  <c r="CG27" i="31" s="1"/>
  <c r="W202" i="31"/>
  <c r="Y202" i="31" s="1"/>
  <c r="CG202" i="31" s="1"/>
  <c r="AC241" i="31"/>
  <c r="AE241" i="31" s="1"/>
  <c r="CH241" i="31" s="1"/>
  <c r="BS288" i="31"/>
  <c r="BU288" i="31" s="1"/>
  <c r="CO288" i="31" s="1"/>
  <c r="K105" i="31"/>
  <c r="M105" i="31" s="1"/>
  <c r="CE105" i="31" s="1"/>
  <c r="AC127" i="31"/>
  <c r="AE127" i="31" s="1"/>
  <c r="CH127" i="31" s="1"/>
  <c r="Q155" i="31"/>
  <c r="S155" i="31" s="1"/>
  <c r="CF155" i="31" s="1"/>
  <c r="BG23" i="31"/>
  <c r="BI23" i="31" s="1"/>
  <c r="CM23" i="31" s="1"/>
  <c r="AC59" i="31"/>
  <c r="AE59" i="31" s="1"/>
  <c r="CH59" i="31" s="1"/>
  <c r="K68" i="31"/>
  <c r="M68" i="31" s="1"/>
  <c r="CE68" i="31" s="1"/>
  <c r="W350" i="31"/>
  <c r="Y350" i="31" s="1"/>
  <c r="CG350" i="31" s="1"/>
  <c r="W137" i="31"/>
  <c r="Y137" i="31" s="1"/>
  <c r="CG137" i="31" s="1"/>
  <c r="AC133" i="31"/>
  <c r="AE133" i="31" s="1"/>
  <c r="CH133" i="31" s="1"/>
  <c r="BG64" i="31"/>
  <c r="BI64" i="31" s="1"/>
  <c r="CM64" i="31" s="1"/>
  <c r="AO135" i="31"/>
  <c r="AQ135" i="31" s="1"/>
  <c r="CJ135" i="31" s="1"/>
  <c r="W214" i="31"/>
  <c r="Y214" i="31" s="1"/>
  <c r="CG214" i="31" s="1"/>
  <c r="BG193" i="31"/>
  <c r="BI193" i="31" s="1"/>
  <c r="CM193" i="31" s="1"/>
  <c r="BA276" i="31"/>
  <c r="BC276" i="31" s="1"/>
  <c r="CL276" i="31" s="1"/>
  <c r="AC303" i="31"/>
  <c r="AE303" i="31" s="1"/>
  <c r="CH303" i="31" s="1"/>
  <c r="W158" i="31"/>
  <c r="Y158" i="31" s="1"/>
  <c r="CG158" i="31" s="1"/>
  <c r="AC213" i="31"/>
  <c r="AE213" i="31" s="1"/>
  <c r="CH213" i="31" s="1"/>
  <c r="BG89" i="31"/>
  <c r="BI89" i="31" s="1"/>
  <c r="CM89" i="31" s="1"/>
  <c r="AO314" i="31"/>
  <c r="AQ314" i="31" s="1"/>
  <c r="CJ314" i="31" s="1"/>
  <c r="AC342" i="31"/>
  <c r="AE342" i="31" s="1"/>
  <c r="CH342" i="31" s="1"/>
  <c r="BS197" i="31"/>
  <c r="BU197" i="31" s="1"/>
  <c r="CO197" i="31" s="1"/>
  <c r="K196" i="31"/>
  <c r="M196" i="31" s="1"/>
  <c r="CE196" i="31" s="1"/>
  <c r="Q128" i="31"/>
  <c r="S128" i="31" s="1"/>
  <c r="CF128" i="31" s="1"/>
  <c r="BS324" i="31"/>
  <c r="BU324" i="31" s="1"/>
  <c r="CO324" i="31" s="1"/>
  <c r="W227" i="31"/>
  <c r="Y227" i="31" s="1"/>
  <c r="CG227" i="31" s="1"/>
  <c r="AO346" i="31"/>
  <c r="AQ346" i="31" s="1"/>
  <c r="CJ346" i="31" s="1"/>
  <c r="W45" i="31"/>
  <c r="Y45" i="31" s="1"/>
  <c r="CG45" i="31" s="1"/>
  <c r="BS162" i="31"/>
  <c r="BU162" i="31" s="1"/>
  <c r="CO162" i="31" s="1"/>
  <c r="W337" i="31"/>
  <c r="Y337" i="31" s="1"/>
  <c r="CG337" i="31" s="1"/>
  <c r="AC184" i="31"/>
  <c r="AE184" i="31" s="1"/>
  <c r="CH184" i="31" s="1"/>
  <c r="W317" i="31"/>
  <c r="Y317" i="31" s="1"/>
  <c r="CG317" i="31" s="1"/>
  <c r="AC323" i="31"/>
  <c r="AE323" i="31" s="1"/>
  <c r="CH323" i="31" s="1"/>
  <c r="AO97" i="31"/>
  <c r="AQ97" i="31" s="1"/>
  <c r="CJ97" i="31" s="1"/>
  <c r="W92" i="31"/>
  <c r="Y92" i="31" s="1"/>
  <c r="CG92" i="31" s="1"/>
  <c r="K285" i="31"/>
  <c r="M285" i="31" s="1"/>
  <c r="CE285" i="31" s="1"/>
  <c r="AO56" i="31"/>
  <c r="AQ56" i="31" s="1"/>
  <c r="CJ56" i="31" s="1"/>
  <c r="BA12" i="31"/>
  <c r="BC12" i="31" s="1"/>
  <c r="CL12" i="31" s="1"/>
  <c r="N7" i="41" s="1"/>
  <c r="BS88" i="31"/>
  <c r="BU88" i="31" s="1"/>
  <c r="CO88" i="31" s="1"/>
  <c r="W20" i="31"/>
  <c r="Y20" i="31" s="1"/>
  <c r="CG20" i="31" s="1"/>
  <c r="AC320" i="31"/>
  <c r="AE320" i="31" s="1"/>
  <c r="CH320" i="31" s="1"/>
  <c r="W263" i="31"/>
  <c r="Y263" i="31" s="1"/>
  <c r="CG263" i="31" s="1"/>
  <c r="AO10" i="31"/>
  <c r="AQ10" i="31" s="1"/>
  <c r="CJ10" i="31" s="1"/>
  <c r="L5" i="41" s="1"/>
  <c r="W173" i="31"/>
  <c r="Y173" i="31" s="1"/>
  <c r="CG173" i="31" s="1"/>
  <c r="BS136" i="31"/>
  <c r="BU136" i="31" s="1"/>
  <c r="CO136" i="31" s="1"/>
  <c r="W272" i="31"/>
  <c r="Y272" i="31" s="1"/>
  <c r="CG272" i="31" s="1"/>
  <c r="BG231" i="31"/>
  <c r="BI231" i="31" s="1"/>
  <c r="CM231" i="31" s="1"/>
  <c r="BA329" i="31"/>
  <c r="BC329" i="31" s="1"/>
  <c r="CL329" i="31" s="1"/>
  <c r="W282" i="31"/>
  <c r="Y282" i="31" s="1"/>
  <c r="CG282" i="31" s="1"/>
  <c r="Q271" i="31"/>
  <c r="S271" i="31" s="1"/>
  <c r="CF271" i="31" s="1"/>
  <c r="W326" i="31"/>
  <c r="Y326" i="31" s="1"/>
  <c r="CG326" i="31" s="1"/>
  <c r="BA146" i="31"/>
  <c r="BC146" i="31" s="1"/>
  <c r="CL146" i="31" s="1"/>
  <c r="K95" i="31"/>
  <c r="M95" i="31" s="1"/>
  <c r="CE95" i="31" s="1"/>
  <c r="BA98" i="31"/>
  <c r="BC98" i="31" s="1"/>
  <c r="CL98" i="31" s="1"/>
  <c r="W81" i="31"/>
  <c r="Y81" i="31" s="1"/>
  <c r="CG81" i="31" s="1"/>
  <c r="AO181" i="31"/>
  <c r="AQ181" i="31" s="1"/>
  <c r="CJ181" i="31" s="1"/>
  <c r="W131" i="31"/>
  <c r="Y131" i="31" s="1"/>
  <c r="CG131" i="31" s="1"/>
  <c r="BS69" i="31"/>
  <c r="BU69" i="31" s="1"/>
  <c r="CO69" i="31" s="1"/>
  <c r="BS284" i="31"/>
  <c r="BU284" i="31" s="1"/>
  <c r="CO284" i="31" s="1"/>
  <c r="W221" i="31"/>
  <c r="Y221" i="31" s="1"/>
  <c r="CG221" i="31" s="1"/>
  <c r="AC232" i="31"/>
  <c r="AE232" i="31" s="1"/>
  <c r="CH232" i="31" s="1"/>
  <c r="W296" i="31"/>
  <c r="Y296" i="31" s="1"/>
  <c r="CG296" i="31" s="1"/>
  <c r="Q211" i="31"/>
  <c r="S211" i="31" s="1"/>
  <c r="CF211" i="31" s="1"/>
  <c r="W154" i="31"/>
  <c r="Y154" i="31" s="1"/>
  <c r="CG154" i="31" s="1"/>
  <c r="BA24" i="31"/>
  <c r="BC24" i="31" s="1"/>
  <c r="CL24" i="31" s="1"/>
  <c r="AO29" i="31"/>
  <c r="AQ29" i="31" s="1"/>
  <c r="CJ29" i="31" s="1"/>
  <c r="W73" i="31"/>
  <c r="Y73" i="31" s="1"/>
  <c r="CG73" i="31" s="1"/>
  <c r="Q244" i="31"/>
  <c r="S244" i="31" s="1"/>
  <c r="CF244" i="31" s="1"/>
  <c r="W72" i="31"/>
  <c r="Y72" i="31" s="1"/>
  <c r="CG72" i="31" s="1"/>
  <c r="BG215" i="31"/>
  <c r="BI215" i="31" s="1"/>
  <c r="CM215" i="31" s="1"/>
  <c r="AC21" i="31"/>
  <c r="AE21" i="31" s="1"/>
  <c r="CH21" i="31" s="1"/>
  <c r="Q252" i="31"/>
  <c r="S252" i="31" s="1"/>
  <c r="CF252" i="31" s="1"/>
  <c r="AO233" i="31"/>
  <c r="AQ233" i="31" s="1"/>
  <c r="CJ233" i="31" s="1"/>
  <c r="Q8" i="31"/>
  <c r="S8" i="31" s="1"/>
  <c r="CF8" i="31" s="1"/>
  <c r="H3" i="41" s="1"/>
  <c r="BA186" i="31"/>
  <c r="BC186" i="31" s="1"/>
  <c r="CL186" i="31" s="1"/>
  <c r="W103" i="31"/>
  <c r="Y103" i="31" s="1"/>
  <c r="CG103" i="31" s="1"/>
  <c r="BG331" i="31"/>
  <c r="BI331" i="31" s="1"/>
  <c r="CM331" i="31" s="1"/>
  <c r="AO228" i="31"/>
  <c r="AQ228" i="31" s="1"/>
  <c r="CJ228" i="31" s="1"/>
  <c r="W172" i="31"/>
  <c r="Y172" i="31" s="1"/>
  <c r="CG172" i="31" s="1"/>
  <c r="AC145" i="31"/>
  <c r="AE145" i="31" s="1"/>
  <c r="CH145" i="31" s="1"/>
  <c r="BA344" i="31"/>
  <c r="BC344" i="31" s="1"/>
  <c r="CL344" i="31" s="1"/>
  <c r="W78" i="31"/>
  <c r="Y78" i="31" s="1"/>
  <c r="CG78" i="31" s="1"/>
  <c r="AC270" i="31"/>
  <c r="AE270" i="31" s="1"/>
  <c r="CH270" i="31" s="1"/>
  <c r="W257" i="31"/>
  <c r="Y257" i="31" s="1"/>
  <c r="CG257" i="31" s="1"/>
  <c r="AC205" i="31"/>
  <c r="AE205" i="31" s="1"/>
  <c r="CH205" i="31" s="1"/>
  <c r="BS241" i="31"/>
  <c r="BU241" i="31" s="1"/>
  <c r="CO241" i="31" s="1"/>
  <c r="Q288" i="31"/>
  <c r="S288" i="31" s="1"/>
  <c r="CF288" i="31" s="1"/>
  <c r="W240" i="31"/>
  <c r="Y240" i="31" s="1"/>
  <c r="CG240" i="31" s="1"/>
  <c r="BS340" i="31"/>
  <c r="BU340" i="31" s="1"/>
  <c r="CO340" i="31" s="1"/>
  <c r="Q174" i="31"/>
  <c r="S174" i="31" s="1"/>
  <c r="CF174" i="31" s="1"/>
  <c r="AO306" i="31"/>
  <c r="AQ306" i="31" s="1"/>
  <c r="CJ306" i="31" s="1"/>
  <c r="W335" i="31"/>
  <c r="Y335" i="31" s="1"/>
  <c r="CG335" i="31" s="1"/>
  <c r="AO87" i="31"/>
  <c r="AQ87" i="31" s="1"/>
  <c r="CJ87" i="31" s="1"/>
  <c r="W212" i="31"/>
  <c r="Y212" i="31" s="1"/>
  <c r="CG212" i="31" s="1"/>
  <c r="BS170" i="31"/>
  <c r="BU170" i="31" s="1"/>
  <c r="CO170" i="31" s="1"/>
  <c r="W188" i="31"/>
  <c r="Y188" i="31" s="1"/>
  <c r="CG188" i="31" s="1"/>
  <c r="AO127" i="31"/>
  <c r="AQ127" i="31" s="1"/>
  <c r="CJ127" i="31" s="1"/>
  <c r="W297" i="31"/>
  <c r="Y297" i="31" s="1"/>
  <c r="CG297" i="31" s="1"/>
  <c r="Q247" i="31"/>
  <c r="S247" i="31" s="1"/>
  <c r="CF247" i="31" s="1"/>
  <c r="BA155" i="31"/>
  <c r="BC155" i="31" s="1"/>
  <c r="CL155" i="31" s="1"/>
  <c r="W253" i="31"/>
  <c r="Y253" i="31" s="1"/>
  <c r="CG253" i="31" s="1"/>
  <c r="AO195" i="31"/>
  <c r="AQ195" i="31" s="1"/>
  <c r="CJ195" i="31" s="1"/>
  <c r="W49" i="31"/>
  <c r="Y49" i="31" s="1"/>
  <c r="CG49" i="31" s="1"/>
  <c r="W23" i="31"/>
  <c r="Y23" i="31" s="1"/>
  <c r="CG23" i="31" s="1"/>
  <c r="BS59" i="31"/>
  <c r="BU59" i="31" s="1"/>
  <c r="CO59" i="31" s="1"/>
  <c r="AO40" i="31"/>
  <c r="AQ40" i="31" s="1"/>
  <c r="CJ40" i="31" s="1"/>
  <c r="W250" i="31"/>
  <c r="Y250" i="31" s="1"/>
  <c r="CG250" i="31" s="1"/>
  <c r="BI286" i="31"/>
  <c r="CM286" i="31" s="1"/>
  <c r="W245" i="31"/>
  <c r="Y245" i="31" s="1"/>
  <c r="CG245" i="31" s="1"/>
  <c r="BA268" i="31"/>
  <c r="BC268" i="31" s="1"/>
  <c r="CL268" i="31" s="1"/>
  <c r="W171" i="31"/>
  <c r="Y171" i="31" s="1"/>
  <c r="CG171" i="31" s="1"/>
  <c r="AO142" i="31"/>
  <c r="AQ142" i="31" s="1"/>
  <c r="CJ142" i="31" s="1"/>
  <c r="BS18" i="31"/>
  <c r="BU18" i="31" s="1"/>
  <c r="CO18" i="31" s="1"/>
  <c r="W151" i="31"/>
  <c r="Y151" i="31" s="1"/>
  <c r="CG151" i="31" s="1"/>
  <c r="AO234" i="31"/>
  <c r="AQ234" i="31" s="1"/>
  <c r="CJ234" i="31" s="1"/>
  <c r="BS194" i="31"/>
  <c r="BU194" i="31" s="1"/>
  <c r="CO194" i="31" s="1"/>
  <c r="W167" i="31"/>
  <c r="Y167" i="31" s="1"/>
  <c r="CG167" i="31" s="1"/>
  <c r="AO38" i="31"/>
  <c r="AQ38" i="31" s="1"/>
  <c r="CJ38" i="31" s="1"/>
  <c r="W302" i="31"/>
  <c r="Y302" i="31" s="1"/>
  <c r="CG302" i="31" s="1"/>
  <c r="Q133" i="31"/>
  <c r="S133" i="31" s="1"/>
  <c r="CF133" i="31" s="1"/>
  <c r="W53" i="31"/>
  <c r="Y53" i="31" s="1"/>
  <c r="CG53" i="31" s="1"/>
  <c r="AC164" i="31"/>
  <c r="AE164" i="31" s="1"/>
  <c r="CH164" i="31" s="1"/>
  <c r="W64" i="31"/>
  <c r="Y64" i="31" s="1"/>
  <c r="CG64" i="31" s="1"/>
  <c r="Q135" i="31"/>
  <c r="S135" i="31" s="1"/>
  <c r="CF135" i="31" s="1"/>
  <c r="W67" i="31"/>
  <c r="Y67" i="31" s="1"/>
  <c r="CG67" i="31" s="1"/>
  <c r="Q277" i="31"/>
  <c r="S277" i="31" s="1"/>
  <c r="CF277" i="31" s="1"/>
  <c r="Q279" i="31"/>
  <c r="S279" i="31" s="1"/>
  <c r="CF279" i="31" s="1"/>
  <c r="BG214" i="31"/>
  <c r="BI214" i="31" s="1"/>
  <c r="CM214" i="31" s="1"/>
  <c r="AO336" i="31"/>
  <c r="AQ336" i="31" s="1"/>
  <c r="CJ336" i="31" s="1"/>
  <c r="W236" i="31"/>
  <c r="Y236" i="31" s="1"/>
  <c r="CG236" i="31" s="1"/>
  <c r="BA183" i="31"/>
  <c r="BC183" i="31" s="1"/>
  <c r="CL183" i="31" s="1"/>
  <c r="W193" i="31"/>
  <c r="Y193" i="31" s="1"/>
  <c r="CG193" i="31" s="1"/>
  <c r="BA345" i="31"/>
  <c r="BC345" i="31" s="1"/>
  <c r="CL345" i="31" s="1"/>
  <c r="AC276" i="31"/>
  <c r="AE276" i="31" s="1"/>
  <c r="CH276" i="31" s="1"/>
  <c r="BG176" i="31"/>
  <c r="BI176" i="31" s="1"/>
  <c r="CM176" i="31" s="1"/>
  <c r="K198" i="31"/>
  <c r="M198" i="31" s="1"/>
  <c r="CE198" i="31" s="1"/>
  <c r="AC94" i="31"/>
  <c r="AE94" i="31" s="1"/>
  <c r="CH94" i="31" s="1"/>
  <c r="BG349" i="31"/>
  <c r="BI349" i="31" s="1"/>
  <c r="CM349" i="31" s="1"/>
  <c r="K289" i="31"/>
  <c r="BA158" i="31"/>
  <c r="BC158" i="31" s="1"/>
  <c r="CL158" i="31" s="1"/>
  <c r="BS140" i="31"/>
  <c r="BU140" i="31" s="1"/>
  <c r="CO140" i="31" s="1"/>
  <c r="W89" i="31"/>
  <c r="Y89" i="31" s="1"/>
  <c r="CG89" i="31" s="1"/>
  <c r="K74" i="31"/>
  <c r="M74" i="31" s="1"/>
  <c r="CE74" i="31" s="1"/>
  <c r="Q314" i="31"/>
  <c r="S314" i="31" s="1"/>
  <c r="CF314" i="31" s="1"/>
  <c r="BG125" i="31"/>
  <c r="BI125" i="31" s="1"/>
  <c r="CM125" i="31" s="1"/>
  <c r="K300" i="31"/>
  <c r="M300" i="31" s="1"/>
  <c r="CE300" i="31" s="1"/>
  <c r="BS342" i="31"/>
  <c r="BU342" i="31" s="1"/>
  <c r="CO342" i="31" s="1"/>
  <c r="BG178" i="31"/>
  <c r="BI178" i="31" s="1"/>
  <c r="CM178" i="31" s="1"/>
  <c r="BE354" i="31"/>
  <c r="BE3" i="31"/>
  <c r="BG7" i="31"/>
  <c r="BR354" i="31"/>
  <c r="BR1" i="31"/>
  <c r="BR3" i="31"/>
  <c r="Q294" i="31"/>
  <c r="S294" i="31" s="1"/>
  <c r="CF294" i="31" s="1"/>
  <c r="BG196" i="31"/>
  <c r="BI196" i="31" s="1"/>
  <c r="CM196" i="31" s="1"/>
  <c r="BA85" i="31"/>
  <c r="BC85" i="31" s="1"/>
  <c r="CL85" i="31" s="1"/>
  <c r="W128" i="31"/>
  <c r="Y128" i="31" s="1"/>
  <c r="CG128" i="31" s="1"/>
  <c r="BA237" i="31"/>
  <c r="BC237" i="31" s="1"/>
  <c r="CL237" i="31" s="1"/>
  <c r="W291" i="31"/>
  <c r="Y291" i="31" s="1"/>
  <c r="CG291" i="31" s="1"/>
  <c r="AO324" i="31"/>
  <c r="AQ324" i="31" s="1"/>
  <c r="CJ324" i="31" s="1"/>
  <c r="AO235" i="31"/>
  <c r="AQ235" i="31" s="1"/>
  <c r="CJ235" i="31" s="1"/>
  <c r="BS325" i="31"/>
  <c r="BU325" i="31" s="1"/>
  <c r="CO325" i="31" s="1"/>
  <c r="AO109" i="31"/>
  <c r="AQ109" i="31" s="1"/>
  <c r="CJ109" i="31" s="1"/>
  <c r="AO62" i="31"/>
  <c r="AQ62" i="31" s="1"/>
  <c r="CJ62" i="31" s="1"/>
  <c r="BS227" i="31"/>
  <c r="BU227" i="31" s="1"/>
  <c r="CO227" i="31" s="1"/>
  <c r="BG78" i="31"/>
  <c r="BI78" i="31" s="1"/>
  <c r="CM78" i="31" s="1"/>
  <c r="BA87" i="31"/>
  <c r="BC87" i="31" s="1"/>
  <c r="CL87" i="31" s="1"/>
  <c r="BA142" i="31"/>
  <c r="BC142" i="31" s="1"/>
  <c r="CL142" i="31" s="1"/>
  <c r="BA262" i="31"/>
  <c r="BC262" i="31" s="1"/>
  <c r="CL262" i="31" s="1"/>
  <c r="AC135" i="31"/>
  <c r="AE135" i="31" s="1"/>
  <c r="CH135" i="31" s="1"/>
  <c r="AC34" i="31"/>
  <c r="AE34" i="31" s="1"/>
  <c r="CH34" i="31" s="1"/>
  <c r="AO237" i="31"/>
  <c r="AQ237" i="31" s="1"/>
  <c r="CJ237" i="31" s="1"/>
  <c r="BA181" i="31"/>
  <c r="BC181" i="31" s="1"/>
  <c r="CL181" i="31" s="1"/>
  <c r="BG172" i="31"/>
  <c r="BI172" i="31" s="1"/>
  <c r="CM172" i="31" s="1"/>
  <c r="BG212" i="31"/>
  <c r="BI212" i="31" s="1"/>
  <c r="CM212" i="31" s="1"/>
  <c r="K114" i="31"/>
  <c r="M114" i="31" s="1"/>
  <c r="CE114" i="31" s="1"/>
  <c r="AC195" i="31"/>
  <c r="AE195" i="31" s="1"/>
  <c r="CH195" i="31" s="1"/>
  <c r="K108" i="31"/>
  <c r="M108" i="31" s="1"/>
  <c r="CE108" i="31" s="1"/>
  <c r="BS142" i="31"/>
  <c r="BU142" i="31" s="1"/>
  <c r="CO142" i="31" s="1"/>
  <c r="AO164" i="31"/>
  <c r="AQ164" i="31" s="1"/>
  <c r="CJ164" i="31" s="1"/>
  <c r="BA279" i="31"/>
  <c r="BC279" i="31" s="1"/>
  <c r="CL279" i="31" s="1"/>
  <c r="K217" i="31"/>
  <c r="M217" i="31" s="1"/>
  <c r="CE217" i="31" s="1"/>
  <c r="Q324" i="31"/>
  <c r="S324" i="31" s="1"/>
  <c r="CF324" i="31" s="1"/>
  <c r="AC325" i="31"/>
  <c r="AE325" i="31" s="1"/>
  <c r="CH325" i="31" s="1"/>
  <c r="W109" i="31"/>
  <c r="Y109" i="31" s="1"/>
  <c r="CG109" i="31" s="1"/>
  <c r="AC97" i="31"/>
  <c r="AE97" i="31" s="1"/>
  <c r="CH97" i="31" s="1"/>
  <c r="K177" i="31"/>
  <c r="M177" i="31" s="1"/>
  <c r="CE177" i="31" s="1"/>
  <c r="AO329" i="31"/>
  <c r="AQ329" i="31" s="1"/>
  <c r="CJ329" i="31" s="1"/>
  <c r="Q98" i="31"/>
  <c r="S98" i="31" s="1"/>
  <c r="CF98" i="31" s="1"/>
  <c r="AC273" i="31"/>
  <c r="AE273" i="31" s="1"/>
  <c r="CH273" i="31" s="1"/>
  <c r="M281" i="41"/>
  <c r="AC268" i="31"/>
  <c r="AE268" i="31" s="1"/>
  <c r="CH268" i="31" s="1"/>
  <c r="AC142" i="31"/>
  <c r="AE142" i="31" s="1"/>
  <c r="CH142" i="31" s="1"/>
  <c r="AC18" i="31"/>
  <c r="AE18" i="31" s="1"/>
  <c r="CH18" i="31" s="1"/>
  <c r="BG126" i="31"/>
  <c r="BI126" i="31" s="1"/>
  <c r="CM126" i="31" s="1"/>
  <c r="Q237" i="31"/>
  <c r="S237" i="31" s="1"/>
  <c r="CF237" i="31" s="1"/>
  <c r="AO323" i="31"/>
  <c r="AQ323" i="31" s="1"/>
  <c r="CJ323" i="31" s="1"/>
  <c r="BA97" i="31"/>
  <c r="BC97" i="31" s="1"/>
  <c r="CL97" i="31" s="1"/>
  <c r="BG19" i="31"/>
  <c r="BI19" i="31" s="1"/>
  <c r="CM19" i="31" s="1"/>
  <c r="BA10" i="31"/>
  <c r="BC10" i="31" s="1"/>
  <c r="CL10" i="31" s="1"/>
  <c r="N5" i="41" s="1"/>
  <c r="BG76" i="31"/>
  <c r="BI76" i="31" s="1"/>
  <c r="CM76" i="31" s="1"/>
  <c r="AO136" i="31"/>
  <c r="AQ136" i="31" s="1"/>
  <c r="CJ136" i="31" s="1"/>
  <c r="BS329" i="31"/>
  <c r="BU329" i="31" s="1"/>
  <c r="CO329" i="31" s="1"/>
  <c r="BA282" i="31"/>
  <c r="BC282" i="31" s="1"/>
  <c r="CL282" i="31" s="1"/>
  <c r="BG219" i="31"/>
  <c r="BI219" i="31" s="1"/>
  <c r="CM219" i="31" s="1"/>
  <c r="BS271" i="31"/>
  <c r="BU271" i="31" s="1"/>
  <c r="CO271" i="31" s="1"/>
  <c r="BS326" i="31"/>
  <c r="BU326" i="31" s="1"/>
  <c r="CO326" i="31" s="1"/>
  <c r="BS146" i="31"/>
  <c r="BU146" i="31" s="1"/>
  <c r="CO146" i="31" s="1"/>
  <c r="AC275" i="31"/>
  <c r="AE275" i="31" s="1"/>
  <c r="CH275" i="31" s="1"/>
  <c r="BG95" i="31"/>
  <c r="BI95" i="31" s="1"/>
  <c r="CM95" i="31" s="1"/>
  <c r="BS98" i="31"/>
  <c r="BU98" i="31" s="1"/>
  <c r="CO98" i="31" s="1"/>
  <c r="Q81" i="31"/>
  <c r="S81" i="31" s="1"/>
  <c r="CF81" i="31" s="1"/>
  <c r="BS181" i="31"/>
  <c r="BU181" i="31" s="1"/>
  <c r="CO181" i="31" s="1"/>
  <c r="Q131" i="31"/>
  <c r="S131" i="31" s="1"/>
  <c r="CF131" i="31" s="1"/>
  <c r="BA69" i="31"/>
  <c r="BC69" i="31" s="1"/>
  <c r="CL69" i="31" s="1"/>
  <c r="AO330" i="31"/>
  <c r="AQ330" i="31" s="1"/>
  <c r="CJ330" i="31" s="1"/>
  <c r="AC284" i="31"/>
  <c r="AE284" i="31" s="1"/>
  <c r="CH284" i="31" s="1"/>
  <c r="BS221" i="31"/>
  <c r="BU221" i="31" s="1"/>
  <c r="CO221" i="31" s="1"/>
  <c r="Q232" i="31"/>
  <c r="S232" i="31" s="1"/>
  <c r="CF232" i="31" s="1"/>
  <c r="AC296" i="31"/>
  <c r="AE296" i="31" s="1"/>
  <c r="CH296" i="31" s="1"/>
  <c r="W307" i="31"/>
  <c r="Y307" i="31" s="1"/>
  <c r="CG307" i="31" s="1"/>
  <c r="AC211" i="31"/>
  <c r="AE211" i="31" s="1"/>
  <c r="CH211" i="31" s="1"/>
  <c r="Q154" i="31"/>
  <c r="S154" i="31" s="1"/>
  <c r="CF154" i="31" s="1"/>
  <c r="BG90" i="31"/>
  <c r="BI90" i="31" s="1"/>
  <c r="CM90" i="31" s="1"/>
  <c r="AO24" i="31"/>
  <c r="AQ24" i="31" s="1"/>
  <c r="CJ24" i="31" s="1"/>
  <c r="BS110" i="31"/>
  <c r="BU110" i="31" s="1"/>
  <c r="CO110" i="31" s="1"/>
  <c r="BG182" i="31"/>
  <c r="BI182" i="31" s="1"/>
  <c r="CM182" i="31" s="1"/>
  <c r="BS29" i="31"/>
  <c r="BU29" i="31" s="1"/>
  <c r="CO29" i="31" s="1"/>
  <c r="BS73" i="31"/>
  <c r="BU73" i="31" s="1"/>
  <c r="CO73" i="31" s="1"/>
  <c r="Q72" i="31"/>
  <c r="S72" i="31" s="1"/>
  <c r="CF72" i="31" s="1"/>
  <c r="BA21" i="31"/>
  <c r="BC21" i="31" s="1"/>
  <c r="CL21" i="31" s="1"/>
  <c r="W252" i="31"/>
  <c r="Y252" i="31" s="1"/>
  <c r="CG252" i="31" s="1"/>
  <c r="BA233" i="31"/>
  <c r="BC233" i="31" s="1"/>
  <c r="CL233" i="31" s="1"/>
  <c r="W8" i="31"/>
  <c r="Y8" i="31" s="1"/>
  <c r="CG8" i="31" s="1"/>
  <c r="I3" i="41" s="1"/>
  <c r="Q186" i="31"/>
  <c r="S186" i="31" s="1"/>
  <c r="CF186" i="31" s="1"/>
  <c r="BA103" i="31"/>
  <c r="BC103" i="31" s="1"/>
  <c r="CL103" i="31" s="1"/>
  <c r="BA172" i="31"/>
  <c r="BC172" i="31" s="1"/>
  <c r="CL172" i="31" s="1"/>
  <c r="BG43" i="31"/>
  <c r="BI43" i="31" s="1"/>
  <c r="CM43" i="31" s="1"/>
  <c r="BA145" i="31"/>
  <c r="BC145" i="31" s="1"/>
  <c r="CL145" i="31" s="1"/>
  <c r="Q27" i="31"/>
  <c r="S27" i="31" s="1"/>
  <c r="CF27" i="31" s="1"/>
  <c r="BS344" i="31"/>
  <c r="BU344" i="31" s="1"/>
  <c r="CO344" i="31" s="1"/>
  <c r="AO78" i="31"/>
  <c r="AQ78" i="31" s="1"/>
  <c r="CJ78" i="31" s="1"/>
  <c r="BG107" i="31"/>
  <c r="BI107" i="31" s="1"/>
  <c r="CM107" i="31" s="1"/>
  <c r="AO270" i="31"/>
  <c r="AQ270" i="31" s="1"/>
  <c r="CJ270" i="31" s="1"/>
  <c r="AO257" i="31"/>
  <c r="AQ257" i="31" s="1"/>
  <c r="CJ257" i="31" s="1"/>
  <c r="BG246" i="31"/>
  <c r="BI246" i="31" s="1"/>
  <c r="CM246" i="31" s="1"/>
  <c r="BS205" i="31"/>
  <c r="BU205" i="31" s="1"/>
  <c r="CO205" i="31" s="1"/>
  <c r="Q202" i="31"/>
  <c r="S202" i="31" s="1"/>
  <c r="CF202" i="31" s="1"/>
  <c r="BA241" i="31"/>
  <c r="BC241" i="31" s="1"/>
  <c r="CL241" i="31" s="1"/>
  <c r="Q191" i="31"/>
  <c r="S191" i="31" s="1"/>
  <c r="CF191" i="31" s="1"/>
  <c r="BG60" i="31"/>
  <c r="BI60" i="31" s="1"/>
  <c r="CM60" i="31" s="1"/>
  <c r="Q240" i="31"/>
  <c r="S240" i="31" s="1"/>
  <c r="CF240" i="31" s="1"/>
  <c r="BG267" i="31"/>
  <c r="BI267" i="31" s="1"/>
  <c r="CM267" i="31" s="1"/>
  <c r="AO340" i="31"/>
  <c r="AQ340" i="31" s="1"/>
  <c r="CJ340" i="31" s="1"/>
  <c r="W174" i="31"/>
  <c r="Y174" i="31" s="1"/>
  <c r="CG174" i="31" s="1"/>
  <c r="BG99" i="31"/>
  <c r="BI99" i="31" s="1"/>
  <c r="CM99" i="31" s="1"/>
  <c r="BS306" i="31"/>
  <c r="BU306" i="31" s="1"/>
  <c r="CO306" i="31" s="1"/>
  <c r="AO335" i="31"/>
  <c r="AQ335" i="31" s="1"/>
  <c r="CJ335" i="31" s="1"/>
  <c r="Q87" i="31"/>
  <c r="S87" i="31" s="1"/>
  <c r="CF87" i="31" s="1"/>
  <c r="BS212" i="31"/>
  <c r="BU212" i="31" s="1"/>
  <c r="CO212" i="31" s="1"/>
  <c r="AO170" i="31"/>
  <c r="AQ170" i="31" s="1"/>
  <c r="CJ170" i="31" s="1"/>
  <c r="AO188" i="31"/>
  <c r="AQ188" i="31" s="1"/>
  <c r="CJ188" i="31" s="1"/>
  <c r="BS127" i="31"/>
  <c r="BU127" i="31" s="1"/>
  <c r="CO127" i="31" s="1"/>
  <c r="Q297" i="31"/>
  <c r="S297" i="31" s="1"/>
  <c r="CF297" i="31" s="1"/>
  <c r="BG114" i="31"/>
  <c r="BI114" i="31" s="1"/>
  <c r="CM114" i="31" s="1"/>
  <c r="AC247" i="31"/>
  <c r="AE247" i="31" s="1"/>
  <c r="CH247" i="31" s="1"/>
  <c r="AC189" i="31"/>
  <c r="AE189" i="31" s="1"/>
  <c r="CH189" i="31" s="1"/>
  <c r="AO155" i="31"/>
  <c r="AQ155" i="31" s="1"/>
  <c r="CJ155" i="31" s="1"/>
  <c r="AC253" i="31"/>
  <c r="AE253" i="31" s="1"/>
  <c r="CH253" i="31" s="1"/>
  <c r="Q195" i="31"/>
  <c r="S195" i="31" s="1"/>
  <c r="CF195" i="31" s="1"/>
  <c r="Q49" i="31"/>
  <c r="S49" i="31" s="1"/>
  <c r="CF49" i="31" s="1"/>
  <c r="BG224" i="31"/>
  <c r="BI224" i="31" s="1"/>
  <c r="CM224" i="31" s="1"/>
  <c r="AO273" i="31"/>
  <c r="AQ273" i="31" s="1"/>
  <c r="CJ273" i="31" s="1"/>
  <c r="BA23" i="31"/>
  <c r="BC23" i="31" s="1"/>
  <c r="CL23" i="31" s="1"/>
  <c r="BG222" i="31"/>
  <c r="BI222" i="31" s="1"/>
  <c r="CM222" i="31" s="1"/>
  <c r="AO59" i="31"/>
  <c r="AQ59" i="31" s="1"/>
  <c r="CJ59" i="31" s="1"/>
  <c r="AO190" i="31"/>
  <c r="AQ190" i="31" s="1"/>
  <c r="CJ190" i="31" s="1"/>
  <c r="BG309" i="31"/>
  <c r="BI309" i="31" s="1"/>
  <c r="CM309" i="31" s="1"/>
  <c r="BS40" i="31"/>
  <c r="BU40" i="31" s="1"/>
  <c r="CO40" i="31" s="1"/>
  <c r="AO250" i="31"/>
  <c r="AQ250" i="31" s="1"/>
  <c r="CJ250" i="31" s="1"/>
  <c r="AO245" i="31"/>
  <c r="AQ245" i="31" s="1"/>
  <c r="CJ245" i="31" s="1"/>
  <c r="Q268" i="31"/>
  <c r="S268" i="31" s="1"/>
  <c r="CF268" i="31" s="1"/>
  <c r="BA171" i="31"/>
  <c r="BC171" i="31" s="1"/>
  <c r="CL171" i="31" s="1"/>
  <c r="BG68" i="31"/>
  <c r="BI68" i="31" s="1"/>
  <c r="CM68" i="31" s="1"/>
  <c r="Q142" i="31"/>
  <c r="S142" i="31" s="1"/>
  <c r="CF142" i="31" s="1"/>
  <c r="Q350" i="31"/>
  <c r="S350" i="31" s="1"/>
  <c r="CF350" i="31" s="1"/>
  <c r="BG226" i="31"/>
  <c r="BI226" i="31" s="1"/>
  <c r="CM226" i="31" s="1"/>
  <c r="BA18" i="31"/>
  <c r="BC18" i="31" s="1"/>
  <c r="CL18" i="31" s="1"/>
  <c r="Q151" i="31"/>
  <c r="S151" i="31" s="1"/>
  <c r="CF151" i="31" s="1"/>
  <c r="AC234" i="31"/>
  <c r="AE234" i="31" s="1"/>
  <c r="CH234" i="31" s="1"/>
  <c r="Q137" i="31"/>
  <c r="S137" i="31" s="1"/>
  <c r="CF137" i="31" s="1"/>
  <c r="Q167" i="31"/>
  <c r="S167" i="31" s="1"/>
  <c r="CF167" i="31" s="1"/>
  <c r="BA38" i="31"/>
  <c r="BC38" i="31" s="1"/>
  <c r="CL38" i="31" s="1"/>
  <c r="Q302" i="31"/>
  <c r="S302" i="31" s="1"/>
  <c r="CF302" i="31" s="1"/>
  <c r="BG54" i="31"/>
  <c r="BI54" i="31" s="1"/>
  <c r="CM54" i="31" s="1"/>
  <c r="BA133" i="31"/>
  <c r="BC133" i="31" s="1"/>
  <c r="CL133" i="31" s="1"/>
  <c r="Q53" i="31"/>
  <c r="S53" i="31" s="1"/>
  <c r="CF53" i="31" s="1"/>
  <c r="BG143" i="31"/>
  <c r="BI143" i="31" s="1"/>
  <c r="CM143" i="31" s="1"/>
  <c r="BS164" i="31"/>
  <c r="BU164" i="31" s="1"/>
  <c r="CO164" i="31" s="1"/>
  <c r="Q64" i="31"/>
  <c r="S64" i="31" s="1"/>
  <c r="CF64" i="31" s="1"/>
  <c r="BS135" i="31"/>
  <c r="BU135" i="31" s="1"/>
  <c r="CO135" i="31" s="1"/>
  <c r="BA277" i="31"/>
  <c r="BC277" i="31" s="1"/>
  <c r="CL277" i="31" s="1"/>
  <c r="BA214" i="31"/>
  <c r="BC214" i="31" s="1"/>
  <c r="CL214" i="31" s="1"/>
  <c r="BG260" i="31"/>
  <c r="BI260" i="31" s="1"/>
  <c r="CM260" i="31" s="1"/>
  <c r="BA336" i="31"/>
  <c r="BC336" i="31" s="1"/>
  <c r="CL336" i="31" s="1"/>
  <c r="Q236" i="31"/>
  <c r="S236" i="31" s="1"/>
  <c r="CF236" i="31" s="1"/>
  <c r="BG71" i="31"/>
  <c r="BI71" i="31" s="1"/>
  <c r="CM71" i="31" s="1"/>
  <c r="AC193" i="31"/>
  <c r="AE193" i="31" s="1"/>
  <c r="CH193" i="31" s="1"/>
  <c r="BG319" i="31"/>
  <c r="BI319" i="31" s="1"/>
  <c r="CM319" i="31" s="1"/>
  <c r="Q345" i="31"/>
  <c r="S345" i="31" s="1"/>
  <c r="CF345" i="31" s="1"/>
  <c r="BA159" i="31"/>
  <c r="BC159" i="31" s="1"/>
  <c r="CL159" i="31" s="1"/>
  <c r="BG217" i="31"/>
  <c r="BI217" i="31" s="1"/>
  <c r="CM217" i="31" s="1"/>
  <c r="Q276" i="31"/>
  <c r="S276" i="31" s="1"/>
  <c r="CF276" i="31" s="1"/>
  <c r="BS94" i="31"/>
  <c r="BU94" i="31" s="1"/>
  <c r="CO94" i="31" s="1"/>
  <c r="AC158" i="31"/>
  <c r="AE158" i="31" s="1"/>
  <c r="CH158" i="31" s="1"/>
  <c r="K139" i="31"/>
  <c r="M139" i="31" s="1"/>
  <c r="CE139" i="31" s="1"/>
  <c r="AO213" i="31"/>
  <c r="AQ213" i="31" s="1"/>
  <c r="CJ213" i="31" s="1"/>
  <c r="BA140" i="31"/>
  <c r="BC140" i="31" s="1"/>
  <c r="CL140" i="31" s="1"/>
  <c r="BS314" i="31"/>
  <c r="BU314" i="31" s="1"/>
  <c r="CO314" i="31" s="1"/>
  <c r="BA342" i="31"/>
  <c r="BC342" i="31" s="1"/>
  <c r="CL342" i="31" s="1"/>
  <c r="AM354" i="31"/>
  <c r="AM3" i="31"/>
  <c r="AO7" i="31"/>
  <c r="P354" i="31"/>
  <c r="P1" i="31"/>
  <c r="P3" i="31"/>
  <c r="AC197" i="31"/>
  <c r="AE197" i="31" s="1"/>
  <c r="CH197" i="31" s="1"/>
  <c r="BS294" i="31"/>
  <c r="BU294" i="31" s="1"/>
  <c r="CO294" i="31" s="1"/>
  <c r="K258" i="31"/>
  <c r="AC128" i="31"/>
  <c r="AE128" i="31" s="1"/>
  <c r="CH128" i="31" s="1"/>
  <c r="BG30" i="31"/>
  <c r="BI30" i="31" s="1"/>
  <c r="CM30" i="31" s="1"/>
  <c r="K147" i="31"/>
  <c r="M147" i="31" s="1"/>
  <c r="CE147" i="31" s="1"/>
  <c r="AO291" i="31"/>
  <c r="AQ291" i="31" s="1"/>
  <c r="CJ291" i="31" s="1"/>
  <c r="BG166" i="31"/>
  <c r="BI166" i="31" s="1"/>
  <c r="CM166" i="31" s="1"/>
  <c r="K251" i="31"/>
  <c r="M251" i="31" s="1"/>
  <c r="CE251" i="31" s="1"/>
  <c r="AC235" i="31"/>
  <c r="AE235" i="31" s="1"/>
  <c r="CH235" i="31" s="1"/>
  <c r="BG266" i="31"/>
  <c r="BI266" i="31" s="1"/>
  <c r="CM266" i="31" s="1"/>
  <c r="K14" i="31"/>
  <c r="M14" i="31" s="1"/>
  <c r="CE14" i="31" s="1"/>
  <c r="BA109" i="31"/>
  <c r="BC109" i="31" s="1"/>
  <c r="CL109" i="31" s="1"/>
  <c r="K283" i="31"/>
  <c r="M283" i="31" s="1"/>
  <c r="CE283" i="31" s="1"/>
  <c r="AC227" i="31"/>
  <c r="AE227" i="31" s="1"/>
  <c r="CH227" i="31" s="1"/>
  <c r="W56" i="31"/>
  <c r="Y56" i="31" s="1"/>
  <c r="CG56" i="31" s="1"/>
  <c r="AC271" i="31"/>
  <c r="AE271" i="31" s="1"/>
  <c r="CH271" i="31" s="1"/>
  <c r="BG131" i="31"/>
  <c r="BI131" i="31" s="1"/>
  <c r="CM131" i="31" s="1"/>
  <c r="Q344" i="31"/>
  <c r="S344" i="31" s="1"/>
  <c r="CF344" i="31" s="1"/>
  <c r="AO70" i="31"/>
  <c r="AQ70" i="31" s="1"/>
  <c r="CJ70" i="31" s="1"/>
  <c r="BS155" i="31"/>
  <c r="BU155" i="31" s="1"/>
  <c r="CO155" i="31" s="1"/>
  <c r="Q164" i="31"/>
  <c r="S164" i="31" s="1"/>
  <c r="CF164" i="31" s="1"/>
  <c r="BA325" i="31"/>
  <c r="BC325" i="31" s="1"/>
  <c r="CL325" i="31" s="1"/>
  <c r="K37" i="31"/>
  <c r="BG149" i="31"/>
  <c r="BI149" i="31" s="1"/>
  <c r="CM149" i="31" s="1"/>
  <c r="K19" i="31"/>
  <c r="M19" i="31" s="1"/>
  <c r="CE19" i="31" s="1"/>
  <c r="K76" i="31"/>
  <c r="M76" i="31" s="1"/>
  <c r="CE76" i="31" s="1"/>
  <c r="Q136" i="31"/>
  <c r="S136" i="31" s="1"/>
  <c r="CF136" i="31" s="1"/>
  <c r="K231" i="31"/>
  <c r="AC146" i="31"/>
  <c r="AE146" i="31" s="1"/>
  <c r="CH146" i="31" s="1"/>
  <c r="K207" i="31"/>
  <c r="Q284" i="31"/>
  <c r="S284" i="31" s="1"/>
  <c r="CF284" i="31" s="1"/>
  <c r="AO232" i="31"/>
  <c r="AQ232" i="31" s="1"/>
  <c r="CJ232" i="31" s="1"/>
  <c r="K307" i="31"/>
  <c r="M307" i="31" s="1"/>
  <c r="CE307" i="31" s="1"/>
  <c r="AC29" i="31"/>
  <c r="AE29" i="31" s="1"/>
  <c r="CH29" i="31" s="1"/>
  <c r="AO244" i="31"/>
  <c r="AQ244" i="31" s="1"/>
  <c r="CJ244" i="31" s="1"/>
  <c r="K321" i="31"/>
  <c r="M321" i="31" s="1"/>
  <c r="CE321" i="31" s="1"/>
  <c r="BG103" i="31"/>
  <c r="BI103" i="31" s="1"/>
  <c r="CM103" i="31" s="1"/>
  <c r="K43" i="31"/>
  <c r="M43" i="31" s="1"/>
  <c r="CE43" i="31" s="1"/>
  <c r="BG27" i="31"/>
  <c r="BI27" i="31" s="1"/>
  <c r="CM27" i="31" s="1"/>
  <c r="AO344" i="31"/>
  <c r="AQ344" i="31" s="1"/>
  <c r="CJ344" i="31" s="1"/>
  <c r="BA270" i="31"/>
  <c r="BC270" i="31" s="1"/>
  <c r="CL270" i="31" s="1"/>
  <c r="BA205" i="31"/>
  <c r="BC205" i="31" s="1"/>
  <c r="CL205" i="31" s="1"/>
  <c r="K157" i="31"/>
  <c r="M157" i="31" s="1"/>
  <c r="CE157" i="31" s="1"/>
  <c r="Q241" i="31"/>
  <c r="S241" i="31" s="1"/>
  <c r="CF241" i="31" s="1"/>
  <c r="K267" i="31"/>
  <c r="K99" i="31"/>
  <c r="M99" i="31" s="1"/>
  <c r="CE99" i="31" s="1"/>
  <c r="K148" i="31"/>
  <c r="M148" i="31" s="1"/>
  <c r="CE148" i="31" s="1"/>
  <c r="AC341" i="31"/>
  <c r="AE341" i="31" s="1"/>
  <c r="CH341" i="31" s="1"/>
  <c r="BG188" i="31"/>
  <c r="BI188" i="31" s="1"/>
  <c r="CM188" i="31" s="1"/>
  <c r="BA127" i="31"/>
  <c r="BC127" i="31" s="1"/>
  <c r="CL127" i="31" s="1"/>
  <c r="BS247" i="31"/>
  <c r="BU247" i="31" s="1"/>
  <c r="CO247" i="31" s="1"/>
  <c r="K339" i="31"/>
  <c r="M339" i="31" s="1"/>
  <c r="CE339" i="31" s="1"/>
  <c r="K224" i="31"/>
  <c r="M224" i="31" s="1"/>
  <c r="CE224" i="31" s="1"/>
  <c r="K222" i="31"/>
  <c r="AO268" i="31"/>
  <c r="AQ268" i="31" s="1"/>
  <c r="CJ268" i="31" s="1"/>
  <c r="AO18" i="31"/>
  <c r="AQ18" i="31" s="1"/>
  <c r="CJ18" i="31" s="1"/>
  <c r="BA234" i="31"/>
  <c r="BC234" i="31" s="1"/>
  <c r="CL234" i="31" s="1"/>
  <c r="K54" i="31"/>
  <c r="M54" i="31" s="1"/>
  <c r="CE54" i="31" s="1"/>
  <c r="K277" i="31"/>
  <c r="M277" i="31" s="1"/>
  <c r="CE277" i="31" s="1"/>
  <c r="BG236" i="31"/>
  <c r="BI236" i="31" s="1"/>
  <c r="CM236" i="31" s="1"/>
  <c r="Q303" i="31"/>
  <c r="S303" i="31" s="1"/>
  <c r="CF303" i="31" s="1"/>
  <c r="BA34" i="31"/>
  <c r="BC34" i="31" s="1"/>
  <c r="CL34" i="31" s="1"/>
  <c r="AO162" i="31"/>
  <c r="AQ162" i="31" s="1"/>
  <c r="CJ162" i="31" s="1"/>
  <c r="W42" i="31"/>
  <c r="Y42" i="31" s="1"/>
  <c r="CG42" i="31" s="1"/>
  <c r="AO12" i="31"/>
  <c r="AQ12" i="31" s="1"/>
  <c r="CJ12" i="31" s="1"/>
  <c r="L7" i="41" s="1"/>
  <c r="AO320" i="31"/>
  <c r="AQ320" i="31" s="1"/>
  <c r="CJ320" i="31" s="1"/>
  <c r="AC136" i="31"/>
  <c r="AE136" i="31" s="1"/>
  <c r="CH136" i="31" s="1"/>
  <c r="BA271" i="31"/>
  <c r="BC271" i="31" s="1"/>
  <c r="CL271" i="31" s="1"/>
  <c r="Q146" i="31"/>
  <c r="S146" i="31" s="1"/>
  <c r="CF146" i="31" s="1"/>
  <c r="Q77" i="31"/>
  <c r="S77" i="31" s="1"/>
  <c r="CF77" i="31" s="1"/>
  <c r="Q69" i="31"/>
  <c r="S69" i="31" s="1"/>
  <c r="CF69" i="31" s="1"/>
  <c r="AO211" i="31"/>
  <c r="AQ211" i="31" s="1"/>
  <c r="CJ211" i="31" s="1"/>
  <c r="BS24" i="31"/>
  <c r="BU24" i="31" s="1"/>
  <c r="CO24" i="31" s="1"/>
  <c r="BA244" i="31"/>
  <c r="BC244" i="31" s="1"/>
  <c r="CL244" i="31" s="1"/>
  <c r="BS21" i="31"/>
  <c r="BU21" i="31" s="1"/>
  <c r="CO21" i="31" s="1"/>
  <c r="BS233" i="31"/>
  <c r="BU233" i="31" s="1"/>
  <c r="CO233" i="31" s="1"/>
  <c r="BS228" i="31"/>
  <c r="BU228" i="31" s="1"/>
  <c r="CO228" i="31" s="1"/>
  <c r="BS145" i="31"/>
  <c r="BU145" i="31" s="1"/>
  <c r="CO145" i="31" s="1"/>
  <c r="BS270" i="31"/>
  <c r="BU270" i="31" s="1"/>
  <c r="CO270" i="31" s="1"/>
  <c r="Q205" i="31"/>
  <c r="S205" i="31" s="1"/>
  <c r="CF205" i="31" s="1"/>
  <c r="W191" i="31"/>
  <c r="Y191" i="31" s="1"/>
  <c r="CG191" i="31" s="1"/>
  <c r="AC340" i="31"/>
  <c r="AE340" i="31" s="1"/>
  <c r="CH340" i="31" s="1"/>
  <c r="Q306" i="31"/>
  <c r="S306" i="31" s="1"/>
  <c r="CF306" i="31" s="1"/>
  <c r="AC87" i="31"/>
  <c r="AE87" i="31" s="1"/>
  <c r="CH87" i="31" s="1"/>
  <c r="Q170" i="31"/>
  <c r="S170" i="31" s="1"/>
  <c r="CF170" i="31" s="1"/>
  <c r="AO247" i="31"/>
  <c r="AQ247" i="31" s="1"/>
  <c r="CJ247" i="31" s="1"/>
  <c r="W189" i="31"/>
  <c r="Y189" i="31" s="1"/>
  <c r="CG189" i="31" s="1"/>
  <c r="BG253" i="31"/>
  <c r="BI253" i="31" s="1"/>
  <c r="CM253" i="31" s="1"/>
  <c r="BA195" i="31"/>
  <c r="BC195" i="31" s="1"/>
  <c r="CL195" i="31" s="1"/>
  <c r="W190" i="31"/>
  <c r="Y190" i="31" s="1"/>
  <c r="CG190" i="31" s="1"/>
  <c r="BG250" i="31"/>
  <c r="BI250" i="31" s="1"/>
  <c r="CM250" i="31" s="1"/>
  <c r="BS234" i="31"/>
  <c r="BU234" i="31" s="1"/>
  <c r="CO234" i="31" s="1"/>
  <c r="K269" i="31"/>
  <c r="M269" i="31" s="1"/>
  <c r="CE269" i="31" s="1"/>
  <c r="AO194" i="31"/>
  <c r="AQ194" i="31" s="1"/>
  <c r="CJ194" i="31" s="1"/>
  <c r="BA164" i="31"/>
  <c r="BC164" i="31" s="1"/>
  <c r="CL164" i="31" s="1"/>
  <c r="K71" i="31"/>
  <c r="M71" i="31" s="1"/>
  <c r="CE71" i="31" s="1"/>
  <c r="BS183" i="31"/>
  <c r="BU183" i="31" s="1"/>
  <c r="CO183" i="31" s="1"/>
  <c r="AC345" i="31"/>
  <c r="AE345" i="31" s="1"/>
  <c r="CH345" i="31" s="1"/>
  <c r="AO94" i="31"/>
  <c r="AQ94" i="31" s="1"/>
  <c r="CJ94" i="31" s="1"/>
  <c r="Q160" i="31"/>
  <c r="S160" i="31" s="1"/>
  <c r="CF160" i="31" s="1"/>
  <c r="Q140" i="31"/>
  <c r="S140" i="31" s="1"/>
  <c r="CF140" i="31" s="1"/>
  <c r="BA200" i="31"/>
  <c r="BC200" i="31" s="1"/>
  <c r="CL200" i="31" s="1"/>
  <c r="Q34" i="31"/>
  <c r="S34" i="31" s="1"/>
  <c r="CF34" i="31" s="1"/>
  <c r="AZ3" i="31"/>
  <c r="AZ354" i="31"/>
  <c r="AZ1" i="31"/>
  <c r="W294" i="31"/>
  <c r="Y294" i="31" s="1"/>
  <c r="CG294" i="31" s="1"/>
  <c r="AO85" i="31"/>
  <c r="AQ85" i="31" s="1"/>
  <c r="CJ85" i="31" s="1"/>
  <c r="Q291" i="31"/>
  <c r="S291" i="31" s="1"/>
  <c r="CF291" i="31" s="1"/>
  <c r="W235" i="31"/>
  <c r="Y235" i="31" s="1"/>
  <c r="CG235" i="31" s="1"/>
  <c r="AO325" i="31"/>
  <c r="AQ325" i="31" s="1"/>
  <c r="CJ325" i="31" s="1"/>
  <c r="BG292" i="31"/>
  <c r="BI292" i="31" s="1"/>
  <c r="CM292" i="31" s="1"/>
  <c r="AC62" i="31"/>
  <c r="AE62" i="31" s="1"/>
  <c r="CH62" i="31" s="1"/>
  <c r="BG37" i="31"/>
  <c r="BI37" i="31" s="1"/>
  <c r="CM37" i="31" s="1"/>
  <c r="Q337" i="31"/>
  <c r="S337" i="31" s="1"/>
  <c r="CF337" i="31" s="1"/>
  <c r="BG169" i="31"/>
  <c r="BI169" i="31" s="1"/>
  <c r="CM169" i="31" s="1"/>
  <c r="AC149" i="31"/>
  <c r="AE149" i="31" s="1"/>
  <c r="CH149" i="31" s="1"/>
  <c r="BS12" i="31"/>
  <c r="BU12" i="31" s="1"/>
  <c r="CO12" i="31" s="1"/>
  <c r="Q7" i="41" s="1"/>
  <c r="BG177" i="31"/>
  <c r="BI177" i="31" s="1"/>
  <c r="CM177" i="31" s="1"/>
  <c r="BA88" i="31"/>
  <c r="BC88" i="31" s="1"/>
  <c r="CL88" i="31" s="1"/>
  <c r="BG152" i="31"/>
  <c r="BI152" i="31" s="1"/>
  <c r="CM152" i="31" s="1"/>
  <c r="Q320" i="31"/>
  <c r="S320" i="31" s="1"/>
  <c r="CF320" i="31" s="1"/>
  <c r="BG115" i="31"/>
  <c r="BI115" i="31" s="1"/>
  <c r="CM115" i="31" s="1"/>
  <c r="BS45" i="31"/>
  <c r="BU45" i="31" s="1"/>
  <c r="CO45" i="31" s="1"/>
  <c r="AO337" i="31"/>
  <c r="AQ337" i="31" s="1"/>
  <c r="CJ337" i="31" s="1"/>
  <c r="K112" i="31"/>
  <c r="AO317" i="31"/>
  <c r="AQ317" i="31" s="1"/>
  <c r="CJ317" i="31" s="1"/>
  <c r="K293" i="31"/>
  <c r="M293" i="31" s="1"/>
  <c r="CE293" i="31" s="1"/>
  <c r="BS42" i="31"/>
  <c r="BU42" i="31" s="1"/>
  <c r="CO42" i="31" s="1"/>
  <c r="W169" i="31"/>
  <c r="Y169" i="31" s="1"/>
  <c r="CG169" i="31" s="1"/>
  <c r="K93" i="31"/>
  <c r="M93" i="31" s="1"/>
  <c r="CE93" i="31" s="1"/>
  <c r="AO92" i="31"/>
  <c r="AQ92" i="31" s="1"/>
  <c r="CJ92" i="31" s="1"/>
  <c r="K312" i="31"/>
  <c r="M312" i="31" s="1"/>
  <c r="CE312" i="31" s="1"/>
  <c r="AO149" i="31"/>
  <c r="AQ149" i="31" s="1"/>
  <c r="CJ149" i="31" s="1"/>
  <c r="BG124" i="31"/>
  <c r="BI124" i="31" s="1"/>
  <c r="CM124" i="31" s="1"/>
  <c r="K259" i="31"/>
  <c r="M259" i="31" s="1"/>
  <c r="CE259" i="31" s="1"/>
  <c r="BS61" i="31"/>
  <c r="BU61" i="31" s="1"/>
  <c r="CO61" i="31" s="1"/>
  <c r="AC20" i="31"/>
  <c r="AE20" i="31" s="1"/>
  <c r="CH20" i="31" s="1"/>
  <c r="BA263" i="31"/>
  <c r="BC263" i="31" s="1"/>
  <c r="CL263" i="31" s="1"/>
  <c r="K168" i="31"/>
  <c r="M168" i="31" s="1"/>
  <c r="CE168" i="31" s="1"/>
  <c r="BS173" i="31"/>
  <c r="BU173" i="31" s="1"/>
  <c r="CO173" i="31" s="1"/>
  <c r="K187" i="31"/>
  <c r="M187" i="31" s="1"/>
  <c r="CE187" i="31" s="1"/>
  <c r="AC272" i="31"/>
  <c r="AE272" i="31" s="1"/>
  <c r="CH272" i="31" s="1"/>
  <c r="K318" i="31"/>
  <c r="M318" i="31" s="1"/>
  <c r="CE318" i="31" s="1"/>
  <c r="BS282" i="31"/>
  <c r="BU282" i="31" s="1"/>
  <c r="CO282" i="31" s="1"/>
  <c r="K33" i="31"/>
  <c r="M33" i="31" s="1"/>
  <c r="CE33" i="31" s="1"/>
  <c r="BA326" i="31"/>
  <c r="BC326" i="31" s="1"/>
  <c r="CL326" i="31" s="1"/>
  <c r="AO275" i="31"/>
  <c r="AQ275" i="31" s="1"/>
  <c r="CJ275" i="31" s="1"/>
  <c r="K153" i="31"/>
  <c r="M153" i="31" s="1"/>
  <c r="CE153" i="31" s="1"/>
  <c r="AC81" i="31"/>
  <c r="AE81" i="31" s="1"/>
  <c r="CH81" i="31" s="1"/>
  <c r="BG207" i="31"/>
  <c r="BI207" i="31" s="1"/>
  <c r="CM207" i="31" s="1"/>
  <c r="K305" i="31"/>
  <c r="M305" i="31" s="1"/>
  <c r="CE305" i="31" s="1"/>
  <c r="BA131" i="31"/>
  <c r="BC131" i="31" s="1"/>
  <c r="CL131" i="31" s="1"/>
  <c r="BG229" i="31"/>
  <c r="BI229" i="31" s="1"/>
  <c r="CM229" i="31" s="1"/>
  <c r="Q330" i="31"/>
  <c r="S330" i="31" s="1"/>
  <c r="CF330" i="31" s="1"/>
  <c r="BG165" i="31"/>
  <c r="BI165" i="31" s="1"/>
  <c r="CM165" i="31" s="1"/>
  <c r="AO221" i="31"/>
  <c r="AQ221" i="31" s="1"/>
  <c r="CJ221" i="31" s="1"/>
  <c r="BS296" i="31"/>
  <c r="BU296" i="31" s="1"/>
  <c r="CO296" i="31" s="1"/>
  <c r="BG307" i="31"/>
  <c r="BI307" i="31" s="1"/>
  <c r="CM307" i="31" s="1"/>
  <c r="K50" i="31"/>
  <c r="M50" i="31" s="1"/>
  <c r="CE50" i="31" s="1"/>
  <c r="BS154" i="31"/>
  <c r="BU154" i="31" s="1"/>
  <c r="CO154" i="31" s="1"/>
  <c r="K138" i="31"/>
  <c r="M138" i="31" s="1"/>
  <c r="CE138" i="31" s="1"/>
  <c r="AC110" i="31"/>
  <c r="AE110" i="31" s="1"/>
  <c r="CH110" i="31" s="1"/>
  <c r="K278" i="31"/>
  <c r="BA73" i="31"/>
  <c r="BC73" i="31" s="1"/>
  <c r="CL73" i="31" s="1"/>
  <c r="BG100" i="31"/>
  <c r="BI100" i="31" s="1"/>
  <c r="CM100" i="31" s="1"/>
  <c r="K238" i="31"/>
  <c r="M238" i="31" s="1"/>
  <c r="CE238" i="31" s="1"/>
  <c r="AC244" i="31"/>
  <c r="AE244" i="31" s="1"/>
  <c r="CH244" i="31" s="1"/>
  <c r="BS72" i="31"/>
  <c r="BU72" i="31" s="1"/>
  <c r="CO72" i="31" s="1"/>
  <c r="BA252" i="31"/>
  <c r="BC252" i="31" s="1"/>
  <c r="CL252" i="31" s="1"/>
  <c r="BG206" i="31"/>
  <c r="BI206" i="31" s="1"/>
  <c r="CM206" i="31" s="1"/>
  <c r="AC8" i="31"/>
  <c r="AE8" i="31" s="1"/>
  <c r="CH8" i="31" s="1"/>
  <c r="J3" i="41" s="1"/>
  <c r="BG321" i="31"/>
  <c r="BI321" i="31" s="1"/>
  <c r="CM321" i="31" s="1"/>
  <c r="K46" i="31"/>
  <c r="M46" i="31" s="1"/>
  <c r="CE46" i="31" s="1"/>
  <c r="AO103" i="31"/>
  <c r="AQ103" i="31" s="1"/>
  <c r="CJ103" i="31" s="1"/>
  <c r="K150" i="31"/>
  <c r="M150" i="31" s="1"/>
  <c r="CE150" i="31" s="1"/>
  <c r="AO172" i="31"/>
  <c r="AQ172" i="31" s="1"/>
  <c r="CJ172" i="31" s="1"/>
  <c r="K111" i="31"/>
  <c r="M111" i="31" s="1"/>
  <c r="CE111" i="31" s="1"/>
  <c r="BS27" i="31"/>
  <c r="BU27" i="31" s="1"/>
  <c r="CO27" i="31" s="1"/>
  <c r="BG41" i="31"/>
  <c r="BI41" i="31" s="1"/>
  <c r="CM41" i="31" s="1"/>
  <c r="K328" i="31"/>
  <c r="M328" i="31" s="1"/>
  <c r="CE328" i="31" s="1"/>
  <c r="BS78" i="31"/>
  <c r="BU78" i="31" s="1"/>
  <c r="CO78" i="31" s="1"/>
  <c r="K31" i="31"/>
  <c r="M31" i="31" s="1"/>
  <c r="CE31" i="31" s="1"/>
  <c r="BS257" i="31"/>
  <c r="BU257" i="31" s="1"/>
  <c r="CO257" i="31" s="1"/>
  <c r="K352" i="31"/>
  <c r="M352" i="31" s="1"/>
  <c r="CE352" i="31" s="1"/>
  <c r="AC202" i="31"/>
  <c r="AE202" i="31" s="1"/>
  <c r="CH202" i="31" s="1"/>
  <c r="BG157" i="31"/>
  <c r="BI157" i="31" s="1"/>
  <c r="CM157" i="31" s="1"/>
  <c r="K216" i="31"/>
  <c r="M216" i="31" s="1"/>
  <c r="CE216" i="31" s="1"/>
  <c r="BS191" i="31"/>
  <c r="BU191" i="31" s="1"/>
  <c r="CO191" i="31" s="1"/>
  <c r="K11" i="31"/>
  <c r="M11" i="31" s="1"/>
  <c r="CE11" i="31" s="1"/>
  <c r="G6" i="41" s="1"/>
  <c r="BA288" i="31"/>
  <c r="BC288" i="31" s="1"/>
  <c r="CL288" i="31" s="1"/>
  <c r="BS240" i="31"/>
  <c r="BU240" i="31" s="1"/>
  <c r="CO240" i="31" s="1"/>
  <c r="K163" i="31"/>
  <c r="M163" i="31" s="1"/>
  <c r="CE163" i="31" s="1"/>
  <c r="AC174" i="31"/>
  <c r="AE174" i="31" s="1"/>
  <c r="CH174" i="31" s="1"/>
  <c r="K65" i="31"/>
  <c r="M65" i="31" s="1"/>
  <c r="CE65" i="31" s="1"/>
  <c r="AC335" i="31"/>
  <c r="AE335" i="31" s="1"/>
  <c r="CH335" i="31" s="1"/>
  <c r="BG199" i="31"/>
  <c r="BI199" i="31" s="1"/>
  <c r="CM199" i="31" s="1"/>
  <c r="K75" i="31"/>
  <c r="M75" i="31" s="1"/>
  <c r="CE75" i="31" s="1"/>
  <c r="AO212" i="31"/>
  <c r="AQ212" i="31" s="1"/>
  <c r="CJ212" i="31" s="1"/>
  <c r="K256" i="31"/>
  <c r="AC188" i="31"/>
  <c r="AE188" i="31" s="1"/>
  <c r="CH188" i="31" s="1"/>
  <c r="K333" i="31"/>
  <c r="M333" i="31" s="1"/>
  <c r="CE333" i="31" s="1"/>
  <c r="BS297" i="31"/>
  <c r="BU297" i="31" s="1"/>
  <c r="CO297" i="31" s="1"/>
  <c r="BS189" i="31"/>
  <c r="BU189" i="31" s="1"/>
  <c r="CO189" i="31" s="1"/>
  <c r="K58" i="31"/>
  <c r="M58" i="31" s="1"/>
  <c r="CE58" i="31" s="1"/>
  <c r="AO253" i="31"/>
  <c r="AQ253" i="31" s="1"/>
  <c r="CJ253" i="31" s="1"/>
  <c r="K249" i="31"/>
  <c r="M249" i="31" s="1"/>
  <c r="CE249" i="31" s="1"/>
  <c r="AC49" i="31"/>
  <c r="AE49" i="31" s="1"/>
  <c r="CH49" i="31" s="1"/>
  <c r="BA273" i="31"/>
  <c r="BC273" i="31" s="1"/>
  <c r="CL273" i="31" s="1"/>
  <c r="Q23" i="31"/>
  <c r="S23" i="31" s="1"/>
  <c r="CF23" i="31" s="1"/>
  <c r="AC190" i="31"/>
  <c r="AE190" i="31" s="1"/>
  <c r="CH190" i="31" s="1"/>
  <c r="K281" i="31"/>
  <c r="M281" i="31" s="1"/>
  <c r="CE281" i="31" s="1"/>
  <c r="BS250" i="31"/>
  <c r="BU250" i="31" s="1"/>
  <c r="CO250" i="31" s="1"/>
  <c r="BG102" i="31"/>
  <c r="BI102" i="31" s="1"/>
  <c r="CM102" i="31" s="1"/>
  <c r="K248" i="31"/>
  <c r="M248" i="31" s="1"/>
  <c r="CE248" i="31" s="1"/>
  <c r="BA245" i="31"/>
  <c r="BC245" i="31" s="1"/>
  <c r="CL245" i="31" s="1"/>
  <c r="BG108" i="31"/>
  <c r="BI108" i="31" s="1"/>
  <c r="CM108" i="31" s="1"/>
  <c r="K220" i="31"/>
  <c r="M220" i="31" s="1"/>
  <c r="CE220" i="31" s="1"/>
  <c r="BS171" i="31"/>
  <c r="BU171" i="31" s="1"/>
  <c r="CO171" i="31" s="1"/>
  <c r="K39" i="31"/>
  <c r="M39" i="31" s="1"/>
  <c r="CE39" i="31" s="1"/>
  <c r="AO350" i="31"/>
  <c r="AQ350" i="31" s="1"/>
  <c r="CJ350" i="31" s="1"/>
  <c r="K242" i="31"/>
  <c r="M242" i="31" s="1"/>
  <c r="CE242" i="31" s="1"/>
  <c r="BA151" i="31"/>
  <c r="BC151" i="31" s="1"/>
  <c r="CL151" i="31" s="1"/>
  <c r="BG57" i="31"/>
  <c r="BI57" i="31" s="1"/>
  <c r="CM57" i="31" s="1"/>
  <c r="K203" i="31"/>
  <c r="M203" i="31" s="1"/>
  <c r="CE203" i="31" s="1"/>
  <c r="BS137" i="31"/>
  <c r="BU137" i="31" s="1"/>
  <c r="CO137" i="31" s="1"/>
  <c r="BG269" i="31"/>
  <c r="BI269" i="31" s="1"/>
  <c r="CM269" i="31" s="1"/>
  <c r="K161" i="31"/>
  <c r="M161" i="31" s="1"/>
  <c r="CE161" i="31" s="1"/>
  <c r="BS167" i="31"/>
  <c r="BU167" i="31" s="1"/>
  <c r="CO167" i="31" s="1"/>
  <c r="K25" i="31"/>
  <c r="M25" i="31" s="1"/>
  <c r="CE25" i="31" s="1"/>
  <c r="AC302" i="31"/>
  <c r="AE302" i="31" s="1"/>
  <c r="CH302" i="31" s="1"/>
  <c r="K334" i="31"/>
  <c r="M334" i="31" s="1"/>
  <c r="CE334" i="31" s="1"/>
  <c r="BS53" i="31"/>
  <c r="BU53" i="31" s="1"/>
  <c r="CO53" i="31" s="1"/>
  <c r="BA64" i="31"/>
  <c r="BC64" i="31" s="1"/>
  <c r="CL64" i="31" s="1"/>
  <c r="BG192" i="31"/>
  <c r="BI192" i="31" s="1"/>
  <c r="CM192" i="31" s="1"/>
  <c r="BA67" i="31"/>
  <c r="BC67" i="31" s="1"/>
  <c r="CL67" i="31" s="1"/>
  <c r="BS277" i="31"/>
  <c r="BU277" i="31" s="1"/>
  <c r="CO277" i="31" s="1"/>
  <c r="K134" i="31"/>
  <c r="M134" i="31" s="1"/>
  <c r="CE134" i="31" s="1"/>
  <c r="AO214" i="31"/>
  <c r="AQ214" i="31" s="1"/>
  <c r="CJ214" i="31" s="1"/>
  <c r="K96" i="31"/>
  <c r="M96" i="31" s="1"/>
  <c r="CE96" i="31" s="1"/>
  <c r="BS236" i="31"/>
  <c r="BU236" i="31" s="1"/>
  <c r="CO236" i="31" s="1"/>
  <c r="K287" i="31"/>
  <c r="M287" i="31" s="1"/>
  <c r="CE287" i="31" s="1"/>
  <c r="AO183" i="31"/>
  <c r="AQ183" i="31" s="1"/>
  <c r="CJ183" i="31" s="1"/>
  <c r="BS193" i="31"/>
  <c r="BU193" i="31" s="1"/>
  <c r="CO193" i="31" s="1"/>
  <c r="K55" i="31"/>
  <c r="M55" i="31" s="1"/>
  <c r="CE55" i="31" s="1"/>
  <c r="BS159" i="31"/>
  <c r="BU159" i="31" s="1"/>
  <c r="CO159" i="31" s="1"/>
  <c r="BS276" i="31"/>
  <c r="BU276" i="31" s="1"/>
  <c r="CO276" i="31" s="1"/>
  <c r="W176" i="31"/>
  <c r="Y176" i="31" s="1"/>
  <c r="CG176" i="31" s="1"/>
  <c r="BA94" i="31"/>
  <c r="BC94" i="31" s="1"/>
  <c r="CL94" i="31" s="1"/>
  <c r="W349" i="31"/>
  <c r="Y349" i="31" s="1"/>
  <c r="CG349" i="31" s="1"/>
  <c r="AO158" i="31"/>
  <c r="AQ158" i="31" s="1"/>
  <c r="CJ158" i="31" s="1"/>
  <c r="W126" i="31"/>
  <c r="Y126" i="31" s="1"/>
  <c r="CG126" i="31" s="1"/>
  <c r="AO140" i="31"/>
  <c r="AQ140" i="31" s="1"/>
  <c r="CJ140" i="31" s="1"/>
  <c r="AC314" i="31"/>
  <c r="AE314" i="31" s="1"/>
  <c r="CH314" i="31" s="1"/>
  <c r="Q125" i="31"/>
  <c r="S125" i="31" s="1"/>
  <c r="CF125" i="31" s="1"/>
  <c r="AO342" i="31"/>
  <c r="AQ342" i="31" s="1"/>
  <c r="CJ342" i="31" s="1"/>
  <c r="W178" i="31"/>
  <c r="Y178" i="31" s="1"/>
  <c r="CG178" i="31" s="1"/>
  <c r="BQ354" i="31"/>
  <c r="BQ3" i="31"/>
  <c r="BS7" i="31"/>
  <c r="BU7" i="31" s="1"/>
  <c r="AT354" i="31"/>
  <c r="AT1" i="31"/>
  <c r="AT3" i="31"/>
  <c r="BA294" i="31"/>
  <c r="BC294" i="31" s="1"/>
  <c r="CL294" i="31" s="1"/>
  <c r="AO128" i="31"/>
  <c r="AQ128" i="31" s="1"/>
  <c r="CJ128" i="31" s="1"/>
  <c r="AC291" i="31"/>
  <c r="AE291" i="31" s="1"/>
  <c r="CH291" i="31" s="1"/>
  <c r="BA235" i="31"/>
  <c r="BC235" i="31" s="1"/>
  <c r="CL235" i="31" s="1"/>
  <c r="BS109" i="31"/>
  <c r="BU109" i="31" s="1"/>
  <c r="CO109" i="31" s="1"/>
  <c r="BA227" i="31"/>
  <c r="BC227" i="31" s="1"/>
  <c r="CL227" i="31" s="1"/>
  <c r="BA320" i="31"/>
  <c r="BC320" i="31" s="1"/>
  <c r="CL320" i="31" s="1"/>
  <c r="BA79" i="31"/>
  <c r="BC79" i="31" s="1"/>
  <c r="CL79" i="31" s="1"/>
  <c r="BG81" i="31"/>
  <c r="BI81" i="31" s="1"/>
  <c r="CM81" i="31" s="1"/>
  <c r="AO69" i="31"/>
  <c r="AQ69" i="31" s="1"/>
  <c r="CJ69" i="31" s="1"/>
  <c r="AC210" i="31"/>
  <c r="AE210" i="31" s="1"/>
  <c r="CH210" i="31" s="1"/>
  <c r="BG297" i="31"/>
  <c r="BI297" i="31" s="1"/>
  <c r="CM297" i="31" s="1"/>
  <c r="BS332" i="31"/>
  <c r="BU332" i="31" s="1"/>
  <c r="CO332" i="31" s="1"/>
  <c r="Q18" i="31"/>
  <c r="S18" i="31" s="1"/>
  <c r="CF18" i="31" s="1"/>
  <c r="BA213" i="31"/>
  <c r="BC213" i="31" s="1"/>
  <c r="CL213" i="31" s="1"/>
  <c r="BG337" i="31"/>
  <c r="BI337" i="31" s="1"/>
  <c r="CM337" i="31" s="1"/>
  <c r="Q323" i="31"/>
  <c r="S323" i="31" s="1"/>
  <c r="CF323" i="31" s="1"/>
  <c r="AC12" i="31"/>
  <c r="AE12" i="31" s="1"/>
  <c r="CH12" i="31" s="1"/>
  <c r="J7" i="41" s="1"/>
  <c r="Q63" i="31"/>
  <c r="S63" i="31" s="1"/>
  <c r="CF63" i="31" s="1"/>
  <c r="BS320" i="31"/>
  <c r="BU320" i="31" s="1"/>
  <c r="CO320" i="31" s="1"/>
  <c r="BG272" i="31"/>
  <c r="BI272" i="31" s="1"/>
  <c r="CM272" i="31" s="1"/>
  <c r="AO98" i="31"/>
  <c r="AQ98" i="31" s="1"/>
  <c r="CJ98" i="31" s="1"/>
  <c r="AO77" i="31"/>
  <c r="AQ77" i="31" s="1"/>
  <c r="CJ77" i="31" s="1"/>
  <c r="K90" i="31"/>
  <c r="M90" i="31" s="1"/>
  <c r="CE90" i="31" s="1"/>
  <c r="K182" i="31"/>
  <c r="AO21" i="31"/>
  <c r="AQ21" i="31" s="1"/>
  <c r="CJ21" i="31" s="1"/>
  <c r="AC233" i="31"/>
  <c r="AE233" i="31" s="1"/>
  <c r="CH233" i="31" s="1"/>
  <c r="K41" i="31"/>
  <c r="M41" i="31" s="1"/>
  <c r="CE41" i="31" s="1"/>
  <c r="BG257" i="31"/>
  <c r="BI257" i="31" s="1"/>
  <c r="CM257" i="31" s="1"/>
  <c r="K60" i="31"/>
  <c r="M60" i="31" s="1"/>
  <c r="CE60" i="31" s="1"/>
  <c r="AC306" i="31"/>
  <c r="AE306" i="31" s="1"/>
  <c r="CH306" i="31" s="1"/>
  <c r="K299" i="31"/>
  <c r="M299" i="31" s="1"/>
  <c r="CE299" i="31" s="1"/>
  <c r="BS273" i="31"/>
  <c r="BU273" i="31" s="1"/>
  <c r="CO273" i="31" s="1"/>
  <c r="AC40" i="31"/>
  <c r="AE40" i="31" s="1"/>
  <c r="CH40" i="31" s="1"/>
  <c r="BG151" i="31"/>
  <c r="BI151" i="31" s="1"/>
  <c r="CM151" i="31" s="1"/>
  <c r="BS38" i="31"/>
  <c r="BU38" i="31" s="1"/>
  <c r="CO38" i="31" s="1"/>
  <c r="BA135" i="31"/>
  <c r="BC135" i="31" s="1"/>
  <c r="CL135" i="31" s="1"/>
  <c r="K260" i="31"/>
  <c r="M260" i="31" s="1"/>
  <c r="CE260" i="31" s="1"/>
  <c r="K319" i="31"/>
  <c r="M319" i="31" s="1"/>
  <c r="CE319" i="31" s="1"/>
  <c r="W159" i="31"/>
  <c r="Y159" i="31" s="1"/>
  <c r="CG159" i="31" s="1"/>
  <c r="AO175" i="31"/>
  <c r="AQ175" i="31" s="1"/>
  <c r="CJ175" i="31" s="1"/>
  <c r="BA160" i="31"/>
  <c r="BC160" i="31" s="1"/>
  <c r="CL160" i="31" s="1"/>
  <c r="W314" i="31"/>
  <c r="Y314" i="31" s="1"/>
  <c r="CG314" i="31" s="1"/>
  <c r="BL1" i="31"/>
  <c r="BL354" i="31"/>
  <c r="BL3" i="31"/>
  <c r="AO197" i="31"/>
  <c r="AQ197" i="31" s="1"/>
  <c r="CJ197" i="31" s="1"/>
  <c r="BS85" i="31"/>
  <c r="BU85" i="31" s="1"/>
  <c r="CO85" i="31" s="1"/>
  <c r="AC237" i="31"/>
  <c r="AE237" i="31" s="1"/>
  <c r="CH237" i="31" s="1"/>
  <c r="AO184" i="31"/>
  <c r="AQ184" i="31" s="1"/>
  <c r="CJ184" i="31" s="1"/>
  <c r="AC56" i="31"/>
  <c r="AE56" i="31" s="1"/>
  <c r="CH56" i="31" s="1"/>
  <c r="W61" i="31"/>
  <c r="Y61" i="31" s="1"/>
  <c r="CG61" i="31" s="1"/>
  <c r="W275" i="31"/>
  <c r="Y275" i="31" s="1"/>
  <c r="CG275" i="31" s="1"/>
  <c r="K100" i="31"/>
  <c r="M100" i="31" s="1"/>
  <c r="CE100" i="31" s="1"/>
  <c r="AC186" i="31"/>
  <c r="AE186" i="31" s="1"/>
  <c r="CH186" i="31" s="1"/>
  <c r="AC344" i="31"/>
  <c r="AE344" i="31" s="1"/>
  <c r="CH344" i="31" s="1"/>
  <c r="BG240" i="31"/>
  <c r="BI240" i="31" s="1"/>
  <c r="CM240" i="31" s="1"/>
  <c r="K309" i="31"/>
  <c r="M309" i="31" s="1"/>
  <c r="CE309" i="31" s="1"/>
  <c r="BA40" i="31"/>
  <c r="BC40" i="31" s="1"/>
  <c r="CL40" i="31" s="1"/>
  <c r="K104" i="31"/>
  <c r="M104" i="31" s="1"/>
  <c r="CE104" i="31" s="1"/>
  <c r="AC38" i="31"/>
  <c r="AE38" i="31" s="1"/>
  <c r="CH38" i="31" s="1"/>
  <c r="Q91" i="31"/>
  <c r="S91" i="31" s="1"/>
  <c r="CF91" i="31" s="1"/>
  <c r="BG53" i="31"/>
  <c r="BI53" i="31" s="1"/>
  <c r="CM53" i="31" s="1"/>
  <c r="K192" i="31"/>
  <c r="M192" i="31" s="1"/>
  <c r="CE192" i="31" s="1"/>
  <c r="R272" i="41"/>
  <c r="AC279" i="31"/>
  <c r="AE279" i="31" s="1"/>
  <c r="CH279" i="31" s="1"/>
  <c r="AC336" i="31"/>
  <c r="AE336" i="31" s="1"/>
  <c r="CH336" i="31" s="1"/>
  <c r="BA175" i="31"/>
  <c r="BC175" i="31" s="1"/>
  <c r="CL175" i="31" s="1"/>
  <c r="Q346" i="31"/>
  <c r="S346" i="31" s="1"/>
  <c r="CF346" i="31" s="1"/>
  <c r="Q45" i="31"/>
  <c r="S45" i="31" s="1"/>
  <c r="CF45" i="31" s="1"/>
  <c r="AC162" i="31"/>
  <c r="AE162" i="31" s="1"/>
  <c r="CH162" i="31" s="1"/>
  <c r="AC317" i="31"/>
  <c r="AE317" i="31" s="1"/>
  <c r="CH317" i="31" s="1"/>
  <c r="Q42" i="31"/>
  <c r="S42" i="31" s="1"/>
  <c r="CF42" i="31" s="1"/>
  <c r="Q92" i="31"/>
  <c r="S92" i="31" s="1"/>
  <c r="CF92" i="31" s="1"/>
  <c r="BA56" i="31"/>
  <c r="BC56" i="31" s="1"/>
  <c r="CL56" i="31" s="1"/>
  <c r="AC61" i="31"/>
  <c r="AE61" i="31" s="1"/>
  <c r="CH61" i="31" s="1"/>
  <c r="Q20" i="31"/>
  <c r="S20" i="31" s="1"/>
  <c r="CF20" i="31" s="1"/>
  <c r="AC263" i="31"/>
  <c r="AE263" i="31" s="1"/>
  <c r="CH263" i="31" s="1"/>
  <c r="BA173" i="31"/>
  <c r="BC173" i="31" s="1"/>
  <c r="CL173" i="31" s="1"/>
  <c r="BS272" i="31"/>
  <c r="BU272" i="31" s="1"/>
  <c r="CO272" i="31" s="1"/>
  <c r="BG204" i="31"/>
  <c r="BI204" i="31" s="1"/>
  <c r="CM204" i="31" s="1"/>
  <c r="Q184" i="31"/>
  <c r="S184" i="31" s="1"/>
  <c r="CF184" i="31" s="1"/>
  <c r="BA45" i="31"/>
  <c r="BC45" i="31" s="1"/>
  <c r="CL45" i="31" s="1"/>
  <c r="K116" i="31"/>
  <c r="AC337" i="31"/>
  <c r="AE337" i="31" s="1"/>
  <c r="CH337" i="31" s="1"/>
  <c r="BA317" i="31"/>
  <c r="BC317" i="31" s="1"/>
  <c r="CL317" i="31" s="1"/>
  <c r="BG80" i="31"/>
  <c r="BI80" i="31" s="1"/>
  <c r="CM80" i="31" s="1"/>
  <c r="AC42" i="31"/>
  <c r="AE42" i="31" s="1"/>
  <c r="CH42" i="31" s="1"/>
  <c r="AC92" i="31"/>
  <c r="AE92" i="31" s="1"/>
  <c r="CH92" i="31" s="1"/>
  <c r="BG285" i="31"/>
  <c r="BI285" i="31" s="1"/>
  <c r="CM285" i="31" s="1"/>
  <c r="Q149" i="31"/>
  <c r="S149" i="31" s="1"/>
  <c r="CF149" i="31" s="1"/>
  <c r="Q61" i="31"/>
  <c r="S61" i="31" s="1"/>
  <c r="CF61" i="31" s="1"/>
  <c r="K310" i="31"/>
  <c r="M310" i="31" s="1"/>
  <c r="CE310" i="31" s="1"/>
  <c r="BS20" i="31"/>
  <c r="BU20" i="31" s="1"/>
  <c r="CO20" i="31" s="1"/>
  <c r="K144" i="31"/>
  <c r="AO263" i="31"/>
  <c r="AQ263" i="31" s="1"/>
  <c r="CJ263" i="31" s="1"/>
  <c r="Q173" i="31"/>
  <c r="S173" i="31" s="1"/>
  <c r="CF173" i="31" s="1"/>
  <c r="BA272" i="31"/>
  <c r="BC272" i="31" s="1"/>
  <c r="CL272" i="31" s="1"/>
  <c r="AC282" i="31"/>
  <c r="AE282" i="31" s="1"/>
  <c r="CH282" i="31" s="1"/>
  <c r="AC326" i="31"/>
  <c r="AE326" i="31" s="1"/>
  <c r="CH326" i="31" s="1"/>
  <c r="K9" i="31"/>
  <c r="M9" i="31" s="1"/>
  <c r="CE9" i="31" s="1"/>
  <c r="G4" i="41" s="1"/>
  <c r="Q275" i="31"/>
  <c r="S275" i="31" s="1"/>
  <c r="CF275" i="31" s="1"/>
  <c r="BA81" i="31"/>
  <c r="BC81" i="31" s="1"/>
  <c r="CL81" i="31" s="1"/>
  <c r="AO131" i="31"/>
  <c r="AQ131" i="31" s="1"/>
  <c r="CJ131" i="31" s="1"/>
  <c r="K22" i="31"/>
  <c r="M22" i="31" s="1"/>
  <c r="CE22" i="31" s="1"/>
  <c r="AC330" i="31"/>
  <c r="AE330" i="31" s="1"/>
  <c r="CH330" i="31" s="1"/>
  <c r="K218" i="31"/>
  <c r="M218" i="31" s="1"/>
  <c r="CE218" i="31" s="1"/>
  <c r="Q221" i="31"/>
  <c r="S221" i="31" s="1"/>
  <c r="CF221" i="31" s="1"/>
  <c r="BG313" i="31"/>
  <c r="BI313" i="31" s="1"/>
  <c r="CM313" i="31" s="1"/>
  <c r="K26" i="31"/>
  <c r="M26" i="31" s="1"/>
  <c r="CE26" i="31" s="1"/>
  <c r="AO296" i="31"/>
  <c r="AQ296" i="31" s="1"/>
  <c r="CJ296" i="31" s="1"/>
  <c r="AO154" i="31"/>
  <c r="AQ154" i="31" s="1"/>
  <c r="CJ154" i="31" s="1"/>
  <c r="AO110" i="31"/>
  <c r="AQ110" i="31" s="1"/>
  <c r="CJ110" i="31" s="1"/>
  <c r="Q73" i="31"/>
  <c r="S73" i="31" s="1"/>
  <c r="CF73" i="31" s="1"/>
  <c r="AC72" i="31"/>
  <c r="AE72" i="31" s="1"/>
  <c r="CH72" i="31" s="1"/>
  <c r="K274" i="31"/>
  <c r="M274" i="31" s="1"/>
  <c r="CE274" i="31" s="1"/>
  <c r="BS252" i="31"/>
  <c r="BU252" i="31" s="1"/>
  <c r="CO252" i="31" s="1"/>
  <c r="AO8" i="31"/>
  <c r="AQ8" i="31" s="1"/>
  <c r="CJ8" i="31" s="1"/>
  <c r="L3" i="41" s="1"/>
  <c r="W321" i="31"/>
  <c r="Y321" i="31" s="1"/>
  <c r="CG321" i="31" s="1"/>
  <c r="AC103" i="31"/>
  <c r="AE103" i="31" s="1"/>
  <c r="CH103" i="31" s="1"/>
  <c r="AC228" i="31"/>
  <c r="AE228" i="31" s="1"/>
  <c r="CH228" i="31" s="1"/>
  <c r="BS172" i="31"/>
  <c r="BU172" i="31" s="1"/>
  <c r="CO172" i="31" s="1"/>
  <c r="BA27" i="31"/>
  <c r="BC27" i="31" s="1"/>
  <c r="CL27" i="31" s="1"/>
  <c r="W41" i="31"/>
  <c r="Y41" i="31" s="1"/>
  <c r="CG41" i="31" s="1"/>
  <c r="Q78" i="31"/>
  <c r="S78" i="31" s="1"/>
  <c r="CF78" i="31" s="1"/>
  <c r="BA257" i="31"/>
  <c r="BC257" i="31" s="1"/>
  <c r="CL257" i="31" s="1"/>
  <c r="BA202" i="31"/>
  <c r="BC202" i="31" s="1"/>
  <c r="CL202" i="31" s="1"/>
  <c r="AC191" i="31"/>
  <c r="AE191" i="31" s="1"/>
  <c r="CH191" i="31" s="1"/>
  <c r="AC240" i="31"/>
  <c r="AE240" i="31" s="1"/>
  <c r="CH240" i="31" s="1"/>
  <c r="BS174" i="31"/>
  <c r="BU174" i="31" s="1"/>
  <c r="CO174" i="31" s="1"/>
  <c r="BS335" i="31"/>
  <c r="BU335" i="31" s="1"/>
  <c r="CO335" i="31" s="1"/>
  <c r="BA212" i="31"/>
  <c r="BC212" i="31" s="1"/>
  <c r="CL212" i="31" s="1"/>
  <c r="BG148" i="31"/>
  <c r="BI148" i="31" s="1"/>
  <c r="CM148" i="31" s="1"/>
  <c r="Q188" i="31"/>
  <c r="S188" i="31" s="1"/>
  <c r="CF188" i="31" s="1"/>
  <c r="BG105" i="31"/>
  <c r="BI105" i="31" s="1"/>
  <c r="CM105" i="31" s="1"/>
  <c r="AO297" i="31"/>
  <c r="AQ297" i="31" s="1"/>
  <c r="CJ297" i="31" s="1"/>
  <c r="K265" i="31"/>
  <c r="M265" i="31" s="1"/>
  <c r="CE265" i="31" s="1"/>
  <c r="Q189" i="31"/>
  <c r="S189" i="31" s="1"/>
  <c r="CF189" i="31" s="1"/>
  <c r="BG299" i="31"/>
  <c r="BI299" i="31" s="1"/>
  <c r="CM299" i="31" s="1"/>
  <c r="BA253" i="31"/>
  <c r="BC253" i="31" s="1"/>
  <c r="CL253" i="31" s="1"/>
  <c r="BG339" i="31"/>
  <c r="BI339" i="31" s="1"/>
  <c r="CM339" i="31" s="1"/>
  <c r="BS49" i="31"/>
  <c r="BU49" i="31" s="1"/>
  <c r="CO49" i="31" s="1"/>
  <c r="K66" i="31"/>
  <c r="M66" i="31" s="1"/>
  <c r="CE66" i="31" s="1"/>
  <c r="AC23" i="31"/>
  <c r="AE23" i="31" s="1"/>
  <c r="CH23" i="31" s="1"/>
  <c r="K261" i="31"/>
  <c r="M261" i="31" s="1"/>
  <c r="CE261" i="31" s="1"/>
  <c r="BA190" i="31"/>
  <c r="BC190" i="31" s="1"/>
  <c r="CL190" i="31" s="1"/>
  <c r="AC250" i="31"/>
  <c r="AE250" i="31" s="1"/>
  <c r="CH250" i="31" s="1"/>
  <c r="W102" i="31"/>
  <c r="Y102" i="31" s="1"/>
  <c r="CG102" i="31" s="1"/>
  <c r="Q245" i="31"/>
  <c r="S245" i="31" s="1"/>
  <c r="CF245" i="31" s="1"/>
  <c r="AC171" i="31"/>
  <c r="AE171" i="31" s="1"/>
  <c r="CH171" i="31" s="1"/>
  <c r="BS350" i="31"/>
  <c r="BU350" i="31" s="1"/>
  <c r="CO350" i="31" s="1"/>
  <c r="AO151" i="31"/>
  <c r="AQ151" i="31" s="1"/>
  <c r="CJ151" i="31" s="1"/>
  <c r="BG203" i="31"/>
  <c r="BI203" i="31" s="1"/>
  <c r="CM203" i="31" s="1"/>
  <c r="AC137" i="31"/>
  <c r="AE137" i="31" s="1"/>
  <c r="CH137" i="31" s="1"/>
  <c r="AO167" i="31"/>
  <c r="AQ167" i="31" s="1"/>
  <c r="CJ167" i="31" s="1"/>
  <c r="BG104" i="31"/>
  <c r="BI104" i="31" s="1"/>
  <c r="CM104" i="31" s="1"/>
  <c r="AO302" i="31"/>
  <c r="AQ302" i="31" s="1"/>
  <c r="CJ302" i="31" s="1"/>
  <c r="AC53" i="31"/>
  <c r="AE53" i="31" s="1"/>
  <c r="CH53" i="31" s="1"/>
  <c r="K255" i="31"/>
  <c r="M255" i="31" s="1"/>
  <c r="CE255" i="31" s="1"/>
  <c r="BS64" i="31"/>
  <c r="BU64" i="31" s="1"/>
  <c r="CO64" i="31" s="1"/>
  <c r="K120" i="31"/>
  <c r="M120" i="31" s="1"/>
  <c r="CE120" i="31" s="1"/>
  <c r="AO67" i="31"/>
  <c r="AQ67" i="31" s="1"/>
  <c r="CJ67" i="31" s="1"/>
  <c r="BI277" i="31"/>
  <c r="CM277" i="31" s="1"/>
  <c r="AO279" i="31"/>
  <c r="AQ279" i="31" s="1"/>
  <c r="CJ279" i="31" s="1"/>
  <c r="BS214" i="31"/>
  <c r="BU214" i="31" s="1"/>
  <c r="CO214" i="31" s="1"/>
  <c r="BA236" i="31"/>
  <c r="BC236" i="31" s="1"/>
  <c r="CL236" i="31" s="1"/>
  <c r="BA193" i="31"/>
  <c r="BC193" i="31" s="1"/>
  <c r="CL193" i="31" s="1"/>
  <c r="AO159" i="31"/>
  <c r="AQ159" i="31" s="1"/>
  <c r="CJ159" i="31" s="1"/>
  <c r="W217" i="31"/>
  <c r="Y217" i="31" s="1"/>
  <c r="CG217" i="31" s="1"/>
  <c r="AO276" i="31"/>
  <c r="AQ276" i="31" s="1"/>
  <c r="CJ276" i="31" s="1"/>
  <c r="AC176" i="31"/>
  <c r="AE176" i="31" s="1"/>
  <c r="CH176" i="31" s="1"/>
  <c r="Q94" i="31"/>
  <c r="S94" i="31" s="1"/>
  <c r="CF94" i="31" s="1"/>
  <c r="Q349" i="31"/>
  <c r="S349" i="31" s="1"/>
  <c r="CF349" i="31" s="1"/>
  <c r="BS158" i="31"/>
  <c r="BU158" i="31" s="1"/>
  <c r="CO158" i="31" s="1"/>
  <c r="BS126" i="31"/>
  <c r="BU126" i="31" s="1"/>
  <c r="CO126" i="31" s="1"/>
  <c r="BG139" i="31"/>
  <c r="BI139" i="31" s="1"/>
  <c r="CM139" i="31" s="1"/>
  <c r="AC140" i="31"/>
  <c r="AE140" i="31" s="1"/>
  <c r="CH140" i="31" s="1"/>
  <c r="Q89" i="31"/>
  <c r="S89" i="31" s="1"/>
  <c r="CF89" i="31" s="1"/>
  <c r="W74" i="31"/>
  <c r="Y74" i="31" s="1"/>
  <c r="CG74" i="31" s="1"/>
  <c r="BA314" i="31"/>
  <c r="BC314" i="31" s="1"/>
  <c r="CL314" i="31" s="1"/>
  <c r="W125" i="31"/>
  <c r="Y125" i="31" s="1"/>
  <c r="CG125" i="31" s="1"/>
  <c r="Q342" i="31"/>
  <c r="S342" i="31" s="1"/>
  <c r="CF342" i="31" s="1"/>
  <c r="BA178" i="31"/>
  <c r="BC178" i="31" s="1"/>
  <c r="CL178" i="31" s="1"/>
  <c r="AA354" i="31"/>
  <c r="AA3" i="31"/>
  <c r="AC7" i="31"/>
  <c r="AE7" i="31" s="1"/>
  <c r="AN354" i="31"/>
  <c r="AN3" i="31"/>
  <c r="AN1" i="31"/>
  <c r="AO294" i="31"/>
  <c r="AQ294" i="31" s="1"/>
  <c r="CJ294" i="31" s="1"/>
  <c r="W196" i="31"/>
  <c r="Y196" i="31" s="1"/>
  <c r="CG196" i="31" s="1"/>
  <c r="BS128" i="31"/>
  <c r="BU128" i="31" s="1"/>
  <c r="CO128" i="31" s="1"/>
  <c r="W30" i="31"/>
  <c r="Y30" i="31" s="1"/>
  <c r="CG30" i="31" s="1"/>
  <c r="BS291" i="31"/>
  <c r="BU291" i="31" s="1"/>
  <c r="CO291" i="31" s="1"/>
  <c r="W166" i="31"/>
  <c r="Y166" i="31" s="1"/>
  <c r="CG166" i="31" s="1"/>
  <c r="BS235" i="31"/>
  <c r="BU235" i="31" s="1"/>
  <c r="CO235" i="31" s="1"/>
  <c r="W266" i="31"/>
  <c r="Y266" i="31" s="1"/>
  <c r="CG266" i="31" s="1"/>
  <c r="AC109" i="31"/>
  <c r="AE109" i="31" s="1"/>
  <c r="CH109" i="31" s="1"/>
  <c r="W292" i="31"/>
  <c r="Y292" i="31" s="1"/>
  <c r="CG292" i="31" s="1"/>
  <c r="BG283" i="31"/>
  <c r="BI283" i="31" s="1"/>
  <c r="CM283" i="31" s="1"/>
  <c r="Q227" i="31"/>
  <c r="S227" i="31" s="1"/>
  <c r="CF227" i="31" s="1"/>
  <c r="BG20" i="31"/>
  <c r="BI20" i="31" s="1"/>
  <c r="CM20" i="31" s="1"/>
  <c r="BA51" i="31"/>
  <c r="BC51" i="31" s="1"/>
  <c r="CL51" i="31" s="1"/>
  <c r="AO351" i="31"/>
  <c r="AQ351" i="31" s="1"/>
  <c r="CJ351" i="31" s="1"/>
  <c r="BG137" i="31"/>
  <c r="BI137" i="31" s="1"/>
  <c r="CM137" i="31" s="1"/>
  <c r="AC160" i="31"/>
  <c r="AE160" i="31" s="1"/>
  <c r="CH160" i="31" s="1"/>
  <c r="AH354" i="31"/>
  <c r="AH3" i="31"/>
  <c r="AH1" i="31"/>
  <c r="Q85" i="31"/>
  <c r="S85" i="31" s="1"/>
  <c r="CF85" i="31" s="1"/>
  <c r="BG317" i="31"/>
  <c r="BI317" i="31" s="1"/>
  <c r="CM317" i="31" s="1"/>
  <c r="K124" i="31"/>
  <c r="Q10" i="31"/>
  <c r="S10" i="31" s="1"/>
  <c r="CF10" i="31" s="1"/>
  <c r="H5" i="41" s="1"/>
  <c r="AC131" i="31"/>
  <c r="AE131" i="31" s="1"/>
  <c r="CH131" i="31" s="1"/>
  <c r="W165" i="31"/>
  <c r="Y165" i="31" s="1"/>
  <c r="CG165" i="31" s="1"/>
  <c r="BA221" i="31"/>
  <c r="BC221" i="31" s="1"/>
  <c r="CL221" i="31" s="1"/>
  <c r="W313" i="31"/>
  <c r="Y313" i="31" s="1"/>
  <c r="CG313" i="31" s="1"/>
  <c r="Q296" i="31"/>
  <c r="S296" i="31" s="1"/>
  <c r="CF296" i="31" s="1"/>
  <c r="BA110" i="31"/>
  <c r="BC110" i="31" s="1"/>
  <c r="CL110" i="31" s="1"/>
  <c r="Q182" i="31"/>
  <c r="S182" i="31" s="1"/>
  <c r="CF182" i="31" s="1"/>
  <c r="AO73" i="31"/>
  <c r="AQ73" i="31" s="1"/>
  <c r="CJ73" i="31" s="1"/>
  <c r="W100" i="31"/>
  <c r="Y100" i="31" s="1"/>
  <c r="CG100" i="31" s="1"/>
  <c r="AO72" i="31"/>
  <c r="AQ72" i="31" s="1"/>
  <c r="CJ72" i="31" s="1"/>
  <c r="W215" i="31"/>
  <c r="Y215" i="31" s="1"/>
  <c r="CG215" i="31" s="1"/>
  <c r="AC252" i="31"/>
  <c r="AE252" i="31" s="1"/>
  <c r="CH252" i="31" s="1"/>
  <c r="W206" i="31"/>
  <c r="Y206" i="31" s="1"/>
  <c r="CG206" i="31" s="1"/>
  <c r="K83" i="31"/>
  <c r="M83" i="31" s="1"/>
  <c r="CE83" i="31" s="1"/>
  <c r="BA8" i="31"/>
  <c r="BC8" i="31" s="1"/>
  <c r="CL8" i="31" s="1"/>
  <c r="N3" i="41" s="1"/>
  <c r="BG46" i="31"/>
  <c r="BI46" i="31" s="1"/>
  <c r="CM46" i="31" s="1"/>
  <c r="BS103" i="31"/>
  <c r="BU103" i="31" s="1"/>
  <c r="CO103" i="31" s="1"/>
  <c r="W331" i="31"/>
  <c r="Y331" i="31" s="1"/>
  <c r="CG331" i="31" s="1"/>
  <c r="AC172" i="31"/>
  <c r="AE172" i="31" s="1"/>
  <c r="CH172" i="31" s="1"/>
  <c r="W43" i="31"/>
  <c r="Y43" i="31" s="1"/>
  <c r="CG43" i="31" s="1"/>
  <c r="AO27" i="31"/>
  <c r="AQ27" i="31" s="1"/>
  <c r="CJ27" i="31" s="1"/>
  <c r="AC78" i="31"/>
  <c r="AE78" i="31" s="1"/>
  <c r="CH78" i="31" s="1"/>
  <c r="AO107" i="31"/>
  <c r="AQ107" i="31" s="1"/>
  <c r="CJ107" i="31" s="1"/>
  <c r="BG31" i="31"/>
  <c r="BI31" i="31" s="1"/>
  <c r="CM31" i="31" s="1"/>
  <c r="AC257" i="31"/>
  <c r="AE257" i="31" s="1"/>
  <c r="CH257" i="31" s="1"/>
  <c r="W246" i="31"/>
  <c r="Y246" i="31" s="1"/>
  <c r="CG246" i="31" s="1"/>
  <c r="AO202" i="31"/>
  <c r="AQ202" i="31" s="1"/>
  <c r="CJ202" i="31" s="1"/>
  <c r="W157" i="31"/>
  <c r="Y157" i="31" s="1"/>
  <c r="CG157" i="31" s="1"/>
  <c r="AO191" i="31"/>
  <c r="AQ191" i="31" s="1"/>
  <c r="CJ191" i="31" s="1"/>
  <c r="W60" i="31"/>
  <c r="Y60" i="31" s="1"/>
  <c r="CG60" i="31" s="1"/>
  <c r="BA240" i="31"/>
  <c r="BC240" i="31" s="1"/>
  <c r="CL240" i="31" s="1"/>
  <c r="W267" i="31"/>
  <c r="Y267" i="31" s="1"/>
  <c r="CG267" i="31" s="1"/>
  <c r="BA174" i="31"/>
  <c r="BC174" i="31" s="1"/>
  <c r="CL174" i="31" s="1"/>
  <c r="W99" i="31"/>
  <c r="Y99" i="31" s="1"/>
  <c r="CG99" i="31" s="1"/>
  <c r="BA335" i="31"/>
  <c r="BC335" i="31" s="1"/>
  <c r="CL335" i="31" s="1"/>
  <c r="W199" i="31"/>
  <c r="Y199" i="31" s="1"/>
  <c r="CG199" i="31" s="1"/>
  <c r="AC212" i="31"/>
  <c r="AE212" i="31" s="1"/>
  <c r="CH212" i="31" s="1"/>
  <c r="W148" i="31"/>
  <c r="Y148" i="31" s="1"/>
  <c r="CG148" i="31" s="1"/>
  <c r="BS188" i="31"/>
  <c r="BU188" i="31" s="1"/>
  <c r="CO188" i="31" s="1"/>
  <c r="W105" i="31"/>
  <c r="Y105" i="31" s="1"/>
  <c r="CG105" i="31" s="1"/>
  <c r="BA297" i="31"/>
  <c r="BC297" i="31" s="1"/>
  <c r="CL297" i="31" s="1"/>
  <c r="W114" i="31"/>
  <c r="Y114" i="31" s="1"/>
  <c r="CG114" i="31" s="1"/>
  <c r="AO189" i="31"/>
  <c r="AQ189" i="31" s="1"/>
  <c r="CJ189" i="31" s="1"/>
  <c r="W299" i="31"/>
  <c r="Y299" i="31" s="1"/>
  <c r="CG299" i="31" s="1"/>
  <c r="BS253" i="31"/>
  <c r="BU253" i="31" s="1"/>
  <c r="CO253" i="31" s="1"/>
  <c r="W339" i="31"/>
  <c r="Y339" i="31" s="1"/>
  <c r="CG339" i="31" s="1"/>
  <c r="BA49" i="31"/>
  <c r="BC49" i="31" s="1"/>
  <c r="CL49" i="31" s="1"/>
  <c r="W224" i="31"/>
  <c r="Y224" i="31" s="1"/>
  <c r="CG224" i="31" s="1"/>
  <c r="BS23" i="31"/>
  <c r="BU23" i="31" s="1"/>
  <c r="CO23" i="31" s="1"/>
  <c r="W222" i="31"/>
  <c r="Y222" i="31" s="1"/>
  <c r="CG222" i="31" s="1"/>
  <c r="BS190" i="31"/>
  <c r="BU190" i="31" s="1"/>
  <c r="CO190" i="31" s="1"/>
  <c r="W309" i="31"/>
  <c r="Y309" i="31" s="1"/>
  <c r="CG309" i="31" s="1"/>
  <c r="BA250" i="31"/>
  <c r="BC250" i="31" s="1"/>
  <c r="CL250" i="31" s="1"/>
  <c r="BS245" i="31"/>
  <c r="BU245" i="31" s="1"/>
  <c r="CO245" i="31" s="1"/>
  <c r="W108" i="31"/>
  <c r="Y108" i="31" s="1"/>
  <c r="CG108" i="31" s="1"/>
  <c r="AO171" i="31"/>
  <c r="AQ171" i="31" s="1"/>
  <c r="CJ171" i="31" s="1"/>
  <c r="W68" i="31"/>
  <c r="Y68" i="31" s="1"/>
  <c r="CG68" i="31" s="1"/>
  <c r="W226" i="31"/>
  <c r="Y226" i="31" s="1"/>
  <c r="CG226" i="31" s="1"/>
  <c r="BG242" i="31"/>
  <c r="BI242" i="31" s="1"/>
  <c r="CM242" i="31" s="1"/>
  <c r="AC151" i="31"/>
  <c r="AE151" i="31" s="1"/>
  <c r="CH151" i="31" s="1"/>
  <c r="W57" i="31"/>
  <c r="Y57" i="31" s="1"/>
  <c r="CG57" i="31" s="1"/>
  <c r="AO137" i="31"/>
  <c r="AQ137" i="31" s="1"/>
  <c r="CJ137" i="31" s="1"/>
  <c r="W269" i="31"/>
  <c r="Y269" i="31" s="1"/>
  <c r="CG269" i="31" s="1"/>
  <c r="BG161" i="31"/>
  <c r="BI161" i="31" s="1"/>
  <c r="CM161" i="31" s="1"/>
  <c r="AC167" i="31"/>
  <c r="AE167" i="31" s="1"/>
  <c r="CH167" i="31" s="1"/>
  <c r="W104" i="31"/>
  <c r="Y104" i="31" s="1"/>
  <c r="CG104" i="31" s="1"/>
  <c r="BS302" i="31"/>
  <c r="BU302" i="31" s="1"/>
  <c r="CO302" i="31" s="1"/>
  <c r="W54" i="31"/>
  <c r="Y54" i="31" s="1"/>
  <c r="CG54" i="31" s="1"/>
  <c r="AO53" i="31"/>
  <c r="AQ53" i="31" s="1"/>
  <c r="CJ53" i="31" s="1"/>
  <c r="W143" i="31"/>
  <c r="Y143" i="31" s="1"/>
  <c r="CG143" i="31" s="1"/>
  <c r="AC64" i="31"/>
  <c r="AE64" i="31" s="1"/>
  <c r="CH64" i="31" s="1"/>
  <c r="W192" i="31"/>
  <c r="Y192" i="31" s="1"/>
  <c r="CG192" i="31" s="1"/>
  <c r="AC67" i="31"/>
  <c r="AE67" i="31" s="1"/>
  <c r="CH67" i="31" s="1"/>
  <c r="AO277" i="31"/>
  <c r="AQ277" i="31" s="1"/>
  <c r="CJ277" i="31" s="1"/>
  <c r="Q214" i="31"/>
  <c r="S214" i="31" s="1"/>
  <c r="CF214" i="31" s="1"/>
  <c r="W260" i="31"/>
  <c r="Y260" i="31" s="1"/>
  <c r="CG260" i="31" s="1"/>
  <c r="AC236" i="31"/>
  <c r="AE236" i="31" s="1"/>
  <c r="CH236" i="31" s="1"/>
  <c r="W71" i="31"/>
  <c r="Y71" i="31" s="1"/>
  <c r="CG71" i="31" s="1"/>
  <c r="BG287" i="31"/>
  <c r="BI287" i="31" s="1"/>
  <c r="CM287" i="31" s="1"/>
  <c r="Q193" i="31"/>
  <c r="S193" i="31" s="1"/>
  <c r="CF193" i="31" s="1"/>
  <c r="W319" i="31"/>
  <c r="Y319" i="31" s="1"/>
  <c r="CG319" i="31" s="1"/>
  <c r="AC159" i="31"/>
  <c r="AE159" i="31" s="1"/>
  <c r="CH159" i="31" s="1"/>
  <c r="K322" i="31"/>
  <c r="BA176" i="31"/>
  <c r="BC176" i="31" s="1"/>
  <c r="CL176" i="31" s="1"/>
  <c r="BG198" i="31"/>
  <c r="BI198" i="31" s="1"/>
  <c r="CM198" i="31" s="1"/>
  <c r="K123" i="31"/>
  <c r="M123" i="31" s="1"/>
  <c r="CE123" i="31" s="1"/>
  <c r="AO349" i="31"/>
  <c r="AQ349" i="31" s="1"/>
  <c r="CJ349" i="31" s="1"/>
  <c r="AO126" i="31"/>
  <c r="AQ126" i="31" s="1"/>
  <c r="CJ126" i="31" s="1"/>
  <c r="K86" i="31"/>
  <c r="M86" i="31" s="1"/>
  <c r="CE86" i="31" s="1"/>
  <c r="AO89" i="31"/>
  <c r="AQ89" i="31" s="1"/>
  <c r="CJ89" i="31" s="1"/>
  <c r="BG74" i="31"/>
  <c r="BI74" i="31" s="1"/>
  <c r="CM74" i="31" s="1"/>
  <c r="K17" i="31"/>
  <c r="M17" i="31" s="1"/>
  <c r="CE17" i="31" s="1"/>
  <c r="BA125" i="31"/>
  <c r="BC125" i="31" s="1"/>
  <c r="CL125" i="31" s="1"/>
  <c r="K308" i="31"/>
  <c r="M308" i="31" s="1"/>
  <c r="CE308" i="31" s="1"/>
  <c r="AO178" i="31"/>
  <c r="AQ178" i="31" s="1"/>
  <c r="CJ178" i="31" s="1"/>
  <c r="U354" i="31"/>
  <c r="W7" i="31"/>
  <c r="Y7" i="31" s="1"/>
  <c r="U3" i="31"/>
  <c r="AC294" i="31"/>
  <c r="AE294" i="31" s="1"/>
  <c r="CH294" i="31" s="1"/>
  <c r="BA196" i="31"/>
  <c r="BC196" i="31" s="1"/>
  <c r="CL196" i="31" s="1"/>
  <c r="BG258" i="31"/>
  <c r="BI258" i="31" s="1"/>
  <c r="CM258" i="31" s="1"/>
  <c r="BA128" i="31"/>
  <c r="BC128" i="31" s="1"/>
  <c r="CL128" i="31" s="1"/>
  <c r="AC30" i="31"/>
  <c r="AE30" i="31" s="1"/>
  <c r="CH30" i="31" s="1"/>
  <c r="BA291" i="31"/>
  <c r="BC291" i="31" s="1"/>
  <c r="CL291" i="31" s="1"/>
  <c r="AC166" i="31"/>
  <c r="AE166" i="31" s="1"/>
  <c r="CH166" i="31" s="1"/>
  <c r="BG251" i="31"/>
  <c r="BI251" i="31" s="1"/>
  <c r="CM251" i="31" s="1"/>
  <c r="Q235" i="31"/>
  <c r="S235" i="31" s="1"/>
  <c r="CF235" i="31" s="1"/>
  <c r="Q266" i="31"/>
  <c r="S266" i="31" s="1"/>
  <c r="CF266" i="31" s="1"/>
  <c r="Q109" i="31"/>
  <c r="S109" i="31" s="1"/>
  <c r="CF109" i="31" s="1"/>
  <c r="AO292" i="31"/>
  <c r="AQ292" i="31" s="1"/>
  <c r="CJ292" i="31" s="1"/>
  <c r="AO227" i="31"/>
  <c r="AQ227" i="31" s="1"/>
  <c r="CJ227" i="31" s="1"/>
  <c r="AO45" i="31"/>
  <c r="AQ45" i="31" s="1"/>
  <c r="CJ45" i="31" s="1"/>
  <c r="BA37" i="31"/>
  <c r="BC37" i="31" s="1"/>
  <c r="CL37" i="31" s="1"/>
  <c r="BG116" i="31"/>
  <c r="BI116" i="31" s="1"/>
  <c r="CM116" i="31" s="1"/>
  <c r="BS337" i="31"/>
  <c r="BU337" i="31" s="1"/>
  <c r="CO337" i="31" s="1"/>
  <c r="AO204" i="31"/>
  <c r="AQ204" i="31" s="1"/>
  <c r="CJ204" i="31" s="1"/>
  <c r="BG112" i="31"/>
  <c r="BI112" i="31" s="1"/>
  <c r="CM112" i="31" s="1"/>
  <c r="Q317" i="31"/>
  <c r="S317" i="31" s="1"/>
  <c r="CF317" i="31" s="1"/>
  <c r="W80" i="31"/>
  <c r="Y80" i="31" s="1"/>
  <c r="CG80" i="31" s="1"/>
  <c r="BG293" i="31"/>
  <c r="BI293" i="31" s="1"/>
  <c r="CM293" i="31" s="1"/>
  <c r="BA42" i="31"/>
  <c r="BC42" i="31" s="1"/>
  <c r="CL42" i="31" s="1"/>
  <c r="BA169" i="31"/>
  <c r="BC169" i="31" s="1"/>
  <c r="CL169" i="31" s="1"/>
  <c r="BA92" i="31"/>
  <c r="BC92" i="31" s="1"/>
  <c r="CL92" i="31" s="1"/>
  <c r="BS285" i="31"/>
  <c r="BU285" i="31" s="1"/>
  <c r="CO285" i="31" s="1"/>
  <c r="BA149" i="31"/>
  <c r="BC149" i="31" s="1"/>
  <c r="CL149" i="31" s="1"/>
  <c r="AC124" i="31"/>
  <c r="AE124" i="31" s="1"/>
  <c r="CH124" i="31" s="1"/>
  <c r="BG259" i="31"/>
  <c r="BI259" i="31" s="1"/>
  <c r="CM259" i="31" s="1"/>
  <c r="AO61" i="31"/>
  <c r="AQ61" i="31" s="1"/>
  <c r="CJ61" i="31" s="1"/>
  <c r="BS177" i="31"/>
  <c r="BU177" i="31" s="1"/>
  <c r="CO177" i="31" s="1"/>
  <c r="BG310" i="31"/>
  <c r="BI310" i="31" s="1"/>
  <c r="CM310" i="31" s="1"/>
  <c r="AO20" i="31"/>
  <c r="AQ20" i="31" s="1"/>
  <c r="CJ20" i="31" s="1"/>
  <c r="AO152" i="31"/>
  <c r="AQ152" i="31" s="1"/>
  <c r="CJ152" i="31" s="1"/>
  <c r="BG144" i="31"/>
  <c r="BI144" i="31" s="1"/>
  <c r="CM144" i="31" s="1"/>
  <c r="Q263" i="31"/>
  <c r="S263" i="31" s="1"/>
  <c r="CF263" i="31" s="1"/>
  <c r="Q19" i="31"/>
  <c r="S19" i="31" s="1"/>
  <c r="CF19" i="31" s="1"/>
  <c r="AC173" i="31"/>
  <c r="AE173" i="31" s="1"/>
  <c r="CH173" i="31" s="1"/>
  <c r="AC76" i="31"/>
  <c r="AE76" i="31" s="1"/>
  <c r="CH76" i="31" s="1"/>
  <c r="BG187" i="31"/>
  <c r="BI187" i="31" s="1"/>
  <c r="CM187" i="31" s="1"/>
  <c r="Q272" i="31"/>
  <c r="S272" i="31" s="1"/>
  <c r="CF272" i="31" s="1"/>
  <c r="Q231" i="31"/>
  <c r="S231" i="31" s="1"/>
  <c r="CF231" i="31" s="1"/>
  <c r="BG318" i="31"/>
  <c r="BI318" i="31" s="1"/>
  <c r="CM318" i="31" s="1"/>
  <c r="Q282" i="31"/>
  <c r="S282" i="31" s="1"/>
  <c r="CF282" i="31" s="1"/>
  <c r="Q219" i="31"/>
  <c r="S219" i="31" s="1"/>
  <c r="CF219" i="31" s="1"/>
  <c r="AO326" i="31"/>
  <c r="AQ326" i="31" s="1"/>
  <c r="CJ326" i="31" s="1"/>
  <c r="Q115" i="31"/>
  <c r="S115" i="31" s="1"/>
  <c r="CF115" i="31" s="1"/>
  <c r="BS275" i="31"/>
  <c r="BU275" i="31" s="1"/>
  <c r="CO275" i="31" s="1"/>
  <c r="Q95" i="31"/>
  <c r="S95" i="31" s="1"/>
  <c r="CF95" i="31" s="1"/>
  <c r="BS81" i="31"/>
  <c r="BU81" i="31" s="1"/>
  <c r="CO81" i="31" s="1"/>
  <c r="Q207" i="31"/>
  <c r="S207" i="31" s="1"/>
  <c r="CF207" i="31" s="1"/>
  <c r="BS131" i="31"/>
  <c r="BU131" i="31" s="1"/>
  <c r="CO131" i="31" s="1"/>
  <c r="Q229" i="31"/>
  <c r="S229" i="31" s="1"/>
  <c r="CF229" i="31" s="1"/>
  <c r="BA330" i="31"/>
  <c r="BC330" i="31" s="1"/>
  <c r="CL330" i="31" s="1"/>
  <c r="Q165" i="31"/>
  <c r="S165" i="31" s="1"/>
  <c r="CF165" i="31" s="1"/>
  <c r="BG218" i="31"/>
  <c r="BI218" i="31" s="1"/>
  <c r="CM218" i="31" s="1"/>
  <c r="AC221" i="31"/>
  <c r="AE221" i="31" s="1"/>
  <c r="CH221" i="31" s="1"/>
  <c r="Q313" i="31"/>
  <c r="S313" i="31" s="1"/>
  <c r="CF313" i="31" s="1"/>
  <c r="Q307" i="31"/>
  <c r="S307" i="31" s="1"/>
  <c r="CF307" i="31" s="1"/>
  <c r="BG50" i="31"/>
  <c r="BI50" i="31" s="1"/>
  <c r="CM50" i="31" s="1"/>
  <c r="BA154" i="31"/>
  <c r="BC154" i="31" s="1"/>
  <c r="CL154" i="31" s="1"/>
  <c r="Q90" i="31"/>
  <c r="S90" i="31" s="1"/>
  <c r="CF90" i="31" s="1"/>
  <c r="Q110" i="31"/>
  <c r="S110" i="31" s="1"/>
  <c r="CF110" i="31" s="1"/>
  <c r="W182" i="31"/>
  <c r="Y182" i="31" s="1"/>
  <c r="CG182" i="31" s="1"/>
  <c r="AC73" i="31"/>
  <c r="AE73" i="31" s="1"/>
  <c r="CH73" i="31" s="1"/>
  <c r="BS100" i="31"/>
  <c r="BU100" i="31" s="1"/>
  <c r="CO100" i="31" s="1"/>
  <c r="BG238" i="31"/>
  <c r="BI238" i="31" s="1"/>
  <c r="CM238" i="31" s="1"/>
  <c r="BA72" i="31"/>
  <c r="BC72" i="31" s="1"/>
  <c r="CL72" i="31" s="1"/>
  <c r="BA215" i="31"/>
  <c r="BC215" i="31" s="1"/>
  <c r="CL215" i="31" s="1"/>
  <c r="AO252" i="31"/>
  <c r="AQ252" i="31" s="1"/>
  <c r="CJ252" i="31" s="1"/>
  <c r="Q206" i="31"/>
  <c r="S206" i="31" s="1"/>
  <c r="CF206" i="31" s="1"/>
  <c r="BS8" i="31"/>
  <c r="BU8" i="31" s="1"/>
  <c r="CO8" i="31" s="1"/>
  <c r="Q3" i="41" s="1"/>
  <c r="BA321" i="31"/>
  <c r="BC321" i="31" s="1"/>
  <c r="CL321" i="31" s="1"/>
  <c r="Q103" i="31"/>
  <c r="S103" i="31" s="1"/>
  <c r="CF103" i="31" s="1"/>
  <c r="BS331" i="31"/>
  <c r="BU331" i="31" s="1"/>
  <c r="CO331" i="31" s="1"/>
  <c r="BG150" i="31"/>
  <c r="BI150" i="31" s="1"/>
  <c r="CM150" i="31" s="1"/>
  <c r="Q172" i="31"/>
  <c r="S172" i="31" s="1"/>
  <c r="CF172" i="31" s="1"/>
  <c r="AC43" i="31"/>
  <c r="AE43" i="31" s="1"/>
  <c r="CH43" i="31" s="1"/>
  <c r="BG111" i="31"/>
  <c r="BI111" i="31" s="1"/>
  <c r="CM111" i="31" s="1"/>
  <c r="AC27" i="31"/>
  <c r="AE27" i="31" s="1"/>
  <c r="CH27" i="31" s="1"/>
  <c r="BA41" i="31"/>
  <c r="BC41" i="31" s="1"/>
  <c r="CL41" i="31" s="1"/>
  <c r="BA78" i="31"/>
  <c r="BC78" i="31" s="1"/>
  <c r="CL78" i="31" s="1"/>
  <c r="W107" i="31"/>
  <c r="Y107" i="31" s="1"/>
  <c r="CG107" i="31" s="1"/>
  <c r="Q257" i="31"/>
  <c r="S257" i="31" s="1"/>
  <c r="CF257" i="31" s="1"/>
  <c r="Q246" i="31"/>
  <c r="S246" i="31" s="1"/>
  <c r="CF246" i="31" s="1"/>
  <c r="BG352" i="31"/>
  <c r="BI352" i="31" s="1"/>
  <c r="CM352" i="31" s="1"/>
  <c r="BS202" i="31"/>
  <c r="BU202" i="31" s="1"/>
  <c r="CO202" i="31" s="1"/>
  <c r="AC157" i="31"/>
  <c r="AE157" i="31" s="1"/>
  <c r="CH157" i="31" s="1"/>
  <c r="BG216" i="31"/>
  <c r="BI216" i="31" s="1"/>
  <c r="CM216" i="31" s="1"/>
  <c r="BA191" i="31"/>
  <c r="BC191" i="31" s="1"/>
  <c r="CL191" i="31" s="1"/>
  <c r="Q60" i="31"/>
  <c r="S60" i="31" s="1"/>
  <c r="CF60" i="31" s="1"/>
  <c r="AO240" i="31"/>
  <c r="AQ240" i="31" s="1"/>
  <c r="CJ240" i="31" s="1"/>
  <c r="BS267" i="31"/>
  <c r="BU267" i="31" s="1"/>
  <c r="CO267" i="31" s="1"/>
  <c r="AO174" i="31"/>
  <c r="AQ174" i="31" s="1"/>
  <c r="CJ174" i="31" s="1"/>
  <c r="AC99" i="31"/>
  <c r="AE99" i="31" s="1"/>
  <c r="CH99" i="31" s="1"/>
  <c r="Q65" i="31"/>
  <c r="S65" i="31" s="1"/>
  <c r="CF65" i="31" s="1"/>
  <c r="Q335" i="31"/>
  <c r="S335" i="31" s="1"/>
  <c r="CF335" i="31" s="1"/>
  <c r="BA199" i="31"/>
  <c r="BC199" i="31" s="1"/>
  <c r="CL199" i="31" s="1"/>
  <c r="BG75" i="31"/>
  <c r="BI75" i="31" s="1"/>
  <c r="CM75" i="31" s="1"/>
  <c r="Q212" i="31"/>
  <c r="S212" i="31" s="1"/>
  <c r="CF212" i="31" s="1"/>
  <c r="BA148" i="31"/>
  <c r="BC148" i="31" s="1"/>
  <c r="CL148" i="31" s="1"/>
  <c r="BA188" i="31"/>
  <c r="BC188" i="31" s="1"/>
  <c r="CL188" i="31" s="1"/>
  <c r="BS105" i="31"/>
  <c r="BU105" i="31" s="1"/>
  <c r="CO105" i="31" s="1"/>
  <c r="AC297" i="31"/>
  <c r="AE297" i="31" s="1"/>
  <c r="CH297" i="31" s="1"/>
  <c r="AO114" i="31"/>
  <c r="AQ114" i="31" s="1"/>
  <c r="CJ114" i="31" s="1"/>
  <c r="AO299" i="31"/>
  <c r="AQ299" i="31" s="1"/>
  <c r="CJ299" i="31" s="1"/>
  <c r="BG58" i="31"/>
  <c r="BI58" i="31" s="1"/>
  <c r="CM58" i="31" s="1"/>
  <c r="Q253" i="31"/>
  <c r="S253" i="31" s="1"/>
  <c r="CF253" i="31" s="1"/>
  <c r="BS339" i="31"/>
  <c r="BU339" i="31" s="1"/>
  <c r="CO339" i="31" s="1"/>
  <c r="AO49" i="31"/>
  <c r="AQ49" i="31" s="1"/>
  <c r="CJ49" i="31" s="1"/>
  <c r="Q224" i="31"/>
  <c r="S224" i="31" s="1"/>
  <c r="CF224" i="31" s="1"/>
  <c r="AO23" i="31"/>
  <c r="AQ23" i="31" s="1"/>
  <c r="CJ23" i="31" s="1"/>
  <c r="AO222" i="31"/>
  <c r="AQ222" i="31" s="1"/>
  <c r="CJ222" i="31" s="1"/>
  <c r="Q190" i="31"/>
  <c r="S190" i="31" s="1"/>
  <c r="CF190" i="31" s="1"/>
  <c r="BS309" i="31"/>
  <c r="BU309" i="31" s="1"/>
  <c r="CO309" i="31" s="1"/>
  <c r="BG281" i="31"/>
  <c r="BI281" i="31" s="1"/>
  <c r="CM281" i="31" s="1"/>
  <c r="Q250" i="31"/>
  <c r="S250" i="31" s="1"/>
  <c r="CF250" i="31" s="1"/>
  <c r="AO102" i="31"/>
  <c r="AQ102" i="31" s="1"/>
  <c r="CJ102" i="31" s="1"/>
  <c r="AO108" i="31"/>
  <c r="AQ108" i="31" s="1"/>
  <c r="CJ108" i="31" s="1"/>
  <c r="Q171" i="31"/>
  <c r="S171" i="31" s="1"/>
  <c r="CF171" i="31" s="1"/>
  <c r="BA68" i="31"/>
  <c r="BC68" i="31" s="1"/>
  <c r="CL68" i="31" s="1"/>
  <c r="AC226" i="31"/>
  <c r="AE226" i="31" s="1"/>
  <c r="CH226" i="31" s="1"/>
  <c r="BS151" i="31"/>
  <c r="BU151" i="31" s="1"/>
  <c r="CO151" i="31" s="1"/>
  <c r="AC57" i="31"/>
  <c r="AE57" i="31" s="1"/>
  <c r="CH57" i="31" s="1"/>
  <c r="BA137" i="31"/>
  <c r="BC137" i="31" s="1"/>
  <c r="CL137" i="31" s="1"/>
  <c r="Q269" i="31"/>
  <c r="S269" i="31" s="1"/>
  <c r="CF269" i="31" s="1"/>
  <c r="AC194" i="31"/>
  <c r="AE194" i="31" s="1"/>
  <c r="CH194" i="31" s="1"/>
  <c r="BA167" i="31"/>
  <c r="BC167" i="31" s="1"/>
  <c r="CL167" i="31" s="1"/>
  <c r="AO104" i="31"/>
  <c r="AQ104" i="31" s="1"/>
  <c r="CJ104" i="31" s="1"/>
  <c r="BA302" i="31"/>
  <c r="BC302" i="31" s="1"/>
  <c r="CL302" i="31" s="1"/>
  <c r="BS54" i="31"/>
  <c r="BU54" i="31" s="1"/>
  <c r="CO54" i="31" s="1"/>
  <c r="BG334" i="31"/>
  <c r="BI334" i="31" s="1"/>
  <c r="CM334" i="31" s="1"/>
  <c r="BA53" i="31"/>
  <c r="BC53" i="31" s="1"/>
  <c r="CL53" i="31" s="1"/>
  <c r="Q143" i="31"/>
  <c r="S143" i="31" s="1"/>
  <c r="CF143" i="31" s="1"/>
  <c r="BG255" i="31"/>
  <c r="BI255" i="31" s="1"/>
  <c r="CM255" i="31" s="1"/>
  <c r="AO64" i="31"/>
  <c r="AQ64" i="31" s="1"/>
  <c r="CJ64" i="31" s="1"/>
  <c r="Q192" i="31"/>
  <c r="S192" i="31" s="1"/>
  <c r="CF192" i="31" s="1"/>
  <c r="BS67" i="31"/>
  <c r="BU67" i="31" s="1"/>
  <c r="CO67" i="31" s="1"/>
  <c r="AK277" i="31"/>
  <c r="CI277" i="31" s="1"/>
  <c r="BG134" i="31"/>
  <c r="BI134" i="31" s="1"/>
  <c r="CM134" i="31" s="1"/>
  <c r="AC214" i="31"/>
  <c r="AE214" i="31" s="1"/>
  <c r="CH214" i="31" s="1"/>
  <c r="BS260" i="31"/>
  <c r="BU260" i="31" s="1"/>
  <c r="CO260" i="31" s="1"/>
  <c r="BG96" i="31"/>
  <c r="BI96" i="31" s="1"/>
  <c r="CM96" i="31" s="1"/>
  <c r="AC71" i="31"/>
  <c r="AE71" i="31" s="1"/>
  <c r="CH71" i="31" s="1"/>
  <c r="AO193" i="31"/>
  <c r="AQ193" i="31" s="1"/>
  <c r="CJ193" i="31" s="1"/>
  <c r="Q319" i="31"/>
  <c r="S319" i="31" s="1"/>
  <c r="CF319" i="31" s="1"/>
  <c r="BG55" i="31"/>
  <c r="BI55" i="31" s="1"/>
  <c r="CM55" i="31" s="1"/>
  <c r="Q159" i="31"/>
  <c r="S159" i="31" s="1"/>
  <c r="CF159" i="31" s="1"/>
  <c r="BS217" i="31"/>
  <c r="BU217" i="31" s="1"/>
  <c r="CO217" i="31" s="1"/>
  <c r="Q176" i="31"/>
  <c r="S176" i="31" s="1"/>
  <c r="CF176" i="31" s="1"/>
  <c r="BA349" i="31"/>
  <c r="BC349" i="31" s="1"/>
  <c r="CL349" i="31" s="1"/>
  <c r="BG289" i="31"/>
  <c r="BI289" i="31" s="1"/>
  <c r="CM289" i="31" s="1"/>
  <c r="K47" i="31"/>
  <c r="M47" i="31" s="1"/>
  <c r="CE47" i="31" s="1"/>
  <c r="Q126" i="31"/>
  <c r="S126" i="31" s="1"/>
  <c r="CF126" i="31" s="1"/>
  <c r="BS89" i="31"/>
  <c r="BU89" i="31" s="1"/>
  <c r="CO89" i="31" s="1"/>
  <c r="AC125" i="31"/>
  <c r="AE125" i="31" s="1"/>
  <c r="CH125" i="31" s="1"/>
  <c r="W300" i="31"/>
  <c r="Y300" i="31" s="1"/>
  <c r="CG300" i="31" s="1"/>
  <c r="BS178" i="31"/>
  <c r="BU178" i="31" s="1"/>
  <c r="CO178" i="31" s="1"/>
  <c r="BK354" i="31"/>
  <c r="BK3" i="31"/>
  <c r="K230" i="31"/>
  <c r="AC196" i="31"/>
  <c r="AE196" i="31" s="1"/>
  <c r="CH196" i="31" s="1"/>
  <c r="BA30" i="31"/>
  <c r="BC30" i="31" s="1"/>
  <c r="CL30" i="31" s="1"/>
  <c r="BG147" i="31"/>
  <c r="BI147" i="31" s="1"/>
  <c r="CM147" i="31" s="1"/>
  <c r="K290" i="31"/>
  <c r="M290" i="31" s="1"/>
  <c r="CE290" i="31" s="1"/>
  <c r="BA166" i="31"/>
  <c r="BC166" i="31" s="1"/>
  <c r="CL166" i="31" s="1"/>
  <c r="K208" i="31"/>
  <c r="M208" i="31" s="1"/>
  <c r="CE208" i="31" s="1"/>
  <c r="AC266" i="31"/>
  <c r="AE266" i="31" s="1"/>
  <c r="CH266" i="31" s="1"/>
  <c r="BG14" i="31"/>
  <c r="BI14" i="31" s="1"/>
  <c r="CM14" i="31" s="1"/>
  <c r="K44" i="31"/>
  <c r="M44" i="31" s="1"/>
  <c r="CE44" i="31" s="1"/>
  <c r="AC292" i="31"/>
  <c r="AE292" i="31" s="1"/>
  <c r="CH292" i="31" s="1"/>
  <c r="K113" i="31"/>
  <c r="M113" i="31" s="1"/>
  <c r="CE113" i="31" s="1"/>
  <c r="BG296" i="31"/>
  <c r="BI296" i="31" s="1"/>
  <c r="CM296" i="31" s="1"/>
  <c r="BG174" i="31"/>
  <c r="BI174" i="31" s="1"/>
  <c r="CM174" i="31" s="1"/>
  <c r="BS345" i="31"/>
  <c r="BU345" i="31" s="1"/>
  <c r="CO345" i="31" s="1"/>
  <c r="BA303" i="31"/>
  <c r="BC303" i="31" s="1"/>
  <c r="CL303" i="31" s="1"/>
  <c r="W342" i="31"/>
  <c r="Y342" i="31" s="1"/>
  <c r="CG342" i="31" s="1"/>
  <c r="BG294" i="31"/>
  <c r="BI294" i="31" s="1"/>
  <c r="CM294" i="31" s="1"/>
  <c r="K266" i="31"/>
  <c r="M266" i="31" s="1"/>
  <c r="CE266" i="31" s="1"/>
  <c r="BA184" i="31"/>
  <c r="BC184" i="31" s="1"/>
  <c r="CL184" i="31" s="1"/>
  <c r="BS56" i="31"/>
  <c r="BU56" i="31" s="1"/>
  <c r="CO56" i="31" s="1"/>
  <c r="BS263" i="31"/>
  <c r="BU263" i="31" s="1"/>
  <c r="CO263" i="31" s="1"/>
  <c r="BS330" i="31"/>
  <c r="BU330" i="31" s="1"/>
  <c r="CO330" i="31" s="1"/>
  <c r="BG138" i="31"/>
  <c r="BI138" i="31" s="1"/>
  <c r="CM138" i="31" s="1"/>
  <c r="K13" i="31"/>
  <c r="AO289" i="31"/>
  <c r="AQ289" i="31" s="1"/>
  <c r="CJ289" i="31" s="1"/>
  <c r="Q178" i="31"/>
  <c r="S178" i="31" s="1"/>
  <c r="CF178" i="31" s="1"/>
  <c r="BS30" i="31"/>
  <c r="BU30" i="31" s="1"/>
  <c r="CO30" i="31" s="1"/>
  <c r="BG290" i="31"/>
  <c r="BI290" i="31" s="1"/>
  <c r="CM290" i="31" s="1"/>
  <c r="BS166" i="31"/>
  <c r="BU166" i="31" s="1"/>
  <c r="CO166" i="31" s="1"/>
  <c r="BS266" i="31"/>
  <c r="BU266" i="31" s="1"/>
  <c r="CO266" i="31" s="1"/>
  <c r="W168" i="31"/>
  <c r="Y168" i="31" s="1"/>
  <c r="CG168" i="31" s="1"/>
  <c r="W318" i="31"/>
  <c r="Y318" i="31" s="1"/>
  <c r="CG318" i="31" s="1"/>
  <c r="BS219" i="31"/>
  <c r="BU219" i="31" s="1"/>
  <c r="CO219" i="31" s="1"/>
  <c r="BA115" i="31"/>
  <c r="BC115" i="31" s="1"/>
  <c r="CL115" i="31" s="1"/>
  <c r="W9" i="31"/>
  <c r="Y9" i="31" s="1"/>
  <c r="CG9" i="31" s="1"/>
  <c r="I4" i="41" s="1"/>
  <c r="BA95" i="31"/>
  <c r="BC95" i="31" s="1"/>
  <c r="CL95" i="31" s="1"/>
  <c r="W153" i="31"/>
  <c r="Y153" i="31" s="1"/>
  <c r="CG153" i="31" s="1"/>
  <c r="BG239" i="31"/>
  <c r="BI239" i="31" s="1"/>
  <c r="CM239" i="31" s="1"/>
  <c r="AC207" i="31"/>
  <c r="AE207" i="31" s="1"/>
  <c r="CH207" i="31" s="1"/>
  <c r="W305" i="31"/>
  <c r="Y305" i="31" s="1"/>
  <c r="CG305" i="31" s="1"/>
  <c r="BG77" i="31"/>
  <c r="BI77" i="31" s="1"/>
  <c r="CM77" i="31" s="1"/>
  <c r="BS229" i="31"/>
  <c r="BU229" i="31" s="1"/>
  <c r="CO229" i="31" s="1"/>
  <c r="W22" i="31"/>
  <c r="Y22" i="31" s="1"/>
  <c r="CG22" i="31" s="1"/>
  <c r="AO295" i="31"/>
  <c r="AQ295" i="31" s="1"/>
  <c r="CJ295" i="31" s="1"/>
  <c r="BA165" i="31"/>
  <c r="BC165" i="31" s="1"/>
  <c r="CL165" i="31" s="1"/>
  <c r="W218" i="31"/>
  <c r="Y218" i="31" s="1"/>
  <c r="CG218" i="31" s="1"/>
  <c r="BA264" i="31"/>
  <c r="BC264" i="31" s="1"/>
  <c r="CL264" i="31" s="1"/>
  <c r="AC313" i="31"/>
  <c r="AE313" i="31" s="1"/>
  <c r="CH313" i="31" s="1"/>
  <c r="W26" i="31"/>
  <c r="Y26" i="31" s="1"/>
  <c r="CG26" i="31" s="1"/>
  <c r="BS307" i="31"/>
  <c r="BU307" i="31" s="1"/>
  <c r="CO307" i="31" s="1"/>
  <c r="Q50" i="31"/>
  <c r="S50" i="31" s="1"/>
  <c r="CF50" i="31" s="1"/>
  <c r="AC90" i="31"/>
  <c r="AE90" i="31" s="1"/>
  <c r="CH90" i="31" s="1"/>
  <c r="W138" i="31"/>
  <c r="Y138" i="31" s="1"/>
  <c r="CG138" i="31" s="1"/>
  <c r="BS182" i="31"/>
  <c r="BU182" i="31" s="1"/>
  <c r="CO182" i="31" s="1"/>
  <c r="BG278" i="31"/>
  <c r="BI278" i="31" s="1"/>
  <c r="CM278" i="31" s="1"/>
  <c r="BG35" i="31"/>
  <c r="BI35" i="31" s="1"/>
  <c r="CM35" i="31" s="1"/>
  <c r="Q100" i="31"/>
  <c r="S100" i="31" s="1"/>
  <c r="CF100" i="31" s="1"/>
  <c r="W238" i="31"/>
  <c r="Y238" i="31" s="1"/>
  <c r="CG238" i="31" s="1"/>
  <c r="BS215" i="31"/>
  <c r="BU215" i="31" s="1"/>
  <c r="CO215" i="31" s="1"/>
  <c r="Q274" i="31"/>
  <c r="S274" i="31" s="1"/>
  <c r="CF274" i="31" s="1"/>
  <c r="BG343" i="31"/>
  <c r="BI343" i="31" s="1"/>
  <c r="CM343" i="31" s="1"/>
  <c r="BS206" i="31"/>
  <c r="BU206" i="31" s="1"/>
  <c r="CO206" i="31" s="1"/>
  <c r="W83" i="31"/>
  <c r="Y83" i="31" s="1"/>
  <c r="CG83" i="31" s="1"/>
  <c r="BG348" i="31"/>
  <c r="BI348" i="31" s="1"/>
  <c r="CM348" i="31" s="1"/>
  <c r="Q321" i="31"/>
  <c r="S321" i="31" s="1"/>
  <c r="CF321" i="31" s="1"/>
  <c r="W46" i="31"/>
  <c r="Y46" i="31" s="1"/>
  <c r="CG46" i="31" s="1"/>
  <c r="AO331" i="31"/>
  <c r="AQ331" i="31" s="1"/>
  <c r="CJ331" i="31" s="1"/>
  <c r="W150" i="31"/>
  <c r="Y150" i="31" s="1"/>
  <c r="CG150" i="31" s="1"/>
  <c r="BA43" i="31"/>
  <c r="BC43" i="31" s="1"/>
  <c r="CL43" i="31" s="1"/>
  <c r="AC41" i="31"/>
  <c r="AE41" i="31" s="1"/>
  <c r="CH41" i="31" s="1"/>
  <c r="W328" i="31"/>
  <c r="Y328" i="31" s="1"/>
  <c r="CG328" i="31" s="1"/>
  <c r="BS107" i="31"/>
  <c r="BU107" i="31" s="1"/>
  <c r="CO107" i="31" s="1"/>
  <c r="BS246" i="31"/>
  <c r="BU246" i="31" s="1"/>
  <c r="CO246" i="31" s="1"/>
  <c r="AO157" i="31"/>
  <c r="AQ157" i="31" s="1"/>
  <c r="CJ157" i="31" s="1"/>
  <c r="W216" i="31"/>
  <c r="Y216" i="31" s="1"/>
  <c r="CG216" i="31" s="1"/>
  <c r="BA60" i="31"/>
  <c r="BC60" i="31" s="1"/>
  <c r="CL60" i="31" s="1"/>
  <c r="W11" i="31"/>
  <c r="Y11" i="31" s="1"/>
  <c r="CG11" i="31" s="1"/>
  <c r="I6" i="41" s="1"/>
  <c r="BG51" i="31"/>
  <c r="BI51" i="31" s="1"/>
  <c r="CM51" i="31" s="1"/>
  <c r="AO267" i="31"/>
  <c r="AQ267" i="31" s="1"/>
  <c r="CJ267" i="31" s="1"/>
  <c r="W163" i="31"/>
  <c r="Y163" i="31" s="1"/>
  <c r="CG163" i="31" s="1"/>
  <c r="BS99" i="31"/>
  <c r="BU99" i="31" s="1"/>
  <c r="CO99" i="31" s="1"/>
  <c r="AO199" i="31"/>
  <c r="AQ199" i="31" s="1"/>
  <c r="CJ199" i="31" s="1"/>
  <c r="Q148" i="31"/>
  <c r="S148" i="31" s="1"/>
  <c r="CF148" i="31" s="1"/>
  <c r="W256" i="31"/>
  <c r="Y256" i="31" s="1"/>
  <c r="CG256" i="31" s="1"/>
  <c r="AO105" i="31"/>
  <c r="AQ105" i="31" s="1"/>
  <c r="CJ105" i="31" s="1"/>
  <c r="W333" i="31"/>
  <c r="Y333" i="31" s="1"/>
  <c r="CG333" i="31" s="1"/>
  <c r="AC114" i="31"/>
  <c r="AE114" i="31" s="1"/>
  <c r="CH114" i="31" s="1"/>
  <c r="BA189" i="31"/>
  <c r="BC189" i="31" s="1"/>
  <c r="CL189" i="31" s="1"/>
  <c r="BS299" i="31"/>
  <c r="BU299" i="31" s="1"/>
  <c r="CO299" i="31" s="1"/>
  <c r="W58" i="31"/>
  <c r="Y58" i="31" s="1"/>
  <c r="CG58" i="31" s="1"/>
  <c r="AC339" i="31"/>
  <c r="AE339" i="31" s="1"/>
  <c r="CH339" i="31" s="1"/>
  <c r="W249" i="31"/>
  <c r="Y249" i="31" s="1"/>
  <c r="CG249" i="31" s="1"/>
  <c r="BA224" i="31"/>
  <c r="BC224" i="31" s="1"/>
  <c r="CL224" i="31" s="1"/>
  <c r="W66" i="31"/>
  <c r="Y66" i="31" s="1"/>
  <c r="CG66" i="31" s="1"/>
  <c r="AC222" i="31"/>
  <c r="AE222" i="31" s="1"/>
  <c r="CH222" i="31" s="1"/>
  <c r="W261" i="31"/>
  <c r="Y261" i="31" s="1"/>
  <c r="CG261" i="31" s="1"/>
  <c r="AC309" i="31"/>
  <c r="AE309" i="31" s="1"/>
  <c r="CH309" i="31" s="1"/>
  <c r="W281" i="31"/>
  <c r="Y281" i="31" s="1"/>
  <c r="CG281" i="31" s="1"/>
  <c r="BA102" i="31"/>
  <c r="BC102" i="31" s="1"/>
  <c r="CL102" i="31" s="1"/>
  <c r="W248" i="31"/>
  <c r="Y248" i="31" s="1"/>
  <c r="CG248" i="31" s="1"/>
  <c r="BS108" i="31"/>
  <c r="BU108" i="31" s="1"/>
  <c r="CO108" i="31" s="1"/>
  <c r="W220" i="31"/>
  <c r="Y220" i="31" s="1"/>
  <c r="CG220" i="31" s="1"/>
  <c r="BS68" i="31"/>
  <c r="BU68" i="31" s="1"/>
  <c r="CO68" i="31" s="1"/>
  <c r="W39" i="31"/>
  <c r="Y39" i="31" s="1"/>
  <c r="CG39" i="31" s="1"/>
  <c r="AC350" i="31"/>
  <c r="AE350" i="31" s="1"/>
  <c r="CH350" i="31" s="1"/>
  <c r="AO226" i="31"/>
  <c r="AQ226" i="31" s="1"/>
  <c r="CJ226" i="31" s="1"/>
  <c r="BA57" i="31"/>
  <c r="BC57" i="31" s="1"/>
  <c r="CL57" i="31" s="1"/>
  <c r="W203" i="31"/>
  <c r="Y203" i="31" s="1"/>
  <c r="CG203" i="31" s="1"/>
  <c r="BS269" i="31"/>
  <c r="BU269" i="31" s="1"/>
  <c r="CO269" i="31" s="1"/>
  <c r="W161" i="31"/>
  <c r="Y161" i="31" s="1"/>
  <c r="CG161" i="31" s="1"/>
  <c r="BA104" i="31"/>
  <c r="BC104" i="31" s="1"/>
  <c r="CL104" i="31" s="1"/>
  <c r="AC54" i="31"/>
  <c r="AE54" i="31" s="1"/>
  <c r="CH54" i="31" s="1"/>
  <c r="W334" i="31"/>
  <c r="Y334" i="31" s="1"/>
  <c r="CG334" i="31" s="1"/>
  <c r="BA143" i="31"/>
  <c r="BC143" i="31" s="1"/>
  <c r="CL143" i="31" s="1"/>
  <c r="W255" i="31"/>
  <c r="Y255" i="31" s="1"/>
  <c r="CG255" i="31" s="1"/>
  <c r="BA192" i="31"/>
  <c r="BC192" i="31" s="1"/>
  <c r="CL192" i="31" s="1"/>
  <c r="W120" i="31"/>
  <c r="Y120" i="31" s="1"/>
  <c r="CG120" i="31" s="1"/>
  <c r="Y277" i="31"/>
  <c r="CG277" i="31" s="1"/>
  <c r="W134" i="31"/>
  <c r="Y134" i="31" s="1"/>
  <c r="CG134" i="31" s="1"/>
  <c r="BA260" i="31"/>
  <c r="BC260" i="31" s="1"/>
  <c r="CL260" i="31" s="1"/>
  <c r="Q71" i="31"/>
  <c r="S71" i="31" s="1"/>
  <c r="CF71" i="31" s="1"/>
  <c r="BS319" i="31"/>
  <c r="BU319" i="31" s="1"/>
  <c r="CO319" i="31" s="1"/>
  <c r="W55" i="31"/>
  <c r="Y55" i="31" s="1"/>
  <c r="CG55" i="31" s="1"/>
  <c r="BG118" i="31"/>
  <c r="BI118" i="31" s="1"/>
  <c r="CM118" i="31" s="1"/>
  <c r="Q217" i="31"/>
  <c r="S217" i="31" s="1"/>
  <c r="CF217" i="31" s="1"/>
  <c r="BG322" i="31"/>
  <c r="BI322" i="31" s="1"/>
  <c r="CM322" i="31" s="1"/>
  <c r="K175" i="31"/>
  <c r="M175" i="31" s="1"/>
  <c r="CE175" i="31" s="1"/>
  <c r="BS198" i="31"/>
  <c r="BU198" i="31" s="1"/>
  <c r="CO198" i="31" s="1"/>
  <c r="K303" i="31"/>
  <c r="BS289" i="31"/>
  <c r="BU289" i="31" s="1"/>
  <c r="CO289" i="31" s="1"/>
  <c r="BA139" i="31"/>
  <c r="BC139" i="31" s="1"/>
  <c r="CL139" i="31" s="1"/>
  <c r="K213" i="31"/>
  <c r="M213" i="31" s="1"/>
  <c r="CE213" i="31" s="1"/>
  <c r="AO74" i="31"/>
  <c r="AQ74" i="31" s="1"/>
  <c r="CJ74" i="31" s="1"/>
  <c r="BG17" i="31"/>
  <c r="BI17" i="31" s="1"/>
  <c r="CM17" i="31" s="1"/>
  <c r="Q300" i="31"/>
  <c r="S300" i="31" s="1"/>
  <c r="CF300" i="31" s="1"/>
  <c r="K34" i="31"/>
  <c r="M34" i="31" s="1"/>
  <c r="CE34" i="31" s="1"/>
  <c r="BW354" i="31"/>
  <c r="BW3" i="31"/>
  <c r="Q196" i="31"/>
  <c r="S196" i="31" s="1"/>
  <c r="CF196" i="31" s="1"/>
  <c r="Q258" i="31"/>
  <c r="S258" i="31" s="1"/>
  <c r="CF258" i="31" s="1"/>
  <c r="AC147" i="31"/>
  <c r="AE147" i="31" s="1"/>
  <c r="CH147" i="31" s="1"/>
  <c r="Q166" i="31"/>
  <c r="S166" i="31" s="1"/>
  <c r="CF166" i="31" s="1"/>
  <c r="AO251" i="31"/>
  <c r="AQ251" i="31" s="1"/>
  <c r="CJ251" i="31" s="1"/>
  <c r="AO266" i="31"/>
  <c r="AQ266" i="31" s="1"/>
  <c r="CJ266" i="31" s="1"/>
  <c r="AO14" i="31"/>
  <c r="AQ14" i="31" s="1"/>
  <c r="CJ14" i="31" s="1"/>
  <c r="W44" i="31"/>
  <c r="Y44" i="31" s="1"/>
  <c r="CG44" i="31" s="1"/>
  <c r="Q292" i="31"/>
  <c r="S292" i="31" s="1"/>
  <c r="CF292" i="31" s="1"/>
  <c r="W283" i="31"/>
  <c r="Y283" i="31" s="1"/>
  <c r="CG283" i="31" s="1"/>
  <c r="BG113" i="31"/>
  <c r="BI113" i="31" s="1"/>
  <c r="CM113" i="31" s="1"/>
  <c r="AC201" i="31"/>
  <c r="AE201" i="31" s="1"/>
  <c r="CH201" i="31" s="1"/>
  <c r="AO133" i="31"/>
  <c r="AQ133" i="31" s="1"/>
  <c r="CJ133" i="31" s="1"/>
  <c r="AC304" i="31"/>
  <c r="AE304" i="31" s="1"/>
  <c r="CH304" i="31" s="1"/>
  <c r="BA197" i="31"/>
  <c r="BC197" i="31" s="1"/>
  <c r="CL197" i="31" s="1"/>
  <c r="K30" i="31"/>
  <c r="M30" i="31" s="1"/>
  <c r="CE30" i="31" s="1"/>
  <c r="K166" i="31"/>
  <c r="M166" i="31" s="1"/>
  <c r="CE166" i="31" s="1"/>
  <c r="BA324" i="31"/>
  <c r="BC324" i="31" s="1"/>
  <c r="CL324" i="31" s="1"/>
  <c r="AO42" i="31"/>
  <c r="AQ42" i="31" s="1"/>
  <c r="CJ42" i="31" s="1"/>
  <c r="K280" i="31"/>
  <c r="Q41" i="31"/>
  <c r="S41" i="31" s="1"/>
  <c r="CF41" i="31" s="1"/>
  <c r="BA309" i="31"/>
  <c r="BC309" i="31" s="1"/>
  <c r="CL309" i="31" s="1"/>
  <c r="K243" i="31"/>
  <c r="M243" i="31" s="1"/>
  <c r="CE243" i="31" s="1"/>
  <c r="K304" i="31"/>
  <c r="M304" i="31" s="1"/>
  <c r="CE304" i="31" s="1"/>
  <c r="AO176" i="31"/>
  <c r="AQ176" i="31" s="1"/>
  <c r="CJ176" i="31" s="1"/>
  <c r="AO206" i="31"/>
  <c r="AQ206" i="31" s="1"/>
  <c r="CJ206" i="31" s="1"/>
  <c r="Q287" i="31"/>
  <c r="S287" i="31" s="1"/>
  <c r="CF287" i="31" s="1"/>
  <c r="AC198" i="31"/>
  <c r="AE198" i="31" s="1"/>
  <c r="CH198" i="31" s="1"/>
  <c r="BG86" i="31"/>
  <c r="BI86" i="31" s="1"/>
  <c r="CM86" i="31" s="1"/>
  <c r="AC300" i="31"/>
  <c r="AE300" i="31" s="1"/>
  <c r="CH300" i="31" s="1"/>
  <c r="W14" i="31"/>
  <c r="Y14" i="31" s="1"/>
  <c r="CG14" i="31" s="1"/>
  <c r="K327" i="31"/>
  <c r="M327" i="31" s="1"/>
  <c r="CE327" i="31" s="1"/>
  <c r="W293" i="31"/>
  <c r="Y293" i="31" s="1"/>
  <c r="CG293" i="31" s="1"/>
  <c r="BS318" i="31"/>
  <c r="BU318" i="31" s="1"/>
  <c r="CO318" i="31" s="1"/>
  <c r="BA305" i="31"/>
  <c r="BC305" i="31" s="1"/>
  <c r="CL305" i="31" s="1"/>
  <c r="AC229" i="31"/>
  <c r="AE229" i="31" s="1"/>
  <c r="CH229" i="31" s="1"/>
  <c r="Q22" i="31"/>
  <c r="S22" i="31" s="1"/>
  <c r="CF22" i="31" s="1"/>
  <c r="AK295" i="31"/>
  <c r="CI295" i="31" s="1"/>
  <c r="BA218" i="31"/>
  <c r="BC218" i="31" s="1"/>
  <c r="CL218" i="31" s="1"/>
  <c r="BS264" i="31"/>
  <c r="BU264" i="31" s="1"/>
  <c r="CO264" i="31" s="1"/>
  <c r="BA313" i="31"/>
  <c r="BC313" i="31" s="1"/>
  <c r="CL313" i="31" s="1"/>
  <c r="AO307" i="31"/>
  <c r="AQ307" i="31" s="1"/>
  <c r="CJ307" i="31" s="1"/>
  <c r="W50" i="31"/>
  <c r="Y50" i="31" s="1"/>
  <c r="CG50" i="31" s="1"/>
  <c r="BA90" i="31"/>
  <c r="BC90" i="31" s="1"/>
  <c r="CL90" i="31" s="1"/>
  <c r="AC138" i="31"/>
  <c r="AE138" i="31" s="1"/>
  <c r="CH138" i="31" s="1"/>
  <c r="BA182" i="31"/>
  <c r="BC182" i="31" s="1"/>
  <c r="CL182" i="31" s="1"/>
  <c r="Q278" i="31"/>
  <c r="S278" i="31" s="1"/>
  <c r="CF278" i="31" s="1"/>
  <c r="AC100" i="31"/>
  <c r="AE100" i="31" s="1"/>
  <c r="CH100" i="31" s="1"/>
  <c r="AO238" i="31"/>
  <c r="AQ238" i="31" s="1"/>
  <c r="CJ238" i="31" s="1"/>
  <c r="BG117" i="31"/>
  <c r="BI117" i="31" s="1"/>
  <c r="CM117" i="31" s="1"/>
  <c r="AC215" i="31"/>
  <c r="AE215" i="31" s="1"/>
  <c r="CH215" i="31" s="1"/>
  <c r="W274" i="31"/>
  <c r="Y274" i="31" s="1"/>
  <c r="CG274" i="31" s="1"/>
  <c r="BA206" i="31"/>
  <c r="BC206" i="31" s="1"/>
  <c r="CL206" i="31" s="1"/>
  <c r="BS83" i="31"/>
  <c r="BU83" i="31" s="1"/>
  <c r="CO83" i="31" s="1"/>
  <c r="BS321" i="31"/>
  <c r="BU321" i="31" s="1"/>
  <c r="CO321" i="31" s="1"/>
  <c r="Q46" i="31"/>
  <c r="S46" i="31" s="1"/>
  <c r="CF46" i="31" s="1"/>
  <c r="AC331" i="31"/>
  <c r="AE331" i="31" s="1"/>
  <c r="CH331" i="31" s="1"/>
  <c r="BS150" i="31"/>
  <c r="BU150" i="31" s="1"/>
  <c r="CO150" i="31" s="1"/>
  <c r="BG210" i="31"/>
  <c r="BI210" i="31" s="1"/>
  <c r="CM210" i="31" s="1"/>
  <c r="Q43" i="31"/>
  <c r="S43" i="31" s="1"/>
  <c r="CF43" i="31" s="1"/>
  <c r="AO111" i="31"/>
  <c r="AQ111" i="31" s="1"/>
  <c r="CJ111" i="31" s="1"/>
  <c r="AO41" i="31"/>
  <c r="AQ41" i="31" s="1"/>
  <c r="CJ41" i="31" s="1"/>
  <c r="BS328" i="31"/>
  <c r="BU328" i="31" s="1"/>
  <c r="CO328" i="31" s="1"/>
  <c r="BG13" i="31"/>
  <c r="BI13" i="31" s="1"/>
  <c r="CM13" i="31" s="1"/>
  <c r="AC107" i="31"/>
  <c r="AE107" i="31" s="1"/>
  <c r="CH107" i="31" s="1"/>
  <c r="BS31" i="31"/>
  <c r="BU31" i="31" s="1"/>
  <c r="CO31" i="31" s="1"/>
  <c r="BA246" i="31"/>
  <c r="BC246" i="31" s="1"/>
  <c r="CL246" i="31" s="1"/>
  <c r="Q352" i="31"/>
  <c r="S352" i="31" s="1"/>
  <c r="CF352" i="31" s="1"/>
  <c r="Q216" i="31"/>
  <c r="S216" i="31" s="1"/>
  <c r="CF216" i="31" s="1"/>
  <c r="BG28" i="31"/>
  <c r="BI28" i="31" s="1"/>
  <c r="CM28" i="31" s="1"/>
  <c r="BS60" i="31"/>
  <c r="BU60" i="31" s="1"/>
  <c r="CO60" i="31" s="1"/>
  <c r="BS11" i="31"/>
  <c r="BU11" i="31" s="1"/>
  <c r="CO11" i="31" s="1"/>
  <c r="Q6" i="41" s="1"/>
  <c r="AC267" i="31"/>
  <c r="AE267" i="31" s="1"/>
  <c r="CH267" i="31" s="1"/>
  <c r="BA163" i="31"/>
  <c r="BC163" i="31" s="1"/>
  <c r="CL163" i="31" s="1"/>
  <c r="BG121" i="31"/>
  <c r="BI121" i="31" s="1"/>
  <c r="CM121" i="31" s="1"/>
  <c r="BA99" i="31"/>
  <c r="BC99" i="31" s="1"/>
  <c r="CL99" i="31" s="1"/>
  <c r="W65" i="31"/>
  <c r="Y65" i="31" s="1"/>
  <c r="CG65" i="31" s="1"/>
  <c r="BG316" i="31"/>
  <c r="BI316" i="31" s="1"/>
  <c r="CM316" i="31" s="1"/>
  <c r="Q199" i="31"/>
  <c r="S199" i="31" s="1"/>
  <c r="CF199" i="31" s="1"/>
  <c r="BS75" i="31"/>
  <c r="BU75" i="31" s="1"/>
  <c r="CO75" i="31" s="1"/>
  <c r="AO148" i="31"/>
  <c r="AQ148" i="31" s="1"/>
  <c r="CJ148" i="31" s="1"/>
  <c r="Q256" i="31"/>
  <c r="S256" i="31" s="1"/>
  <c r="CF256" i="31" s="1"/>
  <c r="BA333" i="31"/>
  <c r="BC333" i="31" s="1"/>
  <c r="CL333" i="31" s="1"/>
  <c r="BG84" i="31"/>
  <c r="BI84" i="31" s="1"/>
  <c r="CM84" i="31" s="1"/>
  <c r="BS114" i="31"/>
  <c r="BU114" i="31" s="1"/>
  <c r="CO114" i="31" s="1"/>
  <c r="BA265" i="31"/>
  <c r="BC265" i="31" s="1"/>
  <c r="CL265" i="31" s="1"/>
  <c r="Q299" i="31"/>
  <c r="S299" i="31" s="1"/>
  <c r="CF299" i="31" s="1"/>
  <c r="Q58" i="31"/>
  <c r="S58" i="31" s="1"/>
  <c r="CF58" i="31" s="1"/>
  <c r="Q339" i="31"/>
  <c r="S339" i="31" s="1"/>
  <c r="CF339" i="31" s="1"/>
  <c r="AC249" i="31"/>
  <c r="AE249" i="31" s="1"/>
  <c r="CH249" i="31" s="1"/>
  <c r="BS224" i="31"/>
  <c r="BU224" i="31" s="1"/>
  <c r="CO224" i="31" s="1"/>
  <c r="Q66" i="31"/>
  <c r="S66" i="31" s="1"/>
  <c r="CF66" i="31" s="1"/>
  <c r="BA222" i="31"/>
  <c r="BC222" i="31" s="1"/>
  <c r="CL222" i="31" s="1"/>
  <c r="BA261" i="31"/>
  <c r="BC261" i="31" s="1"/>
  <c r="CL261" i="31" s="1"/>
  <c r="BG141" i="31"/>
  <c r="BI141" i="31" s="1"/>
  <c r="CM141" i="31" s="1"/>
  <c r="Q309" i="31"/>
  <c r="S309" i="31" s="1"/>
  <c r="CF309" i="31" s="1"/>
  <c r="Q281" i="31"/>
  <c r="S281" i="31" s="1"/>
  <c r="CF281" i="31" s="1"/>
  <c r="BG311" i="31"/>
  <c r="BI311" i="31" s="1"/>
  <c r="CM311" i="31" s="1"/>
  <c r="AC102" i="31"/>
  <c r="AE102" i="31" s="1"/>
  <c r="CH102" i="31" s="1"/>
  <c r="BS248" i="31"/>
  <c r="BU248" i="31" s="1"/>
  <c r="CO248" i="31" s="1"/>
  <c r="Q108" i="31"/>
  <c r="S108" i="31" s="1"/>
  <c r="CF108" i="31" s="1"/>
  <c r="AO220" i="31"/>
  <c r="AQ220" i="31" s="1"/>
  <c r="CJ220" i="31" s="1"/>
  <c r="AC68" i="31"/>
  <c r="AE68" i="31" s="1"/>
  <c r="CH68" i="31" s="1"/>
  <c r="BS39" i="31"/>
  <c r="BU39" i="31" s="1"/>
  <c r="CO39" i="31" s="1"/>
  <c r="Q226" i="31"/>
  <c r="S226" i="31" s="1"/>
  <c r="CF226" i="31" s="1"/>
  <c r="W242" i="31"/>
  <c r="Y242" i="31" s="1"/>
  <c r="CG242" i="31" s="1"/>
  <c r="Q57" i="31"/>
  <c r="S57" i="31" s="1"/>
  <c r="CF57" i="31" s="1"/>
  <c r="BS203" i="31"/>
  <c r="BU203" i="31" s="1"/>
  <c r="CO203" i="31" s="1"/>
  <c r="Q161" i="31"/>
  <c r="S161" i="31" s="1"/>
  <c r="CF161" i="31" s="1"/>
  <c r="BG243" i="31"/>
  <c r="BI243" i="31" s="1"/>
  <c r="CM243" i="31" s="1"/>
  <c r="AC104" i="31"/>
  <c r="AE104" i="31" s="1"/>
  <c r="CH104" i="31" s="1"/>
  <c r="W25" i="31"/>
  <c r="Y25" i="31" s="1"/>
  <c r="CG25" i="31" s="1"/>
  <c r="BG262" i="31"/>
  <c r="BI262" i="31" s="1"/>
  <c r="CM262" i="31" s="1"/>
  <c r="Q54" i="31"/>
  <c r="S54" i="31" s="1"/>
  <c r="CF54" i="31" s="1"/>
  <c r="BA334" i="31"/>
  <c r="BC334" i="31" s="1"/>
  <c r="CL334" i="31" s="1"/>
  <c r="AO143" i="31"/>
  <c r="AQ143" i="31" s="1"/>
  <c r="CJ143" i="31" s="1"/>
  <c r="BA255" i="31"/>
  <c r="BC255" i="31" s="1"/>
  <c r="CL255" i="31" s="1"/>
  <c r="AO192" i="31"/>
  <c r="AQ192" i="31" s="1"/>
  <c r="CJ192" i="31" s="1"/>
  <c r="AO120" i="31"/>
  <c r="AQ120" i="31" s="1"/>
  <c r="CJ120" i="31" s="1"/>
  <c r="AC277" i="31"/>
  <c r="AE277" i="31" s="1"/>
  <c r="CH277" i="31" s="1"/>
  <c r="AO134" i="31"/>
  <c r="AQ134" i="31" s="1"/>
  <c r="CJ134" i="31" s="1"/>
  <c r="BG304" i="31"/>
  <c r="BI304" i="31" s="1"/>
  <c r="CM304" i="31" s="1"/>
  <c r="Q260" i="31"/>
  <c r="S260" i="31" s="1"/>
  <c r="CF260" i="31" s="1"/>
  <c r="Q96" i="31"/>
  <c r="S96" i="31" s="1"/>
  <c r="CF96" i="31" s="1"/>
  <c r="BS71" i="31"/>
  <c r="BU71" i="31" s="1"/>
  <c r="CO71" i="31" s="1"/>
  <c r="W287" i="31"/>
  <c r="Y287" i="31" s="1"/>
  <c r="CG287" i="31" s="1"/>
  <c r="BG122" i="31"/>
  <c r="BI122" i="31" s="1"/>
  <c r="CM122" i="31" s="1"/>
  <c r="AO319" i="31"/>
  <c r="AQ319" i="31" s="1"/>
  <c r="CJ319" i="31" s="1"/>
  <c r="AO55" i="31"/>
  <c r="AQ55" i="31" s="1"/>
  <c r="CJ55" i="31" s="1"/>
  <c r="BA217" i="31"/>
  <c r="BC217" i="31" s="1"/>
  <c r="CL217" i="31" s="1"/>
  <c r="W322" i="31"/>
  <c r="Y322" i="31" s="1"/>
  <c r="CG322" i="31" s="1"/>
  <c r="AO198" i="31"/>
  <c r="AQ198" i="31" s="1"/>
  <c r="CJ198" i="31" s="1"/>
  <c r="AO123" i="31"/>
  <c r="AQ123" i="31" s="1"/>
  <c r="CJ123" i="31" s="1"/>
  <c r="Q289" i="31"/>
  <c r="S289" i="31" s="1"/>
  <c r="CF289" i="31" s="1"/>
  <c r="K160" i="31"/>
  <c r="M160" i="31" s="1"/>
  <c r="CE160" i="31" s="1"/>
  <c r="AC126" i="31"/>
  <c r="AE126" i="31" s="1"/>
  <c r="CH126" i="31" s="1"/>
  <c r="BS139" i="31"/>
  <c r="BU139" i="31" s="1"/>
  <c r="CO139" i="31" s="1"/>
  <c r="BS74" i="31"/>
  <c r="BU74" i="31" s="1"/>
  <c r="CO74" i="31" s="1"/>
  <c r="K200" i="31"/>
  <c r="M200" i="31" s="1"/>
  <c r="CE200" i="31" s="1"/>
  <c r="BS300" i="31"/>
  <c r="BU300" i="31" s="1"/>
  <c r="CO300" i="31" s="1"/>
  <c r="AS354" i="31"/>
  <c r="AS3" i="31"/>
  <c r="K197" i="31"/>
  <c r="M197" i="31" s="1"/>
  <c r="CE197" i="31" s="1"/>
  <c r="BS258" i="31"/>
  <c r="BU258" i="31" s="1"/>
  <c r="CO258" i="31" s="1"/>
  <c r="K85" i="31"/>
  <c r="M85" i="31" s="1"/>
  <c r="CE85" i="31" s="1"/>
  <c r="AO30" i="31"/>
  <c r="AQ30" i="31" s="1"/>
  <c r="CJ30" i="31" s="1"/>
  <c r="AO147" i="31"/>
  <c r="AQ147" i="31" s="1"/>
  <c r="CJ147" i="31" s="1"/>
  <c r="K237" i="31"/>
  <c r="M237" i="31" s="1"/>
  <c r="CE237" i="31" s="1"/>
  <c r="BA251" i="31"/>
  <c r="BC251" i="31" s="1"/>
  <c r="CL251" i="31" s="1"/>
  <c r="W208" i="31"/>
  <c r="Y208" i="31" s="1"/>
  <c r="CG208" i="31" s="1"/>
  <c r="K324" i="31"/>
  <c r="M324" i="31" s="1"/>
  <c r="CE324" i="31" s="1"/>
  <c r="BA14" i="31"/>
  <c r="BC14" i="31" s="1"/>
  <c r="CL14" i="31" s="1"/>
  <c r="AO283" i="31"/>
  <c r="AQ283" i="31" s="1"/>
  <c r="CJ283" i="31" s="1"/>
  <c r="K62" i="31"/>
  <c r="M62" i="31" s="1"/>
  <c r="CE62" i="31" s="1"/>
  <c r="AO327" i="31"/>
  <c r="AQ327" i="31" s="1"/>
  <c r="CJ327" i="31" s="1"/>
  <c r="BS184" i="31"/>
  <c r="BU184" i="31" s="1"/>
  <c r="CO184" i="31" s="1"/>
  <c r="BG61" i="31"/>
  <c r="BI61" i="31" s="1"/>
  <c r="CM61" i="31" s="1"/>
  <c r="AC10" i="31"/>
  <c r="AE10" i="31" s="1"/>
  <c r="CH10" i="31" s="1"/>
  <c r="J5" i="41" s="1"/>
  <c r="BS211" i="31"/>
  <c r="BU211" i="31" s="1"/>
  <c r="CO211" i="31" s="1"/>
  <c r="BS244" i="31"/>
  <c r="BU244" i="31" s="1"/>
  <c r="CO244" i="31" s="1"/>
  <c r="AO186" i="31"/>
  <c r="AQ186" i="31" s="1"/>
  <c r="CJ186" i="31" s="1"/>
  <c r="AO32" i="31"/>
  <c r="AQ32" i="31" s="1"/>
  <c r="CJ32" i="31" s="1"/>
  <c r="AC288" i="31"/>
  <c r="AE288" i="31" s="1"/>
  <c r="CH288" i="31" s="1"/>
  <c r="BG49" i="31"/>
  <c r="BI49" i="31" s="1"/>
  <c r="CM49" i="31" s="1"/>
  <c r="Q40" i="31"/>
  <c r="S40" i="31" s="1"/>
  <c r="CF40" i="31" s="1"/>
  <c r="W234" i="31"/>
  <c r="Y234" i="31" s="1"/>
  <c r="CG234" i="31" s="1"/>
  <c r="Q194" i="31"/>
  <c r="S194" i="31" s="1"/>
  <c r="CF194" i="31" s="1"/>
  <c r="AC298" i="31"/>
  <c r="AE298" i="31" s="1"/>
  <c r="CH298" i="31" s="1"/>
  <c r="Q183" i="31"/>
  <c r="S183" i="31" s="1"/>
  <c r="CF183" i="31" s="1"/>
  <c r="BG159" i="31"/>
  <c r="BI159" i="31" s="1"/>
  <c r="CM159" i="31" s="1"/>
  <c r="BA337" i="31"/>
  <c r="BC337" i="31" s="1"/>
  <c r="CL337" i="31" s="1"/>
  <c r="BS317" i="31"/>
  <c r="BU317" i="31" s="1"/>
  <c r="CO317" i="31" s="1"/>
  <c r="W124" i="31"/>
  <c r="Y124" i="31" s="1"/>
  <c r="CG124" i="31" s="1"/>
  <c r="W152" i="31"/>
  <c r="Y152" i="31" s="1"/>
  <c r="CG152" i="31" s="1"/>
  <c r="W231" i="31"/>
  <c r="Y231" i="31" s="1"/>
  <c r="CG231" i="31" s="1"/>
  <c r="BA275" i="31"/>
  <c r="BC275" i="31" s="1"/>
  <c r="CL275" i="31" s="1"/>
  <c r="W90" i="31"/>
  <c r="Y90" i="31" s="1"/>
  <c r="CG90" i="31" s="1"/>
  <c r="AO285" i="31"/>
  <c r="AQ285" i="31" s="1"/>
  <c r="CJ285" i="31" s="1"/>
  <c r="K315" i="31"/>
  <c r="M315" i="31" s="1"/>
  <c r="CE315" i="31" s="1"/>
  <c r="K63" i="31"/>
  <c r="M63" i="31" s="1"/>
  <c r="CE63" i="31" s="1"/>
  <c r="BS231" i="31"/>
  <c r="BU231" i="31" s="1"/>
  <c r="CO231" i="31" s="1"/>
  <c r="K79" i="31"/>
  <c r="M79" i="31" s="1"/>
  <c r="CE79" i="31" s="1"/>
  <c r="K225" i="31"/>
  <c r="M225" i="31" s="1"/>
  <c r="CE225" i="31" s="1"/>
  <c r="K348" i="31"/>
  <c r="BS43" i="31"/>
  <c r="BU43" i="31" s="1"/>
  <c r="CO43" i="31" s="1"/>
  <c r="K121" i="31"/>
  <c r="M121" i="31" s="1"/>
  <c r="CE121" i="31" s="1"/>
  <c r="AC148" i="31"/>
  <c r="AE148" i="31" s="1"/>
  <c r="CH148" i="31" s="1"/>
  <c r="BG333" i="31"/>
  <c r="BI333" i="31" s="1"/>
  <c r="CM333" i="31" s="1"/>
  <c r="Q222" i="31"/>
  <c r="S222" i="31" s="1"/>
  <c r="CF222" i="31" s="1"/>
  <c r="BS57" i="31"/>
  <c r="BU57" i="31" s="1"/>
  <c r="CO57" i="31" s="1"/>
  <c r="BA269" i="31"/>
  <c r="BC269" i="31" s="1"/>
  <c r="CL269" i="31" s="1"/>
  <c r="BG25" i="31"/>
  <c r="BI25" i="31" s="1"/>
  <c r="CM25" i="31" s="1"/>
  <c r="K91" i="31"/>
  <c r="M91" i="31" s="1"/>
  <c r="CE91" i="31" s="1"/>
  <c r="AO260" i="31"/>
  <c r="AQ260" i="31" s="1"/>
  <c r="CJ260" i="31" s="1"/>
  <c r="K122" i="31"/>
  <c r="M122" i="31" s="1"/>
  <c r="CE122" i="31" s="1"/>
  <c r="W289" i="31"/>
  <c r="Y289" i="31" s="1"/>
  <c r="CG289" i="31" s="1"/>
  <c r="Q30" i="31"/>
  <c r="S30" i="31" s="1"/>
  <c r="CF30" i="31" s="1"/>
  <c r="BA266" i="31"/>
  <c r="BC266" i="31" s="1"/>
  <c r="CL266" i="31" s="1"/>
  <c r="W259" i="31"/>
  <c r="Y259" i="31" s="1"/>
  <c r="CG259" i="31" s="1"/>
  <c r="K347" i="31"/>
  <c r="M347" i="31" s="1"/>
  <c r="CE347" i="31" s="1"/>
  <c r="W33" i="31"/>
  <c r="Y33" i="31" s="1"/>
  <c r="CG33" i="31" s="1"/>
  <c r="BS165" i="31"/>
  <c r="BU165" i="31" s="1"/>
  <c r="CO165" i="31" s="1"/>
  <c r="W111" i="31"/>
  <c r="Y111" i="31" s="1"/>
  <c r="CG111" i="31" s="1"/>
  <c r="Q99" i="31"/>
  <c r="S99" i="31" s="1"/>
  <c r="CF99" i="31" s="1"/>
  <c r="W75" i="31"/>
  <c r="Y75" i="31" s="1"/>
  <c r="CG75" i="31" s="1"/>
  <c r="W265" i="31"/>
  <c r="Y265" i="31" s="1"/>
  <c r="CG265" i="31" s="1"/>
  <c r="Q102" i="31"/>
  <c r="S102" i="31" s="1"/>
  <c r="CF102" i="31" s="1"/>
  <c r="BA108" i="31"/>
  <c r="BC108" i="31" s="1"/>
  <c r="CL108" i="31" s="1"/>
  <c r="Q68" i="31"/>
  <c r="S68" i="31" s="1"/>
  <c r="CF68" i="31" s="1"/>
  <c r="BA226" i="31"/>
  <c r="BC226" i="31" s="1"/>
  <c r="CL226" i="31" s="1"/>
  <c r="K223" i="31"/>
  <c r="AO71" i="31"/>
  <c r="AQ71" i="31" s="1"/>
  <c r="CJ71" i="31" s="1"/>
  <c r="AO139" i="31"/>
  <c r="AQ139" i="31" s="1"/>
  <c r="CJ139" i="31" s="1"/>
  <c r="BA74" i="31"/>
  <c r="BC74" i="31" s="1"/>
  <c r="CL74" i="31" s="1"/>
  <c r="W310" i="31"/>
  <c r="Y310" i="31" s="1"/>
  <c r="CG310" i="31" s="1"/>
  <c r="AO231" i="31"/>
  <c r="AQ231" i="31" s="1"/>
  <c r="CJ231" i="31" s="1"/>
  <c r="BA116" i="31"/>
  <c r="BC116" i="31" s="1"/>
  <c r="CL116" i="31" s="1"/>
  <c r="AO293" i="31"/>
  <c r="AQ293" i="31" s="1"/>
  <c r="CJ293" i="31" s="1"/>
  <c r="BS169" i="31"/>
  <c r="BU169" i="31" s="1"/>
  <c r="CO169" i="31" s="1"/>
  <c r="AO124" i="31"/>
  <c r="AQ124" i="31" s="1"/>
  <c r="CJ124" i="31" s="1"/>
  <c r="AO177" i="31"/>
  <c r="AQ177" i="31" s="1"/>
  <c r="CJ177" i="31" s="1"/>
  <c r="BG63" i="31"/>
  <c r="BI63" i="31" s="1"/>
  <c r="CM63" i="31" s="1"/>
  <c r="Q168" i="31"/>
  <c r="S168" i="31" s="1"/>
  <c r="CF168" i="31" s="1"/>
  <c r="BG16" i="31"/>
  <c r="BI16" i="31" s="1"/>
  <c r="CM16" i="31" s="1"/>
  <c r="BA231" i="31"/>
  <c r="BC231" i="31" s="1"/>
  <c r="CL231" i="31" s="1"/>
  <c r="Q33" i="31"/>
  <c r="S33" i="31" s="1"/>
  <c r="CF33" i="31" s="1"/>
  <c r="AO115" i="31"/>
  <c r="AQ115" i="31" s="1"/>
  <c r="CJ115" i="31" s="1"/>
  <c r="BG48" i="31"/>
  <c r="BI48" i="31" s="1"/>
  <c r="CM48" i="31" s="1"/>
  <c r="AO153" i="31"/>
  <c r="AQ153" i="31" s="1"/>
  <c r="CJ153" i="31" s="1"/>
  <c r="BG36" i="31"/>
  <c r="BI36" i="31" s="1"/>
  <c r="CM36" i="31" s="1"/>
  <c r="W93" i="31"/>
  <c r="Y93" i="31" s="1"/>
  <c r="CG93" i="31" s="1"/>
  <c r="Q310" i="31"/>
  <c r="S310" i="31" s="1"/>
  <c r="CF310" i="31" s="1"/>
  <c r="Q144" i="31"/>
  <c r="S144" i="31" s="1"/>
  <c r="CF144" i="31" s="1"/>
  <c r="K320" i="31"/>
  <c r="M320" i="31" s="1"/>
  <c r="CE320" i="31" s="1"/>
  <c r="AO168" i="31"/>
  <c r="AQ168" i="31" s="1"/>
  <c r="CJ168" i="31" s="1"/>
  <c r="K10" i="31"/>
  <c r="M10" i="31" s="1"/>
  <c r="CE10" i="31" s="1"/>
  <c r="G5" i="41" s="1"/>
  <c r="Q187" i="31"/>
  <c r="S187" i="31" s="1"/>
  <c r="CF187" i="31" s="1"/>
  <c r="Q318" i="31"/>
  <c r="S318" i="31" s="1"/>
  <c r="CF318" i="31" s="1"/>
  <c r="K329" i="31"/>
  <c r="M329" i="31" s="1"/>
  <c r="CE329" i="31" s="1"/>
  <c r="AO33" i="31"/>
  <c r="AQ33" i="31" s="1"/>
  <c r="CJ33" i="31" s="1"/>
  <c r="K271" i="31"/>
  <c r="BA9" i="31"/>
  <c r="BC9" i="31" s="1"/>
  <c r="CL9" i="31" s="1"/>
  <c r="N4" i="41" s="1"/>
  <c r="K146" i="31"/>
  <c r="BS153" i="31"/>
  <c r="BU153" i="31" s="1"/>
  <c r="CO153" i="31" s="1"/>
  <c r="Q239" i="31"/>
  <c r="S239" i="31" s="1"/>
  <c r="CF239" i="31" s="1"/>
  <c r="BA207" i="31"/>
  <c r="BC207" i="31" s="1"/>
  <c r="CL207" i="31" s="1"/>
  <c r="BS305" i="31"/>
  <c r="BU305" i="31" s="1"/>
  <c r="CO305" i="31" s="1"/>
  <c r="K181" i="31"/>
  <c r="M181" i="31" s="1"/>
  <c r="CE181" i="31" s="1"/>
  <c r="BS22" i="31"/>
  <c r="BU22" i="31" s="1"/>
  <c r="CO22" i="31" s="1"/>
  <c r="Q295" i="31"/>
  <c r="S295" i="31" s="1"/>
  <c r="CF295" i="31" s="1"/>
  <c r="K69" i="31"/>
  <c r="M69" i="31" s="1"/>
  <c r="CE69" i="31" s="1"/>
  <c r="BS218" i="31"/>
  <c r="BU218" i="31" s="1"/>
  <c r="CO218" i="31" s="1"/>
  <c r="AO264" i="31"/>
  <c r="AQ264" i="31" s="1"/>
  <c r="CJ264" i="31" s="1"/>
  <c r="AO26" i="31"/>
  <c r="AQ26" i="31" s="1"/>
  <c r="CJ26" i="31" s="1"/>
  <c r="K232" i="31"/>
  <c r="M232" i="31" s="1"/>
  <c r="CE232" i="31" s="1"/>
  <c r="AC50" i="31"/>
  <c r="AE50" i="31" s="1"/>
  <c r="CH50" i="31" s="1"/>
  <c r="BG280" i="31"/>
  <c r="BI280" i="31" s="1"/>
  <c r="CM280" i="31" s="1"/>
  <c r="K211" i="31"/>
  <c r="BA138" i="31"/>
  <c r="BC138" i="31" s="1"/>
  <c r="CL138" i="31" s="1"/>
  <c r="W36" i="31"/>
  <c r="Y36" i="31" s="1"/>
  <c r="CG36" i="31" s="1"/>
  <c r="K24" i="31"/>
  <c r="M24" i="31" s="1"/>
  <c r="CE24" i="31" s="1"/>
  <c r="AO278" i="31"/>
  <c r="AQ278" i="31" s="1"/>
  <c r="CJ278" i="31" s="1"/>
  <c r="K29" i="31"/>
  <c r="M29" i="31" s="1"/>
  <c r="CE29" i="31" s="1"/>
  <c r="AC238" i="31"/>
  <c r="AE238" i="31" s="1"/>
  <c r="CH238" i="31" s="1"/>
  <c r="K244" i="31"/>
  <c r="M244" i="31" s="1"/>
  <c r="CE244" i="31" s="1"/>
  <c r="AC274" i="31"/>
  <c r="AE274" i="31" s="1"/>
  <c r="CH274" i="31" s="1"/>
  <c r="K21" i="31"/>
  <c r="M21" i="31" s="1"/>
  <c r="CE21" i="31" s="1"/>
  <c r="AC83" i="31"/>
  <c r="AE83" i="31" s="1"/>
  <c r="CH83" i="31" s="1"/>
  <c r="K233" i="31"/>
  <c r="M233" i="31" s="1"/>
  <c r="CE233" i="31" s="1"/>
  <c r="AC46" i="31"/>
  <c r="AE46" i="31" s="1"/>
  <c r="CH46" i="31" s="1"/>
  <c r="K186" i="31"/>
  <c r="M186" i="31" s="1"/>
  <c r="CE186" i="31" s="1"/>
  <c r="AC150" i="31"/>
  <c r="AE150" i="31" s="1"/>
  <c r="CH150" i="31" s="1"/>
  <c r="K228" i="31"/>
  <c r="M228" i="31" s="1"/>
  <c r="CE228" i="31" s="1"/>
  <c r="AC111" i="31"/>
  <c r="AE111" i="31" s="1"/>
  <c r="CH111" i="31" s="1"/>
  <c r="AC328" i="31"/>
  <c r="AE328" i="31" s="1"/>
  <c r="CH328" i="31" s="1"/>
  <c r="K344" i="31"/>
  <c r="M344" i="31" s="1"/>
  <c r="CE344" i="31" s="1"/>
  <c r="AO31" i="31"/>
  <c r="AQ31" i="31" s="1"/>
  <c r="CJ31" i="31" s="1"/>
  <c r="BG301" i="31"/>
  <c r="BI301" i="31" s="1"/>
  <c r="CM301" i="31" s="1"/>
  <c r="K270" i="31"/>
  <c r="M270" i="31" s="1"/>
  <c r="CE270" i="31" s="1"/>
  <c r="AC352" i="31"/>
  <c r="AE352" i="31" s="1"/>
  <c r="CH352" i="31" s="1"/>
  <c r="BG201" i="31"/>
  <c r="BI201" i="31" s="1"/>
  <c r="CM201" i="31" s="1"/>
  <c r="K205" i="31"/>
  <c r="M205" i="31" s="1"/>
  <c r="CE205" i="31" s="1"/>
  <c r="Q157" i="31"/>
  <c r="S157" i="31" s="1"/>
  <c r="CF157" i="31" s="1"/>
  <c r="AC216" i="31"/>
  <c r="AE216" i="31" s="1"/>
  <c r="CH216" i="31" s="1"/>
  <c r="K241" i="31"/>
  <c r="M241" i="31" s="1"/>
  <c r="CE241" i="31" s="1"/>
  <c r="BA11" i="31"/>
  <c r="BC11" i="31" s="1"/>
  <c r="CL11" i="31" s="1"/>
  <c r="N6" i="41" s="1"/>
  <c r="K288" i="31"/>
  <c r="AC163" i="31"/>
  <c r="AE163" i="31" s="1"/>
  <c r="CH163" i="31" s="1"/>
  <c r="K340" i="31"/>
  <c r="M340" i="31" s="1"/>
  <c r="CE340" i="31" s="1"/>
  <c r="BS65" i="31"/>
  <c r="BU65" i="31" s="1"/>
  <c r="CO65" i="31" s="1"/>
  <c r="AC75" i="31"/>
  <c r="AE75" i="31" s="1"/>
  <c r="CH75" i="31" s="1"/>
  <c r="K87" i="31"/>
  <c r="M87" i="31" s="1"/>
  <c r="CE87" i="31" s="1"/>
  <c r="AO256" i="31"/>
  <c r="AQ256" i="31" s="1"/>
  <c r="CJ256" i="31" s="1"/>
  <c r="BG341" i="31"/>
  <c r="BI341" i="31" s="1"/>
  <c r="CM341" i="31" s="1"/>
  <c r="K170" i="31"/>
  <c r="M170" i="31" s="1"/>
  <c r="CE170" i="31" s="1"/>
  <c r="BS333" i="31"/>
  <c r="BU333" i="31" s="1"/>
  <c r="CO333" i="31" s="1"/>
  <c r="K127" i="31"/>
  <c r="M127" i="31" s="1"/>
  <c r="CE127" i="31" s="1"/>
  <c r="AC265" i="31"/>
  <c r="AE265" i="31" s="1"/>
  <c r="CH265" i="31" s="1"/>
  <c r="BG52" i="31"/>
  <c r="BI52" i="31" s="1"/>
  <c r="CM52" i="31" s="1"/>
  <c r="K247" i="31"/>
  <c r="M247" i="31" s="1"/>
  <c r="CE247" i="31" s="1"/>
  <c r="BA58" i="31"/>
  <c r="BC58" i="31" s="1"/>
  <c r="CL58" i="31" s="1"/>
  <c r="BG101" i="31"/>
  <c r="BI101" i="31" s="1"/>
  <c r="CM101" i="31" s="1"/>
  <c r="K155" i="31"/>
  <c r="BS249" i="31"/>
  <c r="BU249" i="31" s="1"/>
  <c r="CO249" i="31" s="1"/>
  <c r="BG132" i="31"/>
  <c r="BI132" i="31" s="1"/>
  <c r="CM132" i="31" s="1"/>
  <c r="K195" i="31"/>
  <c r="M195" i="31" s="1"/>
  <c r="CE195" i="31" s="1"/>
  <c r="AO66" i="31"/>
  <c r="AQ66" i="31" s="1"/>
  <c r="CJ66" i="31" s="1"/>
  <c r="BG129" i="31"/>
  <c r="BI129" i="31" s="1"/>
  <c r="CM129" i="31" s="1"/>
  <c r="K273" i="31"/>
  <c r="M273" i="31" s="1"/>
  <c r="CE273" i="31" s="1"/>
  <c r="AO261" i="31"/>
  <c r="AQ261" i="31" s="1"/>
  <c r="CJ261" i="31" s="1"/>
  <c r="K59" i="31"/>
  <c r="BA281" i="31"/>
  <c r="BC281" i="31" s="1"/>
  <c r="CL281" i="31" s="1"/>
  <c r="K40" i="31"/>
  <c r="M40" i="31" s="1"/>
  <c r="CE40" i="31" s="1"/>
  <c r="Q248" i="31"/>
  <c r="S248" i="31" s="1"/>
  <c r="CF248" i="31" s="1"/>
  <c r="BG351" i="31"/>
  <c r="BI351" i="31" s="1"/>
  <c r="CM351" i="31" s="1"/>
  <c r="K286" i="31"/>
  <c r="M286" i="31" s="1"/>
  <c r="CE286" i="31" s="1"/>
  <c r="Q220" i="31"/>
  <c r="S220" i="31" s="1"/>
  <c r="CF220" i="31" s="1"/>
  <c r="K268" i="31"/>
  <c r="M268" i="31" s="1"/>
  <c r="CE268" i="31" s="1"/>
  <c r="AO39" i="31"/>
  <c r="AQ39" i="31" s="1"/>
  <c r="CJ39" i="31" s="1"/>
  <c r="K142" i="31"/>
  <c r="M142" i="31" s="1"/>
  <c r="CE142" i="31" s="1"/>
  <c r="Q242" i="31"/>
  <c r="S242" i="31" s="1"/>
  <c r="CF242" i="31" s="1"/>
  <c r="BG338" i="31"/>
  <c r="BI338" i="31" s="1"/>
  <c r="CM338" i="31" s="1"/>
  <c r="K18" i="31"/>
  <c r="M18" i="31" s="1"/>
  <c r="CE18" i="31" s="1"/>
  <c r="BA203" i="31"/>
  <c r="BC203" i="31" s="1"/>
  <c r="CL203" i="31" s="1"/>
  <c r="K234" i="31"/>
  <c r="M234" i="31" s="1"/>
  <c r="CE234" i="31" s="1"/>
  <c r="AC269" i="31"/>
  <c r="AE269" i="31" s="1"/>
  <c r="CH269" i="31" s="1"/>
  <c r="AC161" i="31"/>
  <c r="AE161" i="31" s="1"/>
  <c r="CH161" i="31" s="1"/>
  <c r="K194" i="31"/>
  <c r="M194" i="31" s="1"/>
  <c r="CE194" i="31" s="1"/>
  <c r="BS25" i="31"/>
  <c r="BU25" i="31" s="1"/>
  <c r="CO25" i="31" s="1"/>
  <c r="K38" i="31"/>
  <c r="M38" i="31" s="1"/>
  <c r="CE38" i="31" s="1"/>
  <c r="Q334" i="31"/>
  <c r="S334" i="31" s="1"/>
  <c r="CF334" i="31" s="1"/>
  <c r="BG91" i="31"/>
  <c r="BI91" i="31" s="1"/>
  <c r="CM91" i="31" s="1"/>
  <c r="K133" i="31"/>
  <c r="M133" i="31" s="1"/>
  <c r="CE133" i="31" s="1"/>
  <c r="AC255" i="31"/>
  <c r="AE255" i="31" s="1"/>
  <c r="CH255" i="31" s="1"/>
  <c r="W298" i="31"/>
  <c r="Y298" i="31" s="1"/>
  <c r="CG298" i="31" s="1"/>
  <c r="K164" i="31"/>
  <c r="M164" i="31" s="1"/>
  <c r="CE164" i="31" s="1"/>
  <c r="Q120" i="31"/>
  <c r="S120" i="31" s="1"/>
  <c r="CF120" i="31" s="1"/>
  <c r="BG179" i="31"/>
  <c r="BI179" i="31" s="1"/>
  <c r="CM179" i="31" s="1"/>
  <c r="BS134" i="31"/>
  <c r="BU134" i="31" s="1"/>
  <c r="CO134" i="31" s="1"/>
  <c r="K279" i="31"/>
  <c r="M279" i="31" s="1"/>
  <c r="CE279" i="31" s="1"/>
  <c r="AC96" i="31"/>
  <c r="AE96" i="31" s="1"/>
  <c r="CH96" i="31" s="1"/>
  <c r="K336" i="31"/>
  <c r="M336" i="31" s="1"/>
  <c r="CE336" i="31" s="1"/>
  <c r="BA287" i="31"/>
  <c r="BC287" i="31" s="1"/>
  <c r="CL287" i="31" s="1"/>
  <c r="K183" i="31"/>
  <c r="M183" i="31" s="1"/>
  <c r="CE183" i="31" s="1"/>
  <c r="AC55" i="31"/>
  <c r="AE55" i="31" s="1"/>
  <c r="CH55" i="31" s="1"/>
  <c r="BA198" i="31"/>
  <c r="BC198" i="31" s="1"/>
  <c r="CL198" i="31" s="1"/>
  <c r="W123" i="31"/>
  <c r="Y123" i="31" s="1"/>
  <c r="CG123" i="31" s="1"/>
  <c r="AC289" i="31"/>
  <c r="AE289" i="31" s="1"/>
  <c r="CH289" i="31" s="1"/>
  <c r="W47" i="31"/>
  <c r="Y47" i="31" s="1"/>
  <c r="CG47" i="31" s="1"/>
  <c r="BG160" i="31"/>
  <c r="BI160" i="31" s="1"/>
  <c r="CM160" i="31" s="1"/>
  <c r="AC139" i="31"/>
  <c r="AE139" i="31" s="1"/>
  <c r="CH139" i="31" s="1"/>
  <c r="W86" i="31"/>
  <c r="Y86" i="31" s="1"/>
  <c r="CG86" i="31" s="1"/>
  <c r="AC74" i="31"/>
  <c r="AE74" i="31" s="1"/>
  <c r="CH74" i="31" s="1"/>
  <c r="W17" i="31"/>
  <c r="Y17" i="31" s="1"/>
  <c r="CG17" i="31" s="1"/>
  <c r="BG200" i="31"/>
  <c r="BI200" i="31" s="1"/>
  <c r="CM200" i="31" s="1"/>
  <c r="AO300" i="31"/>
  <c r="AQ300" i="31" s="1"/>
  <c r="CJ300" i="31" s="1"/>
  <c r="W308" i="31"/>
  <c r="Y308" i="31" s="1"/>
  <c r="CG308" i="31" s="1"/>
  <c r="O354" i="31"/>
  <c r="O3" i="31"/>
  <c r="Q7" i="31"/>
  <c r="S7" i="31" s="1"/>
  <c r="BG230" i="31"/>
  <c r="BI230" i="31" s="1"/>
  <c r="CM230" i="31" s="1"/>
  <c r="AO258" i="31"/>
  <c r="AQ258" i="31" s="1"/>
  <c r="CJ258" i="31" s="1"/>
  <c r="BG130" i="31"/>
  <c r="BI130" i="31" s="1"/>
  <c r="CM130" i="31" s="1"/>
  <c r="BS147" i="31"/>
  <c r="BU147" i="31" s="1"/>
  <c r="CO147" i="31" s="1"/>
  <c r="W290" i="31"/>
  <c r="Y290" i="31" s="1"/>
  <c r="CG290" i="31" s="1"/>
  <c r="AC251" i="31"/>
  <c r="AE251" i="31" s="1"/>
  <c r="CH251" i="31" s="1"/>
  <c r="BS14" i="31"/>
  <c r="BU14" i="31" s="1"/>
  <c r="CO14" i="31" s="1"/>
  <c r="BG44" i="31"/>
  <c r="BI44" i="31" s="1"/>
  <c r="CM44" i="31" s="1"/>
  <c r="K325" i="31"/>
  <c r="M325" i="31" s="1"/>
  <c r="CE325" i="31" s="1"/>
  <c r="BS283" i="31"/>
  <c r="BU283" i="31" s="1"/>
  <c r="CO283" i="31" s="1"/>
  <c r="AC231" i="31"/>
  <c r="AE231" i="31" s="1"/>
  <c r="CH231" i="31" s="1"/>
  <c r="BG79" i="31"/>
  <c r="BI79" i="31" s="1"/>
  <c r="CM79" i="31" s="1"/>
  <c r="BA229" i="31"/>
  <c r="BC229" i="31" s="1"/>
  <c r="CL229" i="31" s="1"/>
  <c r="AC182" i="31"/>
  <c r="AE182" i="31" s="1"/>
  <c r="CH182" i="31" s="1"/>
  <c r="W352" i="31"/>
  <c r="Y352" i="31" s="1"/>
  <c r="CG352" i="31" s="1"/>
  <c r="BA267" i="31"/>
  <c r="BC267" i="31" s="1"/>
  <c r="CL267" i="31" s="1"/>
  <c r="K52" i="31"/>
  <c r="M52" i="31" s="1"/>
  <c r="CE52" i="31" s="1"/>
  <c r="AC224" i="31"/>
  <c r="AE224" i="31" s="1"/>
  <c r="CH224" i="31" s="1"/>
  <c r="AO57" i="31"/>
  <c r="AQ57" i="31" s="1"/>
  <c r="CJ57" i="31" s="1"/>
  <c r="AO269" i="31"/>
  <c r="AQ269" i="31" s="1"/>
  <c r="CJ269" i="31" s="1"/>
  <c r="Q104" i="31"/>
  <c r="S104" i="31" s="1"/>
  <c r="CF104" i="31" s="1"/>
  <c r="AC192" i="31"/>
  <c r="AE192" i="31" s="1"/>
  <c r="CH192" i="31" s="1"/>
  <c r="Q283" i="31"/>
  <c r="S283" i="31" s="1"/>
  <c r="CF283" i="31" s="1"/>
  <c r="AC285" i="31"/>
  <c r="AE285" i="31" s="1"/>
  <c r="CH285" i="31" s="1"/>
  <c r="AO37" i="31"/>
  <c r="AQ37" i="31" s="1"/>
  <c r="CJ37" i="31" s="1"/>
  <c r="BS204" i="31"/>
  <c r="BU204" i="31" s="1"/>
  <c r="CO204" i="31" s="1"/>
  <c r="AC80" i="31"/>
  <c r="AE80" i="31" s="1"/>
  <c r="CH80" i="31" s="1"/>
  <c r="W312" i="31"/>
  <c r="Y312" i="31" s="1"/>
  <c r="CG312" i="31" s="1"/>
  <c r="BS259" i="31"/>
  <c r="BU259" i="31" s="1"/>
  <c r="CO259" i="31" s="1"/>
  <c r="BA310" i="31"/>
  <c r="BC310" i="31" s="1"/>
  <c r="CL310" i="31" s="1"/>
  <c r="BS152" i="31"/>
  <c r="BU152" i="31" s="1"/>
  <c r="CO152" i="31" s="1"/>
  <c r="BA19" i="31"/>
  <c r="BC19" i="31" s="1"/>
  <c r="CL19" i="31" s="1"/>
  <c r="AC219" i="31"/>
  <c r="AE219" i="31" s="1"/>
  <c r="CH219" i="31" s="1"/>
  <c r="K346" i="31"/>
  <c r="M346" i="31" s="1"/>
  <c r="CE346" i="31" s="1"/>
  <c r="BS116" i="31"/>
  <c r="BU116" i="31" s="1"/>
  <c r="CO116" i="31" s="1"/>
  <c r="W327" i="31"/>
  <c r="Y327" i="31" s="1"/>
  <c r="CG327" i="31" s="1"/>
  <c r="K162" i="31"/>
  <c r="M162" i="31" s="1"/>
  <c r="CE162" i="31" s="1"/>
  <c r="Q112" i="31"/>
  <c r="S112" i="31" s="1"/>
  <c r="CF112" i="31" s="1"/>
  <c r="BA293" i="31"/>
  <c r="BC293" i="31" s="1"/>
  <c r="CL293" i="31" s="1"/>
  <c r="K323" i="31"/>
  <c r="M323" i="31" s="1"/>
  <c r="CE323" i="31" s="1"/>
  <c r="BG209" i="31"/>
  <c r="BI209" i="31" s="1"/>
  <c r="CM209" i="31" s="1"/>
  <c r="K97" i="31"/>
  <c r="M97" i="31" s="1"/>
  <c r="CE97" i="31" s="1"/>
  <c r="BA312" i="31"/>
  <c r="BC312" i="31" s="1"/>
  <c r="CL312" i="31" s="1"/>
  <c r="K56" i="31"/>
  <c r="BA259" i="31"/>
  <c r="BC259" i="31" s="1"/>
  <c r="CL259" i="31" s="1"/>
  <c r="K12" i="31"/>
  <c r="M12" i="31" s="1"/>
  <c r="CE12" i="31" s="1"/>
  <c r="G7" i="41" s="1"/>
  <c r="BG347" i="31"/>
  <c r="BI347" i="31" s="1"/>
  <c r="CM347" i="31" s="1"/>
  <c r="AC116" i="31"/>
  <c r="AE116" i="31" s="1"/>
  <c r="CH116" i="31" s="1"/>
  <c r="BG327" i="31"/>
  <c r="BI327" i="31" s="1"/>
  <c r="CM327" i="31" s="1"/>
  <c r="AC112" i="31"/>
  <c r="AE112" i="31" s="1"/>
  <c r="CH112" i="31" s="1"/>
  <c r="K184" i="31"/>
  <c r="M184" i="31" s="1"/>
  <c r="CE184" i="31" s="1"/>
  <c r="AC293" i="31"/>
  <c r="AE293" i="31" s="1"/>
  <c r="CH293" i="31" s="1"/>
  <c r="BG323" i="31"/>
  <c r="BI323" i="31" s="1"/>
  <c r="CM323" i="31" s="1"/>
  <c r="BS93" i="31"/>
  <c r="BU93" i="31" s="1"/>
  <c r="CO93" i="31" s="1"/>
  <c r="AC312" i="31"/>
  <c r="AE312" i="31" s="1"/>
  <c r="CH312" i="31" s="1"/>
  <c r="W156" i="31"/>
  <c r="Y156" i="31" s="1"/>
  <c r="CG156" i="31" s="1"/>
  <c r="AC259" i="31"/>
  <c r="AE259" i="31" s="1"/>
  <c r="CH259" i="31" s="1"/>
  <c r="AO310" i="31"/>
  <c r="AQ310" i="31" s="1"/>
  <c r="CJ310" i="31" s="1"/>
  <c r="K88" i="31"/>
  <c r="M88" i="31" s="1"/>
  <c r="CE88" i="31" s="1"/>
  <c r="AO144" i="31"/>
  <c r="AQ144" i="31" s="1"/>
  <c r="CJ144" i="31" s="1"/>
  <c r="AC168" i="31"/>
  <c r="AE168" i="31" s="1"/>
  <c r="CH168" i="31" s="1"/>
  <c r="BA187" i="31"/>
  <c r="BC187" i="31" s="1"/>
  <c r="CL187" i="31" s="1"/>
  <c r="BA318" i="31"/>
  <c r="BC318" i="31" s="1"/>
  <c r="CL318" i="31" s="1"/>
  <c r="BG82" i="31"/>
  <c r="BI82" i="31" s="1"/>
  <c r="CM82" i="31" s="1"/>
  <c r="BA33" i="31"/>
  <c r="BC33" i="31" s="1"/>
  <c r="CL33" i="31" s="1"/>
  <c r="Q9" i="31"/>
  <c r="S9" i="31" s="1"/>
  <c r="CF9" i="31" s="1"/>
  <c r="H4" i="41" s="1"/>
  <c r="BA153" i="31"/>
  <c r="BC153" i="31" s="1"/>
  <c r="CL153" i="31" s="1"/>
  <c r="K98" i="31"/>
  <c r="AO305" i="31"/>
  <c r="AQ305" i="31" s="1"/>
  <c r="CJ305" i="31" s="1"/>
  <c r="BA22" i="31"/>
  <c r="BC22" i="31" s="1"/>
  <c r="CL22" i="31" s="1"/>
  <c r="AW295" i="31"/>
  <c r="CK295" i="31" s="1"/>
  <c r="AC218" i="31"/>
  <c r="AE218" i="31" s="1"/>
  <c r="CH218" i="31" s="1"/>
  <c r="AC264" i="31"/>
  <c r="AE264" i="31" s="1"/>
  <c r="CH264" i="31" s="1"/>
  <c r="K284" i="31"/>
  <c r="M284" i="31" s="1"/>
  <c r="CE284" i="31" s="1"/>
  <c r="AC26" i="31"/>
  <c r="AE26" i="31" s="1"/>
  <c r="CH26" i="31" s="1"/>
  <c r="BS50" i="31"/>
  <c r="BU50" i="31" s="1"/>
  <c r="CO50" i="31" s="1"/>
  <c r="Q138" i="31"/>
  <c r="S138" i="31" s="1"/>
  <c r="CF138" i="31" s="1"/>
  <c r="BS278" i="31"/>
  <c r="BU278" i="31" s="1"/>
  <c r="CO278" i="31" s="1"/>
  <c r="BS238" i="31"/>
  <c r="BU238" i="31" s="1"/>
  <c r="CO238" i="31" s="1"/>
  <c r="W117" i="31"/>
  <c r="Y117" i="31" s="1"/>
  <c r="CG117" i="31" s="1"/>
  <c r="BA274" i="31"/>
  <c r="BC274" i="31" s="1"/>
  <c r="CL274" i="31" s="1"/>
  <c r="W343" i="31"/>
  <c r="Y343" i="31" s="1"/>
  <c r="CG343" i="31" s="1"/>
  <c r="Q83" i="31"/>
  <c r="S83" i="31" s="1"/>
  <c r="CF83" i="31" s="1"/>
  <c r="Q348" i="31"/>
  <c r="S348" i="31" s="1"/>
  <c r="CF348" i="31" s="1"/>
  <c r="BS46" i="31"/>
  <c r="BU46" i="31" s="1"/>
  <c r="CO46" i="31" s="1"/>
  <c r="BG185" i="31"/>
  <c r="BI185" i="31" s="1"/>
  <c r="CM185" i="31" s="1"/>
  <c r="AO150" i="31"/>
  <c r="AQ150" i="31" s="1"/>
  <c r="CJ150" i="31" s="1"/>
  <c r="BS111" i="31"/>
  <c r="BU111" i="31" s="1"/>
  <c r="CO111" i="31" s="1"/>
  <c r="BG32" i="31"/>
  <c r="BI32" i="31" s="1"/>
  <c r="CM32" i="31" s="1"/>
  <c r="K145" i="31"/>
  <c r="M145" i="31" s="1"/>
  <c r="CE145" i="31" s="1"/>
  <c r="AO328" i="31"/>
  <c r="AQ328" i="31" s="1"/>
  <c r="CJ328" i="31" s="1"/>
  <c r="AC31" i="31"/>
  <c r="AE31" i="31" s="1"/>
  <c r="CH31" i="31" s="1"/>
  <c r="BS352" i="31"/>
  <c r="BU352" i="31" s="1"/>
  <c r="CO352" i="31" s="1"/>
  <c r="BS216" i="31"/>
  <c r="BU216" i="31" s="1"/>
  <c r="CO216" i="31" s="1"/>
  <c r="AO11" i="31"/>
  <c r="AQ11" i="31" s="1"/>
  <c r="CJ11" i="31" s="1"/>
  <c r="L6" i="41" s="1"/>
  <c r="W51" i="31"/>
  <c r="Y51" i="31" s="1"/>
  <c r="CG51" i="31" s="1"/>
  <c r="AO163" i="31"/>
  <c r="AQ163" i="31" s="1"/>
  <c r="CJ163" i="31" s="1"/>
  <c r="AO65" i="31"/>
  <c r="AQ65" i="31" s="1"/>
  <c r="CJ65" i="31" s="1"/>
  <c r="K306" i="31"/>
  <c r="M306" i="31" s="1"/>
  <c r="CE306" i="31" s="1"/>
  <c r="AO75" i="31"/>
  <c r="AQ75" i="31" s="1"/>
  <c r="CJ75" i="31" s="1"/>
  <c r="BG70" i="31"/>
  <c r="BI70" i="31" s="1"/>
  <c r="CM70" i="31" s="1"/>
  <c r="AC256" i="31"/>
  <c r="AE256" i="31" s="1"/>
  <c r="CH256" i="31" s="1"/>
  <c r="BA105" i="31"/>
  <c r="BC105" i="31" s="1"/>
  <c r="CL105" i="31" s="1"/>
  <c r="AO333" i="31"/>
  <c r="AQ333" i="31" s="1"/>
  <c r="CJ333" i="31" s="1"/>
  <c r="Q265" i="31"/>
  <c r="S265" i="31" s="1"/>
  <c r="CF265" i="31" s="1"/>
  <c r="BS58" i="31"/>
  <c r="BU58" i="31" s="1"/>
  <c r="CO58" i="31" s="1"/>
  <c r="AO249" i="31"/>
  <c r="AQ249" i="31" s="1"/>
  <c r="CJ249" i="31" s="1"/>
  <c r="BA66" i="31"/>
  <c r="BC66" i="31" s="1"/>
  <c r="CL66" i="31" s="1"/>
  <c r="AC261" i="31"/>
  <c r="AE261" i="31" s="1"/>
  <c r="CH261" i="31" s="1"/>
  <c r="BS281" i="31"/>
  <c r="BU281" i="31" s="1"/>
  <c r="CO281" i="31" s="1"/>
  <c r="W311" i="31"/>
  <c r="Y311" i="31" s="1"/>
  <c r="CG311" i="31" s="1"/>
  <c r="BA248" i="31"/>
  <c r="BC248" i="31" s="1"/>
  <c r="CL248" i="31" s="1"/>
  <c r="CA286" i="31"/>
  <c r="CP286" i="31" s="1"/>
  <c r="BA220" i="31"/>
  <c r="BC220" i="31" s="1"/>
  <c r="CL220" i="31" s="1"/>
  <c r="BG332" i="31"/>
  <c r="BI332" i="31" s="1"/>
  <c r="CM332" i="31" s="1"/>
  <c r="Q39" i="31"/>
  <c r="S39" i="31" s="1"/>
  <c r="CF39" i="31" s="1"/>
  <c r="BA242" i="31"/>
  <c r="BC242" i="31" s="1"/>
  <c r="CL242" i="31" s="1"/>
  <c r="AC203" i="31"/>
  <c r="AE203" i="31" s="1"/>
  <c r="CH203" i="31" s="1"/>
  <c r="BG223" i="31"/>
  <c r="BI223" i="31" s="1"/>
  <c r="CM223" i="31" s="1"/>
  <c r="BA161" i="31"/>
  <c r="BC161" i="31" s="1"/>
  <c r="CL161" i="31" s="1"/>
  <c r="AO243" i="31"/>
  <c r="AQ243" i="31" s="1"/>
  <c r="CJ243" i="31" s="1"/>
  <c r="AO25" i="31"/>
  <c r="AQ25" i="31" s="1"/>
  <c r="CJ25" i="31" s="1"/>
  <c r="AO334" i="31"/>
  <c r="AQ334" i="31" s="1"/>
  <c r="CJ334" i="31" s="1"/>
  <c r="BS255" i="31"/>
  <c r="BU255" i="31" s="1"/>
  <c r="CO255" i="31" s="1"/>
  <c r="BG298" i="31"/>
  <c r="BI298" i="31" s="1"/>
  <c r="CM298" i="31" s="1"/>
  <c r="AC120" i="31"/>
  <c r="AE120" i="31" s="1"/>
  <c r="CH120" i="31" s="1"/>
  <c r="K135" i="31"/>
  <c r="M135" i="31" s="1"/>
  <c r="CE135" i="31" s="1"/>
  <c r="AC134" i="31"/>
  <c r="AE134" i="31" s="1"/>
  <c r="CH134" i="31" s="1"/>
  <c r="Q304" i="31"/>
  <c r="S304" i="31" s="1"/>
  <c r="CF304" i="31" s="1"/>
  <c r="AO96" i="31"/>
  <c r="AQ96" i="31" s="1"/>
  <c r="CJ96" i="31" s="1"/>
  <c r="BG15" i="31"/>
  <c r="BI15" i="31" s="1"/>
  <c r="CM15" i="31" s="1"/>
  <c r="BS287" i="31"/>
  <c r="BU287" i="31" s="1"/>
  <c r="CO287" i="31" s="1"/>
  <c r="BA55" i="31"/>
  <c r="BC55" i="31" s="1"/>
  <c r="CL55" i="31" s="1"/>
  <c r="W118" i="31"/>
  <c r="Y118" i="31" s="1"/>
  <c r="CG118" i="31" s="1"/>
  <c r="K345" i="31"/>
  <c r="M345" i="31" s="1"/>
  <c r="CE345" i="31" s="1"/>
  <c r="AO322" i="31"/>
  <c r="AQ322" i="31" s="1"/>
  <c r="CJ322" i="31" s="1"/>
  <c r="Q198" i="31"/>
  <c r="S198" i="31" s="1"/>
  <c r="CF198" i="31" s="1"/>
  <c r="BG303" i="31"/>
  <c r="BI303" i="31" s="1"/>
  <c r="CM303" i="31" s="1"/>
  <c r="BA289" i="31"/>
  <c r="BC289" i="31" s="1"/>
  <c r="CL289" i="31" s="1"/>
  <c r="AC47" i="31"/>
  <c r="AE47" i="31" s="1"/>
  <c r="CH47" i="31" s="1"/>
  <c r="Q139" i="31"/>
  <c r="S139" i="31" s="1"/>
  <c r="CF139" i="31" s="1"/>
  <c r="AO86" i="31"/>
  <c r="AQ86" i="31" s="1"/>
  <c r="CJ86" i="31" s="1"/>
  <c r="BG213" i="31"/>
  <c r="BI213" i="31" s="1"/>
  <c r="CM213" i="31" s="1"/>
  <c r="Q74" i="31"/>
  <c r="S74" i="31" s="1"/>
  <c r="CF74" i="31" s="1"/>
  <c r="AO17" i="31"/>
  <c r="AQ17" i="31" s="1"/>
  <c r="CJ17" i="31" s="1"/>
  <c r="BA300" i="31"/>
  <c r="BC300" i="31" s="1"/>
  <c r="CL300" i="31" s="1"/>
  <c r="Q308" i="31"/>
  <c r="S308" i="31" s="1"/>
  <c r="CF308" i="31" s="1"/>
  <c r="BG34" i="31"/>
  <c r="BI34" i="31" s="1"/>
  <c r="CM34" i="31" s="1"/>
  <c r="AG354" i="31"/>
  <c r="AG3" i="31"/>
  <c r="Q230" i="31"/>
  <c r="S230" i="31" s="1"/>
  <c r="CF230" i="31" s="1"/>
  <c r="AC258" i="31"/>
  <c r="AE258" i="31" s="1"/>
  <c r="CH258" i="31" s="1"/>
  <c r="Q130" i="31"/>
  <c r="S130" i="31" s="1"/>
  <c r="CF130" i="31" s="1"/>
  <c r="BA147" i="31"/>
  <c r="BC147" i="31" s="1"/>
  <c r="CL147" i="31" s="1"/>
  <c r="Q251" i="31"/>
  <c r="S251" i="31" s="1"/>
  <c r="CF251" i="31" s="1"/>
  <c r="BG208" i="31"/>
  <c r="BI208" i="31" s="1"/>
  <c r="CM208" i="31" s="1"/>
  <c r="Q14" i="31"/>
  <c r="S14" i="31" s="1"/>
  <c r="CF14" i="31" s="1"/>
  <c r="BA283" i="31"/>
  <c r="BC283" i="31" s="1"/>
  <c r="CL283" i="31" s="1"/>
  <c r="W113" i="31"/>
  <c r="Y113" i="31" s="1"/>
  <c r="CG113" i="31" s="1"/>
  <c r="BA162" i="31"/>
  <c r="BC162" i="31" s="1"/>
  <c r="CL162" i="31" s="1"/>
  <c r="BA323" i="31"/>
  <c r="BC323" i="31" s="1"/>
  <c r="CL323" i="31" s="1"/>
  <c r="AC88" i="31"/>
  <c r="AE88" i="31" s="1"/>
  <c r="CH88" i="31" s="1"/>
  <c r="BG263" i="31"/>
  <c r="BI263" i="31" s="1"/>
  <c r="CM263" i="31" s="1"/>
  <c r="BG173" i="31"/>
  <c r="BI173" i="31" s="1"/>
  <c r="CM173" i="31" s="1"/>
  <c r="BA136" i="31"/>
  <c r="BC136" i="31" s="1"/>
  <c r="CL136" i="31" s="1"/>
  <c r="BS82" i="31"/>
  <c r="BU82" i="31" s="1"/>
  <c r="CO82" i="31" s="1"/>
  <c r="AO146" i="31"/>
  <c r="AQ146" i="31" s="1"/>
  <c r="CJ146" i="31" s="1"/>
  <c r="Q181" i="31"/>
  <c r="S181" i="31" s="1"/>
  <c r="CF181" i="31" s="1"/>
  <c r="BG221" i="31"/>
  <c r="BI221" i="31" s="1"/>
  <c r="CM221" i="31" s="1"/>
  <c r="AC225" i="31"/>
  <c r="AE225" i="31" s="1"/>
  <c r="CH225" i="31" s="1"/>
  <c r="BS280" i="31"/>
  <c r="BU280" i="31" s="1"/>
  <c r="CO280" i="31" s="1"/>
  <c r="BA36" i="31"/>
  <c r="BC36" i="31" s="1"/>
  <c r="CL36" i="31" s="1"/>
  <c r="BG110" i="31"/>
  <c r="BI110" i="31" s="1"/>
  <c r="CM110" i="31" s="1"/>
  <c r="Q29" i="31"/>
  <c r="S29" i="31" s="1"/>
  <c r="CF29" i="31" s="1"/>
  <c r="Q21" i="31"/>
  <c r="S21" i="31" s="1"/>
  <c r="CF21" i="31" s="1"/>
  <c r="BG8" i="31"/>
  <c r="BI8" i="31" s="1"/>
  <c r="CM8" i="31" s="1"/>
  <c r="O3" i="41" s="1"/>
  <c r="BA228" i="31"/>
  <c r="BC228" i="31" s="1"/>
  <c r="CL228" i="31" s="1"/>
  <c r="Q145" i="31"/>
  <c r="S145" i="31" s="1"/>
  <c r="CF145" i="31" s="1"/>
  <c r="W270" i="31"/>
  <c r="Y270" i="31" s="1"/>
  <c r="CG270" i="31" s="1"/>
  <c r="AO205" i="31"/>
  <c r="AQ205" i="31" s="1"/>
  <c r="CJ205" i="31" s="1"/>
  <c r="Q340" i="31"/>
  <c r="S340" i="31" s="1"/>
  <c r="CF340" i="31" s="1"/>
  <c r="BA316" i="31"/>
  <c r="BC316" i="31" s="1"/>
  <c r="CL316" i="31" s="1"/>
  <c r="AO52" i="31"/>
  <c r="AQ52" i="31" s="1"/>
  <c r="CJ52" i="31" s="1"/>
  <c r="BA101" i="31"/>
  <c r="BC101" i="31" s="1"/>
  <c r="CL101" i="31" s="1"/>
  <c r="AO132" i="31"/>
  <c r="AQ132" i="31" s="1"/>
  <c r="CJ132" i="31" s="1"/>
  <c r="Q273" i="31"/>
  <c r="S273" i="31" s="1"/>
  <c r="CF273" i="31" s="1"/>
  <c r="Q286" i="31"/>
  <c r="S286" i="31" s="1"/>
  <c r="CF286" i="31" s="1"/>
  <c r="BA254" i="31"/>
  <c r="BC254" i="31" s="1"/>
  <c r="CL254" i="31" s="1"/>
  <c r="BS279" i="31"/>
  <c r="BU279" i="31" s="1"/>
  <c r="CO279" i="31" s="1"/>
  <c r="AO200" i="31"/>
  <c r="AQ200" i="31" s="1"/>
  <c r="CJ200" i="31" s="1"/>
  <c r="Q162" i="31"/>
  <c r="S162" i="31" s="1"/>
  <c r="CF162" i="31" s="1"/>
  <c r="AO271" i="31"/>
  <c r="AQ271" i="31" s="1"/>
  <c r="CJ271" i="31" s="1"/>
  <c r="AC45" i="31"/>
  <c r="AE45" i="31" s="1"/>
  <c r="CH45" i="31" s="1"/>
  <c r="W204" i="31"/>
  <c r="Y204" i="31" s="1"/>
  <c r="CG204" i="31" s="1"/>
  <c r="Q80" i="31"/>
  <c r="S80" i="31" s="1"/>
  <c r="CF80" i="31" s="1"/>
  <c r="BS92" i="31"/>
  <c r="BU92" i="31" s="1"/>
  <c r="CO92" i="31" s="1"/>
  <c r="BS149" i="31"/>
  <c r="BU149" i="31" s="1"/>
  <c r="CO149" i="31" s="1"/>
  <c r="BA61" i="31"/>
  <c r="BC61" i="31" s="1"/>
  <c r="CL61" i="31" s="1"/>
  <c r="AO173" i="31"/>
  <c r="AQ173" i="31" s="1"/>
  <c r="CJ173" i="31" s="1"/>
  <c r="AO272" i="31"/>
  <c r="AQ272" i="31" s="1"/>
  <c r="CJ272" i="31" s="1"/>
  <c r="AO282" i="31"/>
  <c r="AQ282" i="31" s="1"/>
  <c r="CJ282" i="31" s="1"/>
  <c r="AO81" i="31"/>
  <c r="AQ81" i="31" s="1"/>
  <c r="CJ81" i="31" s="1"/>
  <c r="W229" i="31"/>
  <c r="Y229" i="31" s="1"/>
  <c r="CG229" i="31" s="1"/>
  <c r="AC204" i="31"/>
  <c r="AE204" i="31" s="1"/>
  <c r="CH204" i="31" s="1"/>
  <c r="K119" i="31"/>
  <c r="M119" i="31" s="1"/>
  <c r="CE119" i="31" s="1"/>
  <c r="AC177" i="31"/>
  <c r="AE177" i="31" s="1"/>
  <c r="CH177" i="31" s="1"/>
  <c r="AC165" i="31"/>
  <c r="AE165" i="31" s="1"/>
  <c r="CH165" i="31" s="1"/>
  <c r="BG274" i="31"/>
  <c r="BI274" i="31" s="1"/>
  <c r="CM274" i="31" s="1"/>
  <c r="AC206" i="31"/>
  <c r="AE206" i="31" s="1"/>
  <c r="CH206" i="31" s="1"/>
  <c r="K210" i="31"/>
  <c r="M210" i="31" s="1"/>
  <c r="CE210" i="31" s="1"/>
  <c r="BG328" i="31"/>
  <c r="BI328" i="31" s="1"/>
  <c r="CM328" i="31" s="1"/>
  <c r="Q107" i="31"/>
  <c r="S107" i="31" s="1"/>
  <c r="CF107" i="31" s="1"/>
  <c r="BA157" i="31"/>
  <c r="BC157" i="31" s="1"/>
  <c r="CL157" i="31" s="1"/>
  <c r="AO99" i="31"/>
  <c r="AQ99" i="31" s="1"/>
  <c r="CJ99" i="31" s="1"/>
  <c r="K316" i="31"/>
  <c r="M316" i="31" s="1"/>
  <c r="CE316" i="31" s="1"/>
  <c r="AC199" i="31"/>
  <c r="AE199" i="31" s="1"/>
  <c r="CH199" i="31" s="1"/>
  <c r="BG256" i="31"/>
  <c r="BI256" i="31" s="1"/>
  <c r="CM256" i="31" s="1"/>
  <c r="K84" i="31"/>
  <c r="Q114" i="31"/>
  <c r="S114" i="31" s="1"/>
  <c r="CF114" i="31" s="1"/>
  <c r="BA299" i="31"/>
  <c r="BC299" i="31" s="1"/>
  <c r="CL299" i="31" s="1"/>
  <c r="BG249" i="31"/>
  <c r="BI249" i="31" s="1"/>
  <c r="CM249" i="31" s="1"/>
  <c r="AO224" i="31"/>
  <c r="AQ224" i="31" s="1"/>
  <c r="CJ224" i="31" s="1"/>
  <c r="BG261" i="31"/>
  <c r="BI261" i="31" s="1"/>
  <c r="CM261" i="31" s="1"/>
  <c r="BS102" i="31"/>
  <c r="BU102" i="31" s="1"/>
  <c r="CO102" i="31" s="1"/>
  <c r="BG220" i="31"/>
  <c r="BI220" i="31" s="1"/>
  <c r="CM220" i="31" s="1"/>
  <c r="AO68" i="31"/>
  <c r="AQ68" i="31" s="1"/>
  <c r="CJ68" i="31" s="1"/>
  <c r="K179" i="31"/>
  <c r="M179" i="31" s="1"/>
  <c r="CE179" i="31" s="1"/>
  <c r="W139" i="31"/>
  <c r="Y139" i="31" s="1"/>
  <c r="CG139" i="31" s="1"/>
  <c r="AY354" i="31"/>
  <c r="AY3" i="31"/>
  <c r="BA7" i="31"/>
  <c r="BA204" i="31"/>
  <c r="BC204" i="31" s="1"/>
  <c r="CL204" i="31" s="1"/>
  <c r="AO80" i="31"/>
  <c r="AQ80" i="31" s="1"/>
  <c r="CJ80" i="31" s="1"/>
  <c r="AO169" i="31"/>
  <c r="AQ169" i="31" s="1"/>
  <c r="CJ169" i="31" s="1"/>
  <c r="Q124" i="31"/>
  <c r="S124" i="31" s="1"/>
  <c r="CF124" i="31" s="1"/>
  <c r="AO76" i="31"/>
  <c r="AQ76" i="31" s="1"/>
  <c r="CJ76" i="31" s="1"/>
  <c r="AO321" i="31"/>
  <c r="AQ321" i="31" s="1"/>
  <c r="CJ321" i="31" s="1"/>
  <c r="Q331" i="31"/>
  <c r="S331" i="31" s="1"/>
  <c r="CF331" i="31" s="1"/>
  <c r="K32" i="31"/>
  <c r="M32" i="31" s="1"/>
  <c r="CE32" i="31" s="1"/>
  <c r="BA107" i="31"/>
  <c r="BC107" i="31" s="1"/>
  <c r="CL107" i="31" s="1"/>
  <c r="AC246" i="31"/>
  <c r="AE246" i="31" s="1"/>
  <c r="CH246" i="31" s="1"/>
  <c r="BG11" i="31"/>
  <c r="BI11" i="31" s="1"/>
  <c r="CM11" i="31" s="1"/>
  <c r="O6" i="41" s="1"/>
  <c r="BG163" i="31"/>
  <c r="BI163" i="31" s="1"/>
  <c r="CM163" i="31" s="1"/>
  <c r="BS199" i="31"/>
  <c r="BU199" i="31" s="1"/>
  <c r="CO199" i="31" s="1"/>
  <c r="AC105" i="31"/>
  <c r="AE105" i="31" s="1"/>
  <c r="CH105" i="31" s="1"/>
  <c r="K132" i="31"/>
  <c r="M132" i="31" s="1"/>
  <c r="CE132" i="31" s="1"/>
  <c r="BG254" i="31"/>
  <c r="BI254" i="31" s="1"/>
  <c r="CM254" i="31" s="1"/>
  <c r="K298" i="31"/>
  <c r="M298" i="31" s="1"/>
  <c r="CE298" i="31" s="1"/>
  <c r="BG47" i="31"/>
  <c r="BI47" i="31" s="1"/>
  <c r="CM47" i="31" s="1"/>
  <c r="BA89" i="31"/>
  <c r="BC89" i="31" s="1"/>
  <c r="CL89" i="31" s="1"/>
  <c r="I354" i="31"/>
  <c r="I3" i="31"/>
  <c r="K7" i="31"/>
  <c r="M7" i="31" s="1"/>
  <c r="CE7" i="31" s="1"/>
  <c r="G2" i="41" s="1"/>
  <c r="AC37" i="31"/>
  <c r="AE37" i="31" s="1"/>
  <c r="CH37" i="31" s="1"/>
  <c r="W112" i="31"/>
  <c r="Y112" i="31" s="1"/>
  <c r="CG112" i="31" s="1"/>
  <c r="BS80" i="31"/>
  <c r="BU80" i="31" s="1"/>
  <c r="CO80" i="31" s="1"/>
  <c r="AC169" i="31"/>
  <c r="AE169" i="31" s="1"/>
  <c r="CH169" i="31" s="1"/>
  <c r="BA124" i="31"/>
  <c r="BC124" i="31" s="1"/>
  <c r="CL124" i="31" s="1"/>
  <c r="Q177" i="31"/>
  <c r="S177" i="31" s="1"/>
  <c r="CF177" i="31" s="1"/>
  <c r="Q152" i="31"/>
  <c r="S152" i="31" s="1"/>
  <c r="CF152" i="31" s="1"/>
  <c r="AO19" i="31"/>
  <c r="AQ19" i="31" s="1"/>
  <c r="CJ19" i="31" s="1"/>
  <c r="BA93" i="31"/>
  <c r="BC93" i="31" s="1"/>
  <c r="CL93" i="31" s="1"/>
  <c r="Q76" i="31"/>
  <c r="S76" i="31" s="1"/>
  <c r="CF76" i="31" s="1"/>
  <c r="Q116" i="31"/>
  <c r="S116" i="31" s="1"/>
  <c r="CF116" i="31" s="1"/>
  <c r="BG162" i="31"/>
  <c r="BI162" i="31" s="1"/>
  <c r="CM162" i="31" s="1"/>
  <c r="BS112" i="31"/>
  <c r="BU112" i="31" s="1"/>
  <c r="CO112" i="31" s="1"/>
  <c r="W106" i="31"/>
  <c r="Y106" i="31" s="1"/>
  <c r="CG106" i="31" s="1"/>
  <c r="BG184" i="31"/>
  <c r="BI184" i="31" s="1"/>
  <c r="CM184" i="31" s="1"/>
  <c r="BS293" i="31"/>
  <c r="BU293" i="31" s="1"/>
  <c r="CO293" i="31" s="1"/>
  <c r="W119" i="31"/>
  <c r="Y119" i="31" s="1"/>
  <c r="CG119" i="31" s="1"/>
  <c r="AC93" i="31"/>
  <c r="AE93" i="31" s="1"/>
  <c r="CH93" i="31" s="1"/>
  <c r="Q209" i="31"/>
  <c r="S209" i="31" s="1"/>
  <c r="CF209" i="31" s="1"/>
  <c r="BS312" i="31"/>
  <c r="BU312" i="31" s="1"/>
  <c r="CO312" i="31" s="1"/>
  <c r="AO259" i="31"/>
  <c r="AQ259" i="31" s="1"/>
  <c r="CJ259" i="31" s="1"/>
  <c r="W315" i="31"/>
  <c r="Y315" i="31" s="1"/>
  <c r="CG315" i="31" s="1"/>
  <c r="AC310" i="31"/>
  <c r="AE310" i="31" s="1"/>
  <c r="CH310" i="31" s="1"/>
  <c r="W63" i="31"/>
  <c r="Y63" i="31" s="1"/>
  <c r="CG63" i="31" s="1"/>
  <c r="BS144" i="31"/>
  <c r="BU144" i="31" s="1"/>
  <c r="CO144" i="31" s="1"/>
  <c r="W347" i="31"/>
  <c r="Y347" i="31" s="1"/>
  <c r="CG347" i="31" s="1"/>
  <c r="W180" i="31"/>
  <c r="Y180" i="31" s="1"/>
  <c r="CG180" i="31" s="1"/>
  <c r="BG10" i="31"/>
  <c r="BI10" i="31" s="1"/>
  <c r="CM10" i="31" s="1"/>
  <c r="O5" i="41" s="1"/>
  <c r="AC187" i="31"/>
  <c r="AE187" i="31" s="1"/>
  <c r="CH187" i="31" s="1"/>
  <c r="W16" i="31"/>
  <c r="Y16" i="31" s="1"/>
  <c r="CG16" i="31" s="1"/>
  <c r="K136" i="31"/>
  <c r="M136" i="31" s="1"/>
  <c r="CE136" i="31" s="1"/>
  <c r="AO318" i="31"/>
  <c r="AQ318" i="31" s="1"/>
  <c r="CJ318" i="31" s="1"/>
  <c r="W82" i="31"/>
  <c r="Y82" i="31" s="1"/>
  <c r="CG82" i="31" s="1"/>
  <c r="AC33" i="31"/>
  <c r="AE33" i="31" s="1"/>
  <c r="CH33" i="31" s="1"/>
  <c r="W79" i="31"/>
  <c r="Y79" i="31" s="1"/>
  <c r="CG79" i="31" s="1"/>
  <c r="BS9" i="31"/>
  <c r="BU9" i="31" s="1"/>
  <c r="CO9" i="31" s="1"/>
  <c r="Q4" i="41" s="1"/>
  <c r="W48" i="31"/>
  <c r="Y48" i="31" s="1"/>
  <c r="CG48" i="31" s="1"/>
  <c r="AC153" i="31"/>
  <c r="AE153" i="31" s="1"/>
  <c r="CH153" i="31" s="1"/>
  <c r="Q305" i="31"/>
  <c r="S305" i="31" s="1"/>
  <c r="CF305" i="31" s="1"/>
  <c r="W77" i="31"/>
  <c r="Y77" i="31" s="1"/>
  <c r="CG77" i="31" s="1"/>
  <c r="AO22" i="31"/>
  <c r="AQ22" i="31" s="1"/>
  <c r="CJ22" i="31" s="1"/>
  <c r="BS295" i="31"/>
  <c r="BU295" i="31" s="1"/>
  <c r="CO295" i="31" s="1"/>
  <c r="AO218" i="31"/>
  <c r="AQ218" i="31" s="1"/>
  <c r="CJ218" i="31" s="1"/>
  <c r="AW264" i="31"/>
  <c r="CK264" i="31" s="1"/>
  <c r="BA26" i="31"/>
  <c r="BC26" i="31" s="1"/>
  <c r="CL26" i="31" s="1"/>
  <c r="W225" i="31"/>
  <c r="Y225" i="31" s="1"/>
  <c r="CG225" i="31" s="1"/>
  <c r="BA50" i="31"/>
  <c r="BC50" i="31" s="1"/>
  <c r="CL50" i="31" s="1"/>
  <c r="Q280" i="31"/>
  <c r="S280" i="31" s="1"/>
  <c r="CF280" i="31" s="1"/>
  <c r="AO90" i="31"/>
  <c r="AQ90" i="31" s="1"/>
  <c r="CJ90" i="31" s="1"/>
  <c r="BS138" i="31"/>
  <c r="BU138" i="31" s="1"/>
  <c r="CO138" i="31" s="1"/>
  <c r="BA278" i="31"/>
  <c r="BC278" i="31" s="1"/>
  <c r="CL278" i="31" s="1"/>
  <c r="W35" i="31"/>
  <c r="Y35" i="31" s="1"/>
  <c r="CG35" i="31" s="1"/>
  <c r="BA238" i="31"/>
  <c r="BC238" i="31" s="1"/>
  <c r="CL238" i="31" s="1"/>
  <c r="AO274" i="31"/>
  <c r="AQ274" i="31" s="1"/>
  <c r="CJ274" i="31" s="1"/>
  <c r="BA83" i="31"/>
  <c r="BC83" i="31" s="1"/>
  <c r="CL83" i="31" s="1"/>
  <c r="BA46" i="31"/>
  <c r="BC46" i="31" s="1"/>
  <c r="CL46" i="31" s="1"/>
  <c r="W185" i="31"/>
  <c r="Y185" i="31" s="1"/>
  <c r="CG185" i="31" s="1"/>
  <c r="BA150" i="31"/>
  <c r="BC150" i="31" s="1"/>
  <c r="CL150" i="31" s="1"/>
  <c r="W210" i="31"/>
  <c r="Y210" i="31" s="1"/>
  <c r="CG210" i="31" s="1"/>
  <c r="Q111" i="31"/>
  <c r="S111" i="31" s="1"/>
  <c r="CF111" i="31" s="1"/>
  <c r="Q32" i="31"/>
  <c r="S32" i="31" s="1"/>
  <c r="CF32" i="31" s="1"/>
  <c r="BG145" i="31"/>
  <c r="BI145" i="31" s="1"/>
  <c r="CM145" i="31" s="1"/>
  <c r="BA328" i="31"/>
  <c r="BC328" i="31" s="1"/>
  <c r="CL328" i="31" s="1"/>
  <c r="W13" i="31"/>
  <c r="Y13" i="31" s="1"/>
  <c r="CG13" i="31" s="1"/>
  <c r="Q31" i="31"/>
  <c r="S31" i="31" s="1"/>
  <c r="CF31" i="31" s="1"/>
  <c r="W301" i="31"/>
  <c r="Y301" i="31" s="1"/>
  <c r="CG301" i="31" s="1"/>
  <c r="BA352" i="31"/>
  <c r="BC352" i="31" s="1"/>
  <c r="CL352" i="31" s="1"/>
  <c r="W201" i="31"/>
  <c r="Y201" i="31" s="1"/>
  <c r="CG201" i="31" s="1"/>
  <c r="BA216" i="31"/>
  <c r="BC216" i="31" s="1"/>
  <c r="CL216" i="31" s="1"/>
  <c r="W28" i="31"/>
  <c r="Y28" i="31" s="1"/>
  <c r="CG28" i="31" s="1"/>
  <c r="Q11" i="31"/>
  <c r="S11" i="31" s="1"/>
  <c r="CF11" i="31" s="1"/>
  <c r="H6" i="41" s="1"/>
  <c r="BS163" i="31"/>
  <c r="BU163" i="31" s="1"/>
  <c r="CO163" i="31" s="1"/>
  <c r="W121" i="31"/>
  <c r="Y121" i="31" s="1"/>
  <c r="CG121" i="31" s="1"/>
  <c r="AC65" i="31"/>
  <c r="AE65" i="31" s="1"/>
  <c r="CH65" i="31" s="1"/>
  <c r="W316" i="31"/>
  <c r="Y316" i="31" s="1"/>
  <c r="CG316" i="31" s="1"/>
  <c r="Q70" i="31"/>
  <c r="S70" i="31" s="1"/>
  <c r="CF70" i="31" s="1"/>
  <c r="BA256" i="31"/>
  <c r="BC256" i="31" s="1"/>
  <c r="CL256" i="31" s="1"/>
  <c r="W341" i="31"/>
  <c r="Y341" i="31" s="1"/>
  <c r="CG341" i="31" s="1"/>
  <c r="Q333" i="31"/>
  <c r="S333" i="31" s="1"/>
  <c r="CF333" i="31" s="1"/>
  <c r="W84" i="31"/>
  <c r="Y84" i="31" s="1"/>
  <c r="CG84" i="31" s="1"/>
  <c r="AO265" i="31"/>
  <c r="AQ265" i="31" s="1"/>
  <c r="CJ265" i="31" s="1"/>
  <c r="W52" i="31"/>
  <c r="Y52" i="31" s="1"/>
  <c r="CG52" i="31" s="1"/>
  <c r="AC58" i="31"/>
  <c r="AE58" i="31" s="1"/>
  <c r="CH58" i="31" s="1"/>
  <c r="W101" i="31"/>
  <c r="Y101" i="31" s="1"/>
  <c r="CG101" i="31" s="1"/>
  <c r="BA249" i="31"/>
  <c r="BC249" i="31" s="1"/>
  <c r="CL249" i="31" s="1"/>
  <c r="W132" i="31"/>
  <c r="Y132" i="31" s="1"/>
  <c r="CG132" i="31" s="1"/>
  <c r="BS66" i="31"/>
  <c r="BU66" i="31" s="1"/>
  <c r="CO66" i="31" s="1"/>
  <c r="W129" i="31"/>
  <c r="Y129" i="31" s="1"/>
  <c r="CG129" i="31" s="1"/>
  <c r="Q261" i="31"/>
  <c r="S261" i="31" s="1"/>
  <c r="CF261" i="31" s="1"/>
  <c r="Q141" i="31"/>
  <c r="S141" i="31" s="1"/>
  <c r="CF141" i="31" s="1"/>
  <c r="AO281" i="31"/>
  <c r="AQ281" i="31" s="1"/>
  <c r="CJ281" i="31" s="1"/>
  <c r="AC248" i="31"/>
  <c r="AE248" i="31" s="1"/>
  <c r="CH248" i="31" s="1"/>
  <c r="W351" i="31"/>
  <c r="Y351" i="31" s="1"/>
  <c r="CG351" i="31" s="1"/>
  <c r="AC286" i="31"/>
  <c r="AE286" i="31" s="1"/>
  <c r="CH286" i="31" s="1"/>
  <c r="AC220" i="31"/>
  <c r="AE220" i="31" s="1"/>
  <c r="CH220" i="31" s="1"/>
  <c r="W332" i="31"/>
  <c r="Y332" i="31" s="1"/>
  <c r="CG332" i="31" s="1"/>
  <c r="BA39" i="31"/>
  <c r="BC39" i="31" s="1"/>
  <c r="CL39" i="31" s="1"/>
  <c r="W254" i="31"/>
  <c r="Y254" i="31" s="1"/>
  <c r="CG254" i="31" s="1"/>
  <c r="AO242" i="31"/>
  <c r="AQ242" i="31" s="1"/>
  <c r="CJ242" i="31" s="1"/>
  <c r="W338" i="31"/>
  <c r="Y338" i="31" s="1"/>
  <c r="CG338" i="31" s="1"/>
  <c r="AO203" i="31"/>
  <c r="AQ203" i="31" s="1"/>
  <c r="CJ203" i="31" s="1"/>
  <c r="W223" i="31"/>
  <c r="Y223" i="31" s="1"/>
  <c r="CG223" i="31" s="1"/>
  <c r="AO161" i="31"/>
  <c r="AQ161" i="31" s="1"/>
  <c r="CJ161" i="31" s="1"/>
  <c r="BA25" i="31"/>
  <c r="BC25" i="31" s="1"/>
  <c r="CL25" i="31" s="1"/>
  <c r="W262" i="31"/>
  <c r="Y262" i="31" s="1"/>
  <c r="CG262" i="31" s="1"/>
  <c r="AC334" i="31"/>
  <c r="AE334" i="31" s="1"/>
  <c r="CH334" i="31" s="1"/>
  <c r="W91" i="31"/>
  <c r="Y91" i="31" s="1"/>
  <c r="CG91" i="31" s="1"/>
  <c r="Q255" i="31"/>
  <c r="S255" i="31" s="1"/>
  <c r="CF255" i="31" s="1"/>
  <c r="BS120" i="31"/>
  <c r="BU120" i="31" s="1"/>
  <c r="CO120" i="31" s="1"/>
  <c r="W179" i="31"/>
  <c r="Y179" i="31" s="1"/>
  <c r="CG179" i="31" s="1"/>
  <c r="BG135" i="31"/>
  <c r="BI135" i="31" s="1"/>
  <c r="CM135" i="31" s="1"/>
  <c r="Q134" i="31"/>
  <c r="S134" i="31" s="1"/>
  <c r="CF134" i="31" s="1"/>
  <c r="BS96" i="31"/>
  <c r="BU96" i="31" s="1"/>
  <c r="CO96" i="31" s="1"/>
  <c r="W15" i="31"/>
  <c r="Y15" i="31" s="1"/>
  <c r="CG15" i="31" s="1"/>
  <c r="BG336" i="31"/>
  <c r="BI336" i="31" s="1"/>
  <c r="CM336" i="31" s="1"/>
  <c r="AO287" i="31"/>
  <c r="AQ287" i="31" s="1"/>
  <c r="CJ287" i="31" s="1"/>
  <c r="Q122" i="31"/>
  <c r="S122" i="31" s="1"/>
  <c r="CF122" i="31" s="1"/>
  <c r="Q55" i="31"/>
  <c r="S55" i="31" s="1"/>
  <c r="CF55" i="31" s="1"/>
  <c r="BS322" i="31"/>
  <c r="BU322" i="31" s="1"/>
  <c r="CO322" i="31" s="1"/>
  <c r="BG175" i="31"/>
  <c r="BI175" i="31" s="1"/>
  <c r="CM175" i="31" s="1"/>
  <c r="K276" i="31"/>
  <c r="M276" i="31" s="1"/>
  <c r="CE276" i="31" s="1"/>
  <c r="BS123" i="31"/>
  <c r="BU123" i="31" s="1"/>
  <c r="CO123" i="31" s="1"/>
  <c r="K94" i="31"/>
  <c r="Q47" i="31"/>
  <c r="S47" i="31" s="1"/>
  <c r="CF47" i="31" s="1"/>
  <c r="K158" i="31"/>
  <c r="M158" i="31" s="1"/>
  <c r="CE158" i="31" s="1"/>
  <c r="Q86" i="31"/>
  <c r="S86" i="31" s="1"/>
  <c r="CF86" i="31" s="1"/>
  <c r="K140" i="31"/>
  <c r="M140" i="31" s="1"/>
  <c r="CE140" i="31" s="1"/>
  <c r="AC17" i="31"/>
  <c r="AE17" i="31" s="1"/>
  <c r="CH17" i="31" s="1"/>
  <c r="W200" i="31"/>
  <c r="Y200" i="31" s="1"/>
  <c r="CG200" i="31" s="1"/>
  <c r="K314" i="31"/>
  <c r="M314" i="31" s="1"/>
  <c r="CE314" i="31" s="1"/>
  <c r="BA308" i="31"/>
  <c r="BC308" i="31" s="1"/>
  <c r="CL308" i="31" s="1"/>
  <c r="K342" i="31"/>
  <c r="M342" i="31" s="1"/>
  <c r="CE342" i="31" s="1"/>
  <c r="BX354" i="31"/>
  <c r="BX1" i="31"/>
  <c r="BX3" i="31"/>
  <c r="W230" i="31"/>
  <c r="Y230" i="31" s="1"/>
  <c r="CG230" i="31" s="1"/>
  <c r="BG197" i="31"/>
  <c r="BI197" i="31" s="1"/>
  <c r="CM197" i="31" s="1"/>
  <c r="BA258" i="31"/>
  <c r="BC258" i="31" s="1"/>
  <c r="CL258" i="31" s="1"/>
  <c r="W130" i="31"/>
  <c r="Y130" i="31" s="1"/>
  <c r="CG130" i="31" s="1"/>
  <c r="BG85" i="31"/>
  <c r="BI85" i="31" s="1"/>
  <c r="CM85" i="31" s="1"/>
  <c r="Q147" i="31"/>
  <c r="S147" i="31" s="1"/>
  <c r="CF147" i="31" s="1"/>
  <c r="Q290" i="31"/>
  <c r="S290" i="31" s="1"/>
  <c r="CF290" i="31" s="1"/>
  <c r="BG237" i="31"/>
  <c r="BI237" i="31" s="1"/>
  <c r="CM237" i="31" s="1"/>
  <c r="BS251" i="31"/>
  <c r="BU251" i="31" s="1"/>
  <c r="CO251" i="31" s="1"/>
  <c r="Q208" i="31"/>
  <c r="S208" i="31" s="1"/>
  <c r="CF208" i="31" s="1"/>
  <c r="BG324" i="31"/>
  <c r="BI324" i="31" s="1"/>
  <c r="CM324" i="31" s="1"/>
  <c r="AC14" i="31"/>
  <c r="AE14" i="31" s="1"/>
  <c r="CH14" i="31" s="1"/>
  <c r="AC44" i="31"/>
  <c r="AE44" i="31" s="1"/>
  <c r="CH44" i="31" s="1"/>
  <c r="BG325" i="31"/>
  <c r="BI325" i="31" s="1"/>
  <c r="CM325" i="31" s="1"/>
  <c r="Q113" i="31"/>
  <c r="S113" i="31" s="1"/>
  <c r="CF113" i="31" s="1"/>
  <c r="BA346" i="31"/>
  <c r="BC346" i="31" s="1"/>
  <c r="CL346" i="31" s="1"/>
  <c r="AO106" i="31"/>
  <c r="AQ106" i="31" s="1"/>
  <c r="CJ106" i="31" s="1"/>
  <c r="AO209" i="31"/>
  <c r="AQ209" i="31" s="1"/>
  <c r="CJ209" i="31" s="1"/>
  <c r="Q12" i="31"/>
  <c r="S12" i="31" s="1"/>
  <c r="CF12" i="31" s="1"/>
  <c r="H7" i="41" s="1"/>
  <c r="BS347" i="31"/>
  <c r="BU347" i="31" s="1"/>
  <c r="CO347" i="31" s="1"/>
  <c r="Q48" i="31"/>
  <c r="S48" i="31" s="1"/>
  <c r="CF48" i="31" s="1"/>
  <c r="BG330" i="31"/>
  <c r="BI330" i="31" s="1"/>
  <c r="CM330" i="31" s="1"/>
  <c r="BS232" i="31"/>
  <c r="BU232" i="31" s="1"/>
  <c r="CO232" i="31" s="1"/>
  <c r="W24" i="31"/>
  <c r="Y24" i="31" s="1"/>
  <c r="CG24" i="31" s="1"/>
  <c r="Q117" i="31"/>
  <c r="S117" i="31" s="1"/>
  <c r="CF117" i="31" s="1"/>
  <c r="BS348" i="31"/>
  <c r="BU348" i="31" s="1"/>
  <c r="CO348" i="31" s="1"/>
  <c r="AO241" i="31"/>
  <c r="AQ241" i="31" s="1"/>
  <c r="CJ241" i="31" s="1"/>
  <c r="BG335" i="31"/>
  <c r="BI335" i="31" s="1"/>
  <c r="CM335" i="31" s="1"/>
  <c r="BA84" i="31"/>
  <c r="BC84" i="31" s="1"/>
  <c r="CL84" i="31" s="1"/>
  <c r="AO129" i="31"/>
  <c r="AQ129" i="31" s="1"/>
  <c r="CJ129" i="31" s="1"/>
  <c r="Q59" i="31"/>
  <c r="S59" i="31" s="1"/>
  <c r="CF59" i="31" s="1"/>
  <c r="BS268" i="31"/>
  <c r="BU268" i="31" s="1"/>
  <c r="CO268" i="31" s="1"/>
  <c r="BS338" i="31"/>
  <c r="BU338" i="31" s="1"/>
  <c r="CO338" i="31" s="1"/>
  <c r="BS223" i="31"/>
  <c r="BU223" i="31" s="1"/>
  <c r="CO223" i="31" s="1"/>
  <c r="AC243" i="31"/>
  <c r="AE243" i="31" s="1"/>
  <c r="CH243" i="31" s="1"/>
  <c r="BG302" i="31"/>
  <c r="BI302" i="31" s="1"/>
  <c r="CM302" i="31" s="1"/>
  <c r="Q179" i="31"/>
  <c r="S179" i="31" s="1"/>
  <c r="CF179" i="31" s="1"/>
  <c r="Q118" i="31"/>
  <c r="S118" i="31" s="1"/>
  <c r="CF118" i="31" s="1"/>
  <c r="K292" i="31"/>
  <c r="M292" i="31" s="1"/>
  <c r="CE292" i="31" s="1"/>
  <c r="K80" i="31"/>
  <c r="M80" i="31" s="1"/>
  <c r="CE80" i="31" s="1"/>
  <c r="BG92" i="31"/>
  <c r="BI92" i="31" s="1"/>
  <c r="CM92" i="31" s="1"/>
  <c r="W285" i="31"/>
  <c r="Y285" i="31" s="1"/>
  <c r="CG285" i="31" s="1"/>
  <c r="BA20" i="31"/>
  <c r="BC20" i="31" s="1"/>
  <c r="CL20" i="31" s="1"/>
  <c r="W115" i="31"/>
  <c r="Y115" i="31" s="1"/>
  <c r="CG115" i="31" s="1"/>
  <c r="W207" i="31"/>
  <c r="Y207" i="31" s="1"/>
  <c r="CG207" i="31" s="1"/>
  <c r="AC154" i="31"/>
  <c r="AE154" i="31" s="1"/>
  <c r="CH154" i="31" s="1"/>
  <c r="BS37" i="31"/>
  <c r="BU37" i="31" s="1"/>
  <c r="CO37" i="31" s="1"/>
  <c r="K106" i="31"/>
  <c r="M106" i="31" s="1"/>
  <c r="CE106" i="31" s="1"/>
  <c r="K156" i="31"/>
  <c r="M156" i="31" s="1"/>
  <c r="CE156" i="31" s="1"/>
  <c r="K82" i="31"/>
  <c r="M82" i="31" s="1"/>
  <c r="CE82" i="31" s="1"/>
  <c r="BS115" i="31"/>
  <c r="BU115" i="31" s="1"/>
  <c r="CO115" i="31" s="1"/>
  <c r="BG153" i="31"/>
  <c r="BI153" i="31" s="1"/>
  <c r="CM153" i="31" s="1"/>
  <c r="K77" i="31"/>
  <c r="M77" i="31" s="1"/>
  <c r="CE77" i="31" s="1"/>
  <c r="Q267" i="31"/>
  <c r="S267" i="31" s="1"/>
  <c r="CF267" i="31" s="1"/>
  <c r="BG65" i="31"/>
  <c r="BI65" i="31" s="1"/>
  <c r="CM65" i="31" s="1"/>
  <c r="K70" i="31"/>
  <c r="M70" i="31" s="1"/>
  <c r="CE70" i="31" s="1"/>
  <c r="K101" i="31"/>
  <c r="BG248" i="31"/>
  <c r="BI248" i="31" s="1"/>
  <c r="CM248" i="31" s="1"/>
  <c r="BS104" i="31"/>
  <c r="BU104" i="31" s="1"/>
  <c r="CO104" i="31" s="1"/>
  <c r="AC143" i="31"/>
  <c r="AE143" i="31" s="1"/>
  <c r="CH143" i="31" s="1"/>
  <c r="BS192" i="31"/>
  <c r="BU192" i="31" s="1"/>
  <c r="CO192" i="31" s="1"/>
  <c r="AO236" i="31"/>
  <c r="AQ236" i="31" s="1"/>
  <c r="CJ236" i="31" s="1"/>
  <c r="BA319" i="31"/>
  <c r="BC319" i="31" s="1"/>
  <c r="CL319" i="31" s="1"/>
  <c r="BS196" i="31"/>
  <c r="BU196" i="31" s="1"/>
  <c r="CO196" i="31" s="1"/>
  <c r="K295" i="31"/>
  <c r="M295" i="31" s="1"/>
  <c r="CE295" i="31" s="1"/>
  <c r="BA307" i="31"/>
  <c r="BC307" i="31" s="1"/>
  <c r="CL307" i="31" s="1"/>
  <c r="K36" i="31"/>
  <c r="M36" i="31" s="1"/>
  <c r="CE36" i="31" s="1"/>
  <c r="AO43" i="31"/>
  <c r="AQ43" i="31" s="1"/>
  <c r="CJ43" i="31" s="1"/>
  <c r="AO60" i="31"/>
  <c r="AQ60" i="31" s="1"/>
  <c r="CJ60" i="31" s="1"/>
  <c r="AO309" i="31"/>
  <c r="AQ309" i="31" s="1"/>
  <c r="CJ309" i="31" s="1"/>
  <c r="BS242" i="31"/>
  <c r="BU242" i="31" s="1"/>
  <c r="CO242" i="31" s="1"/>
  <c r="BS143" i="31"/>
  <c r="BU143" i="31" s="1"/>
  <c r="CO143" i="31" s="1"/>
  <c r="AC260" i="31"/>
  <c r="AE260" i="31" s="1"/>
  <c r="CH260" i="31" s="1"/>
  <c r="AC217" i="31"/>
  <c r="AE217" i="31" s="1"/>
  <c r="CH217" i="31" s="1"/>
  <c r="W258" i="31"/>
  <c r="Y258" i="31" s="1"/>
  <c r="CG258" i="31" s="1"/>
  <c r="W144" i="31"/>
  <c r="Y144" i="31" s="1"/>
  <c r="CG144" i="31" s="1"/>
  <c r="BG180" i="31"/>
  <c r="BI180" i="31" s="1"/>
  <c r="CM180" i="31" s="1"/>
  <c r="AO116" i="31"/>
  <c r="AQ116" i="31" s="1"/>
  <c r="CJ116" i="31" s="1"/>
  <c r="Q327" i="31"/>
  <c r="S327" i="31" s="1"/>
  <c r="CF327" i="31" s="1"/>
  <c r="BA112" i="31"/>
  <c r="BC112" i="31" s="1"/>
  <c r="CL112" i="31" s="1"/>
  <c r="BA106" i="31"/>
  <c r="BC106" i="31" s="1"/>
  <c r="CL106" i="31" s="1"/>
  <c r="Q293" i="31"/>
  <c r="S293" i="31" s="1"/>
  <c r="CF293" i="31" s="1"/>
  <c r="Q119" i="31"/>
  <c r="S119" i="31" s="1"/>
  <c r="CF119" i="31" s="1"/>
  <c r="AO93" i="31"/>
  <c r="AQ93" i="31" s="1"/>
  <c r="CJ93" i="31" s="1"/>
  <c r="W209" i="31"/>
  <c r="Y209" i="31" s="1"/>
  <c r="CG209" i="31" s="1"/>
  <c r="AO312" i="31"/>
  <c r="AQ312" i="31" s="1"/>
  <c r="CJ312" i="31" s="1"/>
  <c r="AO156" i="31"/>
  <c r="AQ156" i="31" s="1"/>
  <c r="CJ156" i="31" s="1"/>
  <c r="Q259" i="31"/>
  <c r="S259" i="31" s="1"/>
  <c r="CF259" i="31" s="1"/>
  <c r="AC315" i="31"/>
  <c r="AE315" i="31" s="1"/>
  <c r="CH315" i="31" s="1"/>
  <c r="BG12" i="31"/>
  <c r="BI12" i="31" s="1"/>
  <c r="CM12" i="31" s="1"/>
  <c r="O7" i="41" s="1"/>
  <c r="BS310" i="31"/>
  <c r="BU310" i="31" s="1"/>
  <c r="CO310" i="31" s="1"/>
  <c r="AC63" i="31"/>
  <c r="AE63" i="31" s="1"/>
  <c r="CH63" i="31" s="1"/>
  <c r="BA144" i="31"/>
  <c r="BC144" i="31" s="1"/>
  <c r="CL144" i="31" s="1"/>
  <c r="Q347" i="31"/>
  <c r="S347" i="31" s="1"/>
  <c r="CF347" i="31" s="1"/>
  <c r="BG320" i="31"/>
  <c r="BI320" i="31" s="1"/>
  <c r="CM320" i="31" s="1"/>
  <c r="AO180" i="31"/>
  <c r="AQ180" i="31" s="1"/>
  <c r="CJ180" i="31" s="1"/>
  <c r="AO187" i="31"/>
  <c r="AQ187" i="31" s="1"/>
  <c r="CJ187" i="31" s="1"/>
  <c r="AO16" i="31"/>
  <c r="AQ16" i="31" s="1"/>
  <c r="CJ16" i="31" s="1"/>
  <c r="BG136" i="31"/>
  <c r="BI136" i="31" s="1"/>
  <c r="CM136" i="31" s="1"/>
  <c r="AC318" i="31"/>
  <c r="AE318" i="31" s="1"/>
  <c r="CH318" i="31" s="1"/>
  <c r="Q82" i="31"/>
  <c r="S82" i="31" s="1"/>
  <c r="CF82" i="31" s="1"/>
  <c r="BG329" i="31"/>
  <c r="BI329" i="31" s="1"/>
  <c r="CM329" i="31" s="1"/>
  <c r="BS33" i="31"/>
  <c r="BU33" i="31" s="1"/>
  <c r="CO33" i="31" s="1"/>
  <c r="Q79" i="31"/>
  <c r="S79" i="31" s="1"/>
  <c r="CF79" i="31" s="1"/>
  <c r="BG271" i="31"/>
  <c r="BI271" i="31" s="1"/>
  <c r="CM271" i="31" s="1"/>
  <c r="AO9" i="31"/>
  <c r="AQ9" i="31" s="1"/>
  <c r="CJ9" i="31" s="1"/>
  <c r="L4" i="41" s="1"/>
  <c r="BS48" i="31"/>
  <c r="BU48" i="31" s="1"/>
  <c r="CO48" i="31" s="1"/>
  <c r="Q153" i="31"/>
  <c r="S153" i="31" s="1"/>
  <c r="CF153" i="31" s="1"/>
  <c r="W239" i="31"/>
  <c r="Y239" i="31" s="1"/>
  <c r="CG239" i="31" s="1"/>
  <c r="AC305" i="31"/>
  <c r="AE305" i="31" s="1"/>
  <c r="CH305" i="31" s="1"/>
  <c r="BA77" i="31"/>
  <c r="BC77" i="31" s="1"/>
  <c r="CL77" i="31" s="1"/>
  <c r="BO295" i="31"/>
  <c r="CN295" i="31" s="1"/>
  <c r="BG69" i="31"/>
  <c r="BI69" i="31" s="1"/>
  <c r="CM69" i="31" s="1"/>
  <c r="Q218" i="31"/>
  <c r="S218" i="31" s="1"/>
  <c r="CF218" i="31" s="1"/>
  <c r="BO264" i="31"/>
  <c r="CN264" i="31" s="1"/>
  <c r="BG284" i="31"/>
  <c r="BI284" i="31" s="1"/>
  <c r="CM284" i="31" s="1"/>
  <c r="Q26" i="31"/>
  <c r="S26" i="31" s="1"/>
  <c r="CF26" i="31" s="1"/>
  <c r="Q225" i="31"/>
  <c r="S225" i="31" s="1"/>
  <c r="CF225" i="31" s="1"/>
  <c r="BG232" i="31"/>
  <c r="BI232" i="31" s="1"/>
  <c r="CM232" i="31" s="1"/>
  <c r="AO50" i="31"/>
  <c r="AQ50" i="31" s="1"/>
  <c r="CJ50" i="31" s="1"/>
  <c r="W280" i="31"/>
  <c r="Y280" i="31" s="1"/>
  <c r="CG280" i="31" s="1"/>
  <c r="BG211" i="31"/>
  <c r="BI211" i="31" s="1"/>
  <c r="CM211" i="31" s="1"/>
  <c r="AO138" i="31"/>
  <c r="AQ138" i="31" s="1"/>
  <c r="CJ138" i="31" s="1"/>
  <c r="AC36" i="31"/>
  <c r="AE36" i="31" s="1"/>
  <c r="CH36" i="31" s="1"/>
  <c r="AC278" i="31"/>
  <c r="AE278" i="31" s="1"/>
  <c r="CH278" i="31" s="1"/>
  <c r="BS35" i="31"/>
  <c r="BU35" i="31" s="1"/>
  <c r="CO35" i="31" s="1"/>
  <c r="BG29" i="31"/>
  <c r="BI29" i="31" s="1"/>
  <c r="CM29" i="31" s="1"/>
  <c r="Q238" i="31"/>
  <c r="S238" i="31" s="1"/>
  <c r="CF238" i="31" s="1"/>
  <c r="AC117" i="31"/>
  <c r="AE117" i="31" s="1"/>
  <c r="CH117" i="31" s="1"/>
  <c r="AC343" i="31"/>
  <c r="AE343" i="31" s="1"/>
  <c r="CH343" i="31" s="1"/>
  <c r="AO83" i="31"/>
  <c r="AQ83" i="31" s="1"/>
  <c r="CJ83" i="31" s="1"/>
  <c r="W348" i="31"/>
  <c r="Y348" i="31" s="1"/>
  <c r="CG348" i="31" s="1"/>
  <c r="BG233" i="31"/>
  <c r="BI233" i="31" s="1"/>
  <c r="CM233" i="31" s="1"/>
  <c r="AO46" i="31"/>
  <c r="AQ46" i="31" s="1"/>
  <c r="CJ46" i="31" s="1"/>
  <c r="AC185" i="31"/>
  <c r="AE185" i="31" s="1"/>
  <c r="CH185" i="31" s="1"/>
  <c r="BG186" i="31"/>
  <c r="BI186" i="31" s="1"/>
  <c r="CM186" i="31" s="1"/>
  <c r="Q150" i="31"/>
  <c r="S150" i="31" s="1"/>
  <c r="CF150" i="31" s="1"/>
  <c r="Q210" i="31"/>
  <c r="S210" i="31" s="1"/>
  <c r="CF210" i="31" s="1"/>
  <c r="BA111" i="31"/>
  <c r="BC111" i="31" s="1"/>
  <c r="CL111" i="31" s="1"/>
  <c r="W32" i="31"/>
  <c r="Y32" i="31" s="1"/>
  <c r="CG32" i="31" s="1"/>
  <c r="Q328" i="31"/>
  <c r="S328" i="31" s="1"/>
  <c r="CF328" i="31" s="1"/>
  <c r="Q13" i="31"/>
  <c r="S13" i="31" s="1"/>
  <c r="CF13" i="31" s="1"/>
  <c r="BA31" i="31"/>
  <c r="BC31" i="31" s="1"/>
  <c r="CL31" i="31" s="1"/>
  <c r="Q301" i="31"/>
  <c r="S301" i="31" s="1"/>
  <c r="CF301" i="31" s="1"/>
  <c r="BG270" i="31"/>
  <c r="BI270" i="31" s="1"/>
  <c r="CM270" i="31" s="1"/>
  <c r="AO352" i="31"/>
  <c r="AQ352" i="31" s="1"/>
  <c r="CJ352" i="31" s="1"/>
  <c r="BA201" i="31"/>
  <c r="BC201" i="31" s="1"/>
  <c r="CL201" i="31" s="1"/>
  <c r="AO216" i="31"/>
  <c r="AQ216" i="31" s="1"/>
  <c r="CJ216" i="31" s="1"/>
  <c r="AC28" i="31"/>
  <c r="AE28" i="31" s="1"/>
  <c r="CH28" i="31" s="1"/>
  <c r="AC11" i="31"/>
  <c r="AE11" i="31" s="1"/>
  <c r="CH11" i="31" s="1"/>
  <c r="J6" i="41" s="1"/>
  <c r="Q51" i="31"/>
  <c r="S51" i="31" s="1"/>
  <c r="CF51" i="31" s="1"/>
  <c r="BG288" i="31"/>
  <c r="BI288" i="31" s="1"/>
  <c r="CM288" i="31" s="1"/>
  <c r="Q163" i="31"/>
  <c r="S163" i="31" s="1"/>
  <c r="CF163" i="31" s="1"/>
  <c r="AO121" i="31"/>
  <c r="AQ121" i="31" s="1"/>
  <c r="CJ121" i="31" s="1"/>
  <c r="BG340" i="31"/>
  <c r="BI340" i="31" s="1"/>
  <c r="CM340" i="31" s="1"/>
  <c r="BA65" i="31"/>
  <c r="BC65" i="31" s="1"/>
  <c r="CL65" i="31" s="1"/>
  <c r="Q316" i="31"/>
  <c r="S316" i="31" s="1"/>
  <c r="CF316" i="31" s="1"/>
  <c r="Q75" i="31"/>
  <c r="S75" i="31" s="1"/>
  <c r="CF75" i="31" s="1"/>
  <c r="W70" i="31"/>
  <c r="Y70" i="31" s="1"/>
  <c r="CG70" i="31" s="1"/>
  <c r="BS256" i="31"/>
  <c r="BU256" i="31" s="1"/>
  <c r="CO256" i="31" s="1"/>
  <c r="Q341" i="31"/>
  <c r="S341" i="31" s="1"/>
  <c r="CF341" i="31" s="1"/>
  <c r="AC333" i="31"/>
  <c r="AE333" i="31" s="1"/>
  <c r="CH333" i="31" s="1"/>
  <c r="Q84" i="31"/>
  <c r="S84" i="31" s="1"/>
  <c r="CF84" i="31" s="1"/>
  <c r="BG127" i="31"/>
  <c r="BI127" i="31" s="1"/>
  <c r="CM127" i="31" s="1"/>
  <c r="BS265" i="31"/>
  <c r="BU265" i="31" s="1"/>
  <c r="CO265" i="31" s="1"/>
  <c r="BS52" i="31"/>
  <c r="BU52" i="31" s="1"/>
  <c r="CO52" i="31" s="1"/>
  <c r="AO58" i="31"/>
  <c r="AQ58" i="31" s="1"/>
  <c r="CJ58" i="31" s="1"/>
  <c r="BS101" i="31"/>
  <c r="BU101" i="31" s="1"/>
  <c r="CO101" i="31" s="1"/>
  <c r="Q249" i="31"/>
  <c r="S249" i="31" s="1"/>
  <c r="CF249" i="31" s="1"/>
  <c r="BA132" i="31"/>
  <c r="BC132" i="31" s="1"/>
  <c r="CL132" i="31" s="1"/>
  <c r="BG195" i="31"/>
  <c r="BI195" i="31" s="1"/>
  <c r="CM195" i="31" s="1"/>
  <c r="AC66" i="31"/>
  <c r="AE66" i="31" s="1"/>
  <c r="CH66" i="31" s="1"/>
  <c r="Q129" i="31"/>
  <c r="S129" i="31" s="1"/>
  <c r="CF129" i="31" s="1"/>
  <c r="BG273" i="31"/>
  <c r="BI273" i="31" s="1"/>
  <c r="CM273" i="31" s="1"/>
  <c r="W141" i="31"/>
  <c r="Y141" i="31" s="1"/>
  <c r="CG141" i="31" s="1"/>
  <c r="BG59" i="31"/>
  <c r="BI59" i="31" s="1"/>
  <c r="CM59" i="31" s="1"/>
  <c r="AC281" i="31"/>
  <c r="AE281" i="31" s="1"/>
  <c r="CH281" i="31" s="1"/>
  <c r="AO311" i="31"/>
  <c r="AQ311" i="31" s="1"/>
  <c r="CJ311" i="31" s="1"/>
  <c r="AO248" i="31"/>
  <c r="AQ248" i="31" s="1"/>
  <c r="CJ248" i="31" s="1"/>
  <c r="BA351" i="31"/>
  <c r="BC351" i="31" s="1"/>
  <c r="CL351" i="31" s="1"/>
  <c r="BS286" i="31"/>
  <c r="BU286" i="31" s="1"/>
  <c r="CO286" i="31" s="1"/>
  <c r="BS220" i="31"/>
  <c r="BU220" i="31" s="1"/>
  <c r="CO220" i="31" s="1"/>
  <c r="Q332" i="31"/>
  <c r="S332" i="31" s="1"/>
  <c r="CF332" i="31" s="1"/>
  <c r="BG268" i="31"/>
  <c r="BI268" i="31" s="1"/>
  <c r="CM268" i="31" s="1"/>
  <c r="AC39" i="31"/>
  <c r="AE39" i="31" s="1"/>
  <c r="CH39" i="31" s="1"/>
  <c r="Q254" i="31"/>
  <c r="S254" i="31" s="1"/>
  <c r="CF254" i="31" s="1"/>
  <c r="AC242" i="31"/>
  <c r="AE242" i="31" s="1"/>
  <c r="CH242" i="31" s="1"/>
  <c r="BA338" i="31"/>
  <c r="BC338" i="31" s="1"/>
  <c r="CL338" i="31" s="1"/>
  <c r="BG18" i="31"/>
  <c r="BI18" i="31" s="1"/>
  <c r="CM18" i="31" s="1"/>
  <c r="Q203" i="31"/>
  <c r="S203" i="31" s="1"/>
  <c r="CF203" i="31" s="1"/>
  <c r="AC223" i="31"/>
  <c r="AE223" i="31" s="1"/>
  <c r="CH223" i="31" s="1"/>
  <c r="BA243" i="31"/>
  <c r="BC243" i="31" s="1"/>
  <c r="CL243" i="31" s="1"/>
  <c r="BG194" i="31"/>
  <c r="BI194" i="31" s="1"/>
  <c r="CM194" i="31" s="1"/>
  <c r="AC25" i="31"/>
  <c r="AE25" i="31" s="1"/>
  <c r="CH25" i="31" s="1"/>
  <c r="Q262" i="31"/>
  <c r="S262" i="31" s="1"/>
  <c r="CF262" i="31" s="1"/>
  <c r="BS334" i="31"/>
  <c r="BU334" i="31" s="1"/>
  <c r="CO334" i="31" s="1"/>
  <c r="AC91" i="31"/>
  <c r="AE91" i="31" s="1"/>
  <c r="CH91" i="31" s="1"/>
  <c r="W133" i="31"/>
  <c r="Y133" i="31" s="1"/>
  <c r="CG133" i="31" s="1"/>
  <c r="AO255" i="31"/>
  <c r="AQ255" i="31" s="1"/>
  <c r="CJ255" i="31" s="1"/>
  <c r="Q298" i="31"/>
  <c r="S298" i="31" s="1"/>
  <c r="CF298" i="31" s="1"/>
  <c r="BA120" i="31"/>
  <c r="BC120" i="31" s="1"/>
  <c r="CL120" i="31" s="1"/>
  <c r="AO179" i="31"/>
  <c r="AQ179" i="31" s="1"/>
  <c r="CJ179" i="31" s="1"/>
  <c r="BA134" i="31"/>
  <c r="BC134" i="31" s="1"/>
  <c r="CL134" i="31" s="1"/>
  <c r="W304" i="31"/>
  <c r="Y304" i="31" s="1"/>
  <c r="CG304" i="31" s="1"/>
  <c r="BG279" i="31"/>
  <c r="BI279" i="31" s="1"/>
  <c r="CM279" i="31" s="1"/>
  <c r="BS15" i="31"/>
  <c r="BU15" i="31" s="1"/>
  <c r="CO15" i="31" s="1"/>
  <c r="AC287" i="31"/>
  <c r="AE287" i="31" s="1"/>
  <c r="CH287" i="31" s="1"/>
  <c r="BS122" i="31"/>
  <c r="BU122" i="31" s="1"/>
  <c r="CO122" i="31" s="1"/>
  <c r="BS55" i="31"/>
  <c r="BU55" i="31" s="1"/>
  <c r="CO55" i="31" s="1"/>
  <c r="AO118" i="31"/>
  <c r="AQ118" i="31" s="1"/>
  <c r="CJ118" i="31" s="1"/>
  <c r="AC322" i="31"/>
  <c r="AE322" i="31" s="1"/>
  <c r="CH322" i="31" s="1"/>
  <c r="AC123" i="31"/>
  <c r="AE123" i="31" s="1"/>
  <c r="CH123" i="31" s="1"/>
  <c r="BS47" i="31"/>
  <c r="BU47" i="31" s="1"/>
  <c r="CO47" i="31" s="1"/>
  <c r="BS86" i="31"/>
  <c r="BU86" i="31" s="1"/>
  <c r="CO86" i="31" s="1"/>
  <c r="BS17" i="31"/>
  <c r="BU17" i="31" s="1"/>
  <c r="CO17" i="31" s="1"/>
  <c r="AO308" i="31"/>
  <c r="AQ308" i="31" s="1"/>
  <c r="CJ308" i="31" s="1"/>
  <c r="J1" i="31"/>
  <c r="J354" i="31"/>
  <c r="J3" i="31"/>
  <c r="AO230" i="31"/>
  <c r="AQ230" i="31" s="1"/>
  <c r="CJ230" i="31" s="1"/>
  <c r="K294" i="31"/>
  <c r="M294" i="31" s="1"/>
  <c r="CE294" i="31" s="1"/>
  <c r="BA130" i="31"/>
  <c r="BC130" i="31" s="1"/>
  <c r="CL130" i="31" s="1"/>
  <c r="K128" i="31"/>
  <c r="M128" i="31" s="1"/>
  <c r="CE128" i="31" s="1"/>
  <c r="AC290" i="31"/>
  <c r="AE290" i="31" s="1"/>
  <c r="CH290" i="31" s="1"/>
  <c r="K291" i="31"/>
  <c r="M291" i="31" s="1"/>
  <c r="CE291" i="31" s="1"/>
  <c r="AO208" i="31"/>
  <c r="AQ208" i="31" s="1"/>
  <c r="CJ208" i="31" s="1"/>
  <c r="K235" i="31"/>
  <c r="M235" i="31" s="1"/>
  <c r="CE235" i="31" s="1"/>
  <c r="AO44" i="31"/>
  <c r="AQ44" i="31" s="1"/>
  <c r="CJ44" i="31" s="1"/>
  <c r="K109" i="31"/>
  <c r="AC283" i="31"/>
  <c r="AE283" i="31" s="1"/>
  <c r="CH283" i="31" s="1"/>
  <c r="AO113" i="31"/>
  <c r="AQ113" i="31" s="1"/>
  <c r="CJ113" i="31" s="1"/>
  <c r="BG62" i="31"/>
  <c r="BI62" i="31" s="1"/>
  <c r="CM62" i="31" s="1"/>
  <c r="K227" i="31"/>
  <c r="M227" i="31" s="1"/>
  <c r="CE227" i="31" s="1"/>
  <c r="AC156" i="31"/>
  <c r="AE156" i="31" s="1"/>
  <c r="CH156" i="31" s="1"/>
  <c r="AC98" i="31"/>
  <c r="AE98" i="31" s="1"/>
  <c r="CH98" i="31" s="1"/>
  <c r="AO284" i="31"/>
  <c r="AQ284" i="31" s="1"/>
  <c r="CJ284" i="31" s="1"/>
  <c r="BG73" i="31"/>
  <c r="BI73" i="31" s="1"/>
  <c r="CM73" i="31" s="1"/>
  <c r="BG252" i="31"/>
  <c r="BI252" i="31" s="1"/>
  <c r="CM252" i="31" s="1"/>
  <c r="BA185" i="31"/>
  <c r="BC185" i="31" s="1"/>
  <c r="CL185" i="31" s="1"/>
  <c r="BG202" i="31"/>
  <c r="BI202" i="31" s="1"/>
  <c r="CM202" i="31" s="1"/>
  <c r="BA306" i="31"/>
  <c r="BC306" i="31" s="1"/>
  <c r="CL306" i="31" s="1"/>
  <c r="BA170" i="31"/>
  <c r="BC170" i="31" s="1"/>
  <c r="CL170" i="31" s="1"/>
  <c r="BA247" i="31"/>
  <c r="BC247" i="31" s="1"/>
  <c r="CL247" i="31" s="1"/>
  <c r="AC311" i="31"/>
  <c r="AE311" i="31" s="1"/>
  <c r="CH311" i="31" s="1"/>
  <c r="BG171" i="31"/>
  <c r="BI171" i="31" s="1"/>
  <c r="CM171" i="31" s="1"/>
  <c r="Q38" i="31"/>
  <c r="S38" i="31" s="1"/>
  <c r="CF38" i="31" s="1"/>
  <c r="AO15" i="31"/>
  <c r="AQ15" i="31" s="1"/>
  <c r="CJ15" i="31" s="1"/>
  <c r="Q62" i="31"/>
  <c r="S62" i="31" s="1"/>
  <c r="CF62" i="31" s="1"/>
  <c r="BS346" i="31"/>
  <c r="BU346" i="31" s="1"/>
  <c r="CO346" i="31" s="1"/>
  <c r="W37" i="31"/>
  <c r="Y37" i="31" s="1"/>
  <c r="CG37" i="31" s="1"/>
  <c r="W177" i="31"/>
  <c r="Y177" i="31" s="1"/>
  <c r="CG177" i="31" s="1"/>
  <c r="W76" i="31"/>
  <c r="Y76" i="31" s="1"/>
  <c r="CG76" i="31" s="1"/>
  <c r="Q326" i="31"/>
  <c r="S326" i="31" s="1"/>
  <c r="CF326" i="31" s="1"/>
  <c r="W95" i="31"/>
  <c r="Y95" i="31" s="1"/>
  <c r="CG95" i="31" s="1"/>
  <c r="Q169" i="31"/>
  <c r="S169" i="31" s="1"/>
  <c r="CF169" i="31" s="1"/>
  <c r="BA152" i="31"/>
  <c r="BC152" i="31" s="1"/>
  <c r="CL152" i="31" s="1"/>
  <c r="AC19" i="31"/>
  <c r="AE19" i="31" s="1"/>
  <c r="CH19" i="31" s="1"/>
  <c r="K16" i="31"/>
  <c r="M16" i="31" s="1"/>
  <c r="CE16" i="31" s="1"/>
  <c r="K48" i="31"/>
  <c r="K239" i="31"/>
  <c r="M239" i="31" s="1"/>
  <c r="CE239" i="31" s="1"/>
  <c r="BG305" i="31"/>
  <c r="BI305" i="31" s="1"/>
  <c r="CM305" i="31" s="1"/>
  <c r="AO229" i="31"/>
  <c r="AQ229" i="31" s="1"/>
  <c r="CJ229" i="31" s="1"/>
  <c r="BA296" i="31"/>
  <c r="BC296" i="31" s="1"/>
  <c r="CL296" i="31" s="1"/>
  <c r="AO215" i="31"/>
  <c r="AQ215" i="31" s="1"/>
  <c r="CJ215" i="31" s="1"/>
  <c r="BA331" i="31"/>
  <c r="BC331" i="31" s="1"/>
  <c r="CL331" i="31" s="1"/>
  <c r="AO246" i="31"/>
  <c r="AQ246" i="31" s="1"/>
  <c r="CJ246" i="31" s="1"/>
  <c r="K28" i="31"/>
  <c r="M28" i="31" s="1"/>
  <c r="CE28" i="31" s="1"/>
  <c r="Q105" i="31"/>
  <c r="S105" i="31" s="1"/>
  <c r="CF105" i="31" s="1"/>
  <c r="BG66" i="31"/>
  <c r="BI66" i="31" s="1"/>
  <c r="CM66" i="31" s="1"/>
  <c r="BG39" i="31"/>
  <c r="BI39" i="31" s="1"/>
  <c r="CM39" i="31" s="1"/>
  <c r="K262" i="31"/>
  <c r="M262" i="31" s="1"/>
  <c r="CE262" i="31" s="1"/>
  <c r="K15" i="31"/>
  <c r="M15" i="31" s="1"/>
  <c r="CE15" i="31" s="1"/>
  <c r="BG123" i="31"/>
  <c r="BI123" i="31" s="1"/>
  <c r="CM123" i="31" s="1"/>
  <c r="BS125" i="31"/>
  <c r="BU125" i="31" s="1"/>
  <c r="CO125" i="31" s="1"/>
  <c r="K130" i="31"/>
  <c r="M130" i="31" s="1"/>
  <c r="CE130" i="31" s="1"/>
  <c r="W147" i="31"/>
  <c r="Y147" i="31" s="1"/>
  <c r="CG147" i="31" s="1"/>
  <c r="AO166" i="31"/>
  <c r="AQ166" i="31" s="1"/>
  <c r="CJ166" i="31" s="1"/>
  <c r="AC152" i="31"/>
  <c r="AE152" i="31" s="1"/>
  <c r="CH152" i="31" s="1"/>
  <c r="BG168" i="31"/>
  <c r="BI168" i="31" s="1"/>
  <c r="CM168" i="31" s="1"/>
  <c r="AO207" i="31"/>
  <c r="AQ207" i="31" s="1"/>
  <c r="CJ207" i="31" s="1"/>
  <c r="BS313" i="31"/>
  <c r="BU313" i="31" s="1"/>
  <c r="CO313" i="31" s="1"/>
  <c r="Q215" i="31"/>
  <c r="S215" i="31" s="1"/>
  <c r="CF215" i="31" s="1"/>
  <c r="BS41" i="31"/>
  <c r="BU41" i="31" s="1"/>
  <c r="CO41" i="31" s="1"/>
  <c r="BS157" i="31"/>
  <c r="BU157" i="31" s="1"/>
  <c r="CO157" i="31" s="1"/>
  <c r="BS148" i="31"/>
  <c r="BU148" i="31" s="1"/>
  <c r="CO148" i="31" s="1"/>
  <c r="AC299" i="31"/>
  <c r="AE299" i="31" s="1"/>
  <c r="CH299" i="31" s="1"/>
  <c r="Q25" i="31"/>
  <c r="S25" i="31" s="1"/>
  <c r="CF25" i="31" s="1"/>
  <c r="BG308" i="31"/>
  <c r="BI308" i="31" s="1"/>
  <c r="CM308" i="31" s="1"/>
  <c r="W116" i="31"/>
  <c r="Y116" i="31" s="1"/>
  <c r="CG116" i="31" s="1"/>
  <c r="Q93" i="31"/>
  <c r="S93" i="31" s="1"/>
  <c r="CF93" i="31" s="1"/>
  <c r="Q312" i="31"/>
  <c r="S312" i="31" s="1"/>
  <c r="CF312" i="31" s="1"/>
  <c r="BA76" i="31"/>
  <c r="BC76" i="31" s="1"/>
  <c r="CL76" i="31" s="1"/>
  <c r="BG106" i="31"/>
  <c r="BI106" i="31" s="1"/>
  <c r="CM106" i="31" s="1"/>
  <c r="BA285" i="31"/>
  <c r="BC285" i="31" s="1"/>
  <c r="CL285" i="31" s="1"/>
  <c r="AC9" i="31"/>
  <c r="AE9" i="31" s="1"/>
  <c r="CH9" i="31" s="1"/>
  <c r="J4" i="41" s="1"/>
  <c r="BG225" i="31"/>
  <c r="BI225" i="31" s="1"/>
  <c r="CM225" i="31" s="1"/>
  <c r="K45" i="31"/>
  <c r="M45" i="31" s="1"/>
  <c r="CE45" i="31" s="1"/>
  <c r="BS327" i="31"/>
  <c r="BU327" i="31" s="1"/>
  <c r="CO327" i="31" s="1"/>
  <c r="K337" i="31"/>
  <c r="AC106" i="31"/>
  <c r="AE106" i="31" s="1"/>
  <c r="CH106" i="31" s="1"/>
  <c r="K317" i="31"/>
  <c r="M317" i="31" s="1"/>
  <c r="CE317" i="31" s="1"/>
  <c r="BA119" i="31"/>
  <c r="BC119" i="31" s="1"/>
  <c r="CL119" i="31" s="1"/>
  <c r="K42" i="31"/>
  <c r="M42" i="31" s="1"/>
  <c r="CE42" i="31" s="1"/>
  <c r="AC209" i="31"/>
  <c r="AE209" i="31" s="1"/>
  <c r="CH209" i="31" s="1"/>
  <c r="W97" i="31"/>
  <c r="Y97" i="31" s="1"/>
  <c r="CG97" i="31" s="1"/>
  <c r="BS156" i="31"/>
  <c r="BU156" i="31" s="1"/>
  <c r="CO156" i="31" s="1"/>
  <c r="BG56" i="31"/>
  <c r="BI56" i="31" s="1"/>
  <c r="CM56" i="31" s="1"/>
  <c r="K149" i="31"/>
  <c r="M149" i="31" s="1"/>
  <c r="CE149" i="31" s="1"/>
  <c r="Q315" i="31"/>
  <c r="S315" i="31" s="1"/>
  <c r="CF315" i="31" s="1"/>
  <c r="AO63" i="31"/>
  <c r="AQ63" i="31" s="1"/>
  <c r="CJ63" i="31" s="1"/>
  <c r="BG88" i="31"/>
  <c r="BI88" i="31" s="1"/>
  <c r="CM88" i="31" s="1"/>
  <c r="K20" i="31"/>
  <c r="M20" i="31" s="1"/>
  <c r="CE20" i="31" s="1"/>
  <c r="AC347" i="31"/>
  <c r="AE347" i="31" s="1"/>
  <c r="CH347" i="31" s="1"/>
  <c r="K263" i="31"/>
  <c r="M263" i="31" s="1"/>
  <c r="CE263" i="31" s="1"/>
  <c r="BS168" i="31"/>
  <c r="BU168" i="31" s="1"/>
  <c r="CO168" i="31" s="1"/>
  <c r="BS180" i="31"/>
  <c r="BU180" i="31" s="1"/>
  <c r="CO180" i="31" s="1"/>
  <c r="AC16" i="31"/>
  <c r="AE16" i="31" s="1"/>
  <c r="CH16" i="31" s="1"/>
  <c r="W136" i="31"/>
  <c r="Y136" i="31" s="1"/>
  <c r="CG136" i="31" s="1"/>
  <c r="K272" i="31"/>
  <c r="M272" i="31" s="1"/>
  <c r="CE272" i="31" s="1"/>
  <c r="AC82" i="31"/>
  <c r="AE82" i="31" s="1"/>
  <c r="CH82" i="31" s="1"/>
  <c r="K282" i="31"/>
  <c r="M282" i="31" s="1"/>
  <c r="CE282" i="31" s="1"/>
  <c r="AC79" i="31"/>
  <c r="AE79" i="31" s="1"/>
  <c r="CH79" i="31" s="1"/>
  <c r="K326" i="31"/>
  <c r="M326" i="31" s="1"/>
  <c r="CE326" i="31" s="1"/>
  <c r="BA48" i="31"/>
  <c r="BC48" i="31" s="1"/>
  <c r="CL48" i="31" s="1"/>
  <c r="BG146" i="31"/>
  <c r="BI146" i="31" s="1"/>
  <c r="CM146" i="31" s="1"/>
  <c r="K275" i="31"/>
  <c r="M275" i="31" s="1"/>
  <c r="CE275" i="31" s="1"/>
  <c r="BA239" i="31"/>
  <c r="BC239" i="31" s="1"/>
  <c r="CL239" i="31" s="1"/>
  <c r="BG98" i="31"/>
  <c r="BI98" i="31" s="1"/>
  <c r="CM98" i="31" s="1"/>
  <c r="K81" i="31"/>
  <c r="M81" i="31" s="1"/>
  <c r="CE81" i="31" s="1"/>
  <c r="BS77" i="31"/>
  <c r="BU77" i="31" s="1"/>
  <c r="CO77" i="31" s="1"/>
  <c r="BG181" i="31"/>
  <c r="BI181" i="31" s="1"/>
  <c r="CM181" i="31" s="1"/>
  <c r="K131" i="31"/>
  <c r="M131" i="31" s="1"/>
  <c r="CE131" i="31" s="1"/>
  <c r="AC22" i="31"/>
  <c r="AE22" i="31" s="1"/>
  <c r="CH22" i="31" s="1"/>
  <c r="AC295" i="31"/>
  <c r="AE295" i="31" s="1"/>
  <c r="CH295" i="31" s="1"/>
  <c r="K330" i="31"/>
  <c r="M330" i="31" s="1"/>
  <c r="CE330" i="31" s="1"/>
  <c r="K221" i="31"/>
  <c r="M221" i="31" s="1"/>
  <c r="CE221" i="31" s="1"/>
  <c r="AO225" i="31"/>
  <c r="AQ225" i="31" s="1"/>
  <c r="CJ225" i="31" s="1"/>
  <c r="K296" i="31"/>
  <c r="M296" i="31" s="1"/>
  <c r="CE296" i="31" s="1"/>
  <c r="AO280" i="31"/>
  <c r="AQ280" i="31" s="1"/>
  <c r="CJ280" i="31" s="1"/>
  <c r="K154" i="31"/>
  <c r="M154" i="31" s="1"/>
  <c r="CE154" i="31" s="1"/>
  <c r="BS36" i="31"/>
  <c r="BU36" i="31" s="1"/>
  <c r="CO36" i="31" s="1"/>
  <c r="BG24" i="31"/>
  <c r="BI24" i="31" s="1"/>
  <c r="CM24" i="31" s="1"/>
  <c r="AC35" i="31"/>
  <c r="AE35" i="31" s="1"/>
  <c r="CH35" i="31" s="1"/>
  <c r="W29" i="31"/>
  <c r="Y29" i="31" s="1"/>
  <c r="CG29" i="31" s="1"/>
  <c r="K73" i="31"/>
  <c r="M73" i="31" s="1"/>
  <c r="CE73" i="31" s="1"/>
  <c r="AO117" i="31"/>
  <c r="AQ117" i="31" s="1"/>
  <c r="CJ117" i="31" s="1"/>
  <c r="K72" i="31"/>
  <c r="M72" i="31" s="1"/>
  <c r="CE72" i="31" s="1"/>
  <c r="Q343" i="31"/>
  <c r="S343" i="31" s="1"/>
  <c r="CF343" i="31" s="1"/>
  <c r="BG21" i="31"/>
  <c r="BI21" i="31" s="1"/>
  <c r="CM21" i="31" s="1"/>
  <c r="BA348" i="31"/>
  <c r="BC348" i="31" s="1"/>
  <c r="CL348" i="31" s="1"/>
  <c r="K8" i="31"/>
  <c r="M8" i="31" s="1"/>
  <c r="CE8" i="31" s="1"/>
  <c r="G3" i="41" s="1"/>
  <c r="AO185" i="31"/>
  <c r="AQ185" i="31" s="1"/>
  <c r="CJ185" i="31" s="1"/>
  <c r="K103" i="31"/>
  <c r="M103" i="31" s="1"/>
  <c r="CE103" i="31" s="1"/>
  <c r="BS210" i="31"/>
  <c r="BU210" i="31" s="1"/>
  <c r="CO210" i="31" s="1"/>
  <c r="BG228" i="31"/>
  <c r="BI228" i="31" s="1"/>
  <c r="CM228" i="31" s="1"/>
  <c r="K172" i="31"/>
  <c r="M172" i="31" s="1"/>
  <c r="CE172" i="31" s="1"/>
  <c r="BA32" i="31"/>
  <c r="BC32" i="31" s="1"/>
  <c r="CL32" i="31" s="1"/>
  <c r="K27" i="31"/>
  <c r="M27" i="31" s="1"/>
  <c r="CE27" i="31" s="1"/>
  <c r="AC13" i="31"/>
  <c r="AE13" i="31" s="1"/>
  <c r="CH13" i="31" s="1"/>
  <c r="BA301" i="31"/>
  <c r="BC301" i="31" s="1"/>
  <c r="CL301" i="31" s="1"/>
  <c r="K257" i="31"/>
  <c r="M257" i="31" s="1"/>
  <c r="CE257" i="31" s="1"/>
  <c r="BS201" i="31"/>
  <c r="BU201" i="31" s="1"/>
  <c r="CO201" i="31" s="1"/>
  <c r="BG205" i="31"/>
  <c r="BI205" i="31" s="1"/>
  <c r="CM205" i="31" s="1"/>
  <c r="K202" i="31"/>
  <c r="M202" i="31" s="1"/>
  <c r="CE202" i="31" s="1"/>
  <c r="Q28" i="31"/>
  <c r="S28" i="31" s="1"/>
  <c r="CF28" i="31" s="1"/>
  <c r="BG241" i="31"/>
  <c r="BI241" i="31" s="1"/>
  <c r="CM241" i="31" s="1"/>
  <c r="K191" i="31"/>
  <c r="M191" i="31" s="1"/>
  <c r="CE191" i="31" s="1"/>
  <c r="AO51" i="31"/>
  <c r="AQ51" i="31" s="1"/>
  <c r="CJ51" i="31" s="1"/>
  <c r="Q121" i="31"/>
  <c r="S121" i="31" s="1"/>
  <c r="CF121" i="31" s="1"/>
  <c r="K174" i="31"/>
  <c r="M174" i="31" s="1"/>
  <c r="CE174" i="31" s="1"/>
  <c r="BS316" i="31"/>
  <c r="BU316" i="31" s="1"/>
  <c r="CO316" i="31" s="1"/>
  <c r="BG306" i="31"/>
  <c r="BI306" i="31" s="1"/>
  <c r="CM306" i="31" s="1"/>
  <c r="K335" i="31"/>
  <c r="M335" i="31" s="1"/>
  <c r="CE335" i="31" s="1"/>
  <c r="BA75" i="31"/>
  <c r="BC75" i="31" s="1"/>
  <c r="CL75" i="31" s="1"/>
  <c r="AC70" i="31"/>
  <c r="AE70" i="31" s="1"/>
  <c r="CH70" i="31" s="1"/>
  <c r="BG87" i="31"/>
  <c r="BI87" i="31" s="1"/>
  <c r="CM87" i="31" s="1"/>
  <c r="K212" i="31"/>
  <c r="BA341" i="31"/>
  <c r="BC341" i="31" s="1"/>
  <c r="CL341" i="31" s="1"/>
  <c r="BG170" i="31"/>
  <c r="BI170" i="31" s="1"/>
  <c r="CM170" i="31" s="1"/>
  <c r="K188" i="31"/>
  <c r="M188" i="31" s="1"/>
  <c r="CE188" i="31" s="1"/>
  <c r="AC84" i="31"/>
  <c r="AE84" i="31" s="1"/>
  <c r="CH84" i="31" s="1"/>
  <c r="K297" i="31"/>
  <c r="M297" i="31" s="1"/>
  <c r="CE297" i="31" s="1"/>
  <c r="Q52" i="31"/>
  <c r="S52" i="31" s="1"/>
  <c r="CF52" i="31" s="1"/>
  <c r="K189" i="31"/>
  <c r="M189" i="31" s="1"/>
  <c r="CE189" i="31" s="1"/>
  <c r="Q101" i="31"/>
  <c r="S101" i="31" s="1"/>
  <c r="CF101" i="31" s="1"/>
  <c r="BG155" i="31"/>
  <c r="BI155" i="31" s="1"/>
  <c r="CM155" i="31" s="1"/>
  <c r="BS132" i="31"/>
  <c r="BU132" i="31" s="1"/>
  <c r="CO132" i="31" s="1"/>
  <c r="K49" i="31"/>
  <c r="M49" i="31" s="1"/>
  <c r="CE49" i="31" s="1"/>
  <c r="BS129" i="31"/>
  <c r="BU129" i="31" s="1"/>
  <c r="CO129" i="31" s="1"/>
  <c r="K23" i="31"/>
  <c r="M23" i="31" s="1"/>
  <c r="CE23" i="31" s="1"/>
  <c r="BA141" i="31"/>
  <c r="BC141" i="31" s="1"/>
  <c r="CL141" i="31" s="1"/>
  <c r="K190" i="31"/>
  <c r="M190" i="31" s="1"/>
  <c r="CE190" i="31" s="1"/>
  <c r="BA311" i="31"/>
  <c r="BC311" i="31" s="1"/>
  <c r="CL311" i="31" s="1"/>
  <c r="K250" i="31"/>
  <c r="AC351" i="31"/>
  <c r="AE351" i="31" s="1"/>
  <c r="CH351" i="31" s="1"/>
  <c r="AO286" i="31"/>
  <c r="AQ286" i="31" s="1"/>
  <c r="CJ286" i="31" s="1"/>
  <c r="K245" i="31"/>
  <c r="M245" i="31" s="1"/>
  <c r="CE245" i="31" s="1"/>
  <c r="AC332" i="31"/>
  <c r="AE332" i="31" s="1"/>
  <c r="CH332" i="31" s="1"/>
  <c r="K171" i="31"/>
  <c r="M171" i="31" s="1"/>
  <c r="CE171" i="31" s="1"/>
  <c r="AO254" i="31"/>
  <c r="AQ254" i="31" s="1"/>
  <c r="CJ254" i="31" s="1"/>
  <c r="BG142" i="31"/>
  <c r="BI142" i="31" s="1"/>
  <c r="CM142" i="31" s="1"/>
  <c r="K350" i="31"/>
  <c r="M350" i="31" s="1"/>
  <c r="CE350" i="31" s="1"/>
  <c r="AO338" i="31"/>
  <c r="AQ338" i="31" s="1"/>
  <c r="CJ338" i="31" s="1"/>
  <c r="K151" i="31"/>
  <c r="M151" i="31" s="1"/>
  <c r="CE151" i="31" s="1"/>
  <c r="Q223" i="31"/>
  <c r="S223" i="31" s="1"/>
  <c r="CF223" i="31" s="1"/>
  <c r="BG234" i="31"/>
  <c r="BI234" i="31" s="1"/>
  <c r="CM234" i="31" s="1"/>
  <c r="K137" i="31"/>
  <c r="M137" i="31" s="1"/>
  <c r="CE137" i="31" s="1"/>
  <c r="BS161" i="31"/>
  <c r="BU161" i="31" s="1"/>
  <c r="CO161" i="31" s="1"/>
  <c r="W243" i="31"/>
  <c r="Y243" i="31" s="1"/>
  <c r="CG243" i="31" s="1"/>
  <c r="K167" i="31"/>
  <c r="M167" i="31" s="1"/>
  <c r="CE167" i="31" s="1"/>
  <c r="AC262" i="31"/>
  <c r="AE262" i="31" s="1"/>
  <c r="CH262" i="31" s="1"/>
  <c r="BG38" i="31"/>
  <c r="BI38" i="31" s="1"/>
  <c r="CM38" i="31" s="1"/>
  <c r="K302" i="31"/>
  <c r="M302" i="31" s="1"/>
  <c r="CE302" i="31" s="1"/>
  <c r="AO91" i="31"/>
  <c r="AQ91" i="31" s="1"/>
  <c r="CJ91" i="31" s="1"/>
  <c r="BA298" i="31"/>
  <c r="BC298" i="31" s="1"/>
  <c r="CL298" i="31" s="1"/>
  <c r="K64" i="31"/>
  <c r="M64" i="31" s="1"/>
  <c r="CE64" i="31" s="1"/>
  <c r="BA179" i="31"/>
  <c r="BC179" i="31" s="1"/>
  <c r="CL179" i="31" s="1"/>
  <c r="K67" i="31"/>
  <c r="M67" i="31" s="1"/>
  <c r="CE67" i="31" s="1"/>
  <c r="BA304" i="31"/>
  <c r="BC304" i="31" s="1"/>
  <c r="CL304" i="31" s="1"/>
  <c r="K214" i="31"/>
  <c r="M214" i="31" s="1"/>
  <c r="CE214" i="31" s="1"/>
  <c r="BA96" i="31"/>
  <c r="BC96" i="31" s="1"/>
  <c r="CL96" i="31" s="1"/>
  <c r="BA15" i="31"/>
  <c r="BC15" i="31" s="1"/>
  <c r="CL15" i="31" s="1"/>
  <c r="K236" i="31"/>
  <c r="M236" i="31" s="1"/>
  <c r="CE236" i="31" s="1"/>
  <c r="W122" i="31"/>
  <c r="Y122" i="31" s="1"/>
  <c r="CG122" i="31" s="1"/>
  <c r="BG183" i="31"/>
  <c r="BI183" i="31" s="1"/>
  <c r="CM183" i="31" s="1"/>
  <c r="AC118" i="31"/>
  <c r="AE118" i="31" s="1"/>
  <c r="CH118" i="31" s="1"/>
  <c r="K159" i="31"/>
  <c r="M159" i="31" s="1"/>
  <c r="CE159" i="31" s="1"/>
  <c r="BA322" i="31"/>
  <c r="BC322" i="31" s="1"/>
  <c r="CL322" i="31" s="1"/>
  <c r="W175" i="31"/>
  <c r="Y175" i="31" s="1"/>
  <c r="CG175" i="31" s="1"/>
  <c r="BA123" i="31"/>
  <c r="BC123" i="31" s="1"/>
  <c r="CL123" i="31" s="1"/>
  <c r="W303" i="31"/>
  <c r="Y303" i="31" s="1"/>
  <c r="CG303" i="31" s="1"/>
  <c r="BA47" i="31"/>
  <c r="BC47" i="31" s="1"/>
  <c r="CL47" i="31" s="1"/>
  <c r="W160" i="31"/>
  <c r="Y160" i="31" s="1"/>
  <c r="CG160" i="31" s="1"/>
  <c r="BG158" i="31"/>
  <c r="BI158" i="31" s="1"/>
  <c r="CM158" i="31" s="1"/>
  <c r="BA86" i="31"/>
  <c r="BC86" i="31" s="1"/>
  <c r="CL86" i="31" s="1"/>
  <c r="Q213" i="31"/>
  <c r="S213" i="31" s="1"/>
  <c r="CF213" i="31" s="1"/>
  <c r="BA17" i="31"/>
  <c r="BC17" i="31" s="1"/>
  <c r="CL17" i="31" s="1"/>
  <c r="AC308" i="31"/>
  <c r="AE308" i="31" s="1"/>
  <c r="CH308" i="31" s="1"/>
  <c r="W34" i="31"/>
  <c r="Y34" i="31" s="1"/>
  <c r="CG34" i="31" s="1"/>
  <c r="AB354" i="31"/>
  <c r="AB1" i="31"/>
  <c r="AB3" i="31"/>
  <c r="BA230" i="31"/>
  <c r="BC230" i="31" s="1"/>
  <c r="CL230" i="31" s="1"/>
  <c r="AO130" i="31"/>
  <c r="AQ130" i="31" s="1"/>
  <c r="CJ130" i="31" s="1"/>
  <c r="AO290" i="31"/>
  <c r="AQ290" i="31" s="1"/>
  <c r="CJ290" i="31" s="1"/>
  <c r="BS208" i="31"/>
  <c r="BU208" i="31" s="1"/>
  <c r="CO208" i="31" s="1"/>
  <c r="W324" i="31"/>
  <c r="Y324" i="31" s="1"/>
  <c r="CG324" i="31" s="1"/>
  <c r="BA44" i="31"/>
  <c r="BC44" i="31" s="1"/>
  <c r="CL44" i="31" s="1"/>
  <c r="AC113" i="31"/>
  <c r="AE113" i="31" s="1"/>
  <c r="CH113" i="31" s="1"/>
  <c r="Q97" i="31"/>
  <c r="S97" i="31" s="1"/>
  <c r="CF97" i="31" s="1"/>
  <c r="AO315" i="31"/>
  <c r="AQ315" i="31" s="1"/>
  <c r="CJ315" i="31" s="1"/>
  <c r="Q180" i="31"/>
  <c r="S180" i="31" s="1"/>
  <c r="CF180" i="31" s="1"/>
  <c r="BG326" i="31"/>
  <c r="BI326" i="31" s="1"/>
  <c r="CM326" i="31" s="1"/>
  <c r="BS239" i="31"/>
  <c r="BU239" i="31" s="1"/>
  <c r="CO239" i="31" s="1"/>
  <c r="BG154" i="31"/>
  <c r="BI154" i="31" s="1"/>
  <c r="CM154" i="31" s="1"/>
  <c r="W233" i="31"/>
  <c r="Y233" i="31" s="1"/>
  <c r="CG233" i="31" s="1"/>
  <c r="AO28" i="31"/>
  <c r="AQ28" i="31" s="1"/>
  <c r="CJ28" i="31" s="1"/>
  <c r="BS121" i="31"/>
  <c r="BU121" i="31" s="1"/>
  <c r="CO121" i="31" s="1"/>
  <c r="Q127" i="31"/>
  <c r="S127" i="31" s="1"/>
  <c r="CF127" i="31" s="1"/>
  <c r="BG350" i="31"/>
  <c r="BI350" i="31" s="1"/>
  <c r="CM350" i="31" s="1"/>
  <c r="BG67" i="31"/>
  <c r="BI67" i="31" s="1"/>
  <c r="CM67" i="31" s="1"/>
  <c r="BA122" i="31"/>
  <c r="BC122" i="31" s="1"/>
  <c r="CL122" i="31" s="1"/>
  <c r="BG227" i="31"/>
  <c r="BI227" i="31" s="1"/>
  <c r="CM227" i="31" s="1"/>
  <c r="BG45" i="31"/>
  <c r="BI45" i="31" s="1"/>
  <c r="CM45" i="31" s="1"/>
  <c r="K169" i="31"/>
  <c r="M169" i="31" s="1"/>
  <c r="CE169" i="31" s="1"/>
  <c r="BS97" i="31"/>
  <c r="BU97" i="31" s="1"/>
  <c r="CO97" i="31" s="1"/>
  <c r="K152" i="31"/>
  <c r="M152" i="31" s="1"/>
  <c r="CE152" i="31" s="1"/>
  <c r="K219" i="31"/>
  <c r="W19" i="31"/>
  <c r="Y19" i="31" s="1"/>
  <c r="CG19" i="31" s="1"/>
  <c r="BA80" i="31"/>
  <c r="BC80" i="31" s="1"/>
  <c r="CL80" i="31" s="1"/>
  <c r="BG93" i="31"/>
  <c r="BI93" i="31" s="1"/>
  <c r="CM93" i="31" s="1"/>
  <c r="BG312" i="31"/>
  <c r="BI312" i="31" s="1"/>
  <c r="CM312" i="31" s="1"/>
  <c r="BS76" i="31"/>
  <c r="BU76" i="31" s="1"/>
  <c r="CO76" i="31" s="1"/>
  <c r="BA219" i="31"/>
  <c r="BC219" i="31" s="1"/>
  <c r="CL219" i="31" s="1"/>
  <c r="BG33" i="31"/>
  <c r="BI33" i="31" s="1"/>
  <c r="CM33" i="31" s="1"/>
  <c r="BG9" i="31"/>
  <c r="BI9" i="31" s="1"/>
  <c r="CM9" i="31" s="1"/>
  <c r="O4" i="41" s="1"/>
  <c r="AO95" i="31"/>
  <c r="AQ95" i="31" s="1"/>
  <c r="CJ95" i="31" s="1"/>
  <c r="BS207" i="31"/>
  <c r="BU207" i="31" s="1"/>
  <c r="CO207" i="31" s="1"/>
  <c r="BG22" i="31"/>
  <c r="BI22" i="31" s="1"/>
  <c r="CM22" i="31" s="1"/>
  <c r="AO313" i="31"/>
  <c r="AQ313" i="31" s="1"/>
  <c r="CJ313" i="31" s="1"/>
  <c r="AC307" i="31"/>
  <c r="AE307" i="31" s="1"/>
  <c r="CH307" i="31" s="1"/>
  <c r="AO182" i="31"/>
  <c r="AQ182" i="31" s="1"/>
  <c r="CJ182" i="31" s="1"/>
  <c r="K35" i="31"/>
  <c r="M35" i="31" s="1"/>
  <c r="CE35" i="31" s="1"/>
  <c r="K117" i="31"/>
  <c r="M117" i="31" s="1"/>
  <c r="CE117" i="31" s="1"/>
  <c r="K343" i="31"/>
  <c r="M343" i="31" s="1"/>
  <c r="CE343" i="31" s="1"/>
  <c r="BG83" i="31"/>
  <c r="BI83" i="31" s="1"/>
  <c r="CM83" i="31" s="1"/>
  <c r="K185" i="31"/>
  <c r="M185" i="31" s="1"/>
  <c r="CE185" i="31" s="1"/>
  <c r="K201" i="31"/>
  <c r="AC60" i="31"/>
  <c r="AE60" i="31" s="1"/>
  <c r="CH60" i="31" s="1"/>
  <c r="K341" i="31"/>
  <c r="M341" i="31" s="1"/>
  <c r="CE341" i="31" s="1"/>
  <c r="K129" i="31"/>
  <c r="M129" i="31" s="1"/>
  <c r="CE129" i="31" s="1"/>
  <c r="K141" i="31"/>
  <c r="M141" i="31" s="1"/>
  <c r="CE141" i="31" s="1"/>
  <c r="K351" i="31"/>
  <c r="K332" i="31"/>
  <c r="M332" i="31" s="1"/>
  <c r="CE332" i="31" s="1"/>
  <c r="K254" i="31"/>
  <c r="M254" i="31" s="1"/>
  <c r="CE254" i="31" s="1"/>
  <c r="K338" i="31"/>
  <c r="M338" i="31" s="1"/>
  <c r="CE338" i="31" s="1"/>
  <c r="AO54" i="31"/>
  <c r="AQ54" i="31" s="1"/>
  <c r="CJ54" i="31" s="1"/>
  <c r="BG120" i="31"/>
  <c r="BI120" i="31" s="1"/>
  <c r="CM120" i="31" s="1"/>
  <c r="P272" i="41"/>
  <c r="W96" i="31"/>
  <c r="Y96" i="31" s="1"/>
  <c r="CG96" i="31" s="1"/>
  <c r="BA71" i="31"/>
  <c r="BC71" i="31" s="1"/>
  <c r="CL71" i="31" s="1"/>
  <c r="K118" i="31"/>
  <c r="AO217" i="31"/>
  <c r="AQ217" i="31" s="1"/>
  <c r="CJ217" i="31" s="1"/>
  <c r="W198" i="31"/>
  <c r="Y198" i="31" s="1"/>
  <c r="CG198" i="31" s="1"/>
  <c r="AC349" i="31"/>
  <c r="AE349" i="31" s="1"/>
  <c r="CH349" i="31" s="1"/>
  <c r="BA126" i="31"/>
  <c r="BC126" i="31" s="1"/>
  <c r="CL126" i="31" s="1"/>
  <c r="AC89" i="31"/>
  <c r="AE89" i="31" s="1"/>
  <c r="CH89" i="31" s="1"/>
  <c r="BG300" i="31"/>
  <c r="BI300" i="31" s="1"/>
  <c r="CM300" i="31" s="1"/>
  <c r="AC178" i="31"/>
  <c r="AE178" i="31" s="1"/>
  <c r="CH178" i="31" s="1"/>
  <c r="W251" i="31"/>
  <c r="Y251" i="31" s="1"/>
  <c r="CG251" i="31" s="1"/>
  <c r="Q37" i="31"/>
  <c r="S37" i="31" s="1"/>
  <c r="CF37" i="31" s="1"/>
  <c r="K209" i="31"/>
  <c r="M209" i="31" s="1"/>
  <c r="CE209" i="31" s="1"/>
  <c r="Q285" i="31"/>
  <c r="S285" i="31" s="1"/>
  <c r="CF285" i="31" s="1"/>
  <c r="BA177" i="31"/>
  <c r="BC177" i="31" s="1"/>
  <c r="CL177" i="31" s="1"/>
  <c r="BS19" i="31"/>
  <c r="BU19" i="31" s="1"/>
  <c r="CO19" i="31" s="1"/>
  <c r="AO219" i="31"/>
  <c r="AQ219" i="31" s="1"/>
  <c r="CJ219" i="31" s="1"/>
  <c r="AC115" i="31"/>
  <c r="AE115" i="31" s="1"/>
  <c r="CH115" i="31" s="1"/>
  <c r="BS95" i="31"/>
  <c r="BU95" i="31" s="1"/>
  <c r="CO95" i="31" s="1"/>
  <c r="K264" i="31"/>
  <c r="M264" i="31" s="1"/>
  <c r="CE264" i="31" s="1"/>
  <c r="BG26" i="31"/>
  <c r="BI26" i="31" s="1"/>
  <c r="CM26" i="31" s="1"/>
  <c r="W278" i="31"/>
  <c r="Y278" i="31" s="1"/>
  <c r="CG278" i="31" s="1"/>
  <c r="W31" i="31"/>
  <c r="Y31" i="31" s="1"/>
  <c r="CG31" i="31" s="1"/>
  <c r="BA114" i="31"/>
  <c r="BC114" i="31" s="1"/>
  <c r="CL114" i="31" s="1"/>
  <c r="BS222" i="31"/>
  <c r="BU222" i="31" s="1"/>
  <c r="CO222" i="31" s="1"/>
  <c r="BA350" i="31"/>
  <c r="BC350" i="31" s="1"/>
  <c r="CL350" i="31" s="1"/>
  <c r="BS176" i="31"/>
  <c r="BU176" i="31" s="1"/>
  <c r="CO176" i="31" s="1"/>
  <c r="W187" i="31"/>
  <c r="Y187" i="31" s="1"/>
  <c r="CG187" i="31" s="1"/>
  <c r="AO112" i="31"/>
  <c r="AQ112" i="31" s="1"/>
  <c r="CJ112" i="31" s="1"/>
  <c r="BG315" i="31"/>
  <c r="BI315" i="31" s="1"/>
  <c r="CM315" i="31" s="1"/>
  <c r="AC144" i="31"/>
  <c r="AE144" i="31" s="1"/>
  <c r="CH144" i="31" s="1"/>
  <c r="BS187" i="31"/>
  <c r="BU187" i="31" s="1"/>
  <c r="CO187" i="31" s="1"/>
  <c r="AC95" i="31"/>
  <c r="AE95" i="31" s="1"/>
  <c r="CH95" i="31" s="1"/>
  <c r="BS26" i="31"/>
  <c r="BU26" i="31" s="1"/>
  <c r="CO26" i="31" s="1"/>
  <c r="AC327" i="31"/>
  <c r="AE327" i="31" s="1"/>
  <c r="CH327" i="31" s="1"/>
  <c r="Q106" i="31"/>
  <c r="S106" i="31" s="1"/>
  <c r="CF106" i="31" s="1"/>
  <c r="AO119" i="31"/>
  <c r="AQ119" i="31" s="1"/>
  <c r="CJ119" i="31" s="1"/>
  <c r="W323" i="31"/>
  <c r="Y323" i="31" s="1"/>
  <c r="CG323" i="31" s="1"/>
  <c r="BA209" i="31"/>
  <c r="BC209" i="31" s="1"/>
  <c r="CL209" i="31" s="1"/>
  <c r="BG97" i="31"/>
  <c r="BI97" i="31" s="1"/>
  <c r="CM97" i="31" s="1"/>
  <c r="BA156" i="31"/>
  <c r="BC156" i="31" s="1"/>
  <c r="CL156" i="31" s="1"/>
  <c r="BA315" i="31"/>
  <c r="BC315" i="31" s="1"/>
  <c r="CL315" i="31" s="1"/>
  <c r="K61" i="31"/>
  <c r="M61" i="31" s="1"/>
  <c r="CE61" i="31" s="1"/>
  <c r="BS63" i="31"/>
  <c r="BU63" i="31" s="1"/>
  <c r="CO63" i="31" s="1"/>
  <c r="BA347" i="31"/>
  <c r="BC347" i="31" s="1"/>
  <c r="CL347" i="31" s="1"/>
  <c r="BA168" i="31"/>
  <c r="BC168" i="31" s="1"/>
  <c r="CL168" i="31" s="1"/>
  <c r="AC180" i="31"/>
  <c r="AE180" i="31" s="1"/>
  <c r="CH180" i="31" s="1"/>
  <c r="K173" i="31"/>
  <c r="BS16" i="31"/>
  <c r="BU16" i="31" s="1"/>
  <c r="CO16" i="31" s="1"/>
  <c r="BA82" i="31"/>
  <c r="BC82" i="31" s="1"/>
  <c r="CL82" i="31" s="1"/>
  <c r="AO79" i="31"/>
  <c r="AQ79" i="31" s="1"/>
  <c r="CJ79" i="31" s="1"/>
  <c r="AO48" i="31"/>
  <c r="AQ48" i="31" s="1"/>
  <c r="CJ48" i="31" s="1"/>
  <c r="AC239" i="31"/>
  <c r="AE239" i="31" s="1"/>
  <c r="CH239" i="31" s="1"/>
  <c r="AC77" i="31"/>
  <c r="AE77" i="31" s="1"/>
  <c r="CH77" i="31" s="1"/>
  <c r="Y295" i="31"/>
  <c r="CG295" i="31" s="1"/>
  <c r="Q264" i="31"/>
  <c r="S264" i="31" s="1"/>
  <c r="CF264" i="31" s="1"/>
  <c r="BS225" i="31"/>
  <c r="BU225" i="31" s="1"/>
  <c r="CO225" i="31" s="1"/>
  <c r="BA280" i="31"/>
  <c r="BC280" i="31" s="1"/>
  <c r="CL280" i="31" s="1"/>
  <c r="Q36" i="31"/>
  <c r="S36" i="31" s="1"/>
  <c r="CF36" i="31" s="1"/>
  <c r="K110" i="31"/>
  <c r="M110" i="31" s="1"/>
  <c r="CE110" i="31" s="1"/>
  <c r="Q35" i="31"/>
  <c r="S35" i="31" s="1"/>
  <c r="CF35" i="31" s="1"/>
  <c r="BS117" i="31"/>
  <c r="BU117" i="31" s="1"/>
  <c r="CO117" i="31" s="1"/>
  <c r="BG244" i="31"/>
  <c r="BI244" i="31" s="1"/>
  <c r="CM244" i="31" s="1"/>
  <c r="BS343" i="31"/>
  <c r="BU343" i="31" s="1"/>
  <c r="CO343" i="31" s="1"/>
  <c r="K252" i="31"/>
  <c r="M252" i="31" s="1"/>
  <c r="CE252" i="31" s="1"/>
  <c r="AO348" i="31"/>
  <c r="AQ348" i="31" s="1"/>
  <c r="CJ348" i="31" s="1"/>
  <c r="Q233" i="31"/>
  <c r="S233" i="31" s="1"/>
  <c r="CF233" i="31" s="1"/>
  <c r="BS185" i="31"/>
  <c r="BU185" i="31" s="1"/>
  <c r="CO185" i="31" s="1"/>
  <c r="AO210" i="31"/>
  <c r="AQ210" i="31" s="1"/>
  <c r="CJ210" i="31" s="1"/>
  <c r="BS32" i="31"/>
  <c r="BU32" i="31" s="1"/>
  <c r="CO32" i="31" s="1"/>
  <c r="BS13" i="31"/>
  <c r="BU13" i="31" s="1"/>
  <c r="CO13" i="31" s="1"/>
  <c r="BG344" i="31"/>
  <c r="BI344" i="31" s="1"/>
  <c r="CM344" i="31" s="1"/>
  <c r="K78" i="31"/>
  <c r="M78" i="31" s="1"/>
  <c r="CE78" i="31" s="1"/>
  <c r="BS301" i="31"/>
  <c r="BU301" i="31" s="1"/>
  <c r="CO301" i="31" s="1"/>
  <c r="AO201" i="31"/>
  <c r="AQ201" i="31" s="1"/>
  <c r="CJ201" i="31" s="1"/>
  <c r="BS28" i="31"/>
  <c r="BU28" i="31" s="1"/>
  <c r="CO28" i="31" s="1"/>
  <c r="AC51" i="31"/>
  <c r="AE51" i="31" s="1"/>
  <c r="CH51" i="31" s="1"/>
  <c r="W288" i="31"/>
  <c r="Y288" i="31" s="1"/>
  <c r="CG288" i="31" s="1"/>
  <c r="K240" i="31"/>
  <c r="M240" i="31" s="1"/>
  <c r="CE240" i="31" s="1"/>
  <c r="AC121" i="31"/>
  <c r="AE121" i="31" s="1"/>
  <c r="CH121" i="31" s="1"/>
  <c r="W340" i="31"/>
  <c r="Y340" i="31" s="1"/>
  <c r="CG340" i="31" s="1"/>
  <c r="AO316" i="31"/>
  <c r="AQ316" i="31" s="1"/>
  <c r="CJ316" i="31" s="1"/>
  <c r="BS70" i="31"/>
  <c r="BU70" i="31" s="1"/>
  <c r="CO70" i="31" s="1"/>
  <c r="AO341" i="31"/>
  <c r="AQ341" i="31" s="1"/>
  <c r="CJ341" i="31" s="1"/>
  <c r="BS84" i="31"/>
  <c r="BU84" i="31" s="1"/>
  <c r="CO84" i="31" s="1"/>
  <c r="AC52" i="31"/>
  <c r="AE52" i="31" s="1"/>
  <c r="CH52" i="31" s="1"/>
  <c r="BG247" i="31"/>
  <c r="BI247" i="31" s="1"/>
  <c r="CM247" i="31" s="1"/>
  <c r="AC101" i="31"/>
  <c r="AE101" i="31" s="1"/>
  <c r="CH101" i="31" s="1"/>
  <c r="K253" i="31"/>
  <c r="M253" i="31" s="1"/>
  <c r="CE253" i="31" s="1"/>
  <c r="Q132" i="31"/>
  <c r="S132" i="31" s="1"/>
  <c r="CF132" i="31" s="1"/>
  <c r="BA129" i="31"/>
  <c r="BC129" i="31" s="1"/>
  <c r="CL129" i="31" s="1"/>
  <c r="BS261" i="31"/>
  <c r="BU261" i="31" s="1"/>
  <c r="CO261" i="31" s="1"/>
  <c r="BS141" i="31"/>
  <c r="BU141" i="31" s="1"/>
  <c r="CO141" i="31" s="1"/>
  <c r="BS311" i="31"/>
  <c r="BU311" i="31" s="1"/>
  <c r="CO311" i="31" s="1"/>
  <c r="BG40" i="31"/>
  <c r="BI40" i="31" s="1"/>
  <c r="CM40" i="31" s="1"/>
  <c r="Q351" i="31"/>
  <c r="S351" i="31" s="1"/>
  <c r="CF351" i="31" s="1"/>
  <c r="AK286" i="31"/>
  <c r="CI286" i="31" s="1"/>
  <c r="BA332" i="31"/>
  <c r="BC332" i="31" s="1"/>
  <c r="CL332" i="31" s="1"/>
  <c r="AC254" i="31"/>
  <c r="AE254" i="31" s="1"/>
  <c r="CH254" i="31" s="1"/>
  <c r="AC338" i="31"/>
  <c r="AE338" i="31" s="1"/>
  <c r="CH338" i="31" s="1"/>
  <c r="AO223" i="31"/>
  <c r="AQ223" i="31" s="1"/>
  <c r="CJ223" i="31" s="1"/>
  <c r="BS243" i="31"/>
  <c r="BU243" i="31" s="1"/>
  <c r="CO243" i="31" s="1"/>
  <c r="BS262" i="31"/>
  <c r="BU262" i="31" s="1"/>
  <c r="CO262" i="31" s="1"/>
  <c r="BA91" i="31"/>
  <c r="BC91" i="31" s="1"/>
  <c r="CL91" i="31" s="1"/>
  <c r="BG133" i="31"/>
  <c r="BI133" i="31" s="1"/>
  <c r="CM133" i="31" s="1"/>
  <c r="K53" i="31"/>
  <c r="AO298" i="31"/>
  <c r="AQ298" i="31" s="1"/>
  <c r="CJ298" i="31" s="1"/>
  <c r="W164" i="31"/>
  <c r="Y164" i="31" s="1"/>
  <c r="CG164" i="31" s="1"/>
  <c r="AC179" i="31"/>
  <c r="AE179" i="31" s="1"/>
  <c r="CH179" i="31" s="1"/>
  <c r="W135" i="31"/>
  <c r="Y135" i="31" s="1"/>
  <c r="CG135" i="31" s="1"/>
  <c r="AO304" i="31"/>
  <c r="AQ304" i="31" s="1"/>
  <c r="CJ304" i="31" s="1"/>
  <c r="AC15" i="31"/>
  <c r="AE15" i="31" s="1"/>
  <c r="CH15" i="31" s="1"/>
  <c r="Q336" i="31"/>
  <c r="S336" i="31" s="1"/>
  <c r="CF336" i="31" s="1"/>
  <c r="AO122" i="31"/>
  <c r="AQ122" i="31" s="1"/>
  <c r="CJ122" i="31" s="1"/>
  <c r="BS118" i="31"/>
  <c r="BU118" i="31" s="1"/>
  <c r="CO118" i="31" s="1"/>
  <c r="BG345" i="31"/>
  <c r="BI345" i="31" s="1"/>
  <c r="CM345" i="31" s="1"/>
  <c r="Q322" i="31"/>
  <c r="S322" i="31" s="1"/>
  <c r="CF322" i="31" s="1"/>
  <c r="Q175" i="31"/>
  <c r="S175" i="31" s="1"/>
  <c r="CF175" i="31" s="1"/>
  <c r="BG276" i="31"/>
  <c r="BI276" i="31" s="1"/>
  <c r="CM276" i="31" s="1"/>
  <c r="Q123" i="31"/>
  <c r="S123" i="31" s="1"/>
  <c r="CF123" i="31" s="1"/>
  <c r="BS303" i="31"/>
  <c r="BU303" i="31" s="1"/>
  <c r="CO303" i="31" s="1"/>
  <c r="AO47" i="31"/>
  <c r="AQ47" i="31" s="1"/>
  <c r="CJ47" i="31" s="1"/>
  <c r="BS160" i="31"/>
  <c r="BU160" i="31" s="1"/>
  <c r="CO160" i="31" s="1"/>
  <c r="AC86" i="31"/>
  <c r="AE86" i="31" s="1"/>
  <c r="CH86" i="31" s="1"/>
  <c r="W213" i="31"/>
  <c r="Y213" i="31" s="1"/>
  <c r="CG213" i="31" s="1"/>
  <c r="Q200" i="31"/>
  <c r="S200" i="31" s="1"/>
  <c r="CF200" i="31" s="1"/>
  <c r="BG314" i="31"/>
  <c r="BI314" i="31" s="1"/>
  <c r="CM314" i="31" s="1"/>
  <c r="BS308" i="31"/>
  <c r="BU308" i="31" s="1"/>
  <c r="CO308" i="31" s="1"/>
  <c r="AO34" i="31"/>
  <c r="AQ34" i="31" s="1"/>
  <c r="CJ34" i="31" s="1"/>
  <c r="BF3" i="31"/>
  <c r="BF354" i="31"/>
  <c r="BF1" i="31"/>
  <c r="BS230" i="31"/>
  <c r="BU230" i="31" s="1"/>
  <c r="CO230" i="31" s="1"/>
  <c r="Q197" i="31"/>
  <c r="S197" i="31" s="1"/>
  <c r="CF197" i="31" s="1"/>
  <c r="AC130" i="31"/>
  <c r="AE130" i="31" s="1"/>
  <c r="CH130" i="31" s="1"/>
  <c r="W85" i="31"/>
  <c r="Y85" i="31" s="1"/>
  <c r="CG85" i="31" s="1"/>
  <c r="BS290" i="31"/>
  <c r="BU290" i="31" s="1"/>
  <c r="CO290" i="31" s="1"/>
  <c r="W237" i="31"/>
  <c r="Y237" i="31" s="1"/>
  <c r="CG237" i="31" s="1"/>
  <c r="BA208" i="31"/>
  <c r="BC208" i="31" s="1"/>
  <c r="CL208" i="31" s="1"/>
  <c r="Q44" i="31"/>
  <c r="S44" i="31" s="1"/>
  <c r="CF44" i="31" s="1"/>
  <c r="W325" i="31"/>
  <c r="Y325" i="31" s="1"/>
  <c r="CG325" i="31" s="1"/>
  <c r="BS113" i="31"/>
  <c r="BU113" i="31" s="1"/>
  <c r="CO113" i="31" s="1"/>
  <c r="W62" i="31"/>
  <c r="Y62" i="31" s="1"/>
  <c r="CG62" i="31" s="1"/>
  <c r="Q329" i="31"/>
  <c r="S329" i="31" s="1"/>
  <c r="CF329" i="31" s="1"/>
  <c r="BG275" i="31"/>
  <c r="BI275" i="31" s="1"/>
  <c r="CM275" i="31" s="1"/>
  <c r="K259" i="41"/>
  <c r="AO35" i="31"/>
  <c r="AQ35" i="31" s="1"/>
  <c r="CJ35" i="31" s="1"/>
  <c r="AO343" i="31"/>
  <c r="AQ343" i="31" s="1"/>
  <c r="CJ343" i="31" s="1"/>
  <c r="AO301" i="31"/>
  <c r="AQ301" i="31" s="1"/>
  <c r="CJ301" i="31" s="1"/>
  <c r="BS195" i="31"/>
  <c r="BU195" i="31" s="1"/>
  <c r="CO195" i="31" s="1"/>
  <c r="AC141" i="31"/>
  <c r="AE141" i="31" s="1"/>
  <c r="CH141" i="31" s="1"/>
  <c r="BG245" i="31"/>
  <c r="BI245" i="31" s="1"/>
  <c r="CM245" i="31" s="1"/>
  <c r="BG167" i="31"/>
  <c r="BI167" i="31" s="1"/>
  <c r="CM167" i="31" s="1"/>
  <c r="W336" i="31"/>
  <c r="Y336" i="31" s="1"/>
  <c r="CG336" i="31" s="1"/>
  <c r="AC175" i="31"/>
  <c r="AE175" i="31" s="1"/>
  <c r="CH175" i="31" s="1"/>
  <c r="W140" i="31"/>
  <c r="Y140" i="31" s="1"/>
  <c r="CG140" i="31" s="1"/>
  <c r="K204" i="31"/>
  <c r="M204" i="31" s="1"/>
  <c r="CE204" i="31" s="1"/>
  <c r="AO88" i="31"/>
  <c r="AQ88" i="31" s="1"/>
  <c r="CJ88" i="31" s="1"/>
  <c r="AC329" i="31"/>
  <c r="AE329" i="31" s="1"/>
  <c r="CH329" i="31" s="1"/>
  <c r="W219" i="31"/>
  <c r="Y219" i="31" s="1"/>
  <c r="CG219" i="31" s="1"/>
  <c r="BS124" i="31"/>
  <c r="BU124" i="31" s="1"/>
  <c r="CO124" i="31" s="1"/>
  <c r="K180" i="31"/>
  <c r="M180" i="31" s="1"/>
  <c r="CE180" i="31" s="1"/>
  <c r="BS90" i="31"/>
  <c r="BU90" i="31" s="1"/>
  <c r="CO90" i="31" s="1"/>
  <c r="AO100" i="31"/>
  <c r="AQ100" i="31" s="1"/>
  <c r="CJ100" i="31" s="1"/>
  <c r="AC321" i="31"/>
  <c r="AE321" i="31" s="1"/>
  <c r="CH321" i="31" s="1"/>
  <c r="K301" i="31"/>
  <c r="M301" i="31" s="1"/>
  <c r="CE301" i="31" s="1"/>
  <c r="K51" i="31"/>
  <c r="BG265" i="31"/>
  <c r="BI265" i="31" s="1"/>
  <c r="CM265" i="31" s="1"/>
  <c r="AO339" i="31"/>
  <c r="AQ339" i="31" s="1"/>
  <c r="CJ339" i="31" s="1"/>
  <c r="K311" i="31"/>
  <c r="M311" i="31" s="1"/>
  <c r="CE311" i="31" s="1"/>
  <c r="AC108" i="31"/>
  <c r="AE108" i="31" s="1"/>
  <c r="CH108" i="31" s="1"/>
  <c r="BS226" i="31"/>
  <c r="BU226" i="31" s="1"/>
  <c r="CO226" i="31" s="1"/>
  <c r="BS292" i="31"/>
  <c r="BU292" i="31" s="1"/>
  <c r="CO292" i="31" s="1"/>
  <c r="BA100" i="31"/>
  <c r="BC100" i="31" s="1"/>
  <c r="CL100" i="31" s="1"/>
  <c r="BA339" i="31"/>
  <c r="BC339" i="31" s="1"/>
  <c r="CL339" i="31" s="1"/>
  <c r="AC245" i="31"/>
  <c r="AE245" i="31" s="1"/>
  <c r="CH245" i="31" s="1"/>
  <c r="BA54" i="31"/>
  <c r="BC54" i="31" s="1"/>
  <c r="CL54" i="31" s="1"/>
  <c r="AC319" i="31"/>
  <c r="AE319" i="31" s="1"/>
  <c r="CH319" i="31" s="1"/>
  <c r="BS349" i="31"/>
  <c r="BU349" i="31" s="1"/>
  <c r="CO349" i="31" s="1"/>
  <c r="AO125" i="31"/>
  <c r="AQ125" i="31" s="1"/>
  <c r="CJ125" i="31" s="1"/>
  <c r="AO196" i="31"/>
  <c r="AQ196" i="31" s="1"/>
  <c r="CJ196" i="31" s="1"/>
  <c r="BA292" i="31"/>
  <c r="BC292" i="31" s="1"/>
  <c r="CL292" i="31" s="1"/>
  <c r="Q204" i="31"/>
  <c r="S204" i="31" s="1"/>
  <c r="CF204" i="31" s="1"/>
  <c r="BG119" i="31"/>
  <c r="BI119" i="31" s="1"/>
  <c r="CM119" i="31" s="1"/>
  <c r="BG156" i="31"/>
  <c r="BI156" i="31" s="1"/>
  <c r="CM156" i="31" s="1"/>
  <c r="AO165" i="31"/>
  <c r="AQ165" i="31" s="1"/>
  <c r="CJ165" i="31" s="1"/>
  <c r="W346" i="31"/>
  <c r="Y346" i="31" s="1"/>
  <c r="CG346" i="31" s="1"/>
  <c r="BA327" i="31"/>
  <c r="BC327" i="31" s="1"/>
  <c r="CL327" i="31" s="1"/>
  <c r="W162" i="31"/>
  <c r="Y162" i="31" s="1"/>
  <c r="CG162" i="31" s="1"/>
  <c r="BS106" i="31"/>
  <c r="BU106" i="31" s="1"/>
  <c r="CO106" i="31" s="1"/>
  <c r="W184" i="31"/>
  <c r="Y184" i="31" s="1"/>
  <c r="CG184" i="31" s="1"/>
  <c r="BS119" i="31"/>
  <c r="BU119" i="31" s="1"/>
  <c r="CO119" i="31" s="1"/>
  <c r="BG42" i="31"/>
  <c r="BI42" i="31" s="1"/>
  <c r="CM42" i="31" s="1"/>
  <c r="BS209" i="31"/>
  <c r="BU209" i="31" s="1"/>
  <c r="CO209" i="31" s="1"/>
  <c r="K92" i="31"/>
  <c r="M92" i="31" s="1"/>
  <c r="CE92" i="31" s="1"/>
  <c r="Q156" i="31"/>
  <c r="S156" i="31" s="1"/>
  <c r="CF156" i="31" s="1"/>
  <c r="Q56" i="31"/>
  <c r="S56" i="31" s="1"/>
  <c r="CF56" i="31" s="1"/>
  <c r="BS315" i="31"/>
  <c r="BU315" i="31" s="1"/>
  <c r="CO315" i="31" s="1"/>
  <c r="W12" i="31"/>
  <c r="Y12" i="31" s="1"/>
  <c r="CG12" i="31" s="1"/>
  <c r="I7" i="41" s="1"/>
  <c r="BA63" i="31"/>
  <c r="BC63" i="31" s="1"/>
  <c r="CL63" i="31" s="1"/>
  <c r="W88" i="31"/>
  <c r="Y88" i="31" s="1"/>
  <c r="CG88" i="31" s="1"/>
  <c r="AO347" i="31"/>
  <c r="AQ347" i="31" s="1"/>
  <c r="CJ347" i="31" s="1"/>
  <c r="W320" i="31"/>
  <c r="Y320" i="31" s="1"/>
  <c r="CG320" i="31" s="1"/>
  <c r="BA180" i="31"/>
  <c r="BC180" i="31" s="1"/>
  <c r="CL180" i="31" s="1"/>
  <c r="W10" i="31"/>
  <c r="Y10" i="31" s="1"/>
  <c r="CG10" i="31" s="1"/>
  <c r="I5" i="41" s="1"/>
  <c r="Q16" i="31"/>
  <c r="S16" i="31" s="1"/>
  <c r="CF16" i="31" s="1"/>
  <c r="AO82" i="31"/>
  <c r="AQ82" i="31" s="1"/>
  <c r="CJ82" i="31" s="1"/>
  <c r="W329" i="31"/>
  <c r="Y329" i="31" s="1"/>
  <c r="CG329" i="31" s="1"/>
  <c r="BG282" i="31"/>
  <c r="BI282" i="31" s="1"/>
  <c r="CM282" i="31" s="1"/>
  <c r="BS79" i="31"/>
  <c r="BU79" i="31" s="1"/>
  <c r="CO79" i="31" s="1"/>
  <c r="W271" i="31"/>
  <c r="Y271" i="31" s="1"/>
  <c r="CG271" i="31" s="1"/>
  <c r="AC48" i="31"/>
  <c r="AE48" i="31" s="1"/>
  <c r="CH48" i="31" s="1"/>
  <c r="W146" i="31"/>
  <c r="Y146" i="31" s="1"/>
  <c r="CG146" i="31" s="1"/>
  <c r="AO239" i="31"/>
  <c r="AQ239" i="31" s="1"/>
  <c r="CJ239" i="31" s="1"/>
  <c r="W98" i="31"/>
  <c r="Y98" i="31" s="1"/>
  <c r="CG98" i="31" s="1"/>
  <c r="W181" i="31"/>
  <c r="Y181" i="31" s="1"/>
  <c r="CG181" i="31" s="1"/>
  <c r="BA295" i="31"/>
  <c r="BC295" i="31" s="1"/>
  <c r="CL295" i="31" s="1"/>
  <c r="W69" i="31"/>
  <c r="Y69" i="31" s="1"/>
  <c r="CG69" i="31" s="1"/>
  <c r="I259" i="41"/>
  <c r="W284" i="31"/>
  <c r="Y284" i="31" s="1"/>
  <c r="CG284" i="31" s="1"/>
  <c r="BA225" i="31"/>
  <c r="BC225" i="31" s="1"/>
  <c r="CL225" i="31" s="1"/>
  <c r="W232" i="31"/>
  <c r="Y232" i="31" s="1"/>
  <c r="CG232" i="31" s="1"/>
  <c r="AC280" i="31"/>
  <c r="AE280" i="31" s="1"/>
  <c r="CH280" i="31" s="1"/>
  <c r="W211" i="31"/>
  <c r="Y211" i="31" s="1"/>
  <c r="CG211" i="31" s="1"/>
  <c r="AO36" i="31"/>
  <c r="AQ36" i="31" s="1"/>
  <c r="CJ36" i="31" s="1"/>
  <c r="Q24" i="31"/>
  <c r="S24" i="31" s="1"/>
  <c r="CF24" i="31" s="1"/>
  <c r="BA35" i="31"/>
  <c r="BC35" i="31" s="1"/>
  <c r="CL35" i="31" s="1"/>
  <c r="BA117" i="31"/>
  <c r="BC117" i="31" s="1"/>
  <c r="CL117" i="31" s="1"/>
  <c r="W244" i="31"/>
  <c r="Y244" i="31" s="1"/>
  <c r="CG244" i="31" s="1"/>
  <c r="BG72" i="31"/>
  <c r="BI72" i="31" s="1"/>
  <c r="CM72" i="31" s="1"/>
  <c r="BS274" i="31"/>
  <c r="BU274" i="31" s="1"/>
  <c r="CO274" i="31" s="1"/>
  <c r="BA343" i="31"/>
  <c r="BC343" i="31" s="1"/>
  <c r="CL343" i="31" s="1"/>
  <c r="W21" i="31"/>
  <c r="Y21" i="31" s="1"/>
  <c r="CG21" i="31" s="1"/>
  <c r="AC348" i="31"/>
  <c r="AE348" i="31" s="1"/>
  <c r="CH348" i="31" s="1"/>
  <c r="Q185" i="31"/>
  <c r="S185" i="31" s="1"/>
  <c r="CF185" i="31" s="1"/>
  <c r="W186" i="31"/>
  <c r="Y186" i="31" s="1"/>
  <c r="CG186" i="31" s="1"/>
  <c r="BA210" i="31"/>
  <c r="BC210" i="31" s="1"/>
  <c r="CL210" i="31" s="1"/>
  <c r="W228" i="31"/>
  <c r="Y228" i="31" s="1"/>
  <c r="CG228" i="31" s="1"/>
  <c r="AC32" i="31"/>
  <c r="AE32" i="31" s="1"/>
  <c r="CH32" i="31" s="1"/>
  <c r="W145" i="31"/>
  <c r="Y145" i="31" s="1"/>
  <c r="CG145" i="31" s="1"/>
  <c r="BA13" i="31"/>
  <c r="BC13" i="31" s="1"/>
  <c r="CL13" i="31" s="1"/>
  <c r="W344" i="31"/>
  <c r="Y344" i="31" s="1"/>
  <c r="CG344" i="31" s="1"/>
  <c r="AC301" i="31"/>
  <c r="AE301" i="31" s="1"/>
  <c r="CH301" i="31" s="1"/>
  <c r="Q270" i="31"/>
  <c r="S270" i="31" s="1"/>
  <c r="CF270" i="31" s="1"/>
  <c r="Q201" i="31"/>
  <c r="S201" i="31" s="1"/>
  <c r="CF201" i="31" s="1"/>
  <c r="W205" i="31"/>
  <c r="Y205" i="31" s="1"/>
  <c r="CG205" i="31" s="1"/>
  <c r="BA28" i="31"/>
  <c r="BC28" i="31" s="1"/>
  <c r="CL28" i="31" s="1"/>
  <c r="W241" i="31"/>
  <c r="Y241" i="31" s="1"/>
  <c r="CG241" i="31" s="1"/>
  <c r="BS51" i="31"/>
  <c r="BU51" i="31" s="1"/>
  <c r="CO51" i="31" s="1"/>
  <c r="BA121" i="31"/>
  <c r="BC121" i="31" s="1"/>
  <c r="CL121" i="31" s="1"/>
  <c r="AC316" i="31"/>
  <c r="AE316" i="31" s="1"/>
  <c r="CH316" i="31" s="1"/>
  <c r="W306" i="31"/>
  <c r="Y306" i="31" s="1"/>
  <c r="CG306" i="31" s="1"/>
  <c r="BA70" i="31"/>
  <c r="BC70" i="31" s="1"/>
  <c r="CL70" i="31" s="1"/>
  <c r="W87" i="31"/>
  <c r="Y87" i="31" s="1"/>
  <c r="CG87" i="31" s="1"/>
  <c r="BS341" i="31"/>
  <c r="BU341" i="31" s="1"/>
  <c r="CO341" i="31" s="1"/>
  <c r="W170" i="31"/>
  <c r="Y170" i="31" s="1"/>
  <c r="CG170" i="31" s="1"/>
  <c r="AO84" i="31"/>
  <c r="AQ84" i="31" s="1"/>
  <c r="CJ84" i="31" s="1"/>
  <c r="W127" i="31"/>
  <c r="Y127" i="31" s="1"/>
  <c r="CG127" i="31" s="1"/>
  <c r="BA52" i="31"/>
  <c r="BC52" i="31" s="1"/>
  <c r="CL52" i="31" s="1"/>
  <c r="W247" i="31"/>
  <c r="Y247" i="31" s="1"/>
  <c r="CG247" i="31" s="1"/>
  <c r="AO101" i="31"/>
  <c r="AQ101" i="31" s="1"/>
  <c r="CJ101" i="31" s="1"/>
  <c r="W155" i="31"/>
  <c r="Y155" i="31" s="1"/>
  <c r="CG155" i="31" s="1"/>
  <c r="AC132" i="31"/>
  <c r="AE132" i="31" s="1"/>
  <c r="CH132" i="31" s="1"/>
  <c r="W195" i="31"/>
  <c r="Y195" i="31" s="1"/>
  <c r="CG195" i="31" s="1"/>
  <c r="AC129" i="31"/>
  <c r="AE129" i="31" s="1"/>
  <c r="CH129" i="31" s="1"/>
  <c r="W273" i="31"/>
  <c r="Y273" i="31" s="1"/>
  <c r="CG273" i="31" s="1"/>
  <c r="AO141" i="31"/>
  <c r="AQ141" i="31" s="1"/>
  <c r="CJ141" i="31" s="1"/>
  <c r="W59" i="31"/>
  <c r="Y59" i="31" s="1"/>
  <c r="CG59" i="31" s="1"/>
  <c r="Q311" i="31"/>
  <c r="S311" i="31" s="1"/>
  <c r="CF311" i="31" s="1"/>
  <c r="W40" i="31"/>
  <c r="Y40" i="31" s="1"/>
  <c r="CG40" i="31" s="1"/>
  <c r="BS351" i="31"/>
  <c r="BU351" i="31" s="1"/>
  <c r="CO351" i="31" s="1"/>
  <c r="Y286" i="31"/>
  <c r="CG286" i="31" s="1"/>
  <c r="AO332" i="31"/>
  <c r="AQ332" i="31" s="1"/>
  <c r="CJ332" i="31" s="1"/>
  <c r="W268" i="31"/>
  <c r="Y268" i="31" s="1"/>
  <c r="CG268" i="31" s="1"/>
  <c r="BS254" i="31"/>
  <c r="BU254" i="31" s="1"/>
  <c r="CO254" i="31" s="1"/>
  <c r="W142" i="31"/>
  <c r="Y142" i="31" s="1"/>
  <c r="CG142" i="31" s="1"/>
  <c r="Q338" i="31"/>
  <c r="S338" i="31" s="1"/>
  <c r="CF338" i="31" s="1"/>
  <c r="W18" i="31"/>
  <c r="Y18" i="31" s="1"/>
  <c r="CG18" i="31" s="1"/>
  <c r="BA223" i="31"/>
  <c r="BC223" i="31" s="1"/>
  <c r="CL223" i="31" s="1"/>
  <c r="Q234" i="31"/>
  <c r="S234" i="31" s="1"/>
  <c r="CF234" i="31" s="1"/>
  <c r="Q243" i="31"/>
  <c r="S243" i="31" s="1"/>
  <c r="CF243" i="31" s="1"/>
  <c r="W194" i="31"/>
  <c r="Y194" i="31" s="1"/>
  <c r="CG194" i="31" s="1"/>
  <c r="AO262" i="31"/>
  <c r="AQ262" i="31" s="1"/>
  <c r="CJ262" i="31" s="1"/>
  <c r="W38" i="31"/>
  <c r="Y38" i="31" s="1"/>
  <c r="CG38" i="31" s="1"/>
  <c r="BS91" i="31"/>
  <c r="BU91" i="31" s="1"/>
  <c r="CO91" i="31" s="1"/>
  <c r="BS298" i="31"/>
  <c r="BU298" i="31" s="1"/>
  <c r="CO298" i="31" s="1"/>
  <c r="BG164" i="31"/>
  <c r="BI164" i="31" s="1"/>
  <c r="CM164" i="31" s="1"/>
  <c r="BS179" i="31"/>
  <c r="BU179" i="31" s="1"/>
  <c r="CO179" i="31" s="1"/>
  <c r="BS304" i="31"/>
  <c r="BU304" i="31" s="1"/>
  <c r="CO304" i="31" s="1"/>
  <c r="W279" i="31"/>
  <c r="Y279" i="31" s="1"/>
  <c r="CG279" i="31" s="1"/>
  <c r="Q15" i="31"/>
  <c r="S15" i="31" s="1"/>
  <c r="CF15" i="31" s="1"/>
  <c r="AC122" i="31"/>
  <c r="AE122" i="31" s="1"/>
  <c r="CH122" i="31" s="1"/>
  <c r="W183" i="31"/>
  <c r="Y183" i="31" s="1"/>
  <c r="CG183" i="31" s="1"/>
  <c r="K193" i="31"/>
  <c r="BA118" i="31"/>
  <c r="BC118" i="31" s="1"/>
  <c r="CL118" i="31" s="1"/>
  <c r="W345" i="31"/>
  <c r="Y345" i="31" s="1"/>
  <c r="CG345" i="31" s="1"/>
  <c r="BS175" i="31"/>
  <c r="BU175" i="31" s="1"/>
  <c r="CO175" i="31" s="1"/>
  <c r="K176" i="31"/>
  <c r="M176" i="31" s="1"/>
  <c r="CE176" i="31" s="1"/>
  <c r="AO303" i="31"/>
  <c r="AQ303" i="31" s="1"/>
  <c r="CJ303" i="31" s="1"/>
  <c r="BG94" i="31"/>
  <c r="BI94" i="31" s="1"/>
  <c r="CM94" i="31" s="1"/>
  <c r="K349" i="31"/>
  <c r="M349" i="31" s="1"/>
  <c r="CE349" i="31" s="1"/>
  <c r="AO160" i="31"/>
  <c r="AQ160" i="31" s="1"/>
  <c r="CJ160" i="31" s="1"/>
  <c r="K126" i="31"/>
  <c r="M126" i="31" s="1"/>
  <c r="CE126" i="31" s="1"/>
  <c r="BS213" i="31"/>
  <c r="BU213" i="31" s="1"/>
  <c r="CO213" i="31" s="1"/>
  <c r="BG140" i="31"/>
  <c r="BI140" i="31" s="1"/>
  <c r="CM140" i="31" s="1"/>
  <c r="K89" i="31"/>
  <c r="Q17" i="31"/>
  <c r="S17" i="31" s="1"/>
  <c r="CF17" i="31" s="1"/>
  <c r="BS200" i="31"/>
  <c r="BU200" i="31" s="1"/>
  <c r="CO200" i="31" s="1"/>
  <c r="K125" i="31"/>
  <c r="M125" i="31" s="1"/>
  <c r="CE125" i="31" s="1"/>
  <c r="BS34" i="31"/>
  <c r="BU34" i="31" s="1"/>
  <c r="CO34" i="31" s="1"/>
  <c r="BG342" i="31"/>
  <c r="BI342" i="31" s="1"/>
  <c r="CM342" i="31" s="1"/>
  <c r="K178" i="31"/>
  <c r="M178" i="31" s="1"/>
  <c r="CE178" i="31" s="1"/>
  <c r="V1" i="31"/>
  <c r="V354" i="31"/>
  <c r="V3" i="31"/>
  <c r="AC230" i="31"/>
  <c r="AE230" i="31" s="1"/>
  <c r="CH230" i="31" s="1"/>
  <c r="W197" i="31"/>
  <c r="Y197" i="31" s="1"/>
  <c r="CG197" i="31" s="1"/>
  <c r="BS130" i="31"/>
  <c r="BU130" i="31" s="1"/>
  <c r="CO130" i="31" s="1"/>
  <c r="AC85" i="31"/>
  <c r="AE85" i="31" s="1"/>
  <c r="CH85" i="31" s="1"/>
  <c r="BG128" i="31"/>
  <c r="BI128" i="31" s="1"/>
  <c r="CM128" i="31" s="1"/>
  <c r="BA290" i="31"/>
  <c r="BC290" i="31" s="1"/>
  <c r="CL290" i="31" s="1"/>
  <c r="BS237" i="31"/>
  <c r="BU237" i="31" s="1"/>
  <c r="CO237" i="31" s="1"/>
  <c r="BG291" i="31"/>
  <c r="BI291" i="31" s="1"/>
  <c r="CM291" i="31" s="1"/>
  <c r="AC208" i="31"/>
  <c r="AE208" i="31" s="1"/>
  <c r="CH208" i="31" s="1"/>
  <c r="AC324" i="31"/>
  <c r="AE324" i="31" s="1"/>
  <c r="CH324" i="31" s="1"/>
  <c r="BG235" i="31"/>
  <c r="BI235" i="31" s="1"/>
  <c r="CM235" i="31" s="1"/>
  <c r="BS44" i="31"/>
  <c r="BU44" i="31" s="1"/>
  <c r="CO44" i="31" s="1"/>
  <c r="Q325" i="31"/>
  <c r="S325" i="31" s="1"/>
  <c r="CF325" i="31" s="1"/>
  <c r="BG109" i="31"/>
  <c r="BI109" i="31" s="1"/>
  <c r="CM109" i="31" s="1"/>
  <c r="BA113" i="31"/>
  <c r="BC113" i="31" s="1"/>
  <c r="CL113" i="31" s="1"/>
  <c r="BS62" i="31"/>
  <c r="BU62" i="31" s="1"/>
  <c r="CO62" i="31" s="1"/>
  <c r="R290" i="41" l="1"/>
  <c r="P281" i="41"/>
  <c r="R259" i="41"/>
  <c r="O259" i="41"/>
  <c r="H298" i="41"/>
  <c r="O164" i="41"/>
  <c r="Q195" i="41"/>
  <c r="G87" i="41"/>
  <c r="L200" i="41"/>
  <c r="J107" i="41"/>
  <c r="O306" i="41"/>
  <c r="L84" i="41"/>
  <c r="N195" i="41"/>
  <c r="J322" i="41"/>
  <c r="G333" i="41"/>
  <c r="H307" i="41"/>
  <c r="L323" i="41"/>
  <c r="I322" i="41"/>
  <c r="O257" i="41"/>
  <c r="H248" i="41"/>
  <c r="L197" i="41"/>
  <c r="N101" i="41"/>
  <c r="Q72" i="41"/>
  <c r="I273" i="41"/>
  <c r="I170" i="41"/>
  <c r="I299" i="41"/>
  <c r="N196" i="41"/>
  <c r="L111" i="41"/>
  <c r="O80" i="41"/>
  <c r="O275" i="41"/>
  <c r="I88" i="41"/>
  <c r="O53" i="41"/>
  <c r="N170" i="41"/>
  <c r="L252" i="41"/>
  <c r="N293" i="41"/>
  <c r="G98" i="41"/>
  <c r="H256" i="41"/>
  <c r="N323" i="41"/>
  <c r="J32" i="41"/>
  <c r="H211" i="41"/>
  <c r="Q78" i="41"/>
  <c r="I201" i="41"/>
  <c r="J171" i="41"/>
  <c r="Q22" i="41"/>
  <c r="L208" i="41"/>
  <c r="H345" i="41"/>
  <c r="I279" i="41"/>
  <c r="L77" i="41"/>
  <c r="J170" i="41"/>
  <c r="G153" i="41"/>
  <c r="O328" i="41"/>
  <c r="I41" i="41"/>
  <c r="N191" i="41"/>
  <c r="J247" i="41"/>
  <c r="H56" i="41"/>
  <c r="J181" i="41"/>
  <c r="Q337" i="41"/>
  <c r="H123" i="41"/>
  <c r="J341" i="41"/>
  <c r="J143" i="41"/>
  <c r="H161" i="41"/>
  <c r="H302" i="41"/>
  <c r="J289" i="41"/>
  <c r="O312" i="41"/>
  <c r="I73" i="41"/>
  <c r="H299" i="41"/>
  <c r="N331" i="41"/>
  <c r="Q273" i="41"/>
  <c r="J227" i="41"/>
  <c r="H331" i="41"/>
  <c r="Q208" i="41"/>
  <c r="I208" i="41"/>
  <c r="G136" i="41"/>
  <c r="J251" i="41"/>
  <c r="L134" i="41"/>
  <c r="O237" i="41"/>
  <c r="L13" i="41"/>
  <c r="O126" i="41"/>
  <c r="N339" i="41"/>
  <c r="O176" i="41"/>
  <c r="J328" i="41"/>
  <c r="O310" i="41"/>
  <c r="I228" i="41"/>
  <c r="N26" i="41"/>
  <c r="Q158" i="41"/>
  <c r="O157" i="41"/>
  <c r="N102" i="41"/>
  <c r="L277" i="41"/>
  <c r="J121" i="41"/>
  <c r="L99" i="41"/>
  <c r="N44" i="41"/>
  <c r="G145" i="41"/>
  <c r="L319" i="41"/>
  <c r="I207" i="41"/>
  <c r="N8" i="41"/>
  <c r="H233" i="41"/>
  <c r="N244" i="41"/>
  <c r="J83" i="41"/>
  <c r="L317" i="41"/>
  <c r="L34" i="41"/>
  <c r="G265" i="41"/>
  <c r="G232" i="41"/>
  <c r="Q198" i="41"/>
  <c r="N162" i="41"/>
  <c r="L235" i="41"/>
  <c r="J59" i="41"/>
  <c r="N266" i="41"/>
  <c r="H48" i="41"/>
  <c r="O16" i="41"/>
  <c r="G220" i="41"/>
  <c r="L171" i="41"/>
  <c r="Q294" i="41"/>
  <c r="Q325" i="41"/>
  <c r="I94" i="41"/>
  <c r="I121" i="41"/>
  <c r="N265" i="41"/>
  <c r="I68" i="41"/>
  <c r="G160" i="41"/>
  <c r="L342" i="41"/>
  <c r="Q180" i="41"/>
  <c r="N127" i="41"/>
  <c r="I19" i="41"/>
  <c r="H281" i="41"/>
  <c r="Q258" i="41"/>
  <c r="I161" i="41"/>
  <c r="J56" i="41"/>
  <c r="N321" i="41"/>
  <c r="L339" i="41"/>
  <c r="L240" i="41"/>
  <c r="J303" i="41"/>
  <c r="G101" i="41"/>
  <c r="N21" i="41"/>
  <c r="G331" i="41"/>
  <c r="N67" i="41"/>
  <c r="N154" i="41"/>
  <c r="L335" i="41"/>
  <c r="I264" i="41"/>
  <c r="I277" i="41"/>
  <c r="Q39" i="41"/>
  <c r="L338" i="41"/>
  <c r="Q136" i="41"/>
  <c r="N66" i="41"/>
  <c r="J74" i="41"/>
  <c r="Q32" i="41"/>
  <c r="L313" i="41"/>
  <c r="J272" i="41"/>
  <c r="H221" i="41"/>
  <c r="I50" i="41"/>
  <c r="I156" i="41"/>
  <c r="O233" i="41"/>
  <c r="I38" i="41"/>
  <c r="I69" i="41"/>
  <c r="H317" i="41"/>
  <c r="N20" i="41"/>
  <c r="O208" i="41"/>
  <c r="L288" i="41"/>
  <c r="G50" i="41"/>
  <c r="J225" i="41"/>
  <c r="L112" i="41"/>
  <c r="G277" i="41"/>
  <c r="Q329" i="41"/>
  <c r="L219" i="41"/>
  <c r="Q275" i="41"/>
  <c r="I151" i="41"/>
  <c r="I284" i="41"/>
  <c r="I49" i="41"/>
  <c r="J232" i="41"/>
  <c r="O187" i="41"/>
  <c r="G264" i="41"/>
  <c r="H319" i="41"/>
  <c r="I271" i="41"/>
  <c r="I66" i="41"/>
  <c r="J27" i="41"/>
  <c r="L53" i="41"/>
  <c r="H295" i="41"/>
  <c r="N59" i="41"/>
  <c r="L216" i="41"/>
  <c r="Q35" i="41"/>
  <c r="L136" i="41"/>
  <c r="Q65" i="41"/>
  <c r="I13" i="41"/>
  <c r="Q119" i="41"/>
  <c r="G247" i="41"/>
  <c r="O92" i="41"/>
  <c r="Q151" i="41"/>
  <c r="Q333" i="41"/>
  <c r="N61" i="41"/>
  <c r="H243" i="41"/>
  <c r="N177" i="41"/>
  <c r="H66" i="41"/>
  <c r="O289" i="41"/>
  <c r="H187" i="41"/>
  <c r="N122" i="41"/>
  <c r="J270" i="41"/>
  <c r="I274" i="41"/>
  <c r="L74" i="41"/>
  <c r="L46" i="41"/>
  <c r="O189" i="41"/>
  <c r="I288" i="41"/>
  <c r="Q126" i="41"/>
  <c r="L199" i="41"/>
  <c r="G115" i="41"/>
  <c r="J35" i="41"/>
  <c r="Q140" i="41"/>
  <c r="J249" i="41"/>
  <c r="L299" i="41"/>
  <c r="J319" i="41"/>
  <c r="O159" i="41"/>
  <c r="H32" i="41"/>
  <c r="G338" i="41"/>
  <c r="O222" i="41"/>
  <c r="L175" i="41"/>
  <c r="H103" i="41"/>
  <c r="O344" i="41"/>
  <c r="J298" i="41"/>
  <c r="I92" i="41"/>
  <c r="I35" i="41"/>
  <c r="N287" i="41"/>
  <c r="O137" i="41"/>
  <c r="Q175" i="41"/>
  <c r="L306" i="41"/>
  <c r="O279" i="41"/>
  <c r="L231" i="41"/>
  <c r="L47" i="41"/>
  <c r="Q160" i="41"/>
  <c r="Q66" i="41"/>
  <c r="J186" i="41"/>
  <c r="O153" i="41"/>
  <c r="G131" i="41"/>
  <c r="N55" i="41"/>
  <c r="O84" i="41"/>
  <c r="J203" i="41"/>
  <c r="N193" i="31"/>
  <c r="T193" i="31" s="1"/>
  <c r="Z193" i="31" s="1"/>
  <c r="AF193" i="31" s="1"/>
  <c r="M193" i="31"/>
  <c r="CE193" i="31" s="1"/>
  <c r="N175" i="41"/>
  <c r="J324" i="41"/>
  <c r="I26" i="41"/>
  <c r="G124" i="41"/>
  <c r="H122" i="41"/>
  <c r="G184" i="41"/>
  <c r="Q31" i="41"/>
  <c r="O163" i="41"/>
  <c r="O265" i="41"/>
  <c r="I204" i="41"/>
  <c r="Q227" i="41"/>
  <c r="G340" i="41"/>
  <c r="J280" i="41"/>
  <c r="N59" i="31"/>
  <c r="T59" i="31" s="1"/>
  <c r="Z59" i="31" s="1"/>
  <c r="AF59" i="31" s="1"/>
  <c r="J269" i="41"/>
  <c r="H347" i="41"/>
  <c r="J196" i="41"/>
  <c r="J189" i="41"/>
  <c r="Q18" i="41"/>
  <c r="L289" i="41"/>
  <c r="Q15" i="41"/>
  <c r="J183" i="41"/>
  <c r="N112" i="31"/>
  <c r="T112" i="31" s="1"/>
  <c r="Z112" i="31" s="1"/>
  <c r="AF112" i="31" s="1"/>
  <c r="I185" i="41"/>
  <c r="O183" i="41"/>
  <c r="G71" i="41"/>
  <c r="O304" i="41"/>
  <c r="Q321" i="41"/>
  <c r="O167" i="41"/>
  <c r="N289" i="31"/>
  <c r="T289" i="31" s="1"/>
  <c r="Z289" i="31" s="1"/>
  <c r="AF289" i="31" s="1"/>
  <c r="M289" i="31"/>
  <c r="CE289" i="31" s="1"/>
  <c r="L33" i="41"/>
  <c r="Q335" i="41"/>
  <c r="J140" i="41"/>
  <c r="I258" i="41"/>
  <c r="L130" i="41"/>
  <c r="O67" i="41"/>
  <c r="Q257" i="41"/>
  <c r="Q296" i="41"/>
  <c r="Q182" i="41"/>
  <c r="N118" i="31"/>
  <c r="T118" i="31" s="1"/>
  <c r="Z118" i="31" s="1"/>
  <c r="AF118" i="31" s="1"/>
  <c r="M118" i="31"/>
  <c r="CE118" i="31" s="1"/>
  <c r="N75" i="41"/>
  <c r="N12" i="41"/>
  <c r="N189" i="31"/>
  <c r="T189" i="31" s="1"/>
  <c r="Z189" i="31" s="1"/>
  <c r="AF189" i="31" s="1"/>
  <c r="Q322" i="41"/>
  <c r="O315" i="41"/>
  <c r="J53" i="41"/>
  <c r="I74" i="41"/>
  <c r="J254" i="41"/>
  <c r="N246" i="41"/>
  <c r="N110" i="41"/>
  <c r="Q293" i="41"/>
  <c r="N218" i="41"/>
  <c r="I281" i="41"/>
  <c r="J127" i="41"/>
  <c r="N23" i="41"/>
  <c r="I223" i="41"/>
  <c r="Q204" i="41"/>
  <c r="N334" i="41"/>
  <c r="L83" i="41"/>
  <c r="J125" i="41"/>
  <c r="G73" i="41"/>
  <c r="J139" i="41"/>
  <c r="J113" i="41"/>
  <c r="N174" i="31"/>
  <c r="T174" i="31" s="1"/>
  <c r="Z174" i="31" s="1"/>
  <c r="AF174" i="31" s="1"/>
  <c r="J147" i="41"/>
  <c r="L279" i="41"/>
  <c r="J20" i="41"/>
  <c r="Q96" i="41"/>
  <c r="N60" i="41"/>
  <c r="H342" i="41"/>
  <c r="L88" i="41"/>
  <c r="Q138" i="41"/>
  <c r="Q191" i="41"/>
  <c r="O325" i="41"/>
  <c r="Q118" i="41"/>
  <c r="H129" i="41"/>
  <c r="J60" i="41"/>
  <c r="I8" i="41"/>
  <c r="J305" i="41"/>
  <c r="I107" i="41"/>
  <c r="Q87" i="41"/>
  <c r="O203" i="41"/>
  <c r="L145" i="41"/>
  <c r="N12" i="31"/>
  <c r="T12" i="31" s="1"/>
  <c r="Z12" i="31" s="1"/>
  <c r="AF12" i="31" s="1"/>
  <c r="I285" i="41"/>
  <c r="I81" i="41"/>
  <c r="O86" i="41"/>
  <c r="G122" i="41"/>
  <c r="N244" i="31"/>
  <c r="T244" i="31" s="1"/>
  <c r="Z244" i="31" s="1"/>
  <c r="AF244" i="31" s="1"/>
  <c r="L148" i="41"/>
  <c r="G58" i="41"/>
  <c r="O154" i="41"/>
  <c r="Q69" i="41"/>
  <c r="L314" i="41"/>
  <c r="Q70" i="41"/>
  <c r="Q316" i="41"/>
  <c r="I45" i="41"/>
  <c r="N327" i="31"/>
  <c r="T327" i="31" s="1"/>
  <c r="Z327" i="31" s="1"/>
  <c r="AF327" i="31" s="1"/>
  <c r="N280" i="31"/>
  <c r="T280" i="31" s="1"/>
  <c r="Z280" i="31" s="1"/>
  <c r="AF280" i="31" s="1"/>
  <c r="M280" i="31"/>
  <c r="CE280" i="31" s="1"/>
  <c r="Q284" i="41"/>
  <c r="N255" i="41"/>
  <c r="N259" i="41"/>
  <c r="J287" i="41"/>
  <c r="BK2" i="31"/>
  <c r="S11" i="29"/>
  <c r="H171" i="41"/>
  <c r="L169" i="41"/>
  <c r="H277" i="41"/>
  <c r="N37" i="41"/>
  <c r="L186" i="41"/>
  <c r="N124" i="31"/>
  <c r="T124" i="31" s="1"/>
  <c r="Z124" i="31" s="1"/>
  <c r="AF124" i="31" s="1"/>
  <c r="M124" i="31"/>
  <c r="CE124" i="31" s="1"/>
  <c r="Q153" i="41"/>
  <c r="L62" i="41"/>
  <c r="Q44" i="41"/>
  <c r="Q330" i="41"/>
  <c r="J223" i="41"/>
  <c r="L149" i="41"/>
  <c r="J157" i="41"/>
  <c r="I309" i="41"/>
  <c r="G282" i="41"/>
  <c r="G34" i="41"/>
  <c r="J185" i="41"/>
  <c r="L167" i="41"/>
  <c r="O95" i="41"/>
  <c r="N33" i="31"/>
  <c r="T33" i="31" s="1"/>
  <c r="Z33" i="31" s="1"/>
  <c r="AF33" i="31" s="1"/>
  <c r="O287" i="41"/>
  <c r="H155" i="41"/>
  <c r="L315" i="41"/>
  <c r="J336" i="41"/>
  <c r="G14" i="41"/>
  <c r="G278" i="41"/>
  <c r="H271" i="41"/>
  <c r="J279" i="41"/>
  <c r="O214" i="41"/>
  <c r="J13" i="41"/>
  <c r="H274" i="41"/>
  <c r="I162" i="41"/>
  <c r="I235" i="41"/>
  <c r="L223" i="41"/>
  <c r="J315" i="41"/>
  <c r="G110" i="41"/>
  <c r="G97" i="41"/>
  <c r="G241" i="41"/>
  <c r="N58" i="41"/>
  <c r="H158" i="41"/>
  <c r="O277" i="41"/>
  <c r="H198" i="41"/>
  <c r="U4" i="29"/>
  <c r="V4" i="29" s="1"/>
  <c r="V2" i="31"/>
  <c r="I190" i="41"/>
  <c r="L160" i="41"/>
  <c r="L30" i="41"/>
  <c r="L196" i="41"/>
  <c r="J90" i="41"/>
  <c r="L212" i="41"/>
  <c r="O88" i="41"/>
  <c r="N250" i="31"/>
  <c r="T250" i="31" s="1"/>
  <c r="Z250" i="31" s="1"/>
  <c r="AF250" i="31" s="1"/>
  <c r="M250" i="31"/>
  <c r="CE250" i="31" s="1"/>
  <c r="Q311" i="41"/>
  <c r="L180" i="41"/>
  <c r="J77" i="41"/>
  <c r="N337" i="31"/>
  <c r="T337" i="31" s="1"/>
  <c r="Z337" i="31" s="1"/>
  <c r="AF337" i="31" s="1"/>
  <c r="G23" i="41"/>
  <c r="I343" i="41"/>
  <c r="G290" i="41"/>
  <c r="I96" i="41"/>
  <c r="I58" i="41"/>
  <c r="N84" i="31"/>
  <c r="T84" i="31" s="1"/>
  <c r="Z84" i="31" s="1"/>
  <c r="AF84" i="31" s="1"/>
  <c r="H9" i="41"/>
  <c r="O342" i="41"/>
  <c r="G47" i="41"/>
  <c r="O333" i="41"/>
  <c r="N288" i="31"/>
  <c r="T288" i="31" s="1"/>
  <c r="Z288" i="31" s="1"/>
  <c r="AF288" i="31" s="1"/>
  <c r="L21" i="41"/>
  <c r="I70" i="41"/>
  <c r="Q239" i="41"/>
  <c r="L50" i="41"/>
  <c r="J142" i="41"/>
  <c r="Q94" i="41"/>
  <c r="L97" i="41"/>
  <c r="H214" i="41"/>
  <c r="I314" i="41"/>
  <c r="L274" i="41"/>
  <c r="H86" i="41"/>
  <c r="N208" i="41"/>
  <c r="Q188" i="41"/>
  <c r="O98" i="41"/>
  <c r="Q89" i="41"/>
  <c r="J242" i="41"/>
  <c r="Q339" i="41"/>
  <c r="L57" i="41"/>
  <c r="N126" i="31"/>
  <c r="T126" i="31" s="1"/>
  <c r="Z126" i="31" s="1"/>
  <c r="AF126" i="31" s="1"/>
  <c r="Q336" i="41"/>
  <c r="I141" i="41"/>
  <c r="J81" i="41"/>
  <c r="Q116" i="41"/>
  <c r="G169" i="41"/>
  <c r="H257" i="41"/>
  <c r="H296" i="41"/>
  <c r="O227" i="41"/>
  <c r="L156" i="41"/>
  <c r="L269" i="41"/>
  <c r="O251" i="41"/>
  <c r="Q111" i="41"/>
  <c r="N52" i="31"/>
  <c r="T52" i="31" s="1"/>
  <c r="Z52" i="31" s="1"/>
  <c r="AF52" i="31" s="1"/>
  <c r="N282" i="41"/>
  <c r="L259" i="41"/>
  <c r="G117" i="41"/>
  <c r="Q206" i="41"/>
  <c r="G195" i="41"/>
  <c r="L138" i="41"/>
  <c r="H41" i="41"/>
  <c r="G322" i="41"/>
  <c r="G108" i="41"/>
  <c r="N344" i="41"/>
  <c r="I55" i="41"/>
  <c r="G61" i="41"/>
  <c r="J312" i="41"/>
  <c r="H120" i="41"/>
  <c r="O160" i="41"/>
  <c r="L332" i="41"/>
  <c r="J131" i="41"/>
  <c r="N76" i="31"/>
  <c r="T76" i="31" s="1"/>
  <c r="Z76" i="31" s="1"/>
  <c r="AF76" i="31" s="1"/>
  <c r="Q130" i="41"/>
  <c r="O109" i="41"/>
  <c r="H22" i="41"/>
  <c r="Q266" i="41"/>
  <c r="BI7" i="31"/>
  <c r="I216" i="41"/>
  <c r="O286" i="41"/>
  <c r="G173" i="41"/>
  <c r="J117" i="41"/>
  <c r="Q346" i="41"/>
  <c r="I82" i="41"/>
  <c r="N220" i="41"/>
  <c r="J43" i="41"/>
  <c r="G199" i="41"/>
  <c r="N252" i="31"/>
  <c r="T252" i="31" s="1"/>
  <c r="Z252" i="31" s="1"/>
  <c r="AF252" i="31" s="1"/>
  <c r="N151" i="41"/>
  <c r="H280" i="41"/>
  <c r="H116" i="41"/>
  <c r="L161" i="41"/>
  <c r="J93" i="41"/>
  <c r="J282" i="41"/>
  <c r="Q281" i="41"/>
  <c r="O335" i="41"/>
  <c r="H220" i="41"/>
  <c r="N139" i="41"/>
  <c r="O130" i="41"/>
  <c r="I346" i="41"/>
  <c r="I116" i="41"/>
  <c r="G174" i="41"/>
  <c r="H16" i="41"/>
  <c r="Q53" i="41"/>
  <c r="N254" i="41"/>
  <c r="J134" i="41"/>
  <c r="O43" i="41"/>
  <c r="N63" i="31"/>
  <c r="T63" i="31" s="1"/>
  <c r="Z63" i="31" s="1"/>
  <c r="AF63" i="31" s="1"/>
  <c r="H178" i="41"/>
  <c r="N329" i="41"/>
  <c r="J63" i="41"/>
  <c r="H194" i="41"/>
  <c r="I9" i="41"/>
  <c r="N303" i="31"/>
  <c r="T303" i="31" s="1"/>
  <c r="Z303" i="31" s="1"/>
  <c r="AF303" i="31" s="1"/>
  <c r="M303" i="31"/>
  <c r="CE303" i="31" s="1"/>
  <c r="I129" i="41"/>
  <c r="I158" i="41"/>
  <c r="I213" i="41"/>
  <c r="Q214" i="41"/>
  <c r="H98" i="41"/>
  <c r="H105" i="41"/>
  <c r="O288" i="41"/>
  <c r="O282" i="41"/>
  <c r="Q183" i="41"/>
  <c r="L146" i="41"/>
  <c r="J309" i="41"/>
  <c r="N287" i="31"/>
  <c r="T287" i="31" s="1"/>
  <c r="Z287" i="31" s="1"/>
  <c r="AF287" i="31" s="1"/>
  <c r="J297" i="41"/>
  <c r="N39" i="31"/>
  <c r="T39" i="31" s="1"/>
  <c r="Z39" i="31" s="1"/>
  <c r="AF39" i="31" s="1"/>
  <c r="Q186" i="41"/>
  <c r="N68" i="41"/>
  <c r="L320" i="41"/>
  <c r="L89" i="41"/>
  <c r="L239" i="41"/>
  <c r="N19" i="31"/>
  <c r="T19" i="31" s="1"/>
  <c r="Z19" i="31" s="1"/>
  <c r="AF19" i="31" s="1"/>
  <c r="N104" i="41"/>
  <c r="H59" i="41"/>
  <c r="N13" i="41"/>
  <c r="J137" i="41"/>
  <c r="J89" i="41"/>
  <c r="H283" i="41"/>
  <c r="Q192" i="41"/>
  <c r="N115" i="31"/>
  <c r="T115" i="31" s="1"/>
  <c r="Z115" i="31" s="1"/>
  <c r="AF115" i="31" s="1"/>
  <c r="N54" i="41"/>
  <c r="Q86" i="41"/>
  <c r="Q74" i="41"/>
  <c r="G183" i="41"/>
  <c r="Q243" i="41"/>
  <c r="I261" i="41"/>
  <c r="H180" i="41"/>
  <c r="Q52" i="41"/>
  <c r="G121" i="41"/>
  <c r="H229" i="41"/>
  <c r="I236" i="41"/>
  <c r="Q14" i="41"/>
  <c r="L45" i="41"/>
  <c r="J255" i="41"/>
  <c r="G127" i="41"/>
  <c r="Q77" i="41"/>
  <c r="N295" i="41"/>
  <c r="N271" i="31"/>
  <c r="T271" i="31" s="1"/>
  <c r="Z271" i="31" s="1"/>
  <c r="AF271" i="31" s="1"/>
  <c r="N111" i="41"/>
  <c r="G74" i="41"/>
  <c r="Q295" i="41"/>
  <c r="N250" i="41"/>
  <c r="N85" i="41"/>
  <c r="N134" i="41"/>
  <c r="J334" i="41"/>
  <c r="H269" i="41"/>
  <c r="O291" i="41"/>
  <c r="Q62" i="41"/>
  <c r="L294" i="41"/>
  <c r="L222" i="41"/>
  <c r="Q121" i="41"/>
  <c r="Q167" i="41"/>
  <c r="N116" i="31"/>
  <c r="T116" i="31" s="1"/>
  <c r="Z116" i="31" s="1"/>
  <c r="AF116" i="31" s="1"/>
  <c r="I227" i="41"/>
  <c r="I315" i="41"/>
  <c r="N51" i="31"/>
  <c r="T51" i="31" s="1"/>
  <c r="Z51" i="31" s="1"/>
  <c r="AF51" i="31" s="1"/>
  <c r="M51" i="31"/>
  <c r="CE51" i="31" s="1"/>
  <c r="I80" i="41"/>
  <c r="L336" i="41"/>
  <c r="N310" i="41"/>
  <c r="H218" i="41"/>
  <c r="H164" i="41"/>
  <c r="Q117" i="41"/>
  <c r="H311" i="41"/>
  <c r="L78" i="41"/>
  <c r="Q75" i="41"/>
  <c r="I113" i="41"/>
  <c r="H278" i="41"/>
  <c r="J260" i="41"/>
  <c r="G239" i="41"/>
  <c r="O31" i="41"/>
  <c r="H94" i="41"/>
  <c r="N332" i="41"/>
  <c r="N241" i="41"/>
  <c r="I323" i="41"/>
  <c r="Q326" i="41"/>
  <c r="I221" i="41"/>
  <c r="I100" i="41"/>
  <c r="Q268" i="41"/>
  <c r="L178" i="41"/>
  <c r="N256" i="31"/>
  <c r="T256" i="31" s="1"/>
  <c r="Z256" i="31" s="1"/>
  <c r="AF256" i="31" s="1"/>
  <c r="M256" i="31"/>
  <c r="CE256" i="31" s="1"/>
  <c r="G28" i="41"/>
  <c r="G316" i="41"/>
  <c r="O262" i="41"/>
  <c r="H67" i="41"/>
  <c r="Q216" i="41"/>
  <c r="J320" i="41"/>
  <c r="I167" i="41"/>
  <c r="O59" i="41"/>
  <c r="Q232" i="41"/>
  <c r="N65" i="41"/>
  <c r="I200" i="41"/>
  <c r="O37" i="41"/>
  <c r="O151" i="41"/>
  <c r="N95" i="41"/>
  <c r="I135" i="41"/>
  <c r="H192" i="41"/>
  <c r="J10" i="41"/>
  <c r="Q256" i="41"/>
  <c r="N173" i="31"/>
  <c r="T173" i="31" s="1"/>
  <c r="Z173" i="31" s="1"/>
  <c r="AF173" i="31" s="1"/>
  <c r="M173" i="31"/>
  <c r="CE173" i="31" s="1"/>
  <c r="G204" i="41"/>
  <c r="I91" i="41"/>
  <c r="O17" i="41"/>
  <c r="N39" i="41"/>
  <c r="H208" i="41"/>
  <c r="O178" i="41"/>
  <c r="L333" i="41"/>
  <c r="G76" i="41"/>
  <c r="O51" i="41"/>
  <c r="I142" i="41"/>
  <c r="N326" i="41"/>
  <c r="O166" i="41"/>
  <c r="Q12" i="41"/>
  <c r="Q10" i="41"/>
  <c r="N346" i="41"/>
  <c r="O266" i="41"/>
  <c r="H114" i="41"/>
  <c r="Q263" i="41"/>
  <c r="H203" i="41"/>
  <c r="I218" i="41"/>
  <c r="I47" i="41"/>
  <c r="N233" i="41"/>
  <c r="Q107" i="41"/>
  <c r="L127" i="41"/>
  <c r="O168" i="41"/>
  <c r="H69" i="41"/>
  <c r="L329" i="41"/>
  <c r="N215" i="41"/>
  <c r="I46" i="41"/>
  <c r="N28" i="41"/>
  <c r="N56" i="31"/>
  <c r="T56" i="31" s="1"/>
  <c r="Z56" i="31" s="1"/>
  <c r="AF56" i="31" s="1"/>
  <c r="M56" i="31"/>
  <c r="CE56" i="31" s="1"/>
  <c r="J214" i="41"/>
  <c r="I347" i="41"/>
  <c r="Q142" i="41"/>
  <c r="N336" i="31"/>
  <c r="T336" i="31" s="1"/>
  <c r="Z336" i="31" s="1"/>
  <c r="AF336" i="31" s="1"/>
  <c r="G137" i="41"/>
  <c r="G268" i="41"/>
  <c r="L110" i="41"/>
  <c r="I305" i="41"/>
  <c r="G310" i="41"/>
  <c r="N237" i="31"/>
  <c r="T237" i="31" s="1"/>
  <c r="Z237" i="31" s="1"/>
  <c r="AF237" i="31" s="1"/>
  <c r="H49" i="41"/>
  <c r="L215" i="41"/>
  <c r="O311" i="41"/>
  <c r="Q26" i="41"/>
  <c r="L302" i="41"/>
  <c r="O108" i="41"/>
  <c r="I272" i="41"/>
  <c r="L262" i="41"/>
  <c r="I233" i="41"/>
  <c r="N160" i="41"/>
  <c r="O276" i="41"/>
  <c r="I95" i="41"/>
  <c r="H344" i="41"/>
  <c r="O334" i="41"/>
  <c r="Q169" i="41"/>
  <c r="L291" i="41"/>
  <c r="H179" i="41"/>
  <c r="H18" i="41"/>
  <c r="L207" i="41"/>
  <c r="G211" i="41"/>
  <c r="N150" i="31"/>
  <c r="T150" i="31" s="1"/>
  <c r="Z150" i="31" s="1"/>
  <c r="AF150" i="31" s="1"/>
  <c r="N278" i="31"/>
  <c r="T278" i="31" s="1"/>
  <c r="Z278" i="31" s="1"/>
  <c r="AF278" i="31" s="1"/>
  <c r="M278" i="31"/>
  <c r="CE278" i="31" s="1"/>
  <c r="O248" i="41"/>
  <c r="G9" i="41"/>
  <c r="P2" i="31"/>
  <c r="U3" i="29"/>
  <c r="V3" i="29" s="1"/>
  <c r="O212" i="41"/>
  <c r="Q159" i="41"/>
  <c r="O221" i="41"/>
  <c r="L54" i="41"/>
  <c r="O55" i="41"/>
  <c r="N277" i="41"/>
  <c r="J263" i="41"/>
  <c r="Q320" i="41"/>
  <c r="Q189" i="41"/>
  <c r="L35" i="41"/>
  <c r="I15" i="41"/>
  <c r="I132" i="41"/>
  <c r="I197" i="41"/>
  <c r="Q29" i="41"/>
  <c r="O158" i="41"/>
  <c r="N313" i="41"/>
  <c r="Q17" i="41"/>
  <c r="H177" i="41"/>
  <c r="N181" i="41"/>
  <c r="N77" i="41"/>
  <c r="N223" i="41"/>
  <c r="O337" i="41"/>
  <c r="N112" i="41"/>
  <c r="O114" i="41"/>
  <c r="H324" i="41"/>
  <c r="Q238" i="41"/>
  <c r="H259" i="41"/>
  <c r="N219" i="31"/>
  <c r="T219" i="31" s="1"/>
  <c r="Z219" i="31" s="1"/>
  <c r="AF219" i="31" s="1"/>
  <c r="M219" i="31"/>
  <c r="CE219" i="31" s="1"/>
  <c r="I319" i="41"/>
  <c r="I117" i="41"/>
  <c r="L86" i="41"/>
  <c r="G345" i="41"/>
  <c r="G292" i="41"/>
  <c r="G291" i="41"/>
  <c r="J11" i="41"/>
  <c r="O220" i="41"/>
  <c r="L210" i="41"/>
  <c r="J306" i="41"/>
  <c r="L203" i="41"/>
  <c r="O274" i="41"/>
  <c r="N238" i="41"/>
  <c r="L243" i="41"/>
  <c r="H288" i="41"/>
  <c r="Q342" i="41"/>
  <c r="Q246" i="41"/>
  <c r="I30" i="41"/>
  <c r="I77" i="41"/>
  <c r="G311" i="41"/>
  <c r="J172" i="41"/>
  <c r="O258" i="41"/>
  <c r="Q282" i="41"/>
  <c r="J307" i="41"/>
  <c r="N14" i="41"/>
  <c r="O125" i="41"/>
  <c r="G33" i="41"/>
  <c r="O124" i="41"/>
  <c r="G64" i="41"/>
  <c r="H313" i="41"/>
  <c r="N69" i="41"/>
  <c r="G86" i="41"/>
  <c r="J244" i="41"/>
  <c r="Q264" i="41"/>
  <c r="O46" i="41"/>
  <c r="N38" i="41"/>
  <c r="H95" i="41"/>
  <c r="L290" i="41"/>
  <c r="L59" i="41"/>
  <c r="Q304" i="41"/>
  <c r="G81" i="41"/>
  <c r="J167" i="41"/>
  <c r="L68" i="41"/>
  <c r="H80" i="41"/>
  <c r="H89" i="41"/>
  <c r="N120" i="31"/>
  <c r="T120" i="31" s="1"/>
  <c r="Z120" i="31" s="1"/>
  <c r="AF120" i="31" s="1"/>
  <c r="Q345" i="41"/>
  <c r="J235" i="41"/>
  <c r="I316" i="41"/>
  <c r="N35" i="41"/>
  <c r="J301" i="41"/>
  <c r="L93" i="41"/>
  <c r="Q327" i="41"/>
  <c r="L123" i="41"/>
  <c r="L135" i="41"/>
  <c r="N268" i="41"/>
  <c r="O152" i="41"/>
  <c r="O224" i="41"/>
  <c r="L144" i="41"/>
  <c r="O110" i="41"/>
  <c r="I184" i="41"/>
  <c r="Q223" i="41"/>
  <c r="G94" i="41"/>
  <c r="O138" i="41"/>
  <c r="O217" i="41"/>
  <c r="Q122" i="41"/>
  <c r="H186" i="41"/>
  <c r="O38" i="41"/>
  <c r="L230" i="41"/>
  <c r="I292" i="41"/>
  <c r="Q64" i="41"/>
  <c r="I332" i="41"/>
  <c r="N273" i="41"/>
  <c r="Q267" i="41"/>
  <c r="J246" i="41"/>
  <c r="N296" i="41"/>
  <c r="G149" i="41"/>
  <c r="Q226" i="41"/>
  <c r="J94" i="41"/>
  <c r="N281" i="41"/>
  <c r="L155" i="41"/>
  <c r="N178" i="31"/>
  <c r="T178" i="31" s="1"/>
  <c r="Z178" i="31" s="1"/>
  <c r="AF178" i="31" s="1"/>
  <c r="O89" i="41"/>
  <c r="L96" i="41"/>
  <c r="H196" i="41"/>
  <c r="I266" i="41"/>
  <c r="I83" i="41"/>
  <c r="H199" i="41"/>
  <c r="I57" i="41"/>
  <c r="Q225" i="41"/>
  <c r="L42" i="41"/>
  <c r="L218" i="41"/>
  <c r="Q338" i="41"/>
  <c r="I290" i="41"/>
  <c r="O21" i="41"/>
  <c r="N201" i="31"/>
  <c r="T201" i="31" s="1"/>
  <c r="Z201" i="31" s="1"/>
  <c r="AF201" i="31" s="1"/>
  <c r="M201" i="31"/>
  <c r="CE201" i="31" s="1"/>
  <c r="G147" i="41"/>
  <c r="Q203" i="41"/>
  <c r="G231" i="41"/>
  <c r="J79" i="41"/>
  <c r="N296" i="31"/>
  <c r="T296" i="31" s="1"/>
  <c r="Z296" i="31" s="1"/>
  <c r="AF296" i="31" s="1"/>
  <c r="J112" i="41"/>
  <c r="J58" i="41"/>
  <c r="H54" i="41"/>
  <c r="O170" i="41"/>
  <c r="O140" i="41"/>
  <c r="L17" i="41"/>
  <c r="L71" i="41"/>
  <c r="G114" i="41"/>
  <c r="N142" i="41"/>
  <c r="Q41" i="41"/>
  <c r="Q88" i="41"/>
  <c r="L253" i="41"/>
  <c r="L61" i="41"/>
  <c r="G24" i="41"/>
  <c r="H290" i="41"/>
  <c r="O20" i="41"/>
  <c r="I282" i="41"/>
  <c r="O81" i="41"/>
  <c r="Q193" i="41"/>
  <c r="N97" i="41"/>
  <c r="I313" i="41"/>
  <c r="O9" i="41"/>
  <c r="H154" i="41"/>
  <c r="O250" i="41"/>
  <c r="J52" i="41"/>
  <c r="Q100" i="41"/>
  <c r="Q172" i="41"/>
  <c r="N86" i="31"/>
  <c r="T86" i="31" s="1"/>
  <c r="Z86" i="31" s="1"/>
  <c r="AF86" i="31" s="1"/>
  <c r="Q297" i="41"/>
  <c r="AE4" i="31"/>
  <c r="AE3" i="31"/>
  <c r="CH7" i="31"/>
  <c r="J2" i="41" s="1"/>
  <c r="H341" i="41"/>
  <c r="L170" i="41"/>
  <c r="Q166" i="41"/>
  <c r="H315" i="41"/>
  <c r="Q228" i="41"/>
  <c r="N267" i="31"/>
  <c r="T267" i="31" s="1"/>
  <c r="Z267" i="31" s="1"/>
  <c r="AF267" i="31" s="1"/>
  <c r="M267" i="31"/>
  <c r="CE267" i="31" s="1"/>
  <c r="O261" i="41"/>
  <c r="N18" i="41"/>
  <c r="N236" i="41"/>
  <c r="N167" i="41"/>
  <c r="Q24" i="41"/>
  <c r="G212" i="41"/>
  <c r="I62" i="41"/>
  <c r="L229" i="41"/>
  <c r="I22" i="41"/>
  <c r="J150" i="41"/>
  <c r="Q108" i="41"/>
  <c r="H111" i="41"/>
  <c r="N307" i="41"/>
  <c r="L273" i="41"/>
  <c r="I20" i="41"/>
  <c r="I269" i="41"/>
  <c r="J261" i="41"/>
  <c r="O50" i="41"/>
  <c r="H185" i="41"/>
  <c r="I102" i="41"/>
  <c r="H202" i="41"/>
  <c r="L56" i="41"/>
  <c r="I99" i="41"/>
  <c r="I103" i="41"/>
  <c r="AA2" i="31"/>
  <c r="S5" i="29"/>
  <c r="O308" i="41"/>
  <c r="I56" i="41"/>
  <c r="I154" i="41"/>
  <c r="G91" i="41"/>
  <c r="Q162" i="41"/>
  <c r="J44" i="41"/>
  <c r="N126" i="41"/>
  <c r="J267" i="41"/>
  <c r="G307" i="41"/>
  <c r="O147" i="41"/>
  <c r="J340" i="41"/>
  <c r="L242" i="41"/>
  <c r="Q16" i="41"/>
  <c r="I37" i="41"/>
  <c r="H236" i="41"/>
  <c r="N320" i="41"/>
  <c r="AO354" i="31"/>
  <c r="AO3" i="31"/>
  <c r="AO4" i="31"/>
  <c r="J7" i="29" s="1"/>
  <c r="AQ7" i="31"/>
  <c r="H340" i="41"/>
  <c r="H137" i="41"/>
  <c r="L268" i="41"/>
  <c r="L183" i="41"/>
  <c r="O177" i="41"/>
  <c r="N64" i="41"/>
  <c r="N274" i="41"/>
  <c r="O171" i="41"/>
  <c r="H130" i="41"/>
  <c r="I146" i="41"/>
  <c r="J178" i="41"/>
  <c r="N165" i="31"/>
  <c r="T165" i="31" s="1"/>
  <c r="Z165" i="31" s="1"/>
  <c r="AF165" i="31" s="1"/>
  <c r="I182" i="41"/>
  <c r="Q179" i="41"/>
  <c r="L251" i="41"/>
  <c r="O78" i="41"/>
  <c r="L125" i="41"/>
  <c r="G166" i="41"/>
  <c r="H136" i="41"/>
  <c r="J87" i="41"/>
  <c r="I33" i="41"/>
  <c r="N47" i="41"/>
  <c r="Q344" i="41"/>
  <c r="J103" i="41"/>
  <c r="O240" i="41"/>
  <c r="G248" i="41"/>
  <c r="G235" i="41"/>
  <c r="Q27" i="41"/>
  <c r="H30" i="41"/>
  <c r="Q171" i="41"/>
  <c r="G162" i="41"/>
  <c r="N171" i="31"/>
  <c r="T171" i="31" s="1"/>
  <c r="Z171" i="31" s="1"/>
  <c r="AF171" i="31" s="1"/>
  <c r="N212" i="31"/>
  <c r="T212" i="31" s="1"/>
  <c r="Z212" i="31" s="1"/>
  <c r="AF212" i="31" s="1"/>
  <c r="M212" i="31"/>
  <c r="CE212" i="31" s="1"/>
  <c r="O141" i="41"/>
  <c r="Q36" i="41"/>
  <c r="N301" i="41"/>
  <c r="G222" i="41"/>
  <c r="Q42" i="41"/>
  <c r="N115" i="41"/>
  <c r="I136" i="41"/>
  <c r="H205" i="41"/>
  <c r="O64" i="41"/>
  <c r="N80" i="31"/>
  <c r="T80" i="31" s="1"/>
  <c r="Z80" i="31" s="1"/>
  <c r="AF80" i="31" s="1"/>
  <c r="O330" i="41"/>
  <c r="I205" i="41"/>
  <c r="L85" i="41"/>
  <c r="N88" i="41"/>
  <c r="J26" i="41"/>
  <c r="I338" i="41"/>
  <c r="O204" i="41"/>
  <c r="Q254" i="41"/>
  <c r="J226" i="41"/>
  <c r="G281" i="41"/>
  <c r="Q244" i="41"/>
  <c r="G82" i="41"/>
  <c r="Q300" i="41"/>
  <c r="H163" i="41"/>
  <c r="N221" i="41"/>
  <c r="G342" i="41"/>
  <c r="H35" i="41"/>
  <c r="G57" i="41"/>
  <c r="O238" i="41"/>
  <c r="H276" i="41"/>
  <c r="L201" i="41"/>
  <c r="L9" i="41"/>
  <c r="I256" i="41"/>
  <c r="L100" i="41"/>
  <c r="I133" i="41"/>
  <c r="O72" i="41"/>
  <c r="Q161" i="41"/>
  <c r="O329" i="41"/>
  <c r="L18" i="41"/>
  <c r="J71" i="41"/>
  <c r="N123" i="31"/>
  <c r="T123" i="31" s="1"/>
  <c r="Z123" i="31" s="1"/>
  <c r="AF123" i="31" s="1"/>
  <c r="H337" i="41"/>
  <c r="L154" i="41"/>
  <c r="G260" i="41"/>
  <c r="N267" i="41"/>
  <c r="J258" i="41"/>
  <c r="J331" i="41"/>
  <c r="N89" i="41"/>
  <c r="O264" i="41"/>
  <c r="L248" i="41"/>
  <c r="Q252" i="41"/>
  <c r="L80" i="41"/>
  <c r="N159" i="41"/>
  <c r="J82" i="41"/>
  <c r="L206" i="41"/>
  <c r="N222" i="31"/>
  <c r="T222" i="31" s="1"/>
  <c r="Z222" i="31" s="1"/>
  <c r="AF222" i="31" s="1"/>
  <c r="M222" i="31"/>
  <c r="CE222" i="31" s="1"/>
  <c r="L227" i="41"/>
  <c r="O161" i="41"/>
  <c r="J188" i="41"/>
  <c r="H297" i="41"/>
  <c r="N166" i="41"/>
  <c r="H82" i="41"/>
  <c r="Q200" i="41"/>
  <c r="Q176" i="41"/>
  <c r="N257" i="41"/>
  <c r="J54" i="41"/>
  <c r="N24" i="41"/>
  <c r="G138" i="41"/>
  <c r="J72" i="41"/>
  <c r="J173" i="41"/>
  <c r="N42" i="41"/>
  <c r="N336" i="41"/>
  <c r="N333" i="41"/>
  <c r="H320" i="41"/>
  <c r="Q170" i="41"/>
  <c r="I339" i="41"/>
  <c r="J343" i="41"/>
  <c r="Q310" i="41"/>
  <c r="Q101" i="41"/>
  <c r="J136" i="41"/>
  <c r="J96" i="41"/>
  <c r="N240" i="31"/>
  <c r="T240" i="31" s="1"/>
  <c r="Z240" i="31" s="1"/>
  <c r="AF240" i="31" s="1"/>
  <c r="N343" i="31"/>
  <c r="T343" i="31" s="1"/>
  <c r="Z343" i="31" s="1"/>
  <c r="AF343" i="31" s="1"/>
  <c r="O28" i="41"/>
  <c r="O40" i="41"/>
  <c r="O82" i="41"/>
  <c r="N43" i="41"/>
  <c r="N71" i="41"/>
  <c r="H210" i="41"/>
  <c r="G10" i="41"/>
  <c r="O57" i="41"/>
  <c r="H145" i="41"/>
  <c r="P290" i="41"/>
  <c r="J313" i="41"/>
  <c r="L38" i="41"/>
  <c r="G287" i="41"/>
  <c r="L236" i="41"/>
  <c r="H142" i="41"/>
  <c r="H250" i="41"/>
  <c r="N211" i="41"/>
  <c r="N145" i="41"/>
  <c r="J182" i="41"/>
  <c r="H102" i="41"/>
  <c r="L76" i="41"/>
  <c r="H335" i="41"/>
  <c r="J220" i="41"/>
  <c r="N284" i="41"/>
  <c r="Q276" i="41"/>
  <c r="N269" i="41"/>
  <c r="J163" i="41"/>
  <c r="G179" i="41"/>
  <c r="G318" i="41"/>
  <c r="I118" i="41"/>
  <c r="J156" i="41"/>
  <c r="N155" i="31"/>
  <c r="T155" i="31" s="1"/>
  <c r="Z155" i="31" s="1"/>
  <c r="AF155" i="31" s="1"/>
  <c r="M155" i="31"/>
  <c r="CE155" i="31" s="1"/>
  <c r="G181" i="41"/>
  <c r="N133" i="41"/>
  <c r="N202" i="41"/>
  <c r="O58" i="41"/>
  <c r="I254" i="41"/>
  <c r="Q253" i="41"/>
  <c r="O299" i="41"/>
  <c r="H156" i="41"/>
  <c r="J262" i="41"/>
  <c r="H17" i="41"/>
  <c r="L261" i="41"/>
  <c r="H212" i="41"/>
  <c r="I250" i="41"/>
  <c r="L221" i="41"/>
  <c r="J85" i="41"/>
  <c r="I300" i="41"/>
  <c r="O285" i="41"/>
  <c r="J66" i="41"/>
  <c r="Q49" i="41"/>
  <c r="H219" i="41"/>
  <c r="H207" i="41"/>
  <c r="Q270" i="41"/>
  <c r="I120" i="41"/>
  <c r="L297" i="41"/>
  <c r="I97" i="41"/>
  <c r="N252" i="41"/>
  <c r="J325" i="41"/>
  <c r="H15" i="41"/>
  <c r="J339" i="41"/>
  <c r="Q149" i="41"/>
  <c r="G163" i="41"/>
  <c r="J144" i="41"/>
  <c r="H301" i="41"/>
  <c r="G219" i="41"/>
  <c r="Q309" i="41"/>
  <c r="O66" i="41"/>
  <c r="N33" i="41"/>
  <c r="H263" i="41"/>
  <c r="H190" i="41"/>
  <c r="L330" i="41"/>
  <c r="O241" i="41"/>
  <c r="O14" i="41"/>
  <c r="Q137" i="41"/>
  <c r="N137" i="41"/>
  <c r="I123" i="41"/>
  <c r="I252" i="41"/>
  <c r="G280" i="41"/>
  <c r="O18" i="41"/>
  <c r="G326" i="41"/>
  <c r="I331" i="41"/>
  <c r="O149" i="41"/>
  <c r="J218" i="41"/>
  <c r="N303" i="41"/>
  <c r="O30" i="41"/>
  <c r="G304" i="41"/>
  <c r="Q85" i="41"/>
  <c r="H118" i="41"/>
  <c r="O148" i="41"/>
  <c r="O105" i="41"/>
  <c r="Q211" i="41"/>
  <c r="O336" i="41"/>
  <c r="J97" i="41"/>
  <c r="O280" i="41"/>
  <c r="J205" i="41"/>
  <c r="G182" i="41"/>
  <c r="L157" i="41"/>
  <c r="H159" i="41"/>
  <c r="L131" i="41"/>
  <c r="J29" i="41"/>
  <c r="G295" i="41"/>
  <c r="Q13" i="41"/>
  <c r="I144" i="41"/>
  <c r="H265" i="41"/>
  <c r="O162" i="41"/>
  <c r="Q234" i="41"/>
  <c r="N27" i="41"/>
  <c r="O24" i="41"/>
  <c r="N84" i="41"/>
  <c r="N31" i="41"/>
  <c r="Q261" i="41"/>
  <c r="O107" i="41"/>
  <c r="J166" i="41"/>
  <c r="J330" i="41"/>
  <c r="O219" i="41"/>
  <c r="H62" i="41"/>
  <c r="J257" i="41"/>
  <c r="G18" i="41"/>
  <c r="G167" i="41"/>
  <c r="G216" i="41"/>
  <c r="N263" i="31"/>
  <c r="T263" i="31" s="1"/>
  <c r="Z263" i="31" s="1"/>
  <c r="AF263" i="31" s="1"/>
  <c r="O118" i="41"/>
  <c r="H46" i="41"/>
  <c r="H77" i="41"/>
  <c r="G77" i="41"/>
  <c r="I195" i="41"/>
  <c r="H328" i="41"/>
  <c r="I306" i="41"/>
  <c r="J213" i="41"/>
  <c r="O11" i="41"/>
  <c r="L36" i="41"/>
  <c r="L188" i="41"/>
  <c r="J221" i="41"/>
  <c r="H55" i="41"/>
  <c r="O182" i="41"/>
  <c r="H230" i="41"/>
  <c r="I241" i="41"/>
  <c r="J155" i="41"/>
  <c r="I212" i="41"/>
  <c r="N274" i="31"/>
  <c r="T274" i="31" s="1"/>
  <c r="Z274" i="31" s="1"/>
  <c r="AF274" i="31" s="1"/>
  <c r="O252" i="41"/>
  <c r="I344" i="41"/>
  <c r="N161" i="31"/>
  <c r="T161" i="31" s="1"/>
  <c r="Z161" i="31" s="1"/>
  <c r="AF161" i="31" s="1"/>
  <c r="O172" i="41"/>
  <c r="G66" i="41"/>
  <c r="N337" i="41"/>
  <c r="O49" i="41"/>
  <c r="Q207" i="41"/>
  <c r="J130" i="41"/>
  <c r="I59" i="41"/>
  <c r="L137" i="41"/>
  <c r="I18" i="41"/>
  <c r="O226" i="41"/>
  <c r="L51" i="41"/>
  <c r="G224" i="41"/>
  <c r="H12" i="41"/>
  <c r="Q299" i="41"/>
  <c r="L257" i="41"/>
  <c r="I122" i="41"/>
  <c r="H19" i="41"/>
  <c r="N290" i="41"/>
  <c r="G306" i="41"/>
  <c r="Q190" i="41"/>
  <c r="I283" i="41"/>
  <c r="N342" i="41"/>
  <c r="N338" i="31"/>
  <c r="T338" i="31" s="1"/>
  <c r="Z338" i="31" s="1"/>
  <c r="AF338" i="31" s="1"/>
  <c r="G112" i="41"/>
  <c r="N214" i="41"/>
  <c r="I298" i="41"/>
  <c r="G68" i="41"/>
  <c r="N114" i="41"/>
  <c r="N15" i="31"/>
  <c r="T15" i="31" s="1"/>
  <c r="Z15" i="31" s="1"/>
  <c r="AF15" i="31" s="1"/>
  <c r="N125" i="41"/>
  <c r="H336" i="41"/>
  <c r="O181" i="41"/>
  <c r="J273" i="41"/>
  <c r="N72" i="41"/>
  <c r="H254" i="41"/>
  <c r="H275" i="41"/>
  <c r="J88" i="41"/>
  <c r="L14" i="41"/>
  <c r="O256" i="41"/>
  <c r="O298" i="41"/>
  <c r="J129" i="41"/>
  <c r="I112" i="41"/>
  <c r="N288" i="41"/>
  <c r="I307" i="41"/>
  <c r="I303" i="41"/>
  <c r="H115" i="41"/>
  <c r="O96" i="41"/>
  <c r="J70" i="41"/>
  <c r="N211" i="31"/>
  <c r="T211" i="31" s="1"/>
  <c r="Z211" i="31" s="1"/>
  <c r="AF211" i="31" s="1"/>
  <c r="M211" i="31"/>
  <c r="CE211" i="31" s="1"/>
  <c r="H234" i="41"/>
  <c r="L163" i="41"/>
  <c r="H63" i="41"/>
  <c r="O44" i="41"/>
  <c r="L129" i="41"/>
  <c r="J224" i="41"/>
  <c r="O113" i="41"/>
  <c r="J217" i="41"/>
  <c r="I251" i="41"/>
  <c r="H316" i="41"/>
  <c r="Q25" i="41"/>
  <c r="G285" i="41"/>
  <c r="O91" i="41"/>
  <c r="L44" i="41"/>
  <c r="N144" i="41"/>
  <c r="Q332" i="41"/>
  <c r="N245" i="41"/>
  <c r="L184" i="41"/>
  <c r="Q286" i="41"/>
  <c r="N309" i="41"/>
  <c r="J245" i="41"/>
  <c r="L292" i="41"/>
  <c r="H73" i="41"/>
  <c r="G17" i="41"/>
  <c r="G36" i="41"/>
  <c r="N74" i="41"/>
  <c r="N62" i="41"/>
  <c r="G243" i="41"/>
  <c r="G53" i="41"/>
  <c r="G26" i="41"/>
  <c r="O201" i="41"/>
  <c r="J76" i="41"/>
  <c r="N168" i="31"/>
  <c r="T168" i="31" s="1"/>
  <c r="Z168" i="31" s="1"/>
  <c r="AF168" i="31" s="1"/>
  <c r="I164" i="41"/>
  <c r="I289" i="41"/>
  <c r="J335" i="41"/>
  <c r="L286" i="41"/>
  <c r="H231" i="41"/>
  <c r="H149" i="41"/>
  <c r="H76" i="41"/>
  <c r="N92" i="41"/>
  <c r="I188" i="41"/>
  <c r="L190" i="41"/>
  <c r="I149" i="41"/>
  <c r="N285" i="31"/>
  <c r="T285" i="31" s="1"/>
  <c r="Z285" i="31" s="1"/>
  <c r="AF285" i="31" s="1"/>
  <c r="I222" i="41"/>
  <c r="N331" i="31"/>
  <c r="T331" i="31" s="1"/>
  <c r="Z331" i="31" s="1"/>
  <c r="AF331" i="31" s="1"/>
  <c r="N184" i="41"/>
  <c r="O123" i="41"/>
  <c r="I301" i="41"/>
  <c r="J333" i="41"/>
  <c r="G186" i="41"/>
  <c r="N291" i="41"/>
  <c r="I27" i="41"/>
  <c r="N195" i="31"/>
  <c r="T195" i="31" s="1"/>
  <c r="Z195" i="31" s="1"/>
  <c r="AF195" i="31" s="1"/>
  <c r="I85" i="41"/>
  <c r="O8" i="41"/>
  <c r="L224" i="41"/>
  <c r="O324" i="41"/>
  <c r="N314" i="31"/>
  <c r="T314" i="31" s="1"/>
  <c r="Z314" i="31" s="1"/>
  <c r="AF314" i="31" s="1"/>
  <c r="S4" i="31"/>
  <c r="S3" i="31"/>
  <c r="CF7" i="31"/>
  <c r="H2" i="41" s="1"/>
  <c r="N73" i="41"/>
  <c r="N176" i="31"/>
  <c r="T176" i="31" s="1"/>
  <c r="Z176" i="31" s="1"/>
  <c r="AF176" i="31" s="1"/>
  <c r="Q152" i="41"/>
  <c r="I172" i="41"/>
  <c r="L174" i="41"/>
  <c r="H79" i="41"/>
  <c r="H322" i="41"/>
  <c r="J138" i="41"/>
  <c r="L237" i="41"/>
  <c r="L75" i="41"/>
  <c r="G189" i="41"/>
  <c r="J145" i="41"/>
  <c r="N223" i="31"/>
  <c r="T223" i="31" s="1"/>
  <c r="Z223" i="31" s="1"/>
  <c r="AF223" i="31" s="1"/>
  <c r="M223" i="31"/>
  <c r="CE223" i="31" s="1"/>
  <c r="N260" i="41"/>
  <c r="G161" i="41"/>
  <c r="J304" i="41"/>
  <c r="Q177" i="41"/>
  <c r="G261" i="41"/>
  <c r="N143" i="41"/>
  <c r="L247" i="41"/>
  <c r="G118" i="41"/>
  <c r="O156" i="41"/>
  <c r="O41" i="41"/>
  <c r="J48" i="41"/>
  <c r="N197" i="41"/>
  <c r="O235" i="41"/>
  <c r="N134" i="31"/>
  <c r="T134" i="31" s="1"/>
  <c r="Z134" i="31" s="1"/>
  <c r="AF134" i="31" s="1"/>
  <c r="G60" i="41"/>
  <c r="Q19" i="41"/>
  <c r="L263" i="41"/>
  <c r="N307" i="31"/>
  <c r="T307" i="31" s="1"/>
  <c r="Z307" i="31" s="1"/>
  <c r="AF307" i="31" s="1"/>
  <c r="N251" i="31"/>
  <c r="T251" i="31" s="1"/>
  <c r="Z251" i="31" s="1"/>
  <c r="AF251" i="31" s="1"/>
  <c r="H44" i="41"/>
  <c r="Q125" i="41"/>
  <c r="N116" i="41"/>
  <c r="I157" i="41"/>
  <c r="J314" i="41"/>
  <c r="N203" i="41"/>
  <c r="Q303" i="41"/>
  <c r="N327" i="41"/>
  <c r="J46" i="41"/>
  <c r="N117" i="31"/>
  <c r="T117" i="31" s="1"/>
  <c r="Z117" i="31" s="1"/>
  <c r="AF117" i="31" s="1"/>
  <c r="N225" i="41"/>
  <c r="N118" i="41"/>
  <c r="N299" i="41"/>
  <c r="J327" i="41"/>
  <c r="J65" i="41"/>
  <c r="J290" i="41"/>
  <c r="G15" i="41"/>
  <c r="G257" i="41"/>
  <c r="N48" i="31"/>
  <c r="T48" i="31" s="1"/>
  <c r="Z48" i="31" s="1"/>
  <c r="AF48" i="31" s="1"/>
  <c r="M48" i="31"/>
  <c r="CE48" i="31" s="1"/>
  <c r="H249" i="41"/>
  <c r="Q251" i="41"/>
  <c r="J23" i="41"/>
  <c r="J31" i="41"/>
  <c r="J300" i="41"/>
  <c r="O175" i="41"/>
  <c r="G135" i="41"/>
  <c r="I180" i="41"/>
  <c r="I175" i="41"/>
  <c r="O323" i="41"/>
  <c r="O216" i="41"/>
  <c r="H225" i="41"/>
  <c r="G130" i="41"/>
  <c r="O65" i="41"/>
  <c r="Q233" i="41"/>
  <c r="J264" i="41"/>
  <c r="Q60" i="41"/>
  <c r="J41" i="41"/>
  <c r="Q148" i="41"/>
  <c r="I147" i="41"/>
  <c r="L193" i="41"/>
  <c r="O79" i="41"/>
  <c r="J95" i="41"/>
  <c r="N138" i="41"/>
  <c r="H143" i="41"/>
  <c r="H45" i="41"/>
  <c r="J202" i="41"/>
  <c r="O142" i="41"/>
  <c r="Q255" i="41"/>
  <c r="N63" i="41"/>
  <c r="O70" i="41"/>
  <c r="O106" i="41"/>
  <c r="N171" i="41"/>
  <c r="J62" i="41"/>
  <c r="L346" i="41"/>
  <c r="N22" i="31"/>
  <c r="T22" i="31" s="1"/>
  <c r="Z22" i="31" s="1"/>
  <c r="AF22" i="31" s="1"/>
  <c r="N315" i="41"/>
  <c r="O97" i="41"/>
  <c r="N58" i="31"/>
  <c r="T58" i="31" s="1"/>
  <c r="Z58" i="31" s="1"/>
  <c r="AF58" i="31" s="1"/>
  <c r="N247" i="41"/>
  <c r="G45" i="41"/>
  <c r="G148" i="41"/>
  <c r="Q37" i="41"/>
  <c r="N207" i="31"/>
  <c r="T207" i="31" s="1"/>
  <c r="Z207" i="31" s="1"/>
  <c r="AF207" i="31" s="1"/>
  <c r="M207" i="31"/>
  <c r="CE207" i="31" s="1"/>
  <c r="N135" i="41"/>
  <c r="N228" i="41"/>
  <c r="J206" i="41"/>
  <c r="Q93" i="41"/>
  <c r="G103" i="41"/>
  <c r="G69" i="41"/>
  <c r="N178" i="41"/>
  <c r="I48" i="41"/>
  <c r="L228" i="41"/>
  <c r="H150" i="41"/>
  <c r="N227" i="41"/>
  <c r="G194" i="41"/>
  <c r="L298" i="41"/>
  <c r="Q298" i="41"/>
  <c r="N204" i="41"/>
  <c r="H323" i="41"/>
  <c r="L204" i="41"/>
  <c r="L328" i="41"/>
  <c r="J177" i="41"/>
  <c r="N264" i="41"/>
  <c r="H334" i="41"/>
  <c r="H10" i="41"/>
  <c r="I246" i="41"/>
  <c r="N10" i="41"/>
  <c r="J294" i="41"/>
  <c r="O87" i="41"/>
  <c r="L238" i="41"/>
  <c r="N224" i="41"/>
  <c r="G263" i="41"/>
  <c r="G19" i="41"/>
  <c r="J210" i="41"/>
  <c r="G203" i="41"/>
  <c r="N105" i="41"/>
  <c r="Q105" i="41"/>
  <c r="I286" i="41"/>
  <c r="J271" i="41"/>
  <c r="Q54" i="41"/>
  <c r="Q331" i="41"/>
  <c r="J311" i="41"/>
  <c r="L191" i="41"/>
  <c r="H127" i="41"/>
  <c r="Q143" i="41"/>
  <c r="O283" i="41"/>
  <c r="H71" i="41"/>
  <c r="H134" i="41"/>
  <c r="L322" i="41"/>
  <c r="O116" i="41"/>
  <c r="N208" i="31"/>
  <c r="T208" i="31" s="1"/>
  <c r="Z208" i="31" s="1"/>
  <c r="AF208" i="31" s="1"/>
  <c r="N173" i="41"/>
  <c r="L64" i="41"/>
  <c r="O103" i="41"/>
  <c r="Q150" i="41"/>
  <c r="L19" i="41"/>
  <c r="N91" i="41"/>
  <c r="O215" i="41"/>
  <c r="N10" i="31"/>
  <c r="T10" i="31" s="1"/>
  <c r="Z10" i="31" s="1"/>
  <c r="AF10" i="31" s="1"/>
  <c r="I328" i="41"/>
  <c r="N322" i="41"/>
  <c r="H31" i="41"/>
  <c r="L43" i="41"/>
  <c r="N121" i="41"/>
  <c r="G30" i="41"/>
  <c r="G62" i="41"/>
  <c r="Q156" i="41"/>
  <c r="G240" i="41"/>
  <c r="O83" i="41"/>
  <c r="G11" i="41"/>
  <c r="J317" i="41"/>
  <c r="H124" i="41"/>
  <c r="L211" i="41"/>
  <c r="J180" i="41"/>
  <c r="L133" i="41"/>
  <c r="I139" i="41"/>
  <c r="N101" i="31"/>
  <c r="T101" i="31" s="1"/>
  <c r="Z101" i="31" s="1"/>
  <c r="AF101" i="31" s="1"/>
  <c r="M101" i="31"/>
  <c r="CE101" i="31" s="1"/>
  <c r="N106" i="31"/>
  <c r="T106" i="31" s="1"/>
  <c r="Z106" i="31" s="1"/>
  <c r="AF106" i="31" s="1"/>
  <c r="H174" i="41"/>
  <c r="H108" i="41"/>
  <c r="I125" i="41"/>
  <c r="H81" i="41"/>
  <c r="L282" i="41"/>
  <c r="N34" i="41"/>
  <c r="N251" i="41"/>
  <c r="N41" i="41"/>
  <c r="G27" i="41"/>
  <c r="BA354" i="31"/>
  <c r="BA3" i="31"/>
  <c r="BA4" i="31"/>
  <c r="J9" i="29" s="1"/>
  <c r="J75" i="41"/>
  <c r="L295" i="41"/>
  <c r="G159" i="41"/>
  <c r="N53" i="41"/>
  <c r="G335" i="41"/>
  <c r="G228" i="41"/>
  <c r="G116" i="41"/>
  <c r="N9" i="41"/>
  <c r="O136" i="41"/>
  <c r="N328" i="41"/>
  <c r="Q55" i="41"/>
  <c r="H38" i="41"/>
  <c r="H273" i="41"/>
  <c r="G299" i="41"/>
  <c r="Q241" i="41"/>
  <c r="Q302" i="41"/>
  <c r="N298" i="41"/>
  <c r="N25" i="41"/>
  <c r="H121" i="41"/>
  <c r="J209" i="41"/>
  <c r="J38" i="41"/>
  <c r="J216" i="41"/>
  <c r="H14" i="41"/>
  <c r="N322" i="31"/>
  <c r="T322" i="31" s="1"/>
  <c r="Z322" i="31" s="1"/>
  <c r="AF322" i="31" s="1"/>
  <c r="M322" i="31"/>
  <c r="CE322" i="31" s="1"/>
  <c r="I187" i="41"/>
  <c r="N169" i="41"/>
  <c r="N46" i="41"/>
  <c r="N188" i="41"/>
  <c r="O99" i="41"/>
  <c r="N185" i="41"/>
  <c r="O75" i="41"/>
  <c r="Q33" i="41"/>
  <c r="N222" i="41"/>
  <c r="BQ2" i="31"/>
  <c r="S12" i="29"/>
  <c r="G158" i="41"/>
  <c r="Q73" i="41"/>
  <c r="G288" i="41"/>
  <c r="I186" i="41"/>
  <c r="H64" i="41"/>
  <c r="J141" i="41"/>
  <c r="J248" i="41"/>
  <c r="L265" i="41"/>
  <c r="I302" i="41"/>
  <c r="O90" i="41"/>
  <c r="L318" i="41"/>
  <c r="L324" i="41"/>
  <c r="H128" i="41"/>
  <c r="L82" i="41"/>
  <c r="N93" i="41"/>
  <c r="N271" i="41"/>
  <c r="N279" i="41"/>
  <c r="N57" i="41"/>
  <c r="N199" i="31"/>
  <c r="T199" i="31" s="1"/>
  <c r="Z199" i="31" s="1"/>
  <c r="AF199" i="31" s="1"/>
  <c r="Q114" i="41"/>
  <c r="G286" i="41"/>
  <c r="G165" i="41"/>
  <c r="J321" i="41"/>
  <c r="N108" i="41"/>
  <c r="H333" i="41"/>
  <c r="N136" i="41"/>
  <c r="Q163" i="41"/>
  <c r="Q260" i="41"/>
  <c r="Q28" i="41"/>
  <c r="Q187" i="41"/>
  <c r="G223" i="41"/>
  <c r="H216" i="41"/>
  <c r="N309" i="31"/>
  <c r="T309" i="31" s="1"/>
  <c r="Z309" i="31" s="1"/>
  <c r="AF309" i="31" s="1"/>
  <c r="N83" i="41"/>
  <c r="I242" i="41"/>
  <c r="N106" i="41"/>
  <c r="Q110" i="41"/>
  <c r="L164" i="41"/>
  <c r="N156" i="41"/>
  <c r="J259" i="41"/>
  <c r="H99" i="41"/>
  <c r="Q129" i="41"/>
  <c r="G200" i="41"/>
  <c r="G176" i="41"/>
  <c r="I229" i="41"/>
  <c r="N160" i="31"/>
  <c r="T160" i="31" s="1"/>
  <c r="Z160" i="31" s="1"/>
  <c r="AF160" i="31" s="1"/>
  <c r="Q323" i="41"/>
  <c r="O273" i="41"/>
  <c r="N179" i="41"/>
  <c r="H209" i="41"/>
  <c r="H184" i="41"/>
  <c r="G314" i="41"/>
  <c r="G129" i="41"/>
  <c r="O316" i="41"/>
  <c r="G246" i="41"/>
  <c r="L165" i="41"/>
  <c r="N98" i="41"/>
  <c r="O71" i="41"/>
  <c r="N300" i="31"/>
  <c r="T300" i="31" s="1"/>
  <c r="Z300" i="31" s="1"/>
  <c r="AF300" i="31" s="1"/>
  <c r="I183" i="41"/>
  <c r="L176" i="41"/>
  <c r="J208" i="41"/>
  <c r="I137" i="41"/>
  <c r="L120" i="41"/>
  <c r="Q221" i="41"/>
  <c r="H39" i="41"/>
  <c r="O271" i="41"/>
  <c r="J174" i="41"/>
  <c r="J116" i="41"/>
  <c r="Q90" i="41"/>
  <c r="G75" i="41"/>
  <c r="I23" i="41"/>
  <c r="L266" i="41"/>
  <c r="J253" i="41"/>
  <c r="H78" i="41"/>
  <c r="H215" i="41"/>
  <c r="H217" i="41"/>
  <c r="O112" i="41"/>
  <c r="G63" i="41"/>
  <c r="L79" i="41"/>
  <c r="I176" i="41"/>
  <c r="L334" i="41"/>
  <c r="I263" i="41"/>
  <c r="I140" i="41"/>
  <c r="I206" i="41"/>
  <c r="L296" i="41"/>
  <c r="N53" i="31"/>
  <c r="T53" i="31" s="1"/>
  <c r="Z53" i="31" s="1"/>
  <c r="AF53" i="31" s="1"/>
  <c r="M53" i="31"/>
  <c r="CE53" i="31" s="1"/>
  <c r="H346" i="41"/>
  <c r="J47" i="41"/>
  <c r="J344" i="41"/>
  <c r="G327" i="41"/>
  <c r="N117" i="41"/>
  <c r="H92" i="41"/>
  <c r="Q127" i="41"/>
  <c r="O200" i="41"/>
  <c r="L58" i="41"/>
  <c r="H88" i="41"/>
  <c r="L250" i="41"/>
  <c r="J61" i="41"/>
  <c r="L11" i="41"/>
  <c r="G31" i="41"/>
  <c r="G65" i="41"/>
  <c r="O297" i="41"/>
  <c r="Q61" i="41"/>
  <c r="J148" i="41"/>
  <c r="I342" i="41"/>
  <c r="I114" i="41"/>
  <c r="H172" i="41"/>
  <c r="BC7" i="31"/>
  <c r="O244" i="41"/>
  <c r="L267" i="41"/>
  <c r="Q274" i="41"/>
  <c r="I265" i="41"/>
  <c r="G140" i="41"/>
  <c r="L300" i="41"/>
  <c r="I293" i="41"/>
  <c r="N270" i="31"/>
  <c r="T270" i="31" s="1"/>
  <c r="Z270" i="31" s="1"/>
  <c r="AF270" i="31" s="1"/>
  <c r="J78" i="41"/>
  <c r="J45" i="41"/>
  <c r="L119" i="41"/>
  <c r="Q38" i="41"/>
  <c r="I119" i="41"/>
  <c r="AS2" i="31"/>
  <c r="S8" i="29"/>
  <c r="N256" i="41"/>
  <c r="O205" i="41"/>
  <c r="J299" i="41"/>
  <c r="I34" i="41"/>
  <c r="H173" i="41"/>
  <c r="Q340" i="41"/>
  <c r="N216" i="41"/>
  <c r="N231" i="41"/>
  <c r="L162" i="41"/>
  <c r="G256" i="41"/>
  <c r="H183" i="41"/>
  <c r="N312" i="41"/>
  <c r="Q80" i="41"/>
  <c r="Q271" i="41"/>
  <c r="O52" i="41"/>
  <c r="G323" i="41"/>
  <c r="N258" i="41"/>
  <c r="N269" i="31"/>
  <c r="T269" i="31" s="1"/>
  <c r="Z269" i="31" s="1"/>
  <c r="AF269" i="31" s="1"/>
  <c r="O25" i="41"/>
  <c r="O255" i="41"/>
  <c r="G172" i="41"/>
  <c r="O191" i="41"/>
  <c r="N263" i="41"/>
  <c r="I168" i="41"/>
  <c r="L92" i="41"/>
  <c r="J122" i="41"/>
  <c r="N206" i="31"/>
  <c r="T206" i="31" s="1"/>
  <c r="Z206" i="31" s="1"/>
  <c r="AF206" i="31" s="1"/>
  <c r="M206" i="31"/>
  <c r="CE206" i="31" s="1"/>
  <c r="I318" i="41"/>
  <c r="L285" i="41"/>
  <c r="N188" i="31"/>
  <c r="T188" i="31" s="1"/>
  <c r="Z188" i="31" s="1"/>
  <c r="AF188" i="31" s="1"/>
  <c r="J40" i="41"/>
  <c r="H343" i="41"/>
  <c r="G155" i="41"/>
  <c r="H53" i="41"/>
  <c r="Q259" i="41"/>
  <c r="H314" i="41"/>
  <c r="I334" i="41"/>
  <c r="Q247" i="41"/>
  <c r="G55" i="41"/>
  <c r="O194" i="41"/>
  <c r="N239" i="41"/>
  <c r="G171" i="41"/>
  <c r="H306" i="41"/>
  <c r="N30" i="41"/>
  <c r="I320" i="41"/>
  <c r="Q112" i="41"/>
  <c r="L114" i="41"/>
  <c r="I155" i="41"/>
  <c r="O165" i="41"/>
  <c r="G67" i="41"/>
  <c r="G258" i="41"/>
  <c r="O13" i="41"/>
  <c r="O122" i="41"/>
  <c r="Q307" i="41"/>
  <c r="L91" i="41"/>
  <c r="Q347" i="41"/>
  <c r="N182" i="41"/>
  <c r="O74" i="41"/>
  <c r="J284" i="41"/>
  <c r="N24" i="31"/>
  <c r="T24" i="31" s="1"/>
  <c r="Z24" i="31" s="1"/>
  <c r="AF24" i="31" s="1"/>
  <c r="N226" i="41"/>
  <c r="N270" i="41"/>
  <c r="H294" i="41"/>
  <c r="G29" i="41"/>
  <c r="L326" i="41"/>
  <c r="H201" i="41"/>
  <c r="L344" i="41"/>
  <c r="I194" i="41"/>
  <c r="G269" i="41"/>
  <c r="G156" i="41"/>
  <c r="G347" i="41"/>
  <c r="G302" i="41"/>
  <c r="H126" i="41"/>
  <c r="N232" i="41"/>
  <c r="I54" i="41"/>
  <c r="N158" i="41"/>
  <c r="L179" i="41"/>
  <c r="I268" i="41"/>
  <c r="H11" i="41"/>
  <c r="O242" i="41"/>
  <c r="O260" i="41"/>
  <c r="O128" i="41"/>
  <c r="Q23" i="41"/>
  <c r="N351" i="31"/>
  <c r="T351" i="31" s="1"/>
  <c r="Z351" i="31" s="1"/>
  <c r="AF351" i="31" s="1"/>
  <c r="M351" i="31"/>
  <c r="CE351" i="31" s="1"/>
  <c r="O62" i="41"/>
  <c r="G132" i="41"/>
  <c r="Q196" i="41"/>
  <c r="N103" i="31"/>
  <c r="T103" i="31" s="1"/>
  <c r="Z103" i="31" s="1"/>
  <c r="AF103" i="31" s="1"/>
  <c r="J30" i="41"/>
  <c r="J101" i="41"/>
  <c r="I111" i="41"/>
  <c r="N180" i="41"/>
  <c r="N109" i="31"/>
  <c r="T109" i="31" s="1"/>
  <c r="Z109" i="31" s="1"/>
  <c r="AF109" i="31" s="1"/>
  <c r="M109" i="31"/>
  <c r="CE109" i="31" s="1"/>
  <c r="L225" i="41"/>
  <c r="L113" i="41"/>
  <c r="I128" i="41"/>
  <c r="O263" i="41"/>
  <c r="O190" i="41"/>
  <c r="I65" i="41"/>
  <c r="I234" i="41"/>
  <c r="O320" i="41"/>
  <c r="N158" i="31"/>
  <c r="T158" i="31" s="1"/>
  <c r="Z158" i="31" s="1"/>
  <c r="AF158" i="31" s="1"/>
  <c r="O331" i="41"/>
  <c r="I327" i="41"/>
  <c r="I127" i="41"/>
  <c r="H65" i="41"/>
  <c r="I220" i="41"/>
  <c r="N119" i="41"/>
  <c r="O249" i="41"/>
  <c r="AY2" i="31"/>
  <c r="S9" i="29"/>
  <c r="N294" i="41"/>
  <c r="G205" i="41"/>
  <c r="L168" i="41"/>
  <c r="N278" i="41"/>
  <c r="N98" i="31"/>
  <c r="T98" i="31" s="1"/>
  <c r="Z98" i="31" s="1"/>
  <c r="AF98" i="31" s="1"/>
  <c r="O322" i="41"/>
  <c r="G157" i="41"/>
  <c r="O39" i="41"/>
  <c r="O195" i="41"/>
  <c r="J50" i="41"/>
  <c r="O296" i="41"/>
  <c r="Q164" i="41"/>
  <c r="H97" i="41"/>
  <c r="H25" i="41"/>
  <c r="I237" i="41"/>
  <c r="N217" i="41"/>
  <c r="Q145" i="41"/>
  <c r="Q63" i="41"/>
  <c r="Q102" i="41"/>
  <c r="I78" i="41"/>
  <c r="G42" i="41"/>
  <c r="H258" i="41"/>
  <c r="Q280" i="41"/>
  <c r="N120" i="41"/>
  <c r="J146" i="41"/>
  <c r="J73" i="41"/>
  <c r="I160" i="41"/>
  <c r="O15" i="41"/>
  <c r="N261" i="31"/>
  <c r="T261" i="31" s="1"/>
  <c r="Z261" i="31" s="1"/>
  <c r="AF261" i="31" s="1"/>
  <c r="N22" i="41"/>
  <c r="L258" i="41"/>
  <c r="L16" i="41"/>
  <c r="H318" i="41"/>
  <c r="Q154" i="41"/>
  <c r="N146" i="41"/>
  <c r="Q292" i="41"/>
  <c r="Q235" i="41"/>
  <c r="O36" i="41"/>
  <c r="Q67" i="41"/>
  <c r="J15" i="41"/>
  <c r="H29" i="41"/>
  <c r="Q229" i="41"/>
  <c r="O22" i="41"/>
  <c r="J266" i="41"/>
  <c r="J123" i="41"/>
  <c r="G134" i="41"/>
  <c r="N209" i="41"/>
  <c r="H132" i="41"/>
  <c r="L245" i="41"/>
  <c r="L150" i="41"/>
  <c r="J291" i="41"/>
  <c r="J92" i="41"/>
  <c r="O73" i="41"/>
  <c r="H289" i="41"/>
  <c r="Q135" i="41"/>
  <c r="I330" i="41"/>
  <c r="J16" i="41"/>
  <c r="I291" i="41"/>
  <c r="J318" i="41"/>
  <c r="O188" i="41"/>
  <c r="G210" i="41"/>
  <c r="N11" i="41"/>
  <c r="O318" i="41"/>
  <c r="J193" i="41"/>
  <c r="I130" i="41"/>
  <c r="J276" i="41"/>
  <c r="G309" i="41"/>
  <c r="L81" i="41"/>
  <c r="G279" i="41"/>
  <c r="O225" i="41"/>
  <c r="H152" i="41"/>
  <c r="H91" i="41"/>
  <c r="N94" i="41"/>
  <c r="N319" i="41"/>
  <c r="I163" i="41"/>
  <c r="H261" i="41"/>
  <c r="I255" i="41"/>
  <c r="O294" i="41"/>
  <c r="L209" i="41"/>
  <c r="G41" i="41"/>
  <c r="N312" i="31"/>
  <c r="T312" i="31" s="1"/>
  <c r="Z312" i="31" s="1"/>
  <c r="AF312" i="31" s="1"/>
  <c r="Q287" i="41"/>
  <c r="I335" i="41"/>
  <c r="L220" i="41"/>
  <c r="I71" i="41"/>
  <c r="O54" i="41"/>
  <c r="O45" i="41"/>
  <c r="L31" i="41"/>
  <c r="J34" i="41"/>
  <c r="O230" i="41"/>
  <c r="I192" i="41"/>
  <c r="O135" i="41"/>
  <c r="I340" i="41"/>
  <c r="H238" i="41"/>
  <c r="J124" i="41"/>
  <c r="I16" i="41"/>
  <c r="Q46" i="41"/>
  <c r="I93" i="41"/>
  <c r="H151" i="41"/>
  <c r="O340" i="41"/>
  <c r="N113" i="41"/>
  <c r="L327" i="41"/>
  <c r="N338" i="41"/>
  <c r="I341" i="41"/>
  <c r="I214" i="41"/>
  <c r="Q285" i="41"/>
  <c r="Q113" i="41"/>
  <c r="O35" i="41"/>
  <c r="N109" i="41"/>
  <c r="O307" i="41"/>
  <c r="I29" i="41"/>
  <c r="N317" i="41"/>
  <c r="N174" i="41"/>
  <c r="N137" i="31"/>
  <c r="T137" i="31" s="1"/>
  <c r="Z137" i="31" s="1"/>
  <c r="AF137" i="31" s="1"/>
  <c r="O150" i="41"/>
  <c r="G330" i="41"/>
  <c r="Q341" i="41"/>
  <c r="Q50" i="41"/>
  <c r="J86" i="41"/>
  <c r="L307" i="41"/>
  <c r="I253" i="41"/>
  <c r="J149" i="41"/>
  <c r="H42" i="41"/>
  <c r="I257" i="41"/>
  <c r="I296" i="41"/>
  <c r="I43" i="41"/>
  <c r="H109" i="41"/>
  <c r="N249" i="41"/>
  <c r="O293" i="41"/>
  <c r="N237" i="41"/>
  <c r="G301" i="41"/>
  <c r="M98" i="31"/>
  <c r="CE98" i="31" s="1"/>
  <c r="N162" i="31"/>
  <c r="T162" i="31" s="1"/>
  <c r="Z162" i="31" s="1"/>
  <c r="AF162" i="31" s="1"/>
  <c r="Q9" i="41"/>
  <c r="J250" i="41"/>
  <c r="N198" i="41"/>
  <c r="N276" i="41"/>
  <c r="H305" i="41"/>
  <c r="N212" i="41"/>
  <c r="H251" i="41"/>
  <c r="Q201" i="41"/>
  <c r="I21" i="41"/>
  <c r="I148" i="41"/>
  <c r="O169" i="41"/>
  <c r="J191" i="41"/>
  <c r="Q197" i="41"/>
  <c r="Q95" i="41"/>
  <c r="H160" i="41"/>
  <c r="J25" i="41"/>
  <c r="J154" i="41"/>
  <c r="J135" i="41"/>
  <c r="Q209" i="41"/>
  <c r="O143" i="41"/>
  <c r="J332" i="41"/>
  <c r="H87" i="41"/>
  <c r="N182" i="31"/>
  <c r="T182" i="31" s="1"/>
  <c r="Z182" i="31" s="1"/>
  <c r="AF182" i="31" s="1"/>
  <c r="M182" i="31"/>
  <c r="CE182" i="31" s="1"/>
  <c r="Q104" i="41"/>
  <c r="G237" i="41"/>
  <c r="N333" i="31"/>
  <c r="T333" i="31" s="1"/>
  <c r="Z333" i="31" s="1"/>
  <c r="AF333" i="31" s="1"/>
  <c r="H141" i="41"/>
  <c r="N258" i="31"/>
  <c r="T258" i="31" s="1"/>
  <c r="Z258" i="31" s="1"/>
  <c r="AF258" i="31" s="1"/>
  <c r="M258" i="31"/>
  <c r="CE258" i="31" s="1"/>
  <c r="N272" i="41"/>
  <c r="J229" i="41"/>
  <c r="I169" i="41"/>
  <c r="H232" i="41"/>
  <c r="G109" i="41"/>
  <c r="Q222" i="41"/>
  <c r="L301" i="41"/>
  <c r="O210" i="41"/>
  <c r="N141" i="41"/>
  <c r="G100" i="41"/>
  <c r="L283" i="41"/>
  <c r="N215" i="31"/>
  <c r="T215" i="31" s="1"/>
  <c r="Z215" i="31" s="1"/>
  <c r="AF215" i="31" s="1"/>
  <c r="G190" i="41"/>
  <c r="I324" i="41"/>
  <c r="N89" i="31"/>
  <c r="T89" i="31" s="1"/>
  <c r="Z89" i="31" s="1"/>
  <c r="AF89" i="31" s="1"/>
  <c r="M89" i="31"/>
  <c r="CE89" i="31" s="1"/>
  <c r="O309" i="41"/>
  <c r="L234" i="41"/>
  <c r="N92" i="31"/>
  <c r="T92" i="31" s="1"/>
  <c r="Z92" i="31" s="1"/>
  <c r="AF92" i="31" s="1"/>
  <c r="J240" i="41"/>
  <c r="N275" i="41"/>
  <c r="N141" i="31"/>
  <c r="T141" i="31" s="1"/>
  <c r="Z141" i="31" s="1"/>
  <c r="AF141" i="31" s="1"/>
  <c r="H96" i="41"/>
  <c r="O301" i="41"/>
  <c r="N282" i="31"/>
  <c r="T282" i="31" s="1"/>
  <c r="Z282" i="31" s="1"/>
  <c r="AF282" i="31" s="1"/>
  <c r="M337" i="31"/>
  <c r="CE337" i="31" s="1"/>
  <c r="H100" i="41"/>
  <c r="H57" i="41"/>
  <c r="J2" i="31"/>
  <c r="U2" i="29"/>
  <c r="O228" i="41"/>
  <c r="I275" i="41"/>
  <c r="J212" i="41"/>
  <c r="I202" i="41"/>
  <c r="N94" i="31"/>
  <c r="T94" i="31" s="1"/>
  <c r="Z94" i="31" s="1"/>
  <c r="AF94" i="31" s="1"/>
  <c r="M94" i="31"/>
  <c r="CE94" i="31" s="1"/>
  <c r="I10" i="41"/>
  <c r="J215" i="41"/>
  <c r="M84" i="31"/>
  <c r="CE84" i="31" s="1"/>
  <c r="L141" i="41"/>
  <c r="H303" i="41"/>
  <c r="L60" i="41"/>
  <c r="N148" i="41"/>
  <c r="L305" i="41"/>
  <c r="G13" i="41"/>
  <c r="M59" i="31"/>
  <c r="CE59" i="31" s="1"/>
  <c r="M288" i="31"/>
  <c r="CE288" i="31" s="1"/>
  <c r="L26" i="41"/>
  <c r="M271" i="31"/>
  <c r="CE271" i="31" s="1"/>
  <c r="N225" i="31"/>
  <c r="T225" i="31" s="1"/>
  <c r="Z225" i="31" s="1"/>
  <c r="AF225" i="31" s="1"/>
  <c r="L187" i="41"/>
  <c r="J326" i="41"/>
  <c r="I244" i="41"/>
  <c r="O338" i="41"/>
  <c r="N90" i="41"/>
  <c r="N13" i="31"/>
  <c r="T13" i="31" s="1"/>
  <c r="Z13" i="31" s="1"/>
  <c r="AF13" i="31" s="1"/>
  <c r="M13" i="31"/>
  <c r="CE13" i="31" s="1"/>
  <c r="N230" i="31"/>
  <c r="T230" i="31" s="1"/>
  <c r="Z230" i="31" s="1"/>
  <c r="AF230" i="31" s="1"/>
  <c r="M230" i="31"/>
  <c r="CE230" i="31" s="1"/>
  <c r="O347" i="41"/>
  <c r="N325" i="41"/>
  <c r="O139" i="41"/>
  <c r="I217" i="41"/>
  <c r="H222" i="41"/>
  <c r="I191" i="41"/>
  <c r="O134" i="41"/>
  <c r="N207" i="41"/>
  <c r="N144" i="31"/>
  <c r="T144" i="31" s="1"/>
  <c r="Z144" i="31" s="1"/>
  <c r="AF144" i="31" s="1"/>
  <c r="M144" i="31"/>
  <c r="CE144" i="31" s="1"/>
  <c r="M116" i="31"/>
  <c r="CE116" i="31" s="1"/>
  <c r="O48" i="41"/>
  <c r="G85" i="41"/>
  <c r="O332" i="41"/>
  <c r="N230" i="41"/>
  <c r="L337" i="41"/>
  <c r="N55" i="31"/>
  <c r="T55" i="31" s="1"/>
  <c r="Z55" i="31" s="1"/>
  <c r="AF55" i="31" s="1"/>
  <c r="G328" i="41"/>
  <c r="N283" i="41"/>
  <c r="J239" i="41"/>
  <c r="Q56" i="41"/>
  <c r="M112" i="31"/>
  <c r="CE112" i="31" s="1"/>
  <c r="O245" i="41"/>
  <c r="G272" i="41"/>
  <c r="I51" i="41"/>
  <c r="J153" i="41"/>
  <c r="L73" i="41"/>
  <c r="N16" i="41"/>
  <c r="O207" i="41"/>
  <c r="N153" i="41"/>
  <c r="L331" i="41"/>
  <c r="H169" i="41"/>
  <c r="N226" i="31"/>
  <c r="T226" i="31" s="1"/>
  <c r="Z226" i="31" s="1"/>
  <c r="AF226" i="31" s="1"/>
  <c r="M226" i="31"/>
  <c r="CE226" i="31" s="1"/>
  <c r="O186" i="41"/>
  <c r="N78" i="31"/>
  <c r="T78" i="31" s="1"/>
  <c r="Z78" i="31" s="1"/>
  <c r="AF78" i="31" s="1"/>
  <c r="H101" i="41"/>
  <c r="L107" i="41"/>
  <c r="N209" i="31"/>
  <c r="T209" i="31" s="1"/>
  <c r="Z209" i="31" s="1"/>
  <c r="AF209" i="31" s="1"/>
  <c r="I193" i="41"/>
  <c r="G249" i="41"/>
  <c r="N152" i="31"/>
  <c r="T152" i="31" s="1"/>
  <c r="Z152" i="31" s="1"/>
  <c r="AF152" i="31" s="1"/>
  <c r="N167" i="31"/>
  <c r="T167" i="31" s="1"/>
  <c r="Z167" i="31" s="1"/>
  <c r="AF167" i="31" s="1"/>
  <c r="N350" i="31"/>
  <c r="T350" i="31" s="1"/>
  <c r="Z350" i="31" s="1"/>
  <c r="AF350" i="31" s="1"/>
  <c r="N172" i="31"/>
  <c r="T172" i="31" s="1"/>
  <c r="Z172" i="31" s="1"/>
  <c r="AF172" i="31" s="1"/>
  <c r="H338" i="41"/>
  <c r="N154" i="31"/>
  <c r="T154" i="31" s="1"/>
  <c r="Z154" i="31" s="1"/>
  <c r="AF154" i="31" s="1"/>
  <c r="G125" i="41"/>
  <c r="N28" i="31"/>
  <c r="T28" i="31" s="1"/>
  <c r="Z28" i="31" s="1"/>
  <c r="AF28" i="31" s="1"/>
  <c r="N16" i="31"/>
  <c r="T16" i="31" s="1"/>
  <c r="Z16" i="31" s="1"/>
  <c r="AF16" i="31" s="1"/>
  <c r="N129" i="41"/>
  <c r="J237" i="41"/>
  <c r="H244" i="41"/>
  <c r="L116" i="41"/>
  <c r="L347" i="41"/>
  <c r="J338" i="41"/>
  <c r="O206" i="41"/>
  <c r="H74" i="41"/>
  <c r="L151" i="41"/>
  <c r="N107" i="41"/>
  <c r="L55" i="41"/>
  <c r="N70" i="31"/>
  <c r="T70" i="31" s="1"/>
  <c r="Z70" i="31" s="1"/>
  <c r="AF70" i="31" s="1"/>
  <c r="N82" i="31"/>
  <c r="T82" i="31" s="1"/>
  <c r="Z82" i="31" s="1"/>
  <c r="AF82" i="31" s="1"/>
  <c r="G337" i="41"/>
  <c r="H50" i="41"/>
  <c r="I249" i="41"/>
  <c r="L276" i="41"/>
  <c r="I336" i="41"/>
  <c r="I72" i="41"/>
  <c r="J28" i="41"/>
  <c r="J164" i="41"/>
  <c r="N152" i="41"/>
  <c r="N119" i="31"/>
  <c r="T119" i="31" s="1"/>
  <c r="Z119" i="31" s="1"/>
  <c r="AF119" i="31" s="1"/>
  <c r="N311" i="41"/>
  <c r="H24" i="41"/>
  <c r="N131" i="41"/>
  <c r="I108" i="41"/>
  <c r="R281" i="41"/>
  <c r="N100" i="41"/>
  <c r="J21" i="41"/>
  <c r="J288" i="41"/>
  <c r="Q354" i="31"/>
  <c r="S354" i="31" s="1"/>
  <c r="Q3" i="31"/>
  <c r="Q4" i="31"/>
  <c r="J3" i="29" s="1"/>
  <c r="O174" i="41"/>
  <c r="Q20" i="41"/>
  <c r="H237" i="41"/>
  <c r="G35" i="41"/>
  <c r="O127" i="41"/>
  <c r="Q328" i="41"/>
  <c r="N340" i="31"/>
  <c r="T340" i="31" s="1"/>
  <c r="Z340" i="31" s="1"/>
  <c r="AF340" i="31" s="1"/>
  <c r="N205" i="31"/>
  <c r="T205" i="31" s="1"/>
  <c r="Z205" i="31" s="1"/>
  <c r="AF205" i="31" s="1"/>
  <c r="J106" i="41"/>
  <c r="G16" i="41"/>
  <c r="I31" i="41"/>
  <c r="Q213" i="41"/>
  <c r="L172" i="41"/>
  <c r="N261" i="41"/>
  <c r="I226" i="41"/>
  <c r="I317" i="41"/>
  <c r="H255" i="41"/>
  <c r="H52" i="41"/>
  <c r="H61" i="41"/>
  <c r="Q109" i="41"/>
  <c r="I60" i="41"/>
  <c r="L106" i="41"/>
  <c r="N201" i="41"/>
  <c r="J133" i="41"/>
  <c r="BW2" i="31"/>
  <c r="S13" i="29"/>
  <c r="Q314" i="41"/>
  <c r="I276" i="41"/>
  <c r="I145" i="41"/>
  <c r="Q210" i="41"/>
  <c r="I17" i="41"/>
  <c r="I337" i="41"/>
  <c r="G39" i="41"/>
  <c r="Q84" i="41"/>
  <c r="Q212" i="41"/>
  <c r="O129" i="41"/>
  <c r="O193" i="41"/>
  <c r="J231" i="41"/>
  <c r="L132" i="41"/>
  <c r="J126" i="41"/>
  <c r="H84" i="41"/>
  <c r="L271" i="41"/>
  <c r="I36" i="41"/>
  <c r="G213" i="41"/>
  <c r="H270" i="41"/>
  <c r="N168" i="41"/>
  <c r="H40" i="41"/>
  <c r="N155" i="41"/>
  <c r="N90" i="31"/>
  <c r="T90" i="31" s="1"/>
  <c r="Z90" i="31" s="1"/>
  <c r="AF90" i="31" s="1"/>
  <c r="O76" i="41"/>
  <c r="I173" i="41"/>
  <c r="L153" i="41"/>
  <c r="Q272" i="41"/>
  <c r="N242" i="31"/>
  <c r="T242" i="31" s="1"/>
  <c r="Z242" i="31" s="1"/>
  <c r="AF242" i="31" s="1"/>
  <c r="J169" i="41"/>
  <c r="J197" i="41"/>
  <c r="G106" i="41"/>
  <c r="L270" i="41"/>
  <c r="N187" i="31"/>
  <c r="T187" i="31" s="1"/>
  <c r="Z187" i="31" s="1"/>
  <c r="AF187" i="31" s="1"/>
  <c r="N293" i="31"/>
  <c r="T293" i="31" s="1"/>
  <c r="Z293" i="31" s="1"/>
  <c r="AF293" i="31" s="1"/>
  <c r="H135" i="41"/>
  <c r="G49" i="41"/>
  <c r="N224" i="31"/>
  <c r="T224" i="31" s="1"/>
  <c r="Z224" i="31" s="1"/>
  <c r="AF224" i="31" s="1"/>
  <c r="N14" i="31"/>
  <c r="T14" i="31" s="1"/>
  <c r="Z14" i="31" s="1"/>
  <c r="AF14" i="31" s="1"/>
  <c r="N128" i="41"/>
  <c r="H146" i="41"/>
  <c r="H292" i="41"/>
  <c r="Q301" i="41"/>
  <c r="H197" i="41"/>
  <c r="N140" i="41"/>
  <c r="I247" i="41"/>
  <c r="O85" i="41"/>
  <c r="L325" i="41"/>
  <c r="Q141" i="41"/>
  <c r="I104" i="41"/>
  <c r="L159" i="41"/>
  <c r="N82" i="41"/>
  <c r="N340" i="41"/>
  <c r="H272" i="41"/>
  <c r="I297" i="41"/>
  <c r="I245" i="41"/>
  <c r="Q318" i="41"/>
  <c r="L340" i="41"/>
  <c r="N335" i="41"/>
  <c r="Q181" i="41"/>
  <c r="J64" i="41"/>
  <c r="H195" i="41"/>
  <c r="N86" i="41"/>
  <c r="Q306" i="41"/>
  <c r="N253" i="31"/>
  <c r="T253" i="31" s="1"/>
  <c r="Z253" i="31" s="1"/>
  <c r="AF253" i="31" s="1"/>
  <c r="O339" i="41"/>
  <c r="H228" i="41"/>
  <c r="G105" i="41"/>
  <c r="J175" i="41"/>
  <c r="J110" i="41"/>
  <c r="N254" i="31"/>
  <c r="T254" i="31" s="1"/>
  <c r="Z254" i="31" s="1"/>
  <c r="AF254" i="31" s="1"/>
  <c r="G180" i="41"/>
  <c r="Q202" i="41"/>
  <c r="Q92" i="41"/>
  <c r="L23" i="41"/>
  <c r="N306" i="41"/>
  <c r="G252" i="41"/>
  <c r="O223" i="41"/>
  <c r="J17" i="41"/>
  <c r="G321" i="41"/>
  <c r="H310" i="41"/>
  <c r="G312" i="41"/>
  <c r="N280" i="41"/>
  <c r="H20" i="41"/>
  <c r="Q308" i="41"/>
  <c r="N130" i="31"/>
  <c r="T130" i="31" s="1"/>
  <c r="Z130" i="31" s="1"/>
  <c r="AF130" i="31" s="1"/>
  <c r="L241" i="41"/>
  <c r="J14" i="41"/>
  <c r="I32" i="41"/>
  <c r="N242" i="41"/>
  <c r="L39" i="41"/>
  <c r="G289" i="41"/>
  <c r="O60" i="41"/>
  <c r="N15" i="41"/>
  <c r="J238" i="41"/>
  <c r="Q343" i="41"/>
  <c r="L101" i="41"/>
  <c r="O232" i="41"/>
  <c r="N342" i="31"/>
  <c r="T342" i="31" s="1"/>
  <c r="Z342" i="31" s="1"/>
  <c r="AF342" i="31" s="1"/>
  <c r="I174" i="41"/>
  <c r="H26" i="41"/>
  <c r="N45" i="41"/>
  <c r="Q139" i="41"/>
  <c r="G293" i="41"/>
  <c r="N199" i="41"/>
  <c r="J199" i="41"/>
  <c r="H75" i="41"/>
  <c r="Q250" i="41"/>
  <c r="O218" i="41"/>
  <c r="L158" i="41"/>
  <c r="Q147" i="41"/>
  <c r="O2" i="31"/>
  <c r="S3" i="29"/>
  <c r="O155" i="41"/>
  <c r="G178" i="41"/>
  <c r="N40" i="31"/>
  <c r="T40" i="31" s="1"/>
  <c r="Z40" i="31" s="1"/>
  <c r="AF40" i="31" s="1"/>
  <c r="O196" i="41"/>
  <c r="N21" i="31"/>
  <c r="T21" i="31" s="1"/>
  <c r="Z21" i="31" s="1"/>
  <c r="AF21" i="31" s="1"/>
  <c r="N146" i="31"/>
  <c r="T146" i="31" s="1"/>
  <c r="Z146" i="31" s="1"/>
  <c r="AF146" i="31" s="1"/>
  <c r="L66" i="41"/>
  <c r="J293" i="41"/>
  <c r="G319" i="41"/>
  <c r="G192" i="41"/>
  <c r="N300" i="41"/>
  <c r="H282" i="41"/>
  <c r="L128" i="41"/>
  <c r="I115" i="41"/>
  <c r="N99" i="41"/>
  <c r="J345" i="41"/>
  <c r="N44" i="31"/>
  <c r="T44" i="31" s="1"/>
  <c r="Z44" i="31" s="1"/>
  <c r="AF44" i="31" s="1"/>
  <c r="N297" i="41"/>
  <c r="Q146" i="41"/>
  <c r="H245" i="41"/>
  <c r="N183" i="41"/>
  <c r="H241" i="41"/>
  <c r="H167" i="41"/>
  <c r="H85" i="41"/>
  <c r="H110" i="41"/>
  <c r="J168" i="41"/>
  <c r="O254" i="41"/>
  <c r="I75" i="41"/>
  <c r="L287" i="41"/>
  <c r="N123" i="41"/>
  <c r="G12" i="41"/>
  <c r="I138" i="41"/>
  <c r="Q240" i="41"/>
  <c r="I109" i="41"/>
  <c r="N330" i="41"/>
  <c r="O132" i="41"/>
  <c r="Q230" i="41"/>
  <c r="N248" i="41"/>
  <c r="L105" i="41"/>
  <c r="N218" i="31"/>
  <c r="T218" i="31" s="1"/>
  <c r="Z218" i="31" s="1"/>
  <c r="AF218" i="31" s="1"/>
  <c r="H168" i="41"/>
  <c r="J33" i="41"/>
  <c r="I270" i="41"/>
  <c r="O146" i="41"/>
  <c r="J286" i="41"/>
  <c r="G20" i="41"/>
  <c r="Q245" i="41"/>
  <c r="G244" i="41"/>
  <c r="N111" i="31"/>
  <c r="T111" i="31" s="1"/>
  <c r="Z111" i="31" s="1"/>
  <c r="AF111" i="31" s="1"/>
  <c r="J105" i="41"/>
  <c r="G254" i="41"/>
  <c r="I230" i="41"/>
  <c r="N190" i="41"/>
  <c r="H200" i="41"/>
  <c r="N54" i="31"/>
  <c r="T54" i="31" s="1"/>
  <c r="Z54" i="31" s="1"/>
  <c r="AF54" i="31" s="1"/>
  <c r="G334" i="41"/>
  <c r="G152" i="41"/>
  <c r="J24" i="41"/>
  <c r="N231" i="31"/>
  <c r="T231" i="31" s="1"/>
  <c r="Z231" i="31" s="1"/>
  <c r="AF231" i="31" s="1"/>
  <c r="L65" i="41"/>
  <c r="Q289" i="41"/>
  <c r="J268" i="41"/>
  <c r="N176" i="41"/>
  <c r="BE2" i="31"/>
  <c r="S10" i="29"/>
  <c r="I248" i="41"/>
  <c r="Q165" i="41"/>
  <c r="J265" i="41"/>
  <c r="O326" i="41"/>
  <c r="I67" i="41"/>
  <c r="H206" i="41"/>
  <c r="I321" i="41"/>
  <c r="I312" i="41"/>
  <c r="I153" i="41"/>
  <c r="J128" i="41"/>
  <c r="I325" i="41"/>
  <c r="N311" i="31"/>
  <c r="T311" i="31" s="1"/>
  <c r="Z311" i="31" s="1"/>
  <c r="AF311" i="31" s="1"/>
  <c r="N110" i="31"/>
  <c r="T110" i="31" s="1"/>
  <c r="Z110" i="31" s="1"/>
  <c r="AF110" i="31" s="1"/>
  <c r="N185" i="31"/>
  <c r="T185" i="31" s="1"/>
  <c r="Z185" i="31" s="1"/>
  <c r="AF185" i="31" s="1"/>
  <c r="N64" i="31"/>
  <c r="T64" i="31" s="1"/>
  <c r="Z64" i="31" s="1"/>
  <c r="AF64" i="31" s="1"/>
  <c r="N257" i="31"/>
  <c r="T257" i="31" s="1"/>
  <c r="Z257" i="31" s="1"/>
  <c r="AF257" i="31" s="1"/>
  <c r="N326" i="31"/>
  <c r="T326" i="31" s="1"/>
  <c r="Z326" i="31" s="1"/>
  <c r="AF326" i="31" s="1"/>
  <c r="N317" i="31"/>
  <c r="T317" i="31" s="1"/>
  <c r="Z317" i="31" s="1"/>
  <c r="AF317" i="31" s="1"/>
  <c r="N294" i="31"/>
  <c r="T294" i="31" s="1"/>
  <c r="Z294" i="31" s="1"/>
  <c r="AF294" i="31" s="1"/>
  <c r="N298" i="31"/>
  <c r="T298" i="31" s="1"/>
  <c r="Z298" i="31" s="1"/>
  <c r="AF298" i="31" s="1"/>
  <c r="N183" i="31"/>
  <c r="T183" i="31" s="1"/>
  <c r="Z183" i="31" s="1"/>
  <c r="AF183" i="31" s="1"/>
  <c r="M146" i="31"/>
  <c r="CE146" i="31" s="1"/>
  <c r="N324" i="31"/>
  <c r="T324" i="31" s="1"/>
  <c r="Z324" i="31" s="1"/>
  <c r="AF324" i="31" s="1"/>
  <c r="N197" i="31"/>
  <c r="T197" i="31" s="1"/>
  <c r="Z197" i="31" s="1"/>
  <c r="AF197" i="31" s="1"/>
  <c r="K272" i="41"/>
  <c r="N17" i="31"/>
  <c r="T17" i="31" s="1"/>
  <c r="Z17" i="31" s="1"/>
  <c r="AF17" i="31" s="1"/>
  <c r="AN2" i="31"/>
  <c r="U7" i="29"/>
  <c r="V7" i="29" s="1"/>
  <c r="N25" i="31"/>
  <c r="T25" i="31" s="1"/>
  <c r="Z25" i="31" s="1"/>
  <c r="AF25" i="31" s="1"/>
  <c r="N249" i="31"/>
  <c r="T249" i="31" s="1"/>
  <c r="Z249" i="31" s="1"/>
  <c r="AF249" i="31" s="1"/>
  <c r="N259" i="31"/>
  <c r="T259" i="31" s="1"/>
  <c r="Z259" i="31" s="1"/>
  <c r="AF259" i="31" s="1"/>
  <c r="N339" i="31"/>
  <c r="T339" i="31" s="1"/>
  <c r="Z339" i="31" s="1"/>
  <c r="AF339" i="31" s="1"/>
  <c r="N157" i="31"/>
  <c r="T157" i="31" s="1"/>
  <c r="Z157" i="31" s="1"/>
  <c r="AF157" i="31" s="1"/>
  <c r="M231" i="31"/>
  <c r="CE231" i="31" s="1"/>
  <c r="G175" i="41"/>
  <c r="N204" i="31"/>
  <c r="T204" i="31" s="1"/>
  <c r="Z204" i="31" s="1"/>
  <c r="AF204" i="31" s="1"/>
  <c r="H170" i="41"/>
  <c r="Q8" i="41"/>
  <c r="L343" i="41"/>
  <c r="N163" i="41"/>
  <c r="L214" i="41"/>
  <c r="N332" i="31"/>
  <c r="T332" i="31" s="1"/>
  <c r="Z332" i="31" s="1"/>
  <c r="AF332" i="31" s="1"/>
  <c r="L90" i="41"/>
  <c r="G164" i="41"/>
  <c r="J108" i="41"/>
  <c r="N236" i="31"/>
  <c r="T236" i="31" s="1"/>
  <c r="Z236" i="31" s="1"/>
  <c r="AF236" i="31" s="1"/>
  <c r="G59" i="41"/>
  <c r="I238" i="41"/>
  <c r="L249" i="41"/>
  <c r="G185" i="41"/>
  <c r="Q205" i="41"/>
  <c r="N72" i="31"/>
  <c r="T72" i="31" s="1"/>
  <c r="Z72" i="31" s="1"/>
  <c r="AF72" i="31" s="1"/>
  <c r="L275" i="41"/>
  <c r="G126" i="41"/>
  <c r="G144" i="41"/>
  <c r="O101" i="41"/>
  <c r="L202" i="41"/>
  <c r="Q120" i="41"/>
  <c r="N147" i="41"/>
  <c r="N165" i="41"/>
  <c r="J151" i="41"/>
  <c r="G230" i="41"/>
  <c r="Q81" i="41"/>
  <c r="N314" i="41"/>
  <c r="H262" i="41"/>
  <c r="G151" i="41"/>
  <c r="I280" i="41"/>
  <c r="Q218" i="41"/>
  <c r="H112" i="41"/>
  <c r="N341" i="41"/>
  <c r="H285" i="41"/>
  <c r="H117" i="41"/>
  <c r="Q115" i="41"/>
  <c r="H300" i="41"/>
  <c r="H204" i="41"/>
  <c r="J241" i="41"/>
  <c r="N179" i="31"/>
  <c r="T179" i="31" s="1"/>
  <c r="Z179" i="31" s="1"/>
  <c r="AF179" i="31" s="1"/>
  <c r="I224" i="41"/>
  <c r="I199" i="41"/>
  <c r="H125" i="41"/>
  <c r="L12" i="41"/>
  <c r="H193" i="41"/>
  <c r="O10" i="41"/>
  <c r="J198" i="41"/>
  <c r="N243" i="41"/>
  <c r="L244" i="41"/>
  <c r="O180" i="41"/>
  <c r="N284" i="31"/>
  <c r="T284" i="31" s="1"/>
  <c r="Z284" i="31" s="1"/>
  <c r="AF284" i="31" s="1"/>
  <c r="N184" i="31"/>
  <c r="T184" i="31" s="1"/>
  <c r="Z184" i="31" s="1"/>
  <c r="AF184" i="31" s="1"/>
  <c r="H107" i="41"/>
  <c r="N305" i="41"/>
  <c r="J187" i="41"/>
  <c r="J219" i="41"/>
  <c r="I42" i="41"/>
  <c r="N194" i="31"/>
  <c r="T194" i="31" s="1"/>
  <c r="Z194" i="31" s="1"/>
  <c r="AF194" i="31" s="1"/>
  <c r="N142" i="31"/>
  <c r="T142" i="31" s="1"/>
  <c r="Z142" i="31" s="1"/>
  <c r="AF142" i="31" s="1"/>
  <c r="N170" i="31"/>
  <c r="T170" i="31" s="1"/>
  <c r="Z170" i="31" s="1"/>
  <c r="AF170" i="31" s="1"/>
  <c r="J158" i="41"/>
  <c r="J347" i="41"/>
  <c r="N228" i="31"/>
  <c r="T228" i="31" s="1"/>
  <c r="Z228" i="31" s="1"/>
  <c r="AF228" i="31" s="1"/>
  <c r="N69" i="31"/>
  <c r="T69" i="31" s="1"/>
  <c r="Z69" i="31" s="1"/>
  <c r="AF69" i="31" s="1"/>
  <c r="H182" i="41"/>
  <c r="I106" i="41"/>
  <c r="N79" i="31"/>
  <c r="T79" i="31" s="1"/>
  <c r="Z79" i="31" s="1"/>
  <c r="AF79" i="31" s="1"/>
  <c r="H189" i="41"/>
  <c r="O56" i="41"/>
  <c r="I203" i="41"/>
  <c r="Q134" i="41"/>
  <c r="Q219" i="41"/>
  <c r="Q313" i="41"/>
  <c r="L37" i="41"/>
  <c r="L246" i="41"/>
  <c r="N34" i="31"/>
  <c r="T34" i="31" s="1"/>
  <c r="Z34" i="31" s="1"/>
  <c r="AF34" i="31" s="1"/>
  <c r="N187" i="41"/>
  <c r="I53" i="41"/>
  <c r="Q224" i="41"/>
  <c r="O133" i="41"/>
  <c r="Q334" i="41"/>
  <c r="Q262" i="41"/>
  <c r="H252" i="41"/>
  <c r="O145" i="41"/>
  <c r="N210" i="41"/>
  <c r="N149" i="41"/>
  <c r="H224" i="41"/>
  <c r="L321" i="41"/>
  <c r="J119" i="41"/>
  <c r="H312" i="41"/>
  <c r="H104" i="41"/>
  <c r="O253" i="41"/>
  <c r="O69" i="41"/>
  <c r="L48" i="41"/>
  <c r="I52" i="41"/>
  <c r="I219" i="41"/>
  <c r="N292" i="41"/>
  <c r="I152" i="41"/>
  <c r="L22" i="41"/>
  <c r="G78" i="41"/>
  <c r="N9" i="31"/>
  <c r="T9" i="31" s="1"/>
  <c r="Z9" i="31" s="1"/>
  <c r="AF9" i="31" s="1"/>
  <c r="H144" i="41"/>
  <c r="G99" i="41"/>
  <c r="N60" i="31"/>
  <c r="T60" i="31" s="1"/>
  <c r="Z60" i="31" s="1"/>
  <c r="AF60" i="31" s="1"/>
  <c r="L72" i="41"/>
  <c r="L345" i="41"/>
  <c r="G276" i="41"/>
  <c r="N163" i="31"/>
  <c r="T163" i="31" s="1"/>
  <c r="Z163" i="31" s="1"/>
  <c r="AF163" i="31" s="1"/>
  <c r="N352" i="31"/>
  <c r="T352" i="31" s="1"/>
  <c r="Z352" i="31" s="1"/>
  <c r="AF352" i="31" s="1"/>
  <c r="G133" i="41"/>
  <c r="H325" i="41"/>
  <c r="Q168" i="41"/>
  <c r="O119" i="41"/>
  <c r="L312" i="41"/>
  <c r="H286" i="41"/>
  <c r="L189" i="41"/>
  <c r="Q265" i="41"/>
  <c r="N29" i="41"/>
  <c r="N229" i="41"/>
  <c r="Q242" i="41"/>
  <c r="N200" i="41"/>
  <c r="H131" i="41"/>
  <c r="H339" i="41"/>
  <c r="J230" i="41"/>
  <c r="J192" i="41"/>
  <c r="O94" i="41"/>
  <c r="L232" i="41"/>
  <c r="O173" i="41"/>
  <c r="N150" i="41"/>
  <c r="I98" i="41"/>
  <c r="H239" i="41"/>
  <c r="I126" i="41"/>
  <c r="H266" i="41"/>
  <c r="J179" i="41"/>
  <c r="Q319" i="41"/>
  <c r="J176" i="41"/>
  <c r="N102" i="31"/>
  <c r="T102" i="31" s="1"/>
  <c r="Z102" i="31" s="1"/>
  <c r="AF102" i="31" s="1"/>
  <c r="N229" i="31"/>
  <c r="T229" i="31" s="1"/>
  <c r="Z229" i="31" s="1"/>
  <c r="AF229" i="31" s="1"/>
  <c r="N180" i="31"/>
  <c r="T180" i="31" s="1"/>
  <c r="Z180" i="31" s="1"/>
  <c r="AF180" i="31" s="1"/>
  <c r="N169" i="31"/>
  <c r="T169" i="31" s="1"/>
  <c r="Z169" i="31" s="1"/>
  <c r="AF169" i="31" s="1"/>
  <c r="N190" i="31"/>
  <c r="T190" i="31" s="1"/>
  <c r="Z190" i="31" s="1"/>
  <c r="AF190" i="31" s="1"/>
  <c r="N131" i="31"/>
  <c r="T131" i="31" s="1"/>
  <c r="Z131" i="31" s="1"/>
  <c r="AF131" i="31" s="1"/>
  <c r="N149" i="31"/>
  <c r="T149" i="31" s="1"/>
  <c r="Z149" i="31" s="1"/>
  <c r="AF149" i="31" s="1"/>
  <c r="N235" i="31"/>
  <c r="T235" i="31" s="1"/>
  <c r="Z235" i="31" s="1"/>
  <c r="AF235" i="31" s="1"/>
  <c r="N156" i="31"/>
  <c r="T156" i="31" s="1"/>
  <c r="Z156" i="31" s="1"/>
  <c r="AF156" i="31" s="1"/>
  <c r="N164" i="31"/>
  <c r="T164" i="31" s="1"/>
  <c r="Z164" i="31" s="1"/>
  <c r="AF164" i="31" s="1"/>
  <c r="N83" i="31"/>
  <c r="T83" i="31" s="1"/>
  <c r="Z83" i="31" s="1"/>
  <c r="AF83" i="31" s="1"/>
  <c r="AC354" i="31"/>
  <c r="AE354" i="31" s="1"/>
  <c r="AC3" i="31"/>
  <c r="AC4" i="31"/>
  <c r="J5" i="29" s="1"/>
  <c r="O272" i="41"/>
  <c r="N104" i="31"/>
  <c r="T104" i="31" s="1"/>
  <c r="Z104" i="31" s="1"/>
  <c r="AF104" i="31" s="1"/>
  <c r="N281" i="31"/>
  <c r="T281" i="31" s="1"/>
  <c r="Z281" i="31" s="1"/>
  <c r="AF281" i="31" s="1"/>
  <c r="N138" i="31"/>
  <c r="T138" i="31" s="1"/>
  <c r="Z138" i="31" s="1"/>
  <c r="AF138" i="31" s="1"/>
  <c r="N129" i="31"/>
  <c r="T129" i="31" s="1"/>
  <c r="Z129" i="31" s="1"/>
  <c r="AF129" i="31" s="1"/>
  <c r="N73" i="31"/>
  <c r="T73" i="31" s="1"/>
  <c r="Z73" i="31" s="1"/>
  <c r="AF73" i="31" s="1"/>
  <c r="N36" i="31"/>
  <c r="T36" i="31" s="1"/>
  <c r="Z36" i="31" s="1"/>
  <c r="AF36" i="31" s="1"/>
  <c r="N136" i="31"/>
  <c r="T136" i="31" s="1"/>
  <c r="Z136" i="31" s="1"/>
  <c r="AF136" i="31" s="1"/>
  <c r="K354" i="31"/>
  <c r="N7" i="31"/>
  <c r="K3" i="31"/>
  <c r="K4" i="31"/>
  <c r="J2" i="29" s="1"/>
  <c r="N132" i="31"/>
  <c r="T132" i="31" s="1"/>
  <c r="Z132" i="31" s="1"/>
  <c r="AF132" i="31" s="1"/>
  <c r="N210" i="31"/>
  <c r="T210" i="31" s="1"/>
  <c r="Z210" i="31" s="1"/>
  <c r="AF210" i="31" s="1"/>
  <c r="N268" i="31"/>
  <c r="T268" i="31" s="1"/>
  <c r="Z268" i="31" s="1"/>
  <c r="AF268" i="31" s="1"/>
  <c r="N87" i="31"/>
  <c r="T87" i="31" s="1"/>
  <c r="Z87" i="31" s="1"/>
  <c r="AF87" i="31" s="1"/>
  <c r="N186" i="31"/>
  <c r="T186" i="31" s="1"/>
  <c r="Z186" i="31" s="1"/>
  <c r="AF186" i="31" s="1"/>
  <c r="N181" i="31"/>
  <c r="T181" i="31" s="1"/>
  <c r="Z181" i="31" s="1"/>
  <c r="AF181" i="31" s="1"/>
  <c r="N122" i="31"/>
  <c r="T122" i="31" s="1"/>
  <c r="Z122" i="31" s="1"/>
  <c r="AF122" i="31" s="1"/>
  <c r="N315" i="31"/>
  <c r="T315" i="31" s="1"/>
  <c r="Z315" i="31" s="1"/>
  <c r="AF315" i="31" s="1"/>
  <c r="N47" i="31"/>
  <c r="T47" i="31" s="1"/>
  <c r="Z47" i="31" s="1"/>
  <c r="AF47" i="31" s="1"/>
  <c r="Y4" i="31"/>
  <c r="Y3" i="31"/>
  <c r="CG7" i="31"/>
  <c r="I2" i="41" s="1"/>
  <c r="N265" i="31"/>
  <c r="T265" i="31" s="1"/>
  <c r="Z265" i="31" s="1"/>
  <c r="AF265" i="31" s="1"/>
  <c r="N319" i="31"/>
  <c r="T319" i="31" s="1"/>
  <c r="Z319" i="31" s="1"/>
  <c r="AF319" i="31" s="1"/>
  <c r="N41" i="31"/>
  <c r="T41" i="31" s="1"/>
  <c r="Z41" i="31" s="1"/>
  <c r="AF41" i="31" s="1"/>
  <c r="N31" i="31"/>
  <c r="T31" i="31" s="1"/>
  <c r="Z31" i="31" s="1"/>
  <c r="AF31" i="31" s="1"/>
  <c r="N139" i="31"/>
  <c r="T139" i="31" s="1"/>
  <c r="Z139" i="31" s="1"/>
  <c r="AF139" i="31" s="1"/>
  <c r="N108" i="31"/>
  <c r="T108" i="31" s="1"/>
  <c r="Z108" i="31" s="1"/>
  <c r="AF108" i="31" s="1"/>
  <c r="O120" i="41"/>
  <c r="I166" i="41"/>
  <c r="H242" i="41"/>
  <c r="L24" i="41"/>
  <c r="I76" i="41"/>
  <c r="N324" i="41"/>
  <c r="I87" i="41"/>
  <c r="Q157" i="41"/>
  <c r="G191" i="41"/>
  <c r="I345" i="41"/>
  <c r="N105" i="31"/>
  <c r="T105" i="31" s="1"/>
  <c r="Z105" i="31" s="1"/>
  <c r="AF105" i="31" s="1"/>
  <c r="N143" i="31"/>
  <c r="T143" i="31" s="1"/>
  <c r="Z143" i="31" s="1"/>
  <c r="AF143" i="31" s="1"/>
  <c r="N246" i="31"/>
  <c r="T246" i="31" s="1"/>
  <c r="Z246" i="31" s="1"/>
  <c r="AF246" i="31" s="1"/>
  <c r="Q21" i="41"/>
  <c r="N35" i="31"/>
  <c r="T35" i="31" s="1"/>
  <c r="Z35" i="31" s="1"/>
  <c r="AF35" i="31" s="1"/>
  <c r="N81" i="41"/>
  <c r="G154" i="41"/>
  <c r="G209" i="41"/>
  <c r="O229" i="41"/>
  <c r="N23" i="31"/>
  <c r="T23" i="31" s="1"/>
  <c r="Z23" i="31" s="1"/>
  <c r="AF23" i="31" s="1"/>
  <c r="H47" i="41"/>
  <c r="N70" i="41"/>
  <c r="N191" i="31"/>
  <c r="T191" i="31" s="1"/>
  <c r="Z191" i="31" s="1"/>
  <c r="AF191" i="31" s="1"/>
  <c r="I24" i="41"/>
  <c r="N81" i="31"/>
  <c r="T81" i="31" s="1"/>
  <c r="Z81" i="31" s="1"/>
  <c r="AF81" i="31" s="1"/>
  <c r="J342" i="41"/>
  <c r="N262" i="31"/>
  <c r="T262" i="31" s="1"/>
  <c r="Z262" i="31" s="1"/>
  <c r="AF262" i="31" s="1"/>
  <c r="O197" i="41"/>
  <c r="N227" i="31"/>
  <c r="T227" i="31" s="1"/>
  <c r="Z227" i="31" s="1"/>
  <c r="AF227" i="31" s="1"/>
  <c r="N291" i="31"/>
  <c r="T291" i="31" s="1"/>
  <c r="Z291" i="31" s="1"/>
  <c r="AF291" i="31" s="1"/>
  <c r="H293" i="41"/>
  <c r="H327" i="41"/>
  <c r="O268" i="41"/>
  <c r="Q47" i="41"/>
  <c r="H70" i="41"/>
  <c r="H8" i="41"/>
  <c r="L41" i="41"/>
  <c r="Q30" i="41"/>
  <c r="H21" i="41"/>
  <c r="H148" i="41"/>
  <c r="O131" i="41"/>
  <c r="Q305" i="41"/>
  <c r="N302" i="41"/>
  <c r="N292" i="31"/>
  <c r="T292" i="31" s="1"/>
  <c r="Z292" i="31" s="1"/>
  <c r="AF292" i="31" s="1"/>
  <c r="J12" i="41"/>
  <c r="G271" i="41"/>
  <c r="L198" i="41"/>
  <c r="J281" i="41"/>
  <c r="I124" i="41"/>
  <c r="L260" i="41"/>
  <c r="I311" i="41"/>
  <c r="N78" i="41"/>
  <c r="M259" i="41"/>
  <c r="I11" i="41"/>
  <c r="Q288" i="41"/>
  <c r="I2" i="31"/>
  <c r="S2" i="29"/>
  <c r="J100" i="41"/>
  <c r="N32" i="31"/>
  <c r="T32" i="31" s="1"/>
  <c r="Z32" i="31" s="1"/>
  <c r="AF32" i="31" s="1"/>
  <c r="L63" i="41"/>
  <c r="J194" i="41"/>
  <c r="J201" i="41"/>
  <c r="H157" i="41"/>
  <c r="H268" i="41"/>
  <c r="H140" i="41"/>
  <c r="N318" i="41"/>
  <c r="N345" i="31"/>
  <c r="T345" i="31" s="1"/>
  <c r="Z345" i="31" s="1"/>
  <c r="AF345" i="31" s="1"/>
  <c r="L70" i="41"/>
  <c r="N145" i="31"/>
  <c r="T145" i="31" s="1"/>
  <c r="Z145" i="31" s="1"/>
  <c r="AF145" i="31" s="1"/>
  <c r="H133" i="41"/>
  <c r="M290" i="41"/>
  <c r="G92" i="41"/>
  <c r="N193" i="41"/>
  <c r="G128" i="41"/>
  <c r="G229" i="41"/>
  <c r="L256" i="41"/>
  <c r="G242" i="41"/>
  <c r="J233" i="41"/>
  <c r="G227" i="41"/>
  <c r="H28" i="41"/>
  <c r="L226" i="41"/>
  <c r="N103" i="41"/>
  <c r="I28" i="41"/>
  <c r="L255" i="41"/>
  <c r="N121" i="31"/>
  <c r="T121" i="31" s="1"/>
  <c r="Z121" i="31" s="1"/>
  <c r="AF121" i="31" s="1"/>
  <c r="L280" i="41"/>
  <c r="Q312" i="41"/>
  <c r="N62" i="31"/>
  <c r="T62" i="31" s="1"/>
  <c r="Z62" i="31" s="1"/>
  <c r="AF62" i="31" s="1"/>
  <c r="O117" i="41"/>
  <c r="L115" i="41"/>
  <c r="J99" i="41"/>
  <c r="Q34" i="41"/>
  <c r="H304" i="41"/>
  <c r="L143" i="41"/>
  <c r="J102" i="41"/>
  <c r="L233" i="41"/>
  <c r="N308" i="41"/>
  <c r="N304" i="31"/>
  <c r="T304" i="31" s="1"/>
  <c r="Z304" i="31" s="1"/>
  <c r="AF304" i="31" s="1"/>
  <c r="N166" i="31"/>
  <c r="T166" i="31" s="1"/>
  <c r="Z166" i="31" s="1"/>
  <c r="AF166" i="31" s="1"/>
  <c r="O12" i="41"/>
  <c r="G170" i="41"/>
  <c r="I215" i="41"/>
  <c r="L194" i="41"/>
  <c r="O343" i="41"/>
  <c r="J308" i="41"/>
  <c r="O234" i="41"/>
  <c r="Q51" i="41"/>
  <c r="N161" i="41"/>
  <c r="Q173" i="41"/>
  <c r="O284" i="41"/>
  <c r="U2" i="31"/>
  <c r="S4" i="29"/>
  <c r="L272" i="41"/>
  <c r="H291" i="41"/>
  <c r="J18" i="41"/>
  <c r="J67" i="41"/>
  <c r="L126" i="41"/>
  <c r="N40" i="41"/>
  <c r="N51" i="41"/>
  <c r="G95" i="41"/>
  <c r="J228" i="41"/>
  <c r="O267" i="41"/>
  <c r="H13" i="41"/>
  <c r="I171" i="41"/>
  <c r="Q231" i="41"/>
  <c r="G70" i="41"/>
  <c r="L98" i="41"/>
  <c r="N50" i="31"/>
  <c r="T50" i="31" s="1"/>
  <c r="Z50" i="31" s="1"/>
  <c r="AF50" i="31" s="1"/>
  <c r="G300" i="41"/>
  <c r="Q40" i="41"/>
  <c r="H165" i="41"/>
  <c r="O144" i="41"/>
  <c r="AM2" i="31"/>
  <c r="S7" i="29"/>
  <c r="O314" i="41"/>
  <c r="H162" i="41"/>
  <c r="O63" i="41"/>
  <c r="L185" i="41"/>
  <c r="H235" i="41"/>
  <c r="O102" i="41"/>
  <c r="H181" i="41"/>
  <c r="Q68" i="41"/>
  <c r="H227" i="41"/>
  <c r="Q324" i="41"/>
  <c r="O121" i="41"/>
  <c r="H93" i="41"/>
  <c r="L104" i="41"/>
  <c r="N80" i="41"/>
  <c r="G193" i="41"/>
  <c r="I231" i="41"/>
  <c r="J159" i="41"/>
  <c r="Q236" i="41"/>
  <c r="N196" i="31"/>
  <c r="T196" i="31" s="1"/>
  <c r="Z196" i="31" s="1"/>
  <c r="AF196" i="31" s="1"/>
  <c r="J195" i="41"/>
  <c r="Q128" i="41"/>
  <c r="O184" i="41"/>
  <c r="G102" i="41"/>
  <c r="J19" i="41"/>
  <c r="Q57" i="41"/>
  <c r="I165" i="41"/>
  <c r="N205" i="41"/>
  <c r="Q269" i="41"/>
  <c r="I64" i="41"/>
  <c r="I179" i="41"/>
  <c r="N49" i="41"/>
  <c r="G296" i="41"/>
  <c r="Q155" i="41"/>
  <c r="L311" i="41"/>
  <c r="N345" i="41"/>
  <c r="G259" i="41"/>
  <c r="O295" i="41"/>
  <c r="G336" i="41"/>
  <c r="L177" i="41"/>
  <c r="I14" i="41"/>
  <c r="O321" i="41"/>
  <c r="U5" i="29"/>
  <c r="V5" i="29" s="1"/>
  <c r="AB2" i="31"/>
  <c r="N159" i="31"/>
  <c r="T159" i="31" s="1"/>
  <c r="Z159" i="31" s="1"/>
  <c r="AF159" i="31" s="1"/>
  <c r="N214" i="31"/>
  <c r="T214" i="31" s="1"/>
  <c r="Z214" i="31" s="1"/>
  <c r="AF214" i="31" s="1"/>
  <c r="O236" i="41"/>
  <c r="J8" i="41"/>
  <c r="O93" i="41"/>
  <c r="Q237" i="41"/>
  <c r="L124" i="41"/>
  <c r="H43" i="41"/>
  <c r="J39" i="41"/>
  <c r="N253" i="41"/>
  <c r="N276" i="31"/>
  <c r="T276" i="31" s="1"/>
  <c r="Z276" i="31" s="1"/>
  <c r="AF276" i="31" s="1"/>
  <c r="Q91" i="41"/>
  <c r="I86" i="41"/>
  <c r="H27" i="41"/>
  <c r="L213" i="41"/>
  <c r="I310" i="41"/>
  <c r="O27" i="41"/>
  <c r="N17" i="41"/>
  <c r="J111" i="41"/>
  <c r="N97" i="31"/>
  <c r="T97" i="31" s="1"/>
  <c r="Z97" i="31" s="1"/>
  <c r="AF97" i="31" s="1"/>
  <c r="G341" i="41"/>
  <c r="Q199" i="41"/>
  <c r="L264" i="41"/>
  <c r="I12" i="41"/>
  <c r="J91" i="41"/>
  <c r="N133" i="31"/>
  <c r="T133" i="31" s="1"/>
  <c r="Z133" i="31" s="1"/>
  <c r="AF133" i="31" s="1"/>
  <c r="N234" i="31"/>
  <c r="T234" i="31" s="1"/>
  <c r="Z234" i="31" s="1"/>
  <c r="AF234" i="31" s="1"/>
  <c r="N247" i="31"/>
  <c r="T247" i="31" s="1"/>
  <c r="Z247" i="31" s="1"/>
  <c r="AF247" i="31" s="1"/>
  <c r="G236" i="41"/>
  <c r="G339" i="41"/>
  <c r="N232" i="31"/>
  <c r="T232" i="31" s="1"/>
  <c r="Z232" i="31" s="1"/>
  <c r="AF232" i="31" s="1"/>
  <c r="L28" i="41"/>
  <c r="G315" i="41"/>
  <c r="J283" i="41"/>
  <c r="L142" i="41"/>
  <c r="H284" i="41"/>
  <c r="G238" i="41"/>
  <c r="G25" i="41"/>
  <c r="I278" i="41"/>
  <c r="L69" i="41"/>
  <c r="N175" i="31"/>
  <c r="T175" i="31" s="1"/>
  <c r="Z175" i="31" s="1"/>
  <c r="AF175" i="31" s="1"/>
  <c r="I198" i="41"/>
  <c r="Q103" i="41"/>
  <c r="I61" i="41"/>
  <c r="I211" i="41"/>
  <c r="J36" i="41"/>
  <c r="H166" i="41"/>
  <c r="L217" i="41"/>
  <c r="N194" i="41"/>
  <c r="N186" i="41"/>
  <c r="N316" i="41"/>
  <c r="J68" i="41"/>
  <c r="H308" i="41"/>
  <c r="Q76" i="41"/>
  <c r="O313" i="41"/>
  <c r="L147" i="41"/>
  <c r="N87" i="41"/>
  <c r="O111" i="41"/>
  <c r="O246" i="41"/>
  <c r="W4" i="31"/>
  <c r="J4" i="29" s="1"/>
  <c r="W354" i="31"/>
  <c r="Y354" i="31" s="1"/>
  <c r="W3" i="31"/>
  <c r="L121" i="41"/>
  <c r="I304" i="41"/>
  <c r="Q248" i="41"/>
  <c r="I262" i="41"/>
  <c r="J252" i="41"/>
  <c r="I210" i="41"/>
  <c r="O278" i="41"/>
  <c r="I25" i="41"/>
  <c r="Q59" i="41"/>
  <c r="J277" i="41"/>
  <c r="J274" i="41"/>
  <c r="N100" i="31"/>
  <c r="T100" i="31" s="1"/>
  <c r="Z100" i="31" s="1"/>
  <c r="AF100" i="31" s="1"/>
  <c r="L192" i="41"/>
  <c r="G255" i="41"/>
  <c r="N289" i="41"/>
  <c r="Q132" i="41"/>
  <c r="G215" i="41"/>
  <c r="Q184" i="41"/>
  <c r="N75" i="31"/>
  <c r="T75" i="31" s="1"/>
  <c r="Z75" i="31" s="1"/>
  <c r="AF75" i="31" s="1"/>
  <c r="N11" i="31"/>
  <c r="T11" i="31" s="1"/>
  <c r="Z11" i="31" s="1"/>
  <c r="AF11" i="31" s="1"/>
  <c r="G233" i="41"/>
  <c r="O302" i="41"/>
  <c r="N305" i="31"/>
  <c r="T305" i="31" s="1"/>
  <c r="Z305" i="31" s="1"/>
  <c r="AF305" i="31" s="1"/>
  <c r="Q277" i="41"/>
  <c r="L87" i="41"/>
  <c r="H332" i="41"/>
  <c r="Q178" i="41"/>
  <c r="O231" i="41"/>
  <c r="G143" i="41"/>
  <c r="G38" i="41"/>
  <c r="H279" i="41"/>
  <c r="J222" i="41"/>
  <c r="G142" i="41"/>
  <c r="J190" i="41"/>
  <c r="H309" i="41"/>
  <c r="N198" i="31"/>
  <c r="T198" i="31" s="1"/>
  <c r="Z198" i="31" s="1"/>
  <c r="AF198" i="31" s="1"/>
  <c r="N107" i="31"/>
  <c r="T107" i="31" s="1"/>
  <c r="Z107" i="31" s="1"/>
  <c r="AF107" i="31" s="1"/>
  <c r="N285" i="41"/>
  <c r="N301" i="31"/>
  <c r="T301" i="31" s="1"/>
  <c r="Z301" i="31" s="1"/>
  <c r="AF301" i="31" s="1"/>
  <c r="BF2" i="31"/>
  <c r="U10" i="29"/>
  <c r="V10" i="29" s="1"/>
  <c r="CC264" i="31"/>
  <c r="N341" i="31"/>
  <c r="T341" i="31" s="1"/>
  <c r="Z341" i="31" s="1"/>
  <c r="AF341" i="31" s="1"/>
  <c r="N245" i="31"/>
  <c r="T245" i="31" s="1"/>
  <c r="Z245" i="31" s="1"/>
  <c r="AF245" i="31" s="1"/>
  <c r="N8" i="31"/>
  <c r="T8" i="31" s="1"/>
  <c r="Z8" i="31" s="1"/>
  <c r="AF8" i="31" s="1"/>
  <c r="N221" i="31"/>
  <c r="T221" i="31" s="1"/>
  <c r="Z221" i="31" s="1"/>
  <c r="AF221" i="31" s="1"/>
  <c r="N135" i="31"/>
  <c r="T135" i="31" s="1"/>
  <c r="Z135" i="31" s="1"/>
  <c r="AF135" i="31" s="1"/>
  <c r="N346" i="31"/>
  <c r="T346" i="31" s="1"/>
  <c r="Z346" i="31" s="1"/>
  <c r="AF346" i="31" s="1"/>
  <c r="N241" i="31"/>
  <c r="T241" i="31" s="1"/>
  <c r="Z241" i="31" s="1"/>
  <c r="AF241" i="31" s="1"/>
  <c r="N344" i="31"/>
  <c r="T344" i="31" s="1"/>
  <c r="Z344" i="31" s="1"/>
  <c r="AF344" i="31" s="1"/>
  <c r="N320" i="31"/>
  <c r="T320" i="31" s="1"/>
  <c r="Z320" i="31" s="1"/>
  <c r="AF320" i="31" s="1"/>
  <c r="N243" i="31"/>
  <c r="T243" i="31" s="1"/>
  <c r="Z243" i="31" s="1"/>
  <c r="AF243" i="31" s="1"/>
  <c r="N30" i="31"/>
  <c r="T30" i="31" s="1"/>
  <c r="Z30" i="31" s="1"/>
  <c r="AF30" i="31" s="1"/>
  <c r="N260" i="31"/>
  <c r="T260" i="31" s="1"/>
  <c r="Z260" i="31" s="1"/>
  <c r="AF260" i="31" s="1"/>
  <c r="N220" i="31"/>
  <c r="T220" i="31" s="1"/>
  <c r="Z220" i="31" s="1"/>
  <c r="AF220" i="31" s="1"/>
  <c r="N238" i="31"/>
  <c r="T238" i="31" s="1"/>
  <c r="Z238" i="31" s="1"/>
  <c r="AF238" i="31" s="1"/>
  <c r="N148" i="31"/>
  <c r="T148" i="31" s="1"/>
  <c r="Z148" i="31" s="1"/>
  <c r="AF148" i="31" s="1"/>
  <c r="N43" i="31"/>
  <c r="T43" i="31" s="1"/>
  <c r="Z43" i="31" s="1"/>
  <c r="AF43" i="31" s="1"/>
  <c r="N147" i="31"/>
  <c r="T147" i="31" s="1"/>
  <c r="Z147" i="31" s="1"/>
  <c r="AF147" i="31" s="1"/>
  <c r="N68" i="31"/>
  <c r="T68" i="31" s="1"/>
  <c r="Z68" i="31" s="1"/>
  <c r="AF68" i="31" s="1"/>
  <c r="N189" i="41"/>
  <c r="L8" i="41"/>
  <c r="N206" i="41"/>
  <c r="O185" i="41"/>
  <c r="J316" i="41"/>
  <c r="O270" i="41"/>
  <c r="I159" i="41"/>
  <c r="N124" i="41"/>
  <c r="L205" i="41"/>
  <c r="O239" i="41"/>
  <c r="Q58" i="41"/>
  <c r="N172" i="41"/>
  <c r="J84" i="41"/>
  <c r="O115" i="41"/>
  <c r="J55" i="41"/>
  <c r="J302" i="41"/>
  <c r="Q71" i="41"/>
  <c r="O345" i="41"/>
  <c r="H175" i="41"/>
  <c r="G297" i="41"/>
  <c r="G146" i="41"/>
  <c r="L281" i="41"/>
  <c r="Q124" i="41"/>
  <c r="N297" i="31"/>
  <c r="T297" i="31" s="1"/>
  <c r="Z297" i="31" s="1"/>
  <c r="AF297" i="31" s="1"/>
  <c r="N335" i="31"/>
  <c r="T335" i="31" s="1"/>
  <c r="Z335" i="31" s="1"/>
  <c r="AF335" i="31" s="1"/>
  <c r="H23" i="41"/>
  <c r="G22" i="41"/>
  <c r="N234" i="41"/>
  <c r="G267" i="41"/>
  <c r="N20" i="31"/>
  <c r="T20" i="31" s="1"/>
  <c r="Z20" i="31" s="1"/>
  <c r="AF20" i="31" s="1"/>
  <c r="J204" i="41"/>
  <c r="G40" i="41"/>
  <c r="O34" i="41"/>
  <c r="O300" i="41"/>
  <c r="I90" i="41"/>
  <c r="L10" i="41"/>
  <c r="O247" i="41"/>
  <c r="L108" i="41"/>
  <c r="J285" i="41"/>
  <c r="L303" i="41"/>
  <c r="J118" i="41"/>
  <c r="Q215" i="41"/>
  <c r="CC295" i="31"/>
  <c r="Q99" i="41"/>
  <c r="G72" i="41"/>
  <c r="H113" i="41"/>
  <c r="J9" i="41"/>
  <c r="O192" i="41"/>
  <c r="N140" i="31"/>
  <c r="T140" i="31" s="1"/>
  <c r="Z140" i="31" s="1"/>
  <c r="AF140" i="31" s="1"/>
  <c r="J329" i="41"/>
  <c r="I196" i="41"/>
  <c r="H106" i="41"/>
  <c r="Q133" i="41"/>
  <c r="L254" i="41"/>
  <c r="O179" i="41"/>
  <c r="H326" i="41"/>
  <c r="N316" i="31"/>
  <c r="T316" i="31" s="1"/>
  <c r="Z316" i="31" s="1"/>
  <c r="AF316" i="31" s="1"/>
  <c r="O269" i="41"/>
  <c r="N56" i="41"/>
  <c r="H246" i="41"/>
  <c r="AG2" i="31"/>
  <c r="S6" i="29"/>
  <c r="N50" i="41"/>
  <c r="L20" i="41"/>
  <c r="H34" i="41"/>
  <c r="J256" i="41"/>
  <c r="H260" i="41"/>
  <c r="N306" i="31"/>
  <c r="T306" i="31" s="1"/>
  <c r="Z306" i="31" s="1"/>
  <c r="AF306" i="31" s="1"/>
  <c r="Q106" i="41"/>
  <c r="L139" i="41"/>
  <c r="L32" i="41"/>
  <c r="L52" i="41"/>
  <c r="N262" i="41"/>
  <c r="Q278" i="41"/>
  <c r="J69" i="41"/>
  <c r="G274" i="41"/>
  <c r="N273" i="31"/>
  <c r="T273" i="31" s="1"/>
  <c r="Z273" i="31" s="1"/>
  <c r="AF273" i="31" s="1"/>
  <c r="O47" i="41"/>
  <c r="N29" i="31"/>
  <c r="T29" i="31" s="1"/>
  <c r="Z29" i="31" s="1"/>
  <c r="AF29" i="31" s="1"/>
  <c r="G324" i="41"/>
  <c r="H139" i="41"/>
  <c r="N347" i="31"/>
  <c r="T347" i="31" s="1"/>
  <c r="Z347" i="31" s="1"/>
  <c r="AF347" i="31" s="1"/>
  <c r="N91" i="31"/>
  <c r="T91" i="31" s="1"/>
  <c r="Z91" i="31" s="1"/>
  <c r="AF91" i="31" s="1"/>
  <c r="L27" i="41"/>
  <c r="L278" i="41"/>
  <c r="L25" i="41"/>
  <c r="N304" i="41"/>
  <c r="N192" i="41"/>
  <c r="H287" i="41"/>
  <c r="H253" i="41"/>
  <c r="G208" i="41"/>
  <c r="O317" i="41"/>
  <c r="I329" i="41"/>
  <c r="N52" i="41"/>
  <c r="N219" i="41"/>
  <c r="J109" i="41"/>
  <c r="L152" i="41"/>
  <c r="L284" i="41"/>
  <c r="N290" i="31"/>
  <c r="T290" i="31" s="1"/>
  <c r="Z290" i="31" s="1"/>
  <c r="AF290" i="31" s="1"/>
  <c r="I295" i="41"/>
  <c r="H138" i="41"/>
  <c r="H264" i="41"/>
  <c r="L109" i="41"/>
  <c r="H330" i="41"/>
  <c r="O211" i="41"/>
  <c r="N36" i="41"/>
  <c r="H226" i="41"/>
  <c r="L15" i="41"/>
  <c r="N32" i="41"/>
  <c r="J161" i="41"/>
  <c r="L173" i="41"/>
  <c r="I63" i="41"/>
  <c r="Q185" i="41"/>
  <c r="I143" i="41"/>
  <c r="N235" i="41"/>
  <c r="O26" i="41"/>
  <c r="I326" i="41"/>
  <c r="L67" i="41"/>
  <c r="AH2" i="31"/>
  <c r="U6" i="29"/>
  <c r="V6" i="29" s="1"/>
  <c r="I287" i="41"/>
  <c r="Q123" i="41"/>
  <c r="G250" i="41"/>
  <c r="J132" i="41"/>
  <c r="N66" i="31"/>
  <c r="T66" i="31" s="1"/>
  <c r="Z66" i="31" s="1"/>
  <c r="AF66" i="31" s="1"/>
  <c r="J37" i="41"/>
  <c r="U11" i="29"/>
  <c r="V11" i="29" s="1"/>
  <c r="BL2" i="31"/>
  <c r="N130" i="41"/>
  <c r="G294" i="41"/>
  <c r="AT2" i="31"/>
  <c r="U8" i="29"/>
  <c r="V8" i="29" s="1"/>
  <c r="N96" i="31"/>
  <c r="T96" i="31" s="1"/>
  <c r="Z96" i="31" s="1"/>
  <c r="AF96" i="31" s="1"/>
  <c r="Q48" i="41"/>
  <c r="G198" i="41"/>
  <c r="N46" i="31"/>
  <c r="T46" i="31" s="1"/>
  <c r="Z46" i="31" s="1"/>
  <c r="AF46" i="31" s="1"/>
  <c r="Q291" i="41"/>
  <c r="O202" i="41"/>
  <c r="G313" i="41"/>
  <c r="G88" i="41"/>
  <c r="O32" i="41"/>
  <c r="U9" i="29"/>
  <c r="V9" i="29" s="1"/>
  <c r="AZ2" i="31"/>
  <c r="H72" i="41"/>
  <c r="N37" i="31"/>
  <c r="T37" i="31" s="1"/>
  <c r="Z37" i="31" s="1"/>
  <c r="AF37" i="31" s="1"/>
  <c r="Q279" i="41"/>
  <c r="G90" i="41"/>
  <c r="I267" i="41"/>
  <c r="Q83" i="41"/>
  <c r="I40" i="41"/>
  <c r="J337" i="41"/>
  <c r="Q283" i="41"/>
  <c r="I105" i="41"/>
  <c r="I178" i="41"/>
  <c r="I150" i="41"/>
  <c r="J296" i="41"/>
  <c r="H51" i="41"/>
  <c r="I232" i="41"/>
  <c r="N302" i="31"/>
  <c r="T302" i="31" s="1"/>
  <c r="Z302" i="31" s="1"/>
  <c r="AF302" i="31" s="1"/>
  <c r="N151" i="31"/>
  <c r="T151" i="31" s="1"/>
  <c r="Z151" i="31" s="1"/>
  <c r="AF151" i="31" s="1"/>
  <c r="N27" i="31"/>
  <c r="T27" i="31" s="1"/>
  <c r="Z27" i="31" s="1"/>
  <c r="AF27" i="31" s="1"/>
  <c r="N272" i="31"/>
  <c r="T272" i="31" s="1"/>
  <c r="Z272" i="31" s="1"/>
  <c r="AF272" i="31" s="1"/>
  <c r="N45" i="31"/>
  <c r="T45" i="31" s="1"/>
  <c r="Z45" i="31" s="1"/>
  <c r="AF45" i="31" s="1"/>
  <c r="P259" i="41"/>
  <c r="Q43" i="41"/>
  <c r="L182" i="41"/>
  <c r="J310" i="41"/>
  <c r="L304" i="41"/>
  <c r="N77" i="31"/>
  <c r="T77" i="31" s="1"/>
  <c r="Z77" i="31" s="1"/>
  <c r="AF77" i="31" s="1"/>
  <c r="Q317" i="41"/>
  <c r="I333" i="41"/>
  <c r="J243" i="41"/>
  <c r="I79" i="41"/>
  <c r="Q290" i="41"/>
  <c r="I101" i="41"/>
  <c r="H147" i="41"/>
  <c r="O42" i="41"/>
  <c r="Q194" i="41"/>
  <c r="I134" i="41"/>
  <c r="Q97" i="41"/>
  <c r="L94" i="41"/>
  <c r="J160" i="41"/>
  <c r="L195" i="41"/>
  <c r="N96" i="41"/>
  <c r="H176" i="41"/>
  <c r="N157" i="41"/>
  <c r="N279" i="31"/>
  <c r="T279" i="31" s="1"/>
  <c r="Z279" i="31" s="1"/>
  <c r="AF279" i="31" s="1"/>
  <c r="H329" i="41"/>
  <c r="N329" i="31"/>
  <c r="T329" i="31" s="1"/>
  <c r="Z329" i="31" s="1"/>
  <c r="AF329" i="31" s="1"/>
  <c r="N348" i="31"/>
  <c r="T348" i="31" s="1"/>
  <c r="Z348" i="31" s="1"/>
  <c r="AF348" i="31" s="1"/>
  <c r="N213" i="41"/>
  <c r="N213" i="31"/>
  <c r="T213" i="31" s="1"/>
  <c r="Z213" i="31" s="1"/>
  <c r="AF213" i="31" s="1"/>
  <c r="H188" i="41"/>
  <c r="J162" i="41"/>
  <c r="I308" i="41"/>
  <c r="N255" i="31"/>
  <c r="T255" i="31" s="1"/>
  <c r="Z255" i="31" s="1"/>
  <c r="AF255" i="31" s="1"/>
  <c r="H240" i="41"/>
  <c r="J98" i="41"/>
  <c r="G21" i="41"/>
  <c r="G305" i="41"/>
  <c r="O199" i="41"/>
  <c r="H37" i="41"/>
  <c r="J51" i="41"/>
  <c r="N299" i="31"/>
  <c r="T299" i="31" s="1"/>
  <c r="Z299" i="31" s="1"/>
  <c r="AF299" i="31" s="1"/>
  <c r="Q315" i="41"/>
  <c r="O292" i="41"/>
  <c r="N203" i="31"/>
  <c r="T203" i="31" s="1"/>
  <c r="Z203" i="31" s="1"/>
  <c r="AF203" i="31" s="1"/>
  <c r="N318" i="31"/>
  <c r="T318" i="31" s="1"/>
  <c r="Z318" i="31" s="1"/>
  <c r="AF318" i="31" s="1"/>
  <c r="N93" i="31"/>
  <c r="T93" i="31" s="1"/>
  <c r="Z93" i="31" s="1"/>
  <c r="AF93" i="31" s="1"/>
  <c r="N71" i="31"/>
  <c r="T71" i="31" s="1"/>
  <c r="Z71" i="31" s="1"/>
  <c r="AF71" i="31" s="1"/>
  <c r="M37" i="31"/>
  <c r="CE37" i="31" s="1"/>
  <c r="N283" i="31"/>
  <c r="T283" i="31" s="1"/>
  <c r="Z283" i="31" s="1"/>
  <c r="AF283" i="31" s="1"/>
  <c r="J184" i="41"/>
  <c r="N114" i="31"/>
  <c r="T114" i="31" s="1"/>
  <c r="Z114" i="31" s="1"/>
  <c r="AF114" i="31" s="1"/>
  <c r="N74" i="31"/>
  <c r="T74" i="31" s="1"/>
  <c r="Z74" i="31" s="1"/>
  <c r="AF74" i="31" s="1"/>
  <c r="N95" i="31"/>
  <c r="T95" i="31" s="1"/>
  <c r="Z95" i="31" s="1"/>
  <c r="AF95" i="31" s="1"/>
  <c r="H83" i="41"/>
  <c r="H153" i="41"/>
  <c r="J165" i="41"/>
  <c r="L140" i="41"/>
  <c r="I189" i="41"/>
  <c r="J275" i="41"/>
  <c r="L95" i="41"/>
  <c r="L29" i="41"/>
  <c r="L117" i="41"/>
  <c r="L293" i="41"/>
  <c r="K281" i="41"/>
  <c r="Q79" i="41"/>
  <c r="Q220" i="41"/>
  <c r="J234" i="41"/>
  <c r="Q11" i="41"/>
  <c r="G56" i="41"/>
  <c r="Q217" i="41"/>
  <c r="L49" i="41"/>
  <c r="L308" i="41"/>
  <c r="L310" i="41"/>
  <c r="O33" i="41"/>
  <c r="J346" i="41"/>
  <c r="G44" i="41"/>
  <c r="G197" i="41"/>
  <c r="N343" i="41"/>
  <c r="O19" i="41"/>
  <c r="G325" i="41"/>
  <c r="G270" i="41"/>
  <c r="I131" i="41"/>
  <c r="G37" i="41"/>
  <c r="O61" i="41"/>
  <c r="G234" i="41"/>
  <c r="H321" i="41"/>
  <c r="H33" i="41"/>
  <c r="O68" i="41"/>
  <c r="J278" i="41"/>
  <c r="G123" i="41"/>
  <c r="H213" i="41"/>
  <c r="O243" i="41"/>
  <c r="I110" i="41"/>
  <c r="N79" i="41"/>
  <c r="O319" i="41"/>
  <c r="I225" i="41"/>
  <c r="N347" i="41"/>
  <c r="L316" i="41"/>
  <c r="H119" i="41"/>
  <c r="Q144" i="41"/>
  <c r="O29" i="41"/>
  <c r="J42" i="41"/>
  <c r="J115" i="41"/>
  <c r="Q45" i="41"/>
  <c r="O77" i="41"/>
  <c r="G83" i="41"/>
  <c r="N323" i="31"/>
  <c r="T323" i="31" s="1"/>
  <c r="Z323" i="31" s="1"/>
  <c r="AF323" i="31" s="1"/>
  <c r="G320" i="41"/>
  <c r="CC286" i="31"/>
  <c r="J211" i="41"/>
  <c r="J323" i="41"/>
  <c r="N233" i="31"/>
  <c r="T233" i="31" s="1"/>
  <c r="Z233" i="31" s="1"/>
  <c r="AF233" i="31" s="1"/>
  <c r="I260" i="41"/>
  <c r="M348" i="31"/>
  <c r="CE348" i="31" s="1"/>
  <c r="L181" i="41"/>
  <c r="G80" i="41"/>
  <c r="N200" i="31"/>
  <c r="T200" i="31" s="1"/>
  <c r="Z200" i="31" s="1"/>
  <c r="AF200" i="31" s="1"/>
  <c r="L118" i="41"/>
  <c r="J295" i="41"/>
  <c r="H36" i="41"/>
  <c r="I39" i="41"/>
  <c r="H191" i="41"/>
  <c r="J49" i="41"/>
  <c r="I243" i="41"/>
  <c r="N266" i="31"/>
  <c r="T266" i="31" s="1"/>
  <c r="Z266" i="31" s="1"/>
  <c r="AF266" i="31" s="1"/>
  <c r="N113" i="31"/>
  <c r="T113" i="31" s="1"/>
  <c r="Z113" i="31" s="1"/>
  <c r="AF113" i="31" s="1"/>
  <c r="J120" i="41"/>
  <c r="N48" i="41"/>
  <c r="N132" i="41"/>
  <c r="L103" i="41"/>
  <c r="J292" i="41"/>
  <c r="H60" i="41"/>
  <c r="J152" i="41"/>
  <c r="J22" i="41"/>
  <c r="I177" i="41"/>
  <c r="O213" i="41"/>
  <c r="H90" i="41"/>
  <c r="H267" i="41"/>
  <c r="O305" i="41"/>
  <c r="N164" i="41"/>
  <c r="L40" i="41"/>
  <c r="N286" i="41"/>
  <c r="G303" i="41"/>
  <c r="L166" i="41"/>
  <c r="I294" i="41"/>
  <c r="J207" i="41"/>
  <c r="L102" i="41"/>
  <c r="Q98" i="41"/>
  <c r="J104" i="41"/>
  <c r="O198" i="41"/>
  <c r="O100" i="41"/>
  <c r="H68" i="41"/>
  <c r="N26" i="31"/>
  <c r="T26" i="31" s="1"/>
  <c r="Z26" i="31" s="1"/>
  <c r="AF26" i="31" s="1"/>
  <c r="N76" i="41"/>
  <c r="N310" i="31"/>
  <c r="T310" i="31" s="1"/>
  <c r="Z310" i="31" s="1"/>
  <c r="AF310" i="31" s="1"/>
  <c r="G187" i="41"/>
  <c r="G329" i="41"/>
  <c r="N240" i="41"/>
  <c r="N328" i="31"/>
  <c r="T328" i="31" s="1"/>
  <c r="Z328" i="31" s="1"/>
  <c r="AF328" i="31" s="1"/>
  <c r="J57" i="41"/>
  <c r="N177" i="31"/>
  <c r="T177" i="31" s="1"/>
  <c r="Z177" i="31" s="1"/>
  <c r="AF177" i="31" s="1"/>
  <c r="I84" i="41"/>
  <c r="I240" i="41"/>
  <c r="I44" i="41"/>
  <c r="L122" i="41"/>
  <c r="J200" i="41"/>
  <c r="H247" i="41"/>
  <c r="N19" i="41"/>
  <c r="Q131" i="41"/>
  <c r="L341" i="41"/>
  <c r="L309" i="41"/>
  <c r="I209" i="41"/>
  <c r="J236" i="41"/>
  <c r="G52" i="41"/>
  <c r="G120" i="41"/>
  <c r="G344" i="41"/>
  <c r="Q174" i="41"/>
  <c r="O104" i="41"/>
  <c r="J80" i="41"/>
  <c r="N125" i="31"/>
  <c r="T125" i="31" s="1"/>
  <c r="Z125" i="31" s="1"/>
  <c r="AF125" i="31" s="1"/>
  <c r="N349" i="31"/>
  <c r="T349" i="31" s="1"/>
  <c r="Z349" i="31" s="1"/>
  <c r="AF349" i="31" s="1"/>
  <c r="Q249" i="41"/>
  <c r="I181" i="41"/>
  <c r="I239" i="41"/>
  <c r="N61" i="31"/>
  <c r="T61" i="31" s="1"/>
  <c r="Z61" i="31" s="1"/>
  <c r="AF61" i="31" s="1"/>
  <c r="N49" i="31"/>
  <c r="T49" i="31" s="1"/>
  <c r="Z49" i="31" s="1"/>
  <c r="AF49" i="31" s="1"/>
  <c r="N202" i="31"/>
  <c r="T202" i="31" s="1"/>
  <c r="Z202" i="31" s="1"/>
  <c r="AF202" i="31" s="1"/>
  <c r="N330" i="31"/>
  <c r="T330" i="31" s="1"/>
  <c r="Z330" i="31" s="1"/>
  <c r="AF330" i="31" s="1"/>
  <c r="N275" i="31"/>
  <c r="T275" i="31" s="1"/>
  <c r="Z275" i="31" s="1"/>
  <c r="AF275" i="31" s="1"/>
  <c r="N42" i="31"/>
  <c r="T42" i="31" s="1"/>
  <c r="Z42" i="31" s="1"/>
  <c r="AF42" i="31" s="1"/>
  <c r="N239" i="31"/>
  <c r="T239" i="31" s="1"/>
  <c r="Z239" i="31" s="1"/>
  <c r="AF239" i="31" s="1"/>
  <c r="N128" i="31"/>
  <c r="T128" i="31" s="1"/>
  <c r="Z128" i="31" s="1"/>
  <c r="AF128" i="31" s="1"/>
  <c r="N88" i="31"/>
  <c r="T88" i="31" s="1"/>
  <c r="Z88" i="31" s="1"/>
  <c r="AF88" i="31" s="1"/>
  <c r="N325" i="31"/>
  <c r="T325" i="31" s="1"/>
  <c r="Z325" i="31" s="1"/>
  <c r="AF325" i="31" s="1"/>
  <c r="N85" i="31"/>
  <c r="T85" i="31" s="1"/>
  <c r="Z85" i="31" s="1"/>
  <c r="AF85" i="31" s="1"/>
  <c r="K290" i="41"/>
  <c r="N308" i="31"/>
  <c r="T308" i="31" s="1"/>
  <c r="Z308" i="31" s="1"/>
  <c r="AF308" i="31" s="1"/>
  <c r="N192" i="31"/>
  <c r="T192" i="31" s="1"/>
  <c r="Z192" i="31" s="1"/>
  <c r="AF192" i="31" s="1"/>
  <c r="BS354" i="31"/>
  <c r="BU354" i="31" s="1"/>
  <c r="BS3" i="31"/>
  <c r="BS4" i="31"/>
  <c r="J12" i="29" s="1"/>
  <c r="N334" i="31"/>
  <c r="T334" i="31" s="1"/>
  <c r="Z334" i="31" s="1"/>
  <c r="AF334" i="31" s="1"/>
  <c r="CC277" i="31"/>
  <c r="N99" i="31"/>
  <c r="T99" i="31" s="1"/>
  <c r="Z99" i="31" s="1"/>
  <c r="AF99" i="31" s="1"/>
  <c r="N321" i="31"/>
  <c r="T321" i="31" s="1"/>
  <c r="Z321" i="31" s="1"/>
  <c r="AF321" i="31" s="1"/>
  <c r="BR2" i="31"/>
  <c r="U12" i="29"/>
  <c r="V12" i="29" s="1"/>
  <c r="I89" i="41"/>
  <c r="N57" i="31"/>
  <c r="T57" i="31" s="1"/>
  <c r="Z57" i="31" s="1"/>
  <c r="AF57" i="31" s="1"/>
  <c r="Q82" i="41"/>
  <c r="H223" i="41"/>
  <c r="G308" i="41"/>
  <c r="J114" i="41"/>
  <c r="N67" i="31"/>
  <c r="T67" i="31" s="1"/>
  <c r="Z67" i="31" s="1"/>
  <c r="AF67" i="31" s="1"/>
  <c r="O303" i="41"/>
  <c r="BX2" i="31"/>
  <c r="U13" i="29"/>
  <c r="V13" i="29" s="1"/>
  <c r="O327" i="41"/>
  <c r="N38" i="31"/>
  <c r="T38" i="31" s="1"/>
  <c r="Z38" i="31" s="1"/>
  <c r="AF38" i="31" s="1"/>
  <c r="N18" i="31"/>
  <c r="T18" i="31" s="1"/>
  <c r="Z18" i="31" s="1"/>
  <c r="AF18" i="31" s="1"/>
  <c r="O346" i="41"/>
  <c r="N127" i="31"/>
  <c r="T127" i="31" s="1"/>
  <c r="Z127" i="31" s="1"/>
  <c r="AF127" i="31" s="1"/>
  <c r="O23" i="41"/>
  <c r="H58" i="41"/>
  <c r="BU4" i="31"/>
  <c r="BU3" i="31"/>
  <c r="CO7" i="31"/>
  <c r="Q2" i="41" s="1"/>
  <c r="N248" i="31"/>
  <c r="T248" i="31" s="1"/>
  <c r="Z248" i="31" s="1"/>
  <c r="AF248" i="31" s="1"/>
  <c r="N65" i="31"/>
  <c r="T65" i="31" s="1"/>
  <c r="Z65" i="31" s="1"/>
  <c r="AF65" i="31" s="1"/>
  <c r="N216" i="31"/>
  <c r="T216" i="31" s="1"/>
  <c r="Z216" i="31" s="1"/>
  <c r="AF216" i="31" s="1"/>
  <c r="N153" i="31"/>
  <c r="T153" i="31" s="1"/>
  <c r="Z153" i="31" s="1"/>
  <c r="AF153" i="31" s="1"/>
  <c r="N217" i="31"/>
  <c r="T217" i="31" s="1"/>
  <c r="Z217" i="31" s="1"/>
  <c r="AF217" i="31" s="1"/>
  <c r="O209" i="41"/>
  <c r="O281" i="41"/>
  <c r="N313" i="31"/>
  <c r="T313" i="31" s="1"/>
  <c r="Z313" i="31" s="1"/>
  <c r="AF313" i="31" s="1"/>
  <c r="S272" i="41" l="1"/>
  <c r="S259" i="41"/>
  <c r="S281" i="41"/>
  <c r="S290" i="41"/>
  <c r="BU2" i="31"/>
  <c r="S2" i="31"/>
  <c r="AE2" i="31"/>
  <c r="AI159" i="31"/>
  <c r="AI81" i="31"/>
  <c r="AI282" i="31"/>
  <c r="L3" i="29"/>
  <c r="K39" i="29" s="1"/>
  <c r="K3" i="29"/>
  <c r="AI196" i="31"/>
  <c r="AC2" i="31"/>
  <c r="W5" i="29"/>
  <c r="AA5" i="29" s="1"/>
  <c r="AI306" i="31"/>
  <c r="AL306" i="31" s="1"/>
  <c r="AR306" i="31" s="1"/>
  <c r="AI316" i="31"/>
  <c r="AI197" i="31"/>
  <c r="AL197" i="31" s="1"/>
  <c r="AR197" i="31" s="1"/>
  <c r="AI28" i="31"/>
  <c r="AI209" i="31"/>
  <c r="AI307" i="31"/>
  <c r="G150" i="41"/>
  <c r="G196" i="41"/>
  <c r="M3" i="31"/>
  <c r="AI115" i="31"/>
  <c r="AL115" i="31" s="1"/>
  <c r="AR115" i="31" s="1"/>
  <c r="AI21" i="31"/>
  <c r="AL21" i="31" s="1"/>
  <c r="AR21" i="31" s="1"/>
  <c r="AI213" i="31"/>
  <c r="AI275" i="31"/>
  <c r="AI329" i="31"/>
  <c r="AL329" i="31" s="1"/>
  <c r="AR329" i="31" s="1"/>
  <c r="AI291" i="31"/>
  <c r="AI83" i="31"/>
  <c r="AL83" i="31" s="1"/>
  <c r="AR83" i="31" s="1"/>
  <c r="T3" i="29"/>
  <c r="G346" i="41"/>
  <c r="BC354" i="31"/>
  <c r="BC4" i="31"/>
  <c r="BC3" i="31"/>
  <c r="CL7" i="31"/>
  <c r="N2" i="41" s="1"/>
  <c r="AI155" i="31"/>
  <c r="AL155" i="31" s="1"/>
  <c r="AR155" i="31" s="1"/>
  <c r="G217" i="41"/>
  <c r="AI201" i="31"/>
  <c r="AL201" i="31" s="1"/>
  <c r="AR201" i="31" s="1"/>
  <c r="M354" i="31"/>
  <c r="G214" i="41"/>
  <c r="AI33" i="31"/>
  <c r="Q348" i="41"/>
  <c r="AI320" i="31"/>
  <c r="AL320" i="31" s="1"/>
  <c r="AR320" i="31" s="1"/>
  <c r="AI35" i="31"/>
  <c r="AL35" i="31" s="1"/>
  <c r="AR35" i="31" s="1"/>
  <c r="AI349" i="31"/>
  <c r="AI284" i="31"/>
  <c r="G107" i="41"/>
  <c r="AI204" i="31"/>
  <c r="AI308" i="31"/>
  <c r="AI202" i="31"/>
  <c r="AL202" i="31" s="1"/>
  <c r="AR202" i="31" s="1"/>
  <c r="AI200" i="31"/>
  <c r="AI238" i="31"/>
  <c r="AI221" i="31"/>
  <c r="AL221" i="31" s="1"/>
  <c r="AR221" i="31" s="1"/>
  <c r="T4" i="29"/>
  <c r="AI102" i="31"/>
  <c r="AI79" i="31"/>
  <c r="AI110" i="31"/>
  <c r="AL110" i="31" s="1"/>
  <c r="AR110" i="31" s="1"/>
  <c r="G317" i="41"/>
  <c r="AI318" i="31"/>
  <c r="AI151" i="31"/>
  <c r="AL151" i="31" s="1"/>
  <c r="AR151" i="31" s="1"/>
  <c r="AI273" i="31"/>
  <c r="AI136" i="31"/>
  <c r="AL136" i="31" s="1"/>
  <c r="AR136" i="31" s="1"/>
  <c r="AI324" i="31"/>
  <c r="AL324" i="31" s="1"/>
  <c r="AR324" i="31" s="1"/>
  <c r="AI55" i="31"/>
  <c r="AL55" i="31" s="1"/>
  <c r="AR55" i="31" s="1"/>
  <c r="AI258" i="31"/>
  <c r="G104" i="41"/>
  <c r="AI351" i="31"/>
  <c r="AI322" i="31"/>
  <c r="AL322" i="31" s="1"/>
  <c r="AR322" i="31" s="1"/>
  <c r="AI222" i="31"/>
  <c r="M4" i="31"/>
  <c r="AI219" i="31"/>
  <c r="AL219" i="31" s="1"/>
  <c r="AR219" i="31" s="1"/>
  <c r="AI52" i="31"/>
  <c r="T11" i="29"/>
  <c r="AI347" i="31"/>
  <c r="AI119" i="31"/>
  <c r="AI252" i="31"/>
  <c r="AI68" i="31"/>
  <c r="AL68" i="31" s="1"/>
  <c r="AR68" i="31" s="1"/>
  <c r="T8" i="29"/>
  <c r="AI309" i="31"/>
  <c r="BS2" i="31"/>
  <c r="W12" i="29"/>
  <c r="AA12" i="29" s="1"/>
  <c r="AI192" i="31"/>
  <c r="AL192" i="31" s="1"/>
  <c r="AR192" i="31" s="1"/>
  <c r="AI323" i="31"/>
  <c r="AI135" i="31"/>
  <c r="N4" i="31"/>
  <c r="N3" i="31"/>
  <c r="T7" i="31"/>
  <c r="AI229" i="31"/>
  <c r="AI194" i="31"/>
  <c r="AI185" i="31"/>
  <c r="AL185" i="31" s="1"/>
  <c r="AR185" i="31" s="1"/>
  <c r="AI217" i="31"/>
  <c r="AI153" i="31"/>
  <c r="AI18" i="31"/>
  <c r="AL18" i="31" s="1"/>
  <c r="AR18" i="31" s="1"/>
  <c r="AI57" i="31"/>
  <c r="AI113" i="31"/>
  <c r="AI335" i="31"/>
  <c r="AL335" i="31" s="1"/>
  <c r="AR335" i="31" s="1"/>
  <c r="AI220" i="31"/>
  <c r="AI8" i="31"/>
  <c r="AI227" i="31"/>
  <c r="AL227" i="31" s="1"/>
  <c r="AR227" i="31" s="1"/>
  <c r="AI108" i="31"/>
  <c r="AI122" i="31"/>
  <c r="AI164" i="31"/>
  <c r="AI34" i="31"/>
  <c r="AL34" i="31" s="1"/>
  <c r="AR34" i="31" s="1"/>
  <c r="G226" i="41"/>
  <c r="AI311" i="31"/>
  <c r="AI254" i="31"/>
  <c r="AL254" i="31" s="1"/>
  <c r="AR254" i="31" s="1"/>
  <c r="T13" i="29"/>
  <c r="AI109" i="31"/>
  <c r="AL109" i="31" s="1"/>
  <c r="AR109" i="31" s="1"/>
  <c r="AI22" i="31"/>
  <c r="AQ354" i="31"/>
  <c r="AQ4" i="31"/>
  <c r="AQ3" i="31"/>
  <c r="CJ7" i="31"/>
  <c r="L2" i="41" s="1"/>
  <c r="AI336" i="31"/>
  <c r="AI271" i="31"/>
  <c r="AL271" i="31" s="1"/>
  <c r="AR271" i="31" s="1"/>
  <c r="AI12" i="31"/>
  <c r="AL12" i="31" s="1"/>
  <c r="AR12" i="31" s="1"/>
  <c r="AI128" i="31"/>
  <c r="AL128" i="31" s="1"/>
  <c r="AR128" i="31" s="1"/>
  <c r="AI211" i="31"/>
  <c r="AI239" i="31"/>
  <c r="AL239" i="31" s="1"/>
  <c r="AR239" i="31" s="1"/>
  <c r="AI105" i="31"/>
  <c r="AL105" i="31" s="1"/>
  <c r="AR105" i="31" s="1"/>
  <c r="AI47" i="31"/>
  <c r="AI163" i="31"/>
  <c r="AI236" i="31"/>
  <c r="AI231" i="31"/>
  <c r="AL231" i="31" s="1"/>
  <c r="AR231" i="31" s="1"/>
  <c r="AI93" i="31"/>
  <c r="G253" i="41"/>
  <c r="G93" i="41"/>
  <c r="AI176" i="31"/>
  <c r="AL176" i="31" s="1"/>
  <c r="AR176" i="31" s="1"/>
  <c r="AI203" i="31"/>
  <c r="AI279" i="31"/>
  <c r="AL279" i="31" s="1"/>
  <c r="AR279" i="31" s="1"/>
  <c r="AI77" i="31"/>
  <c r="AI302" i="31"/>
  <c r="AI305" i="31"/>
  <c r="AI36" i="31"/>
  <c r="AL36" i="31" s="1"/>
  <c r="AR36" i="31" s="1"/>
  <c r="AI157" i="31"/>
  <c r="G141" i="41"/>
  <c r="AI154" i="31"/>
  <c r="AI312" i="31"/>
  <c r="AL312" i="31" s="1"/>
  <c r="AR312" i="31" s="1"/>
  <c r="AI158" i="31"/>
  <c r="G48" i="41"/>
  <c r="L7" i="29"/>
  <c r="K43" i="29" s="1"/>
  <c r="K7" i="29"/>
  <c r="J348" i="41"/>
  <c r="G273" i="41"/>
  <c r="AI76" i="31"/>
  <c r="AL76" i="31" s="1"/>
  <c r="AR76" i="31" s="1"/>
  <c r="G177" i="41"/>
  <c r="AI56" i="31"/>
  <c r="G275" i="41"/>
  <c r="AI67" i="31"/>
  <c r="AI20" i="31"/>
  <c r="AI344" i="31"/>
  <c r="AL344" i="31" s="1"/>
  <c r="AR344" i="31" s="1"/>
  <c r="AI328" i="31"/>
  <c r="AL328" i="31" s="1"/>
  <c r="AR328" i="31" s="1"/>
  <c r="AI127" i="31"/>
  <c r="AL127" i="31" s="1"/>
  <c r="AR127" i="31" s="1"/>
  <c r="AI330" i="31"/>
  <c r="AI290" i="31"/>
  <c r="AI27" i="31"/>
  <c r="AI23" i="31"/>
  <c r="AL23" i="31" s="1"/>
  <c r="AR23" i="31" s="1"/>
  <c r="AI315" i="31"/>
  <c r="AI300" i="31"/>
  <c r="AL300" i="31" s="1"/>
  <c r="AR300" i="31" s="1"/>
  <c r="AI199" i="31"/>
  <c r="AI49" i="31"/>
  <c r="AL49" i="31" s="1"/>
  <c r="AR49" i="31" s="1"/>
  <c r="AI216" i="31"/>
  <c r="AI38" i="31"/>
  <c r="AI85" i="31"/>
  <c r="AL85" i="31" s="1"/>
  <c r="AR85" i="31" s="1"/>
  <c r="AI61" i="31"/>
  <c r="AI310" i="31"/>
  <c r="AL310" i="31" s="1"/>
  <c r="AR310" i="31" s="1"/>
  <c r="AI297" i="31"/>
  <c r="AL297" i="31" s="1"/>
  <c r="AR297" i="31" s="1"/>
  <c r="AI260" i="31"/>
  <c r="AI245" i="31"/>
  <c r="AI166" i="31"/>
  <c r="AL166" i="31" s="1"/>
  <c r="AR166" i="31" s="1"/>
  <c r="AI145" i="31"/>
  <c r="AI32" i="31"/>
  <c r="AL32" i="31" s="1"/>
  <c r="AR32" i="31" s="1"/>
  <c r="AI139" i="31"/>
  <c r="AL139" i="31" s="1"/>
  <c r="AR139" i="31" s="1"/>
  <c r="AI181" i="31"/>
  <c r="AI156" i="31"/>
  <c r="AI183" i="31"/>
  <c r="AL183" i="31" s="1"/>
  <c r="AR183" i="31" s="1"/>
  <c r="AI44" i="31"/>
  <c r="AL44" i="31" s="1"/>
  <c r="AR44" i="31" s="1"/>
  <c r="V2" i="29"/>
  <c r="U14" i="29"/>
  <c r="AI92" i="31"/>
  <c r="AL92" i="31" s="1"/>
  <c r="AR92" i="31" s="1"/>
  <c r="AI270" i="31"/>
  <c r="AL270" i="31" s="1"/>
  <c r="AR270" i="31" s="1"/>
  <c r="AI53" i="31"/>
  <c r="AL53" i="31" s="1"/>
  <c r="AR53" i="31" s="1"/>
  <c r="H348" i="41"/>
  <c r="AI168" i="31"/>
  <c r="AO2" i="31"/>
  <c r="W7" i="29"/>
  <c r="AI120" i="31"/>
  <c r="AL120" i="31" s="1"/>
  <c r="AR120" i="31" s="1"/>
  <c r="AI278" i="31"/>
  <c r="AL278" i="31" s="1"/>
  <c r="AR278" i="31" s="1"/>
  <c r="AI174" i="31"/>
  <c r="AI91" i="31"/>
  <c r="AI167" i="31"/>
  <c r="AL167" i="31" s="1"/>
  <c r="AR167" i="31" s="1"/>
  <c r="CM7" i="31"/>
  <c r="O2" i="41" s="1"/>
  <c r="AI210" i="31"/>
  <c r="AI103" i="31"/>
  <c r="AI116" i="31"/>
  <c r="AL116" i="31" s="1"/>
  <c r="AR116" i="31" s="1"/>
  <c r="AI280" i="31"/>
  <c r="AI133" i="31"/>
  <c r="AL133" i="31" s="1"/>
  <c r="AR133" i="31" s="1"/>
  <c r="AI266" i="31"/>
  <c r="AL266" i="31" s="1"/>
  <c r="AR266" i="31" s="1"/>
  <c r="AI100" i="31"/>
  <c r="G202" i="41"/>
  <c r="AI338" i="31"/>
  <c r="AL338" i="31" s="1"/>
  <c r="AR338" i="31" s="1"/>
  <c r="G46" i="41"/>
  <c r="L4" i="29"/>
  <c r="K40" i="29" s="1"/>
  <c r="K4" i="29"/>
  <c r="AI161" i="31"/>
  <c r="AL161" i="31" s="1"/>
  <c r="AR161" i="31" s="1"/>
  <c r="AI292" i="31"/>
  <c r="AL292" i="31" s="1"/>
  <c r="AR292" i="31" s="1"/>
  <c r="AI111" i="31"/>
  <c r="AL111" i="31" s="1"/>
  <c r="AR111" i="31" s="1"/>
  <c r="AI255" i="31"/>
  <c r="AI66" i="31"/>
  <c r="AL66" i="31" s="1"/>
  <c r="AR66" i="31" s="1"/>
  <c r="AI73" i="31"/>
  <c r="AI339" i="31"/>
  <c r="AI333" i="31"/>
  <c r="AI65" i="31"/>
  <c r="AI325" i="31"/>
  <c r="AL325" i="31" s="1"/>
  <c r="AR325" i="31" s="1"/>
  <c r="G343" i="41"/>
  <c r="AI95" i="31"/>
  <c r="AL95" i="31" s="1"/>
  <c r="AR95" i="31" s="1"/>
  <c r="AI30" i="31"/>
  <c r="AL30" i="31" s="1"/>
  <c r="AR30" i="31" s="1"/>
  <c r="AI341" i="31"/>
  <c r="AI50" i="31"/>
  <c r="AI304" i="31"/>
  <c r="AL304" i="31" s="1"/>
  <c r="AR304" i="31" s="1"/>
  <c r="AI62" i="31"/>
  <c r="AL62" i="31" s="1"/>
  <c r="AR62" i="31" s="1"/>
  <c r="AI262" i="31"/>
  <c r="AL262" i="31" s="1"/>
  <c r="AR262" i="31" s="1"/>
  <c r="AI31" i="31"/>
  <c r="AI186" i="31"/>
  <c r="AL186" i="31" s="1"/>
  <c r="AR186" i="31" s="1"/>
  <c r="AI235" i="31"/>
  <c r="AI69" i="31"/>
  <c r="AI72" i="31"/>
  <c r="AI332" i="31"/>
  <c r="AL332" i="31" s="1"/>
  <c r="AR332" i="31" s="1"/>
  <c r="AI298" i="31"/>
  <c r="AL298" i="31" s="1"/>
  <c r="AR298" i="31" s="1"/>
  <c r="AI54" i="31"/>
  <c r="AL54" i="31" s="1"/>
  <c r="AR54" i="31" s="1"/>
  <c r="AI342" i="31"/>
  <c r="AL342" i="31" s="1"/>
  <c r="AR342" i="31" s="1"/>
  <c r="AI14" i="31"/>
  <c r="AI242" i="31"/>
  <c r="AL242" i="31" s="1"/>
  <c r="AR242" i="31" s="1"/>
  <c r="AI78" i="31"/>
  <c r="AI160" i="31"/>
  <c r="AL160" i="31" s="1"/>
  <c r="AR160" i="31" s="1"/>
  <c r="AI207" i="31"/>
  <c r="AI343" i="31"/>
  <c r="AL343" i="31" s="1"/>
  <c r="AR343" i="31" s="1"/>
  <c r="AI150" i="31"/>
  <c r="AI51" i="31"/>
  <c r="AL51" i="31" s="1"/>
  <c r="AR51" i="31" s="1"/>
  <c r="AI39" i="31"/>
  <c r="AI189" i="31"/>
  <c r="AL189" i="31" s="1"/>
  <c r="AR189" i="31" s="1"/>
  <c r="AI59" i="31"/>
  <c r="AL59" i="31" s="1"/>
  <c r="AR59" i="31" s="1"/>
  <c r="AI97" i="31"/>
  <c r="T6" i="29"/>
  <c r="AI188" i="31"/>
  <c r="AI121" i="31"/>
  <c r="AI265" i="31"/>
  <c r="AL265" i="31" s="1"/>
  <c r="AR265" i="31" s="1"/>
  <c r="AI130" i="31"/>
  <c r="AL130" i="31" s="1"/>
  <c r="AR130" i="31" s="1"/>
  <c r="AI182" i="31"/>
  <c r="AI334" i="31"/>
  <c r="AI60" i="31"/>
  <c r="AI261" i="31"/>
  <c r="T9" i="29"/>
  <c r="AI208" i="31"/>
  <c r="AL208" i="31" s="1"/>
  <c r="AR208" i="31" s="1"/>
  <c r="AI126" i="31"/>
  <c r="AI288" i="31"/>
  <c r="AL288" i="31" s="1"/>
  <c r="AR288" i="31" s="1"/>
  <c r="AI148" i="31"/>
  <c r="AL148" i="31" s="1"/>
  <c r="AR148" i="31" s="1"/>
  <c r="AI46" i="31"/>
  <c r="AI129" i="31"/>
  <c r="AL129" i="31" s="1"/>
  <c r="AR129" i="31" s="1"/>
  <c r="AI259" i="31"/>
  <c r="AI172" i="31"/>
  <c r="AI248" i="31"/>
  <c r="AL248" i="31" s="1"/>
  <c r="AR248" i="31" s="1"/>
  <c r="AI321" i="31"/>
  <c r="AI88" i="31"/>
  <c r="AI26" i="31"/>
  <c r="AI74" i="31"/>
  <c r="AL74" i="31" s="1"/>
  <c r="AR74" i="31" s="1"/>
  <c r="AI175" i="31"/>
  <c r="AL175" i="31" s="1"/>
  <c r="AR175" i="31" s="1"/>
  <c r="AI214" i="31"/>
  <c r="AI345" i="31"/>
  <c r="AL345" i="31" s="1"/>
  <c r="AR345" i="31" s="1"/>
  <c r="S14" i="29"/>
  <c r="T2" i="29"/>
  <c r="AI87" i="31"/>
  <c r="AL87" i="31" s="1"/>
  <c r="AR87" i="31" s="1"/>
  <c r="AI149" i="31"/>
  <c r="AL149" i="31" s="1"/>
  <c r="AR149" i="31" s="1"/>
  <c r="AI228" i="31"/>
  <c r="AL228" i="31" s="1"/>
  <c r="AR228" i="31" s="1"/>
  <c r="AI294" i="31"/>
  <c r="T10" i="29"/>
  <c r="AI146" i="31"/>
  <c r="AL146" i="31" s="1"/>
  <c r="AR146" i="31" s="1"/>
  <c r="AI224" i="31"/>
  <c r="G79" i="41"/>
  <c r="AI314" i="31"/>
  <c r="AL314" i="31" s="1"/>
  <c r="AR314" i="31" s="1"/>
  <c r="AI240" i="31"/>
  <c r="AL240" i="31" s="1"/>
  <c r="AR240" i="31" s="1"/>
  <c r="G262" i="41"/>
  <c r="AI178" i="31"/>
  <c r="AL178" i="31" s="1"/>
  <c r="AR178" i="31" s="1"/>
  <c r="AI63" i="31"/>
  <c r="AL63" i="31" s="1"/>
  <c r="AR63" i="31" s="1"/>
  <c r="G119" i="41"/>
  <c r="AI112" i="31"/>
  <c r="AL112" i="31" s="1"/>
  <c r="AR112" i="31" s="1"/>
  <c r="AI233" i="31"/>
  <c r="AI299" i="31"/>
  <c r="AI243" i="31"/>
  <c r="AL243" i="31" s="1"/>
  <c r="AR243" i="31" s="1"/>
  <c r="AI11" i="31"/>
  <c r="AL11" i="31" s="1"/>
  <c r="AR11" i="31" s="1"/>
  <c r="W2" i="31"/>
  <c r="W4" i="29"/>
  <c r="AI232" i="31"/>
  <c r="AI276" i="31"/>
  <c r="AL276" i="31" s="1"/>
  <c r="AR276" i="31" s="1"/>
  <c r="AI41" i="31"/>
  <c r="AI138" i="31"/>
  <c r="AI249" i="31"/>
  <c r="AI350" i="31"/>
  <c r="G221" i="41"/>
  <c r="AI225" i="31"/>
  <c r="G84" i="41"/>
  <c r="AI24" i="31"/>
  <c r="AL24" i="31" s="1"/>
  <c r="AR24" i="31" s="1"/>
  <c r="L9" i="29"/>
  <c r="K45" i="29" s="1"/>
  <c r="K9" i="29"/>
  <c r="AI10" i="31"/>
  <c r="AL10" i="31" s="1"/>
  <c r="AR10" i="31" s="1"/>
  <c r="AI134" i="31"/>
  <c r="AI267" i="31"/>
  <c r="AL267" i="31" s="1"/>
  <c r="AR267" i="31" s="1"/>
  <c r="AI86" i="31"/>
  <c r="AL86" i="31" s="1"/>
  <c r="AR86" i="31" s="1"/>
  <c r="AI296" i="31"/>
  <c r="AL296" i="31" s="1"/>
  <c r="AR296" i="31" s="1"/>
  <c r="AI337" i="31"/>
  <c r="AI124" i="31"/>
  <c r="AL124" i="31" s="1"/>
  <c r="AR124" i="31" s="1"/>
  <c r="BA2" i="31"/>
  <c r="W9" i="29"/>
  <c r="AA9" i="29" s="1"/>
  <c r="AI106" i="31"/>
  <c r="G206" i="41"/>
  <c r="AI237" i="31"/>
  <c r="G51" i="41"/>
  <c r="AI287" i="31"/>
  <c r="AL287" i="31" s="1"/>
  <c r="AR287" i="31" s="1"/>
  <c r="AI268" i="31"/>
  <c r="AL268" i="31" s="1"/>
  <c r="AR268" i="31" s="1"/>
  <c r="AI75" i="31"/>
  <c r="AL75" i="31" s="1"/>
  <c r="AR75" i="31" s="1"/>
  <c r="AI319" i="31"/>
  <c r="AL319" i="31" s="1"/>
  <c r="AR319" i="31" s="1"/>
  <c r="AI82" i="31"/>
  <c r="AI177" i="31"/>
  <c r="AL177" i="31" s="1"/>
  <c r="AR177" i="31" s="1"/>
  <c r="AI9" i="31"/>
  <c r="AL9" i="31" s="1"/>
  <c r="AR9" i="31" s="1"/>
  <c r="AI326" i="31"/>
  <c r="G96" i="41"/>
  <c r="AI244" i="31"/>
  <c r="AL244" i="31" s="1"/>
  <c r="AR244" i="31" s="1"/>
  <c r="G113" i="41"/>
  <c r="AI15" i="31"/>
  <c r="AL15" i="31" s="1"/>
  <c r="AR15" i="31" s="1"/>
  <c r="AI123" i="31"/>
  <c r="AI118" i="31"/>
  <c r="AL118" i="31" s="1"/>
  <c r="AR118" i="31" s="1"/>
  <c r="G284" i="41"/>
  <c r="Q2" i="31"/>
  <c r="W3" i="29"/>
  <c r="AI70" i="31"/>
  <c r="AL70" i="31" s="1"/>
  <c r="AR70" i="31" s="1"/>
  <c r="G111" i="41"/>
  <c r="G225" i="41"/>
  <c r="G89" i="41"/>
  <c r="AI101" i="31"/>
  <c r="AL101" i="31" s="1"/>
  <c r="AR101" i="31" s="1"/>
  <c r="AI313" i="31"/>
  <c r="AL313" i="31" s="1"/>
  <c r="AR313" i="31" s="1"/>
  <c r="AI125" i="31"/>
  <c r="AI246" i="31"/>
  <c r="I348" i="41"/>
  <c r="AI132" i="31"/>
  <c r="AI169" i="31"/>
  <c r="AL169" i="31" s="1"/>
  <c r="AR169" i="31" s="1"/>
  <c r="AI170" i="31"/>
  <c r="AI179" i="31"/>
  <c r="AI257" i="31"/>
  <c r="AL257" i="31" s="1"/>
  <c r="AR257" i="31" s="1"/>
  <c r="AI40" i="31"/>
  <c r="AI253" i="31"/>
  <c r="AL253" i="31" s="1"/>
  <c r="AR253" i="31" s="1"/>
  <c r="AI293" i="31"/>
  <c r="AL293" i="31" s="1"/>
  <c r="AR293" i="31" s="1"/>
  <c r="G139" i="41"/>
  <c r="AI230" i="31"/>
  <c r="AL230" i="31" s="1"/>
  <c r="AR230" i="31" s="1"/>
  <c r="G283" i="41"/>
  <c r="AI94" i="31"/>
  <c r="AL94" i="31" s="1"/>
  <c r="AR94" i="31" s="1"/>
  <c r="AI331" i="31"/>
  <c r="G251" i="41"/>
  <c r="AI19" i="31"/>
  <c r="AL19" i="31" s="1"/>
  <c r="AR19" i="31" s="1"/>
  <c r="G298" i="41"/>
  <c r="AI327" i="31"/>
  <c r="AL327" i="31" s="1"/>
  <c r="AR327" i="31" s="1"/>
  <c r="AI289" i="31"/>
  <c r="G188" i="41"/>
  <c r="AI114" i="31"/>
  <c r="AI184" i="31"/>
  <c r="AI317" i="31"/>
  <c r="G332" i="41"/>
  <c r="AI37" i="31"/>
  <c r="AL37" i="31" s="1"/>
  <c r="AR37" i="31" s="1"/>
  <c r="AI281" i="31"/>
  <c r="AL281" i="31" s="1"/>
  <c r="AR281" i="31" s="1"/>
  <c r="AI25" i="31"/>
  <c r="G266" i="41"/>
  <c r="AI190" i="31"/>
  <c r="AL190" i="31" s="1"/>
  <c r="AR190" i="31" s="1"/>
  <c r="AI96" i="31"/>
  <c r="AI104" i="31"/>
  <c r="AL104" i="31" s="1"/>
  <c r="AR104" i="31" s="1"/>
  <c r="AI152" i="31"/>
  <c r="AI42" i="31"/>
  <c r="AI283" i="31"/>
  <c r="AI147" i="31"/>
  <c r="AI241" i="31"/>
  <c r="AL241" i="31" s="1"/>
  <c r="AR241" i="31" s="1"/>
  <c r="AI247" i="31"/>
  <c r="L12" i="29"/>
  <c r="K48" i="29" s="1"/>
  <c r="K12" i="29"/>
  <c r="AI45" i="31"/>
  <c r="AI140" i="31"/>
  <c r="AL140" i="31" s="1"/>
  <c r="AR140" i="31" s="1"/>
  <c r="AI107" i="31"/>
  <c r="AL107" i="31" s="1"/>
  <c r="AR107" i="31" s="1"/>
  <c r="AI191" i="31"/>
  <c r="Y2" i="31"/>
  <c r="AI17" i="31"/>
  <c r="AL17" i="31" s="1"/>
  <c r="AR17" i="31" s="1"/>
  <c r="AI144" i="31"/>
  <c r="G54" i="41"/>
  <c r="AI137" i="31"/>
  <c r="AI117" i="31"/>
  <c r="AL117" i="31" s="1"/>
  <c r="AR117" i="31" s="1"/>
  <c r="AI80" i="31"/>
  <c r="G207" i="41"/>
  <c r="G168" i="41"/>
  <c r="AI256" i="31"/>
  <c r="AL256" i="31" s="1"/>
  <c r="AR256" i="31" s="1"/>
  <c r="AI303" i="31"/>
  <c r="AL303" i="31" s="1"/>
  <c r="AR303" i="31" s="1"/>
  <c r="AI193" i="31"/>
  <c r="AL193" i="31" s="1"/>
  <c r="AR193" i="31" s="1"/>
  <c r="G8" i="41"/>
  <c r="AI215" i="31"/>
  <c r="AL215" i="31" s="1"/>
  <c r="AR215" i="31" s="1"/>
  <c r="AI58" i="31"/>
  <c r="AL58" i="31" s="1"/>
  <c r="AR58" i="31" s="1"/>
  <c r="G43" i="41"/>
  <c r="AI212" i="31"/>
  <c r="AI173" i="31"/>
  <c r="AI99" i="31"/>
  <c r="AL99" i="31" s="1"/>
  <c r="AR99" i="31" s="1"/>
  <c r="AI131" i="31"/>
  <c r="AI226" i="31"/>
  <c r="AL226" i="31" s="1"/>
  <c r="AR226" i="31" s="1"/>
  <c r="AI89" i="31"/>
  <c r="AL89" i="31" s="1"/>
  <c r="AR89" i="31" s="1"/>
  <c r="AI301" i="31"/>
  <c r="AL301" i="31" s="1"/>
  <c r="AR301" i="31" s="1"/>
  <c r="G32" i="41"/>
  <c r="AI43" i="31"/>
  <c r="AI346" i="31"/>
  <c r="AI234" i="31"/>
  <c r="AL234" i="31" s="1"/>
  <c r="AR234" i="31" s="1"/>
  <c r="T7" i="29"/>
  <c r="AI143" i="31"/>
  <c r="L2" i="29"/>
  <c r="K2" i="29"/>
  <c r="AI180" i="31"/>
  <c r="AI352" i="31"/>
  <c r="AL352" i="31" s="1"/>
  <c r="AR352" i="31" s="1"/>
  <c r="AI142" i="31"/>
  <c r="AL142" i="31" s="1"/>
  <c r="AR142" i="31" s="1"/>
  <c r="AI64" i="31"/>
  <c r="AL64" i="31" s="1"/>
  <c r="AR64" i="31" s="1"/>
  <c r="AI218" i="31"/>
  <c r="AL218" i="31" s="1"/>
  <c r="AR218" i="31" s="1"/>
  <c r="AI187" i="31"/>
  <c r="AL187" i="31" s="1"/>
  <c r="AR187" i="31" s="1"/>
  <c r="AI90" i="31"/>
  <c r="AL90" i="31" s="1"/>
  <c r="AR90" i="31" s="1"/>
  <c r="AI205" i="31"/>
  <c r="AL205" i="31" s="1"/>
  <c r="AR205" i="31" s="1"/>
  <c r="AI71" i="31"/>
  <c r="AL71" i="31" s="1"/>
  <c r="AR71" i="31" s="1"/>
  <c r="AI348" i="31"/>
  <c r="AI272" i="31"/>
  <c r="AI29" i="31"/>
  <c r="AL29" i="31" s="1"/>
  <c r="AR29" i="31" s="1"/>
  <c r="AI198" i="31"/>
  <c r="AL198" i="31" s="1"/>
  <c r="AR198" i="31" s="1"/>
  <c r="K2" i="31"/>
  <c r="W2" i="29"/>
  <c r="L5" i="29"/>
  <c r="K41" i="29" s="1"/>
  <c r="K5" i="29"/>
  <c r="AI16" i="31"/>
  <c r="AI13" i="31"/>
  <c r="AL13" i="31" s="1"/>
  <c r="AR13" i="31" s="1"/>
  <c r="AI141" i="31"/>
  <c r="AL141" i="31" s="1"/>
  <c r="AR141" i="31" s="1"/>
  <c r="AI98" i="31"/>
  <c r="AL98" i="31" s="1"/>
  <c r="AR98" i="31" s="1"/>
  <c r="G201" i="41"/>
  <c r="AI269" i="31"/>
  <c r="AL269" i="31" s="1"/>
  <c r="AR269" i="31" s="1"/>
  <c r="AI48" i="31"/>
  <c r="AL48" i="31" s="1"/>
  <c r="AR48" i="31" s="1"/>
  <c r="AI251" i="31"/>
  <c r="AL251" i="31" s="1"/>
  <c r="AR251" i="31" s="1"/>
  <c r="G218" i="41"/>
  <c r="AI274" i="31"/>
  <c r="AL274" i="31" s="1"/>
  <c r="AR274" i="31" s="1"/>
  <c r="AI263" i="31"/>
  <c r="AL263" i="31" s="1"/>
  <c r="AR263" i="31" s="1"/>
  <c r="G245" i="41"/>
  <c r="AI340" i="31"/>
  <c r="AL340" i="31" s="1"/>
  <c r="AR340" i="31" s="1"/>
  <c r="AI162" i="31"/>
  <c r="AI206" i="31"/>
  <c r="T12" i="29"/>
  <c r="AI223" i="31"/>
  <c r="AI195" i="31"/>
  <c r="AI285" i="31"/>
  <c r="AL285" i="31" s="1"/>
  <c r="AR285" i="31" s="1"/>
  <c r="AI171" i="31"/>
  <c r="AL171" i="31" s="1"/>
  <c r="AR171" i="31" s="1"/>
  <c r="AI165" i="31"/>
  <c r="AL165" i="31" s="1"/>
  <c r="AR165" i="31" s="1"/>
  <c r="T5" i="29"/>
  <c r="AI84" i="31"/>
  <c r="AI250" i="31"/>
  <c r="BC2" i="31" l="1"/>
  <c r="X7" i="29"/>
  <c r="N2" i="31"/>
  <c r="AA7" i="29"/>
  <c r="AU274" i="31"/>
  <c r="AW274" i="31" s="1"/>
  <c r="CK274" i="31" s="1"/>
  <c r="AK294" i="31"/>
  <c r="CI294" i="31" s="1"/>
  <c r="AK31" i="31"/>
  <c r="CI31" i="31" s="1"/>
  <c r="AL31" i="31"/>
  <c r="AR31" i="31" s="1"/>
  <c r="AU75" i="31"/>
  <c r="AW75" i="31" s="1"/>
  <c r="CK75" i="31" s="1"/>
  <c r="AU215" i="31"/>
  <c r="AW215" i="31" s="1"/>
  <c r="CK215" i="31" s="1"/>
  <c r="AL294" i="31"/>
  <c r="AR294" i="31" s="1"/>
  <c r="AU288" i="31"/>
  <c r="AW288" i="31" s="1"/>
  <c r="CK288" i="31" s="1"/>
  <c r="AK274" i="31"/>
  <c r="CI274" i="31" s="1"/>
  <c r="AU265" i="31"/>
  <c r="AW265" i="31" s="1"/>
  <c r="CK265" i="31" s="1"/>
  <c r="AK280" i="31"/>
  <c r="CI280" i="31" s="1"/>
  <c r="AL280" i="31"/>
  <c r="AR280" i="31" s="1"/>
  <c r="AK272" i="31"/>
  <c r="CI272" i="31" s="1"/>
  <c r="AL272" i="31"/>
  <c r="AR272" i="31" s="1"/>
  <c r="AU107" i="31"/>
  <c r="AW107" i="31" s="1"/>
  <c r="CK107" i="31" s="1"/>
  <c r="AK147" i="31"/>
  <c r="CI147" i="31" s="1"/>
  <c r="AU257" i="31"/>
  <c r="AW257" i="31" s="1"/>
  <c r="CK257" i="31" s="1"/>
  <c r="AU228" i="31"/>
  <c r="AW228" i="31" s="1"/>
  <c r="CK228" i="31" s="1"/>
  <c r="AK106" i="31"/>
  <c r="CI106" i="31" s="1"/>
  <c r="AL106" i="31"/>
  <c r="AR106" i="31" s="1"/>
  <c r="AK158" i="31"/>
  <c r="CI158" i="31" s="1"/>
  <c r="AL158" i="31"/>
  <c r="AR158" i="31" s="1"/>
  <c r="AU340" i="31"/>
  <c r="AW340" i="31" s="1"/>
  <c r="CK340" i="31" s="1"/>
  <c r="AL147" i="31"/>
  <c r="AR147" i="31" s="1"/>
  <c r="AU19" i="31"/>
  <c r="AW19" i="31" s="1"/>
  <c r="CK19" i="31" s="1"/>
  <c r="AK94" i="31"/>
  <c r="CI94" i="31" s="1"/>
  <c r="AK144" i="31"/>
  <c r="CI144" i="31" s="1"/>
  <c r="AL144" i="31"/>
  <c r="AR144" i="31" s="1"/>
  <c r="AK190" i="31"/>
  <c r="CI190" i="31" s="1"/>
  <c r="AU267" i="31"/>
  <c r="AW267" i="31" s="1"/>
  <c r="CK267" i="31" s="1"/>
  <c r="AU190" i="31"/>
  <c r="AW190" i="31" s="1"/>
  <c r="CK190" i="31" s="1"/>
  <c r="AK125" i="31"/>
  <c r="CI125" i="31" s="1"/>
  <c r="AU165" i="31"/>
  <c r="AW165" i="31" s="1"/>
  <c r="CK165" i="31" s="1"/>
  <c r="AU269" i="31"/>
  <c r="AW269" i="31" s="1"/>
  <c r="CK269" i="31" s="1"/>
  <c r="AU13" i="31"/>
  <c r="AW13" i="31" s="1"/>
  <c r="CK13" i="31" s="1"/>
  <c r="AL125" i="31"/>
  <c r="AR125" i="31" s="1"/>
  <c r="AU268" i="31"/>
  <c r="AW268" i="31" s="1"/>
  <c r="CK268" i="31" s="1"/>
  <c r="AU124" i="31"/>
  <c r="AW124" i="31" s="1"/>
  <c r="CK124" i="31" s="1"/>
  <c r="AK243" i="31"/>
  <c r="CI243" i="31" s="1"/>
  <c r="AU298" i="31"/>
  <c r="AW298" i="31" s="1"/>
  <c r="CK298" i="31" s="1"/>
  <c r="AU313" i="31"/>
  <c r="AW313" i="31" s="1"/>
  <c r="CK313" i="31" s="1"/>
  <c r="AU243" i="31"/>
  <c r="AW243" i="31" s="1"/>
  <c r="CK243" i="31" s="1"/>
  <c r="AK97" i="31"/>
  <c r="CI97" i="31" s="1"/>
  <c r="J40" i="29"/>
  <c r="M4" i="29"/>
  <c r="AL97" i="31"/>
  <c r="AR97" i="31" s="1"/>
  <c r="AK132" i="31"/>
  <c r="CI132" i="31" s="1"/>
  <c r="AL132" i="31"/>
  <c r="AR132" i="31" s="1"/>
  <c r="AU285" i="31"/>
  <c r="AW285" i="31" s="1"/>
  <c r="CK285" i="31" s="1"/>
  <c r="AU89" i="31"/>
  <c r="AW89" i="31" s="1"/>
  <c r="CK89" i="31" s="1"/>
  <c r="X2" i="29"/>
  <c r="AA2" i="29"/>
  <c r="AU226" i="31"/>
  <c r="AW226" i="31" s="1"/>
  <c r="CK226" i="31" s="1"/>
  <c r="AU281" i="31"/>
  <c r="AW281" i="31" s="1"/>
  <c r="CK281" i="31" s="1"/>
  <c r="AK224" i="31"/>
  <c r="CI224" i="31" s="1"/>
  <c r="AL224" i="31"/>
  <c r="AR224" i="31" s="1"/>
  <c r="AU48" i="31"/>
  <c r="AW48" i="31" s="1"/>
  <c r="CK48" i="31" s="1"/>
  <c r="AU87" i="31"/>
  <c r="AW87" i="31" s="1"/>
  <c r="CK87" i="31" s="1"/>
  <c r="AK318" i="31"/>
  <c r="CI318" i="31" s="1"/>
  <c r="AL318" i="31"/>
  <c r="AR318" i="31" s="1"/>
  <c r="AU303" i="31"/>
  <c r="AW303" i="31" s="1"/>
  <c r="CK303" i="31" s="1"/>
  <c r="J48" i="29"/>
  <c r="M12" i="29"/>
  <c r="AK46" i="31"/>
  <c r="CI46" i="31" s="1"/>
  <c r="AL46" i="31"/>
  <c r="AR46" i="31" s="1"/>
  <c r="AK78" i="31"/>
  <c r="CI78" i="31" s="1"/>
  <c r="AK50" i="31"/>
  <c r="CI50" i="31" s="1"/>
  <c r="AK154" i="31"/>
  <c r="CI154" i="31" s="1"/>
  <c r="AL154" i="31"/>
  <c r="AR154" i="31" s="1"/>
  <c r="AU12" i="31"/>
  <c r="AW12" i="31" s="1"/>
  <c r="CK12" i="31" s="1"/>
  <c r="M7" i="41" s="1"/>
  <c r="AK331" i="31"/>
  <c r="CI331" i="31" s="1"/>
  <c r="AL331" i="31"/>
  <c r="AR331" i="31" s="1"/>
  <c r="AU140" i="31"/>
  <c r="AW140" i="31" s="1"/>
  <c r="CK140" i="31" s="1"/>
  <c r="AU94" i="31"/>
  <c r="AW94" i="31" s="1"/>
  <c r="CK94" i="31" s="1"/>
  <c r="AU205" i="31"/>
  <c r="AW205" i="31" s="1"/>
  <c r="CK205" i="31" s="1"/>
  <c r="AU117" i="31"/>
  <c r="AW117" i="31" s="1"/>
  <c r="CK117" i="31" s="1"/>
  <c r="AU287" i="31"/>
  <c r="AW287" i="31" s="1"/>
  <c r="CK287" i="31" s="1"/>
  <c r="AU178" i="31"/>
  <c r="AW178" i="31" s="1"/>
  <c r="CK178" i="31" s="1"/>
  <c r="AL78" i="31"/>
  <c r="AR78" i="31" s="1"/>
  <c r="AL50" i="31"/>
  <c r="AR50" i="31" s="1"/>
  <c r="AK232" i="31"/>
  <c r="CI232" i="31" s="1"/>
  <c r="AL232" i="31"/>
  <c r="AR232" i="31" s="1"/>
  <c r="AU186" i="31"/>
  <c r="AW186" i="31" s="1"/>
  <c r="CK186" i="31" s="1"/>
  <c r="AU15" i="31"/>
  <c r="AW15" i="31" s="1"/>
  <c r="CK15" i="31" s="1"/>
  <c r="AU167" i="31"/>
  <c r="AW167" i="31" s="1"/>
  <c r="CK167" i="31" s="1"/>
  <c r="AU218" i="31"/>
  <c r="AW218" i="31" s="1"/>
  <c r="CK218" i="31" s="1"/>
  <c r="AU177" i="31"/>
  <c r="AW177" i="31" s="1"/>
  <c r="CK177" i="31" s="1"/>
  <c r="J45" i="29"/>
  <c r="M9" i="29"/>
  <c r="AU64" i="31"/>
  <c r="AW64" i="31" s="1"/>
  <c r="CK64" i="31" s="1"/>
  <c r="AU169" i="31"/>
  <c r="AW169" i="31" s="1"/>
  <c r="CK169" i="31" s="1"/>
  <c r="AU296" i="31"/>
  <c r="AW296" i="31" s="1"/>
  <c r="CK296" i="31" s="1"/>
  <c r="AU175" i="31"/>
  <c r="AW175" i="31" s="1"/>
  <c r="CK175" i="31" s="1"/>
  <c r="AK163" i="31"/>
  <c r="CI163" i="31" s="1"/>
  <c r="AL163" i="31"/>
  <c r="AR163" i="31" s="1"/>
  <c r="AU221" i="31"/>
  <c r="AW221" i="31" s="1"/>
  <c r="CK221" i="31" s="1"/>
  <c r="AK191" i="31"/>
  <c r="CI191" i="31" s="1"/>
  <c r="AK121" i="31"/>
  <c r="CI121" i="31" s="1"/>
  <c r="AK247" i="31"/>
  <c r="CI247" i="31" s="1"/>
  <c r="AK152" i="31"/>
  <c r="CI152" i="31" s="1"/>
  <c r="AK123" i="31"/>
  <c r="CI123" i="31" s="1"/>
  <c r="AK82" i="31"/>
  <c r="CI82" i="31" s="1"/>
  <c r="X9" i="29"/>
  <c r="X4" i="29"/>
  <c r="AA4" i="29"/>
  <c r="AK261" i="31"/>
  <c r="CI261" i="31" s="1"/>
  <c r="AL121" i="31"/>
  <c r="AR121" i="31" s="1"/>
  <c r="AU332" i="31"/>
  <c r="AW332" i="31" s="1"/>
  <c r="CK332" i="31" s="1"/>
  <c r="AK65" i="31"/>
  <c r="CI65" i="31" s="1"/>
  <c r="AU66" i="31"/>
  <c r="AW66" i="31" s="1"/>
  <c r="CK66" i="31" s="1"/>
  <c r="AK103" i="31"/>
  <c r="CI103" i="31" s="1"/>
  <c r="AL103" i="31"/>
  <c r="AR103" i="31" s="1"/>
  <c r="AK199" i="31"/>
  <c r="CI199" i="31" s="1"/>
  <c r="AK330" i="31"/>
  <c r="CI330" i="31" s="1"/>
  <c r="AL330" i="31"/>
  <c r="AR330" i="31" s="1"/>
  <c r="AU322" i="31"/>
  <c r="AW322" i="31" s="1"/>
  <c r="CK322" i="31" s="1"/>
  <c r="AK28" i="31"/>
  <c r="CI28" i="31" s="1"/>
  <c r="AL28" i="31"/>
  <c r="AR28" i="31" s="1"/>
  <c r="AK313" i="31"/>
  <c r="CI313" i="31" s="1"/>
  <c r="AK296" i="31"/>
  <c r="CI296" i="31" s="1"/>
  <c r="AK228" i="31"/>
  <c r="CI228" i="31" s="1"/>
  <c r="AK348" i="31"/>
  <c r="CI348" i="31" s="1"/>
  <c r="AL191" i="31"/>
  <c r="AR191" i="31" s="1"/>
  <c r="AK171" i="31"/>
  <c r="CI171" i="31" s="1"/>
  <c r="AK98" i="31"/>
  <c r="CI98" i="31" s="1"/>
  <c r="AK198" i="31"/>
  <c r="CI198" i="31" s="1"/>
  <c r="AL348" i="31"/>
  <c r="AR348" i="31" s="1"/>
  <c r="AK90" i="31"/>
  <c r="CI90" i="31" s="1"/>
  <c r="AK142" i="31"/>
  <c r="CI142" i="31" s="1"/>
  <c r="AK301" i="31"/>
  <c r="CI301" i="31" s="1"/>
  <c r="AK256" i="31"/>
  <c r="CI256" i="31" s="1"/>
  <c r="AL247" i="31"/>
  <c r="AR247" i="31" s="1"/>
  <c r="AL152" i="31"/>
  <c r="AR152" i="31" s="1"/>
  <c r="AK230" i="31"/>
  <c r="CI230" i="31" s="1"/>
  <c r="N27" i="50"/>
  <c r="F27" i="50" s="1"/>
  <c r="AL123" i="31"/>
  <c r="AR123" i="31" s="1"/>
  <c r="AL82" i="31"/>
  <c r="AR82" i="31" s="1"/>
  <c r="AK337" i="31"/>
  <c r="CI337" i="31" s="1"/>
  <c r="AK126" i="31"/>
  <c r="CI126" i="31" s="1"/>
  <c r="AL261" i="31"/>
  <c r="AR261" i="31" s="1"/>
  <c r="AK72" i="31"/>
  <c r="CI72" i="31" s="1"/>
  <c r="AL65" i="31"/>
  <c r="AR65" i="31" s="1"/>
  <c r="AK255" i="31"/>
  <c r="CI255" i="31" s="1"/>
  <c r="AL255" i="31"/>
  <c r="AR255" i="31" s="1"/>
  <c r="AK210" i="31"/>
  <c r="CI210" i="31" s="1"/>
  <c r="AK174" i="31"/>
  <c r="CI174" i="31" s="1"/>
  <c r="AL199" i="31"/>
  <c r="AR199" i="31" s="1"/>
  <c r="AU344" i="31"/>
  <c r="AW344" i="31" s="1"/>
  <c r="CK344" i="31" s="1"/>
  <c r="AU254" i="31"/>
  <c r="AW254" i="31" s="1"/>
  <c r="CK254" i="31" s="1"/>
  <c r="AU116" i="31"/>
  <c r="AW116" i="31" s="1"/>
  <c r="CK116" i="31" s="1"/>
  <c r="AK195" i="31"/>
  <c r="CI195" i="31" s="1"/>
  <c r="AU98" i="31"/>
  <c r="AW98" i="31" s="1"/>
  <c r="CK98" i="31" s="1"/>
  <c r="AU230" i="31"/>
  <c r="AW230" i="31" s="1"/>
  <c r="CK230" i="31" s="1"/>
  <c r="AK246" i="31"/>
  <c r="CI246" i="31" s="1"/>
  <c r="AK319" i="31"/>
  <c r="CI319" i="31" s="1"/>
  <c r="AL337" i="31"/>
  <c r="AR337" i="31" s="1"/>
  <c r="AK11" i="31"/>
  <c r="CI11" i="31" s="1"/>
  <c r="K6" i="41" s="1"/>
  <c r="AK63" i="31"/>
  <c r="CI63" i="31" s="1"/>
  <c r="AK148" i="31"/>
  <c r="CI148" i="31" s="1"/>
  <c r="AL126" i="31"/>
  <c r="AR126" i="31" s="1"/>
  <c r="AL72" i="31"/>
  <c r="AR72" i="31" s="1"/>
  <c r="AK111" i="31"/>
  <c r="CI111" i="31" s="1"/>
  <c r="AL210" i="31"/>
  <c r="AR210" i="31" s="1"/>
  <c r="AL174" i="31"/>
  <c r="AR174" i="31" s="1"/>
  <c r="AK270" i="31"/>
  <c r="CI270" i="31" s="1"/>
  <c r="AU127" i="31"/>
  <c r="AW127" i="31" s="1"/>
  <c r="CK127" i="31" s="1"/>
  <c r="AK20" i="31"/>
  <c r="CI20" i="31" s="1"/>
  <c r="AL20" i="31"/>
  <c r="AR20" i="31" s="1"/>
  <c r="AK36" i="31"/>
  <c r="CI36" i="31" s="1"/>
  <c r="AK185" i="31"/>
  <c r="CI185" i="31" s="1"/>
  <c r="AU325" i="31"/>
  <c r="AW325" i="31" s="1"/>
  <c r="CK325" i="31" s="1"/>
  <c r="AK285" i="31"/>
  <c r="CI285" i="31" s="1"/>
  <c r="AU171" i="31"/>
  <c r="AW171" i="31" s="1"/>
  <c r="CK171" i="31" s="1"/>
  <c r="AK206" i="31"/>
  <c r="CI206" i="31" s="1"/>
  <c r="AU198" i="31"/>
  <c r="AW198" i="31" s="1"/>
  <c r="CK198" i="31" s="1"/>
  <c r="AU90" i="31"/>
  <c r="AW90" i="31" s="1"/>
  <c r="CK90" i="31" s="1"/>
  <c r="AU142" i="31"/>
  <c r="AW142" i="31" s="1"/>
  <c r="CK142" i="31" s="1"/>
  <c r="AU301" i="31"/>
  <c r="AW301" i="31" s="1"/>
  <c r="CK301" i="31" s="1"/>
  <c r="AU256" i="31"/>
  <c r="AW256" i="31" s="1"/>
  <c r="CK256" i="31" s="1"/>
  <c r="AK96" i="31"/>
  <c r="CI96" i="31" s="1"/>
  <c r="AK25" i="31"/>
  <c r="CI25" i="31" s="1"/>
  <c r="AL195" i="31"/>
  <c r="AR195" i="31" s="1"/>
  <c r="AL206" i="31"/>
  <c r="AR206" i="31" s="1"/>
  <c r="AK141" i="31"/>
  <c r="CI141" i="31" s="1"/>
  <c r="AK29" i="31"/>
  <c r="CI29" i="31" s="1"/>
  <c r="AK187" i="31"/>
  <c r="CI187" i="31" s="1"/>
  <c r="AK352" i="31"/>
  <c r="CI352" i="31" s="1"/>
  <c r="AK99" i="31"/>
  <c r="CI99" i="31" s="1"/>
  <c r="AK104" i="31"/>
  <c r="CI104" i="31" s="1"/>
  <c r="AL96" i="31"/>
  <c r="AR96" i="31" s="1"/>
  <c r="AL25" i="31"/>
  <c r="AR25" i="31" s="1"/>
  <c r="AL246" i="31"/>
  <c r="AR246" i="31" s="1"/>
  <c r="AK70" i="31"/>
  <c r="CI70" i="31" s="1"/>
  <c r="AU319" i="31"/>
  <c r="AW319" i="31" s="1"/>
  <c r="CK319" i="31" s="1"/>
  <c r="AU11" i="31"/>
  <c r="AW11" i="31" s="1"/>
  <c r="CK11" i="31" s="1"/>
  <c r="M6" i="41" s="1"/>
  <c r="AU63" i="31"/>
  <c r="AW63" i="31" s="1"/>
  <c r="CK63" i="31" s="1"/>
  <c r="AK240" i="31"/>
  <c r="CI240" i="31" s="1"/>
  <c r="AU148" i="31"/>
  <c r="AW148" i="31" s="1"/>
  <c r="CK148" i="31" s="1"/>
  <c r="AU111" i="31"/>
  <c r="AW111" i="31" s="1"/>
  <c r="CK111" i="31" s="1"/>
  <c r="AU270" i="31"/>
  <c r="AW270" i="31" s="1"/>
  <c r="CK270" i="31" s="1"/>
  <c r="AU36" i="31"/>
  <c r="AW36" i="31" s="1"/>
  <c r="CK36" i="31" s="1"/>
  <c r="AU185" i="31"/>
  <c r="AW185" i="31" s="1"/>
  <c r="CK185" i="31" s="1"/>
  <c r="AK192" i="31"/>
  <c r="CI192" i="31" s="1"/>
  <c r="AK309" i="31"/>
  <c r="CI309" i="31" s="1"/>
  <c r="AL309" i="31"/>
  <c r="AR309" i="31" s="1"/>
  <c r="AK165" i="31"/>
  <c r="CI165" i="31" s="1"/>
  <c r="AK140" i="31"/>
  <c r="CI140" i="31" s="1"/>
  <c r="AK293" i="31"/>
  <c r="CI293" i="31" s="1"/>
  <c r="X3" i="29"/>
  <c r="AA3" i="29"/>
  <c r="AK118" i="31"/>
  <c r="CI118" i="31" s="1"/>
  <c r="AU166" i="31"/>
  <c r="AW166" i="31" s="1"/>
  <c r="CK166" i="31" s="1"/>
  <c r="AK245" i="31"/>
  <c r="CI245" i="31" s="1"/>
  <c r="AK38" i="31"/>
  <c r="CI38" i="31" s="1"/>
  <c r="AL38" i="31"/>
  <c r="AR38" i="31" s="1"/>
  <c r="AK305" i="31"/>
  <c r="CI305" i="31" s="1"/>
  <c r="AK8" i="31"/>
  <c r="CI8" i="31" s="1"/>
  <c r="K3" i="41" s="1"/>
  <c r="AL8" i="31"/>
  <c r="AR8" i="31" s="1"/>
  <c r="AK200" i="31"/>
  <c r="CI200" i="31" s="1"/>
  <c r="AL200" i="31"/>
  <c r="AR200" i="31" s="1"/>
  <c r="AK168" i="31"/>
  <c r="CI168" i="31" s="1"/>
  <c r="AL245" i="31"/>
  <c r="AR245" i="31" s="1"/>
  <c r="AK216" i="31"/>
  <c r="CI216" i="31" s="1"/>
  <c r="N28" i="50"/>
  <c r="F28" i="50" s="1"/>
  <c r="AL305" i="31"/>
  <c r="AR305" i="31" s="1"/>
  <c r="AU68" i="31"/>
  <c r="AW68" i="31" s="1"/>
  <c r="CK68" i="31" s="1"/>
  <c r="AK162" i="31"/>
  <c r="CI162" i="31" s="1"/>
  <c r="AU29" i="31"/>
  <c r="AW29" i="31" s="1"/>
  <c r="CK29" i="31" s="1"/>
  <c r="AK19" i="31"/>
  <c r="CI19" i="31" s="1"/>
  <c r="AK75" i="31"/>
  <c r="CI75" i="31" s="1"/>
  <c r="AK178" i="31"/>
  <c r="CI178" i="31" s="1"/>
  <c r="AU293" i="31"/>
  <c r="AW293" i="31" s="1"/>
  <c r="CK293" i="31" s="1"/>
  <c r="AK179" i="31"/>
  <c r="CI179" i="31" s="1"/>
  <c r="AU118" i="31"/>
  <c r="AW118" i="31" s="1"/>
  <c r="CK118" i="31" s="1"/>
  <c r="AK237" i="31"/>
  <c r="CI237" i="31" s="1"/>
  <c r="AK249" i="31"/>
  <c r="CI249" i="31" s="1"/>
  <c r="AK299" i="31"/>
  <c r="CI299" i="31" s="1"/>
  <c r="M2" i="29"/>
  <c r="J38" i="29"/>
  <c r="AK58" i="31"/>
  <c r="CI58" i="31" s="1"/>
  <c r="AK37" i="31"/>
  <c r="CI37" i="31" s="1"/>
  <c r="AK327" i="31"/>
  <c r="CI327" i="31" s="1"/>
  <c r="AK253" i="31"/>
  <c r="CI253" i="31" s="1"/>
  <c r="AL179" i="31"/>
  <c r="AR179" i="31" s="1"/>
  <c r="AK244" i="31"/>
  <c r="CI244" i="31" s="1"/>
  <c r="AL237" i="31"/>
  <c r="AR237" i="31" s="1"/>
  <c r="AL249" i="31"/>
  <c r="AR249" i="31" s="1"/>
  <c r="AL299" i="31"/>
  <c r="AR299" i="31" s="1"/>
  <c r="AK339" i="31"/>
  <c r="CI339" i="31" s="1"/>
  <c r="AL339" i="31"/>
  <c r="AR339" i="31" s="1"/>
  <c r="AL168" i="31"/>
  <c r="AR168" i="31" s="1"/>
  <c r="AL216" i="31"/>
  <c r="AR216" i="31" s="1"/>
  <c r="AK351" i="31"/>
  <c r="CI351" i="31" s="1"/>
  <c r="AL351" i="31"/>
  <c r="AR351" i="31" s="1"/>
  <c r="AK79" i="31"/>
  <c r="CI79" i="31" s="1"/>
  <c r="AL79" i="31"/>
  <c r="AR79" i="31" s="1"/>
  <c r="AK64" i="31"/>
  <c r="CI64" i="31" s="1"/>
  <c r="AK16" i="31"/>
  <c r="CI16" i="31" s="1"/>
  <c r="AK131" i="31"/>
  <c r="CI131" i="31" s="1"/>
  <c r="AK173" i="31"/>
  <c r="CI173" i="31" s="1"/>
  <c r="AU58" i="31"/>
  <c r="AW58" i="31" s="1"/>
  <c r="CK58" i="31" s="1"/>
  <c r="AK80" i="31"/>
  <c r="CI80" i="31" s="1"/>
  <c r="AK42" i="31"/>
  <c r="CI42" i="31" s="1"/>
  <c r="AU37" i="31"/>
  <c r="AW37" i="31" s="1"/>
  <c r="CK37" i="31" s="1"/>
  <c r="AK114" i="31"/>
  <c r="CI114" i="31" s="1"/>
  <c r="AU327" i="31"/>
  <c r="AW327" i="31" s="1"/>
  <c r="CK327" i="31" s="1"/>
  <c r="AU253" i="31"/>
  <c r="AW253" i="31" s="1"/>
  <c r="CK253" i="31" s="1"/>
  <c r="AK170" i="31"/>
  <c r="CI170" i="31" s="1"/>
  <c r="AU244" i="31"/>
  <c r="AW244" i="31" s="1"/>
  <c r="CK244" i="31" s="1"/>
  <c r="AK233" i="31"/>
  <c r="CI233" i="31" s="1"/>
  <c r="AK26" i="31"/>
  <c r="CI26" i="31" s="1"/>
  <c r="AU343" i="31"/>
  <c r="AW343" i="31" s="1"/>
  <c r="CK343" i="31" s="1"/>
  <c r="AK73" i="31"/>
  <c r="CI73" i="31" s="1"/>
  <c r="AU183" i="31"/>
  <c r="AW183" i="31" s="1"/>
  <c r="CK183" i="31" s="1"/>
  <c r="AK175" i="31"/>
  <c r="CI175" i="31" s="1"/>
  <c r="K38" i="29"/>
  <c r="AL131" i="31"/>
  <c r="AR131" i="31" s="1"/>
  <c r="AL173" i="31"/>
  <c r="AR173" i="31" s="1"/>
  <c r="AK212" i="31"/>
  <c r="CI212" i="31" s="1"/>
  <c r="AL80" i="31"/>
  <c r="AR80" i="31" s="1"/>
  <c r="AL42" i="31"/>
  <c r="AR42" i="31" s="1"/>
  <c r="AL114" i="31"/>
  <c r="AR114" i="31" s="1"/>
  <c r="AK40" i="31"/>
  <c r="CI40" i="31" s="1"/>
  <c r="AL170" i="31"/>
  <c r="AR170" i="31" s="1"/>
  <c r="AK350" i="31"/>
  <c r="CI350" i="31" s="1"/>
  <c r="AK138" i="31"/>
  <c r="CI138" i="31" s="1"/>
  <c r="AL233" i="31"/>
  <c r="AR233" i="31" s="1"/>
  <c r="AK214" i="31"/>
  <c r="CI214" i="31" s="1"/>
  <c r="AL26" i="31"/>
  <c r="AR26" i="31" s="1"/>
  <c r="AK172" i="31"/>
  <c r="CI172" i="31" s="1"/>
  <c r="AK334" i="31"/>
  <c r="CI334" i="31" s="1"/>
  <c r="AL334" i="31"/>
  <c r="AR334" i="31" s="1"/>
  <c r="AL73" i="31"/>
  <c r="AR73" i="31" s="1"/>
  <c r="AK156" i="31"/>
  <c r="CI156" i="31" s="1"/>
  <c r="AL156" i="31"/>
  <c r="AR156" i="31" s="1"/>
  <c r="AK27" i="31"/>
  <c r="CI27" i="31" s="1"/>
  <c r="AL27" i="31"/>
  <c r="AR27" i="31" s="1"/>
  <c r="AK108" i="31"/>
  <c r="CI108" i="31" s="1"/>
  <c r="AL108" i="31"/>
  <c r="AR108" i="31" s="1"/>
  <c r="AK215" i="31"/>
  <c r="CI215" i="31" s="1"/>
  <c r="AL162" i="31"/>
  <c r="AR162" i="31" s="1"/>
  <c r="AK340" i="31"/>
  <c r="CI340" i="31" s="1"/>
  <c r="AL212" i="31"/>
  <c r="AR212" i="31" s="1"/>
  <c r="AK193" i="31"/>
  <c r="CI193" i="31" s="1"/>
  <c r="AL40" i="31"/>
  <c r="AR40" i="31" s="1"/>
  <c r="AL350" i="31"/>
  <c r="AR350" i="31" s="1"/>
  <c r="AL138" i="31"/>
  <c r="AR138" i="31" s="1"/>
  <c r="AL214" i="31"/>
  <c r="AR214" i="31" s="1"/>
  <c r="AK88" i="31"/>
  <c r="CI88" i="31" s="1"/>
  <c r="AL172" i="31"/>
  <c r="AR172" i="31" s="1"/>
  <c r="AK39" i="31"/>
  <c r="CI39" i="31" s="1"/>
  <c r="AL39" i="31"/>
  <c r="AR39" i="31" s="1"/>
  <c r="AK341" i="31"/>
  <c r="CI341" i="31" s="1"/>
  <c r="AL341" i="31"/>
  <c r="AR341" i="31" s="1"/>
  <c r="AU83" i="31"/>
  <c r="AW83" i="31" s="1"/>
  <c r="CK83" i="31" s="1"/>
  <c r="AU187" i="31"/>
  <c r="AW187" i="31" s="1"/>
  <c r="CK187" i="31" s="1"/>
  <c r="AK117" i="31"/>
  <c r="CI117" i="31" s="1"/>
  <c r="AK281" i="31"/>
  <c r="CI281" i="31" s="1"/>
  <c r="AU70" i="31"/>
  <c r="AW70" i="31" s="1"/>
  <c r="CK70" i="31" s="1"/>
  <c r="AK143" i="31"/>
  <c r="CI143" i="31" s="1"/>
  <c r="AK346" i="31"/>
  <c r="CI346" i="31" s="1"/>
  <c r="AU193" i="31"/>
  <c r="AW193" i="31" s="1"/>
  <c r="CK193" i="31" s="1"/>
  <c r="AK317" i="31"/>
  <c r="CI317" i="31" s="1"/>
  <c r="AK225" i="31"/>
  <c r="CI225" i="31" s="1"/>
  <c r="AK41" i="31"/>
  <c r="CI41" i="31" s="1"/>
  <c r="AL88" i="31"/>
  <c r="AR88" i="31" s="1"/>
  <c r="AK208" i="31"/>
  <c r="CI208" i="31" s="1"/>
  <c r="AK51" i="31"/>
  <c r="CI51" i="31" s="1"/>
  <c r="AK207" i="31"/>
  <c r="CI207" i="31" s="1"/>
  <c r="AL207" i="31"/>
  <c r="AR207" i="31" s="1"/>
  <c r="AU242" i="31"/>
  <c r="AW242" i="31" s="1"/>
  <c r="CK242" i="31" s="1"/>
  <c r="AK30" i="31"/>
  <c r="CI30" i="31" s="1"/>
  <c r="AK100" i="31"/>
  <c r="CI100" i="31" s="1"/>
  <c r="AK302" i="31"/>
  <c r="CI302" i="31" s="1"/>
  <c r="AL302" i="31"/>
  <c r="AR302" i="31" s="1"/>
  <c r="AK205" i="31"/>
  <c r="CI205" i="31" s="1"/>
  <c r="AU352" i="31"/>
  <c r="AW352" i="31" s="1"/>
  <c r="CK352" i="31" s="1"/>
  <c r="AU85" i="31"/>
  <c r="AW85" i="31" s="1"/>
  <c r="CK85" i="31" s="1"/>
  <c r="AK180" i="31"/>
  <c r="CI180" i="31" s="1"/>
  <c r="AK13" i="31"/>
  <c r="CI13" i="31" s="1"/>
  <c r="AL180" i="31"/>
  <c r="AR180" i="31" s="1"/>
  <c r="AK226" i="31"/>
  <c r="CI226" i="31" s="1"/>
  <c r="AK250" i="31"/>
  <c r="CI250" i="31" s="1"/>
  <c r="AL250" i="31"/>
  <c r="AR250" i="31" s="1"/>
  <c r="AL143" i="31"/>
  <c r="AR143" i="31" s="1"/>
  <c r="AL346" i="31"/>
  <c r="AR346" i="31" s="1"/>
  <c r="AL317" i="31"/>
  <c r="AR317" i="31" s="1"/>
  <c r="AK289" i="31"/>
  <c r="CI289" i="31" s="1"/>
  <c r="AK326" i="31"/>
  <c r="CI326" i="31" s="1"/>
  <c r="AL225" i="31"/>
  <c r="AR225" i="31" s="1"/>
  <c r="AL41" i="31"/>
  <c r="AR41" i="31" s="1"/>
  <c r="AK321" i="31"/>
  <c r="CI321" i="31" s="1"/>
  <c r="AK259" i="31"/>
  <c r="CI259" i="31" s="1"/>
  <c r="AU208" i="31"/>
  <c r="AW208" i="31" s="1"/>
  <c r="CK208" i="31" s="1"/>
  <c r="AU51" i="31"/>
  <c r="AW51" i="31" s="1"/>
  <c r="CK51" i="31" s="1"/>
  <c r="AK14" i="31"/>
  <c r="CI14" i="31" s="1"/>
  <c r="AL14" i="31"/>
  <c r="AR14" i="31" s="1"/>
  <c r="AU262" i="31"/>
  <c r="AW262" i="31" s="1"/>
  <c r="CK262" i="31" s="1"/>
  <c r="AU30" i="31"/>
  <c r="AW30" i="31" s="1"/>
  <c r="CK30" i="31" s="1"/>
  <c r="AL100" i="31"/>
  <c r="AR100" i="31" s="1"/>
  <c r="AU139" i="31"/>
  <c r="AW139" i="31" s="1"/>
  <c r="CK139" i="31" s="1"/>
  <c r="AK239" i="31"/>
  <c r="CI239" i="31" s="1"/>
  <c r="T4" i="31"/>
  <c r="T3" i="31"/>
  <c r="Z7" i="31"/>
  <c r="AK89" i="31"/>
  <c r="CI89" i="31" s="1"/>
  <c r="AU240" i="31"/>
  <c r="AW240" i="31" s="1"/>
  <c r="CK240" i="31" s="1"/>
  <c r="AL16" i="31"/>
  <c r="AR16" i="31" s="1"/>
  <c r="AK84" i="31"/>
  <c r="CI84" i="31" s="1"/>
  <c r="AK43" i="31"/>
  <c r="CI43" i="31" s="1"/>
  <c r="AK137" i="31"/>
  <c r="CI137" i="31" s="1"/>
  <c r="AK283" i="31"/>
  <c r="CI283" i="31" s="1"/>
  <c r="AK184" i="31"/>
  <c r="CI184" i="31" s="1"/>
  <c r="AL289" i="31"/>
  <c r="AR289" i="31" s="1"/>
  <c r="AL326" i="31"/>
  <c r="AR326" i="31" s="1"/>
  <c r="AK134" i="31"/>
  <c r="CI134" i="31" s="1"/>
  <c r="AK112" i="31"/>
  <c r="CI112" i="31" s="1"/>
  <c r="AK146" i="31"/>
  <c r="CI146" i="31" s="1"/>
  <c r="AK74" i="31"/>
  <c r="CI74" i="31" s="1"/>
  <c r="AL321" i="31"/>
  <c r="AR321" i="31" s="1"/>
  <c r="AL259" i="31"/>
  <c r="AR259" i="31" s="1"/>
  <c r="AK182" i="31"/>
  <c r="CI182" i="31" s="1"/>
  <c r="AK188" i="31"/>
  <c r="CI188" i="31" s="1"/>
  <c r="AK150" i="31"/>
  <c r="CI150" i="31" s="1"/>
  <c r="AK342" i="31"/>
  <c r="CI342" i="31" s="1"/>
  <c r="AK95" i="31"/>
  <c r="CI95" i="31" s="1"/>
  <c r="AK266" i="31"/>
  <c r="CI266" i="31" s="1"/>
  <c r="AU278" i="31"/>
  <c r="AW278" i="31" s="1"/>
  <c r="CK278" i="31" s="1"/>
  <c r="AU310" i="31"/>
  <c r="AW310" i="31" s="1"/>
  <c r="CK310" i="31" s="1"/>
  <c r="AU239" i="31"/>
  <c r="AW239" i="31" s="1"/>
  <c r="CK239" i="31" s="1"/>
  <c r="AK102" i="31"/>
  <c r="CI102" i="31" s="1"/>
  <c r="AU141" i="31"/>
  <c r="AW141" i="31" s="1"/>
  <c r="CK141" i="31" s="1"/>
  <c r="AU99" i="31"/>
  <c r="AW99" i="31" s="1"/>
  <c r="CK99" i="31" s="1"/>
  <c r="AK257" i="31"/>
  <c r="CI257" i="31" s="1"/>
  <c r="AL84" i="31"/>
  <c r="AR84" i="31" s="1"/>
  <c r="AK251" i="31"/>
  <c r="CI251" i="31" s="1"/>
  <c r="J41" i="29"/>
  <c r="M5" i="29"/>
  <c r="AL43" i="31"/>
  <c r="AR43" i="31" s="1"/>
  <c r="AL137" i="31"/>
  <c r="AR137" i="31" s="1"/>
  <c r="AK17" i="31"/>
  <c r="CI17" i="31" s="1"/>
  <c r="AK45" i="31"/>
  <c r="CI45" i="31" s="1"/>
  <c r="AL283" i="31"/>
  <c r="AR283" i="31" s="1"/>
  <c r="AL184" i="31"/>
  <c r="AR184" i="31" s="1"/>
  <c r="AK101" i="31"/>
  <c r="CI101" i="31" s="1"/>
  <c r="AK9" i="31"/>
  <c r="CI9" i="31" s="1"/>
  <c r="K4" i="41" s="1"/>
  <c r="AK86" i="31"/>
  <c r="CI86" i="31" s="1"/>
  <c r="AL134" i="31"/>
  <c r="AR134" i="31" s="1"/>
  <c r="AK24" i="31"/>
  <c r="CI24" i="31" s="1"/>
  <c r="AU112" i="31"/>
  <c r="AW112" i="31" s="1"/>
  <c r="CK112" i="31" s="1"/>
  <c r="AK314" i="31"/>
  <c r="CI314" i="31" s="1"/>
  <c r="AU146" i="31"/>
  <c r="AW146" i="31" s="1"/>
  <c r="CK146" i="31" s="1"/>
  <c r="AK149" i="31"/>
  <c r="CI149" i="31" s="1"/>
  <c r="AK345" i="31"/>
  <c r="CI345" i="31" s="1"/>
  <c r="AU74" i="31"/>
  <c r="AW74" i="31" s="1"/>
  <c r="CK74" i="31" s="1"/>
  <c r="AK248" i="31"/>
  <c r="CI248" i="31" s="1"/>
  <c r="AK60" i="31"/>
  <c r="CI60" i="31" s="1"/>
  <c r="AL60" i="31"/>
  <c r="AR60" i="31" s="1"/>
  <c r="AL182" i="31"/>
  <c r="AR182" i="31" s="1"/>
  <c r="AL188" i="31"/>
  <c r="AR188" i="31" s="1"/>
  <c r="AU59" i="31"/>
  <c r="AW59" i="31" s="1"/>
  <c r="CK59" i="31" s="1"/>
  <c r="AL150" i="31"/>
  <c r="AR150" i="31" s="1"/>
  <c r="AU160" i="31"/>
  <c r="AW160" i="31" s="1"/>
  <c r="CK160" i="31" s="1"/>
  <c r="AU342" i="31"/>
  <c r="AW342" i="31" s="1"/>
  <c r="CK342" i="31" s="1"/>
  <c r="AK69" i="31"/>
  <c r="CI69" i="31" s="1"/>
  <c r="AL69" i="31"/>
  <c r="AR69" i="31" s="1"/>
  <c r="AU62" i="31"/>
  <c r="AW62" i="31" s="1"/>
  <c r="CK62" i="31" s="1"/>
  <c r="AU95" i="31"/>
  <c r="AW95" i="31" s="1"/>
  <c r="CK95" i="31" s="1"/>
  <c r="AU266" i="31"/>
  <c r="AW266" i="31" s="1"/>
  <c r="CK266" i="31" s="1"/>
  <c r="AK120" i="31"/>
  <c r="CI120" i="31" s="1"/>
  <c r="AK56" i="31"/>
  <c r="CI56" i="31" s="1"/>
  <c r="AL56" i="31"/>
  <c r="AR56" i="31" s="1"/>
  <c r="AK231" i="31"/>
  <c r="CI231" i="31" s="1"/>
  <c r="AL102" i="31"/>
  <c r="AR102" i="31" s="1"/>
  <c r="AK303" i="31"/>
  <c r="CI303" i="31" s="1"/>
  <c r="AK268" i="31"/>
  <c r="CI268" i="31" s="1"/>
  <c r="AK223" i="31"/>
  <c r="CI223" i="31" s="1"/>
  <c r="AU104" i="31"/>
  <c r="AW104" i="31" s="1"/>
  <c r="CK104" i="31" s="1"/>
  <c r="AU192" i="31"/>
  <c r="AW192" i="31" s="1"/>
  <c r="CK192" i="31" s="1"/>
  <c r="AL223" i="31"/>
  <c r="AR223" i="31" s="1"/>
  <c r="G348" i="41"/>
  <c r="N25" i="50"/>
  <c r="AK263" i="31"/>
  <c r="CI263" i="31" s="1"/>
  <c r="AU251" i="31"/>
  <c r="AW251" i="31" s="1"/>
  <c r="CK251" i="31" s="1"/>
  <c r="AK71" i="31"/>
  <c r="CI71" i="31" s="1"/>
  <c r="AK234" i="31"/>
  <c r="CI234" i="31" s="1"/>
  <c r="AU17" i="31"/>
  <c r="AW17" i="31" s="1"/>
  <c r="CK17" i="31" s="1"/>
  <c r="AL45" i="31"/>
  <c r="AR45" i="31" s="1"/>
  <c r="AK241" i="31"/>
  <c r="CI241" i="31" s="1"/>
  <c r="AU101" i="31"/>
  <c r="AW101" i="31" s="1"/>
  <c r="CK101" i="31" s="1"/>
  <c r="AU9" i="31"/>
  <c r="AW9" i="31" s="1"/>
  <c r="CK9" i="31" s="1"/>
  <c r="M4" i="41" s="1"/>
  <c r="AU86" i="31"/>
  <c r="AW86" i="31" s="1"/>
  <c r="CK86" i="31" s="1"/>
  <c r="AK10" i="31"/>
  <c r="CI10" i="31" s="1"/>
  <c r="K5" i="41" s="1"/>
  <c r="AU24" i="31"/>
  <c r="AW24" i="31" s="1"/>
  <c r="CK24" i="31" s="1"/>
  <c r="AK276" i="31"/>
  <c r="CI276" i="31" s="1"/>
  <c r="AU314" i="31"/>
  <c r="AW314" i="31" s="1"/>
  <c r="CK314" i="31" s="1"/>
  <c r="AU149" i="31"/>
  <c r="AW149" i="31" s="1"/>
  <c r="CK149" i="31" s="1"/>
  <c r="AU345" i="31"/>
  <c r="AW345" i="31" s="1"/>
  <c r="CK345" i="31" s="1"/>
  <c r="AU248" i="31"/>
  <c r="AW248" i="31" s="1"/>
  <c r="CK248" i="31" s="1"/>
  <c r="AK129" i="31"/>
  <c r="CI129" i="31" s="1"/>
  <c r="AK130" i="31"/>
  <c r="CI130" i="31" s="1"/>
  <c r="AK189" i="31"/>
  <c r="CI189" i="31" s="1"/>
  <c r="AK54" i="31"/>
  <c r="CI54" i="31" s="1"/>
  <c r="AK235" i="31"/>
  <c r="CI235" i="31" s="1"/>
  <c r="AL235" i="31"/>
  <c r="AR235" i="31" s="1"/>
  <c r="AK304" i="31"/>
  <c r="CI304" i="31" s="1"/>
  <c r="AK333" i="31"/>
  <c r="CI333" i="31" s="1"/>
  <c r="AL333" i="31"/>
  <c r="AR333" i="31" s="1"/>
  <c r="AK161" i="31"/>
  <c r="CI161" i="31" s="1"/>
  <c r="AK133" i="31"/>
  <c r="CI133" i="31" s="1"/>
  <c r="AU120" i="31"/>
  <c r="AW120" i="31" s="1"/>
  <c r="CK120" i="31" s="1"/>
  <c r="AU32" i="31"/>
  <c r="AW32" i="31" s="1"/>
  <c r="CK32" i="31" s="1"/>
  <c r="AK203" i="31"/>
  <c r="CI203" i="31" s="1"/>
  <c r="AL203" i="31"/>
  <c r="AR203" i="31" s="1"/>
  <c r="AU231" i="31"/>
  <c r="AW231" i="31" s="1"/>
  <c r="CK231" i="31" s="1"/>
  <c r="AK288" i="31"/>
  <c r="CI288" i="31" s="1"/>
  <c r="AK218" i="31"/>
  <c r="CI218" i="31" s="1"/>
  <c r="AU263" i="31"/>
  <c r="AW263" i="31" s="1"/>
  <c r="CK263" i="31" s="1"/>
  <c r="AK48" i="31"/>
  <c r="CI48" i="31" s="1"/>
  <c r="AK269" i="31"/>
  <c r="CI269" i="31" s="1"/>
  <c r="AU71" i="31"/>
  <c r="AW71" i="31" s="1"/>
  <c r="CK71" i="31" s="1"/>
  <c r="AU234" i="31"/>
  <c r="AW234" i="31" s="1"/>
  <c r="CK234" i="31" s="1"/>
  <c r="AK107" i="31"/>
  <c r="CI107" i="31" s="1"/>
  <c r="AU241" i="31"/>
  <c r="AW241" i="31" s="1"/>
  <c r="CK241" i="31" s="1"/>
  <c r="AK169" i="31"/>
  <c r="CI169" i="31" s="1"/>
  <c r="AK15" i="31"/>
  <c r="CI15" i="31" s="1"/>
  <c r="AK177" i="31"/>
  <c r="CI177" i="31" s="1"/>
  <c r="AK287" i="31"/>
  <c r="CI287" i="31" s="1"/>
  <c r="AK124" i="31"/>
  <c r="CI124" i="31" s="1"/>
  <c r="AK267" i="31"/>
  <c r="CI267" i="31" s="1"/>
  <c r="AU10" i="31"/>
  <c r="AW10" i="31" s="1"/>
  <c r="CK10" i="31" s="1"/>
  <c r="M5" i="41" s="1"/>
  <c r="AU276" i="31"/>
  <c r="AW276" i="31" s="1"/>
  <c r="CK276" i="31" s="1"/>
  <c r="AK87" i="31"/>
  <c r="CI87" i="31" s="1"/>
  <c r="AU129" i="31"/>
  <c r="AW129" i="31" s="1"/>
  <c r="CK129" i="31" s="1"/>
  <c r="AU130" i="31"/>
  <c r="AW130" i="31" s="1"/>
  <c r="CK130" i="31" s="1"/>
  <c r="AU189" i="31"/>
  <c r="AW189" i="31" s="1"/>
  <c r="CK189" i="31" s="1"/>
  <c r="AU54" i="31"/>
  <c r="AW54" i="31" s="1"/>
  <c r="CK54" i="31" s="1"/>
  <c r="AK186" i="31"/>
  <c r="CI186" i="31" s="1"/>
  <c r="AU304" i="31"/>
  <c r="AW304" i="31" s="1"/>
  <c r="CK304" i="31" s="1"/>
  <c r="AU161" i="31"/>
  <c r="AW161" i="31" s="1"/>
  <c r="CK161" i="31" s="1"/>
  <c r="AU133" i="31"/>
  <c r="AW133" i="31" s="1"/>
  <c r="CK133" i="31" s="1"/>
  <c r="AK145" i="31"/>
  <c r="CI145" i="31" s="1"/>
  <c r="AL145" i="31"/>
  <c r="AR145" i="31" s="1"/>
  <c r="AK236" i="31"/>
  <c r="CI236" i="31" s="1"/>
  <c r="AL236" i="31"/>
  <c r="AR236" i="31" s="1"/>
  <c r="AK12" i="31"/>
  <c r="CI12" i="31" s="1"/>
  <c r="K7" i="41" s="1"/>
  <c r="AU136" i="31"/>
  <c r="AW136" i="31" s="1"/>
  <c r="CK136" i="31" s="1"/>
  <c r="N35" i="50"/>
  <c r="F35" i="50" s="1"/>
  <c r="AK291" i="31"/>
  <c r="CI291" i="31" s="1"/>
  <c r="X12" i="29"/>
  <c r="AK347" i="31"/>
  <c r="CI347" i="31" s="1"/>
  <c r="AK222" i="31"/>
  <c r="CI222" i="31" s="1"/>
  <c r="AL291" i="31"/>
  <c r="AR291" i="31" s="1"/>
  <c r="AK183" i="31"/>
  <c r="CI183" i="31" s="1"/>
  <c r="AK344" i="31"/>
  <c r="CI344" i="31" s="1"/>
  <c r="AK254" i="31"/>
  <c r="CI254" i="31" s="1"/>
  <c r="AL347" i="31"/>
  <c r="AR347" i="31" s="1"/>
  <c r="AL222" i="31"/>
  <c r="AR222" i="31" s="1"/>
  <c r="AK151" i="31"/>
  <c r="CI151" i="31" s="1"/>
  <c r="AK110" i="31"/>
  <c r="CI110" i="31" s="1"/>
  <c r="AK202" i="31"/>
  <c r="CI202" i="31" s="1"/>
  <c r="AK35" i="31"/>
  <c r="CI35" i="31" s="1"/>
  <c r="AK197" i="31"/>
  <c r="CI197" i="31" s="1"/>
  <c r="J39" i="29"/>
  <c r="M3" i="29"/>
  <c r="AK68" i="31"/>
  <c r="CI68" i="31" s="1"/>
  <c r="AK322" i="31"/>
  <c r="CI322" i="31" s="1"/>
  <c r="AU151" i="31"/>
  <c r="AW151" i="31" s="1"/>
  <c r="CK151" i="31" s="1"/>
  <c r="AU110" i="31"/>
  <c r="AW110" i="31" s="1"/>
  <c r="CK110" i="31" s="1"/>
  <c r="AK221" i="31"/>
  <c r="CI221" i="31" s="1"/>
  <c r="AU202" i="31"/>
  <c r="AW202" i="31" s="1"/>
  <c r="CK202" i="31" s="1"/>
  <c r="AU35" i="31"/>
  <c r="AW35" i="31" s="1"/>
  <c r="CK35" i="31" s="1"/>
  <c r="AK21" i="31"/>
  <c r="CI21" i="31" s="1"/>
  <c r="AU197" i="31"/>
  <c r="AW197" i="31" s="1"/>
  <c r="CK197" i="31" s="1"/>
  <c r="AK308" i="31"/>
  <c r="CI308" i="31" s="1"/>
  <c r="AK33" i="31"/>
  <c r="CI33" i="31" s="1"/>
  <c r="N348" i="41"/>
  <c r="AU21" i="31"/>
  <c r="AW21" i="31" s="1"/>
  <c r="CK21" i="31" s="1"/>
  <c r="AK115" i="31"/>
  <c r="CI115" i="31" s="1"/>
  <c r="X5" i="29"/>
  <c r="AK260" i="31"/>
  <c r="CI260" i="31" s="1"/>
  <c r="AK47" i="31"/>
  <c r="CI47" i="31" s="1"/>
  <c r="AK57" i="31"/>
  <c r="CI57" i="31" s="1"/>
  <c r="AK217" i="31"/>
  <c r="CI217" i="31" s="1"/>
  <c r="AK119" i="31"/>
  <c r="CI119" i="31" s="1"/>
  <c r="AK238" i="31"/>
  <c r="CI238" i="31" s="1"/>
  <c r="AL308" i="31"/>
  <c r="AR308" i="31" s="1"/>
  <c r="AL33" i="31"/>
  <c r="AR33" i="31" s="1"/>
  <c r="AU115" i="31"/>
  <c r="AW115" i="31" s="1"/>
  <c r="CK115" i="31" s="1"/>
  <c r="AK181" i="31"/>
  <c r="CI181" i="31" s="1"/>
  <c r="AL260" i="31"/>
  <c r="AR260" i="31" s="1"/>
  <c r="AK61" i="31"/>
  <c r="CI61" i="31" s="1"/>
  <c r="AK67" i="31"/>
  <c r="CI67" i="31" s="1"/>
  <c r="AK77" i="31"/>
  <c r="CI77" i="31" s="1"/>
  <c r="AL47" i="31"/>
  <c r="AR47" i="31" s="1"/>
  <c r="AK211" i="31"/>
  <c r="CI211" i="31" s="1"/>
  <c r="AK220" i="31"/>
  <c r="CI220" i="31" s="1"/>
  <c r="AL57" i="31"/>
  <c r="AR57" i="31" s="1"/>
  <c r="AL217" i="31"/>
  <c r="AR217" i="31" s="1"/>
  <c r="AK252" i="31"/>
  <c r="CI252" i="31" s="1"/>
  <c r="AL119" i="31"/>
  <c r="AR119" i="31" s="1"/>
  <c r="AL238" i="31"/>
  <c r="AR238" i="31" s="1"/>
  <c r="AK204" i="31"/>
  <c r="CI204" i="31" s="1"/>
  <c r="AK196" i="31"/>
  <c r="CI196" i="31" s="1"/>
  <c r="AK292" i="31"/>
  <c r="CI292" i="31" s="1"/>
  <c r="AL181" i="31"/>
  <c r="AR181" i="31" s="1"/>
  <c r="AK297" i="31"/>
  <c r="CI297" i="31" s="1"/>
  <c r="AL61" i="31"/>
  <c r="AR61" i="31" s="1"/>
  <c r="AK328" i="31"/>
  <c r="CI328" i="31" s="1"/>
  <c r="AL67" i="31"/>
  <c r="AR67" i="31" s="1"/>
  <c r="AL77" i="31"/>
  <c r="AR77" i="31" s="1"/>
  <c r="AK105" i="31"/>
  <c r="CI105" i="31" s="1"/>
  <c r="AL211" i="31"/>
  <c r="AR211" i="31" s="1"/>
  <c r="AK34" i="31"/>
  <c r="CI34" i="31" s="1"/>
  <c r="AL220" i="31"/>
  <c r="AR220" i="31" s="1"/>
  <c r="AK18" i="31"/>
  <c r="CI18" i="31" s="1"/>
  <c r="AL252" i="31"/>
  <c r="AR252" i="31" s="1"/>
  <c r="AK273" i="31"/>
  <c r="CI273" i="31" s="1"/>
  <c r="AL204" i="31"/>
  <c r="AR204" i="31" s="1"/>
  <c r="AK316" i="31"/>
  <c r="CI316" i="31" s="1"/>
  <c r="AL196" i="31"/>
  <c r="AR196" i="31" s="1"/>
  <c r="AK160" i="31"/>
  <c r="CI160" i="31" s="1"/>
  <c r="AK242" i="31"/>
  <c r="CI242" i="31" s="1"/>
  <c r="AK66" i="31"/>
  <c r="CI66" i="31" s="1"/>
  <c r="AU292" i="31"/>
  <c r="AW292" i="31" s="1"/>
  <c r="CK292" i="31" s="1"/>
  <c r="AK116" i="31"/>
  <c r="CI116" i="31" s="1"/>
  <c r="AK139" i="31"/>
  <c r="CI139" i="31" s="1"/>
  <c r="AK166" i="31"/>
  <c r="CI166" i="31" s="1"/>
  <c r="AU297" i="31"/>
  <c r="AW297" i="31" s="1"/>
  <c r="CK297" i="31" s="1"/>
  <c r="AK85" i="31"/>
  <c r="CI85" i="31" s="1"/>
  <c r="AU328" i="31"/>
  <c r="AW328" i="31" s="1"/>
  <c r="CK328" i="31" s="1"/>
  <c r="AK312" i="31"/>
  <c r="CI312" i="31" s="1"/>
  <c r="AK279" i="31"/>
  <c r="CI279" i="31" s="1"/>
  <c r="AU105" i="31"/>
  <c r="AW105" i="31" s="1"/>
  <c r="CK105" i="31" s="1"/>
  <c r="AK128" i="31"/>
  <c r="CI128" i="31" s="1"/>
  <c r="AU34" i="31"/>
  <c r="AW34" i="31" s="1"/>
  <c r="CK34" i="31" s="1"/>
  <c r="AK227" i="31"/>
  <c r="CI227" i="31" s="1"/>
  <c r="AK335" i="31"/>
  <c r="CI335" i="31" s="1"/>
  <c r="AU18" i="31"/>
  <c r="AW18" i="31" s="1"/>
  <c r="CK18" i="31" s="1"/>
  <c r="AL273" i="31"/>
  <c r="AR273" i="31" s="1"/>
  <c r="AK155" i="31"/>
  <c r="CI155" i="31" s="1"/>
  <c r="AK307" i="31"/>
  <c r="CI307" i="31" s="1"/>
  <c r="AL316" i="31"/>
  <c r="AR316" i="31" s="1"/>
  <c r="AU312" i="31"/>
  <c r="AW312" i="31" s="1"/>
  <c r="CK312" i="31" s="1"/>
  <c r="AU279" i="31"/>
  <c r="AW279" i="31" s="1"/>
  <c r="CK279" i="31" s="1"/>
  <c r="AU128" i="31"/>
  <c r="AW128" i="31" s="1"/>
  <c r="CK128" i="31" s="1"/>
  <c r="AK164" i="31"/>
  <c r="CI164" i="31" s="1"/>
  <c r="AU227" i="31"/>
  <c r="AW227" i="31" s="1"/>
  <c r="CK227" i="31" s="1"/>
  <c r="AU335" i="31"/>
  <c r="AW335" i="31" s="1"/>
  <c r="CK335" i="31" s="1"/>
  <c r="AK153" i="31"/>
  <c r="CI153" i="31" s="1"/>
  <c r="AU155" i="31"/>
  <c r="AW155" i="31" s="1"/>
  <c r="CK155" i="31" s="1"/>
  <c r="AL307" i="31"/>
  <c r="AR307" i="31" s="1"/>
  <c r="AK306" i="31"/>
  <c r="CI306" i="31" s="1"/>
  <c r="AK22" i="31"/>
  <c r="CI22" i="31" s="1"/>
  <c r="AL164" i="31"/>
  <c r="AR164" i="31" s="1"/>
  <c r="AL153" i="31"/>
  <c r="AR153" i="31" s="1"/>
  <c r="AU306" i="31"/>
  <c r="AW306" i="31" s="1"/>
  <c r="CK306" i="31" s="1"/>
  <c r="AK325" i="31"/>
  <c r="CI325" i="31" s="1"/>
  <c r="AK167" i="31"/>
  <c r="CI167" i="31" s="1"/>
  <c r="AK32" i="31"/>
  <c r="CI32" i="31" s="1"/>
  <c r="AK310" i="31"/>
  <c r="CI310" i="31" s="1"/>
  <c r="AK76" i="31"/>
  <c r="CI76" i="31" s="1"/>
  <c r="L348" i="41"/>
  <c r="AL22" i="31"/>
  <c r="AR22" i="31" s="1"/>
  <c r="AK122" i="31"/>
  <c r="CI122" i="31" s="1"/>
  <c r="AK52" i="31"/>
  <c r="CI52" i="31" s="1"/>
  <c r="AK284" i="31"/>
  <c r="CI284" i="31" s="1"/>
  <c r="AK127" i="31"/>
  <c r="CI127" i="31" s="1"/>
  <c r="AU76" i="31"/>
  <c r="AW76" i="31" s="1"/>
  <c r="CK76" i="31" s="1"/>
  <c r="J43" i="29"/>
  <c r="M7" i="29"/>
  <c r="AQ2" i="31"/>
  <c r="AL122" i="31"/>
  <c r="AR122" i="31" s="1"/>
  <c r="AL52" i="31"/>
  <c r="AR52" i="31" s="1"/>
  <c r="AK55" i="31"/>
  <c r="CI55" i="31" s="1"/>
  <c r="AL284" i="31"/>
  <c r="AR284" i="31" s="1"/>
  <c r="AK275" i="31"/>
  <c r="CI275" i="31" s="1"/>
  <c r="AK282" i="31"/>
  <c r="CI282" i="31" s="1"/>
  <c r="AU55" i="31"/>
  <c r="AW55" i="31" s="1"/>
  <c r="CK55" i="31" s="1"/>
  <c r="AK324" i="31"/>
  <c r="CI324" i="31" s="1"/>
  <c r="AL275" i="31"/>
  <c r="AR275" i="31" s="1"/>
  <c r="AL282" i="31"/>
  <c r="AR282" i="31" s="1"/>
  <c r="AK44" i="31"/>
  <c r="CI44" i="31" s="1"/>
  <c r="AK300" i="31"/>
  <c r="CI300" i="31" s="1"/>
  <c r="AK176" i="31"/>
  <c r="CI176" i="31" s="1"/>
  <c r="AK271" i="31"/>
  <c r="CI271" i="31" s="1"/>
  <c r="AU324" i="31"/>
  <c r="AW324" i="31" s="1"/>
  <c r="CK324" i="31" s="1"/>
  <c r="AK349" i="31"/>
  <c r="CI349" i="31" s="1"/>
  <c r="AK213" i="31"/>
  <c r="CI213" i="31" s="1"/>
  <c r="M2" i="31"/>
  <c r="AK81" i="31"/>
  <c r="CI81" i="31" s="1"/>
  <c r="AK91" i="31"/>
  <c r="CI91" i="31" s="1"/>
  <c r="N26" i="50"/>
  <c r="F26" i="50" s="1"/>
  <c r="AU44" i="31"/>
  <c r="AW44" i="31" s="1"/>
  <c r="CK44" i="31" s="1"/>
  <c r="AU300" i="31"/>
  <c r="AW300" i="31" s="1"/>
  <c r="CK300" i="31" s="1"/>
  <c r="AK315" i="31"/>
  <c r="CI315" i="31" s="1"/>
  <c r="AK290" i="31"/>
  <c r="CI290" i="31" s="1"/>
  <c r="AK157" i="31"/>
  <c r="CI157" i="31" s="1"/>
  <c r="AU176" i="31"/>
  <c r="AW176" i="31" s="1"/>
  <c r="CK176" i="31" s="1"/>
  <c r="AU271" i="31"/>
  <c r="AW271" i="31" s="1"/>
  <c r="CK271" i="31" s="1"/>
  <c r="AK194" i="31"/>
  <c r="CI194" i="31" s="1"/>
  <c r="AK135" i="31"/>
  <c r="CI135" i="31" s="1"/>
  <c r="AL349" i="31"/>
  <c r="AR349" i="31" s="1"/>
  <c r="AL213" i="31"/>
  <c r="AR213" i="31" s="1"/>
  <c r="AL81" i="31"/>
  <c r="AR81" i="31" s="1"/>
  <c r="AK343" i="31"/>
  <c r="CI343" i="31" s="1"/>
  <c r="AK298" i="31"/>
  <c r="CI298" i="31" s="1"/>
  <c r="AK262" i="31"/>
  <c r="CI262" i="31" s="1"/>
  <c r="AK338" i="31"/>
  <c r="CI338" i="31" s="1"/>
  <c r="AL91" i="31"/>
  <c r="AR91" i="31" s="1"/>
  <c r="AK92" i="31"/>
  <c r="CI92" i="31" s="1"/>
  <c r="AK49" i="31"/>
  <c r="CI49" i="31" s="1"/>
  <c r="AL315" i="31"/>
  <c r="AR315" i="31" s="1"/>
  <c r="AL290" i="31"/>
  <c r="AR290" i="31" s="1"/>
  <c r="AL157" i="31"/>
  <c r="AR157" i="31" s="1"/>
  <c r="AK93" i="31"/>
  <c r="CI93" i="31" s="1"/>
  <c r="AK336" i="31"/>
  <c r="CI336" i="31" s="1"/>
  <c r="AK109" i="31"/>
  <c r="CI109" i="31" s="1"/>
  <c r="AL194" i="31"/>
  <c r="AR194" i="31" s="1"/>
  <c r="AL135" i="31"/>
  <c r="AR135" i="31" s="1"/>
  <c r="AK219" i="31"/>
  <c r="CI219" i="31" s="1"/>
  <c r="AK329" i="31"/>
  <c r="CI329" i="31" s="1"/>
  <c r="AK159" i="31"/>
  <c r="CI159" i="31" s="1"/>
  <c r="AU338" i="31"/>
  <c r="AW338" i="31" s="1"/>
  <c r="CK338" i="31" s="1"/>
  <c r="AK53" i="31"/>
  <c r="CI53" i="31" s="1"/>
  <c r="AU92" i="31"/>
  <c r="AW92" i="31" s="1"/>
  <c r="CK92" i="31" s="1"/>
  <c r="AU49" i="31"/>
  <c r="AW49" i="31" s="1"/>
  <c r="CK49" i="31" s="1"/>
  <c r="AK23" i="31"/>
  <c r="CI23" i="31" s="1"/>
  <c r="AL93" i="31"/>
  <c r="AR93" i="31" s="1"/>
  <c r="AL336" i="31"/>
  <c r="AR336" i="31" s="1"/>
  <c r="AU109" i="31"/>
  <c r="AW109" i="31" s="1"/>
  <c r="CK109" i="31" s="1"/>
  <c r="AK311" i="31"/>
  <c r="CI311" i="31" s="1"/>
  <c r="AK113" i="31"/>
  <c r="CI113" i="31" s="1"/>
  <c r="AK229" i="31"/>
  <c r="CI229" i="31" s="1"/>
  <c r="AK323" i="31"/>
  <c r="CI323" i="31" s="1"/>
  <c r="AU219" i="31"/>
  <c r="AW219" i="31" s="1"/>
  <c r="CK219" i="31" s="1"/>
  <c r="AK258" i="31"/>
  <c r="CI258" i="31" s="1"/>
  <c r="AK320" i="31"/>
  <c r="CI320" i="31" s="1"/>
  <c r="AK201" i="31"/>
  <c r="CI201" i="31" s="1"/>
  <c r="AU329" i="31"/>
  <c r="AW329" i="31" s="1"/>
  <c r="CK329" i="31" s="1"/>
  <c r="AK209" i="31"/>
  <c r="CI209" i="31" s="1"/>
  <c r="AL159" i="31"/>
  <c r="AR159" i="31" s="1"/>
  <c r="AK265" i="31"/>
  <c r="CI265" i="31" s="1"/>
  <c r="AK59" i="31"/>
  <c r="CI59" i="31" s="1"/>
  <c r="AK332" i="31"/>
  <c r="CI332" i="31" s="1"/>
  <c r="AK62" i="31"/>
  <c r="CI62" i="31" s="1"/>
  <c r="AK278" i="31"/>
  <c r="CI278" i="31" s="1"/>
  <c r="AU53" i="31"/>
  <c r="AW53" i="31" s="1"/>
  <c r="CK53" i="31" s="1"/>
  <c r="AU23" i="31"/>
  <c r="AW23" i="31" s="1"/>
  <c r="CK23" i="31" s="1"/>
  <c r="AL311" i="31"/>
  <c r="AR311" i="31" s="1"/>
  <c r="AL113" i="31"/>
  <c r="AR113" i="31" s="1"/>
  <c r="AL229" i="31"/>
  <c r="AR229" i="31" s="1"/>
  <c r="AL323" i="31"/>
  <c r="AR323" i="31" s="1"/>
  <c r="AL258" i="31"/>
  <c r="AR258" i="31" s="1"/>
  <c r="AK136" i="31"/>
  <c r="CI136" i="31" s="1"/>
  <c r="AU320" i="31"/>
  <c r="AW320" i="31" s="1"/>
  <c r="CK320" i="31" s="1"/>
  <c r="AU201" i="31"/>
  <c r="AW201" i="31" s="1"/>
  <c r="CK201" i="31" s="1"/>
  <c r="AK83" i="31"/>
  <c r="CI83" i="31" s="1"/>
  <c r="AL209" i="31"/>
  <c r="AR209" i="31" s="1"/>
  <c r="AX116" i="31" l="1"/>
  <c r="BD116" i="31" s="1"/>
  <c r="BJ116" i="31" s="1"/>
  <c r="BM116" i="31" s="1"/>
  <c r="AX85" i="31"/>
  <c r="BD85" i="31" s="1"/>
  <c r="BJ85" i="31" s="1"/>
  <c r="BM85" i="31" s="1"/>
  <c r="BO85" i="31" s="1"/>
  <c r="CN85" i="31" s="1"/>
  <c r="AX327" i="31"/>
  <c r="BD327" i="31" s="1"/>
  <c r="BJ327" i="31" s="1"/>
  <c r="AX141" i="31"/>
  <c r="BD141" i="31" s="1"/>
  <c r="BJ141" i="31" s="1"/>
  <c r="AX340" i="31"/>
  <c r="BD340" i="31" s="1"/>
  <c r="BJ340" i="31" s="1"/>
  <c r="BM340" i="31" s="1"/>
  <c r="BP340" i="31" s="1"/>
  <c r="BV340" i="31" s="1"/>
  <c r="AX342" i="31"/>
  <c r="BD342" i="31" s="1"/>
  <c r="BJ342" i="31" s="1"/>
  <c r="BM342" i="31" s="1"/>
  <c r="AX190" i="31"/>
  <c r="BD190" i="31" s="1"/>
  <c r="BJ190" i="31" s="1"/>
  <c r="BM190" i="31" s="1"/>
  <c r="BO190" i="31" s="1"/>
  <c r="CN190" i="31" s="1"/>
  <c r="AX285" i="31"/>
  <c r="BD285" i="31" s="1"/>
  <c r="BJ285" i="31" s="1"/>
  <c r="BM285" i="31" s="1"/>
  <c r="AX306" i="31"/>
  <c r="BD306" i="31" s="1"/>
  <c r="BJ306" i="31" s="1"/>
  <c r="BM306" i="31" s="1"/>
  <c r="BO306" i="31" s="1"/>
  <c r="CN306" i="31" s="1"/>
  <c r="AX263" i="31"/>
  <c r="BD263" i="31" s="1"/>
  <c r="BJ263" i="31" s="1"/>
  <c r="BM263" i="31" s="1"/>
  <c r="BP263" i="31" s="1"/>
  <c r="BV263" i="31" s="1"/>
  <c r="AX140" i="31"/>
  <c r="BD140" i="31" s="1"/>
  <c r="BJ140" i="31" s="1"/>
  <c r="BM140" i="31" s="1"/>
  <c r="BP140" i="31" s="1"/>
  <c r="BV140" i="31" s="1"/>
  <c r="AX193" i="31"/>
  <c r="BD193" i="31" s="1"/>
  <c r="BJ193" i="31" s="1"/>
  <c r="BM193" i="31" s="1"/>
  <c r="BO193" i="31" s="1"/>
  <c r="CN193" i="31" s="1"/>
  <c r="AX218" i="31"/>
  <c r="BD218" i="31" s="1"/>
  <c r="BJ218" i="31" s="1"/>
  <c r="BM218" i="31" s="1"/>
  <c r="AX231" i="31"/>
  <c r="BD231" i="31" s="1"/>
  <c r="BJ231" i="31" s="1"/>
  <c r="BM231" i="31" s="1"/>
  <c r="AX34" i="31"/>
  <c r="BD34" i="31" s="1"/>
  <c r="BJ34" i="31" s="1"/>
  <c r="BM34" i="31" s="1"/>
  <c r="BO34" i="31" s="1"/>
  <c r="CN34" i="31" s="1"/>
  <c r="AX248" i="31"/>
  <c r="BD248" i="31" s="1"/>
  <c r="BJ248" i="31" s="1"/>
  <c r="BM248" i="31" s="1"/>
  <c r="AX68" i="31"/>
  <c r="BD68" i="31" s="1"/>
  <c r="BJ68" i="31" s="1"/>
  <c r="BM68" i="31" s="1"/>
  <c r="AX120" i="31"/>
  <c r="BD120" i="31" s="1"/>
  <c r="BJ120" i="31" s="1"/>
  <c r="BM120" i="31" s="1"/>
  <c r="BO120" i="31" s="1"/>
  <c r="CN120" i="31" s="1"/>
  <c r="AX104" i="31"/>
  <c r="BD104" i="31" s="1"/>
  <c r="BJ104" i="31" s="1"/>
  <c r="BM104" i="31" s="1"/>
  <c r="BO104" i="31" s="1"/>
  <c r="CN104" i="31" s="1"/>
  <c r="AX36" i="31"/>
  <c r="BD36" i="31" s="1"/>
  <c r="BJ36" i="31" s="1"/>
  <c r="BM36" i="31" s="1"/>
  <c r="BO36" i="31" s="1"/>
  <c r="CN36" i="31" s="1"/>
  <c r="AX70" i="31"/>
  <c r="BD70" i="31" s="1"/>
  <c r="BJ70" i="31" s="1"/>
  <c r="BM70" i="31" s="1"/>
  <c r="AX329" i="31"/>
  <c r="BD329" i="31" s="1"/>
  <c r="BJ329" i="31" s="1"/>
  <c r="BM329" i="31" s="1"/>
  <c r="BP329" i="31" s="1"/>
  <c r="BV329" i="31" s="1"/>
  <c r="AX176" i="31"/>
  <c r="BD176" i="31" s="1"/>
  <c r="BJ176" i="31" s="1"/>
  <c r="BM176" i="31" s="1"/>
  <c r="AX160" i="31"/>
  <c r="BD160" i="31" s="1"/>
  <c r="BJ160" i="31" s="1"/>
  <c r="BM160" i="31" s="1"/>
  <c r="BP160" i="31" s="1"/>
  <c r="BV160" i="31" s="1"/>
  <c r="AX37" i="31"/>
  <c r="BD37" i="31" s="1"/>
  <c r="BJ37" i="31" s="1"/>
  <c r="AX270" i="31"/>
  <c r="BD270" i="31" s="1"/>
  <c r="BJ270" i="31" s="1"/>
  <c r="BM270" i="31" s="1"/>
  <c r="BP270" i="31" s="1"/>
  <c r="BV270" i="31" s="1"/>
  <c r="AX124" i="31"/>
  <c r="BD124" i="31" s="1"/>
  <c r="BJ124" i="31" s="1"/>
  <c r="BM124" i="31" s="1"/>
  <c r="AX19" i="31"/>
  <c r="BD19" i="31" s="1"/>
  <c r="BJ19" i="31" s="1"/>
  <c r="BM19" i="31" s="1"/>
  <c r="BP19" i="31" s="1"/>
  <c r="BV19" i="31" s="1"/>
  <c r="AX279" i="31"/>
  <c r="BD279" i="31" s="1"/>
  <c r="BJ279" i="31" s="1"/>
  <c r="BM279" i="31" s="1"/>
  <c r="AX136" i="31"/>
  <c r="BD136" i="31" s="1"/>
  <c r="BJ136" i="31" s="1"/>
  <c r="BM136" i="31" s="1"/>
  <c r="BP136" i="31" s="1"/>
  <c r="BV136" i="31" s="1"/>
  <c r="AX10" i="31"/>
  <c r="BD10" i="31" s="1"/>
  <c r="BJ10" i="31" s="1"/>
  <c r="BM10" i="31" s="1"/>
  <c r="AX208" i="31"/>
  <c r="BD208" i="31" s="1"/>
  <c r="BJ208" i="31" s="1"/>
  <c r="BM208" i="31" s="1"/>
  <c r="BO208" i="31" s="1"/>
  <c r="CN208" i="31" s="1"/>
  <c r="AX83" i="31"/>
  <c r="BD83" i="31" s="1"/>
  <c r="BJ83" i="31" s="1"/>
  <c r="BM83" i="31" s="1"/>
  <c r="BP83" i="31" s="1"/>
  <c r="BV83" i="31" s="1"/>
  <c r="AX166" i="31"/>
  <c r="BD166" i="31" s="1"/>
  <c r="BJ166" i="31" s="1"/>
  <c r="BM166" i="31" s="1"/>
  <c r="BP166" i="31" s="1"/>
  <c r="BV166" i="31" s="1"/>
  <c r="AX92" i="31"/>
  <c r="BD92" i="31" s="1"/>
  <c r="BJ92" i="31" s="1"/>
  <c r="BM92" i="31" s="1"/>
  <c r="BO92" i="31" s="1"/>
  <c r="CN92" i="31" s="1"/>
  <c r="AX101" i="31"/>
  <c r="BD101" i="31" s="1"/>
  <c r="BJ101" i="31" s="1"/>
  <c r="BM101" i="31" s="1"/>
  <c r="BP101" i="31" s="1"/>
  <c r="BV101" i="31" s="1"/>
  <c r="AX35" i="31"/>
  <c r="BD35" i="31" s="1"/>
  <c r="BJ35" i="31" s="1"/>
  <c r="BM35" i="31" s="1"/>
  <c r="AX352" i="31"/>
  <c r="BD352" i="31" s="1"/>
  <c r="BJ352" i="31" s="1"/>
  <c r="BM352" i="31" s="1"/>
  <c r="BO352" i="31" s="1"/>
  <c r="CN352" i="31" s="1"/>
  <c r="AX167" i="31"/>
  <c r="BD167" i="31" s="1"/>
  <c r="BJ167" i="31" s="1"/>
  <c r="BM167" i="31" s="1"/>
  <c r="AX202" i="31"/>
  <c r="BD202" i="31" s="1"/>
  <c r="BJ202" i="31" s="1"/>
  <c r="BM202" i="31" s="1"/>
  <c r="AX314" i="31"/>
  <c r="BD314" i="31" s="1"/>
  <c r="BJ314" i="31" s="1"/>
  <c r="BM314" i="31" s="1"/>
  <c r="BO314" i="31" s="1"/>
  <c r="CN314" i="31" s="1"/>
  <c r="AX111" i="31"/>
  <c r="BD111" i="31" s="1"/>
  <c r="BJ111" i="31" s="1"/>
  <c r="AX151" i="31"/>
  <c r="BD151" i="31" s="1"/>
  <c r="BJ151" i="31" s="1"/>
  <c r="BM151" i="31" s="1"/>
  <c r="AX189" i="31"/>
  <c r="BD189" i="31" s="1"/>
  <c r="BJ189" i="31" s="1"/>
  <c r="BM189" i="31" s="1"/>
  <c r="AX198" i="31"/>
  <c r="BD198" i="31" s="1"/>
  <c r="BJ198" i="31" s="1"/>
  <c r="BM198" i="31" s="1"/>
  <c r="BO198" i="31" s="1"/>
  <c r="CN198" i="31" s="1"/>
  <c r="AX169" i="31"/>
  <c r="BD169" i="31" s="1"/>
  <c r="BJ169" i="31" s="1"/>
  <c r="BM169" i="31" s="1"/>
  <c r="AX303" i="31"/>
  <c r="BD303" i="31" s="1"/>
  <c r="BJ303" i="31" s="1"/>
  <c r="BM303" i="31" s="1"/>
  <c r="BP303" i="31" s="1"/>
  <c r="BV303" i="31" s="1"/>
  <c r="AX30" i="31"/>
  <c r="BD30" i="31" s="1"/>
  <c r="BJ30" i="31" s="1"/>
  <c r="BM30" i="31" s="1"/>
  <c r="BO30" i="31" s="1"/>
  <c r="CN30" i="31" s="1"/>
  <c r="AX148" i="31"/>
  <c r="BD148" i="31" s="1"/>
  <c r="BJ148" i="31" s="1"/>
  <c r="BM148" i="31" s="1"/>
  <c r="AX130" i="31"/>
  <c r="BD130" i="31" s="1"/>
  <c r="BJ130" i="31" s="1"/>
  <c r="BM130" i="31" s="1"/>
  <c r="BP130" i="31" s="1"/>
  <c r="BV130" i="31" s="1"/>
  <c r="AX64" i="31"/>
  <c r="BD64" i="31" s="1"/>
  <c r="BJ64" i="31" s="1"/>
  <c r="AX297" i="31"/>
  <c r="BD297" i="31" s="1"/>
  <c r="BJ297" i="31" s="1"/>
  <c r="BM297" i="31" s="1"/>
  <c r="BP297" i="31" s="1"/>
  <c r="BV297" i="31" s="1"/>
  <c r="AX192" i="31"/>
  <c r="BD192" i="31" s="1"/>
  <c r="BJ192" i="31" s="1"/>
  <c r="BM192" i="31" s="1"/>
  <c r="BP192" i="31" s="1"/>
  <c r="BV192" i="31" s="1"/>
  <c r="AX262" i="31"/>
  <c r="BD262" i="31" s="1"/>
  <c r="BJ262" i="31" s="1"/>
  <c r="BM262" i="31" s="1"/>
  <c r="BP262" i="31" s="1"/>
  <c r="BV262" i="31" s="1"/>
  <c r="AX171" i="31"/>
  <c r="BD171" i="31" s="1"/>
  <c r="BJ171" i="31" s="1"/>
  <c r="BM171" i="31" s="1"/>
  <c r="BO171" i="31" s="1"/>
  <c r="CN171" i="31" s="1"/>
  <c r="AX226" i="31"/>
  <c r="BD226" i="31" s="1"/>
  <c r="BJ226" i="31" s="1"/>
  <c r="BM226" i="31" s="1"/>
  <c r="BP226" i="31" s="1"/>
  <c r="BV226" i="31" s="1"/>
  <c r="AX146" i="31"/>
  <c r="BD146" i="31" s="1"/>
  <c r="BJ146" i="31" s="1"/>
  <c r="BM146" i="31" s="1"/>
  <c r="AX320" i="31"/>
  <c r="BD320" i="31" s="1"/>
  <c r="BJ320" i="31" s="1"/>
  <c r="BM320" i="31" s="1"/>
  <c r="AX29" i="31"/>
  <c r="BD29" i="31" s="1"/>
  <c r="BJ29" i="31" s="1"/>
  <c r="BM29" i="31" s="1"/>
  <c r="BP29" i="31" s="1"/>
  <c r="BV29" i="31" s="1"/>
  <c r="AX48" i="31"/>
  <c r="BD48" i="31" s="1"/>
  <c r="BJ48" i="31" s="1"/>
  <c r="BM48" i="31" s="1"/>
  <c r="AX271" i="31"/>
  <c r="BD271" i="31" s="1"/>
  <c r="BJ271" i="31" s="1"/>
  <c r="BM271" i="31" s="1"/>
  <c r="AX128" i="31"/>
  <c r="BD128" i="31" s="1"/>
  <c r="BJ128" i="31" s="1"/>
  <c r="BM128" i="31" s="1"/>
  <c r="BO128" i="31" s="1"/>
  <c r="CN128" i="31" s="1"/>
  <c r="AX21" i="31"/>
  <c r="BD21" i="31" s="1"/>
  <c r="BJ21" i="31" s="1"/>
  <c r="AX276" i="31"/>
  <c r="BD276" i="31" s="1"/>
  <c r="BJ276" i="31" s="1"/>
  <c r="BM276" i="31" s="1"/>
  <c r="BP276" i="31" s="1"/>
  <c r="BV276" i="31" s="1"/>
  <c r="AX242" i="31"/>
  <c r="BD242" i="31" s="1"/>
  <c r="BJ242" i="31" s="1"/>
  <c r="BM242" i="31" s="1"/>
  <c r="BP242" i="31" s="1"/>
  <c r="BV242" i="31" s="1"/>
  <c r="AX187" i="31"/>
  <c r="BD187" i="31" s="1"/>
  <c r="BJ187" i="31" s="1"/>
  <c r="BM187" i="31" s="1"/>
  <c r="BO187" i="31" s="1"/>
  <c r="CN187" i="31" s="1"/>
  <c r="K242" i="41"/>
  <c r="AU211" i="31"/>
  <c r="M261" i="41"/>
  <c r="AU162" i="31"/>
  <c r="AX162" i="31" s="1"/>
  <c r="BD162" i="31" s="1"/>
  <c r="BJ162" i="31" s="1"/>
  <c r="K33" i="41"/>
  <c r="M110" i="41"/>
  <c r="AX345" i="31"/>
  <c r="BD345" i="31" s="1"/>
  <c r="BJ345" i="31" s="1"/>
  <c r="AU143" i="31"/>
  <c r="K75" i="41"/>
  <c r="K76" i="41"/>
  <c r="AX115" i="31"/>
  <c r="BD115" i="31" s="1"/>
  <c r="BJ115" i="31" s="1"/>
  <c r="M105" i="41"/>
  <c r="K146" i="41"/>
  <c r="K339" i="41"/>
  <c r="M236" i="41"/>
  <c r="M66" i="41"/>
  <c r="AU333" i="31"/>
  <c r="AX333" i="31" s="1"/>
  <c r="BD333" i="31" s="1"/>
  <c r="BJ333" i="31" s="1"/>
  <c r="M144" i="41"/>
  <c r="AX251" i="31"/>
  <c r="BD251" i="31" s="1"/>
  <c r="BJ251" i="31" s="1"/>
  <c r="M90" i="41"/>
  <c r="K243" i="41"/>
  <c r="M305" i="41"/>
  <c r="K79" i="41"/>
  <c r="K9" i="41"/>
  <c r="K8" i="41"/>
  <c r="K276" i="41"/>
  <c r="K210" i="41"/>
  <c r="AU156" i="31"/>
  <c r="M178" i="41"/>
  <c r="M53" i="41"/>
  <c r="AU249" i="31"/>
  <c r="AX249" i="31" s="1"/>
  <c r="BD249" i="31" s="1"/>
  <c r="BJ249" i="31" s="1"/>
  <c r="AX293" i="31"/>
  <c r="BD293" i="31" s="1"/>
  <c r="BJ293" i="31" s="1"/>
  <c r="K14" i="41"/>
  <c r="K240" i="41"/>
  <c r="K160" i="41"/>
  <c r="AX185" i="31"/>
  <c r="BD185" i="31" s="1"/>
  <c r="BJ185" i="31" s="1"/>
  <c r="AU210" i="31"/>
  <c r="AX210" i="31" s="1"/>
  <c r="BD210" i="31" s="1"/>
  <c r="BJ210" i="31" s="1"/>
  <c r="AX98" i="31"/>
  <c r="BD98" i="31" s="1"/>
  <c r="BJ98" i="31" s="1"/>
  <c r="M249" i="41"/>
  <c r="AU82" i="31"/>
  <c r="AU247" i="31"/>
  <c r="M170" i="41"/>
  <c r="M173" i="41"/>
  <c r="K219" i="41"/>
  <c r="K92" i="41"/>
  <c r="AX165" i="31"/>
  <c r="BD165" i="31" s="1"/>
  <c r="BJ165" i="31" s="1"/>
  <c r="M102" i="41"/>
  <c r="K318" i="41"/>
  <c r="M150" i="41"/>
  <c r="AU180" i="31"/>
  <c r="AX180" i="31" s="1"/>
  <c r="BD180" i="31" s="1"/>
  <c r="BJ180" i="31" s="1"/>
  <c r="AX155" i="31"/>
  <c r="BD155" i="31" s="1"/>
  <c r="BJ155" i="31" s="1"/>
  <c r="K216" i="41"/>
  <c r="AX239" i="31"/>
  <c r="BD239" i="31" s="1"/>
  <c r="BJ239" i="31" s="1"/>
  <c r="AU214" i="31"/>
  <c r="AU299" i="31"/>
  <c r="AU174" i="31"/>
  <c r="K116" i="41"/>
  <c r="AU78" i="31"/>
  <c r="AX78" i="31" s="1"/>
  <c r="BD78" i="31" s="1"/>
  <c r="BJ78" i="31" s="1"/>
  <c r="AX265" i="31"/>
  <c r="BD265" i="31" s="1"/>
  <c r="BJ265" i="31" s="1"/>
  <c r="K224" i="41"/>
  <c r="K189" i="41"/>
  <c r="K159" i="41"/>
  <c r="K61" i="41"/>
  <c r="K100" i="41"/>
  <c r="K231" i="41"/>
  <c r="AU113" i="31"/>
  <c r="AX113" i="31" s="1"/>
  <c r="BD113" i="31" s="1"/>
  <c r="BJ113" i="31" s="1"/>
  <c r="AU135" i="31"/>
  <c r="M266" i="41"/>
  <c r="AX324" i="31"/>
  <c r="BD324" i="31" s="1"/>
  <c r="BJ324" i="31" s="1"/>
  <c r="M123" i="41"/>
  <c r="K274" i="41"/>
  <c r="AU77" i="31"/>
  <c r="AX77" i="31" s="1"/>
  <c r="BD77" i="31" s="1"/>
  <c r="BJ77" i="31" s="1"/>
  <c r="K292" i="41"/>
  <c r="AU33" i="31"/>
  <c r="AX33" i="31" s="1"/>
  <c r="BD33" i="31" s="1"/>
  <c r="BJ33" i="31" s="1"/>
  <c r="K110" i="41"/>
  <c r="AX110" i="31"/>
  <c r="BD110" i="31" s="1"/>
  <c r="BJ110" i="31" s="1"/>
  <c r="AU145" i="31"/>
  <c r="AX145" i="31" s="1"/>
  <c r="BD145" i="31" s="1"/>
  <c r="BJ145" i="31" s="1"/>
  <c r="K82" i="41"/>
  <c r="AX241" i="31"/>
  <c r="BD241" i="31" s="1"/>
  <c r="BJ241" i="31" s="1"/>
  <c r="AX71" i="31"/>
  <c r="BD71" i="31" s="1"/>
  <c r="BJ71" i="31" s="1"/>
  <c r="AX149" i="31"/>
  <c r="BD149" i="31" s="1"/>
  <c r="BJ149" i="31" s="1"/>
  <c r="AX95" i="31"/>
  <c r="BD95" i="31" s="1"/>
  <c r="BJ95" i="31" s="1"/>
  <c r="M69" i="41"/>
  <c r="K96" i="41"/>
  <c r="AX310" i="31"/>
  <c r="BD310" i="31" s="1"/>
  <c r="BJ310" i="31" s="1"/>
  <c r="K141" i="41"/>
  <c r="AU16" i="31"/>
  <c r="M46" i="41"/>
  <c r="K36" i="41"/>
  <c r="AU108" i="31"/>
  <c r="AX183" i="31"/>
  <c r="BD183" i="31" s="1"/>
  <c r="BJ183" i="31" s="1"/>
  <c r="AX58" i="31"/>
  <c r="BD58" i="31" s="1"/>
  <c r="BJ58" i="31" s="1"/>
  <c r="M24" i="41"/>
  <c r="M161" i="41"/>
  <c r="M31" i="41"/>
  <c r="K136" i="41"/>
  <c r="K91" i="41"/>
  <c r="AX254" i="31"/>
  <c r="BD254" i="31" s="1"/>
  <c r="BJ254" i="31" s="1"/>
  <c r="AU123" i="31"/>
  <c r="AX123" i="31" s="1"/>
  <c r="BD123" i="31" s="1"/>
  <c r="BJ123" i="31" s="1"/>
  <c r="K223" i="41"/>
  <c r="K23" i="41"/>
  <c r="K256" i="41"/>
  <c r="AX175" i="31"/>
  <c r="BD175" i="31" s="1"/>
  <c r="BJ175" i="31" s="1"/>
  <c r="AX178" i="31"/>
  <c r="BD178" i="31" s="1"/>
  <c r="BJ178" i="31" s="1"/>
  <c r="K45" i="41"/>
  <c r="M276" i="41"/>
  <c r="K267" i="41"/>
  <c r="K269" i="41"/>
  <c r="M222" i="41"/>
  <c r="K38" i="41"/>
  <c r="M225" i="41"/>
  <c r="AU163" i="31"/>
  <c r="AU258" i="31"/>
  <c r="K71" i="41"/>
  <c r="AU236" i="31"/>
  <c r="AU88" i="31"/>
  <c r="AX88" i="31" s="1"/>
  <c r="BD88" i="31" s="1"/>
  <c r="BJ88" i="31" s="1"/>
  <c r="K225" i="41"/>
  <c r="K69" i="41"/>
  <c r="M288" i="41"/>
  <c r="K113" i="41"/>
  <c r="K24" i="41"/>
  <c r="AU152" i="31"/>
  <c r="AU121" i="31"/>
  <c r="M160" i="41"/>
  <c r="AX53" i="31"/>
  <c r="BD53" i="31" s="1"/>
  <c r="BJ53" i="31" s="1"/>
  <c r="K214" i="41"/>
  <c r="M319" i="41"/>
  <c r="K305" i="41"/>
  <c r="AU311" i="31"/>
  <c r="AX311" i="31" s="1"/>
  <c r="BD311" i="31" s="1"/>
  <c r="BJ311" i="31" s="1"/>
  <c r="K273" i="41"/>
  <c r="K108" i="41"/>
  <c r="AU194" i="31"/>
  <c r="AU157" i="31"/>
  <c r="P7" i="29"/>
  <c r="K27" i="41"/>
  <c r="K237" i="41"/>
  <c r="AU181" i="31"/>
  <c r="AX181" i="31" s="1"/>
  <c r="BD181" i="31" s="1"/>
  <c r="BJ181" i="31" s="1"/>
  <c r="AU308" i="31"/>
  <c r="AX308" i="31" s="1"/>
  <c r="BD308" i="31" s="1"/>
  <c r="BJ308" i="31" s="1"/>
  <c r="M16" i="41"/>
  <c r="M146" i="41"/>
  <c r="K178" i="41"/>
  <c r="K328" i="41"/>
  <c r="M309" i="41"/>
  <c r="K258" i="41"/>
  <c r="M57" i="41"/>
  <c r="AX74" i="31"/>
  <c r="BD74" i="31" s="1"/>
  <c r="BJ74" i="31" s="1"/>
  <c r="AU184" i="31"/>
  <c r="AX184" i="31" s="1"/>
  <c r="BD184" i="31" s="1"/>
  <c r="BJ184" i="31" s="1"/>
  <c r="AU43" i="31"/>
  <c r="AX43" i="31" s="1"/>
  <c r="BD43" i="31" s="1"/>
  <c r="BJ43" i="31" s="1"/>
  <c r="M273" i="41"/>
  <c r="M235" i="41"/>
  <c r="AX51" i="31"/>
  <c r="BD51" i="31" s="1"/>
  <c r="BJ51" i="31" s="1"/>
  <c r="K175" i="41"/>
  <c r="K112" i="41"/>
  <c r="K151" i="41"/>
  <c r="K228" i="41"/>
  <c r="M251" i="41"/>
  <c r="K106" i="41"/>
  <c r="M339" i="41"/>
  <c r="K251" i="41"/>
  <c r="M317" i="41"/>
  <c r="M291" i="41"/>
  <c r="M282" i="41"/>
  <c r="AX281" i="31"/>
  <c r="BD281" i="31" s="1"/>
  <c r="BJ281" i="31" s="1"/>
  <c r="M238" i="41"/>
  <c r="K120" i="41"/>
  <c r="M283" i="41"/>
  <c r="K249" i="41"/>
  <c r="K115" i="41"/>
  <c r="AU179" i="31"/>
  <c r="K227" i="41"/>
  <c r="AX23" i="31"/>
  <c r="BD23" i="31" s="1"/>
  <c r="BJ23" i="31" s="1"/>
  <c r="M100" i="41"/>
  <c r="M229" i="41"/>
  <c r="AU346" i="31"/>
  <c r="AX346" i="31" s="1"/>
  <c r="BD346" i="31" s="1"/>
  <c r="AU61" i="31"/>
  <c r="AX61" i="31" s="1"/>
  <c r="BD61" i="31" s="1"/>
  <c r="BJ61" i="31" s="1"/>
  <c r="M246" i="41"/>
  <c r="M180" i="41"/>
  <c r="K20" i="41"/>
  <c r="M93" i="41"/>
  <c r="K332" i="41"/>
  <c r="AU28" i="31"/>
  <c r="AX28" i="31" s="1"/>
  <c r="BD28" i="31" s="1"/>
  <c r="BJ28" i="31" s="1"/>
  <c r="K158" i="41"/>
  <c r="K149" i="41"/>
  <c r="AU272" i="31"/>
  <c r="AU229" i="31"/>
  <c r="AX229" i="31" s="1"/>
  <c r="BD229" i="31" s="1"/>
  <c r="BJ229" i="31" s="1"/>
  <c r="AU122" i="31"/>
  <c r="AU290" i="31"/>
  <c r="AX290" i="31" s="1"/>
  <c r="BD290" i="31" s="1"/>
  <c r="BJ290" i="31" s="1"/>
  <c r="M171" i="41"/>
  <c r="K266" i="41"/>
  <c r="I43" i="29"/>
  <c r="C43" i="29" s="1"/>
  <c r="N43" i="29"/>
  <c r="M274" i="41"/>
  <c r="K307" i="41"/>
  <c r="K199" i="41"/>
  <c r="AU291" i="31"/>
  <c r="AX291" i="31" s="1"/>
  <c r="BD291" i="31" s="1"/>
  <c r="BJ291" i="31" s="1"/>
  <c r="K140" i="41"/>
  <c r="M271" i="41"/>
  <c r="K102" i="41"/>
  <c r="F25" i="50"/>
  <c r="AX62" i="31"/>
  <c r="BD62" i="31" s="1"/>
  <c r="BJ62" i="31" s="1"/>
  <c r="AU283" i="31"/>
  <c r="AX283" i="31" s="1"/>
  <c r="BD283" i="31" s="1"/>
  <c r="BJ283" i="31" s="1"/>
  <c r="P5" i="29"/>
  <c r="AX278" i="31"/>
  <c r="BD278" i="31" s="1"/>
  <c r="BJ278" i="31" s="1"/>
  <c r="AX240" i="31"/>
  <c r="BD240" i="31" s="1"/>
  <c r="BJ240" i="31" s="1"/>
  <c r="M203" i="41"/>
  <c r="M80" i="41"/>
  <c r="K220" i="41"/>
  <c r="M182" i="41"/>
  <c r="K103" i="41"/>
  <c r="AU73" i="31"/>
  <c r="K68" i="41"/>
  <c r="K168" i="41"/>
  <c r="K173" i="41"/>
  <c r="K288" i="41"/>
  <c r="M265" i="41"/>
  <c r="AU206" i="31"/>
  <c r="AX256" i="31"/>
  <c r="BD256" i="31" s="1"/>
  <c r="BJ256" i="31" s="1"/>
  <c r="AU72" i="31"/>
  <c r="AX72" i="31" s="1"/>
  <c r="BD72" i="31" s="1"/>
  <c r="BJ72" i="31" s="1"/>
  <c r="AX344" i="31"/>
  <c r="BD344" i="31" s="1"/>
  <c r="BJ344" i="31" s="1"/>
  <c r="K291" i="41"/>
  <c r="AX322" i="31"/>
  <c r="BD322" i="31" s="1"/>
  <c r="BJ322" i="31" s="1"/>
  <c r="AX296" i="31"/>
  <c r="BD296" i="31" s="1"/>
  <c r="BJ296" i="31" s="1"/>
  <c r="AX287" i="31"/>
  <c r="BD287" i="31" s="1"/>
  <c r="BJ287" i="31" s="1"/>
  <c r="K73" i="41"/>
  <c r="M221" i="41"/>
  <c r="AX243" i="31"/>
  <c r="BD243" i="31" s="1"/>
  <c r="BJ243" i="31" s="1"/>
  <c r="M185" i="41"/>
  <c r="M335" i="41"/>
  <c r="AX288" i="31"/>
  <c r="BD288" i="31" s="1"/>
  <c r="BJ288" i="31" s="1"/>
  <c r="K335" i="41"/>
  <c r="AX227" i="31"/>
  <c r="BD227" i="31" s="1"/>
  <c r="BJ227" i="31" s="1"/>
  <c r="K83" i="41"/>
  <c r="AU224" i="31"/>
  <c r="AX224" i="31" s="1"/>
  <c r="BD224" i="31" s="1"/>
  <c r="BJ224" i="31" s="1"/>
  <c r="K164" i="41"/>
  <c r="K248" i="41"/>
  <c r="K233" i="41"/>
  <c r="K299" i="41"/>
  <c r="I41" i="29"/>
  <c r="C41" i="29" s="1"/>
  <c r="N41" i="29"/>
  <c r="AU334" i="31"/>
  <c r="AX334" i="31" s="1"/>
  <c r="BD334" i="31" s="1"/>
  <c r="BJ334" i="31" s="1"/>
  <c r="M296" i="41"/>
  <c r="AU126" i="31"/>
  <c r="AX126" i="31" s="1"/>
  <c r="BD126" i="31" s="1"/>
  <c r="BJ126" i="31" s="1"/>
  <c r="AU330" i="31"/>
  <c r="M44" i="41"/>
  <c r="K171" i="41"/>
  <c r="AX76" i="31"/>
  <c r="BD76" i="31" s="1"/>
  <c r="BJ76" i="31" s="1"/>
  <c r="M307" i="41"/>
  <c r="M323" i="41"/>
  <c r="AU196" i="31"/>
  <c r="AX196" i="31" s="1"/>
  <c r="BD196" i="31" s="1"/>
  <c r="BJ196" i="31" s="1"/>
  <c r="AU119" i="31"/>
  <c r="AX119" i="31" s="1"/>
  <c r="BD119" i="31" s="1"/>
  <c r="BJ119" i="31" s="1"/>
  <c r="N32" i="50"/>
  <c r="F32" i="50" s="1"/>
  <c r="AX133" i="31"/>
  <c r="BD133" i="31" s="1"/>
  <c r="BJ133" i="31" s="1"/>
  <c r="AU235" i="31"/>
  <c r="AX235" i="31" s="1"/>
  <c r="BD235" i="31" s="1"/>
  <c r="BJ235" i="31" s="1"/>
  <c r="K271" i="41"/>
  <c r="K218" i="41"/>
  <c r="K40" i="41"/>
  <c r="K261" i="41"/>
  <c r="K107" i="41"/>
  <c r="K84" i="41"/>
  <c r="M347" i="41"/>
  <c r="M78" i="41"/>
  <c r="AX343" i="31"/>
  <c r="BD343" i="31" s="1"/>
  <c r="BJ343" i="31" s="1"/>
  <c r="AX244" i="31"/>
  <c r="BD244" i="31" s="1"/>
  <c r="BJ244" i="31" s="1"/>
  <c r="K126" i="41"/>
  <c r="M63" i="41"/>
  <c r="M106" i="41"/>
  <c r="AX301" i="31"/>
  <c r="BD301" i="31" s="1"/>
  <c r="BJ301" i="31" s="1"/>
  <c r="AX325" i="31"/>
  <c r="BD325" i="31" s="1"/>
  <c r="BJ325" i="31" s="1"/>
  <c r="M164" i="41"/>
  <c r="AX117" i="31"/>
  <c r="BD117" i="31" s="1"/>
  <c r="BJ117" i="31" s="1"/>
  <c r="AX313" i="31"/>
  <c r="BD313" i="31" s="1"/>
  <c r="BJ313" i="31" s="1"/>
  <c r="M262" i="41"/>
  <c r="AU158" i="31"/>
  <c r="AX158" i="31" s="1"/>
  <c r="BD158" i="31" s="1"/>
  <c r="BJ158" i="31" s="1"/>
  <c r="M327" i="41"/>
  <c r="M124" i="41"/>
  <c r="K343" i="41"/>
  <c r="K208" i="41"/>
  <c r="M239" i="41"/>
  <c r="K296" i="41"/>
  <c r="AU294" i="31"/>
  <c r="AX294" i="31" s="1"/>
  <c r="BD294" i="31" s="1"/>
  <c r="BJ294" i="31" s="1"/>
  <c r="K331" i="41"/>
  <c r="K320" i="41"/>
  <c r="K217" i="41"/>
  <c r="M156" i="41"/>
  <c r="K283" i="41"/>
  <c r="M19" i="41"/>
  <c r="AU223" i="31"/>
  <c r="AX223" i="31" s="1"/>
  <c r="BD223" i="31" s="1"/>
  <c r="BJ223" i="31" s="1"/>
  <c r="K64" i="41"/>
  <c r="K144" i="41"/>
  <c r="K246" i="41"/>
  <c r="Z4" i="31"/>
  <c r="Z3" i="31"/>
  <c r="AF7" i="31"/>
  <c r="K254" i="41"/>
  <c r="K95" i="41"/>
  <c r="K312" i="41"/>
  <c r="K329" i="41"/>
  <c r="K74" i="41"/>
  <c r="M137" i="41"/>
  <c r="K143" i="41"/>
  <c r="K169" i="41"/>
  <c r="K137" i="41"/>
  <c r="K325" i="41"/>
  <c r="K77" i="41"/>
  <c r="M200" i="41"/>
  <c r="K41" i="41"/>
  <c r="M293" i="41"/>
  <c r="AX267" i="31"/>
  <c r="BD267" i="31" s="1"/>
  <c r="BJ267" i="31" s="1"/>
  <c r="K89" i="41"/>
  <c r="M210" i="41"/>
  <c r="K131" i="41"/>
  <c r="M287" i="41"/>
  <c r="K128" i="41"/>
  <c r="K81" i="41"/>
  <c r="AU27" i="31"/>
  <c r="K170" i="41"/>
  <c r="K37" i="41"/>
  <c r="K121" i="41"/>
  <c r="K135" i="41"/>
  <c r="M260" i="41"/>
  <c r="AU323" i="31"/>
  <c r="AX323" i="31" s="1"/>
  <c r="BD323" i="31" s="1"/>
  <c r="BJ323" i="31" s="1"/>
  <c r="K344" i="41"/>
  <c r="AX234" i="31"/>
  <c r="BD234" i="31" s="1"/>
  <c r="BJ234" i="31" s="1"/>
  <c r="K306" i="41"/>
  <c r="N33" i="50"/>
  <c r="F33" i="50" s="1"/>
  <c r="M128" i="41"/>
  <c r="M338" i="41"/>
  <c r="AU79" i="31"/>
  <c r="AU195" i="31"/>
  <c r="M320" i="41"/>
  <c r="AU199" i="31"/>
  <c r="AX199" i="31" s="1"/>
  <c r="BD199" i="31" s="1"/>
  <c r="BJ199" i="31" s="1"/>
  <c r="M104" i="41"/>
  <c r="K327" i="41"/>
  <c r="AX109" i="31"/>
  <c r="BD109" i="31" s="1"/>
  <c r="BJ109" i="31" s="1"/>
  <c r="AX49" i="31"/>
  <c r="BD49" i="31" s="1"/>
  <c r="BJ49" i="31" s="1"/>
  <c r="K44" i="41"/>
  <c r="K152" i="41"/>
  <c r="AX312" i="31"/>
  <c r="BD312" i="31" s="1"/>
  <c r="BJ312" i="31" s="1"/>
  <c r="K150" i="41"/>
  <c r="AX328" i="31"/>
  <c r="BD328" i="31" s="1"/>
  <c r="BJ328" i="31" s="1"/>
  <c r="K287" i="41"/>
  <c r="K114" i="41"/>
  <c r="K317" i="41"/>
  <c r="K43" i="41"/>
  <c r="M324" i="41"/>
  <c r="AU336" i="31"/>
  <c r="AU275" i="31"/>
  <c r="K122" i="41"/>
  <c r="M301" i="41"/>
  <c r="AU273" i="31"/>
  <c r="AX273" i="31" s="1"/>
  <c r="BD273" i="31" s="1"/>
  <c r="BJ273" i="31" s="1"/>
  <c r="K311" i="41"/>
  <c r="K247" i="41"/>
  <c r="K28" i="41"/>
  <c r="AX161" i="31"/>
  <c r="BD161" i="31" s="1"/>
  <c r="BJ161" i="31" s="1"/>
  <c r="M258" i="41"/>
  <c r="M226" i="41"/>
  <c r="K230" i="41"/>
  <c r="AX24" i="31"/>
  <c r="BD24" i="31" s="1"/>
  <c r="BJ24" i="31" s="1"/>
  <c r="M96" i="41"/>
  <c r="M187" i="41"/>
  <c r="K263" i="41"/>
  <c r="M337" i="41"/>
  <c r="M141" i="41"/>
  <c r="K12" i="41"/>
  <c r="AU84" i="31"/>
  <c r="AX84" i="31" s="1"/>
  <c r="BD84" i="31" s="1"/>
  <c r="BJ84" i="31" s="1"/>
  <c r="K90" i="41"/>
  <c r="K129" i="41"/>
  <c r="T2" i="31"/>
  <c r="K21" i="41"/>
  <c r="K165" i="41"/>
  <c r="K11" i="41"/>
  <c r="AU351" i="31"/>
  <c r="AU305" i="31"/>
  <c r="AX305" i="31" s="1"/>
  <c r="BD305" i="31" s="1"/>
  <c r="BJ305" i="31" s="1"/>
  <c r="M143" i="41"/>
  <c r="AU25" i="31"/>
  <c r="AX25" i="31" s="1"/>
  <c r="BD25" i="31" s="1"/>
  <c r="BJ25" i="31" s="1"/>
  <c r="AX142" i="31"/>
  <c r="BD142" i="31" s="1"/>
  <c r="BJ142" i="31" s="1"/>
  <c r="M59" i="41"/>
  <c r="M213" i="41"/>
  <c r="AX205" i="31"/>
  <c r="BD205" i="31" s="1"/>
  <c r="BJ205" i="31" s="1"/>
  <c r="P12" i="29"/>
  <c r="AX298" i="31"/>
  <c r="BD298" i="31" s="1"/>
  <c r="BJ298" i="31" s="1"/>
  <c r="M14" i="41"/>
  <c r="K153" i="41"/>
  <c r="AX215" i="31"/>
  <c r="BD215" i="31" s="1"/>
  <c r="BJ215" i="31" s="1"/>
  <c r="K29" i="41"/>
  <c r="K66" i="41"/>
  <c r="K308" i="41"/>
  <c r="AU52" i="31"/>
  <c r="AX52" i="31" s="1"/>
  <c r="BD52" i="31" s="1"/>
  <c r="BJ52" i="31" s="1"/>
  <c r="K63" i="41"/>
  <c r="K262" i="41"/>
  <c r="AU137" i="31"/>
  <c r="AX137" i="31" s="1"/>
  <c r="BD137" i="31" s="1"/>
  <c r="BJ137" i="31" s="1"/>
  <c r="K316" i="41"/>
  <c r="K200" i="41"/>
  <c r="K25" i="41"/>
  <c r="K167" i="41"/>
  <c r="AU42" i="31"/>
  <c r="AX42" i="31" s="1"/>
  <c r="BD42" i="31" s="1"/>
  <c r="BJ42" i="31" s="1"/>
  <c r="M248" i="41"/>
  <c r="AU200" i="31"/>
  <c r="AX200" i="31" s="1"/>
  <c r="BD200" i="31" s="1"/>
  <c r="BJ200" i="31" s="1"/>
  <c r="AU96" i="31"/>
  <c r="AX96" i="31" s="1"/>
  <c r="BD96" i="31" s="1"/>
  <c r="BJ96" i="31" s="1"/>
  <c r="M85" i="41"/>
  <c r="K180" i="41"/>
  <c r="K58" i="41"/>
  <c r="K205" i="41"/>
  <c r="K85" i="41"/>
  <c r="K194" i="41"/>
  <c r="K118" i="41"/>
  <c r="M89" i="41"/>
  <c r="I48" i="29"/>
  <c r="C48" i="29" s="1"/>
  <c r="N48" i="29"/>
  <c r="M84" i="41"/>
  <c r="K185" i="41"/>
  <c r="AU106" i="31"/>
  <c r="AX106" i="31" s="1"/>
  <c r="BD106" i="31" s="1"/>
  <c r="BJ106" i="31" s="1"/>
  <c r="M70" i="41"/>
  <c r="K221" i="41"/>
  <c r="K280" i="41"/>
  <c r="AU154" i="31"/>
  <c r="K86" i="41"/>
  <c r="K70" i="41"/>
  <c r="AX105" i="31"/>
  <c r="BD105" i="31" s="1"/>
  <c r="BJ105" i="31" s="1"/>
  <c r="K104" i="41"/>
  <c r="K162" i="41"/>
  <c r="AU238" i="31"/>
  <c r="AX238" i="31" s="1"/>
  <c r="BD238" i="31" s="1"/>
  <c r="BJ238" i="31" s="1"/>
  <c r="K157" i="41"/>
  <c r="M308" i="41"/>
  <c r="AU209" i="31"/>
  <c r="K285" i="41"/>
  <c r="M13" i="41"/>
  <c r="AU326" i="31"/>
  <c r="AX326" i="31" s="1"/>
  <c r="BD326" i="31" s="1"/>
  <c r="BJ326" i="31" s="1"/>
  <c r="M87" i="41"/>
  <c r="K319" i="41"/>
  <c r="K279" i="41"/>
  <c r="AU316" i="31"/>
  <c r="AX316" i="31" s="1"/>
  <c r="BD316" i="31" s="1"/>
  <c r="BJ316" i="31" s="1"/>
  <c r="AX18" i="31"/>
  <c r="BD18" i="31" s="1"/>
  <c r="BJ18" i="31" s="1"/>
  <c r="M292" i="41"/>
  <c r="AU204" i="31"/>
  <c r="AU57" i="31"/>
  <c r="K212" i="41"/>
  <c r="K303" i="41"/>
  <c r="P3" i="29"/>
  <c r="Q3" i="29" s="1"/>
  <c r="AX304" i="31"/>
  <c r="BD304" i="31" s="1"/>
  <c r="BJ304" i="31" s="1"/>
  <c r="AU203" i="31"/>
  <c r="K49" i="41"/>
  <c r="M99" i="41"/>
  <c r="K298" i="41"/>
  <c r="M155" i="41"/>
  <c r="K337" i="41"/>
  <c r="AU289" i="31"/>
  <c r="AU302" i="31"/>
  <c r="AX302" i="31" s="1"/>
  <c r="BD302" i="31" s="1"/>
  <c r="BJ302" i="31" s="1"/>
  <c r="M237" i="41"/>
  <c r="M188" i="41"/>
  <c r="AU26" i="31"/>
  <c r="AX26" i="31" s="1"/>
  <c r="BD26" i="31" s="1"/>
  <c r="BJ26" i="31" s="1"/>
  <c r="AU80" i="31"/>
  <c r="AX80" i="31" s="1"/>
  <c r="BD80" i="31" s="1"/>
  <c r="BJ80" i="31" s="1"/>
  <c r="AX253" i="31"/>
  <c r="BD253" i="31" s="1"/>
  <c r="BJ253" i="31" s="1"/>
  <c r="K346" i="41"/>
  <c r="K294" i="41"/>
  <c r="AX90" i="31"/>
  <c r="BD90" i="31" s="1"/>
  <c r="BJ90" i="31" s="1"/>
  <c r="AU255" i="31"/>
  <c r="AX255" i="31" s="1"/>
  <c r="BD255" i="31" s="1"/>
  <c r="BJ255" i="31" s="1"/>
  <c r="AU348" i="31"/>
  <c r="AX348" i="31" s="1"/>
  <c r="BD348" i="31" s="1"/>
  <c r="BJ348" i="31" s="1"/>
  <c r="AU103" i="31"/>
  <c r="AX103" i="31" s="1"/>
  <c r="BD103" i="31" s="1"/>
  <c r="BJ103" i="31" s="1"/>
  <c r="M162" i="41"/>
  <c r="AX94" i="31"/>
  <c r="BD94" i="31" s="1"/>
  <c r="BJ94" i="31" s="1"/>
  <c r="M298" i="41"/>
  <c r="AX89" i="31"/>
  <c r="BD89" i="31" s="1"/>
  <c r="BJ89" i="31" s="1"/>
  <c r="K238" i="41"/>
  <c r="AU144" i="31"/>
  <c r="AX144" i="31" s="1"/>
  <c r="BD144" i="31" s="1"/>
  <c r="BJ144" i="31" s="1"/>
  <c r="AU147" i="31"/>
  <c r="AX147" i="31" s="1"/>
  <c r="BD147" i="31" s="1"/>
  <c r="BJ147" i="31" s="1"/>
  <c r="AX75" i="31"/>
  <c r="BD75" i="31" s="1"/>
  <c r="BJ75" i="31" s="1"/>
  <c r="AX332" i="31"/>
  <c r="BD332" i="31" s="1"/>
  <c r="BJ332" i="31" s="1"/>
  <c r="K22" i="41"/>
  <c r="K88" i="41"/>
  <c r="K80" i="41"/>
  <c r="M192" i="41"/>
  <c r="I39" i="29"/>
  <c r="C39" i="29" s="1"/>
  <c r="N39" i="29"/>
  <c r="K119" i="41"/>
  <c r="M81" i="41"/>
  <c r="K236" i="41"/>
  <c r="AU102" i="31"/>
  <c r="AX102" i="31" s="1"/>
  <c r="BD102" i="31" s="1"/>
  <c r="BJ102" i="31" s="1"/>
  <c r="K309" i="41"/>
  <c r="K252" i="41"/>
  <c r="K234" i="41"/>
  <c r="AU341" i="31"/>
  <c r="M322" i="41"/>
  <c r="K59" i="41"/>
  <c r="K195" i="41"/>
  <c r="K235" i="41"/>
  <c r="K99" i="41"/>
  <c r="M193" i="41"/>
  <c r="P9" i="29"/>
  <c r="M135" i="41"/>
  <c r="M280" i="41"/>
  <c r="M119" i="41"/>
  <c r="K101" i="41"/>
  <c r="AU31" i="31"/>
  <c r="AX31" i="31" s="1"/>
  <c r="BD31" i="31" s="1"/>
  <c r="BJ31" i="31" s="1"/>
  <c r="K295" i="41"/>
  <c r="K330" i="41"/>
  <c r="K52" i="41"/>
  <c r="K198" i="41"/>
  <c r="K184" i="41"/>
  <c r="AX86" i="31"/>
  <c r="BD86" i="31" s="1"/>
  <c r="BJ86" i="31" s="1"/>
  <c r="AU45" i="31"/>
  <c r="AU150" i="31"/>
  <c r="AX150" i="31" s="1"/>
  <c r="BD150" i="31" s="1"/>
  <c r="BJ150" i="31" s="1"/>
  <c r="M107" i="41"/>
  <c r="M94" i="41"/>
  <c r="K145" i="41"/>
  <c r="K179" i="41"/>
  <c r="M134" i="41"/>
  <c r="AU41" i="31"/>
  <c r="K297" i="41"/>
  <c r="AU207" i="31"/>
  <c r="AX207" i="31" s="1"/>
  <c r="BD207" i="31" s="1"/>
  <c r="BJ207" i="31" s="1"/>
  <c r="K209" i="41"/>
  <c r="AU170" i="31"/>
  <c r="AX170" i="31" s="1"/>
  <c r="BD170" i="31" s="1"/>
  <c r="BJ170" i="31" s="1"/>
  <c r="K207" i="41"/>
  <c r="BM327" i="31"/>
  <c r="BO327" i="31" s="1"/>
  <c r="CN327" i="31" s="1"/>
  <c r="K53" i="41"/>
  <c r="K244" i="41"/>
  <c r="K211" i="41"/>
  <c r="AU8" i="31"/>
  <c r="AX8" i="31" s="1"/>
  <c r="BD8" i="31" s="1"/>
  <c r="BJ8" i="31" s="1"/>
  <c r="M58" i="41"/>
  <c r="K65" i="41"/>
  <c r="K31" i="41"/>
  <c r="AU337" i="31"/>
  <c r="AX337" i="31" s="1"/>
  <c r="BD337" i="31" s="1"/>
  <c r="BJ337" i="31" s="1"/>
  <c r="K250" i="41"/>
  <c r="K193" i="41"/>
  <c r="K98" i="41"/>
  <c r="I45" i="29"/>
  <c r="C45" i="29" s="1"/>
  <c r="N45" i="29"/>
  <c r="M10" i="41"/>
  <c r="AU318" i="31"/>
  <c r="K139" i="41"/>
  <c r="M223" i="41"/>
  <c r="AU317" i="31"/>
  <c r="AX317" i="31" s="1"/>
  <c r="BD317" i="31" s="1"/>
  <c r="BJ317" i="31" s="1"/>
  <c r="K323" i="41"/>
  <c r="M340" i="41"/>
  <c r="AX107" i="31"/>
  <c r="BD107" i="31" s="1"/>
  <c r="BJ107" i="31" s="1"/>
  <c r="K18" i="41"/>
  <c r="M299" i="41"/>
  <c r="K196" i="41"/>
  <c r="K293" i="41"/>
  <c r="K78" i="41"/>
  <c r="K161" i="41"/>
  <c r="AU252" i="31"/>
  <c r="AX252" i="31" s="1"/>
  <c r="BD252" i="31" s="1"/>
  <c r="BJ252" i="31" s="1"/>
  <c r="K192" i="41"/>
  <c r="M49" i="41"/>
  <c r="K282" i="41"/>
  <c r="M27" i="41"/>
  <c r="M12" i="41"/>
  <c r="K226" i="41"/>
  <c r="M54" i="41"/>
  <c r="AX112" i="31"/>
  <c r="BD112" i="31" s="1"/>
  <c r="BJ112" i="31" s="1"/>
  <c r="AX99" i="31"/>
  <c r="BD99" i="31" s="1"/>
  <c r="BJ99" i="31" s="1"/>
  <c r="AX139" i="31"/>
  <c r="BD139" i="31" s="1"/>
  <c r="BJ139" i="31" s="1"/>
  <c r="AU225" i="31"/>
  <c r="K341" i="41"/>
  <c r="K336" i="41"/>
  <c r="AU173" i="31"/>
  <c r="AX173" i="31" s="1"/>
  <c r="BD173" i="31" s="1"/>
  <c r="BJ173" i="31" s="1"/>
  <c r="AU216" i="31"/>
  <c r="AX216" i="31" s="1"/>
  <c r="BD216" i="31" s="1"/>
  <c r="BJ216" i="31" s="1"/>
  <c r="N38" i="29"/>
  <c r="I38" i="29"/>
  <c r="AU245" i="31"/>
  <c r="AX245" i="31" s="1"/>
  <c r="BD245" i="31" s="1"/>
  <c r="BJ245" i="31" s="1"/>
  <c r="AX63" i="31"/>
  <c r="BD63" i="31" s="1"/>
  <c r="BJ63" i="31" s="1"/>
  <c r="AU246" i="31"/>
  <c r="AX246" i="31" s="1"/>
  <c r="BD246" i="31" s="1"/>
  <c r="BJ246" i="31" s="1"/>
  <c r="AU20" i="31"/>
  <c r="AU65" i="31"/>
  <c r="M172" i="41"/>
  <c r="AX15" i="31"/>
  <c r="BD15" i="31" s="1"/>
  <c r="BJ15" i="31" s="1"/>
  <c r="AU331" i="31"/>
  <c r="AX331" i="31" s="1"/>
  <c r="BD331" i="31" s="1"/>
  <c r="BJ331" i="31" s="1"/>
  <c r="M263" i="41"/>
  <c r="AX228" i="31"/>
  <c r="BD228" i="31" s="1"/>
  <c r="BJ228" i="31" s="1"/>
  <c r="K26" i="41"/>
  <c r="M18" i="41"/>
  <c r="K123" i="41"/>
  <c r="K10" i="41"/>
  <c r="AU321" i="31"/>
  <c r="K345" i="41"/>
  <c r="P4" i="29"/>
  <c r="Q4" i="29" s="1"/>
  <c r="K176" i="41"/>
  <c r="K55" i="41"/>
  <c r="K187" i="41"/>
  <c r="AX230" i="31"/>
  <c r="BD230" i="31" s="1"/>
  <c r="BJ230" i="31" s="1"/>
  <c r="AU50" i="31"/>
  <c r="M48" i="41"/>
  <c r="AX266" i="31"/>
  <c r="BD266" i="31" s="1"/>
  <c r="BJ266" i="31" s="1"/>
  <c r="AU315" i="31"/>
  <c r="AU93" i="31"/>
  <c r="AX93" i="31" s="1"/>
  <c r="BD93" i="31" s="1"/>
  <c r="BJ93" i="31" s="1"/>
  <c r="K257" i="41"/>
  <c r="K191" i="41"/>
  <c r="K342" i="41"/>
  <c r="K87" i="41"/>
  <c r="M50" i="41"/>
  <c r="AU153" i="31"/>
  <c r="AX153" i="31" s="1"/>
  <c r="BD153" i="31" s="1"/>
  <c r="BJ153" i="31" s="1"/>
  <c r="M295" i="41"/>
  <c r="K47" i="41"/>
  <c r="K302" i="41"/>
  <c r="K268" i="41"/>
  <c r="AX197" i="31"/>
  <c r="BD197" i="31" s="1"/>
  <c r="BJ197" i="31" s="1"/>
  <c r="K181" i="41"/>
  <c r="K204" i="41"/>
  <c r="M333" i="41"/>
  <c r="K333" i="41"/>
  <c r="AU81" i="31"/>
  <c r="AX81" i="31" s="1"/>
  <c r="BD81" i="31" s="1"/>
  <c r="BJ81" i="31" s="1"/>
  <c r="M39" i="41"/>
  <c r="AU282" i="31"/>
  <c r="K277" i="41"/>
  <c r="K117" i="41"/>
  <c r="K17" i="41"/>
  <c r="K222" i="41"/>
  <c r="K206" i="41"/>
  <c r="K62" i="41"/>
  <c r="K42" i="41"/>
  <c r="K16" i="41"/>
  <c r="AX54" i="31"/>
  <c r="BD54" i="31" s="1"/>
  <c r="BJ54" i="31" s="1"/>
  <c r="AX32" i="31"/>
  <c r="BD32" i="31" s="1"/>
  <c r="BJ32" i="31" s="1"/>
  <c r="K125" i="41"/>
  <c r="AX9" i="31"/>
  <c r="BD9" i="31" s="1"/>
  <c r="BJ9" i="31" s="1"/>
  <c r="AX17" i="31"/>
  <c r="BD17" i="31" s="1"/>
  <c r="BJ17" i="31" s="1"/>
  <c r="AU56" i="31"/>
  <c r="AX59" i="31"/>
  <c r="BD59" i="31" s="1"/>
  <c r="BJ59" i="31" s="1"/>
  <c r="M136" i="41"/>
  <c r="K183" i="41"/>
  <c r="K278" i="41"/>
  <c r="AU100" i="31"/>
  <c r="AX100" i="31" s="1"/>
  <c r="BD100" i="31" s="1"/>
  <c r="BJ100" i="31" s="1"/>
  <c r="AU250" i="31"/>
  <c r="AX250" i="31" s="1"/>
  <c r="BD250" i="31" s="1"/>
  <c r="BJ250" i="31" s="1"/>
  <c r="K202" i="41"/>
  <c r="AU39" i="31"/>
  <c r="AX39" i="31" s="1"/>
  <c r="BD39" i="31" s="1"/>
  <c r="BJ39" i="31" s="1"/>
  <c r="AU138" i="31"/>
  <c r="AU233" i="31"/>
  <c r="AX233" i="31" s="1"/>
  <c r="BD233" i="31" s="1"/>
  <c r="BJ233" i="31" s="1"/>
  <c r="K35" i="41"/>
  <c r="AU131" i="31"/>
  <c r="AX131" i="31" s="1"/>
  <c r="BD131" i="31" s="1"/>
  <c r="BJ131" i="31" s="1"/>
  <c r="K109" i="41"/>
  <c r="AU168" i="31"/>
  <c r="AX168" i="31" s="1"/>
  <c r="BD168" i="31" s="1"/>
  <c r="BJ168" i="31" s="1"/>
  <c r="P2" i="29"/>
  <c r="AC2" i="29" s="1"/>
  <c r="K232" i="41"/>
  <c r="K94" i="41"/>
  <c r="K201" i="41"/>
  <c r="K314" i="41"/>
  <c r="K93" i="41"/>
  <c r="M61" i="41"/>
  <c r="AX177" i="31"/>
  <c r="BD177" i="31" s="1"/>
  <c r="BJ177" i="31" s="1"/>
  <c r="M181" i="41"/>
  <c r="K313" i="41"/>
  <c r="AU132" i="31"/>
  <c r="AX132" i="31" s="1"/>
  <c r="BD132" i="31" s="1"/>
  <c r="BJ132" i="31" s="1"/>
  <c r="AX268" i="31"/>
  <c r="BD268" i="31" s="1"/>
  <c r="BJ268" i="31" s="1"/>
  <c r="M252" i="41"/>
  <c r="K203" i="41"/>
  <c r="K182" i="41"/>
  <c r="K130" i="41"/>
  <c r="AX292" i="31"/>
  <c r="BD292" i="31" s="1"/>
  <c r="BJ292" i="31" s="1"/>
  <c r="K57" i="41"/>
  <c r="K340" i="41"/>
  <c r="M112" i="41"/>
  <c r="K260" i="41"/>
  <c r="K310" i="41"/>
  <c r="K39" i="41"/>
  <c r="AU159" i="31"/>
  <c r="AX159" i="31" s="1"/>
  <c r="BD159" i="31" s="1"/>
  <c r="BJ159" i="31" s="1"/>
  <c r="AU91" i="31"/>
  <c r="AX55" i="31"/>
  <c r="BD55" i="31" s="1"/>
  <c r="BJ55" i="31" s="1"/>
  <c r="AU164" i="31"/>
  <c r="AX164" i="31" s="1"/>
  <c r="BD164" i="31" s="1"/>
  <c r="BJ164" i="31" s="1"/>
  <c r="K215" i="41"/>
  <c r="K286" i="41"/>
  <c r="M196" i="41"/>
  <c r="K315" i="41"/>
  <c r="K48" i="41"/>
  <c r="K338" i="41"/>
  <c r="AX300" i="31"/>
  <c r="BD300" i="31" s="1"/>
  <c r="BJ300" i="31" s="1"/>
  <c r="AX201" i="31"/>
  <c r="BD201" i="31" s="1"/>
  <c r="BJ201" i="31" s="1"/>
  <c r="M315" i="41"/>
  <c r="K253" i="41"/>
  <c r="AX338" i="31"/>
  <c r="BD338" i="31" s="1"/>
  <c r="BJ338" i="31" s="1"/>
  <c r="AU213" i="31"/>
  <c r="AX213" i="31" s="1"/>
  <c r="BD213" i="31" s="1"/>
  <c r="BJ213" i="31" s="1"/>
  <c r="AX44" i="31"/>
  <c r="BD44" i="31" s="1"/>
  <c r="BJ44" i="31" s="1"/>
  <c r="AU22" i="31"/>
  <c r="K148" i="41"/>
  <c r="M29" i="41"/>
  <c r="K134" i="41"/>
  <c r="K13" i="41"/>
  <c r="AU47" i="31"/>
  <c r="M30" i="41"/>
  <c r="K30" i="41"/>
  <c r="AU222" i="31"/>
  <c r="AX222" i="31" s="1"/>
  <c r="BD222" i="31" s="1"/>
  <c r="BJ222" i="31" s="1"/>
  <c r="M131" i="41"/>
  <c r="M184" i="41"/>
  <c r="K172" i="41"/>
  <c r="M115" i="41"/>
  <c r="AU188" i="31"/>
  <c r="AX188" i="31" s="1"/>
  <c r="BD188" i="31" s="1"/>
  <c r="BJ188" i="31" s="1"/>
  <c r="K19" i="41"/>
  <c r="BM141" i="31"/>
  <c r="BP141" i="31" s="1"/>
  <c r="BV141" i="31" s="1"/>
  <c r="M25" i="41"/>
  <c r="K321" i="41"/>
  <c r="K138" i="41"/>
  <c r="AU350" i="31"/>
  <c r="AX350" i="31" s="1"/>
  <c r="BD350" i="31" s="1"/>
  <c r="BJ350" i="31" s="1"/>
  <c r="K188" i="41"/>
  <c r="AU114" i="31"/>
  <c r="M32" i="41"/>
  <c r="AU339" i="31"/>
  <c r="AX339" i="31" s="1"/>
  <c r="BD339" i="31" s="1"/>
  <c r="BJ339" i="31" s="1"/>
  <c r="AU237" i="31"/>
  <c r="K322" i="41"/>
  <c r="K163" i="41"/>
  <c r="AU309" i="31"/>
  <c r="AX309" i="31" s="1"/>
  <c r="BD309" i="31" s="1"/>
  <c r="BJ309" i="31" s="1"/>
  <c r="AX11" i="31"/>
  <c r="BD11" i="31" s="1"/>
  <c r="BJ11" i="31" s="1"/>
  <c r="M166" i="41"/>
  <c r="K15" i="41"/>
  <c r="K67" i="41"/>
  <c r="AX66" i="31"/>
  <c r="BD66" i="31" s="1"/>
  <c r="BJ66" i="31" s="1"/>
  <c r="K186" i="41"/>
  <c r="AX186" i="31"/>
  <c r="BD186" i="31" s="1"/>
  <c r="BJ186" i="31" s="1"/>
  <c r="K326" i="41"/>
  <c r="M82" i="41"/>
  <c r="AU125" i="31"/>
  <c r="AX125" i="31" s="1"/>
  <c r="BD125" i="31" s="1"/>
  <c r="BJ125" i="31" s="1"/>
  <c r="AX257" i="31"/>
  <c r="BD257" i="31" s="1"/>
  <c r="BJ257" i="31" s="1"/>
  <c r="K289" i="41"/>
  <c r="K97" i="41"/>
  <c r="K275" i="41"/>
  <c r="K324" i="41"/>
  <c r="K50" i="41"/>
  <c r="AU14" i="31"/>
  <c r="AX14" i="31" s="1"/>
  <c r="BD14" i="31" s="1"/>
  <c r="BJ14" i="31" s="1"/>
  <c r="K174" i="41"/>
  <c r="K265" i="41"/>
  <c r="AX269" i="31"/>
  <c r="BD269" i="31" s="1"/>
  <c r="BJ269" i="31" s="1"/>
  <c r="K156" i="41"/>
  <c r="M71" i="41"/>
  <c r="K264" i="41"/>
  <c r="K54" i="41"/>
  <c r="M214" i="41"/>
  <c r="K56" i="41"/>
  <c r="AU347" i="31"/>
  <c r="K124" i="41"/>
  <c r="K51" i="41"/>
  <c r="AU182" i="31"/>
  <c r="AX182" i="31" s="1"/>
  <c r="BD182" i="31" s="1"/>
  <c r="BJ182" i="31" s="1"/>
  <c r="AU134" i="31"/>
  <c r="AX134" i="31" s="1"/>
  <c r="BD134" i="31" s="1"/>
  <c r="BJ134" i="31" s="1"/>
  <c r="K177" i="41"/>
  <c r="K132" i="41"/>
  <c r="K245" i="41"/>
  <c r="K46" i="41"/>
  <c r="K34" i="41"/>
  <c r="AU212" i="31"/>
  <c r="K133" i="41"/>
  <c r="BM37" i="31"/>
  <c r="BP37" i="31" s="1"/>
  <c r="BV37" i="31" s="1"/>
  <c r="M113" i="41"/>
  <c r="K300" i="41"/>
  <c r="M314" i="41"/>
  <c r="K347" i="41"/>
  <c r="M122" i="41"/>
  <c r="K190" i="41"/>
  <c r="AU261" i="31"/>
  <c r="K166" i="41"/>
  <c r="K147" i="41"/>
  <c r="M216" i="41"/>
  <c r="AU232" i="31"/>
  <c r="AX232" i="31" s="1"/>
  <c r="BD232" i="31" s="1"/>
  <c r="BJ232" i="31" s="1"/>
  <c r="AX87" i="31"/>
  <c r="BD87" i="31" s="1"/>
  <c r="BJ87" i="31" s="1"/>
  <c r="K127" i="41"/>
  <c r="M8" i="41"/>
  <c r="AU280" i="31"/>
  <c r="M269" i="41"/>
  <c r="K255" i="41"/>
  <c r="M264" i="41"/>
  <c r="K105" i="41"/>
  <c r="M234" i="41"/>
  <c r="I40" i="29"/>
  <c r="C40" i="29" s="1"/>
  <c r="N40" i="29"/>
  <c r="AX129" i="31"/>
  <c r="BD129" i="31" s="1"/>
  <c r="BJ129" i="31" s="1"/>
  <c r="K155" i="41"/>
  <c r="K213" i="41"/>
  <c r="AU69" i="31"/>
  <c r="AX69" i="31" s="1"/>
  <c r="BD69" i="31" s="1"/>
  <c r="BJ69" i="31" s="1"/>
  <c r="AU46" i="31"/>
  <c r="AX46" i="31" s="1"/>
  <c r="BD46" i="31" s="1"/>
  <c r="BJ46" i="31" s="1"/>
  <c r="AU217" i="31"/>
  <c r="AX217" i="31" s="1"/>
  <c r="BD217" i="31" s="1"/>
  <c r="BJ217" i="31" s="1"/>
  <c r="K270" i="41"/>
  <c r="K301" i="41"/>
  <c r="M330" i="41"/>
  <c r="AU220" i="31"/>
  <c r="AX220" i="31" s="1"/>
  <c r="BD220" i="31" s="1"/>
  <c r="BJ220" i="31" s="1"/>
  <c r="AX219" i="31"/>
  <c r="BD219" i="31" s="1"/>
  <c r="BJ219" i="31" s="1"/>
  <c r="K154" i="41"/>
  <c r="AU349" i="31"/>
  <c r="AX349" i="31" s="1"/>
  <c r="BD349" i="31" s="1"/>
  <c r="BJ349" i="31" s="1"/>
  <c r="AU284" i="31"/>
  <c r="AX284" i="31" s="1"/>
  <c r="BD284" i="31" s="1"/>
  <c r="BJ284" i="31" s="1"/>
  <c r="N30" i="50"/>
  <c r="F30" i="50" s="1"/>
  <c r="AU307" i="31"/>
  <c r="AX307" i="31" s="1"/>
  <c r="BD307" i="31" s="1"/>
  <c r="BJ307" i="31" s="1"/>
  <c r="AX335" i="31"/>
  <c r="BD335" i="31" s="1"/>
  <c r="BJ335" i="31" s="1"/>
  <c r="K111" i="41"/>
  <c r="AU67" i="31"/>
  <c r="AX67" i="31" s="1"/>
  <c r="BD67" i="31" s="1"/>
  <c r="BJ67" i="31" s="1"/>
  <c r="K72" i="41"/>
  <c r="AU260" i="31"/>
  <c r="M197" i="41"/>
  <c r="K197" i="41"/>
  <c r="M125" i="41"/>
  <c r="M243" i="41"/>
  <c r="K229" i="41"/>
  <c r="AU60" i="31"/>
  <c r="AX60" i="31" s="1"/>
  <c r="BD60" i="31" s="1"/>
  <c r="BJ60" i="31" s="1"/>
  <c r="AU259" i="31"/>
  <c r="M257" i="41"/>
  <c r="K284" i="41"/>
  <c r="M65" i="41"/>
  <c r="AU172" i="31"/>
  <c r="AX172" i="31" s="1"/>
  <c r="BD172" i="31" s="1"/>
  <c r="BJ172" i="31" s="1"/>
  <c r="AU40" i="31"/>
  <c r="K334" i="41"/>
  <c r="K239" i="41"/>
  <c r="K32" i="41"/>
  <c r="AX118" i="31"/>
  <c r="BD118" i="31" s="1"/>
  <c r="BJ118" i="31" s="1"/>
  <c r="AU38" i="31"/>
  <c r="K304" i="41"/>
  <c r="AX319" i="31"/>
  <c r="BD319" i="31" s="1"/>
  <c r="BJ319" i="31" s="1"/>
  <c r="AX127" i="31"/>
  <c r="BD127" i="31" s="1"/>
  <c r="BJ127" i="31" s="1"/>
  <c r="K241" i="41"/>
  <c r="M111" i="41"/>
  <c r="AU191" i="31"/>
  <c r="AX191" i="31" s="1"/>
  <c r="BD191" i="31" s="1"/>
  <c r="BJ191" i="31" s="1"/>
  <c r="K60" i="41"/>
  <c r="AX221" i="31"/>
  <c r="BD221" i="31" s="1"/>
  <c r="BJ221" i="31" s="1"/>
  <c r="AX12" i="31"/>
  <c r="BD12" i="31" s="1"/>
  <c r="BJ12" i="31" s="1"/>
  <c r="M43" i="41"/>
  <c r="AU97" i="31"/>
  <c r="AX13" i="31"/>
  <c r="BD13" i="31" s="1"/>
  <c r="BJ13" i="31" s="1"/>
  <c r="K142" i="41"/>
  <c r="AX274" i="31"/>
  <c r="BD274" i="31" s="1"/>
  <c r="BJ274" i="31" s="1"/>
  <c r="O38" i="29" l="1"/>
  <c r="BM64" i="31"/>
  <c r="BP64" i="31" s="1"/>
  <c r="BV64" i="31" s="1"/>
  <c r="BY64" i="31" s="1"/>
  <c r="CA64" i="31" s="1"/>
  <c r="CP64" i="31" s="1"/>
  <c r="BP208" i="31"/>
  <c r="BV208" i="31" s="1"/>
  <c r="BY208" i="31" s="1"/>
  <c r="CB208" i="31" s="1"/>
  <c r="BP306" i="31"/>
  <c r="BV306" i="31" s="1"/>
  <c r="BY306" i="31" s="1"/>
  <c r="CB306" i="31" s="1"/>
  <c r="BP92" i="31"/>
  <c r="BV92" i="31" s="1"/>
  <c r="BY92" i="31" s="1"/>
  <c r="BG346" i="31"/>
  <c r="BP327" i="31"/>
  <c r="BV327" i="31" s="1"/>
  <c r="BY327" i="31" s="1"/>
  <c r="CB327" i="31" s="1"/>
  <c r="BM111" i="31"/>
  <c r="BP111" i="31" s="1"/>
  <c r="BV111" i="31" s="1"/>
  <c r="BY111" i="31" s="1"/>
  <c r="CA111" i="31" s="1"/>
  <c r="CP111" i="31" s="1"/>
  <c r="BP34" i="31"/>
  <c r="BV34" i="31" s="1"/>
  <c r="BY34" i="31" s="1"/>
  <c r="CB34" i="31" s="1"/>
  <c r="BP193" i="31"/>
  <c r="BV193" i="31" s="1"/>
  <c r="BY193" i="31" s="1"/>
  <c r="Z2" i="31"/>
  <c r="BP314" i="31"/>
  <c r="BV314" i="31" s="1"/>
  <c r="BY314" i="31" s="1"/>
  <c r="CB314" i="31" s="1"/>
  <c r="BP36" i="31"/>
  <c r="BV36" i="31" s="1"/>
  <c r="BY36" i="31" s="1"/>
  <c r="CB36" i="31" s="1"/>
  <c r="BP85" i="31"/>
  <c r="BV85" i="31" s="1"/>
  <c r="BY85" i="31" s="1"/>
  <c r="CA85" i="31" s="1"/>
  <c r="CP85" i="31" s="1"/>
  <c r="BM21" i="31"/>
  <c r="BO21" i="31" s="1"/>
  <c r="CN21" i="31" s="1"/>
  <c r="P16" i="41" s="1"/>
  <c r="BM100" i="31"/>
  <c r="BO100" i="31" s="1"/>
  <c r="CN100" i="31" s="1"/>
  <c r="BM153" i="31"/>
  <c r="BO153" i="31" s="1"/>
  <c r="CN153" i="31" s="1"/>
  <c r="BM188" i="31"/>
  <c r="BO188" i="31" s="1"/>
  <c r="CN188" i="31" s="1"/>
  <c r="BM331" i="31"/>
  <c r="BO331" i="31" s="1"/>
  <c r="CN331" i="31" s="1"/>
  <c r="BY141" i="31"/>
  <c r="CA141" i="31" s="1"/>
  <c r="CP141" i="31" s="1"/>
  <c r="BM307" i="31"/>
  <c r="BO307" i="31" s="1"/>
  <c r="CN307" i="31" s="1"/>
  <c r="BM302" i="31"/>
  <c r="BO302" i="31" s="1"/>
  <c r="CN302" i="31" s="1"/>
  <c r="BM52" i="31"/>
  <c r="BO52" i="31" s="1"/>
  <c r="CN52" i="31" s="1"/>
  <c r="BM150" i="31"/>
  <c r="BO150" i="31" s="1"/>
  <c r="CN150" i="31" s="1"/>
  <c r="BM168" i="31"/>
  <c r="BO168" i="31" s="1"/>
  <c r="CN168" i="31" s="1"/>
  <c r="BM170" i="31"/>
  <c r="BO170" i="31" s="1"/>
  <c r="CN170" i="31" s="1"/>
  <c r="BM224" i="31"/>
  <c r="BO224" i="31" s="1"/>
  <c r="CN224" i="31" s="1"/>
  <c r="BM46" i="31"/>
  <c r="BO46" i="31" s="1"/>
  <c r="CN46" i="31" s="1"/>
  <c r="BY166" i="31"/>
  <c r="CA166" i="31" s="1"/>
  <c r="CP166" i="31" s="1"/>
  <c r="BM191" i="31"/>
  <c r="BO191" i="31" s="1"/>
  <c r="CN191" i="31" s="1"/>
  <c r="BM246" i="31"/>
  <c r="BO246" i="31" s="1"/>
  <c r="CN246" i="31" s="1"/>
  <c r="BM348" i="31"/>
  <c r="BO348" i="31" s="1"/>
  <c r="CN348" i="31" s="1"/>
  <c r="BM323" i="31"/>
  <c r="BO323" i="31" s="1"/>
  <c r="CN323" i="31" s="1"/>
  <c r="BY340" i="31"/>
  <c r="CA340" i="31" s="1"/>
  <c r="CP340" i="31" s="1"/>
  <c r="BY29" i="31"/>
  <c r="CA29" i="31" s="1"/>
  <c r="CP29" i="31" s="1"/>
  <c r="BM60" i="31"/>
  <c r="BO60" i="31" s="1"/>
  <c r="CN60" i="31" s="1"/>
  <c r="BM255" i="31"/>
  <c r="BO255" i="31" s="1"/>
  <c r="CN255" i="31" s="1"/>
  <c r="BY19" i="31"/>
  <c r="CA19" i="31" s="1"/>
  <c r="CP19" i="31" s="1"/>
  <c r="BM33" i="31"/>
  <c r="BO33" i="31" s="1"/>
  <c r="CN33" i="31" s="1"/>
  <c r="BM245" i="31"/>
  <c r="BO245" i="31" s="1"/>
  <c r="CN245" i="31" s="1"/>
  <c r="BM238" i="31"/>
  <c r="BO238" i="31" s="1"/>
  <c r="CN238" i="31" s="1"/>
  <c r="BM233" i="31"/>
  <c r="BO233" i="31" s="1"/>
  <c r="CN233" i="31" s="1"/>
  <c r="BY329" i="31"/>
  <c r="CA329" i="31" s="1"/>
  <c r="CP329" i="31" s="1"/>
  <c r="BY276" i="31"/>
  <c r="CA276" i="31" s="1"/>
  <c r="CP276" i="31" s="1"/>
  <c r="BM294" i="31"/>
  <c r="BO294" i="31" s="1"/>
  <c r="CN294" i="31" s="1"/>
  <c r="BY226" i="31"/>
  <c r="CA226" i="31" s="1"/>
  <c r="CP226" i="31" s="1"/>
  <c r="BM93" i="31"/>
  <c r="BO93" i="31" s="1"/>
  <c r="CN93" i="31" s="1"/>
  <c r="BM216" i="31"/>
  <c r="BO216" i="31" s="1"/>
  <c r="CN216" i="31" s="1"/>
  <c r="BM26" i="31"/>
  <c r="BO26" i="31" s="1"/>
  <c r="CN26" i="31" s="1"/>
  <c r="BM349" i="31"/>
  <c r="BO349" i="31" s="1"/>
  <c r="CN349" i="31" s="1"/>
  <c r="BM173" i="31"/>
  <c r="BO173" i="31" s="1"/>
  <c r="CN173" i="31" s="1"/>
  <c r="BM232" i="31"/>
  <c r="BO232" i="31" s="1"/>
  <c r="CN232" i="31" s="1"/>
  <c r="BM172" i="31"/>
  <c r="BO172" i="31" s="1"/>
  <c r="CN172" i="31" s="1"/>
  <c r="AW203" i="31"/>
  <c r="CK203" i="31" s="1"/>
  <c r="AW272" i="31"/>
  <c r="CK272" i="31" s="1"/>
  <c r="AW16" i="31"/>
  <c r="CK16" i="31" s="1"/>
  <c r="AW91" i="31"/>
  <c r="CK91" i="31" s="1"/>
  <c r="BO279" i="31"/>
  <c r="CN279" i="31" s="1"/>
  <c r="BO285" i="31"/>
  <c r="CN285" i="31" s="1"/>
  <c r="AX91" i="31"/>
  <c r="BD91" i="31" s="1"/>
  <c r="BJ91" i="31" s="1"/>
  <c r="AW225" i="31"/>
  <c r="CK225" i="31" s="1"/>
  <c r="AW195" i="31"/>
  <c r="CK195" i="31" s="1"/>
  <c r="BM313" i="31"/>
  <c r="BP313" i="31" s="1"/>
  <c r="BV313" i="31" s="1"/>
  <c r="P309" i="41"/>
  <c r="P123" i="41"/>
  <c r="BM155" i="31"/>
  <c r="AW82" i="31"/>
  <c r="CK82" i="31" s="1"/>
  <c r="BM251" i="31"/>
  <c r="BP251" i="31" s="1"/>
  <c r="BV251" i="31" s="1"/>
  <c r="AW143" i="31"/>
  <c r="CK143" i="31" s="1"/>
  <c r="BM164" i="31"/>
  <c r="BO164" i="31" s="1"/>
  <c r="CN164" i="31" s="1"/>
  <c r="BM273" i="31"/>
  <c r="BO273" i="31" s="1"/>
  <c r="CN273" i="31" s="1"/>
  <c r="AW40" i="31"/>
  <c r="CK40" i="31" s="1"/>
  <c r="AW347" i="31"/>
  <c r="CK347" i="31" s="1"/>
  <c r="BM55" i="31"/>
  <c r="BP55" i="31" s="1"/>
  <c r="BV55" i="31" s="1"/>
  <c r="AW65" i="31"/>
  <c r="CK65" i="31" s="1"/>
  <c r="BP104" i="31"/>
  <c r="BV104" i="31" s="1"/>
  <c r="AX272" i="31"/>
  <c r="BD272" i="31" s="1"/>
  <c r="BJ272" i="31" s="1"/>
  <c r="BM281" i="31"/>
  <c r="BM74" i="31"/>
  <c r="BP74" i="31" s="1"/>
  <c r="BV74" i="31" s="1"/>
  <c r="AW247" i="31"/>
  <c r="CK247" i="31" s="1"/>
  <c r="AW321" i="31"/>
  <c r="CK321" i="31" s="1"/>
  <c r="BO176" i="31"/>
  <c r="CN176" i="31" s="1"/>
  <c r="BO29" i="31"/>
  <c r="CN29" i="31" s="1"/>
  <c r="AX247" i="31"/>
  <c r="BD247" i="31" s="1"/>
  <c r="BJ247" i="31" s="1"/>
  <c r="BP279" i="31"/>
  <c r="BV279" i="31" s="1"/>
  <c r="AX321" i="31"/>
  <c r="BD321" i="31" s="1"/>
  <c r="BJ321" i="31" s="1"/>
  <c r="P185" i="41"/>
  <c r="BP285" i="31"/>
  <c r="BV285" i="31" s="1"/>
  <c r="BP198" i="31"/>
  <c r="BV198" i="31" s="1"/>
  <c r="BP176" i="31"/>
  <c r="BV176" i="31" s="1"/>
  <c r="AW237" i="31"/>
  <c r="CK237" i="31" s="1"/>
  <c r="AW47" i="31"/>
  <c r="CK47" i="31" s="1"/>
  <c r="AW315" i="31"/>
  <c r="CK315" i="31" s="1"/>
  <c r="AW20" i="31"/>
  <c r="CK20" i="31" s="1"/>
  <c r="AX225" i="31"/>
  <c r="BD225" i="31" s="1"/>
  <c r="BJ225" i="31" s="1"/>
  <c r="BP190" i="31"/>
  <c r="BV190" i="31" s="1"/>
  <c r="AW318" i="31"/>
  <c r="CK318" i="31" s="1"/>
  <c r="AW45" i="31"/>
  <c r="CK45" i="31" s="1"/>
  <c r="AW341" i="31"/>
  <c r="CK341" i="31" s="1"/>
  <c r="BM332" i="31"/>
  <c r="AW289" i="31"/>
  <c r="CK289" i="31" s="1"/>
  <c r="BM24" i="31"/>
  <c r="BM328" i="31"/>
  <c r="BP328" i="31" s="1"/>
  <c r="BV328" i="31" s="1"/>
  <c r="AX195" i="31"/>
  <c r="BD195" i="31" s="1"/>
  <c r="BJ195" i="31" s="1"/>
  <c r="BO169" i="31"/>
  <c r="CN169" i="31" s="1"/>
  <c r="AW330" i="31"/>
  <c r="CK330" i="31" s="1"/>
  <c r="BP128" i="31"/>
  <c r="BV128" i="31" s="1"/>
  <c r="BM310" i="31"/>
  <c r="AW77" i="31"/>
  <c r="CK77" i="31" s="1"/>
  <c r="AW180" i="31"/>
  <c r="CK180" i="31" s="1"/>
  <c r="AX82" i="31"/>
  <c r="BD82" i="31" s="1"/>
  <c r="BJ82" i="31" s="1"/>
  <c r="AX143" i="31"/>
  <c r="BD143" i="31" s="1"/>
  <c r="BJ143" i="31" s="1"/>
  <c r="AW73" i="31"/>
  <c r="CK73" i="31" s="1"/>
  <c r="AX40" i="31"/>
  <c r="BD40" i="31" s="1"/>
  <c r="BJ40" i="31" s="1"/>
  <c r="AW153" i="31"/>
  <c r="CK153" i="31" s="1"/>
  <c r="AX65" i="31"/>
  <c r="BD65" i="31" s="1"/>
  <c r="BJ65" i="31" s="1"/>
  <c r="P193" i="41"/>
  <c r="AW170" i="31"/>
  <c r="CK170" i="31" s="1"/>
  <c r="AW150" i="31"/>
  <c r="CK150" i="31" s="1"/>
  <c r="BM133" i="31"/>
  <c r="BP133" i="31" s="1"/>
  <c r="BV133" i="31" s="1"/>
  <c r="BO340" i="31"/>
  <c r="CN340" i="31" s="1"/>
  <c r="AW224" i="31"/>
  <c r="CK224" i="31" s="1"/>
  <c r="AX73" i="31"/>
  <c r="BD73" i="31" s="1"/>
  <c r="BJ73" i="31" s="1"/>
  <c r="AW172" i="31"/>
  <c r="CK172" i="31" s="1"/>
  <c r="BO141" i="31"/>
  <c r="CN141" i="31" s="1"/>
  <c r="BO320" i="31"/>
  <c r="CN320" i="31" s="1"/>
  <c r="AW284" i="31"/>
  <c r="CK284" i="31" s="1"/>
  <c r="BP320" i="31"/>
  <c r="BV320" i="31" s="1"/>
  <c r="BM186" i="31"/>
  <c r="BP186" i="31" s="1"/>
  <c r="BV186" i="31" s="1"/>
  <c r="AX237" i="31"/>
  <c r="BD237" i="31" s="1"/>
  <c r="BJ237" i="31" s="1"/>
  <c r="AX47" i="31"/>
  <c r="BD47" i="31" s="1"/>
  <c r="BJ47" i="31" s="1"/>
  <c r="BM201" i="31"/>
  <c r="BP201" i="31" s="1"/>
  <c r="BV201" i="31" s="1"/>
  <c r="AW159" i="31"/>
  <c r="CK159" i="31" s="1"/>
  <c r="AW131" i="31"/>
  <c r="CK131" i="31" s="1"/>
  <c r="AX315" i="31"/>
  <c r="BD315" i="31" s="1"/>
  <c r="BJ315" i="31" s="1"/>
  <c r="AX20" i="31"/>
  <c r="BD20" i="31" s="1"/>
  <c r="BJ20" i="31" s="1"/>
  <c r="BM139" i="31"/>
  <c r="AW252" i="31"/>
  <c r="CK252" i="31" s="1"/>
  <c r="AX318" i="31"/>
  <c r="BD318" i="31" s="1"/>
  <c r="BJ318" i="31" s="1"/>
  <c r="AX45" i="31"/>
  <c r="BD45" i="31" s="1"/>
  <c r="BJ45" i="31" s="1"/>
  <c r="AW31" i="31"/>
  <c r="CK31" i="31" s="1"/>
  <c r="AX341" i="31"/>
  <c r="BD341" i="31" s="1"/>
  <c r="BJ341" i="31" s="1"/>
  <c r="BM75" i="31"/>
  <c r="BM90" i="31"/>
  <c r="BP90" i="31" s="1"/>
  <c r="BV90" i="31" s="1"/>
  <c r="AX289" i="31"/>
  <c r="BD289" i="31" s="1"/>
  <c r="BJ289" i="31" s="1"/>
  <c r="BM142" i="31"/>
  <c r="BO270" i="31"/>
  <c r="CN270" i="31" s="1"/>
  <c r="BO130" i="31"/>
  <c r="CN130" i="31" s="1"/>
  <c r="BP169" i="31"/>
  <c r="BV169" i="31" s="1"/>
  <c r="AW119" i="31"/>
  <c r="CK119" i="31" s="1"/>
  <c r="AX330" i="31"/>
  <c r="BD330" i="31" s="1"/>
  <c r="BJ330" i="31" s="1"/>
  <c r="BM344" i="31"/>
  <c r="AW88" i="31"/>
  <c r="CK88" i="31" s="1"/>
  <c r="BM77" i="31"/>
  <c r="BO77" i="31" s="1"/>
  <c r="CN77" i="31" s="1"/>
  <c r="BM180" i="31"/>
  <c r="BO180" i="31" s="1"/>
  <c r="CN180" i="31" s="1"/>
  <c r="AW156" i="31"/>
  <c r="CK156" i="31" s="1"/>
  <c r="BM345" i="31"/>
  <c r="BO124" i="31"/>
  <c r="CN124" i="31" s="1"/>
  <c r="BM106" i="31"/>
  <c r="BO106" i="31" s="1"/>
  <c r="CN106" i="31" s="1"/>
  <c r="AW168" i="31"/>
  <c r="CK168" i="31" s="1"/>
  <c r="BM322" i="31"/>
  <c r="AX16" i="31"/>
  <c r="BD16" i="31" s="1"/>
  <c r="BJ16" i="31" s="1"/>
  <c r="AX347" i="31"/>
  <c r="BD347" i="31" s="1"/>
  <c r="BJ347" i="31" s="1"/>
  <c r="AW255" i="31"/>
  <c r="CK255" i="31" s="1"/>
  <c r="BM304" i="31"/>
  <c r="AW294" i="31"/>
  <c r="CK294" i="31" s="1"/>
  <c r="BM127" i="31"/>
  <c r="BM284" i="31"/>
  <c r="BO284" i="31" s="1"/>
  <c r="CN284" i="31" s="1"/>
  <c r="AW217" i="31"/>
  <c r="CK217" i="31" s="1"/>
  <c r="BO37" i="31"/>
  <c r="CN37" i="31" s="1"/>
  <c r="AW134" i="31"/>
  <c r="CK134" i="31" s="1"/>
  <c r="AW14" i="31"/>
  <c r="CK14" i="31" s="1"/>
  <c r="AW339" i="31"/>
  <c r="CK339" i="31" s="1"/>
  <c r="BM300" i="31"/>
  <c r="BP300" i="31" s="1"/>
  <c r="BV300" i="31" s="1"/>
  <c r="BM159" i="31"/>
  <c r="BO159" i="31" s="1"/>
  <c r="CN159" i="31" s="1"/>
  <c r="BM131" i="31"/>
  <c r="BO131" i="31" s="1"/>
  <c r="CN131" i="31" s="1"/>
  <c r="BM266" i="31"/>
  <c r="BM99" i="31"/>
  <c r="BM252" i="31"/>
  <c r="BO252" i="31" s="1"/>
  <c r="CN252" i="31" s="1"/>
  <c r="BO140" i="31"/>
  <c r="CN140" i="31" s="1"/>
  <c r="AW207" i="31"/>
  <c r="CK207" i="31" s="1"/>
  <c r="BM86" i="31"/>
  <c r="BP86" i="31" s="1"/>
  <c r="BV86" i="31" s="1"/>
  <c r="BM31" i="31"/>
  <c r="BO31" i="31" s="1"/>
  <c r="CN31" i="31" s="1"/>
  <c r="P188" i="41"/>
  <c r="AW147" i="31"/>
  <c r="CK147" i="31" s="1"/>
  <c r="AW326" i="31"/>
  <c r="CK326" i="31" s="1"/>
  <c r="BM105" i="31"/>
  <c r="AW25" i="31"/>
  <c r="CK25" i="31" s="1"/>
  <c r="BY270" i="31"/>
  <c r="CA270" i="31" s="1"/>
  <c r="CP270" i="31" s="1"/>
  <c r="BY130" i="31"/>
  <c r="CA130" i="31" s="1"/>
  <c r="CP130" i="31" s="1"/>
  <c r="BO83" i="31"/>
  <c r="CN83" i="31" s="1"/>
  <c r="AW223" i="31"/>
  <c r="CK223" i="31" s="1"/>
  <c r="BM117" i="31"/>
  <c r="BM119" i="31"/>
  <c r="BO119" i="31" s="1"/>
  <c r="CN119" i="31" s="1"/>
  <c r="AW126" i="31"/>
  <c r="CK126" i="31" s="1"/>
  <c r="BM227" i="31"/>
  <c r="AW72" i="31"/>
  <c r="CK72" i="31" s="1"/>
  <c r="AW28" i="31"/>
  <c r="CK28" i="31" s="1"/>
  <c r="BM23" i="31"/>
  <c r="BP23" i="31" s="1"/>
  <c r="BV23" i="31" s="1"/>
  <c r="AC4" i="29"/>
  <c r="BM88" i="31"/>
  <c r="BO88" i="31" s="1"/>
  <c r="CN88" i="31" s="1"/>
  <c r="AX156" i="31"/>
  <c r="BD156" i="31" s="1"/>
  <c r="BJ156" i="31" s="1"/>
  <c r="AW333" i="31"/>
  <c r="CK333" i="31" s="1"/>
  <c r="BY136" i="31"/>
  <c r="CA136" i="31" s="1"/>
  <c r="CP136" i="31" s="1"/>
  <c r="AW238" i="31"/>
  <c r="CK238" i="31" s="1"/>
  <c r="BM199" i="31"/>
  <c r="BO199" i="31" s="1"/>
  <c r="CN199" i="31" s="1"/>
  <c r="AW346" i="31"/>
  <c r="CK346" i="31" s="1"/>
  <c r="BM249" i="31"/>
  <c r="BO249" i="31" s="1"/>
  <c r="CN249" i="31" s="1"/>
  <c r="AX203" i="31"/>
  <c r="BD203" i="31" s="1"/>
  <c r="BJ203" i="31" s="1"/>
  <c r="Q27" i="29"/>
  <c r="Q26" i="29"/>
  <c r="Q28" i="29"/>
  <c r="Q20" i="29"/>
  <c r="Q24" i="29"/>
  <c r="Q29" i="29"/>
  <c r="Q23" i="29"/>
  <c r="Q22" i="29"/>
  <c r="Q21" i="29"/>
  <c r="Q25" i="29"/>
  <c r="Q31" i="29"/>
  <c r="Q30" i="29"/>
  <c r="BM147" i="31"/>
  <c r="BO147" i="31" s="1"/>
  <c r="CN147" i="31" s="1"/>
  <c r="BM326" i="31"/>
  <c r="BO326" i="31" s="1"/>
  <c r="CN326" i="31" s="1"/>
  <c r="BM25" i="31"/>
  <c r="BO25" i="31" s="1"/>
  <c r="CN25" i="31" s="1"/>
  <c r="BM312" i="31"/>
  <c r="AW79" i="31"/>
  <c r="CK79" i="31" s="1"/>
  <c r="BO202" i="31"/>
  <c r="CN202" i="31" s="1"/>
  <c r="BY83" i="31"/>
  <c r="CA83" i="31" s="1"/>
  <c r="CP83" i="31" s="1"/>
  <c r="BM223" i="31"/>
  <c r="BO223" i="31" s="1"/>
  <c r="CN223" i="31" s="1"/>
  <c r="BM126" i="31"/>
  <c r="BO126" i="31" s="1"/>
  <c r="CN126" i="31" s="1"/>
  <c r="BM72" i="31"/>
  <c r="BO72" i="31" s="1"/>
  <c r="CN72" i="31" s="1"/>
  <c r="O43" i="29"/>
  <c r="P43" i="29" s="1"/>
  <c r="BM28" i="31"/>
  <c r="BO28" i="31" s="1"/>
  <c r="CN28" i="31" s="1"/>
  <c r="Q7" i="29"/>
  <c r="AC7" i="29"/>
  <c r="AW236" i="31"/>
  <c r="CK236" i="31" s="1"/>
  <c r="BM98" i="31"/>
  <c r="BM333" i="31"/>
  <c r="BO333" i="31" s="1"/>
  <c r="CN333" i="31" s="1"/>
  <c r="BM274" i="31"/>
  <c r="BM319" i="31"/>
  <c r="AW182" i="31"/>
  <c r="CK182" i="31" s="1"/>
  <c r="BM66" i="31"/>
  <c r="BP66" i="31" s="1"/>
  <c r="BV66" i="31" s="1"/>
  <c r="P87" i="41"/>
  <c r="AW8" i="31"/>
  <c r="CK8" i="31" s="1"/>
  <c r="M3" i="41" s="1"/>
  <c r="BO242" i="31"/>
  <c r="CN242" i="31" s="1"/>
  <c r="AW144" i="31"/>
  <c r="CK144" i="31" s="1"/>
  <c r="O48" i="29"/>
  <c r="P48" i="29" s="1"/>
  <c r="AW137" i="31"/>
  <c r="CK137" i="31" s="1"/>
  <c r="BM215" i="31"/>
  <c r="BP215" i="31" s="1"/>
  <c r="BV215" i="31" s="1"/>
  <c r="AX79" i="31"/>
  <c r="BD79" i="31" s="1"/>
  <c r="BJ79" i="31" s="1"/>
  <c r="BP202" i="31"/>
  <c r="BV202" i="31" s="1"/>
  <c r="AW196" i="31"/>
  <c r="CK196" i="31" s="1"/>
  <c r="BM256" i="31"/>
  <c r="BM53" i="31"/>
  <c r="AX236" i="31"/>
  <c r="BD236" i="31" s="1"/>
  <c r="BJ236" i="31" s="1"/>
  <c r="AW210" i="31"/>
  <c r="CK210" i="31" s="1"/>
  <c r="BO166" i="31"/>
  <c r="CN166" i="31" s="1"/>
  <c r="BM8" i="31"/>
  <c r="BO8" i="31" s="1"/>
  <c r="CN8" i="31" s="1"/>
  <c r="P3" i="41" s="1"/>
  <c r="BY242" i="31"/>
  <c r="CA242" i="31" s="1"/>
  <c r="CP242" i="31" s="1"/>
  <c r="BM144" i="31"/>
  <c r="BO144" i="31" s="1"/>
  <c r="CN144" i="31" s="1"/>
  <c r="AW57" i="31"/>
  <c r="CK57" i="31" s="1"/>
  <c r="BM137" i="31"/>
  <c r="BO137" i="31" s="1"/>
  <c r="CN137" i="31" s="1"/>
  <c r="AW275" i="31"/>
  <c r="CK275" i="31" s="1"/>
  <c r="BO116" i="31"/>
  <c r="CN116" i="31" s="1"/>
  <c r="BM196" i="31"/>
  <c r="BO196" i="31" s="1"/>
  <c r="CN196" i="31" s="1"/>
  <c r="BM288" i="31"/>
  <c r="AW206" i="31"/>
  <c r="CK206" i="31" s="1"/>
  <c r="AW179" i="31"/>
  <c r="CK179" i="31" s="1"/>
  <c r="BO271" i="31"/>
  <c r="CN271" i="31" s="1"/>
  <c r="BM178" i="31"/>
  <c r="BM95" i="31"/>
  <c r="BP95" i="31" s="1"/>
  <c r="BV95" i="31" s="1"/>
  <c r="BM265" i="31"/>
  <c r="BM210" i="31"/>
  <c r="BO210" i="31" s="1"/>
  <c r="CN210" i="31" s="1"/>
  <c r="P25" i="41"/>
  <c r="AW307" i="31"/>
  <c r="CK307" i="31" s="1"/>
  <c r="AW232" i="31"/>
  <c r="CK232" i="31" s="1"/>
  <c r="AW302" i="31"/>
  <c r="CK302" i="31" s="1"/>
  <c r="O45" i="29"/>
  <c r="P45" i="29" s="1"/>
  <c r="AW41" i="31"/>
  <c r="CK41" i="31" s="1"/>
  <c r="AX57" i="31"/>
  <c r="BD57" i="31" s="1"/>
  <c r="BJ57" i="31" s="1"/>
  <c r="AW96" i="31"/>
  <c r="CK96" i="31" s="1"/>
  <c r="BO192" i="31"/>
  <c r="CN192" i="31" s="1"/>
  <c r="AW305" i="31"/>
  <c r="CK305" i="31" s="1"/>
  <c r="AW84" i="31"/>
  <c r="CK84" i="31" s="1"/>
  <c r="AX275" i="31"/>
  <c r="BD275" i="31" s="1"/>
  <c r="BJ275" i="31" s="1"/>
  <c r="BP116" i="31"/>
  <c r="BV116" i="31" s="1"/>
  <c r="BM325" i="31"/>
  <c r="BP325" i="31" s="1"/>
  <c r="BV325" i="31" s="1"/>
  <c r="AW334" i="31"/>
  <c r="CK334" i="31" s="1"/>
  <c r="AX206" i="31"/>
  <c r="BD206" i="31" s="1"/>
  <c r="BJ206" i="31" s="1"/>
  <c r="AX179" i="31"/>
  <c r="BD179" i="31" s="1"/>
  <c r="BJ179" i="31" s="1"/>
  <c r="BP271" i="31"/>
  <c r="BV271" i="31" s="1"/>
  <c r="BM175" i="31"/>
  <c r="BP175" i="31" s="1"/>
  <c r="BV175" i="31" s="1"/>
  <c r="BM149" i="31"/>
  <c r="BP149" i="31" s="1"/>
  <c r="BV149" i="31" s="1"/>
  <c r="BM324" i="31"/>
  <c r="AW78" i="31"/>
  <c r="CK78" i="31" s="1"/>
  <c r="BM185" i="31"/>
  <c r="AW162" i="31"/>
  <c r="CK162" i="31" s="1"/>
  <c r="BM184" i="31"/>
  <c r="BO184" i="31" s="1"/>
  <c r="CN184" i="31" s="1"/>
  <c r="AX41" i="31"/>
  <c r="BD41" i="31" s="1"/>
  <c r="BJ41" i="31" s="1"/>
  <c r="AW204" i="31"/>
  <c r="CK204" i="31" s="1"/>
  <c r="AW154" i="31"/>
  <c r="CK154" i="31" s="1"/>
  <c r="BM96" i="31"/>
  <c r="BO96" i="31" s="1"/>
  <c r="CN96" i="31" s="1"/>
  <c r="BY192" i="31"/>
  <c r="CA192" i="31" s="1"/>
  <c r="CP192" i="31" s="1"/>
  <c r="BM305" i="31"/>
  <c r="BO305" i="31" s="1"/>
  <c r="CN305" i="31" s="1"/>
  <c r="BM84" i="31"/>
  <c r="BO84" i="31" s="1"/>
  <c r="CN84" i="31" s="1"/>
  <c r="BM161" i="31"/>
  <c r="BP161" i="31" s="1"/>
  <c r="BV161" i="31" s="1"/>
  <c r="BM301" i="31"/>
  <c r="BM334" i="31"/>
  <c r="BO334" i="31" s="1"/>
  <c r="CN334" i="31" s="1"/>
  <c r="AW157" i="31"/>
  <c r="CK157" i="31" s="1"/>
  <c r="AW121" i="31"/>
  <c r="CK121" i="31" s="1"/>
  <c r="AW258" i="31"/>
  <c r="CK258" i="31" s="1"/>
  <c r="BM58" i="31"/>
  <c r="BM71" i="31"/>
  <c r="BM78" i="31"/>
  <c r="BO78" i="31" s="1"/>
  <c r="CN78" i="31" s="1"/>
  <c r="BM162" i="31"/>
  <c r="BO162" i="31" s="1"/>
  <c r="CN162" i="31" s="1"/>
  <c r="BM338" i="31"/>
  <c r="P99" i="41"/>
  <c r="BY262" i="31"/>
  <c r="CA262" i="31" s="1"/>
  <c r="CP262" i="31" s="1"/>
  <c r="AW323" i="31"/>
  <c r="CK323" i="31" s="1"/>
  <c r="BM134" i="31"/>
  <c r="BO134" i="31" s="1"/>
  <c r="CN134" i="31" s="1"/>
  <c r="BM207" i="31"/>
  <c r="BO207" i="31" s="1"/>
  <c r="CN207" i="31" s="1"/>
  <c r="AW261" i="31"/>
  <c r="CK261" i="31" s="1"/>
  <c r="BM268" i="31"/>
  <c r="AW138" i="31"/>
  <c r="CK138" i="31" s="1"/>
  <c r="BM17" i="31"/>
  <c r="BM228" i="31"/>
  <c r="BP228" i="31" s="1"/>
  <c r="BV228" i="31" s="1"/>
  <c r="C38" i="29"/>
  <c r="BO48" i="31"/>
  <c r="CN48" i="31" s="1"/>
  <c r="O39" i="29"/>
  <c r="P39" i="29" s="1"/>
  <c r="BM89" i="31"/>
  <c r="BP89" i="31" s="1"/>
  <c r="BV89" i="31" s="1"/>
  <c r="BM253" i="31"/>
  <c r="BP253" i="31" s="1"/>
  <c r="BV253" i="31" s="1"/>
  <c r="AX204" i="31"/>
  <c r="BD204" i="31" s="1"/>
  <c r="BJ204" i="31" s="1"/>
  <c r="AW209" i="31"/>
  <c r="CK209" i="31" s="1"/>
  <c r="AX154" i="31"/>
  <c r="BD154" i="31" s="1"/>
  <c r="BJ154" i="31" s="1"/>
  <c r="BO218" i="31"/>
  <c r="CN218" i="31" s="1"/>
  <c r="BO148" i="31"/>
  <c r="CN148" i="31" s="1"/>
  <c r="BO231" i="31"/>
  <c r="CN231" i="31" s="1"/>
  <c r="AW351" i="31"/>
  <c r="CK351" i="31" s="1"/>
  <c r="AW336" i="31"/>
  <c r="CK336" i="31" s="1"/>
  <c r="BM49" i="31"/>
  <c r="BP49" i="31" s="1"/>
  <c r="BV49" i="31" s="1"/>
  <c r="P347" i="41"/>
  <c r="BO10" i="31"/>
  <c r="CN10" i="31" s="1"/>
  <c r="P5" i="41" s="1"/>
  <c r="O41" i="29"/>
  <c r="P41" i="29" s="1"/>
  <c r="BM51" i="31"/>
  <c r="AX157" i="31"/>
  <c r="BD157" i="31" s="1"/>
  <c r="BJ157" i="31" s="1"/>
  <c r="AX121" i="31"/>
  <c r="BD121" i="31" s="1"/>
  <c r="BJ121" i="31" s="1"/>
  <c r="AX258" i="31"/>
  <c r="BD258" i="31" s="1"/>
  <c r="BJ258" i="31" s="1"/>
  <c r="BM183" i="31"/>
  <c r="BM241" i="31"/>
  <c r="BP241" i="31" s="1"/>
  <c r="BV241" i="31" s="1"/>
  <c r="BM165" i="31"/>
  <c r="BP165" i="31" s="1"/>
  <c r="BV165" i="31" s="1"/>
  <c r="Q9" i="29"/>
  <c r="AC9" i="29"/>
  <c r="BM181" i="31"/>
  <c r="BO181" i="31" s="1"/>
  <c r="CN181" i="31" s="1"/>
  <c r="AW50" i="31"/>
  <c r="CK50" i="31" s="1"/>
  <c r="AW56" i="31"/>
  <c r="CK56" i="31" s="1"/>
  <c r="BO146" i="31"/>
  <c r="CN146" i="31" s="1"/>
  <c r="AW245" i="31"/>
  <c r="CK245" i="31" s="1"/>
  <c r="BM13" i="31"/>
  <c r="BP13" i="31" s="1"/>
  <c r="BV13" i="31" s="1"/>
  <c r="AW38" i="31"/>
  <c r="CK38" i="31" s="1"/>
  <c r="P182" i="41"/>
  <c r="AX56" i="31"/>
  <c r="BD56" i="31" s="1"/>
  <c r="BJ56" i="31" s="1"/>
  <c r="BP146" i="31"/>
  <c r="BV146" i="31" s="1"/>
  <c r="BM230" i="31"/>
  <c r="BP230" i="31" s="1"/>
  <c r="BV230" i="31" s="1"/>
  <c r="AW97" i="31"/>
  <c r="CK97" i="31" s="1"/>
  <c r="AX38" i="31"/>
  <c r="BD38" i="31" s="1"/>
  <c r="BJ38" i="31" s="1"/>
  <c r="AW259" i="31"/>
  <c r="CK259" i="31" s="1"/>
  <c r="BO35" i="31"/>
  <c r="CN35" i="31" s="1"/>
  <c r="BP187" i="31"/>
  <c r="BV187" i="31" s="1"/>
  <c r="AW280" i="31"/>
  <c r="CK280" i="31" s="1"/>
  <c r="AW212" i="31"/>
  <c r="CK212" i="31" s="1"/>
  <c r="AX97" i="31"/>
  <c r="BD97" i="31" s="1"/>
  <c r="BJ97" i="31" s="1"/>
  <c r="BM118" i="31"/>
  <c r="AX259" i="31"/>
  <c r="BD259" i="31" s="1"/>
  <c r="BJ259" i="31" s="1"/>
  <c r="BP35" i="31"/>
  <c r="BV35" i="31" s="1"/>
  <c r="AW69" i="31"/>
  <c r="CK69" i="31" s="1"/>
  <c r="AX280" i="31"/>
  <c r="BD280" i="31" s="1"/>
  <c r="BJ280" i="31" s="1"/>
  <c r="AX212" i="31"/>
  <c r="BD212" i="31" s="1"/>
  <c r="BJ212" i="31" s="1"/>
  <c r="P203" i="41"/>
  <c r="AW132" i="31"/>
  <c r="CK132" i="31" s="1"/>
  <c r="AX138" i="31"/>
  <c r="BD138" i="31" s="1"/>
  <c r="BJ138" i="31" s="1"/>
  <c r="BM9" i="31"/>
  <c r="BP48" i="31"/>
  <c r="BV48" i="31" s="1"/>
  <c r="BO303" i="31"/>
  <c r="CN303" i="31" s="1"/>
  <c r="AW80" i="31"/>
  <c r="CK80" i="31" s="1"/>
  <c r="AX209" i="31"/>
  <c r="BD209" i="31" s="1"/>
  <c r="BJ209" i="31" s="1"/>
  <c r="BP218" i="31"/>
  <c r="BV218" i="31" s="1"/>
  <c r="BP148" i="31"/>
  <c r="BV148" i="31" s="1"/>
  <c r="BP231" i="31"/>
  <c r="BV231" i="31" s="1"/>
  <c r="AX351" i="31"/>
  <c r="BD351" i="31" s="1"/>
  <c r="BJ351" i="31" s="1"/>
  <c r="AX336" i="31"/>
  <c r="BD336" i="31" s="1"/>
  <c r="BJ336" i="31" s="1"/>
  <c r="BM109" i="31"/>
  <c r="BP352" i="31"/>
  <c r="BV352" i="31" s="1"/>
  <c r="BP10" i="31"/>
  <c r="BV10" i="31" s="1"/>
  <c r="BM240" i="31"/>
  <c r="BP240" i="31" s="1"/>
  <c r="BV240" i="31" s="1"/>
  <c r="AW291" i="31"/>
  <c r="CK291" i="31" s="1"/>
  <c r="AW290" i="31"/>
  <c r="CK290" i="31" s="1"/>
  <c r="AW194" i="31"/>
  <c r="CK194" i="31" s="1"/>
  <c r="AW152" i="31"/>
  <c r="CK152" i="31" s="1"/>
  <c r="AW163" i="31"/>
  <c r="CK163" i="31" s="1"/>
  <c r="AW108" i="31"/>
  <c r="CK108" i="31" s="1"/>
  <c r="AW135" i="31"/>
  <c r="CK135" i="31" s="1"/>
  <c r="AC3" i="29"/>
  <c r="BO68" i="31"/>
  <c r="CN68" i="31" s="1"/>
  <c r="BM62" i="31"/>
  <c r="BP62" i="31" s="1"/>
  <c r="BV62" i="31" s="1"/>
  <c r="BM254" i="31"/>
  <c r="BP254" i="31" s="1"/>
  <c r="BV254" i="31" s="1"/>
  <c r="BP30" i="31"/>
  <c r="BV30" i="31" s="1"/>
  <c r="BO329" i="31"/>
  <c r="CN329" i="31" s="1"/>
  <c r="BP68" i="31"/>
  <c r="BV68" i="31" s="1"/>
  <c r="BM217" i="31"/>
  <c r="AW188" i="31"/>
  <c r="CK188" i="31" s="1"/>
  <c r="BY140" i="31"/>
  <c r="CA140" i="31" s="1"/>
  <c r="CP140" i="31" s="1"/>
  <c r="AW260" i="31"/>
  <c r="CK260" i="31" s="1"/>
  <c r="AX261" i="31"/>
  <c r="BD261" i="31" s="1"/>
  <c r="BJ261" i="31" s="1"/>
  <c r="AW114" i="31"/>
  <c r="CK114" i="31" s="1"/>
  <c r="AX50" i="31"/>
  <c r="BD50" i="31" s="1"/>
  <c r="BJ50" i="31" s="1"/>
  <c r="AX260" i="31"/>
  <c r="BD260" i="31" s="1"/>
  <c r="BJ260" i="31" s="1"/>
  <c r="BM219" i="31"/>
  <c r="BP219" i="31" s="1"/>
  <c r="BV219" i="31" s="1"/>
  <c r="BO226" i="31"/>
  <c r="CN226" i="31" s="1"/>
  <c r="AX114" i="31"/>
  <c r="BD114" i="31" s="1"/>
  <c r="BJ114" i="31" s="1"/>
  <c r="AW67" i="31"/>
  <c r="CK67" i="31" s="1"/>
  <c r="AW220" i="31"/>
  <c r="CK220" i="31" s="1"/>
  <c r="BM69" i="31"/>
  <c r="BO69" i="31" s="1"/>
  <c r="CN69" i="31" s="1"/>
  <c r="AW350" i="31"/>
  <c r="CK350" i="31" s="1"/>
  <c r="BM132" i="31"/>
  <c r="BO132" i="31" s="1"/>
  <c r="CN132" i="31" s="1"/>
  <c r="AW39" i="31"/>
  <c r="CK39" i="31" s="1"/>
  <c r="P38" i="29"/>
  <c r="AW317" i="31"/>
  <c r="CK317" i="31" s="1"/>
  <c r="BY303" i="31"/>
  <c r="CA303" i="31" s="1"/>
  <c r="CP303" i="31" s="1"/>
  <c r="BM80" i="31"/>
  <c r="BO80" i="31" s="1"/>
  <c r="CN80" i="31" s="1"/>
  <c r="BO64" i="31"/>
  <c r="CN64" i="31" s="1"/>
  <c r="AW200" i="31"/>
  <c r="CK200" i="31" s="1"/>
  <c r="BO263" i="31"/>
  <c r="CN263" i="31" s="1"/>
  <c r="BM298" i="31"/>
  <c r="BM243" i="31"/>
  <c r="BM278" i="31"/>
  <c r="BM291" i="31"/>
  <c r="BO291" i="31" s="1"/>
  <c r="CN291" i="31" s="1"/>
  <c r="BM290" i="31"/>
  <c r="BO290" i="31" s="1"/>
  <c r="CN290" i="31" s="1"/>
  <c r="AX194" i="31"/>
  <c r="BD194" i="31" s="1"/>
  <c r="BJ194" i="31" s="1"/>
  <c r="AX152" i="31"/>
  <c r="BD152" i="31" s="1"/>
  <c r="BJ152" i="31" s="1"/>
  <c r="AX163" i="31"/>
  <c r="BD163" i="31" s="1"/>
  <c r="BJ163" i="31" s="1"/>
  <c r="AX108" i="31"/>
  <c r="BD108" i="31" s="1"/>
  <c r="BJ108" i="31" s="1"/>
  <c r="AX135" i="31"/>
  <c r="BD135" i="31" s="1"/>
  <c r="BJ135" i="31" s="1"/>
  <c r="AW174" i="31"/>
  <c r="CK174" i="31" s="1"/>
  <c r="AW211" i="31"/>
  <c r="CK211" i="31" s="1"/>
  <c r="AW93" i="31"/>
  <c r="CK93" i="31" s="1"/>
  <c r="BM296" i="31"/>
  <c r="BP296" i="31" s="1"/>
  <c r="BV296" i="31" s="1"/>
  <c r="BM269" i="31"/>
  <c r="BP269" i="31" s="1"/>
  <c r="BV269" i="31" s="1"/>
  <c r="BM14" i="31"/>
  <c r="BO14" i="31" s="1"/>
  <c r="CN14" i="31" s="1"/>
  <c r="BM112" i="31"/>
  <c r="BO151" i="31"/>
  <c r="CN151" i="31" s="1"/>
  <c r="AW145" i="31"/>
  <c r="CK145" i="31" s="1"/>
  <c r="AW113" i="31"/>
  <c r="CK113" i="31" s="1"/>
  <c r="AX174" i="31"/>
  <c r="BD174" i="31" s="1"/>
  <c r="BJ174" i="31" s="1"/>
  <c r="AX211" i="31"/>
  <c r="BD211" i="31" s="1"/>
  <c r="BJ211" i="31" s="1"/>
  <c r="AW191" i="31"/>
  <c r="CK191" i="31" s="1"/>
  <c r="BM335" i="31"/>
  <c r="BM125" i="31"/>
  <c r="BO125" i="31" s="1"/>
  <c r="CN125" i="31" s="1"/>
  <c r="AW348" i="31"/>
  <c r="CK348" i="31" s="1"/>
  <c r="AW33" i="31"/>
  <c r="CK33" i="31" s="1"/>
  <c r="BP124" i="31"/>
  <c r="BV124" i="31" s="1"/>
  <c r="AW349" i="31"/>
  <c r="CK349" i="31" s="1"/>
  <c r="BY37" i="31"/>
  <c r="CA37" i="31" s="1"/>
  <c r="CP37" i="31" s="1"/>
  <c r="BM339" i="31"/>
  <c r="BO339" i="31" s="1"/>
  <c r="CN339" i="31" s="1"/>
  <c r="BM182" i="31"/>
  <c r="BO182" i="31" s="1"/>
  <c r="CN182" i="31" s="1"/>
  <c r="AW233" i="31"/>
  <c r="CK233" i="31" s="1"/>
  <c r="BM59" i="31"/>
  <c r="BM63" i="31"/>
  <c r="BP63" i="31" s="1"/>
  <c r="BV63" i="31" s="1"/>
  <c r="AW22" i="31"/>
  <c r="CK22" i="31" s="1"/>
  <c r="BM39" i="31"/>
  <c r="AW282" i="31"/>
  <c r="CK282" i="31" s="1"/>
  <c r="BM200" i="31"/>
  <c r="BO200" i="31" s="1"/>
  <c r="CN200" i="31" s="1"/>
  <c r="AW27" i="31"/>
  <c r="CK27" i="31" s="1"/>
  <c r="BM12" i="31"/>
  <c r="BP12" i="31" s="1"/>
  <c r="BV12" i="31" s="1"/>
  <c r="P29" i="41"/>
  <c r="BP171" i="31"/>
  <c r="BV171" i="31" s="1"/>
  <c r="BP120" i="31"/>
  <c r="BV120" i="31" s="1"/>
  <c r="AX22" i="31"/>
  <c r="BD22" i="31" s="1"/>
  <c r="BJ22" i="31" s="1"/>
  <c r="Q2" i="29"/>
  <c r="BM32" i="31"/>
  <c r="BP32" i="31" s="1"/>
  <c r="BV32" i="31" s="1"/>
  <c r="AX282" i="31"/>
  <c r="BD282" i="31" s="1"/>
  <c r="BJ282" i="31" s="1"/>
  <c r="P301" i="41"/>
  <c r="BO101" i="31"/>
  <c r="CN101" i="31" s="1"/>
  <c r="BO160" i="31"/>
  <c r="CN160" i="31" s="1"/>
  <c r="BO297" i="31"/>
  <c r="CN297" i="31" s="1"/>
  <c r="AW316" i="31"/>
  <c r="CK316" i="31" s="1"/>
  <c r="Q12" i="29"/>
  <c r="AC12" i="29"/>
  <c r="AX27" i="31"/>
  <c r="BD27" i="31" s="1"/>
  <c r="BJ27" i="31" s="1"/>
  <c r="AF4" i="31"/>
  <c r="AF3" i="31"/>
  <c r="AI7" i="31"/>
  <c r="AL7" i="31" s="1"/>
  <c r="BM76" i="31"/>
  <c r="BP76" i="31" s="1"/>
  <c r="BV76" i="31" s="1"/>
  <c r="Q5" i="29"/>
  <c r="AC5" i="29"/>
  <c r="BP151" i="31"/>
  <c r="BV151" i="31" s="1"/>
  <c r="AW122" i="31"/>
  <c r="CK122" i="31" s="1"/>
  <c r="BM145" i="31"/>
  <c r="BO145" i="31" s="1"/>
  <c r="CN145" i="31" s="1"/>
  <c r="BM113" i="31"/>
  <c r="BO113" i="31" s="1"/>
  <c r="CN113" i="31" s="1"/>
  <c r="AW299" i="31"/>
  <c r="CK299" i="31" s="1"/>
  <c r="BM81" i="31"/>
  <c r="BO81" i="31" s="1"/>
  <c r="CN81" i="31" s="1"/>
  <c r="BO276" i="31"/>
  <c r="CN276" i="31" s="1"/>
  <c r="AW246" i="31"/>
  <c r="CK246" i="31" s="1"/>
  <c r="BM67" i="31"/>
  <c r="BO67" i="31" s="1"/>
  <c r="CN67" i="31" s="1"/>
  <c r="AW283" i="31"/>
  <c r="CK283" i="31" s="1"/>
  <c r="AX122" i="31"/>
  <c r="BD122" i="31" s="1"/>
  <c r="BJ122" i="31" s="1"/>
  <c r="P31" i="41"/>
  <c r="AW43" i="31"/>
  <c r="CK43" i="31" s="1"/>
  <c r="AW308" i="31"/>
  <c r="CK308" i="31" s="1"/>
  <c r="BM110" i="31"/>
  <c r="BP110" i="31" s="1"/>
  <c r="BV110" i="31" s="1"/>
  <c r="AX299" i="31"/>
  <c r="BD299" i="31" s="1"/>
  <c r="BJ299" i="31" s="1"/>
  <c r="AW100" i="31"/>
  <c r="CK100" i="31" s="1"/>
  <c r="AW52" i="31"/>
  <c r="CK52" i="31" s="1"/>
  <c r="BM239" i="31"/>
  <c r="BM292" i="31"/>
  <c r="BO19" i="31"/>
  <c r="CN19" i="31" s="1"/>
  <c r="BM107" i="31"/>
  <c r="BM197" i="31"/>
  <c r="BM220" i="31"/>
  <c r="BO220" i="31" s="1"/>
  <c r="CN220" i="31" s="1"/>
  <c r="P115" i="41"/>
  <c r="AW216" i="31"/>
  <c r="CK216" i="31" s="1"/>
  <c r="BM317" i="31"/>
  <c r="BO317" i="31" s="1"/>
  <c r="CN317" i="31" s="1"/>
  <c r="BY263" i="31"/>
  <c r="CA263" i="31" s="1"/>
  <c r="CP263" i="31" s="1"/>
  <c r="BO189" i="31"/>
  <c r="CN189" i="31" s="1"/>
  <c r="BM11" i="31"/>
  <c r="BP11" i="31" s="1"/>
  <c r="BV11" i="31" s="1"/>
  <c r="BM15" i="31"/>
  <c r="BP15" i="31" s="1"/>
  <c r="BV15" i="31" s="1"/>
  <c r="BO342" i="31"/>
  <c r="CN342" i="31" s="1"/>
  <c r="BY101" i="31"/>
  <c r="CA101" i="31" s="1"/>
  <c r="CP101" i="31" s="1"/>
  <c r="BO167" i="31"/>
  <c r="CN167" i="31" s="1"/>
  <c r="BY160" i="31"/>
  <c r="CA160" i="31" s="1"/>
  <c r="CP160" i="31" s="1"/>
  <c r="BY297" i="31"/>
  <c r="CA297" i="31" s="1"/>
  <c r="CP297" i="31" s="1"/>
  <c r="BM316" i="31"/>
  <c r="BO316" i="31" s="1"/>
  <c r="CN316" i="31" s="1"/>
  <c r="BM205" i="31"/>
  <c r="BP205" i="31" s="1"/>
  <c r="BV205" i="31" s="1"/>
  <c r="BO70" i="31"/>
  <c r="CN70" i="31" s="1"/>
  <c r="BM267" i="31"/>
  <c r="BP267" i="31" s="1"/>
  <c r="BV267" i="31" s="1"/>
  <c r="BM87" i="31"/>
  <c r="BP87" i="31" s="1"/>
  <c r="BV87" i="31" s="1"/>
  <c r="BP189" i="31"/>
  <c r="BV189" i="31" s="1"/>
  <c r="BM257" i="31"/>
  <c r="BP257" i="31" s="1"/>
  <c r="BV257" i="31" s="1"/>
  <c r="AW309" i="31"/>
  <c r="CK309" i="31" s="1"/>
  <c r="AW222" i="31"/>
  <c r="CK222" i="31" s="1"/>
  <c r="AW213" i="31"/>
  <c r="CK213" i="31" s="1"/>
  <c r="AW250" i="31"/>
  <c r="CK250" i="31" s="1"/>
  <c r="BP342" i="31"/>
  <c r="BV342" i="31" s="1"/>
  <c r="AW337" i="31"/>
  <c r="CK337" i="31" s="1"/>
  <c r="P322" i="41"/>
  <c r="BP167" i="31"/>
  <c r="BV167" i="31" s="1"/>
  <c r="AW102" i="31"/>
  <c r="CK102" i="31" s="1"/>
  <c r="AW103" i="31"/>
  <c r="CK103" i="31" s="1"/>
  <c r="P80" i="41"/>
  <c r="AW42" i="31"/>
  <c r="CK42" i="31" s="1"/>
  <c r="BM234" i="31"/>
  <c r="BP70" i="31"/>
  <c r="BV70" i="31" s="1"/>
  <c r="AW158" i="31"/>
  <c r="CK158" i="31" s="1"/>
  <c r="BM244" i="31"/>
  <c r="BP244" i="31" s="1"/>
  <c r="BV244" i="31" s="1"/>
  <c r="AW235" i="31"/>
  <c r="CK235" i="31" s="1"/>
  <c r="BM283" i="31"/>
  <c r="BO283" i="31" s="1"/>
  <c r="CN283" i="31" s="1"/>
  <c r="AW229" i="31"/>
  <c r="CK229" i="31" s="1"/>
  <c r="AW61" i="31"/>
  <c r="CK61" i="31" s="1"/>
  <c r="BM43" i="31"/>
  <c r="BO43" i="31" s="1"/>
  <c r="CN43" i="31" s="1"/>
  <c r="BM308" i="31"/>
  <c r="BO308" i="31" s="1"/>
  <c r="CN308" i="31" s="1"/>
  <c r="AW123" i="31"/>
  <c r="CK123" i="31" s="1"/>
  <c r="AW214" i="31"/>
  <c r="CK214" i="31" s="1"/>
  <c r="BM293" i="31"/>
  <c r="BP293" i="31" s="1"/>
  <c r="BV293" i="31" s="1"/>
  <c r="BM115" i="31"/>
  <c r="BP115" i="31" s="1"/>
  <c r="BV115" i="31" s="1"/>
  <c r="BO248" i="31"/>
  <c r="CN248" i="31" s="1"/>
  <c r="O40" i="29"/>
  <c r="P40" i="29" s="1"/>
  <c r="BM311" i="31"/>
  <c r="BO311" i="31" s="1"/>
  <c r="CN311" i="31" s="1"/>
  <c r="AW46" i="31"/>
  <c r="CK46" i="31" s="1"/>
  <c r="AW60" i="31"/>
  <c r="CK60" i="31" s="1"/>
  <c r="P166" i="41"/>
  <c r="BM350" i="31"/>
  <c r="BO350" i="31" s="1"/>
  <c r="CN350" i="31" s="1"/>
  <c r="AW331" i="31"/>
  <c r="CK331" i="31" s="1"/>
  <c r="BM94" i="31"/>
  <c r="AW26" i="31"/>
  <c r="CK26" i="31" s="1"/>
  <c r="BM18" i="31"/>
  <c r="BP18" i="31" s="1"/>
  <c r="BV18" i="31" s="1"/>
  <c r="BM221" i="31"/>
  <c r="BP221" i="31" s="1"/>
  <c r="BV221" i="31" s="1"/>
  <c r="BM44" i="31"/>
  <c r="BP44" i="31" s="1"/>
  <c r="BV44" i="31" s="1"/>
  <c r="BM54" i="31"/>
  <c r="AW173" i="31"/>
  <c r="CK173" i="31" s="1"/>
  <c r="BM129" i="31"/>
  <c r="BO136" i="31"/>
  <c r="CN136" i="31" s="1"/>
  <c r="AW125" i="31"/>
  <c r="CK125" i="31" s="1"/>
  <c r="BM309" i="31"/>
  <c r="BO309" i="31" s="1"/>
  <c r="CN309" i="31" s="1"/>
  <c r="BM222" i="31"/>
  <c r="BO222" i="31" s="1"/>
  <c r="CN222" i="31" s="1"/>
  <c r="BM213" i="31"/>
  <c r="BO213" i="31" s="1"/>
  <c r="CN213" i="31" s="1"/>
  <c r="AW164" i="31"/>
  <c r="CK164" i="31" s="1"/>
  <c r="BM177" i="31"/>
  <c r="BP177" i="31" s="1"/>
  <c r="BV177" i="31" s="1"/>
  <c r="BM250" i="31"/>
  <c r="BO250" i="31" s="1"/>
  <c r="CN250" i="31" s="1"/>
  <c r="AW81" i="31"/>
  <c r="CK81" i="31" s="1"/>
  <c r="BM337" i="31"/>
  <c r="BO337" i="31" s="1"/>
  <c r="CN337" i="31" s="1"/>
  <c r="BM102" i="31"/>
  <c r="BO102" i="31" s="1"/>
  <c r="CN102" i="31" s="1"/>
  <c r="BM103" i="31"/>
  <c r="BP103" i="31" s="1"/>
  <c r="BV103" i="31" s="1"/>
  <c r="AW106" i="31"/>
  <c r="CK106" i="31" s="1"/>
  <c r="BM42" i="31"/>
  <c r="BO42" i="31" s="1"/>
  <c r="CN42" i="31" s="1"/>
  <c r="AW273" i="31"/>
  <c r="CK273" i="31" s="1"/>
  <c r="AW199" i="31"/>
  <c r="CK199" i="31" s="1"/>
  <c r="BO262" i="31"/>
  <c r="CN262" i="31" s="1"/>
  <c r="BM158" i="31"/>
  <c r="BO158" i="31" s="1"/>
  <c r="CN158" i="31" s="1"/>
  <c r="BM343" i="31"/>
  <c r="BP343" i="31" s="1"/>
  <c r="BV343" i="31" s="1"/>
  <c r="BM235" i="31"/>
  <c r="BO235" i="31" s="1"/>
  <c r="CN235" i="31" s="1"/>
  <c r="BM287" i="31"/>
  <c r="BP287" i="31" s="1"/>
  <c r="BV287" i="31" s="1"/>
  <c r="BM229" i="31"/>
  <c r="BP229" i="31" s="1"/>
  <c r="BV229" i="31" s="1"/>
  <c r="BM61" i="31"/>
  <c r="BO61" i="31" s="1"/>
  <c r="CN61" i="31" s="1"/>
  <c r="AW184" i="31"/>
  <c r="CK184" i="31" s="1"/>
  <c r="AW181" i="31"/>
  <c r="CK181" i="31" s="1"/>
  <c r="AW311" i="31"/>
  <c r="CK311" i="31" s="1"/>
  <c r="BM123" i="31"/>
  <c r="BO123" i="31" s="1"/>
  <c r="CN123" i="31" s="1"/>
  <c r="AX214" i="31"/>
  <c r="BD214" i="31" s="1"/>
  <c r="BJ214" i="31" s="1"/>
  <c r="AW249" i="31"/>
  <c r="CK249" i="31" s="1"/>
  <c r="BP248" i="31"/>
  <c r="BV248" i="31" s="1"/>
  <c r="CB130" i="31" l="1"/>
  <c r="CC226" i="31"/>
  <c r="CC276" i="31"/>
  <c r="CB160" i="31"/>
  <c r="CC329" i="31"/>
  <c r="CB340" i="31"/>
  <c r="CB262" i="31"/>
  <c r="CB263" i="31"/>
  <c r="AF2" i="31"/>
  <c r="BP31" i="31"/>
  <c r="BV31" i="31" s="1"/>
  <c r="BY31" i="31" s="1"/>
  <c r="BP317" i="31"/>
  <c r="BV317" i="31" s="1"/>
  <c r="BY317" i="31" s="1"/>
  <c r="CB317" i="31" s="1"/>
  <c r="BO111" i="31"/>
  <c r="CN111" i="31" s="1"/>
  <c r="P106" i="41" s="1"/>
  <c r="CC262" i="31"/>
  <c r="CC166" i="31"/>
  <c r="BP173" i="31"/>
  <c r="BV173" i="31" s="1"/>
  <c r="BY173" i="31" s="1"/>
  <c r="CB173" i="31" s="1"/>
  <c r="CB166" i="31"/>
  <c r="CC83" i="31"/>
  <c r="BP96" i="31"/>
  <c r="BV96" i="31" s="1"/>
  <c r="BY96" i="31" s="1"/>
  <c r="CB96" i="31" s="1"/>
  <c r="CB329" i="31"/>
  <c r="CB37" i="31"/>
  <c r="BI346" i="31"/>
  <c r="BG354" i="31"/>
  <c r="BG3" i="31"/>
  <c r="BG4" i="31"/>
  <c r="J10" i="29" s="1"/>
  <c r="BJ346" i="31"/>
  <c r="BM346" i="31" s="1"/>
  <c r="BO346" i="31" s="1"/>
  <c r="CN346" i="31" s="1"/>
  <c r="CC101" i="31"/>
  <c r="BP14" i="31"/>
  <c r="BV14" i="31" s="1"/>
  <c r="BY14" i="31" s="1"/>
  <c r="CA14" i="31" s="1"/>
  <c r="CP14" i="31" s="1"/>
  <c r="BP61" i="31"/>
  <c r="BV61" i="31" s="1"/>
  <c r="BY61" i="31" s="1"/>
  <c r="CA61" i="31" s="1"/>
  <c r="CP61" i="31" s="1"/>
  <c r="BP245" i="31"/>
  <c r="BV245" i="31" s="1"/>
  <c r="BY245" i="31" s="1"/>
  <c r="CB245" i="31" s="1"/>
  <c r="BP213" i="31"/>
  <c r="BV213" i="31" s="1"/>
  <c r="BY213" i="31" s="1"/>
  <c r="CB213" i="31" s="1"/>
  <c r="BP311" i="31"/>
  <c r="BV311" i="31" s="1"/>
  <c r="BY311" i="31" s="1"/>
  <c r="CB311" i="31" s="1"/>
  <c r="BP81" i="31"/>
  <c r="BV81" i="31" s="1"/>
  <c r="BY81" i="31" s="1"/>
  <c r="CB81" i="31" s="1"/>
  <c r="CB19" i="31"/>
  <c r="BP309" i="31"/>
  <c r="BV309" i="31" s="1"/>
  <c r="BY309" i="31" s="1"/>
  <c r="CA309" i="31" s="1"/>
  <c r="CP309" i="31" s="1"/>
  <c r="BP43" i="31"/>
  <c r="BV43" i="31" s="1"/>
  <c r="BY43" i="31" s="1"/>
  <c r="CB43" i="31" s="1"/>
  <c r="BP291" i="31"/>
  <c r="BV291" i="31" s="1"/>
  <c r="BY291" i="31" s="1"/>
  <c r="CB291" i="31" s="1"/>
  <c r="BP162" i="31"/>
  <c r="BV162" i="31" s="1"/>
  <c r="BY162" i="31" s="1"/>
  <c r="BP333" i="31"/>
  <c r="BV333" i="31" s="1"/>
  <c r="BY333" i="31" s="1"/>
  <c r="CB83" i="31"/>
  <c r="BP145" i="31"/>
  <c r="BV145" i="31" s="1"/>
  <c r="BY145" i="31" s="1"/>
  <c r="CA145" i="31" s="1"/>
  <c r="CP145" i="31" s="1"/>
  <c r="CC136" i="31"/>
  <c r="BP26" i="31"/>
  <c r="BV26" i="31" s="1"/>
  <c r="BY26" i="31" s="1"/>
  <c r="CB26" i="31" s="1"/>
  <c r="CC340" i="31"/>
  <c r="CB111" i="31"/>
  <c r="CC64" i="31"/>
  <c r="BP222" i="31"/>
  <c r="BV222" i="31" s="1"/>
  <c r="BY222" i="31" s="1"/>
  <c r="CB222" i="31" s="1"/>
  <c r="BP196" i="31"/>
  <c r="BV196" i="31" s="1"/>
  <c r="BY196" i="31" s="1"/>
  <c r="CB196" i="31" s="1"/>
  <c r="BP284" i="31"/>
  <c r="BV284" i="31" s="1"/>
  <c r="BY284" i="31" s="1"/>
  <c r="BP302" i="31"/>
  <c r="BV302" i="31" s="1"/>
  <c r="BY302" i="31" s="1"/>
  <c r="CB302" i="31" s="1"/>
  <c r="BP123" i="31"/>
  <c r="BV123" i="31" s="1"/>
  <c r="BY123" i="31" s="1"/>
  <c r="CB123" i="31" s="1"/>
  <c r="BP113" i="31"/>
  <c r="BV113" i="31" s="1"/>
  <c r="BY113" i="31" s="1"/>
  <c r="CA113" i="31" s="1"/>
  <c r="CP113" i="31" s="1"/>
  <c r="BP290" i="31"/>
  <c r="BV290" i="31" s="1"/>
  <c r="BY290" i="31" s="1"/>
  <c r="CA290" i="31" s="1"/>
  <c r="CP290" i="31" s="1"/>
  <c r="CB141" i="31"/>
  <c r="CB226" i="31"/>
  <c r="CB64" i="31"/>
  <c r="BP80" i="31"/>
  <c r="BV80" i="31" s="1"/>
  <c r="BP84" i="31"/>
  <c r="BV84" i="31" s="1"/>
  <c r="BY84" i="31" s="1"/>
  <c r="CB84" i="31" s="1"/>
  <c r="BP106" i="31"/>
  <c r="BV106" i="31" s="1"/>
  <c r="BY106" i="31" s="1"/>
  <c r="CB276" i="31"/>
  <c r="BP348" i="31"/>
  <c r="BV348" i="31" s="1"/>
  <c r="BY348" i="31" s="1"/>
  <c r="CC192" i="31"/>
  <c r="BP191" i="31"/>
  <c r="BV191" i="31" s="1"/>
  <c r="BY191" i="31" s="1"/>
  <c r="CB191" i="31" s="1"/>
  <c r="BP181" i="31"/>
  <c r="BV181" i="31" s="1"/>
  <c r="BY181" i="31" s="1"/>
  <c r="CB181" i="31" s="1"/>
  <c r="BP147" i="31"/>
  <c r="BV147" i="31" s="1"/>
  <c r="BY147" i="31" s="1"/>
  <c r="BP132" i="31"/>
  <c r="BV132" i="31" s="1"/>
  <c r="BY132" i="31" s="1"/>
  <c r="CB132" i="31" s="1"/>
  <c r="BP102" i="31"/>
  <c r="BV102" i="31" s="1"/>
  <c r="BY102" i="31" s="1"/>
  <c r="BP42" i="31"/>
  <c r="BV42" i="31" s="1"/>
  <c r="BY42" i="31" s="1"/>
  <c r="CA42" i="31" s="1"/>
  <c r="CP42" i="31" s="1"/>
  <c r="CC141" i="31"/>
  <c r="CC19" i="31"/>
  <c r="CC130" i="31"/>
  <c r="BP158" i="31"/>
  <c r="BV158" i="31" s="1"/>
  <c r="BP182" i="31"/>
  <c r="BV182" i="31" s="1"/>
  <c r="BY182" i="31" s="1"/>
  <c r="CB140" i="31"/>
  <c r="BP144" i="31"/>
  <c r="BV144" i="31" s="1"/>
  <c r="BY144" i="31" s="1"/>
  <c r="CA144" i="31" s="1"/>
  <c r="CP144" i="31" s="1"/>
  <c r="BP88" i="31"/>
  <c r="BV88" i="31" s="1"/>
  <c r="BP77" i="31"/>
  <c r="BV77" i="31" s="1"/>
  <c r="BY77" i="31" s="1"/>
  <c r="CB77" i="31" s="1"/>
  <c r="BP21" i="31"/>
  <c r="BV21" i="31" s="1"/>
  <c r="BY21" i="31" s="1"/>
  <c r="CA21" i="31" s="1"/>
  <c r="CP21" i="31" s="1"/>
  <c r="BY76" i="31"/>
  <c r="CA76" i="31" s="1"/>
  <c r="CP76" i="31" s="1"/>
  <c r="BO269" i="31"/>
  <c r="CN269" i="31" s="1"/>
  <c r="BO17" i="31"/>
  <c r="CN17" i="31" s="1"/>
  <c r="BP17" i="31"/>
  <c r="BV17" i="31" s="1"/>
  <c r="BY269" i="31"/>
  <c r="CA269" i="31" s="1"/>
  <c r="CP269" i="31" s="1"/>
  <c r="BY95" i="31"/>
  <c r="CA95" i="31" s="1"/>
  <c r="CP95" i="31" s="1"/>
  <c r="M55" i="41"/>
  <c r="BY296" i="31"/>
  <c r="CA296" i="31" s="1"/>
  <c r="CP296" i="31" s="1"/>
  <c r="BY13" i="31"/>
  <c r="CA13" i="31" s="1"/>
  <c r="CP13" i="31" s="1"/>
  <c r="BO229" i="31"/>
  <c r="CN229" i="31" s="1"/>
  <c r="BY11" i="31"/>
  <c r="CA11" i="31" s="1"/>
  <c r="CP11" i="31" s="1"/>
  <c r="R6" i="41" s="1"/>
  <c r="BY229" i="31"/>
  <c r="CA229" i="31" s="1"/>
  <c r="CP229" i="31" s="1"/>
  <c r="M21" i="41"/>
  <c r="BY244" i="31"/>
  <c r="CA244" i="31" s="1"/>
  <c r="CP244" i="31" s="1"/>
  <c r="M294" i="41"/>
  <c r="BY63" i="31"/>
  <c r="CA63" i="31" s="1"/>
  <c r="CP63" i="31" s="1"/>
  <c r="BO118" i="31"/>
  <c r="CN118" i="31" s="1"/>
  <c r="BP118" i="31"/>
  <c r="BV118" i="31" s="1"/>
  <c r="BY293" i="31"/>
  <c r="CA293" i="31" s="1"/>
  <c r="CP293" i="31" s="1"/>
  <c r="BO94" i="31"/>
  <c r="CN94" i="31" s="1"/>
  <c r="BP94" i="31"/>
  <c r="BV94" i="31" s="1"/>
  <c r="M95" i="41"/>
  <c r="CA92" i="31"/>
  <c r="CP92" i="31" s="1"/>
  <c r="CC92" i="31"/>
  <c r="CB92" i="31"/>
  <c r="P59" i="41"/>
  <c r="BY221" i="31"/>
  <c r="CA221" i="31" s="1"/>
  <c r="CP221" i="31" s="1"/>
  <c r="P337" i="41"/>
  <c r="M120" i="41"/>
  <c r="BY12" i="31"/>
  <c r="CA12" i="31" s="1"/>
  <c r="CP12" i="31" s="1"/>
  <c r="R7" i="41" s="1"/>
  <c r="M97" i="41"/>
  <c r="BY230" i="31"/>
  <c r="CA230" i="31" s="1"/>
  <c r="CP230" i="31" s="1"/>
  <c r="BY110" i="31"/>
  <c r="CA110" i="31" s="1"/>
  <c r="CP110" i="31" s="1"/>
  <c r="BY10" i="31"/>
  <c r="CB10" i="31" s="1"/>
  <c r="BO112" i="31"/>
  <c r="CN112" i="31" s="1"/>
  <c r="BO217" i="31"/>
  <c r="CN217" i="31" s="1"/>
  <c r="BP217" i="31"/>
  <c r="BV217" i="31" s="1"/>
  <c r="BY165" i="31"/>
  <c r="CA165" i="31" s="1"/>
  <c r="CP165" i="31" s="1"/>
  <c r="P155" i="41"/>
  <c r="BP112" i="31"/>
  <c r="BV112" i="31" s="1"/>
  <c r="BY103" i="31"/>
  <c r="CA103" i="31" s="1"/>
  <c r="CP103" i="31" s="1"/>
  <c r="BO39" i="31"/>
  <c r="CN39" i="31" s="1"/>
  <c r="BP39" i="31"/>
  <c r="BV39" i="31" s="1"/>
  <c r="BY287" i="31"/>
  <c r="CA287" i="31" s="1"/>
  <c r="CP287" i="31" s="1"/>
  <c r="M245" i="41"/>
  <c r="BM204" i="31"/>
  <c r="BO103" i="31"/>
  <c r="CN103" i="31" s="1"/>
  <c r="M211" i="41"/>
  <c r="BY271" i="31"/>
  <c r="M300" i="41"/>
  <c r="M227" i="41"/>
  <c r="R237" i="41"/>
  <c r="BM236" i="31"/>
  <c r="M177" i="41"/>
  <c r="M74" i="41"/>
  <c r="R131" i="41"/>
  <c r="M23" i="41"/>
  <c r="BO300" i="31"/>
  <c r="CN300" i="31" s="1"/>
  <c r="P32" i="41"/>
  <c r="BM330" i="31"/>
  <c r="BY90" i="31"/>
  <c r="CA90" i="31" s="1"/>
  <c r="CP90" i="31" s="1"/>
  <c r="BM73" i="31"/>
  <c r="BP73" i="31" s="1"/>
  <c r="BV73" i="31" s="1"/>
  <c r="BO328" i="31"/>
  <c r="CN328" i="31" s="1"/>
  <c r="M198" i="41"/>
  <c r="R24" i="41"/>
  <c r="P163" i="41"/>
  <c r="P129" i="41"/>
  <c r="BM41" i="31"/>
  <c r="BO53" i="31"/>
  <c r="CN53" i="31" s="1"/>
  <c r="BO256" i="31"/>
  <c r="CN256" i="31" s="1"/>
  <c r="M231" i="41"/>
  <c r="P67" i="41"/>
  <c r="BO312" i="31"/>
  <c r="CN312" i="31" s="1"/>
  <c r="P20" i="41"/>
  <c r="P244" i="41"/>
  <c r="M218" i="41"/>
  <c r="P247" i="41"/>
  <c r="BY300" i="31"/>
  <c r="CA300" i="31" s="1"/>
  <c r="CP300" i="31" s="1"/>
  <c r="P125" i="41"/>
  <c r="BO75" i="31"/>
  <c r="CN75" i="31" s="1"/>
  <c r="BY328" i="31"/>
  <c r="CA328" i="31" s="1"/>
  <c r="CP328" i="31" s="1"/>
  <c r="M15" i="41"/>
  <c r="P171" i="41"/>
  <c r="R271" i="41"/>
  <c r="CB29" i="31"/>
  <c r="BP168" i="31"/>
  <c r="BV168" i="31" s="1"/>
  <c r="M312" i="41"/>
  <c r="BY352" i="31"/>
  <c r="CB352" i="31" s="1"/>
  <c r="R106" i="41"/>
  <c r="P306" i="41"/>
  <c r="M209" i="41"/>
  <c r="M118" i="41"/>
  <c r="M153" i="41"/>
  <c r="BO267" i="31"/>
  <c r="CN267" i="31" s="1"/>
  <c r="BO15" i="31"/>
  <c r="CN15" i="31" s="1"/>
  <c r="P108" i="41"/>
  <c r="CB303" i="31"/>
  <c r="M34" i="41"/>
  <c r="BY68" i="31"/>
  <c r="BM97" i="31"/>
  <c r="BO253" i="31"/>
  <c r="CN253" i="31" s="1"/>
  <c r="BO228" i="31"/>
  <c r="CN228" i="31" s="1"/>
  <c r="BP134" i="31"/>
  <c r="BV134" i="31" s="1"/>
  <c r="M199" i="41"/>
  <c r="M302" i="41"/>
  <c r="BP8" i="31"/>
  <c r="BV8" i="31" s="1"/>
  <c r="BP53" i="31"/>
  <c r="BV53" i="31" s="1"/>
  <c r="BP256" i="31"/>
  <c r="BV256" i="31" s="1"/>
  <c r="BP72" i="31"/>
  <c r="BV72" i="31" s="1"/>
  <c r="BP312" i="31"/>
  <c r="BV312" i="31" s="1"/>
  <c r="BP25" i="31"/>
  <c r="BV25" i="31" s="1"/>
  <c r="BP249" i="31"/>
  <c r="BV249" i="31" s="1"/>
  <c r="M328" i="41"/>
  <c r="M67" i="41"/>
  <c r="M20" i="41"/>
  <c r="BO105" i="31"/>
  <c r="CN105" i="31" s="1"/>
  <c r="BP252" i="31"/>
  <c r="BV252" i="31" s="1"/>
  <c r="M114" i="41"/>
  <c r="BP75" i="31"/>
  <c r="BV75" i="31" s="1"/>
  <c r="BM65" i="31"/>
  <c r="BP65" i="31" s="1"/>
  <c r="BV65" i="31" s="1"/>
  <c r="BO24" i="31"/>
  <c r="CN24" i="31" s="1"/>
  <c r="P167" i="41"/>
  <c r="P145" i="41"/>
  <c r="P321" i="41"/>
  <c r="BM156" i="31"/>
  <c r="BO227" i="31"/>
  <c r="CN227" i="31" s="1"/>
  <c r="P78" i="41"/>
  <c r="BP105" i="31"/>
  <c r="BV105" i="31" s="1"/>
  <c r="BO99" i="31"/>
  <c r="CN99" i="31" s="1"/>
  <c r="M212" i="41"/>
  <c r="BO142" i="31"/>
  <c r="CN142" i="31" s="1"/>
  <c r="BM341" i="31"/>
  <c r="M154" i="41"/>
  <c r="M219" i="41"/>
  <c r="M72" i="41"/>
  <c r="BP24" i="31"/>
  <c r="BV24" i="31" s="1"/>
  <c r="M42" i="41"/>
  <c r="M316" i="41"/>
  <c r="BP172" i="31"/>
  <c r="BV172" i="31" s="1"/>
  <c r="R324" i="41"/>
  <c r="R335" i="41"/>
  <c r="BP150" i="31"/>
  <c r="BV150" i="31" s="1"/>
  <c r="R298" i="41"/>
  <c r="BO9" i="31"/>
  <c r="CN9" i="31" s="1"/>
  <c r="P4" i="41" s="1"/>
  <c r="BM258" i="31"/>
  <c r="BY253" i="31"/>
  <c r="CA253" i="31" s="1"/>
  <c r="CP253" i="31" s="1"/>
  <c r="BY228" i="31"/>
  <c r="CA228" i="31" s="1"/>
  <c r="CP228" i="31" s="1"/>
  <c r="M133" i="41"/>
  <c r="P73" i="41"/>
  <c r="BO301" i="31"/>
  <c r="CN301" i="31" s="1"/>
  <c r="P179" i="41"/>
  <c r="BM179" i="31"/>
  <c r="BP179" i="31" s="1"/>
  <c r="BV179" i="31" s="1"/>
  <c r="P187" i="41"/>
  <c r="BO265" i="31"/>
  <c r="CN265" i="31" s="1"/>
  <c r="P132" i="41"/>
  <c r="P208" i="41"/>
  <c r="BY167" i="31"/>
  <c r="R258" i="41"/>
  <c r="M303" i="41"/>
  <c r="P140" i="41"/>
  <c r="P127" i="41"/>
  <c r="P324" i="41"/>
  <c r="BP9" i="31"/>
  <c r="BV9" i="31" s="1"/>
  <c r="M45" i="41"/>
  <c r="BM121" i="31"/>
  <c r="BP121" i="31" s="1"/>
  <c r="BV121" i="31" s="1"/>
  <c r="BO89" i="31"/>
  <c r="CN89" i="31" s="1"/>
  <c r="M318" i="41"/>
  <c r="BP78" i="31"/>
  <c r="BV78" i="31" s="1"/>
  <c r="BP301" i="31"/>
  <c r="BV301" i="31" s="1"/>
  <c r="BP184" i="31"/>
  <c r="BV184" i="31" s="1"/>
  <c r="BM57" i="31"/>
  <c r="BP57" i="31" s="1"/>
  <c r="BV57" i="31" s="1"/>
  <c r="BP265" i="31"/>
  <c r="BV265" i="31" s="1"/>
  <c r="BP137" i="31"/>
  <c r="BV137" i="31" s="1"/>
  <c r="P161" i="41"/>
  <c r="BP326" i="31"/>
  <c r="BV326" i="31" s="1"/>
  <c r="M341" i="41"/>
  <c r="BP227" i="31"/>
  <c r="BV227" i="31" s="1"/>
  <c r="P26" i="41"/>
  <c r="BP99" i="31"/>
  <c r="BV99" i="31" s="1"/>
  <c r="P279" i="41"/>
  <c r="P101" i="41"/>
  <c r="P72" i="41"/>
  <c r="BP142" i="31"/>
  <c r="BV142" i="31" s="1"/>
  <c r="BO201" i="31"/>
  <c r="CN201" i="31" s="1"/>
  <c r="M148" i="41"/>
  <c r="BO310" i="31"/>
  <c r="CN310" i="31" s="1"/>
  <c r="M310" i="41"/>
  <c r="BY104" i="31"/>
  <c r="P227" i="41"/>
  <c r="P228" i="41"/>
  <c r="P318" i="41"/>
  <c r="P47" i="41"/>
  <c r="M159" i="41"/>
  <c r="BY15" i="31"/>
  <c r="CA15" i="31" s="1"/>
  <c r="CP15" i="31" s="1"/>
  <c r="BM351" i="31"/>
  <c r="BP351" i="31" s="1"/>
  <c r="BV351" i="31" s="1"/>
  <c r="BM157" i="31"/>
  <c r="BO71" i="31"/>
  <c r="CN71" i="31" s="1"/>
  <c r="M91" i="41"/>
  <c r="M191" i="41"/>
  <c r="P194" i="41"/>
  <c r="M321" i="41"/>
  <c r="M334" i="41"/>
  <c r="BY201" i="31"/>
  <c r="CA201" i="31" s="1"/>
  <c r="CP201" i="31" s="1"/>
  <c r="P335" i="41"/>
  <c r="BP310" i="31"/>
  <c r="BV310" i="31" s="1"/>
  <c r="M232" i="41"/>
  <c r="BO74" i="31"/>
  <c r="CN74" i="31" s="1"/>
  <c r="BO55" i="31"/>
  <c r="CN55" i="31" s="1"/>
  <c r="M220" i="41"/>
  <c r="BP232" i="31"/>
  <c r="BV232" i="31" s="1"/>
  <c r="BP233" i="31"/>
  <c r="BV233" i="31" s="1"/>
  <c r="BP323" i="31"/>
  <c r="BV323" i="31" s="1"/>
  <c r="BP52" i="31"/>
  <c r="BV52" i="31" s="1"/>
  <c r="BY89" i="31"/>
  <c r="CA89" i="31" s="1"/>
  <c r="CP89" i="31" s="1"/>
  <c r="BY248" i="31"/>
  <c r="CB248" i="31" s="1"/>
  <c r="P217" i="41"/>
  <c r="CC85" i="31"/>
  <c r="BO205" i="31"/>
  <c r="CN205" i="31" s="1"/>
  <c r="M38" i="41"/>
  <c r="M241" i="41"/>
  <c r="AI3" i="31"/>
  <c r="AI354" i="31"/>
  <c r="AI4" i="31"/>
  <c r="J6" i="29" s="1"/>
  <c r="AK7" i="31"/>
  <c r="M28" i="41"/>
  <c r="M88" i="41"/>
  <c r="BO254" i="31"/>
  <c r="CN254" i="31" s="1"/>
  <c r="M130" i="41"/>
  <c r="R257" i="41"/>
  <c r="BP71" i="31"/>
  <c r="BV71" i="31" s="1"/>
  <c r="BP199" i="31"/>
  <c r="BV199" i="31" s="1"/>
  <c r="M121" i="41"/>
  <c r="R125" i="41"/>
  <c r="BO86" i="31"/>
  <c r="CN86" i="31" s="1"/>
  <c r="BM347" i="31"/>
  <c r="M26" i="41"/>
  <c r="BM315" i="31"/>
  <c r="BP315" i="31" s="1"/>
  <c r="BV315" i="31" s="1"/>
  <c r="BM47" i="31"/>
  <c r="BO133" i="31"/>
  <c r="CN133" i="31" s="1"/>
  <c r="CA314" i="31"/>
  <c r="CP314" i="31" s="1"/>
  <c r="CC314" i="31"/>
  <c r="BY74" i="31"/>
  <c r="CA74" i="31" s="1"/>
  <c r="CP74" i="31" s="1"/>
  <c r="BY55" i="31"/>
  <c r="CA55" i="31" s="1"/>
  <c r="CP55" i="31" s="1"/>
  <c r="P168" i="41"/>
  <c r="P343" i="41"/>
  <c r="P297" i="41"/>
  <c r="BO11" i="31"/>
  <c r="CN11" i="31" s="1"/>
  <c r="P6" i="41" s="1"/>
  <c r="S6" i="41" s="1"/>
  <c r="M285" i="41"/>
  <c r="M345" i="41"/>
  <c r="BY254" i="31"/>
  <c r="CA254" i="31" s="1"/>
  <c r="CP254" i="31" s="1"/>
  <c r="M286" i="41"/>
  <c r="BY231" i="31"/>
  <c r="BO51" i="31"/>
  <c r="CN51" i="31" s="1"/>
  <c r="BO58" i="31"/>
  <c r="CN58" i="31" s="1"/>
  <c r="M157" i="41"/>
  <c r="M36" i="41"/>
  <c r="BO178" i="31"/>
  <c r="CN178" i="31" s="1"/>
  <c r="M52" i="41"/>
  <c r="BO98" i="31"/>
  <c r="CN98" i="31" s="1"/>
  <c r="P114" i="41"/>
  <c r="BY86" i="31"/>
  <c r="CA86" i="31" s="1"/>
  <c r="CP86" i="31" s="1"/>
  <c r="BO127" i="31"/>
  <c r="CN127" i="31" s="1"/>
  <c r="BO322" i="31"/>
  <c r="CN322" i="31" s="1"/>
  <c r="P119" i="41"/>
  <c r="BM45" i="31"/>
  <c r="BY133" i="31"/>
  <c r="CA133" i="31" s="1"/>
  <c r="CP133" i="31" s="1"/>
  <c r="BO281" i="31"/>
  <c r="CN281" i="31" s="1"/>
  <c r="M138" i="41"/>
  <c r="M86" i="41"/>
  <c r="BO76" i="31"/>
  <c r="CN76" i="31" s="1"/>
  <c r="M37" i="41"/>
  <c r="BY342" i="31"/>
  <c r="CB342" i="31" s="1"/>
  <c r="M311" i="41"/>
  <c r="P146" i="41"/>
  <c r="BO54" i="31"/>
  <c r="CN54" i="31" s="1"/>
  <c r="BP316" i="31"/>
  <c r="BV316" i="31" s="1"/>
  <c r="BO107" i="31"/>
  <c r="CN107" i="31" s="1"/>
  <c r="M343" i="41"/>
  <c r="BP125" i="31"/>
  <c r="BV125" i="31" s="1"/>
  <c r="M206" i="41"/>
  <c r="P285" i="41"/>
  <c r="P221" i="41"/>
  <c r="BO62" i="31"/>
  <c r="CN62" i="31" s="1"/>
  <c r="M158" i="41"/>
  <c r="BO240" i="31"/>
  <c r="CN240" i="31" s="1"/>
  <c r="BY148" i="31"/>
  <c r="CB148" i="31" s="1"/>
  <c r="M127" i="41"/>
  <c r="M254" i="41"/>
  <c r="BP51" i="31"/>
  <c r="BV51" i="31" s="1"/>
  <c r="BP58" i="31"/>
  <c r="BV58" i="31" s="1"/>
  <c r="BO161" i="31"/>
  <c r="CN161" i="31" s="1"/>
  <c r="BP178" i="31"/>
  <c r="BV178" i="31" s="1"/>
  <c r="M174" i="41"/>
  <c r="M205" i="41"/>
  <c r="BO66" i="31"/>
  <c r="CN66" i="31" s="1"/>
  <c r="BP98" i="31"/>
  <c r="BV98" i="31" s="1"/>
  <c r="M233" i="41"/>
  <c r="BP119" i="31"/>
  <c r="BV119" i="31" s="1"/>
  <c r="CB270" i="31"/>
  <c r="BP127" i="31"/>
  <c r="BV127" i="31" s="1"/>
  <c r="BP322" i="31"/>
  <c r="BV322" i="31" s="1"/>
  <c r="M145" i="41"/>
  <c r="BM40" i="31"/>
  <c r="BY176" i="31"/>
  <c r="CB176" i="31" s="1"/>
  <c r="BP281" i="31"/>
  <c r="BV281" i="31" s="1"/>
  <c r="M342" i="41"/>
  <c r="BO251" i="31"/>
  <c r="CN251" i="31" s="1"/>
  <c r="P344" i="41"/>
  <c r="P233" i="41"/>
  <c r="P241" i="41"/>
  <c r="P302" i="41"/>
  <c r="P65" i="41"/>
  <c r="BM138" i="31"/>
  <c r="M168" i="41"/>
  <c r="P311" i="41"/>
  <c r="P120" i="41"/>
  <c r="BP54" i="31"/>
  <c r="BV54" i="31" s="1"/>
  <c r="BM282" i="31"/>
  <c r="BP282" i="31" s="1"/>
  <c r="BV282" i="31" s="1"/>
  <c r="P334" i="41"/>
  <c r="BO335" i="31"/>
  <c r="CN335" i="31" s="1"/>
  <c r="P64" i="41"/>
  <c r="BM50" i="31"/>
  <c r="BY62" i="31"/>
  <c r="CA62" i="31" s="1"/>
  <c r="CP62" i="31" s="1"/>
  <c r="BY240" i="31"/>
  <c r="CA240" i="31" s="1"/>
  <c r="CP240" i="31" s="1"/>
  <c r="BY218" i="31"/>
  <c r="CB218" i="31" s="1"/>
  <c r="BY48" i="31"/>
  <c r="BM38" i="31"/>
  <c r="BP38" i="31" s="1"/>
  <c r="BV38" i="31" s="1"/>
  <c r="BO338" i="31"/>
  <c r="CN338" i="31" s="1"/>
  <c r="BY161" i="31"/>
  <c r="CA161" i="31" s="1"/>
  <c r="CP161" i="31" s="1"/>
  <c r="BO185" i="31"/>
  <c r="CN185" i="31" s="1"/>
  <c r="M297" i="41"/>
  <c r="P111" i="41"/>
  <c r="BY202" i="31"/>
  <c r="CB202" i="31" s="1"/>
  <c r="M139" i="41"/>
  <c r="BY66" i="31"/>
  <c r="CA66" i="31" s="1"/>
  <c r="CP66" i="31" s="1"/>
  <c r="P197" i="41"/>
  <c r="CA193" i="31"/>
  <c r="CP193" i="31" s="1"/>
  <c r="CC193" i="31"/>
  <c r="R265" i="41"/>
  <c r="M202" i="41"/>
  <c r="BO345" i="31"/>
  <c r="CN345" i="31" s="1"/>
  <c r="BO344" i="31"/>
  <c r="CN344" i="31" s="1"/>
  <c r="BM143" i="31"/>
  <c r="BP143" i="31" s="1"/>
  <c r="BV143" i="31" s="1"/>
  <c r="BY198" i="31"/>
  <c r="CB198" i="31" s="1"/>
  <c r="CC29" i="31"/>
  <c r="BM272" i="31"/>
  <c r="BY251" i="31"/>
  <c r="CA251" i="31" s="1"/>
  <c r="CP251" i="31" s="1"/>
  <c r="BP349" i="31"/>
  <c r="BV349" i="31" s="1"/>
  <c r="BP238" i="31"/>
  <c r="BV238" i="31" s="1"/>
  <c r="BP246" i="31"/>
  <c r="BV246" i="31" s="1"/>
  <c r="BP307" i="31"/>
  <c r="BV307" i="31" s="1"/>
  <c r="M41" i="41"/>
  <c r="BY30" i="31"/>
  <c r="CB30" i="31" s="1"/>
  <c r="BO95" i="31"/>
  <c r="CN95" i="31" s="1"/>
  <c r="BY205" i="31"/>
  <c r="CA205" i="31" s="1"/>
  <c r="CP205" i="31" s="1"/>
  <c r="AL3" i="31"/>
  <c r="AL4" i="31"/>
  <c r="AR7" i="31"/>
  <c r="BM22" i="31"/>
  <c r="P245" i="41"/>
  <c r="P184" i="41"/>
  <c r="BP107" i="31"/>
  <c r="BV107" i="31" s="1"/>
  <c r="P118" i="41"/>
  <c r="BP250" i="31"/>
  <c r="BV250" i="31" s="1"/>
  <c r="M56" i="41"/>
  <c r="CB297" i="31"/>
  <c r="BM122" i="31"/>
  <c r="BO32" i="31"/>
  <c r="CN32" i="31" s="1"/>
  <c r="BP339" i="31"/>
  <c r="BV339" i="31" s="1"/>
  <c r="BP335" i="31"/>
  <c r="BV335" i="31" s="1"/>
  <c r="M169" i="41"/>
  <c r="P286" i="41"/>
  <c r="P75" i="41"/>
  <c r="BP69" i="31"/>
  <c r="BV69" i="31" s="1"/>
  <c r="M109" i="41"/>
  <c r="BM261" i="31"/>
  <c r="BP261" i="31" s="1"/>
  <c r="BV261" i="31" s="1"/>
  <c r="M147" i="41"/>
  <c r="BO241" i="31"/>
  <c r="CN241" i="31" s="1"/>
  <c r="M346" i="41"/>
  <c r="BP338" i="31"/>
  <c r="BV338" i="31" s="1"/>
  <c r="P79" i="41"/>
  <c r="BP185" i="31"/>
  <c r="BV185" i="31" s="1"/>
  <c r="CC242" i="31"/>
  <c r="CB193" i="31"/>
  <c r="BM203" i="31"/>
  <c r="M142" i="41"/>
  <c r="CC140" i="31"/>
  <c r="BP345" i="31"/>
  <c r="BV345" i="31" s="1"/>
  <c r="BP344" i="31"/>
  <c r="BV344" i="31" s="1"/>
  <c r="BM318" i="31"/>
  <c r="M165" i="41"/>
  <c r="BM82" i="31"/>
  <c r="BP82" i="31" s="1"/>
  <c r="BV82" i="31" s="1"/>
  <c r="BY285" i="31"/>
  <c r="P24" i="41"/>
  <c r="M35" i="41"/>
  <c r="P21" i="41"/>
  <c r="P240" i="41"/>
  <c r="P186" i="41"/>
  <c r="R136" i="41"/>
  <c r="BO296" i="31"/>
  <c r="CN296" i="31" s="1"/>
  <c r="P37" i="41"/>
  <c r="P97" i="41"/>
  <c r="BO177" i="31"/>
  <c r="CN177" i="31" s="1"/>
  <c r="P131" i="41"/>
  <c r="BO44" i="31"/>
  <c r="CN44" i="31" s="1"/>
  <c r="R292" i="41"/>
  <c r="CA34" i="31"/>
  <c r="CP34" i="31" s="1"/>
  <c r="CC34" i="31"/>
  <c r="BM299" i="31"/>
  <c r="BP299" i="31" s="1"/>
  <c r="BV299" i="31" s="1"/>
  <c r="M117" i="41"/>
  <c r="BM27" i="31"/>
  <c r="BP27" i="31" s="1"/>
  <c r="BV27" i="31" s="1"/>
  <c r="BY32" i="31"/>
  <c r="CA32" i="31" s="1"/>
  <c r="CP32" i="31" s="1"/>
  <c r="R32" i="41"/>
  <c r="P9" i="41"/>
  <c r="BM135" i="31"/>
  <c r="BP135" i="31" s="1"/>
  <c r="BV135" i="31" s="1"/>
  <c r="P63" i="41"/>
  <c r="BM209" i="31"/>
  <c r="BP209" i="31" s="1"/>
  <c r="BV209" i="31" s="1"/>
  <c r="M207" i="41"/>
  <c r="M92" i="41"/>
  <c r="M33" i="41"/>
  <c r="BY241" i="31"/>
  <c r="CA241" i="31" s="1"/>
  <c r="CP241" i="31" s="1"/>
  <c r="P157" i="41"/>
  <c r="M253" i="41"/>
  <c r="BM79" i="31"/>
  <c r="BO215" i="31"/>
  <c r="CN215" i="31" s="1"/>
  <c r="P237" i="41"/>
  <c r="P135" i="41"/>
  <c r="M289" i="41"/>
  <c r="CC270" i="31"/>
  <c r="BY320" i="31"/>
  <c r="CB320" i="31" s="1"/>
  <c r="M325" i="41"/>
  <c r="M284" i="41"/>
  <c r="M77" i="41"/>
  <c r="M208" i="41"/>
  <c r="M22" i="41"/>
  <c r="BO59" i="31"/>
  <c r="CN59" i="31" s="1"/>
  <c r="BO278" i="31"/>
  <c r="CN278" i="31" s="1"/>
  <c r="M215" i="41"/>
  <c r="BO109" i="31"/>
  <c r="CN109" i="31" s="1"/>
  <c r="P329" i="41"/>
  <c r="P300" i="41"/>
  <c r="M73" i="41"/>
  <c r="P205" i="41"/>
  <c r="M201" i="41"/>
  <c r="M270" i="41"/>
  <c r="BO319" i="31"/>
  <c r="CN319" i="31" s="1"/>
  <c r="P121" i="41"/>
  <c r="BO304" i="31"/>
  <c r="CN304" i="31" s="1"/>
  <c r="M151" i="41"/>
  <c r="P265" i="41"/>
  <c r="M175" i="41"/>
  <c r="BO332" i="31"/>
  <c r="CN332" i="31" s="1"/>
  <c r="BO155" i="31"/>
  <c r="CN155" i="31" s="1"/>
  <c r="P211" i="41"/>
  <c r="P28" i="41"/>
  <c r="P326" i="41"/>
  <c r="BO183" i="31"/>
  <c r="CN183" i="31" s="1"/>
  <c r="R155" i="41"/>
  <c r="BO292" i="31"/>
  <c r="CN292" i="31" s="1"/>
  <c r="P62" i="41"/>
  <c r="BP59" i="31"/>
  <c r="BV59" i="31" s="1"/>
  <c r="BM211" i="31"/>
  <c r="BM108" i="31"/>
  <c r="BP108" i="31" s="1"/>
  <c r="BV108" i="31" s="1"/>
  <c r="BP278" i="31"/>
  <c r="BV278" i="31" s="1"/>
  <c r="BO298" i="31"/>
  <c r="CN298" i="31" s="1"/>
  <c r="M255" i="41"/>
  <c r="BP109" i="31"/>
  <c r="BV109" i="31" s="1"/>
  <c r="M75" i="41"/>
  <c r="BM212" i="31"/>
  <c r="BP212" i="31" s="1"/>
  <c r="BV212" i="31" s="1"/>
  <c r="BP183" i="31"/>
  <c r="BV183" i="31" s="1"/>
  <c r="BO268" i="31"/>
  <c r="CN268" i="31" s="1"/>
  <c r="M116" i="41"/>
  <c r="BP334" i="31"/>
  <c r="BV334" i="31" s="1"/>
  <c r="BP305" i="31"/>
  <c r="BV305" i="31" s="1"/>
  <c r="BO324" i="31"/>
  <c r="CN324" i="31" s="1"/>
  <c r="BM206" i="31"/>
  <c r="BP210" i="31"/>
  <c r="BV210" i="31" s="1"/>
  <c r="BO288" i="31"/>
  <c r="CN288" i="31" s="1"/>
  <c r="BP319" i="31"/>
  <c r="BV319" i="31" s="1"/>
  <c r="BP126" i="31"/>
  <c r="BV126" i="31" s="1"/>
  <c r="BP304" i="31"/>
  <c r="BV304" i="31" s="1"/>
  <c r="P175" i="41"/>
  <c r="M247" i="41"/>
  <c r="M279" i="41"/>
  <c r="BP332" i="31"/>
  <c r="BV332" i="31" s="1"/>
  <c r="P268" i="41"/>
  <c r="BP155" i="31"/>
  <c r="BV155" i="31" s="1"/>
  <c r="BP216" i="31"/>
  <c r="BV216" i="31" s="1"/>
  <c r="BP33" i="31"/>
  <c r="BV33" i="31" s="1"/>
  <c r="R161" i="41"/>
  <c r="BP331" i="31"/>
  <c r="BV331" i="31" s="1"/>
  <c r="BY177" i="31"/>
  <c r="CA177" i="31" s="1"/>
  <c r="CP177" i="31" s="1"/>
  <c r="CC111" i="31"/>
  <c r="BY151" i="31"/>
  <c r="CB151" i="31" s="1"/>
  <c r="M326" i="41"/>
  <c r="BY70" i="31"/>
  <c r="CB70" i="31" s="1"/>
  <c r="M217" i="41"/>
  <c r="BP292" i="31"/>
  <c r="BV292" i="31" s="1"/>
  <c r="M278" i="41"/>
  <c r="BP67" i="31"/>
  <c r="BV67" i="31" s="1"/>
  <c r="M344" i="41"/>
  <c r="BM174" i="31"/>
  <c r="BP174" i="31" s="1"/>
  <c r="BV174" i="31" s="1"/>
  <c r="BP298" i="31"/>
  <c r="BV298" i="31" s="1"/>
  <c r="M62" i="41"/>
  <c r="BM336" i="31"/>
  <c r="BM280" i="31"/>
  <c r="M275" i="41"/>
  <c r="BY146" i="31"/>
  <c r="P143" i="41"/>
  <c r="BP268" i="31"/>
  <c r="BV268" i="31" s="1"/>
  <c r="CB192" i="31"/>
  <c r="BP324" i="31"/>
  <c r="BV324" i="31" s="1"/>
  <c r="BY116" i="31"/>
  <c r="CB116" i="31" s="1"/>
  <c r="BP288" i="31"/>
  <c r="BV288" i="31" s="1"/>
  <c r="M132" i="41"/>
  <c r="BO274" i="31"/>
  <c r="CN274" i="31" s="1"/>
  <c r="BO266" i="31"/>
  <c r="CN266" i="31" s="1"/>
  <c r="M163" i="41"/>
  <c r="BP180" i="31"/>
  <c r="BV180" i="31" s="1"/>
  <c r="BO139" i="31"/>
  <c r="CN139" i="31" s="1"/>
  <c r="BM321" i="31"/>
  <c r="BP273" i="31"/>
  <c r="BV273" i="31" s="1"/>
  <c r="P88" i="41"/>
  <c r="P41" i="41"/>
  <c r="P183" i="41"/>
  <c r="BO287" i="31"/>
  <c r="CN287" i="31" s="1"/>
  <c r="M306" i="41"/>
  <c r="CA306" i="31"/>
  <c r="CP306" i="31" s="1"/>
  <c r="CC306" i="31"/>
  <c r="P278" i="41"/>
  <c r="BO234" i="31"/>
  <c r="CN234" i="31" s="1"/>
  <c r="P162" i="41"/>
  <c r="BO239" i="31"/>
  <c r="CN239" i="31" s="1"/>
  <c r="BY120" i="31"/>
  <c r="CB120" i="31" s="1"/>
  <c r="P195" i="41"/>
  <c r="M228" i="41"/>
  <c r="BY124" i="31"/>
  <c r="CB124" i="31" s="1"/>
  <c r="BM163" i="31"/>
  <c r="BO243" i="31"/>
  <c r="CN243" i="31" s="1"/>
  <c r="CC263" i="31"/>
  <c r="BY187" i="31"/>
  <c r="CB187" i="31" s="1"/>
  <c r="M240" i="41"/>
  <c r="BO49" i="31"/>
  <c r="CN49" i="31" s="1"/>
  <c r="M152" i="41"/>
  <c r="R187" i="41"/>
  <c r="BO149" i="31"/>
  <c r="CN149" i="31" s="1"/>
  <c r="M329" i="41"/>
  <c r="P191" i="41"/>
  <c r="BP274" i="31"/>
  <c r="BV274" i="31" s="1"/>
  <c r="P23" i="41"/>
  <c r="P218" i="41"/>
  <c r="P142" i="41"/>
  <c r="P83" i="41"/>
  <c r="BP266" i="31"/>
  <c r="BV266" i="31" s="1"/>
  <c r="M250" i="41"/>
  <c r="BP139" i="31"/>
  <c r="BV139" i="31" s="1"/>
  <c r="M336" i="41"/>
  <c r="BY279" i="31"/>
  <c r="CB279" i="31" s="1"/>
  <c r="M242" i="41"/>
  <c r="M60" i="41"/>
  <c r="P159" i="41"/>
  <c r="M11" i="41"/>
  <c r="BP93" i="31"/>
  <c r="BV93" i="31" s="1"/>
  <c r="R14" i="41"/>
  <c r="BP46" i="31"/>
  <c r="BV46" i="31" s="1"/>
  <c r="BP188" i="31"/>
  <c r="BV188" i="31" s="1"/>
  <c r="P96" i="41"/>
  <c r="M224" i="41"/>
  <c r="P14" i="41"/>
  <c r="M189" i="41"/>
  <c r="P226" i="41"/>
  <c r="BY215" i="31"/>
  <c r="CA215" i="31" s="1"/>
  <c r="CP215" i="31" s="1"/>
  <c r="BO129" i="31"/>
  <c r="CN129" i="31" s="1"/>
  <c r="BO221" i="31"/>
  <c r="CN221" i="31" s="1"/>
  <c r="P345" i="41"/>
  <c r="BP308" i="31"/>
  <c r="BV308" i="31" s="1"/>
  <c r="BP235" i="31"/>
  <c r="BV235" i="31" s="1"/>
  <c r="M194" i="41"/>
  <c r="R80" i="41"/>
  <c r="S80" i="41" s="1"/>
  <c r="P332" i="41"/>
  <c r="BP350" i="31"/>
  <c r="BV350" i="31" s="1"/>
  <c r="P243" i="41"/>
  <c r="P38" i="41"/>
  <c r="BP283" i="31"/>
  <c r="BV283" i="31" s="1"/>
  <c r="BP234" i="31"/>
  <c r="BV234" i="31" s="1"/>
  <c r="M304" i="41"/>
  <c r="R96" i="41"/>
  <c r="P215" i="41"/>
  <c r="BO197" i="31"/>
  <c r="CN197" i="31" s="1"/>
  <c r="BP239" i="31"/>
  <c r="BV239" i="31" s="1"/>
  <c r="P271" i="41"/>
  <c r="BP200" i="31"/>
  <c r="BV200" i="31" s="1"/>
  <c r="M108" i="41"/>
  <c r="BM152" i="31"/>
  <c r="BP243" i="31"/>
  <c r="BV243" i="31" s="1"/>
  <c r="P258" i="41"/>
  <c r="BM114" i="31"/>
  <c r="BO219" i="31"/>
  <c r="CN219" i="31" s="1"/>
  <c r="R135" i="41"/>
  <c r="CC303" i="31"/>
  <c r="M64" i="41"/>
  <c r="P176" i="41"/>
  <c r="BY49" i="31"/>
  <c r="CA49" i="31" s="1"/>
  <c r="CP49" i="31" s="1"/>
  <c r="P213" i="41"/>
  <c r="M256" i="41"/>
  <c r="P91" i="41"/>
  <c r="BY149" i="31"/>
  <c r="CA149" i="31" s="1"/>
  <c r="CP149" i="31" s="1"/>
  <c r="BO325" i="31"/>
  <c r="CN325" i="31" s="1"/>
  <c r="BM275" i="31"/>
  <c r="BP275" i="31" s="1"/>
  <c r="BV275" i="31" s="1"/>
  <c r="P328" i="41"/>
  <c r="BP28" i="31"/>
  <c r="BV28" i="31" s="1"/>
  <c r="BP223" i="31"/>
  <c r="BV223" i="31" s="1"/>
  <c r="M9" i="41"/>
  <c r="BM16" i="31"/>
  <c r="BP16" i="31" s="1"/>
  <c r="BV16" i="31" s="1"/>
  <c r="M83" i="41"/>
  <c r="BM20" i="31"/>
  <c r="BM237" i="31"/>
  <c r="P315" i="41"/>
  <c r="BP164" i="31"/>
  <c r="BV164" i="31" s="1"/>
  <c r="BM91" i="31"/>
  <c r="BP91" i="31" s="1"/>
  <c r="BV91" i="31" s="1"/>
  <c r="P280" i="41"/>
  <c r="P250" i="41"/>
  <c r="P219" i="41"/>
  <c r="P148" i="41"/>
  <c r="BY44" i="31"/>
  <c r="CA44" i="31" s="1"/>
  <c r="CP44" i="31" s="1"/>
  <c r="M186" i="41"/>
  <c r="BO110" i="31"/>
  <c r="CN110" i="31" s="1"/>
  <c r="P303" i="41"/>
  <c r="M176" i="41"/>
  <c r="M101" i="41"/>
  <c r="M179" i="41"/>
  <c r="BO343" i="31"/>
  <c r="CN343" i="31" s="1"/>
  <c r="CB85" i="31"/>
  <c r="BP337" i="31"/>
  <c r="BV337" i="31" s="1"/>
  <c r="P304" i="41"/>
  <c r="BO18" i="31"/>
  <c r="CN18" i="31" s="1"/>
  <c r="BO115" i="31"/>
  <c r="CN115" i="31" s="1"/>
  <c r="M332" i="41"/>
  <c r="BO257" i="31"/>
  <c r="CN257" i="31" s="1"/>
  <c r="CB101" i="31"/>
  <c r="P312" i="41"/>
  <c r="BP220" i="31"/>
  <c r="BV220" i="31" s="1"/>
  <c r="BP197" i="31"/>
  <c r="BV197" i="31" s="1"/>
  <c r="P76" i="41"/>
  <c r="CC297" i="31"/>
  <c r="BY171" i="31"/>
  <c r="R59" i="41"/>
  <c r="BM194" i="31"/>
  <c r="BP194" i="31" s="1"/>
  <c r="BV194" i="31" s="1"/>
  <c r="BY219" i="31"/>
  <c r="CA219" i="31" s="1"/>
  <c r="CP219" i="31" s="1"/>
  <c r="M103" i="41"/>
  <c r="P298" i="41"/>
  <c r="BY35" i="31"/>
  <c r="CB35" i="31" s="1"/>
  <c r="P30" i="41"/>
  <c r="BM56" i="31"/>
  <c r="BP56" i="31" s="1"/>
  <c r="BV56" i="31" s="1"/>
  <c r="P141" i="41"/>
  <c r="BM154" i="31"/>
  <c r="BO175" i="31"/>
  <c r="CN175" i="31" s="1"/>
  <c r="BY325" i="31"/>
  <c r="CA325" i="31" s="1"/>
  <c r="CP325" i="31" s="1"/>
  <c r="P139" i="41"/>
  <c r="BO23" i="31"/>
  <c r="CN23" i="31" s="1"/>
  <c r="BO186" i="31"/>
  <c r="CN186" i="31" s="1"/>
  <c r="BY128" i="31"/>
  <c r="CB128" i="31" s="1"/>
  <c r="P164" i="41"/>
  <c r="M40" i="41"/>
  <c r="M313" i="41"/>
  <c r="BO313" i="31"/>
  <c r="CN313" i="31" s="1"/>
  <c r="M267" i="41"/>
  <c r="R221" i="41"/>
  <c r="BP255" i="31"/>
  <c r="BV255" i="31" s="1"/>
  <c r="BP224" i="31"/>
  <c r="BV224" i="31" s="1"/>
  <c r="BP153" i="31"/>
  <c r="BV153" i="31" s="1"/>
  <c r="BY267" i="31"/>
  <c r="CA267" i="31" s="1"/>
  <c r="CP267" i="31" s="1"/>
  <c r="BO230" i="31"/>
  <c r="CN230" i="31" s="1"/>
  <c r="CA327" i="31"/>
  <c r="CP327" i="31" s="1"/>
  <c r="CC327" i="31"/>
  <c r="BP129" i="31"/>
  <c r="BV129" i="31" s="1"/>
  <c r="P230" i="41"/>
  <c r="M244" i="41"/>
  <c r="P56" i="41"/>
  <c r="BY343" i="31"/>
  <c r="CA343" i="31" s="1"/>
  <c r="CP343" i="31" s="1"/>
  <c r="BY18" i="31"/>
  <c r="CA18" i="31" s="1"/>
  <c r="CP18" i="31" s="1"/>
  <c r="BY115" i="31"/>
  <c r="CA115" i="31" s="1"/>
  <c r="CP115" i="31" s="1"/>
  <c r="M230" i="41"/>
  <c r="M98" i="41"/>
  <c r="BY257" i="31"/>
  <c r="CA257" i="31" s="1"/>
  <c r="CP257" i="31" s="1"/>
  <c r="BO87" i="31"/>
  <c r="CN87" i="31" s="1"/>
  <c r="M47" i="41"/>
  <c r="P292" i="41"/>
  <c r="M140" i="41"/>
  <c r="M195" i="41"/>
  <c r="CA208" i="31"/>
  <c r="CP208" i="31" s="1"/>
  <c r="CC208" i="31"/>
  <c r="BM260" i="31"/>
  <c r="BP260" i="31" s="1"/>
  <c r="BV260" i="31" s="1"/>
  <c r="M331" i="41"/>
  <c r="P43" i="41"/>
  <c r="P202" i="41"/>
  <c r="BY175" i="31"/>
  <c r="CA175" i="31" s="1"/>
  <c r="CP175" i="31" s="1"/>
  <c r="M79" i="41"/>
  <c r="R78" i="41"/>
  <c r="BY23" i="31"/>
  <c r="CA23" i="31" s="1"/>
  <c r="CP23" i="31" s="1"/>
  <c r="BO117" i="31"/>
  <c r="CN117" i="31" s="1"/>
  <c r="P126" i="41"/>
  <c r="P154" i="41"/>
  <c r="M129" i="41"/>
  <c r="BM289" i="31"/>
  <c r="BP289" i="31" s="1"/>
  <c r="BV289" i="31" s="1"/>
  <c r="BY186" i="31"/>
  <c r="CA186" i="31" s="1"/>
  <c r="CP186" i="31" s="1"/>
  <c r="P136" i="41"/>
  <c r="M167" i="41"/>
  <c r="M68" i="41"/>
  <c r="BY190" i="31"/>
  <c r="CB190" i="31" s="1"/>
  <c r="BM247" i="31"/>
  <c r="BP247" i="31" s="1"/>
  <c r="BV247" i="31" s="1"/>
  <c r="BY313" i="31"/>
  <c r="CA313" i="31" s="1"/>
  <c r="CP313" i="31" s="1"/>
  <c r="P274" i="41"/>
  <c r="P289" i="41"/>
  <c r="P55" i="41"/>
  <c r="P165" i="41"/>
  <c r="P95" i="41"/>
  <c r="P257" i="41"/>
  <c r="BO13" i="31"/>
  <c r="CN13" i="31" s="1"/>
  <c r="BM214" i="31"/>
  <c r="P153" i="41"/>
  <c r="M268" i="41"/>
  <c r="M76" i="41"/>
  <c r="BO293" i="31"/>
  <c r="CN293" i="31" s="1"/>
  <c r="CA36" i="31"/>
  <c r="CP36" i="31" s="1"/>
  <c r="CC36" i="31"/>
  <c r="BO244" i="31"/>
  <c r="CN244" i="31" s="1"/>
  <c r="BY189" i="31"/>
  <c r="CB189" i="31" s="1"/>
  <c r="BY87" i="31"/>
  <c r="CA87" i="31" s="1"/>
  <c r="CP87" i="31" s="1"/>
  <c r="CC160" i="31"/>
  <c r="BO12" i="31"/>
  <c r="CN12" i="31" s="1"/>
  <c r="P7" i="41" s="1"/>
  <c r="S7" i="41" s="1"/>
  <c r="M277" i="41"/>
  <c r="M17" i="41"/>
  <c r="BO63" i="31"/>
  <c r="CN63" i="31" s="1"/>
  <c r="P177" i="41"/>
  <c r="M183" i="41"/>
  <c r="BM259" i="31"/>
  <c r="M51" i="41"/>
  <c r="BO165" i="31"/>
  <c r="CN165" i="31" s="1"/>
  <c r="M204" i="41"/>
  <c r="BP207" i="31"/>
  <c r="BV207" i="31" s="1"/>
  <c r="M149" i="41"/>
  <c r="P266" i="41"/>
  <c r="CB242" i="31"/>
  <c r="CB136" i="31"/>
  <c r="BP117" i="31"/>
  <c r="BV117" i="31" s="1"/>
  <c r="BP131" i="31"/>
  <c r="BV131" i="31" s="1"/>
  <c r="BP159" i="31"/>
  <c r="BV159" i="31" s="1"/>
  <c r="CC37" i="31"/>
  <c r="BY169" i="31"/>
  <c r="CB169" i="31" s="1"/>
  <c r="BO90" i="31"/>
  <c r="CN90" i="31" s="1"/>
  <c r="M126" i="41"/>
  <c r="BM195" i="31"/>
  <c r="BM225" i="31"/>
  <c r="M190" i="41"/>
  <c r="BP294" i="31"/>
  <c r="BV294" i="31" s="1"/>
  <c r="BP60" i="31"/>
  <c r="BV60" i="31" s="1"/>
  <c r="BP170" i="31"/>
  <c r="BV170" i="31" s="1"/>
  <c r="BP100" i="31"/>
  <c r="BV100" i="31" s="1"/>
  <c r="S292" i="41" l="1"/>
  <c r="S271" i="41"/>
  <c r="S258" i="41"/>
  <c r="S298" i="41"/>
  <c r="S14" i="41"/>
  <c r="S96" i="41"/>
  <c r="S136" i="41"/>
  <c r="S135" i="41"/>
  <c r="S131" i="41"/>
  <c r="S335" i="41"/>
  <c r="S265" i="41"/>
  <c r="S78" i="41"/>
  <c r="S59" i="41"/>
  <c r="S237" i="41"/>
  <c r="S324" i="41"/>
  <c r="S125" i="41"/>
  <c r="S32" i="41"/>
  <c r="S155" i="41"/>
  <c r="S221" i="41"/>
  <c r="S24" i="41"/>
  <c r="S257" i="41"/>
  <c r="S161" i="41"/>
  <c r="S106" i="41"/>
  <c r="S187" i="41"/>
  <c r="CC230" i="31"/>
  <c r="CC90" i="31"/>
  <c r="CC110" i="31"/>
  <c r="CB63" i="31"/>
  <c r="CC14" i="31"/>
  <c r="CC293" i="31"/>
  <c r="CC63" i="31"/>
  <c r="CC221" i="31"/>
  <c r="CC241" i="31"/>
  <c r="P341" i="41"/>
  <c r="CB251" i="31"/>
  <c r="CC296" i="31"/>
  <c r="CC257" i="31"/>
  <c r="CC254" i="31"/>
  <c r="CB76" i="31"/>
  <c r="CB254" i="31"/>
  <c r="CB21" i="31"/>
  <c r="CC21" i="31"/>
  <c r="CB14" i="31"/>
  <c r="CB219" i="31"/>
  <c r="CC76" i="31"/>
  <c r="L10" i="29"/>
  <c r="K46" i="29" s="1"/>
  <c r="K10" i="29"/>
  <c r="BG2" i="31"/>
  <c r="W10" i="29"/>
  <c r="CM346" i="31"/>
  <c r="BI3" i="31"/>
  <c r="BI354" i="31"/>
  <c r="BI4" i="31"/>
  <c r="CC133" i="31"/>
  <c r="CB149" i="31"/>
  <c r="CC161" i="31"/>
  <c r="BP346" i="31"/>
  <c r="BV346" i="31" s="1"/>
  <c r="BY346" i="31" s="1"/>
  <c r="CA346" i="31" s="1"/>
  <c r="CP346" i="31" s="1"/>
  <c r="CB343" i="31"/>
  <c r="CC328" i="31"/>
  <c r="CC149" i="31"/>
  <c r="CB161" i="31"/>
  <c r="CA182" i="31"/>
  <c r="CP182" i="31" s="1"/>
  <c r="CC182" i="31"/>
  <c r="CA162" i="31"/>
  <c r="CP162" i="31" s="1"/>
  <c r="R157" i="41" s="1"/>
  <c r="S157" i="41" s="1"/>
  <c r="CC162" i="31"/>
  <c r="CB201" i="31"/>
  <c r="CC244" i="31"/>
  <c r="CB267" i="31"/>
  <c r="CC23" i="31"/>
  <c r="CB49" i="31"/>
  <c r="CC343" i="31"/>
  <c r="CC219" i="31"/>
  <c r="CC86" i="31"/>
  <c r="CC95" i="31"/>
  <c r="BY88" i="31"/>
  <c r="CA88" i="31" s="1"/>
  <c r="CP88" i="31" s="1"/>
  <c r="R83" i="41" s="1"/>
  <c r="S83" i="41" s="1"/>
  <c r="CC11" i="31"/>
  <c r="CC287" i="31"/>
  <c r="BY80" i="31"/>
  <c r="CB80" i="31" s="1"/>
  <c r="CB300" i="31"/>
  <c r="CB287" i="31"/>
  <c r="CB221" i="31"/>
  <c r="CB145" i="31"/>
  <c r="CB23" i="31"/>
  <c r="CB325" i="31"/>
  <c r="CB44" i="31"/>
  <c r="CC113" i="31"/>
  <c r="CB133" i="31"/>
  <c r="CC313" i="31"/>
  <c r="CC145" i="31"/>
  <c r="CB42" i="31"/>
  <c r="CB328" i="31"/>
  <c r="CC103" i="31"/>
  <c r="CB269" i="31"/>
  <c r="BY158" i="31"/>
  <c r="CB158" i="31" s="1"/>
  <c r="CB87" i="31"/>
  <c r="CB86" i="31"/>
  <c r="CC49" i="31"/>
  <c r="BY179" i="31"/>
  <c r="CA179" i="31" s="1"/>
  <c r="CP179" i="31" s="1"/>
  <c r="BY247" i="31"/>
  <c r="CA247" i="31" s="1"/>
  <c r="CP247" i="31" s="1"/>
  <c r="BY209" i="31"/>
  <c r="CA209" i="31" s="1"/>
  <c r="CP209" i="31" s="1"/>
  <c r="BY135" i="31"/>
  <c r="CA135" i="31" s="1"/>
  <c r="CP135" i="31" s="1"/>
  <c r="BY56" i="31"/>
  <c r="CA56" i="31" s="1"/>
  <c r="CP56" i="31" s="1"/>
  <c r="BY188" i="31"/>
  <c r="CB188" i="31" s="1"/>
  <c r="CB177" i="31"/>
  <c r="BO318" i="31"/>
  <c r="CN318" i="31" s="1"/>
  <c r="BY71" i="31"/>
  <c r="CB71" i="31" s="1"/>
  <c r="CA31" i="31"/>
  <c r="CP31" i="31" s="1"/>
  <c r="CC31" i="31"/>
  <c r="BY142" i="31"/>
  <c r="CB142" i="31" s="1"/>
  <c r="P137" i="41"/>
  <c r="P19" i="41"/>
  <c r="BY53" i="31"/>
  <c r="CC15" i="31"/>
  <c r="R160" i="41"/>
  <c r="R288" i="41"/>
  <c r="CB13" i="31"/>
  <c r="BO225" i="31"/>
  <c r="CN225" i="31" s="1"/>
  <c r="P58" i="41"/>
  <c r="CB175" i="31"/>
  <c r="CA81" i="31"/>
  <c r="CP81" i="31" s="1"/>
  <c r="CC81" i="31"/>
  <c r="R338" i="41"/>
  <c r="BO16" i="31"/>
  <c r="CN16" i="31" s="1"/>
  <c r="R144" i="41"/>
  <c r="BY298" i="31"/>
  <c r="BY126" i="31"/>
  <c r="BO212" i="31"/>
  <c r="CN212" i="31" s="1"/>
  <c r="CA245" i="31"/>
  <c r="CP245" i="31" s="1"/>
  <c r="CC245" i="31"/>
  <c r="CC215" i="31"/>
  <c r="P291" i="41"/>
  <c r="BP318" i="31"/>
  <c r="BV318" i="31" s="1"/>
  <c r="P90" i="41"/>
  <c r="CA198" i="31"/>
  <c r="CP198" i="31" s="1"/>
  <c r="CC198" i="31"/>
  <c r="CA202" i="31"/>
  <c r="CP202" i="31" s="1"/>
  <c r="CC202" i="31"/>
  <c r="CB62" i="31"/>
  <c r="P276" i="41"/>
  <c r="CA132" i="31"/>
  <c r="CP132" i="31" s="1"/>
  <c r="CC132" i="31"/>
  <c r="R309" i="41"/>
  <c r="S309" i="41" s="1"/>
  <c r="CC74" i="31"/>
  <c r="CB31" i="31"/>
  <c r="BY137" i="31"/>
  <c r="CB137" i="31" s="1"/>
  <c r="BO65" i="31"/>
  <c r="CN65" i="31" s="1"/>
  <c r="BY8" i="31"/>
  <c r="P10" i="41"/>
  <c r="P98" i="41"/>
  <c r="CB165" i="31"/>
  <c r="CB12" i="31"/>
  <c r="CB293" i="31"/>
  <c r="R291" i="41"/>
  <c r="P269" i="41"/>
  <c r="BY337" i="31"/>
  <c r="CB337" i="31" s="1"/>
  <c r="CA191" i="31"/>
  <c r="CP191" i="31" s="1"/>
  <c r="CC191" i="31"/>
  <c r="CA120" i="31"/>
  <c r="CP120" i="31" s="1"/>
  <c r="CC120" i="31"/>
  <c r="BY288" i="31"/>
  <c r="CB288" i="31" s="1"/>
  <c r="BO174" i="31"/>
  <c r="CN174" i="31" s="1"/>
  <c r="BY319" i="31"/>
  <c r="CB319" i="31" s="1"/>
  <c r="BY212" i="31"/>
  <c r="CA212" i="31" s="1"/>
  <c r="CP212" i="31" s="1"/>
  <c r="P210" i="41"/>
  <c r="BO299" i="31"/>
  <c r="CN299" i="31" s="1"/>
  <c r="BY344" i="31"/>
  <c r="CB344" i="31" s="1"/>
  <c r="BO261" i="31"/>
  <c r="CN261" i="31" s="1"/>
  <c r="BY250" i="31"/>
  <c r="CB250" i="31" s="1"/>
  <c r="BO143" i="31"/>
  <c r="CN143" i="31" s="1"/>
  <c r="R57" i="41"/>
  <c r="BO138" i="31"/>
  <c r="CN138" i="31" s="1"/>
  <c r="CA176" i="31"/>
  <c r="CP176" i="31" s="1"/>
  <c r="CC176" i="31"/>
  <c r="P173" i="41"/>
  <c r="CC205" i="31"/>
  <c r="P69" i="41"/>
  <c r="BY265" i="31"/>
  <c r="CB265" i="31" s="1"/>
  <c r="BY65" i="31"/>
  <c r="CA65" i="31" s="1"/>
  <c r="CP65" i="31" s="1"/>
  <c r="CC267" i="31"/>
  <c r="BY118" i="31"/>
  <c r="CB118" i="31" s="1"/>
  <c r="CB296" i="31"/>
  <c r="BO50" i="31"/>
  <c r="CN50" i="31" s="1"/>
  <c r="BP138" i="31"/>
  <c r="BV138" i="31" s="1"/>
  <c r="BO40" i="31"/>
  <c r="CN40" i="31" s="1"/>
  <c r="BY178" i="31"/>
  <c r="CA222" i="31"/>
  <c r="CP222" i="31" s="1"/>
  <c r="CC222" i="31"/>
  <c r="R128" i="41"/>
  <c r="P128" i="41"/>
  <c r="P200" i="41"/>
  <c r="BO57" i="31"/>
  <c r="CN57" i="31" s="1"/>
  <c r="BY75" i="31"/>
  <c r="P262" i="41"/>
  <c r="BY217" i="31"/>
  <c r="CB217" i="31" s="1"/>
  <c r="R235" i="41"/>
  <c r="R10" i="41"/>
  <c r="BO179" i="31"/>
  <c r="CN179" i="31" s="1"/>
  <c r="BY281" i="31"/>
  <c r="CB281" i="31" s="1"/>
  <c r="BP225" i="31"/>
  <c r="BV225" i="31" s="1"/>
  <c r="BO79" i="31"/>
  <c r="CN79" i="31" s="1"/>
  <c r="CA30" i="31"/>
  <c r="CP30" i="31" s="1"/>
  <c r="CC30" i="31"/>
  <c r="BY234" i="31"/>
  <c r="CB162" i="31"/>
  <c r="CA26" i="31"/>
  <c r="CP26" i="31" s="1"/>
  <c r="CC26" i="31"/>
  <c r="BP79" i="31"/>
  <c r="BV79" i="31" s="1"/>
  <c r="BP50" i="31"/>
  <c r="BV50" i="31" s="1"/>
  <c r="BP40" i="31"/>
  <c r="BV40" i="31" s="1"/>
  <c r="BO45" i="31"/>
  <c r="CN45" i="31" s="1"/>
  <c r="BO47" i="31"/>
  <c r="CN47" i="31" s="1"/>
  <c r="CC42" i="31"/>
  <c r="BY57" i="31"/>
  <c r="CA57" i="31" s="1"/>
  <c r="CP57" i="31" s="1"/>
  <c r="P296" i="41"/>
  <c r="BY172" i="31"/>
  <c r="P94" i="41"/>
  <c r="BO204" i="31"/>
  <c r="CN204" i="31" s="1"/>
  <c r="P113" i="41"/>
  <c r="BO114" i="31"/>
  <c r="CN114" i="31" s="1"/>
  <c r="R37" i="41"/>
  <c r="S37" i="41" s="1"/>
  <c r="P18" i="41"/>
  <c r="CA333" i="31"/>
  <c r="CP333" i="31" s="1"/>
  <c r="CC333" i="31"/>
  <c r="BY299" i="31"/>
  <c r="CA299" i="31" s="1"/>
  <c r="CP299" i="31" s="1"/>
  <c r="BY345" i="31"/>
  <c r="BY261" i="31"/>
  <c r="CA261" i="31" s="1"/>
  <c r="CP261" i="31" s="1"/>
  <c r="BY143" i="31"/>
  <c r="CA143" i="31" s="1"/>
  <c r="CP143" i="31" s="1"/>
  <c r="BO195" i="31"/>
  <c r="CN195" i="31" s="1"/>
  <c r="P308" i="41"/>
  <c r="CA35" i="31"/>
  <c r="CP35" i="31" s="1"/>
  <c r="CC35" i="31"/>
  <c r="BO152" i="31"/>
  <c r="CN152" i="31" s="1"/>
  <c r="P44" i="41"/>
  <c r="BP195" i="31"/>
  <c r="BV195" i="31" s="1"/>
  <c r="CB313" i="31"/>
  <c r="BY283" i="31"/>
  <c r="CB283" i="31" s="1"/>
  <c r="P283" i="41"/>
  <c r="BY107" i="31"/>
  <c r="CA213" i="31"/>
  <c r="CP213" i="31" s="1"/>
  <c r="CC213" i="31"/>
  <c r="P339" i="41"/>
  <c r="R140" i="41"/>
  <c r="S140" i="41" s="1"/>
  <c r="P156" i="41"/>
  <c r="P71" i="41"/>
  <c r="BP45" i="31"/>
  <c r="BV45" i="31" s="1"/>
  <c r="R108" i="41"/>
  <c r="S108" i="41" s="1"/>
  <c r="BP47" i="31"/>
  <c r="BV47" i="31" s="1"/>
  <c r="BY310" i="31"/>
  <c r="CB310" i="31" s="1"/>
  <c r="BY184" i="31"/>
  <c r="BY105" i="31"/>
  <c r="CB105" i="31" s="1"/>
  <c r="BP204" i="31"/>
  <c r="BV204" i="31" s="1"/>
  <c r="P212" i="41"/>
  <c r="P320" i="41"/>
  <c r="BY27" i="31"/>
  <c r="CA27" i="31" s="1"/>
  <c r="CP27" i="31" s="1"/>
  <c r="BY256" i="31"/>
  <c r="CB256" i="31" s="1"/>
  <c r="BY183" i="31"/>
  <c r="CB183" i="31" s="1"/>
  <c r="CB240" i="31"/>
  <c r="BY220" i="31"/>
  <c r="CB220" i="31" s="1"/>
  <c r="BY266" i="31"/>
  <c r="CB266" i="31" s="1"/>
  <c r="R308" i="41"/>
  <c r="CB333" i="31"/>
  <c r="P216" i="41"/>
  <c r="CA317" i="31"/>
  <c r="CP317" i="31" s="1"/>
  <c r="CC317" i="31"/>
  <c r="BP152" i="31"/>
  <c r="BV152" i="31" s="1"/>
  <c r="P234" i="41"/>
  <c r="BY109" i="31"/>
  <c r="R29" i="41"/>
  <c r="S29" i="41" s="1"/>
  <c r="BY207" i="31"/>
  <c r="CB207" i="31" s="1"/>
  <c r="CC12" i="31"/>
  <c r="CB61" i="31"/>
  <c r="CC87" i="31"/>
  <c r="P124" i="41"/>
  <c r="BY324" i="31"/>
  <c r="BY67" i="31"/>
  <c r="BY33" i="31"/>
  <c r="CB33" i="31" s="1"/>
  <c r="BY210" i="31"/>
  <c r="CB210" i="31" s="1"/>
  <c r="P178" i="41"/>
  <c r="P299" i="41"/>
  <c r="P104" i="41"/>
  <c r="BY69" i="31"/>
  <c r="CB69" i="31" s="1"/>
  <c r="BY58" i="31"/>
  <c r="CB58" i="31" s="1"/>
  <c r="BY125" i="31"/>
  <c r="CA311" i="31"/>
  <c r="CP311" i="31" s="1"/>
  <c r="CC311" i="31"/>
  <c r="CB113" i="31"/>
  <c r="BO315" i="31"/>
  <c r="CN315" i="31" s="1"/>
  <c r="P249" i="41"/>
  <c r="BY301" i="31"/>
  <c r="CB301" i="31" s="1"/>
  <c r="BY252" i="31"/>
  <c r="BY134" i="31"/>
  <c r="R323" i="41"/>
  <c r="P307" i="41"/>
  <c r="R58" i="41"/>
  <c r="R90" i="41"/>
  <c r="CC228" i="31"/>
  <c r="BO236" i="31"/>
  <c r="CN236" i="31" s="1"/>
  <c r="P107" i="41"/>
  <c r="CB95" i="31"/>
  <c r="R304" i="41"/>
  <c r="S304" i="41" s="1"/>
  <c r="BY150" i="31"/>
  <c r="CB150" i="31" s="1"/>
  <c r="BY46" i="31"/>
  <c r="CB46" i="31" s="1"/>
  <c r="BY93" i="31"/>
  <c r="CB93" i="31" s="1"/>
  <c r="R210" i="41"/>
  <c r="BY273" i="31"/>
  <c r="CB273" i="31" s="1"/>
  <c r="BY216" i="31"/>
  <c r="BO206" i="31"/>
  <c r="CN206" i="31" s="1"/>
  <c r="CA102" i="31"/>
  <c r="CP102" i="31" s="1"/>
  <c r="CC102" i="31"/>
  <c r="CA84" i="31"/>
  <c r="CP84" i="31" s="1"/>
  <c r="CC84" i="31"/>
  <c r="BO203" i="31"/>
  <c r="CN203" i="31" s="1"/>
  <c r="BY315" i="31"/>
  <c r="CA315" i="31" s="1"/>
  <c r="CP315" i="31" s="1"/>
  <c r="BO214" i="31"/>
  <c r="CN214" i="31" s="1"/>
  <c r="R252" i="41"/>
  <c r="R320" i="41"/>
  <c r="P252" i="41"/>
  <c r="CA147" i="31"/>
  <c r="CP147" i="31" s="1"/>
  <c r="CC147" i="31"/>
  <c r="CB215" i="31"/>
  <c r="CA187" i="31"/>
  <c r="CP187" i="31" s="1"/>
  <c r="CC187" i="31"/>
  <c r="CC309" i="31"/>
  <c r="BO321" i="31"/>
  <c r="CN321" i="31" s="1"/>
  <c r="BY268" i="31"/>
  <c r="CB268" i="31" s="1"/>
  <c r="BY155" i="31"/>
  <c r="CB155" i="31" s="1"/>
  <c r="BP206" i="31"/>
  <c r="BV206" i="31" s="1"/>
  <c r="CB102" i="31"/>
  <c r="CC44" i="31"/>
  <c r="BP203" i="31"/>
  <c r="BV203" i="31" s="1"/>
  <c r="CC61" i="31"/>
  <c r="P180" i="41"/>
  <c r="CB290" i="31"/>
  <c r="BY127" i="31"/>
  <c r="CB127" i="31" s="1"/>
  <c r="CA302" i="31"/>
  <c r="CP302" i="31" s="1"/>
  <c r="CC302" i="31"/>
  <c r="P53" i="41"/>
  <c r="R196" i="41"/>
  <c r="BY99" i="31"/>
  <c r="CB99" i="31" s="1"/>
  <c r="CA167" i="31"/>
  <c r="CP167" i="31" s="1"/>
  <c r="CC167" i="31"/>
  <c r="P100" i="41"/>
  <c r="P223" i="41"/>
  <c r="P323" i="41"/>
  <c r="BP236" i="31"/>
  <c r="BV236" i="31" s="1"/>
  <c r="R264" i="41"/>
  <c r="P340" i="41"/>
  <c r="R285" i="41"/>
  <c r="S285" i="41" s="1"/>
  <c r="BY322" i="31"/>
  <c r="CB322" i="31" s="1"/>
  <c r="BY51" i="31"/>
  <c r="CB51" i="31" s="1"/>
  <c r="BY78" i="31"/>
  <c r="CB78" i="31" s="1"/>
  <c r="P85" i="41"/>
  <c r="CC165" i="31"/>
  <c r="R82" i="41"/>
  <c r="BP214" i="31"/>
  <c r="BV214" i="31" s="1"/>
  <c r="BO260" i="31"/>
  <c r="CN260" i="31" s="1"/>
  <c r="CB257" i="31"/>
  <c r="BY129" i="31"/>
  <c r="CB129" i="31" s="1"/>
  <c r="CC175" i="31"/>
  <c r="R214" i="41"/>
  <c r="BO91" i="31"/>
  <c r="CN91" i="31" s="1"/>
  <c r="CB147" i="31"/>
  <c r="R44" i="41"/>
  <c r="BY200" i="31"/>
  <c r="CB200" i="31" s="1"/>
  <c r="BP321" i="31"/>
  <c r="BV321" i="31" s="1"/>
  <c r="BY292" i="31"/>
  <c r="CB292" i="31" s="1"/>
  <c r="CA291" i="31"/>
  <c r="CP291" i="31" s="1"/>
  <c r="CC291" i="31"/>
  <c r="P39" i="41"/>
  <c r="R156" i="41"/>
  <c r="P317" i="41"/>
  <c r="CA248" i="31"/>
  <c r="CP248" i="31" s="1"/>
  <c r="CC248" i="31"/>
  <c r="CB167" i="31"/>
  <c r="CB228" i="31"/>
  <c r="P222" i="41"/>
  <c r="CC253" i="31"/>
  <c r="P70" i="41"/>
  <c r="BO73" i="31"/>
  <c r="CN73" i="31" s="1"/>
  <c r="R282" i="41"/>
  <c r="CB182" i="31"/>
  <c r="R216" i="41"/>
  <c r="R239" i="41"/>
  <c r="BO156" i="31"/>
  <c r="CN156" i="31" s="1"/>
  <c r="P248" i="41"/>
  <c r="BY73" i="31"/>
  <c r="CA73" i="31" s="1"/>
  <c r="CP73" i="31" s="1"/>
  <c r="BY39" i="31"/>
  <c r="CB39" i="31" s="1"/>
  <c r="CB244" i="31"/>
  <c r="BY17" i="31"/>
  <c r="CB17" i="31" s="1"/>
  <c r="P57" i="41"/>
  <c r="BY331" i="31"/>
  <c r="CB331" i="31" s="1"/>
  <c r="P82" i="41"/>
  <c r="BY91" i="31"/>
  <c r="CA91" i="31" s="1"/>
  <c r="CP91" i="31" s="1"/>
  <c r="P314" i="41"/>
  <c r="P102" i="41"/>
  <c r="CA348" i="31"/>
  <c r="CP348" i="31" s="1"/>
  <c r="CC348" i="31"/>
  <c r="P46" i="41"/>
  <c r="BO347" i="31"/>
  <c r="CN347" i="31" s="1"/>
  <c r="R84" i="41"/>
  <c r="CA104" i="31"/>
  <c r="CP104" i="31" s="1"/>
  <c r="CC104" i="31"/>
  <c r="CC89" i="31"/>
  <c r="R223" i="41"/>
  <c r="BY24" i="31"/>
  <c r="CB24" i="31" s="1"/>
  <c r="CA189" i="31"/>
  <c r="CP189" i="31" s="1"/>
  <c r="CC189" i="31"/>
  <c r="P8" i="41"/>
  <c r="P112" i="41"/>
  <c r="R322" i="41"/>
  <c r="S322" i="41" s="1"/>
  <c r="BY164" i="31"/>
  <c r="BY28" i="31"/>
  <c r="CB28" i="31" s="1"/>
  <c r="P134" i="41"/>
  <c r="CA146" i="31"/>
  <c r="CP146" i="31" s="1"/>
  <c r="CC146" i="31"/>
  <c r="BY278" i="31"/>
  <c r="CB278" i="31" s="1"/>
  <c r="BY185" i="31"/>
  <c r="CB185" i="31" s="1"/>
  <c r="BO22" i="31"/>
  <c r="CN22" i="31" s="1"/>
  <c r="BY246" i="31"/>
  <c r="CB246" i="31" s="1"/>
  <c r="BY316" i="31"/>
  <c r="CB316" i="31" s="1"/>
  <c r="CB348" i="31"/>
  <c r="P122" i="41"/>
  <c r="CA231" i="31"/>
  <c r="CP231" i="31" s="1"/>
  <c r="CC231" i="31"/>
  <c r="BP347" i="31"/>
  <c r="BV347" i="31" s="1"/>
  <c r="CB89" i="31"/>
  <c r="CA77" i="31"/>
  <c r="CP77" i="31" s="1"/>
  <c r="CC77" i="31"/>
  <c r="CB104" i="31"/>
  <c r="P84" i="41"/>
  <c r="R248" i="41"/>
  <c r="BP156" i="31"/>
  <c r="BV156" i="31" s="1"/>
  <c r="BO97" i="31"/>
  <c r="CN97" i="31" s="1"/>
  <c r="CB90" i="31"/>
  <c r="CA10" i="31"/>
  <c r="CP10" i="31" s="1"/>
  <c r="R5" i="41" s="1"/>
  <c r="S5" i="41" s="1"/>
  <c r="CC10" i="31"/>
  <c r="R200" i="41"/>
  <c r="P50" i="41"/>
  <c r="P287" i="41"/>
  <c r="BY197" i="31"/>
  <c r="CB197" i="31" s="1"/>
  <c r="BY16" i="31"/>
  <c r="CA16" i="31" s="1"/>
  <c r="CP16" i="31" s="1"/>
  <c r="BO247" i="31"/>
  <c r="CN247" i="31" s="1"/>
  <c r="P273" i="41"/>
  <c r="BO135" i="31"/>
  <c r="CN135" i="31" s="1"/>
  <c r="BY307" i="31"/>
  <c r="CB307" i="31" s="1"/>
  <c r="CA96" i="31"/>
  <c r="CP96" i="31" s="1"/>
  <c r="CC96" i="31"/>
  <c r="BO194" i="31"/>
  <c r="CN194" i="31" s="1"/>
  <c r="CA43" i="31"/>
  <c r="CP43" i="31" s="1"/>
  <c r="CC43" i="31"/>
  <c r="BY239" i="31"/>
  <c r="CB239" i="31" s="1"/>
  <c r="CA279" i="31"/>
  <c r="CP279" i="31" s="1"/>
  <c r="CC279" i="31"/>
  <c r="BY274" i="31"/>
  <c r="CB274" i="31" s="1"/>
  <c r="P238" i="41"/>
  <c r="BY180" i="31"/>
  <c r="CB180" i="31" s="1"/>
  <c r="CB146" i="31"/>
  <c r="CA70" i="31"/>
  <c r="CP70" i="31" s="1"/>
  <c r="CC70" i="31"/>
  <c r="BY332" i="31"/>
  <c r="CB332" i="31" s="1"/>
  <c r="BY305" i="31"/>
  <c r="CB305" i="31" s="1"/>
  <c r="BO108" i="31"/>
  <c r="CN108" i="31" s="1"/>
  <c r="R9" i="41"/>
  <c r="S9" i="41" s="1"/>
  <c r="R236" i="41"/>
  <c r="CC177" i="31"/>
  <c r="BP22" i="31"/>
  <c r="BV22" i="31" s="1"/>
  <c r="BY238" i="31"/>
  <c r="P333" i="41"/>
  <c r="BY119" i="31"/>
  <c r="CB119" i="31" s="1"/>
  <c r="CB231" i="31"/>
  <c r="BY52" i="31"/>
  <c r="CB52" i="31" s="1"/>
  <c r="CA106" i="31"/>
  <c r="CP106" i="31" s="1"/>
  <c r="CC106" i="31"/>
  <c r="BO121" i="31"/>
  <c r="CN121" i="31" s="1"/>
  <c r="CB253" i="31"/>
  <c r="BP97" i="31"/>
  <c r="BV97" i="31" s="1"/>
  <c r="P251" i="41"/>
  <c r="R85" i="41"/>
  <c r="P34" i="41"/>
  <c r="P12" i="41"/>
  <c r="P196" i="41"/>
  <c r="CB186" i="31"/>
  <c r="BY289" i="31"/>
  <c r="CA289" i="31" s="1"/>
  <c r="CP289" i="31" s="1"/>
  <c r="CA116" i="31"/>
  <c r="CP116" i="31" s="1"/>
  <c r="CC116" i="31"/>
  <c r="CA169" i="31"/>
  <c r="CP169" i="31" s="1"/>
  <c r="CC169" i="31"/>
  <c r="P319" i="41"/>
  <c r="BO163" i="31"/>
  <c r="CN163" i="31" s="1"/>
  <c r="BY334" i="31"/>
  <c r="BY108" i="31"/>
  <c r="CA108" i="31" s="1"/>
  <c r="CP108" i="31" s="1"/>
  <c r="CA320" i="31"/>
  <c r="CP320" i="31" s="1"/>
  <c r="CC320" i="31"/>
  <c r="CB241" i="31"/>
  <c r="P172" i="41"/>
  <c r="BY335" i="31"/>
  <c r="CB335" i="31" s="1"/>
  <c r="AR4" i="31"/>
  <c r="AR3" i="31"/>
  <c r="AU7" i="31"/>
  <c r="AX7" i="31" s="1"/>
  <c r="BY349" i="31"/>
  <c r="CB349" i="31" s="1"/>
  <c r="BO38" i="31"/>
  <c r="CN38" i="31" s="1"/>
  <c r="BO282" i="31"/>
  <c r="CN282" i="31" s="1"/>
  <c r="CA148" i="31"/>
  <c r="CP148" i="31" s="1"/>
  <c r="CC148" i="31"/>
  <c r="P49" i="41"/>
  <c r="R81" i="41"/>
  <c r="P81" i="41"/>
  <c r="BY323" i="31"/>
  <c r="CB323" i="31" s="1"/>
  <c r="CB106" i="31"/>
  <c r="P66" i="41"/>
  <c r="BY227" i="31"/>
  <c r="BY121" i="31"/>
  <c r="CA121" i="31" s="1"/>
  <c r="CP121" i="31" s="1"/>
  <c r="BO258" i="31"/>
  <c r="CN258" i="31" s="1"/>
  <c r="CA68" i="31"/>
  <c r="CP68" i="31" s="1"/>
  <c r="CC68" i="31"/>
  <c r="BO330" i="31"/>
  <c r="CN330" i="31" s="1"/>
  <c r="CB110" i="31"/>
  <c r="R224" i="41"/>
  <c r="CC269" i="31"/>
  <c r="R69" i="41"/>
  <c r="BO289" i="31"/>
  <c r="CN289" i="31" s="1"/>
  <c r="P330" i="41"/>
  <c r="P239" i="41"/>
  <c r="R301" i="41"/>
  <c r="S301" i="41" s="1"/>
  <c r="BO211" i="31"/>
  <c r="CN211" i="31" s="1"/>
  <c r="P54" i="41"/>
  <c r="CA285" i="31"/>
  <c r="CP285" i="31" s="1"/>
  <c r="CC285" i="31"/>
  <c r="BY338" i="31"/>
  <c r="CB338" i="31" s="1"/>
  <c r="BY339" i="31"/>
  <c r="CB339" i="31" s="1"/>
  <c r="R188" i="41"/>
  <c r="S188" i="41" s="1"/>
  <c r="BY38" i="31"/>
  <c r="CA38" i="31" s="1"/>
  <c r="CP38" i="31" s="1"/>
  <c r="BY282" i="31"/>
  <c r="CA282" i="31" s="1"/>
  <c r="CP282" i="31" s="1"/>
  <c r="CC240" i="31"/>
  <c r="AK4" i="31"/>
  <c r="AK354" i="31"/>
  <c r="AK3" i="31"/>
  <c r="CI7" i="31"/>
  <c r="K2" i="41" s="1"/>
  <c r="BY233" i="31"/>
  <c r="CB233" i="31" s="1"/>
  <c r="CA284" i="31"/>
  <c r="CP284" i="31" s="1"/>
  <c r="CC284" i="31"/>
  <c r="BO157" i="31"/>
  <c r="CN157" i="31" s="1"/>
  <c r="BP258" i="31"/>
  <c r="BV258" i="31" s="1"/>
  <c r="CB68" i="31"/>
  <c r="R295" i="41"/>
  <c r="P48" i="41"/>
  <c r="BP330" i="31"/>
  <c r="BV330" i="31" s="1"/>
  <c r="R98" i="41"/>
  <c r="R105" i="41"/>
  <c r="R87" i="41"/>
  <c r="S87" i="41" s="1"/>
  <c r="CB229" i="31"/>
  <c r="P264" i="41"/>
  <c r="R8" i="41"/>
  <c r="BP114" i="31"/>
  <c r="BV114" i="31" s="1"/>
  <c r="BY304" i="31"/>
  <c r="CB304" i="31" s="1"/>
  <c r="P338" i="41"/>
  <c r="BY243" i="31"/>
  <c r="CB243" i="31" s="1"/>
  <c r="R56" i="41"/>
  <c r="S56" i="41" s="1"/>
  <c r="CC13" i="31"/>
  <c r="BY260" i="31"/>
  <c r="CA260" i="31" s="1"/>
  <c r="CP260" i="31" s="1"/>
  <c r="P170" i="41"/>
  <c r="BY350" i="31"/>
  <c r="CB350" i="31" s="1"/>
  <c r="R203" i="41"/>
  <c r="S203" i="41" s="1"/>
  <c r="BY159" i="31"/>
  <c r="CB159" i="31" s="1"/>
  <c r="BO259" i="31"/>
  <c r="CN259" i="31" s="1"/>
  <c r="R18" i="41"/>
  <c r="P225" i="41"/>
  <c r="BO154" i="31"/>
  <c r="CN154" i="31" s="1"/>
  <c r="BY194" i="31"/>
  <c r="CA194" i="31" s="1"/>
  <c r="CP194" i="31" s="1"/>
  <c r="BY100" i="31"/>
  <c r="CB100" i="31" s="1"/>
  <c r="BY131" i="31"/>
  <c r="CB131" i="31" s="1"/>
  <c r="BP259" i="31"/>
  <c r="BV259" i="31" s="1"/>
  <c r="R110" i="41"/>
  <c r="BP154" i="31"/>
  <c r="BV154" i="31" s="1"/>
  <c r="CC115" i="31"/>
  <c r="P105" i="41"/>
  <c r="BO280" i="31"/>
  <c r="CN280" i="31" s="1"/>
  <c r="BP211" i="31"/>
  <c r="BV211" i="31" s="1"/>
  <c r="CB285" i="31"/>
  <c r="CC32" i="31"/>
  <c r="AL2" i="31"/>
  <c r="R246" i="41"/>
  <c r="CA48" i="31"/>
  <c r="CP48" i="31" s="1"/>
  <c r="CC48" i="31"/>
  <c r="BY54" i="31"/>
  <c r="CB54" i="31" s="1"/>
  <c r="BY98" i="31"/>
  <c r="CB98" i="31" s="1"/>
  <c r="P235" i="41"/>
  <c r="CA173" i="31"/>
  <c r="CP173" i="31" s="1"/>
  <c r="CC173" i="31"/>
  <c r="R249" i="41"/>
  <c r="CB55" i="31"/>
  <c r="L6" i="29"/>
  <c r="K6" i="29"/>
  <c r="BY232" i="31"/>
  <c r="CB232" i="31" s="1"/>
  <c r="CB284" i="31"/>
  <c r="BP157" i="31"/>
  <c r="BV157" i="31" s="1"/>
  <c r="P305" i="41"/>
  <c r="BY249" i="31"/>
  <c r="CB249" i="31" s="1"/>
  <c r="CA352" i="31"/>
  <c r="CP352" i="31" s="1"/>
  <c r="CC352" i="31"/>
  <c r="CA271" i="31"/>
  <c r="CP271" i="31" s="1"/>
  <c r="CC271" i="31"/>
  <c r="CB103" i="31"/>
  <c r="R225" i="41"/>
  <c r="BO56" i="31"/>
  <c r="CN56" i="31" s="1"/>
  <c r="R172" i="41"/>
  <c r="P89" i="41"/>
  <c r="R170" i="41"/>
  <c r="P282" i="41"/>
  <c r="BO209" i="31"/>
  <c r="CN209" i="31" s="1"/>
  <c r="BY174" i="31"/>
  <c r="CA174" i="31" s="1"/>
  <c r="CP174" i="31" s="1"/>
  <c r="P160" i="41"/>
  <c r="CA190" i="31"/>
  <c r="CP190" i="31" s="1"/>
  <c r="CC190" i="31"/>
  <c r="BY223" i="31"/>
  <c r="P229" i="41"/>
  <c r="P293" i="41"/>
  <c r="P192" i="41"/>
  <c r="BP163" i="31"/>
  <c r="BV163" i="31" s="1"/>
  <c r="BY170" i="31"/>
  <c r="CB170" i="31" s="1"/>
  <c r="BY117" i="31"/>
  <c r="CB117" i="31" s="1"/>
  <c r="CB115" i="31"/>
  <c r="R262" i="41"/>
  <c r="CA128" i="31"/>
  <c r="CP128" i="31" s="1"/>
  <c r="CC128" i="31"/>
  <c r="P110" i="41"/>
  <c r="BO237" i="31"/>
  <c r="CN237" i="31" s="1"/>
  <c r="CA196" i="31"/>
  <c r="CP196" i="31" s="1"/>
  <c r="CC196" i="31"/>
  <c r="BY60" i="31"/>
  <c r="CB60" i="31" s="1"/>
  <c r="R31" i="41"/>
  <c r="S31" i="41" s="1"/>
  <c r="CB144" i="31"/>
  <c r="CB18" i="31"/>
  <c r="BY153" i="31"/>
  <c r="CB153" i="31" s="1"/>
  <c r="CA181" i="31"/>
  <c r="CP181" i="31" s="1"/>
  <c r="CC181" i="31"/>
  <c r="CC18" i="31"/>
  <c r="BP237" i="31"/>
  <c r="BV237" i="31" s="1"/>
  <c r="BO275" i="31"/>
  <c r="CN275" i="31" s="1"/>
  <c r="BY139" i="31"/>
  <c r="CB139" i="31" s="1"/>
  <c r="CA124" i="31"/>
  <c r="CP124" i="31" s="1"/>
  <c r="CC124" i="31"/>
  <c r="R16" i="41"/>
  <c r="S16" i="41" s="1"/>
  <c r="BP280" i="31"/>
  <c r="BV280" i="31" s="1"/>
  <c r="BY59" i="31"/>
  <c r="CB59" i="31" s="1"/>
  <c r="P150" i="41"/>
  <c r="CB32" i="31"/>
  <c r="BO82" i="31"/>
  <c r="CN82" i="31" s="1"/>
  <c r="P27" i="41"/>
  <c r="CB48" i="31"/>
  <c r="CC251" i="31"/>
  <c r="CC66" i="31"/>
  <c r="R50" i="41"/>
  <c r="BO351" i="31"/>
  <c r="CN351" i="31" s="1"/>
  <c r="BY326" i="31"/>
  <c r="CB326" i="31" s="1"/>
  <c r="BY9" i="31"/>
  <c r="CB9" i="31" s="1"/>
  <c r="P260" i="41"/>
  <c r="BY25" i="31"/>
  <c r="CB25" i="31" s="1"/>
  <c r="CB271" i="31"/>
  <c r="BY112" i="31"/>
  <c r="CB230" i="31"/>
  <c r="CB11" i="31"/>
  <c r="R71" i="41"/>
  <c r="BO341" i="31"/>
  <c r="CN341" i="31" s="1"/>
  <c r="BY312" i="31"/>
  <c r="BO41" i="31"/>
  <c r="CN41" i="31" s="1"/>
  <c r="CC300" i="31"/>
  <c r="BY94" i="31"/>
  <c r="CB94" i="31" s="1"/>
  <c r="CC229" i="31"/>
  <c r="R181" i="41"/>
  <c r="BY308" i="31"/>
  <c r="BY294" i="31"/>
  <c r="R139" i="41"/>
  <c r="S139" i="41" s="1"/>
  <c r="R13" i="41"/>
  <c r="BY224" i="31"/>
  <c r="CB224" i="31" s="1"/>
  <c r="CC186" i="31"/>
  <c r="CA171" i="31"/>
  <c r="CP171" i="31" s="1"/>
  <c r="CC171" i="31"/>
  <c r="P13" i="41"/>
  <c r="BO20" i="31"/>
  <c r="CN20" i="31" s="1"/>
  <c r="BY275" i="31"/>
  <c r="CA275" i="31" s="1"/>
  <c r="CP275" i="31" s="1"/>
  <c r="BY235" i="31"/>
  <c r="P261" i="41"/>
  <c r="BO336" i="31"/>
  <c r="CN336" i="31" s="1"/>
  <c r="CA151" i="31"/>
  <c r="CP151" i="31" s="1"/>
  <c r="CC151" i="31"/>
  <c r="P263" i="41"/>
  <c r="R27" i="41"/>
  <c r="BY82" i="31"/>
  <c r="CA82" i="31" s="1"/>
  <c r="CP82" i="31" s="1"/>
  <c r="BO122" i="31"/>
  <c r="CN122" i="31" s="1"/>
  <c r="BO272" i="31"/>
  <c r="CN272" i="31" s="1"/>
  <c r="R61" i="41"/>
  <c r="P246" i="41"/>
  <c r="P61" i="41"/>
  <c r="P93" i="41"/>
  <c r="W6" i="29"/>
  <c r="AI2" i="31"/>
  <c r="BY351" i="31"/>
  <c r="CA351" i="31" s="1"/>
  <c r="CP351" i="31" s="1"/>
  <c r="CC290" i="31"/>
  <c r="P288" i="41"/>
  <c r="CB309" i="31"/>
  <c r="BY255" i="31"/>
  <c r="CB255" i="31" s="1"/>
  <c r="P181" i="41"/>
  <c r="CB171" i="31"/>
  <c r="R39" i="41"/>
  <c r="BP20" i="31"/>
  <c r="BV20" i="31" s="1"/>
  <c r="CC325" i="31"/>
  <c r="P214" i="41"/>
  <c r="P144" i="41"/>
  <c r="BP336" i="31"/>
  <c r="BV336" i="31" s="1"/>
  <c r="P327" i="41"/>
  <c r="BO27" i="31"/>
  <c r="CN27" i="31" s="1"/>
  <c r="CA123" i="31"/>
  <c r="CP123" i="31" s="1"/>
  <c r="CC123" i="31"/>
  <c r="P236" i="41"/>
  <c r="BP122" i="31"/>
  <c r="BV122" i="31" s="1"/>
  <c r="CB205" i="31"/>
  <c r="BP272" i="31"/>
  <c r="BV272" i="31" s="1"/>
  <c r="CB66" i="31"/>
  <c r="CA218" i="31"/>
  <c r="CP218" i="31" s="1"/>
  <c r="CC218" i="31"/>
  <c r="CC144" i="31"/>
  <c r="CC62" i="31"/>
  <c r="CA342" i="31"/>
  <c r="CP342" i="31" s="1"/>
  <c r="CC342" i="31"/>
  <c r="CB74" i="31"/>
  <c r="BY199" i="31"/>
  <c r="CB199" i="31" s="1"/>
  <c r="CC55" i="31"/>
  <c r="CB15" i="31"/>
  <c r="CC201" i="31"/>
  <c r="BP341" i="31"/>
  <c r="BV341" i="31" s="1"/>
  <c r="BY72" i="31"/>
  <c r="CB72" i="31" s="1"/>
  <c r="BY168" i="31"/>
  <c r="CB168" i="31" s="1"/>
  <c r="BP41" i="31"/>
  <c r="BV41" i="31" s="1"/>
  <c r="P295" i="41"/>
  <c r="P224" i="41"/>
  <c r="S160" i="41" l="1"/>
  <c r="S57" i="41"/>
  <c r="S239" i="41"/>
  <c r="S225" i="41"/>
  <c r="S246" i="41"/>
  <c r="S144" i="41"/>
  <c r="S236" i="41"/>
  <c r="S295" i="41"/>
  <c r="S44" i="41"/>
  <c r="S50" i="41"/>
  <c r="S61" i="41"/>
  <c r="S252" i="41"/>
  <c r="S98" i="41"/>
  <c r="S338" i="41"/>
  <c r="S224" i="41"/>
  <c r="S291" i="41"/>
  <c r="S82" i="41"/>
  <c r="S308" i="41"/>
  <c r="S110" i="41"/>
  <c r="S235" i="41"/>
  <c r="S81" i="41"/>
  <c r="S214" i="41"/>
  <c r="S84" i="41"/>
  <c r="S282" i="41"/>
  <c r="S181" i="41"/>
  <c r="S248" i="41"/>
  <c r="S288" i="41"/>
  <c r="S105" i="41"/>
  <c r="S58" i="41"/>
  <c r="S69" i="41"/>
  <c r="S172" i="41"/>
  <c r="S264" i="41"/>
  <c r="S320" i="41"/>
  <c r="S85" i="41"/>
  <c r="S262" i="41"/>
  <c r="S90" i="41"/>
  <c r="S27" i="41"/>
  <c r="S39" i="41"/>
  <c r="S200" i="41"/>
  <c r="S8" i="41"/>
  <c r="S249" i="41"/>
  <c r="S128" i="41"/>
  <c r="S10" i="41"/>
  <c r="S323" i="41"/>
  <c r="S223" i="41"/>
  <c r="S156" i="41"/>
  <c r="S210" i="41"/>
  <c r="S71" i="41"/>
  <c r="S216" i="41"/>
  <c r="S13" i="41"/>
  <c r="S170" i="41"/>
  <c r="S196" i="41"/>
  <c r="S18" i="41"/>
  <c r="CB91" i="31"/>
  <c r="CC135" i="31"/>
  <c r="CC179" i="31"/>
  <c r="CC27" i="31"/>
  <c r="CB346" i="31"/>
  <c r="R177" i="41"/>
  <c r="S177" i="41" s="1"/>
  <c r="CB315" i="31"/>
  <c r="CC346" i="31"/>
  <c r="CC80" i="31"/>
  <c r="CB209" i="31"/>
  <c r="CA80" i="31"/>
  <c r="CP80" i="31" s="1"/>
  <c r="BI2" i="31"/>
  <c r="CB261" i="31"/>
  <c r="CB179" i="31"/>
  <c r="O341" i="41"/>
  <c r="O348" i="41" s="1"/>
  <c r="X10" i="29"/>
  <c r="AA10" i="29"/>
  <c r="J46" i="29"/>
  <c r="M10" i="29"/>
  <c r="P10" i="29" s="1"/>
  <c r="Q10" i="29" s="1"/>
  <c r="CB260" i="31"/>
  <c r="CB65" i="31"/>
  <c r="CC247" i="31"/>
  <c r="CB56" i="31"/>
  <c r="CC56" i="31"/>
  <c r="CB16" i="31"/>
  <c r="CC88" i="31"/>
  <c r="CB88" i="31"/>
  <c r="CC351" i="31"/>
  <c r="CC209" i="31"/>
  <c r="CB351" i="31"/>
  <c r="CC73" i="31"/>
  <c r="CC65" i="31"/>
  <c r="CC143" i="31"/>
  <c r="CC315" i="31"/>
  <c r="CB275" i="31"/>
  <c r="CC289" i="31"/>
  <c r="AK2" i="31"/>
  <c r="CB108" i="31"/>
  <c r="CB73" i="31"/>
  <c r="CC158" i="31"/>
  <c r="CC275" i="31"/>
  <c r="CC108" i="31"/>
  <c r="CA158" i="31"/>
  <c r="CP158" i="31" s="1"/>
  <c r="R153" i="41" s="1"/>
  <c r="S153" i="41" s="1"/>
  <c r="CB194" i="31"/>
  <c r="AR2" i="31"/>
  <c r="CB143" i="31"/>
  <c r="CA8" i="31"/>
  <c r="CP8" i="31" s="1"/>
  <c r="R3" i="41" s="1"/>
  <c r="S3" i="41" s="1"/>
  <c r="CC8" i="31"/>
  <c r="BY163" i="31"/>
  <c r="CB163" i="31" s="1"/>
  <c r="P267" i="41"/>
  <c r="CA9" i="31"/>
  <c r="CP9" i="31" s="1"/>
  <c r="R4" i="41" s="1"/>
  <c r="S4" i="41" s="1"/>
  <c r="CC9" i="31"/>
  <c r="CB174" i="31"/>
  <c r="P152" i="41"/>
  <c r="R63" i="41"/>
  <c r="S63" i="41" s="1"/>
  <c r="R99" i="41"/>
  <c r="S99" i="41" s="1"/>
  <c r="CA129" i="31"/>
  <c r="CP129" i="31" s="1"/>
  <c r="CC129" i="31"/>
  <c r="CA301" i="31"/>
  <c r="CP301" i="31" s="1"/>
  <c r="CC301" i="31"/>
  <c r="BY152" i="31"/>
  <c r="CB152" i="31" s="1"/>
  <c r="BY204" i="31"/>
  <c r="CB204" i="31" s="1"/>
  <c r="CA310" i="31"/>
  <c r="CP310" i="31" s="1"/>
  <c r="CC310" i="31"/>
  <c r="BY195" i="31"/>
  <c r="CA234" i="31"/>
  <c r="CP234" i="31" s="1"/>
  <c r="CC234" i="31"/>
  <c r="BY138" i="31"/>
  <c r="BY318" i="31"/>
  <c r="CA125" i="31"/>
  <c r="CP125" i="31" s="1"/>
  <c r="CC125" i="31"/>
  <c r="CA243" i="31"/>
  <c r="CP243" i="31" s="1"/>
  <c r="CC243" i="31"/>
  <c r="P199" i="41"/>
  <c r="P35" i="41"/>
  <c r="CA112" i="31"/>
  <c r="CP112" i="31" s="1"/>
  <c r="CC112" i="31"/>
  <c r="BY47" i="31"/>
  <c r="CB47" i="31" s="1"/>
  <c r="BY40" i="31"/>
  <c r="CB234" i="31"/>
  <c r="CA118" i="31"/>
  <c r="CP118" i="31" s="1"/>
  <c r="CC118" i="31"/>
  <c r="P60" i="41"/>
  <c r="P15" i="41"/>
  <c r="CA324" i="31"/>
  <c r="CP324" i="31" s="1"/>
  <c r="CC324" i="31"/>
  <c r="R169" i="41"/>
  <c r="R111" i="41"/>
  <c r="S111" i="41" s="1"/>
  <c r="R101" i="41"/>
  <c r="S101" i="41" s="1"/>
  <c r="CA246" i="31"/>
  <c r="CP246" i="31" s="1"/>
  <c r="CC246" i="31"/>
  <c r="CB112" i="31"/>
  <c r="CA100" i="31"/>
  <c r="CP100" i="31" s="1"/>
  <c r="CC100" i="31"/>
  <c r="R279" i="41"/>
  <c r="S279" i="41" s="1"/>
  <c r="R143" i="41"/>
  <c r="S143" i="41" s="1"/>
  <c r="R284" i="41"/>
  <c r="P130" i="41"/>
  <c r="CA164" i="31"/>
  <c r="CP164" i="31" s="1"/>
  <c r="CC164" i="31"/>
  <c r="R343" i="41"/>
  <c r="S343" i="41" s="1"/>
  <c r="P68" i="41"/>
  <c r="CA200" i="31"/>
  <c r="CP200" i="31" s="1"/>
  <c r="CC200" i="31"/>
  <c r="R52" i="41"/>
  <c r="BY50" i="31"/>
  <c r="CA75" i="31"/>
  <c r="CP75" i="31" s="1"/>
  <c r="CC75" i="31"/>
  <c r="P45" i="41"/>
  <c r="R171" i="41"/>
  <c r="S171" i="41" s="1"/>
  <c r="CA71" i="31"/>
  <c r="CP71" i="31" s="1"/>
  <c r="CC71" i="31"/>
  <c r="CA274" i="31"/>
  <c r="CP274" i="31" s="1"/>
  <c r="CC274" i="31"/>
  <c r="R286" i="41"/>
  <c r="S286" i="41" s="1"/>
  <c r="CA273" i="31"/>
  <c r="CP273" i="31" s="1"/>
  <c r="CC273" i="31"/>
  <c r="P158" i="41"/>
  <c r="BY97" i="31"/>
  <c r="CB97" i="31" s="1"/>
  <c r="R274" i="41"/>
  <c r="S274" i="41" s="1"/>
  <c r="CA39" i="31"/>
  <c r="CP39" i="31" s="1"/>
  <c r="CC39" i="31"/>
  <c r="CA78" i="31"/>
  <c r="CP78" i="31" s="1"/>
  <c r="CC78" i="31"/>
  <c r="P198" i="41"/>
  <c r="CA46" i="31"/>
  <c r="CP46" i="31" s="1"/>
  <c r="CC46" i="31"/>
  <c r="P117" i="41"/>
  <c r="R166" i="41"/>
  <c r="S166" i="41" s="1"/>
  <c r="P51" i="41"/>
  <c r="R347" i="41"/>
  <c r="S347" i="41" s="1"/>
  <c r="CA255" i="31"/>
  <c r="CP255" i="31" s="1"/>
  <c r="CC255" i="31"/>
  <c r="CB82" i="31"/>
  <c r="R146" i="41"/>
  <c r="S146" i="41" s="1"/>
  <c r="CA326" i="31"/>
  <c r="CP326" i="31" s="1"/>
  <c r="CC326" i="31"/>
  <c r="CA60" i="31"/>
  <c r="CP60" i="31" s="1"/>
  <c r="CC60" i="31"/>
  <c r="P204" i="41"/>
  <c r="R255" i="41"/>
  <c r="CA339" i="31"/>
  <c r="CP339" i="31" s="1"/>
  <c r="CC339" i="31"/>
  <c r="CB289" i="31"/>
  <c r="CA52" i="31"/>
  <c r="CP52" i="31" s="1"/>
  <c r="CC52" i="31"/>
  <c r="P17" i="41"/>
  <c r="CB164" i="31"/>
  <c r="R68" i="41"/>
  <c r="CC260" i="31"/>
  <c r="R79" i="41"/>
  <c r="S79" i="41" s="1"/>
  <c r="CA150" i="31"/>
  <c r="CP150" i="31" s="1"/>
  <c r="CC150" i="31"/>
  <c r="CA183" i="31"/>
  <c r="CP183" i="31" s="1"/>
  <c r="CC183" i="31"/>
  <c r="CB57" i="31"/>
  <c r="CA217" i="31"/>
  <c r="CP217" i="31" s="1"/>
  <c r="CC217" i="31"/>
  <c r="CB75" i="31"/>
  <c r="CB212" i="31"/>
  <c r="CA137" i="31"/>
  <c r="CP137" i="31" s="1"/>
  <c r="CC137" i="31"/>
  <c r="CA142" i="31"/>
  <c r="CP142" i="31" s="1"/>
  <c r="CC142" i="31"/>
  <c r="CA184" i="31"/>
  <c r="CP184" i="31" s="1"/>
  <c r="CC184" i="31"/>
  <c r="CA139" i="31"/>
  <c r="CP139" i="31" s="1"/>
  <c r="CC139" i="31"/>
  <c r="BY156" i="31"/>
  <c r="CB156" i="31" s="1"/>
  <c r="CB8" i="31"/>
  <c r="CA335" i="31"/>
  <c r="CP335" i="31" s="1"/>
  <c r="CC335" i="31"/>
  <c r="BY336" i="31"/>
  <c r="R77" i="41"/>
  <c r="P255" i="41"/>
  <c r="P147" i="41"/>
  <c r="CC57" i="31"/>
  <c r="P133" i="41"/>
  <c r="R207" i="41"/>
  <c r="R186" i="41"/>
  <c r="S186" i="41" s="1"/>
  <c r="CA53" i="31"/>
  <c r="CP53" i="31" s="1"/>
  <c r="CC53" i="31"/>
  <c r="CA131" i="31"/>
  <c r="CP131" i="31" s="1"/>
  <c r="CC131" i="31"/>
  <c r="R168" i="41"/>
  <c r="S168" i="41" s="1"/>
  <c r="P284" i="41"/>
  <c r="CA28" i="31"/>
  <c r="CP28" i="31" s="1"/>
  <c r="CC28" i="31"/>
  <c r="CA168" i="31"/>
  <c r="CP168" i="31" s="1"/>
  <c r="CC168" i="31"/>
  <c r="CC82" i="31"/>
  <c r="CA233" i="31"/>
  <c r="CP233" i="31" s="1"/>
  <c r="CC233" i="31"/>
  <c r="CA72" i="31"/>
  <c r="CP72" i="31" s="1"/>
  <c r="CC72" i="31"/>
  <c r="R337" i="41"/>
  <c r="S337" i="41" s="1"/>
  <c r="R118" i="41"/>
  <c r="S118" i="41" s="1"/>
  <c r="R346" i="41"/>
  <c r="P331" i="41"/>
  <c r="CA224" i="31"/>
  <c r="CP224" i="31" s="1"/>
  <c r="CC224" i="31"/>
  <c r="P77" i="41"/>
  <c r="CA59" i="31"/>
  <c r="CP59" i="31" s="1"/>
  <c r="CC59" i="31"/>
  <c r="P254" i="41"/>
  <c r="K348" i="41"/>
  <c r="CA338" i="31"/>
  <c r="CP338" i="31" s="1"/>
  <c r="CC338" i="31"/>
  <c r="CA323" i="31"/>
  <c r="CP323" i="31" s="1"/>
  <c r="CC323" i="31"/>
  <c r="CA278" i="31"/>
  <c r="CP278" i="31" s="1"/>
  <c r="CC278" i="31"/>
  <c r="BY214" i="31"/>
  <c r="CB214" i="31" s="1"/>
  <c r="CA51" i="31"/>
  <c r="CP51" i="31" s="1"/>
  <c r="CC51" i="31"/>
  <c r="BY206" i="31"/>
  <c r="CB206" i="31" s="1"/>
  <c r="BY225" i="31"/>
  <c r="CB225" i="31" s="1"/>
  <c r="P52" i="41"/>
  <c r="CA319" i="31"/>
  <c r="CP319" i="31" s="1"/>
  <c r="CC319" i="31"/>
  <c r="P116" i="41"/>
  <c r="CB299" i="31"/>
  <c r="CC91" i="31"/>
  <c r="CA256" i="31"/>
  <c r="CP256" i="31" s="1"/>
  <c r="CC256" i="31"/>
  <c r="R328" i="41"/>
  <c r="S328" i="41" s="1"/>
  <c r="CA337" i="31"/>
  <c r="CP337" i="31" s="1"/>
  <c r="CC337" i="31"/>
  <c r="R240" i="41"/>
  <c r="S240" i="41" s="1"/>
  <c r="R33" i="41"/>
  <c r="R97" i="41"/>
  <c r="S97" i="41" s="1"/>
  <c r="BY280" i="31"/>
  <c r="CB280" i="31" s="1"/>
  <c r="P275" i="41"/>
  <c r="R189" i="41"/>
  <c r="CA159" i="31"/>
  <c r="CP159" i="31" s="1"/>
  <c r="CC159" i="31"/>
  <c r="R280" i="41"/>
  <c r="S280" i="41" s="1"/>
  <c r="R315" i="41"/>
  <c r="S315" i="41" s="1"/>
  <c r="P86" i="41"/>
  <c r="CA322" i="31"/>
  <c r="CP322" i="31" s="1"/>
  <c r="CC322" i="31"/>
  <c r="CA155" i="31"/>
  <c r="CP155" i="31" s="1"/>
  <c r="CC155" i="31"/>
  <c r="CB27" i="31"/>
  <c r="CA281" i="31"/>
  <c r="CP281" i="31" s="1"/>
  <c r="CC281" i="31"/>
  <c r="CA265" i="31"/>
  <c r="CP265" i="31" s="1"/>
  <c r="CC265" i="31"/>
  <c r="CC174" i="31"/>
  <c r="CA188" i="31"/>
  <c r="CP188" i="31" s="1"/>
  <c r="CC188" i="31"/>
  <c r="CA127" i="31"/>
  <c r="CP127" i="31" s="1"/>
  <c r="CC127" i="31"/>
  <c r="P209" i="41"/>
  <c r="P201" i="41"/>
  <c r="P310" i="41"/>
  <c r="CA109" i="31"/>
  <c r="CP109" i="31" s="1"/>
  <c r="CC109" i="31"/>
  <c r="R22" i="41"/>
  <c r="CA105" i="31"/>
  <c r="CP105" i="31" s="1"/>
  <c r="CC105" i="31"/>
  <c r="P42" i="41"/>
  <c r="P138" i="41"/>
  <c r="P169" i="41"/>
  <c r="R76" i="41"/>
  <c r="S76" i="41" s="1"/>
  <c r="P103" i="41"/>
  <c r="BY341" i="31"/>
  <c r="CB341" i="31" s="1"/>
  <c r="BY157" i="31"/>
  <c r="CB157" i="31" s="1"/>
  <c r="CA331" i="31"/>
  <c r="CP331" i="31" s="1"/>
  <c r="CC331" i="31"/>
  <c r="R243" i="41"/>
  <c r="S243" i="41" s="1"/>
  <c r="CA216" i="31"/>
  <c r="CP216" i="31" s="1"/>
  <c r="CC216" i="31"/>
  <c r="P231" i="41"/>
  <c r="CB109" i="31"/>
  <c r="CA288" i="31"/>
  <c r="CP288" i="31" s="1"/>
  <c r="CC288" i="31"/>
  <c r="R51" i="41"/>
  <c r="P206" i="41"/>
  <c r="CA119" i="31"/>
  <c r="CP119" i="31" s="1"/>
  <c r="CC119" i="31"/>
  <c r="R213" i="41"/>
  <c r="S213" i="41" s="1"/>
  <c r="P36" i="41"/>
  <c r="P270" i="41"/>
  <c r="CA223" i="31"/>
  <c r="CP223" i="31" s="1"/>
  <c r="CC223" i="31"/>
  <c r="R43" i="41"/>
  <c r="S43" i="41" s="1"/>
  <c r="BY211" i="31"/>
  <c r="CB211" i="31" s="1"/>
  <c r="P149" i="41"/>
  <c r="BY258" i="31"/>
  <c r="CB258" i="31" s="1"/>
  <c r="P253" i="41"/>
  <c r="CC282" i="31"/>
  <c r="CA332" i="31"/>
  <c r="CP332" i="31" s="1"/>
  <c r="CC332" i="31"/>
  <c r="CA239" i="31"/>
  <c r="CP239" i="31" s="1"/>
  <c r="CC239" i="31"/>
  <c r="CA268" i="31"/>
  <c r="CP268" i="31" s="1"/>
  <c r="CC268" i="31"/>
  <c r="R142" i="41"/>
  <c r="S142" i="41" s="1"/>
  <c r="CB216" i="31"/>
  <c r="CA93" i="31"/>
  <c r="CP93" i="31" s="1"/>
  <c r="CC93" i="31"/>
  <c r="CA134" i="31"/>
  <c r="CP134" i="31" s="1"/>
  <c r="CC134" i="31"/>
  <c r="R312" i="41"/>
  <c r="S312" i="41" s="1"/>
  <c r="R208" i="41"/>
  <c r="S208" i="41" s="1"/>
  <c r="CA250" i="31"/>
  <c r="CP250" i="31" s="1"/>
  <c r="CC250" i="31"/>
  <c r="R130" i="41"/>
  <c r="BY236" i="31"/>
  <c r="CB236" i="31" s="1"/>
  <c r="CA69" i="31"/>
  <c r="CP69" i="31" s="1"/>
  <c r="CC69" i="31"/>
  <c r="R341" i="41"/>
  <c r="R123" i="41"/>
  <c r="S123" i="41" s="1"/>
  <c r="CA305" i="31"/>
  <c r="CP305" i="31" s="1"/>
  <c r="CC305" i="31"/>
  <c r="R72" i="41"/>
  <c r="S72" i="41" s="1"/>
  <c r="X6" i="29"/>
  <c r="AA6" i="29"/>
  <c r="R119" i="41"/>
  <c r="S119" i="41" s="1"/>
  <c r="BY237" i="31"/>
  <c r="CB237" i="31" s="1"/>
  <c r="CB223" i="31"/>
  <c r="CA249" i="31"/>
  <c r="CP249" i="31" s="1"/>
  <c r="CC249" i="31"/>
  <c r="CA350" i="31"/>
  <c r="CP350" i="31" s="1"/>
  <c r="CC350" i="31"/>
  <c r="R116" i="41"/>
  <c r="P277" i="41"/>
  <c r="CA238" i="31"/>
  <c r="CP238" i="31" s="1"/>
  <c r="CC238" i="31"/>
  <c r="BY347" i="31"/>
  <c r="CB347" i="31" s="1"/>
  <c r="R141" i="41"/>
  <c r="S141" i="41" s="1"/>
  <c r="R86" i="41"/>
  <c r="R310" i="41"/>
  <c r="CB134" i="31"/>
  <c r="CA210" i="31"/>
  <c r="CP210" i="31" s="1"/>
  <c r="CC210" i="31"/>
  <c r="BY45" i="31"/>
  <c r="CB45" i="31" s="1"/>
  <c r="CA107" i="31"/>
  <c r="CP107" i="31" s="1"/>
  <c r="CC107" i="31"/>
  <c r="P190" i="41"/>
  <c r="CA172" i="31"/>
  <c r="CP172" i="31" s="1"/>
  <c r="CC172" i="31"/>
  <c r="R25" i="41"/>
  <c r="S25" i="41" s="1"/>
  <c r="P174" i="41"/>
  <c r="CC261" i="31"/>
  <c r="CC212" i="31"/>
  <c r="CB135" i="31"/>
  <c r="BY259" i="31"/>
  <c r="CB259" i="31" s="1"/>
  <c r="R294" i="41"/>
  <c r="CB38" i="31"/>
  <c r="R162" i="41"/>
  <c r="S162" i="41" s="1"/>
  <c r="BY272" i="31"/>
  <c r="CB272" i="31" s="1"/>
  <c r="CA308" i="31"/>
  <c r="CP308" i="31" s="1"/>
  <c r="CC308" i="31"/>
  <c r="CA312" i="31"/>
  <c r="CP312" i="31" s="1"/>
  <c r="CC312" i="31"/>
  <c r="CA232" i="31"/>
  <c r="CP232" i="31" s="1"/>
  <c r="CC232" i="31"/>
  <c r="CB121" i="31"/>
  <c r="CC38" i="31"/>
  <c r="CB238" i="31"/>
  <c r="R65" i="41"/>
  <c r="S65" i="41" s="1"/>
  <c r="CA185" i="31"/>
  <c r="CP185" i="31" s="1"/>
  <c r="CC185" i="31"/>
  <c r="R184" i="41"/>
  <c r="S184" i="41" s="1"/>
  <c r="R297" i="41"/>
  <c r="S297" i="41" s="1"/>
  <c r="P316" i="41"/>
  <c r="CA252" i="31"/>
  <c r="CP252" i="31" s="1"/>
  <c r="CC252" i="31"/>
  <c r="CB107" i="31"/>
  <c r="CA283" i="31"/>
  <c r="CP283" i="31" s="1"/>
  <c r="CC283" i="31"/>
  <c r="CB172" i="31"/>
  <c r="P256" i="41"/>
  <c r="R115" i="41"/>
  <c r="S115" i="41" s="1"/>
  <c r="R127" i="41"/>
  <c r="S127" i="41" s="1"/>
  <c r="P207" i="41"/>
  <c r="CC16" i="31"/>
  <c r="CA220" i="31"/>
  <c r="CP220" i="31" s="1"/>
  <c r="CC220" i="31"/>
  <c r="CA307" i="31"/>
  <c r="CP307" i="31" s="1"/>
  <c r="CC307" i="31"/>
  <c r="CA58" i="31"/>
  <c r="CP58" i="31" s="1"/>
  <c r="CC58" i="31"/>
  <c r="CA98" i="31"/>
  <c r="CP98" i="31" s="1"/>
  <c r="CC98" i="31"/>
  <c r="BY20" i="31"/>
  <c r="CB20" i="31" s="1"/>
  <c r="P346" i="41"/>
  <c r="CA235" i="31"/>
  <c r="CP235" i="31" s="1"/>
  <c r="CC235" i="31"/>
  <c r="CB308" i="31"/>
  <c r="CB312" i="31"/>
  <c r="R185" i="41"/>
  <c r="S185" i="41" s="1"/>
  <c r="BY154" i="31"/>
  <c r="CB154" i="31" s="1"/>
  <c r="CA227" i="31"/>
  <c r="CP227" i="31" s="1"/>
  <c r="CC227" i="31"/>
  <c r="P33" i="41"/>
  <c r="BY22" i="31"/>
  <c r="CB22" i="31" s="1"/>
  <c r="R38" i="41"/>
  <c r="S38" i="41" s="1"/>
  <c r="R226" i="41"/>
  <c r="S226" i="41" s="1"/>
  <c r="P151" i="41"/>
  <c r="BY203" i="31"/>
  <c r="CB203" i="31" s="1"/>
  <c r="CB252" i="31"/>
  <c r="CA33" i="31"/>
  <c r="CP33" i="31" s="1"/>
  <c r="CC33" i="31"/>
  <c r="R30" i="41"/>
  <c r="S30" i="41" s="1"/>
  <c r="R138" i="41"/>
  <c r="P40" i="41"/>
  <c r="P74" i="41"/>
  <c r="R197" i="41"/>
  <c r="S197" i="41" s="1"/>
  <c r="CA126" i="31"/>
  <c r="CP126" i="31" s="1"/>
  <c r="CC126" i="31"/>
  <c r="P11" i="41"/>
  <c r="P220" i="41"/>
  <c r="R26" i="41"/>
  <c r="S26" i="41" s="1"/>
  <c r="P313" i="41"/>
  <c r="R204" i="41"/>
  <c r="P342" i="41"/>
  <c r="CA54" i="31"/>
  <c r="CP54" i="31" s="1"/>
  <c r="CC54" i="31"/>
  <c r="CA199" i="31"/>
  <c r="CP199" i="31" s="1"/>
  <c r="CC199" i="31"/>
  <c r="BY122" i="31"/>
  <c r="CB235" i="31"/>
  <c r="CA25" i="31"/>
  <c r="CP25" i="31" s="1"/>
  <c r="CC25" i="31"/>
  <c r="CA304" i="31"/>
  <c r="CP304" i="31" s="1"/>
  <c r="CC304" i="31"/>
  <c r="CB227" i="31"/>
  <c r="CC194" i="31"/>
  <c r="P242" i="41"/>
  <c r="BY321" i="31"/>
  <c r="CB321" i="31" s="1"/>
  <c r="R256" i="41"/>
  <c r="P109" i="41"/>
  <c r="BY79" i="31"/>
  <c r="CA344" i="31"/>
  <c r="CP344" i="31" s="1"/>
  <c r="CC344" i="31"/>
  <c r="CB126" i="31"/>
  <c r="R242" i="41"/>
  <c r="CA334" i="31"/>
  <c r="CP334" i="31" s="1"/>
  <c r="CC334" i="31"/>
  <c r="BY41" i="31"/>
  <c r="CB41" i="31" s="1"/>
  <c r="R191" i="41"/>
  <c r="S191" i="41" s="1"/>
  <c r="CA349" i="31"/>
  <c r="CP349" i="31" s="1"/>
  <c r="CC349" i="31"/>
  <c r="CA24" i="31"/>
  <c r="CP24" i="31" s="1"/>
  <c r="CC24" i="31"/>
  <c r="R182" i="41"/>
  <c r="S182" i="41" s="1"/>
  <c r="CA67" i="31"/>
  <c r="CP67" i="31" s="1"/>
  <c r="CC67" i="31"/>
  <c r="R217" i="41"/>
  <c r="S217" i="41" s="1"/>
  <c r="CC299" i="31"/>
  <c r="R193" i="41"/>
  <c r="S193" i="41" s="1"/>
  <c r="CA298" i="31"/>
  <c r="CP298" i="31" s="1"/>
  <c r="CC298" i="31"/>
  <c r="CB247" i="31"/>
  <c r="P325" i="41"/>
  <c r="R164" i="41"/>
  <c r="S164" i="41" s="1"/>
  <c r="R176" i="41"/>
  <c r="S176" i="41" s="1"/>
  <c r="J42" i="29"/>
  <c r="M6" i="29"/>
  <c r="R270" i="41"/>
  <c r="CA294" i="31"/>
  <c r="CP294" i="31" s="1"/>
  <c r="CC294" i="31"/>
  <c r="CA117" i="31"/>
  <c r="CP117" i="31" s="1"/>
  <c r="CC117" i="31"/>
  <c r="R266" i="41"/>
  <c r="S266" i="41" s="1"/>
  <c r="K42" i="29"/>
  <c r="BY114" i="31"/>
  <c r="CB114" i="31" s="1"/>
  <c r="BY330" i="31"/>
  <c r="CB330" i="31" s="1"/>
  <c r="R277" i="41"/>
  <c r="AU354" i="31"/>
  <c r="AU3" i="31"/>
  <c r="AU4" i="31"/>
  <c r="J8" i="29" s="1"/>
  <c r="AW7" i="31"/>
  <c r="R103" i="41"/>
  <c r="R11" i="41"/>
  <c r="CA17" i="31"/>
  <c r="CP17" i="31" s="1"/>
  <c r="CC17" i="31"/>
  <c r="R306" i="41"/>
  <c r="S306" i="41" s="1"/>
  <c r="CB67" i="31"/>
  <c r="CA266" i="31"/>
  <c r="CP266" i="31" s="1"/>
  <c r="CC266" i="31"/>
  <c r="CA345" i="31"/>
  <c r="CP345" i="31" s="1"/>
  <c r="CC345" i="31"/>
  <c r="R21" i="41"/>
  <c r="S21" i="41" s="1"/>
  <c r="CA178" i="31"/>
  <c r="CP178" i="31" s="1"/>
  <c r="CC178" i="31"/>
  <c r="P294" i="41"/>
  <c r="CB298" i="31"/>
  <c r="P22" i="41"/>
  <c r="CA292" i="31"/>
  <c r="CP292" i="31" s="1"/>
  <c r="CC292" i="31"/>
  <c r="P336" i="41"/>
  <c r="CA180" i="31"/>
  <c r="CP180" i="31" s="1"/>
  <c r="CC180" i="31"/>
  <c r="P189" i="41"/>
  <c r="CB294" i="31"/>
  <c r="CA94" i="31"/>
  <c r="CP94" i="31" s="1"/>
  <c r="CC94" i="31"/>
  <c r="CA153" i="31"/>
  <c r="CP153" i="31" s="1"/>
  <c r="CC153" i="31"/>
  <c r="P232" i="41"/>
  <c r="CA170" i="31"/>
  <c r="CP170" i="31" s="1"/>
  <c r="CC170" i="31"/>
  <c r="CB282" i="31"/>
  <c r="AX4" i="31"/>
  <c r="AX3" i="31"/>
  <c r="BD7" i="31"/>
  <c r="CB334" i="31"/>
  <c r="CC121" i="31"/>
  <c r="R91" i="41"/>
  <c r="S91" i="41" s="1"/>
  <c r="CA197" i="31"/>
  <c r="CP197" i="31" s="1"/>
  <c r="CC197" i="31"/>
  <c r="P92" i="41"/>
  <c r="CA316" i="31"/>
  <c r="CP316" i="31" s="1"/>
  <c r="CC316" i="31"/>
  <c r="CA99" i="31"/>
  <c r="CP99" i="31" s="1"/>
  <c r="CC99" i="31"/>
  <c r="CB125" i="31"/>
  <c r="CB324" i="31"/>
  <c r="CA207" i="31"/>
  <c r="CP207" i="31" s="1"/>
  <c r="CC207" i="31"/>
  <c r="CB184" i="31"/>
  <c r="CB345" i="31"/>
  <c r="CB178" i="31"/>
  <c r="R60" i="41"/>
  <c r="CB53" i="31"/>
  <c r="R174" i="41"/>
  <c r="S130" i="41" l="1"/>
  <c r="S52" i="41"/>
  <c r="S255" i="41"/>
  <c r="S189" i="41"/>
  <c r="S277" i="41"/>
  <c r="S68" i="41"/>
  <c r="S256" i="41"/>
  <c r="S204" i="41"/>
  <c r="S60" i="41"/>
  <c r="S310" i="41"/>
  <c r="S207" i="41"/>
  <c r="S22" i="41"/>
  <c r="S51" i="41"/>
  <c r="S169" i="41"/>
  <c r="S174" i="41"/>
  <c r="S270" i="41"/>
  <c r="S138" i="41"/>
  <c r="S86" i="41"/>
  <c r="S341" i="41"/>
  <c r="S346" i="41"/>
  <c r="S294" i="41"/>
  <c r="S242" i="41"/>
  <c r="S77" i="41"/>
  <c r="S11" i="41"/>
  <c r="S33" i="41"/>
  <c r="S284" i="41"/>
  <c r="S103" i="41"/>
  <c r="S116" i="41"/>
  <c r="R75" i="41"/>
  <c r="S75" i="41" s="1"/>
  <c r="I46" i="29"/>
  <c r="C46" i="29" s="1"/>
  <c r="N46" i="29"/>
  <c r="O46" i="29" s="1"/>
  <c r="P46" i="29" s="1"/>
  <c r="AC10" i="29"/>
  <c r="R299" i="41"/>
  <c r="S299" i="41" s="1"/>
  <c r="R326" i="41"/>
  <c r="S326" i="41" s="1"/>
  <c r="R251" i="41"/>
  <c r="S251" i="41" s="1"/>
  <c r="R319" i="41"/>
  <c r="S319" i="41" s="1"/>
  <c r="R229" i="41"/>
  <c r="S229" i="41" s="1"/>
  <c r="R88" i="41"/>
  <c r="S88" i="41" s="1"/>
  <c r="R234" i="41"/>
  <c r="S234" i="41" s="1"/>
  <c r="R283" i="41"/>
  <c r="S283" i="41" s="1"/>
  <c r="CA341" i="31"/>
  <c r="CP341" i="31" s="1"/>
  <c r="CC341" i="31"/>
  <c r="R159" i="41"/>
  <c r="S159" i="41" s="1"/>
  <c r="R113" i="41"/>
  <c r="S113" i="41" s="1"/>
  <c r="R227" i="41"/>
  <c r="S227" i="41" s="1"/>
  <c r="R192" i="41"/>
  <c r="S192" i="41" s="1"/>
  <c r="R289" i="41"/>
  <c r="S289" i="41" s="1"/>
  <c r="R53" i="41"/>
  <c r="S53" i="41" s="1"/>
  <c r="CA211" i="31"/>
  <c r="CP211" i="31" s="1"/>
  <c r="CC211" i="31"/>
  <c r="R114" i="41"/>
  <c r="S114" i="41" s="1"/>
  <c r="R260" i="41"/>
  <c r="S260" i="41" s="1"/>
  <c r="R132" i="41"/>
  <c r="S132" i="41" s="1"/>
  <c r="R145" i="41"/>
  <c r="S145" i="41" s="1"/>
  <c r="R34" i="41"/>
  <c r="S34" i="41" s="1"/>
  <c r="R269" i="41"/>
  <c r="S269" i="41" s="1"/>
  <c r="R93" i="41"/>
  <c r="S93" i="41" s="1"/>
  <c r="R273" i="41"/>
  <c r="S273" i="41" s="1"/>
  <c r="R95" i="41"/>
  <c r="S95" i="41" s="1"/>
  <c r="CA40" i="31"/>
  <c r="CP40" i="31" s="1"/>
  <c r="CC40" i="31"/>
  <c r="AU2" i="31"/>
  <c r="W8" i="29"/>
  <c r="R233" i="41"/>
  <c r="S233" i="41" s="1"/>
  <c r="R293" i="41"/>
  <c r="S293" i="41" s="1"/>
  <c r="CA154" i="31"/>
  <c r="CP154" i="31" s="1"/>
  <c r="CC154" i="31"/>
  <c r="R261" i="41"/>
  <c r="S261" i="41" s="1"/>
  <c r="CA203" i="31"/>
  <c r="CP203" i="31" s="1"/>
  <c r="CC203" i="31"/>
  <c r="R302" i="41"/>
  <c r="S302" i="41" s="1"/>
  <c r="R278" i="41"/>
  <c r="S278" i="41" s="1"/>
  <c r="R307" i="41"/>
  <c r="S307" i="41" s="1"/>
  <c r="R167" i="41"/>
  <c r="S167" i="41" s="1"/>
  <c r="R276" i="41"/>
  <c r="S276" i="41" s="1"/>
  <c r="R67" i="41"/>
  <c r="S67" i="41" s="1"/>
  <c r="CB40" i="31"/>
  <c r="R175" i="41"/>
  <c r="S175" i="41" s="1"/>
  <c r="R340" i="41"/>
  <c r="S340" i="41" s="1"/>
  <c r="R129" i="41"/>
  <c r="S129" i="41" s="1"/>
  <c r="CA41" i="31"/>
  <c r="CP41" i="31" s="1"/>
  <c r="CC41" i="31"/>
  <c r="R327" i="41"/>
  <c r="S327" i="41" s="1"/>
  <c r="R12" i="41"/>
  <c r="S12" i="41" s="1"/>
  <c r="R202" i="41"/>
  <c r="S202" i="41" s="1"/>
  <c r="R49" i="41"/>
  <c r="S49" i="41" s="1"/>
  <c r="R64" i="41"/>
  <c r="S64" i="41" s="1"/>
  <c r="R318" i="41"/>
  <c r="S318" i="41" s="1"/>
  <c r="R54" i="41"/>
  <c r="S54" i="41" s="1"/>
  <c r="CA156" i="31"/>
  <c r="CP156" i="31" s="1"/>
  <c r="CC156" i="31"/>
  <c r="R55" i="41"/>
  <c r="S55" i="41" s="1"/>
  <c r="R238" i="41"/>
  <c r="S238" i="41" s="1"/>
  <c r="CA195" i="31"/>
  <c r="CP195" i="31" s="1"/>
  <c r="CC195" i="31"/>
  <c r="R47" i="41"/>
  <c r="S47" i="41" s="1"/>
  <c r="CA330" i="31"/>
  <c r="CP330" i="31" s="1"/>
  <c r="CC330" i="31"/>
  <c r="R62" i="41"/>
  <c r="S62" i="41" s="1"/>
  <c r="R339" i="41"/>
  <c r="S339" i="41" s="1"/>
  <c r="R303" i="41"/>
  <c r="S303" i="41" s="1"/>
  <c r="R263" i="41"/>
  <c r="S263" i="41" s="1"/>
  <c r="CA336" i="31"/>
  <c r="CP336" i="31" s="1"/>
  <c r="CC336" i="31"/>
  <c r="CA97" i="31"/>
  <c r="CP97" i="31" s="1"/>
  <c r="CC97" i="31"/>
  <c r="CB195" i="31"/>
  <c r="R124" i="41"/>
  <c r="S124" i="41" s="1"/>
  <c r="CA236" i="31"/>
  <c r="CP236" i="31" s="1"/>
  <c r="CC236" i="31"/>
  <c r="R218" i="41"/>
  <c r="S218" i="41" s="1"/>
  <c r="R333" i="41"/>
  <c r="S333" i="41" s="1"/>
  <c r="CB336" i="31"/>
  <c r="R66" i="41"/>
  <c r="S66" i="41" s="1"/>
  <c r="R120" i="41"/>
  <c r="S120" i="41" s="1"/>
  <c r="CA237" i="31"/>
  <c r="CP237" i="31" s="1"/>
  <c r="CC237" i="31"/>
  <c r="R137" i="41"/>
  <c r="S137" i="41" s="1"/>
  <c r="R165" i="41"/>
  <c r="S165" i="41" s="1"/>
  <c r="CA114" i="31"/>
  <c r="CP114" i="31" s="1"/>
  <c r="CC114" i="31"/>
  <c r="R215" i="41"/>
  <c r="S215" i="41" s="1"/>
  <c r="R180" i="41"/>
  <c r="S180" i="41" s="1"/>
  <c r="R102" i="41"/>
  <c r="S102" i="41" s="1"/>
  <c r="CA280" i="31"/>
  <c r="CP280" i="31" s="1"/>
  <c r="CC280" i="31"/>
  <c r="R305" i="41"/>
  <c r="S305" i="41" s="1"/>
  <c r="R222" i="41"/>
  <c r="S222" i="41" s="1"/>
  <c r="R314" i="41"/>
  <c r="S314" i="41" s="1"/>
  <c r="N29" i="50"/>
  <c r="R228" i="41"/>
  <c r="S228" i="41" s="1"/>
  <c r="R126" i="41"/>
  <c r="S126" i="41" s="1"/>
  <c r="R20" i="41"/>
  <c r="S20" i="41" s="1"/>
  <c r="R121" i="41"/>
  <c r="S121" i="41" s="1"/>
  <c r="CA45" i="31"/>
  <c r="CP45" i="31" s="1"/>
  <c r="CC45" i="31"/>
  <c r="R332" i="41"/>
  <c r="S332" i="41" s="1"/>
  <c r="R334" i="41"/>
  <c r="S334" i="41" s="1"/>
  <c r="R23" i="41"/>
  <c r="S23" i="41" s="1"/>
  <c r="CA50" i="31"/>
  <c r="CP50" i="31" s="1"/>
  <c r="CC50" i="31"/>
  <c r="CA272" i="31"/>
  <c r="CP272" i="31" s="1"/>
  <c r="CC272" i="31"/>
  <c r="R134" i="41"/>
  <c r="S134" i="41" s="1"/>
  <c r="R183" i="41"/>
  <c r="S183" i="41" s="1"/>
  <c r="R48" i="41"/>
  <c r="S48" i="41" s="1"/>
  <c r="R212" i="41"/>
  <c r="S212" i="41" s="1"/>
  <c r="R241" i="41"/>
  <c r="S241" i="41" s="1"/>
  <c r="P6" i="29"/>
  <c r="AC6" i="29" s="1"/>
  <c r="R345" i="41"/>
  <c r="S345" i="41" s="1"/>
  <c r="CA157" i="31"/>
  <c r="CP157" i="31" s="1"/>
  <c r="CC157" i="31"/>
  <c r="CA206" i="31"/>
  <c r="CP206" i="31" s="1"/>
  <c r="CC206" i="31"/>
  <c r="R219" i="41"/>
  <c r="S219" i="41" s="1"/>
  <c r="R321" i="41"/>
  <c r="S321" i="41" s="1"/>
  <c r="R41" i="41"/>
  <c r="S41" i="41" s="1"/>
  <c r="CA47" i="31"/>
  <c r="CP47" i="31" s="1"/>
  <c r="CC47" i="31"/>
  <c r="CA152" i="31"/>
  <c r="CP152" i="31" s="1"/>
  <c r="CC152" i="31"/>
  <c r="CA259" i="31"/>
  <c r="CP259" i="31" s="1"/>
  <c r="CC259" i="31"/>
  <c r="CA122" i="31"/>
  <c r="CP122" i="31" s="1"/>
  <c r="CC122" i="31"/>
  <c r="CA258" i="31"/>
  <c r="CP258" i="31" s="1"/>
  <c r="CC258" i="31"/>
  <c r="R100" i="41"/>
  <c r="S100" i="41" s="1"/>
  <c r="R122" i="41"/>
  <c r="S122" i="41" s="1"/>
  <c r="BD3" i="31"/>
  <c r="BJ7" i="31"/>
  <c r="BD4" i="31"/>
  <c r="AX2" i="31"/>
  <c r="R19" i="41"/>
  <c r="S19" i="41" s="1"/>
  <c r="CA321" i="31"/>
  <c r="CP321" i="31" s="1"/>
  <c r="CC321" i="31"/>
  <c r="CB122" i="31"/>
  <c r="R150" i="41"/>
  <c r="S150" i="41" s="1"/>
  <c r="R46" i="41"/>
  <c r="S46" i="41" s="1"/>
  <c r="R178" i="41"/>
  <c r="S178" i="41" s="1"/>
  <c r="R268" i="41"/>
  <c r="S268" i="41" s="1"/>
  <c r="R195" i="41"/>
  <c r="S195" i="41" s="1"/>
  <c r="N42" i="29"/>
  <c r="I42" i="29"/>
  <c r="R205" i="41"/>
  <c r="S205" i="41" s="1"/>
  <c r="R244" i="41"/>
  <c r="S244" i="41" s="1"/>
  <c r="R300" i="41"/>
  <c r="S300" i="41" s="1"/>
  <c r="R154" i="41"/>
  <c r="S154" i="41" s="1"/>
  <c r="CA225" i="31"/>
  <c r="CP225" i="31" s="1"/>
  <c r="CC225" i="31"/>
  <c r="CA214" i="31"/>
  <c r="CP214" i="31" s="1"/>
  <c r="CC214" i="31"/>
  <c r="R179" i="41"/>
  <c r="S179" i="41" s="1"/>
  <c r="CA318" i="31"/>
  <c r="CP318" i="31" s="1"/>
  <c r="CC318" i="31"/>
  <c r="CA163" i="31"/>
  <c r="CP163" i="31" s="1"/>
  <c r="CC163" i="31"/>
  <c r="L8" i="29"/>
  <c r="K8" i="29"/>
  <c r="R112" i="41"/>
  <c r="S112" i="41" s="1"/>
  <c r="R317" i="41"/>
  <c r="S317" i="41" s="1"/>
  <c r="R163" i="41"/>
  <c r="S163" i="41" s="1"/>
  <c r="R330" i="41"/>
  <c r="S330" i="41" s="1"/>
  <c r="R73" i="41"/>
  <c r="S73" i="41" s="1"/>
  <c r="R70" i="41"/>
  <c r="S70" i="41" s="1"/>
  <c r="R107" i="41"/>
  <c r="S107" i="41" s="1"/>
  <c r="CB318" i="31"/>
  <c r="R296" i="41"/>
  <c r="S296" i="41" s="1"/>
  <c r="R211" i="41"/>
  <c r="S211" i="41" s="1"/>
  <c r="CA138" i="31"/>
  <c r="CP138" i="31" s="1"/>
  <c r="CC138" i="31"/>
  <c r="R89" i="41"/>
  <c r="S89" i="41" s="1"/>
  <c r="CA204" i="31"/>
  <c r="CP204" i="31" s="1"/>
  <c r="CC204" i="31"/>
  <c r="R94" i="41"/>
  <c r="S94" i="41" s="1"/>
  <c r="R173" i="41"/>
  <c r="S173" i="41" s="1"/>
  <c r="R148" i="41"/>
  <c r="S148" i="41" s="1"/>
  <c r="CA79" i="31"/>
  <c r="CP79" i="31" s="1"/>
  <c r="CC79" i="31"/>
  <c r="CA22" i="31"/>
  <c r="CP22" i="31" s="1"/>
  <c r="CC22" i="31"/>
  <c r="R247" i="41"/>
  <c r="S247" i="41" s="1"/>
  <c r="R311" i="41"/>
  <c r="S311" i="41" s="1"/>
  <c r="R287" i="41"/>
  <c r="S287" i="41" s="1"/>
  <c r="R344" i="41"/>
  <c r="S344" i="41" s="1"/>
  <c r="R329" i="41"/>
  <c r="S329" i="41" s="1"/>
  <c r="CB79" i="31"/>
  <c r="R194" i="41"/>
  <c r="S194" i="41" s="1"/>
  <c r="AW354" i="31"/>
  <c r="AW3" i="31"/>
  <c r="CK7" i="31"/>
  <c r="M2" i="41" s="1"/>
  <c r="R28" i="41"/>
  <c r="S28" i="41" s="1"/>
  <c r="R230" i="41"/>
  <c r="S230" i="41" s="1"/>
  <c r="CA20" i="31"/>
  <c r="CP20" i="31" s="1"/>
  <c r="CC20" i="31"/>
  <c r="CA347" i="31"/>
  <c r="CP347" i="31" s="1"/>
  <c r="CC347" i="31"/>
  <c r="R245" i="41"/>
  <c r="S245" i="41" s="1"/>
  <c r="R104" i="41"/>
  <c r="S104" i="41" s="1"/>
  <c r="R250" i="41"/>
  <c r="S250" i="41" s="1"/>
  <c r="CB50" i="31"/>
  <c r="CB138" i="31"/>
  <c r="R316" i="41" l="1"/>
  <c r="S316" i="41" s="1"/>
  <c r="R92" i="41"/>
  <c r="S92" i="41" s="1"/>
  <c r="F29" i="50"/>
  <c r="R336" i="41"/>
  <c r="S336" i="41" s="1"/>
  <c r="R253" i="41"/>
  <c r="S253" i="41" s="1"/>
  <c r="R232" i="41"/>
  <c r="S232" i="41" s="1"/>
  <c r="R331" i="41"/>
  <c r="S331" i="41" s="1"/>
  <c r="R17" i="41"/>
  <c r="S17" i="41" s="1"/>
  <c r="R133" i="41"/>
  <c r="S133" i="41" s="1"/>
  <c r="R74" i="41"/>
  <c r="S74" i="41" s="1"/>
  <c r="R313" i="41"/>
  <c r="S313" i="41" s="1"/>
  <c r="R42" i="41"/>
  <c r="S42" i="41" s="1"/>
  <c r="R151" i="41"/>
  <c r="S151" i="41" s="1"/>
  <c r="M348" i="41"/>
  <c r="X8" i="29"/>
  <c r="AA8" i="29"/>
  <c r="R201" i="41"/>
  <c r="S201" i="41" s="1"/>
  <c r="R190" i="41"/>
  <c r="S190" i="41" s="1"/>
  <c r="J44" i="29"/>
  <c r="M8" i="29"/>
  <c r="R275" i="41"/>
  <c r="S275" i="41" s="1"/>
  <c r="C42" i="29"/>
  <c r="R158" i="41"/>
  <c r="S158" i="41" s="1"/>
  <c r="R147" i="41"/>
  <c r="S147" i="41" s="1"/>
  <c r="BJ4" i="31"/>
  <c r="BJ3" i="31"/>
  <c r="BM7" i="31"/>
  <c r="BP7" i="31" s="1"/>
  <c r="R117" i="41"/>
  <c r="S117" i="41" s="1"/>
  <c r="R206" i="41"/>
  <c r="S206" i="41" s="1"/>
  <c r="BD2" i="31"/>
  <c r="O42" i="29"/>
  <c r="R325" i="41"/>
  <c r="S325" i="41" s="1"/>
  <c r="R40" i="41"/>
  <c r="S40" i="41" s="1"/>
  <c r="R198" i="41"/>
  <c r="S198" i="41" s="1"/>
  <c r="R231" i="41"/>
  <c r="S231" i="41" s="1"/>
  <c r="R149" i="41"/>
  <c r="S149" i="41" s="1"/>
  <c r="R254" i="41"/>
  <c r="S254" i="41" s="1"/>
  <c r="R209" i="41"/>
  <c r="S209" i="41" s="1"/>
  <c r="R267" i="41"/>
  <c r="S267" i="41" s="1"/>
  <c r="K44" i="29"/>
  <c r="R342" i="41"/>
  <c r="S342" i="41" s="1"/>
  <c r="R15" i="41"/>
  <c r="S15" i="41" s="1"/>
  <c r="R199" i="41"/>
  <c r="S199" i="41" s="1"/>
  <c r="R109" i="41"/>
  <c r="S109" i="41" s="1"/>
  <c r="Q6" i="29"/>
  <c r="R152" i="41"/>
  <c r="S152" i="41" s="1"/>
  <c r="R220" i="41"/>
  <c r="S220" i="41" s="1"/>
  <c r="R45" i="41"/>
  <c r="S45" i="41" s="1"/>
  <c r="R36" i="41"/>
  <c r="S36" i="41" s="1"/>
  <c r="R35" i="41"/>
  <c r="S35" i="41" s="1"/>
  <c r="P42" i="29" l="1"/>
  <c r="BJ2" i="31"/>
  <c r="N31" i="50"/>
  <c r="P8" i="29"/>
  <c r="AC8" i="29" s="1"/>
  <c r="I44" i="29"/>
  <c r="N44" i="29"/>
  <c r="BP3" i="31"/>
  <c r="BV7" i="31"/>
  <c r="BP4" i="31"/>
  <c r="BM354" i="31"/>
  <c r="BM3" i="31"/>
  <c r="BM4" i="31"/>
  <c r="J11" i="29" s="1"/>
  <c r="BO7" i="31"/>
  <c r="O44" i="29" l="1"/>
  <c r="AW4" i="31"/>
  <c r="AW2" i="31" s="1"/>
  <c r="Q8" i="29"/>
  <c r="P44" i="29"/>
  <c r="C44" i="29"/>
  <c r="BO4" i="31"/>
  <c r="BO354" i="31"/>
  <c r="BO3" i="31"/>
  <c r="CN7" i="31"/>
  <c r="P2" i="41" s="1"/>
  <c r="BM2" i="31"/>
  <c r="W11" i="29"/>
  <c r="F31" i="50"/>
  <c r="L11" i="29"/>
  <c r="K11" i="29"/>
  <c r="BP2" i="31"/>
  <c r="BY7" i="31"/>
  <c r="BV3" i="31"/>
  <c r="BV4" i="31"/>
  <c r="BV2" i="31" l="1"/>
  <c r="BO2" i="31"/>
  <c r="X11" i="29"/>
  <c r="AA11" i="29"/>
  <c r="J47" i="29"/>
  <c r="M11" i="29"/>
  <c r="K47" i="29"/>
  <c r="P348" i="41"/>
  <c r="BY354" i="31"/>
  <c r="BY4" i="31"/>
  <c r="J13" i="29" s="1"/>
  <c r="BY3" i="31"/>
  <c r="CA7" i="31"/>
  <c r="CC7" i="31"/>
  <c r="CC5" i="31" s="1"/>
  <c r="CB7" i="31"/>
  <c r="BY2" i="31" l="1"/>
  <c r="W13" i="29"/>
  <c r="CC3" i="31"/>
  <c r="N34" i="50"/>
  <c r="K13" i="29"/>
  <c r="L13" i="29"/>
  <c r="J14" i="29"/>
  <c r="I47" i="29"/>
  <c r="N47" i="29"/>
  <c r="P11" i="29"/>
  <c r="AC11" i="29" s="1"/>
  <c r="CB4" i="31"/>
  <c r="CB3" i="31"/>
  <c r="CA354" i="31"/>
  <c r="CA4" i="31"/>
  <c r="CA3" i="31"/>
  <c r="CP7" i="31"/>
  <c r="R2" i="41" s="1"/>
  <c r="S2" i="41" s="1"/>
  <c r="CB2" i="31" l="1"/>
  <c r="CA2" i="31"/>
  <c r="J49" i="29"/>
  <c r="M13" i="29"/>
  <c r="K14" i="29"/>
  <c r="K49" i="29"/>
  <c r="L14" i="29"/>
  <c r="O47" i="29"/>
  <c r="P47" i="29" s="1"/>
  <c r="C47" i="29"/>
  <c r="R348" i="41"/>
  <c r="X13" i="29"/>
  <c r="AA13" i="29"/>
  <c r="W14" i="29"/>
  <c r="F34" i="50"/>
  <c r="Q11" i="29"/>
  <c r="AA14" i="29" l="1"/>
  <c r="N36" i="50"/>
  <c r="S348" i="41"/>
  <c r="K50" i="29"/>
  <c r="P13" i="29"/>
  <c r="M16" i="29"/>
  <c r="M14" i="29"/>
  <c r="AB13" i="29" s="1"/>
  <c r="I49" i="29"/>
  <c r="N49" i="29"/>
  <c r="J50" i="29"/>
  <c r="I61" i="29" s="1"/>
  <c r="O49" i="29" l="1"/>
  <c r="O50" i="29" s="1"/>
  <c r="N50" i="29"/>
  <c r="P50" i="29" s="1"/>
  <c r="K61" i="29"/>
  <c r="J61" i="29"/>
  <c r="C49" i="29"/>
  <c r="I50" i="29"/>
  <c r="P49" i="29"/>
  <c r="Q13" i="29"/>
  <c r="P16" i="29"/>
  <c r="P14" i="29"/>
  <c r="Q14" i="29" s="1"/>
  <c r="F36" i="50"/>
  <c r="N37" i="50"/>
  <c r="F37" i="50" s="1"/>
  <c r="AC13" i="29"/>
  <c r="AB10" i="29"/>
  <c r="AB9" i="29"/>
  <c r="AB4" i="29"/>
  <c r="AB2" i="29"/>
  <c r="AB12" i="29"/>
  <c r="AB5" i="29"/>
  <c r="AB7" i="29"/>
  <c r="AB3" i="29"/>
  <c r="AB6" i="29"/>
  <c r="AB8" i="29"/>
  <c r="AB11" i="29"/>
  <c r="M33"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E6" authorId="0" shapeId="0" xr:uid="{00000000-0006-0000-1400-000001000000}">
      <text>
        <r>
          <rPr>
            <sz val="9"/>
            <color indexed="81"/>
            <rFont val="Tahoma"/>
            <family val="2"/>
          </rPr>
          <t xml:space="preserve">Techo para avance o aplicación de Glosa de homogenización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L1" authorId="0" shapeId="0" xr:uid="{ABFC58FE-7AFA-4D43-84CA-F8B538A56CBA}">
      <text>
        <r>
          <rPr>
            <sz val="11"/>
            <color indexed="81"/>
            <rFont val="Tahoma"/>
            <family val="2"/>
          </rPr>
          <t xml:space="preserve">Ya ponderado
</t>
        </r>
      </text>
    </comment>
    <comment ref="L2" authorId="0" shapeId="0" xr:uid="{EBB25CC6-6CF0-46E9-B371-A3401F8115B9}">
      <text>
        <r>
          <rPr>
            <b/>
            <sz val="11"/>
            <color indexed="81"/>
            <rFont val="Tahoma"/>
            <family val="2"/>
          </rPr>
          <t>Ya ponderado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V6" authorId="0" shapeId="0" xr:uid="{00000000-0006-0000-1600-000001000000}">
      <text>
        <r>
          <rPr>
            <b/>
            <sz val="9"/>
            <color indexed="81"/>
            <rFont val="Tahoma"/>
            <family val="2"/>
          </rPr>
          <t>El Monto del mecanismo de compensación o estabilizacón del FCM, se encuentra incluido en el Monto Final Estimado de la Columna anterior. Por ello, son recursos pagados en los flujos mensuales que se programan y no corresponden a recursos a pagar de manera extraordinaria</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<sst xmlns="http://schemas.openxmlformats.org/spreadsheetml/2006/main" count="5810" uniqueCount="1159">
  <si>
    <t>LLAILLAY</t>
  </si>
  <si>
    <t>Nombre de la Comuna</t>
  </si>
  <si>
    <t>NÚMERO DE POBRES POR Comuna (EN BASE A INFORMACIÓN CASEN)</t>
  </si>
  <si>
    <t>ANTICIPO MES DE  ENERO</t>
  </si>
  <si>
    <t>APORTE FISCAL ENERO</t>
  </si>
  <si>
    <t>ANTICIPO MES DE  FEBRERO</t>
  </si>
  <si>
    <t>APORTE FISCAL FEBRERO</t>
  </si>
  <si>
    <t>ANTICIPO MES DE  MARZO</t>
  </si>
  <si>
    <t>APORTE FISCAL MARZO</t>
  </si>
  <si>
    <t>ANTICIPO MES DE  ABRIL</t>
  </si>
  <si>
    <t>APORTE FISCAL ABRIL</t>
  </si>
  <si>
    <t>ANTICIPO MES DE  MAYO</t>
  </si>
  <si>
    <t>APORTE FISCAL MAYO</t>
  </si>
  <si>
    <t>ANTICIPO MES DE  JUNIO</t>
  </si>
  <si>
    <t>APORTE FISCAL JUNIO</t>
  </si>
  <si>
    <t>ANTICIPO MES DE  JULIO</t>
  </si>
  <si>
    <t>APORTE FISCAL JULIO</t>
  </si>
  <si>
    <t>ANTICIPO MES DE  AGOSTO</t>
  </si>
  <si>
    <t>APORTE FISCAL AGOSTO</t>
  </si>
  <si>
    <t>ANTICIPO MES DE  SEPTIEMBRE</t>
  </si>
  <si>
    <t>APORTE FISCAL SEPTIEMBRE</t>
  </si>
  <si>
    <t>ANTICIPO MES DE  OCTUBRE</t>
  </si>
  <si>
    <t>APORTE FISCAL OCTUBRE</t>
  </si>
  <si>
    <t>ANTICIPO MES DE  NOVIEMBRE</t>
  </si>
  <si>
    <t>APORTE FISCAL NOVIEMBRE</t>
  </si>
  <si>
    <t>ANTICIPO MES DE  DICIEMBRE</t>
  </si>
  <si>
    <t>APORTE FISCAL DICIEMBRE</t>
  </si>
  <si>
    <t>OLLAGÜE</t>
  </si>
  <si>
    <t>PAIGUANO</t>
  </si>
  <si>
    <t>MARCHIHUE</t>
  </si>
  <si>
    <t>LOS ÁLAMOS</t>
  </si>
  <si>
    <t>TIRÚA</t>
  </si>
  <si>
    <t>LOS ÁNGELES</t>
  </si>
  <si>
    <t>RÁNQUIL</t>
  </si>
  <si>
    <t>TREGUACO</t>
  </si>
  <si>
    <t>HUALAIHUÉ</t>
  </si>
  <si>
    <t>INDICADOR PARTES IGUALES</t>
  </si>
  <si>
    <t>INDICADOR POBREZA</t>
  </si>
  <si>
    <t>TABLA PONDERACION DE INDICADORES</t>
  </si>
  <si>
    <t>Indicador</t>
  </si>
  <si>
    <t>% Ponderación</t>
  </si>
  <si>
    <t>Año</t>
  </si>
  <si>
    <t>Monto Estimado M$</t>
  </si>
  <si>
    <t>Partes Iguales</t>
  </si>
  <si>
    <t>Pobreza</t>
  </si>
  <si>
    <t>Predios</t>
  </si>
  <si>
    <t>Ingresos PP</t>
  </si>
  <si>
    <t>Monto a compensar M$</t>
  </si>
  <si>
    <t>Decimales Indicadores y Coeficiente</t>
  </si>
  <si>
    <t>Decimales Montos Estimados</t>
  </si>
  <si>
    <t>Nº de Comunas</t>
  </si>
  <si>
    <t>PONDERACION INDICADOR PARTES IGUALES</t>
  </si>
  <si>
    <t>ARICA</t>
  </si>
  <si>
    <t>CAMARONES</t>
  </si>
  <si>
    <t>IQUIQUE</t>
  </si>
  <si>
    <t>PICA</t>
  </si>
  <si>
    <t>POZO ALMONTE</t>
  </si>
  <si>
    <t>HUARA</t>
  </si>
  <si>
    <t>CAMIÑA</t>
  </si>
  <si>
    <t>COLCHANE</t>
  </si>
  <si>
    <t>ALTO HOSPICIO</t>
  </si>
  <si>
    <t>PUTRE</t>
  </si>
  <si>
    <t>GENERAL LAGOS</t>
  </si>
  <si>
    <t>TOCOPILLA</t>
  </si>
  <si>
    <t>ANTOFAGASTA</t>
  </si>
  <si>
    <t>TALTAL</t>
  </si>
  <si>
    <t>MEJILLONES</t>
  </si>
  <si>
    <t>SIERRA GORDA</t>
  </si>
  <si>
    <t>CALAMA</t>
  </si>
  <si>
    <t>SAN PEDRO DE ATACAMA</t>
  </si>
  <si>
    <t>CHAÑARAL</t>
  </si>
  <si>
    <t>DIEGO DE ALMAGRO</t>
  </si>
  <si>
    <t>CALDERA</t>
  </si>
  <si>
    <t>TIERRA AMARILLA</t>
  </si>
  <si>
    <t>VALLENAR</t>
  </si>
  <si>
    <t>FREIRINA</t>
  </si>
  <si>
    <t>HUASCO</t>
  </si>
  <si>
    <t>ALTO DEL CARMEN</t>
  </si>
  <si>
    <t>LA SERENA</t>
  </si>
  <si>
    <t>LA HIGUERA</t>
  </si>
  <si>
    <t>COQUIMBO</t>
  </si>
  <si>
    <t>ANDACOLLO</t>
  </si>
  <si>
    <t>VICUÑA</t>
  </si>
  <si>
    <t>OVALLE</t>
  </si>
  <si>
    <t>MONTE PATRIA</t>
  </si>
  <si>
    <t>PUNITAQUI</t>
  </si>
  <si>
    <t>ILLAPEL</t>
  </si>
  <si>
    <t>SALAMANCA</t>
  </si>
  <si>
    <t>LOS VILOS</t>
  </si>
  <si>
    <t>CANELA</t>
  </si>
  <si>
    <t>LA LIGUA</t>
  </si>
  <si>
    <t>PETORCA</t>
  </si>
  <si>
    <t>CABILDO</t>
  </si>
  <si>
    <t>ZAPALLAR</t>
  </si>
  <si>
    <t>PAPUDO</t>
  </si>
  <si>
    <t>VIÑA DEL MAR</t>
  </si>
  <si>
    <t>VILLA ALEMANA</t>
  </si>
  <si>
    <t>CASABLANCA</t>
  </si>
  <si>
    <t>QUINTERO</t>
  </si>
  <si>
    <t>SAN ANTONIO</t>
  </si>
  <si>
    <t>SANTO DOMINGO</t>
  </si>
  <si>
    <t>CARTAGENA</t>
  </si>
  <si>
    <t>EL TABO</t>
  </si>
  <si>
    <t>EL QUISCO</t>
  </si>
  <si>
    <t>ALGARROBO</t>
  </si>
  <si>
    <t>QUILLOTA</t>
  </si>
  <si>
    <t>NOGALES</t>
  </si>
  <si>
    <t>HIJUELAS</t>
  </si>
  <si>
    <t>CALERA</t>
  </si>
  <si>
    <t>LA CRUZ</t>
  </si>
  <si>
    <t>LIMACHE</t>
  </si>
  <si>
    <t>SAN FELIPE</t>
  </si>
  <si>
    <t>PANQUEHUE</t>
  </si>
  <si>
    <t>CATEMU</t>
  </si>
  <si>
    <t>PUTAENDO</t>
  </si>
  <si>
    <t>LOS ANDES</t>
  </si>
  <si>
    <t>CALLE LARGA</t>
  </si>
  <si>
    <t>SAN ESTEBAN</t>
  </si>
  <si>
    <t>RINCONADA</t>
  </si>
  <si>
    <t>RANCAGUA</t>
  </si>
  <si>
    <t>GRANEROS</t>
  </si>
  <si>
    <t>MOSTAZAL</t>
  </si>
  <si>
    <t>DOÑIHUE</t>
  </si>
  <si>
    <t>COLTAUCO</t>
  </si>
  <si>
    <t>CODEGUA</t>
  </si>
  <si>
    <t>PEUMO</t>
  </si>
  <si>
    <t>LAS CABRAS</t>
  </si>
  <si>
    <t>PICHIDEGUA</t>
  </si>
  <si>
    <t>RENGO</t>
  </si>
  <si>
    <t>OLIVAR</t>
  </si>
  <si>
    <t>MALLOA</t>
  </si>
  <si>
    <t>COINCO</t>
  </si>
  <si>
    <t>QUINTA DE TILCOCO</t>
  </si>
  <si>
    <t>SAN FERNANDO</t>
  </si>
  <si>
    <t>CHIMBARONGO</t>
  </si>
  <si>
    <t>NANCAGUA</t>
  </si>
  <si>
    <t>PLACILLA</t>
  </si>
  <si>
    <t>SANTA CRUZ</t>
  </si>
  <si>
    <t>LOLOL</t>
  </si>
  <si>
    <t>PALMILLA</t>
  </si>
  <si>
    <t>PERALILLO</t>
  </si>
  <si>
    <t>PUMANQUE</t>
  </si>
  <si>
    <t>PICHILEMU</t>
  </si>
  <si>
    <t>NAVIDAD</t>
  </si>
  <si>
    <t>LITUECHE</t>
  </si>
  <si>
    <t>LA ESTRELLA</t>
  </si>
  <si>
    <t>PAREDONES</t>
  </si>
  <si>
    <t>TENO</t>
  </si>
  <si>
    <t>ROMERAL</t>
  </si>
  <si>
    <t>RAUCO</t>
  </si>
  <si>
    <t>MOLINA</t>
  </si>
  <si>
    <t>SAGRADA FAMILIA</t>
  </si>
  <si>
    <t>TALCA</t>
  </si>
  <si>
    <t>SAN CLEMENTE</t>
  </si>
  <si>
    <t>PELARCO</t>
  </si>
  <si>
    <t>PENCAHUE</t>
  </si>
  <si>
    <t>MAULE</t>
  </si>
  <si>
    <t>CUREPTO</t>
  </si>
  <si>
    <t>EMPEDRADO</t>
  </si>
  <si>
    <t>SAN RAFAEL</t>
  </si>
  <si>
    <t>LINARES</t>
  </si>
  <si>
    <t>YERBAS BUENAS</t>
  </si>
  <si>
    <t>PARRAL</t>
  </si>
  <si>
    <t>RETIRO</t>
  </si>
  <si>
    <t>VILLA ALEGRE</t>
  </si>
  <si>
    <t>SAN JAVIER</t>
  </si>
  <si>
    <t>CAUQUENES</t>
  </si>
  <si>
    <t>PELLUHUE</t>
  </si>
  <si>
    <t>CHANCO</t>
  </si>
  <si>
    <t>PINTO</t>
  </si>
  <si>
    <t>COIHUECO</t>
  </si>
  <si>
    <t>QUIRIHUE</t>
  </si>
  <si>
    <t>NINHUE</t>
  </si>
  <si>
    <t>PORTEZUELO</t>
  </si>
  <si>
    <t>COBQUECURA</t>
  </si>
  <si>
    <t>TREHUACO</t>
  </si>
  <si>
    <t>SAN CARLOS</t>
  </si>
  <si>
    <t>BULNES</t>
  </si>
  <si>
    <t>SAN IGNACIO</t>
  </si>
  <si>
    <t>YUNGAY</t>
  </si>
  <si>
    <t>PEMUCO</t>
  </si>
  <si>
    <t>EL CARMEN</t>
  </si>
  <si>
    <t>COELEMU</t>
  </si>
  <si>
    <t>PENCO</t>
  </si>
  <si>
    <t>HUALQUI</t>
  </si>
  <si>
    <t>FLORIDA</t>
  </si>
  <si>
    <t>TALCAHUANO</t>
  </si>
  <si>
    <t>CORONEL</t>
  </si>
  <si>
    <t>LOTA</t>
  </si>
  <si>
    <t>SANTA JUANA</t>
  </si>
  <si>
    <t>SAN PEDRO DE LA PAZ</t>
  </si>
  <si>
    <t>CHIGUAYANTE</t>
  </si>
  <si>
    <t>ARAUCO</t>
  </si>
  <si>
    <t>CURANILAHUE</t>
  </si>
  <si>
    <t>LEBU</t>
  </si>
  <si>
    <t>CAÑETE</t>
  </si>
  <si>
    <t>CONTULMO</t>
  </si>
  <si>
    <t>LAJA</t>
  </si>
  <si>
    <t>QUILLECO</t>
  </si>
  <si>
    <t>NACIMIENTO</t>
  </si>
  <si>
    <t>NEGRETE</t>
  </si>
  <si>
    <t>QUILACO</t>
  </si>
  <si>
    <t>YUMBEL</t>
  </si>
  <si>
    <t>CABRERO</t>
  </si>
  <si>
    <t>SAN ROSENDO</t>
  </si>
  <si>
    <t>TUCAPEL</t>
  </si>
  <si>
    <t>ANTUCO</t>
  </si>
  <si>
    <t>ANGOL</t>
  </si>
  <si>
    <t>LOS SAUCES</t>
  </si>
  <si>
    <t>RENAICO</t>
  </si>
  <si>
    <t>COLLIPULLI</t>
  </si>
  <si>
    <t>ERCILLA</t>
  </si>
  <si>
    <t>LUMACO</t>
  </si>
  <si>
    <t>VICTORIA</t>
  </si>
  <si>
    <t>LONQUIMAY</t>
  </si>
  <si>
    <t>TEMUCO</t>
  </si>
  <si>
    <t>FREIRE</t>
  </si>
  <si>
    <t>CUNCO</t>
  </si>
  <si>
    <t>LAUTARO</t>
  </si>
  <si>
    <t>PERQUENCO</t>
  </si>
  <si>
    <t>GALVARINO</t>
  </si>
  <si>
    <t>NUEVA IMPERIAL</t>
  </si>
  <si>
    <t>CARAHUE</t>
  </si>
  <si>
    <t>SAAVEDRA</t>
  </si>
  <si>
    <t>GORBEA</t>
  </si>
  <si>
    <t>LONCOCHE</t>
  </si>
  <si>
    <t>VILLARRICA</t>
  </si>
  <si>
    <t>MELIPEUCO</t>
  </si>
  <si>
    <t>CURARREHUE</t>
  </si>
  <si>
    <t>TEODORO SCHMIDT</t>
  </si>
  <si>
    <t>PADRE LAS CASAS</t>
  </si>
  <si>
    <t>CHOLCHOL</t>
  </si>
  <si>
    <t>VALDIVIA</t>
  </si>
  <si>
    <t>LANCO</t>
  </si>
  <si>
    <t>LOS LAGOS</t>
  </si>
  <si>
    <t>FUTRONO</t>
  </si>
  <si>
    <t>CORRAL</t>
  </si>
  <si>
    <t>PANGUIPULLI</t>
  </si>
  <si>
    <t>PAILLACO</t>
  </si>
  <si>
    <t>LAGO RANCO</t>
  </si>
  <si>
    <t>OSORNO</t>
  </si>
  <si>
    <t>SAN PABLO</t>
  </si>
  <si>
    <t>PUERTO OCTAY</t>
  </si>
  <si>
    <t>PUYEHUE</t>
  </si>
  <si>
    <t>PURRANQUE</t>
  </si>
  <si>
    <t>SAN JUAN DE LA COSTA</t>
  </si>
  <si>
    <t>PUERTO MONTT</t>
  </si>
  <si>
    <t>PUERTO VARAS</t>
  </si>
  <si>
    <t>FRESIA</t>
  </si>
  <si>
    <t>FRUTILLAR</t>
  </si>
  <si>
    <t>LLANQUIHUE</t>
  </si>
  <si>
    <t>LOS MUERMOS</t>
  </si>
  <si>
    <t>CALBUCO</t>
  </si>
  <si>
    <t>CASTRO</t>
  </si>
  <si>
    <t>CHONCHI</t>
  </si>
  <si>
    <t>ANCUD</t>
  </si>
  <si>
    <t>QUEMCHI</t>
  </si>
  <si>
    <t>DALCAHUE</t>
  </si>
  <si>
    <t>QUINCHAO</t>
  </si>
  <si>
    <t>PALENA</t>
  </si>
  <si>
    <t>CISNES</t>
  </si>
  <si>
    <t>GUAITECAS</t>
  </si>
  <si>
    <t>CHILE CHICO</t>
  </si>
  <si>
    <t>COCHRANE</t>
  </si>
  <si>
    <t>TORTEL</t>
  </si>
  <si>
    <t>LAGO VERDE</t>
  </si>
  <si>
    <t>NATALES</t>
  </si>
  <si>
    <t>SAN GREGORIO</t>
  </si>
  <si>
    <t>PUNTA ARENAS</t>
  </si>
  <si>
    <t>LAGUNA BLANCA</t>
  </si>
  <si>
    <t>PORVENIR</t>
  </si>
  <si>
    <t>PRIMAVERA</t>
  </si>
  <si>
    <t>TIMAUKEL</t>
  </si>
  <si>
    <t>CABO DE HORNOS</t>
  </si>
  <si>
    <t>SANTIAGO</t>
  </si>
  <si>
    <t>PROVIDENCIA</t>
  </si>
  <si>
    <t>ÑUÑOA</t>
  </si>
  <si>
    <t>SAN MIGUEL</t>
  </si>
  <si>
    <t>QUINTA NORMAL</t>
  </si>
  <si>
    <t>LAS CONDES</t>
  </si>
  <si>
    <t>LA CISTERNA</t>
  </si>
  <si>
    <t>PUDAHUEL</t>
  </si>
  <si>
    <t>RENCA</t>
  </si>
  <si>
    <t>QUILICURA</t>
  </si>
  <si>
    <t>LA FLORIDA</t>
  </si>
  <si>
    <t>LA GRANJA</t>
  </si>
  <si>
    <t>LA REINA</t>
  </si>
  <si>
    <t>MACUL</t>
  </si>
  <si>
    <t>LA PINTANA</t>
  </si>
  <si>
    <t>LO PRADO</t>
  </si>
  <si>
    <t>CERRO NAVIA</t>
  </si>
  <si>
    <t>HUECHURABA</t>
  </si>
  <si>
    <t>RECOLETA</t>
  </si>
  <si>
    <t>VITACURA</t>
  </si>
  <si>
    <t>LO BARNECHEA</t>
  </si>
  <si>
    <t>PEDRO AGUIRRE CERDA</t>
  </si>
  <si>
    <t>LO ESPEJO</t>
  </si>
  <si>
    <t>EL BOSQUE</t>
  </si>
  <si>
    <t>CERRILLOS</t>
  </si>
  <si>
    <t>INDEPENDENCIA</t>
  </si>
  <si>
    <t>COLINA</t>
  </si>
  <si>
    <t>LAMPA</t>
  </si>
  <si>
    <t>TILTIL</t>
  </si>
  <si>
    <t>PUENTE ALTO</t>
  </si>
  <si>
    <t>PIRQUE</t>
  </si>
  <si>
    <t>SAN BERNARDO</t>
  </si>
  <si>
    <t>CALERA DE TANGO</t>
  </si>
  <si>
    <t>BUIN</t>
  </si>
  <si>
    <t>PAINE</t>
  </si>
  <si>
    <t>TALAGANTE</t>
  </si>
  <si>
    <t>ISLA DE MAIPO</t>
  </si>
  <si>
    <t>EL MONTE</t>
  </si>
  <si>
    <t>PEÑAFLOR</t>
  </si>
  <si>
    <t>PADRE HURTADO</t>
  </si>
  <si>
    <t>MELIPILLA</t>
  </si>
  <si>
    <t>SAN PEDRO</t>
  </si>
  <si>
    <t>SAN VICENTE</t>
  </si>
  <si>
    <t>MARIQUINA</t>
  </si>
  <si>
    <t>PONDERACION INDICADOR POBREZA</t>
  </si>
  <si>
    <t>Código Territorial</t>
  </si>
  <si>
    <t>Totales</t>
  </si>
  <si>
    <t>TORRES DEL PAINE</t>
  </si>
  <si>
    <t>INDICADOR PREDIOS</t>
  </si>
  <si>
    <t>PONDERACION INDICADOR PREDIOS</t>
  </si>
  <si>
    <t>PONDERACION PREDIOS</t>
  </si>
  <si>
    <t>Decimales para cálculos de población y Resumen Montos</t>
  </si>
  <si>
    <t>DISTANCIA IPP PROMEDIO x POBLACIÓN</t>
  </si>
  <si>
    <t>COEFICIENTE INGRESO PROPIO PERMANENTE</t>
  </si>
  <si>
    <t>PONDERACION INDICADOR IPP</t>
  </si>
  <si>
    <t>Total</t>
  </si>
  <si>
    <t>SUBTITULO</t>
  </si>
  <si>
    <t>GLOSA</t>
  </si>
  <si>
    <t>Monto en M$</t>
  </si>
  <si>
    <t>121.21.00.000.000</t>
  </si>
  <si>
    <t xml:space="preserve">GASTOS EN PERSONAL (M$ ) </t>
  </si>
  <si>
    <t>121.22.00.000.000</t>
  </si>
  <si>
    <t xml:space="preserve">BIENES Y SERVICIOS DE CONSUMO (M$ ) </t>
  </si>
  <si>
    <t>Mes</t>
  </si>
  <si>
    <t>Area</t>
  </si>
  <si>
    <t>Municipal</t>
  </si>
  <si>
    <t>CONARA</t>
  </si>
  <si>
    <t>(del Tesorro Público, Fisco, Operaciones complementarias)</t>
  </si>
  <si>
    <t>Mes de Pago</t>
  </si>
  <si>
    <t>Fecha de Pago</t>
  </si>
  <si>
    <t>ENERO</t>
  </si>
  <si>
    <t>FEBRERO</t>
  </si>
  <si>
    <t>MARZO</t>
  </si>
  <si>
    <t>ABRIL</t>
  </si>
  <si>
    <t>MAYO</t>
  </si>
  <si>
    <t>JUNIO</t>
  </si>
  <si>
    <t>JULIO</t>
  </si>
  <si>
    <t>AGOSTO</t>
  </si>
  <si>
    <t>SEPTIEMBRE</t>
  </si>
  <si>
    <t>OCTUBRE</t>
  </si>
  <si>
    <t>NOVIEMBRE</t>
  </si>
  <si>
    <t>DICIEMBRE</t>
  </si>
  <si>
    <t>(A)</t>
  </si>
  <si>
    <t>(B)</t>
  </si>
  <si>
    <t>(montos en M$)</t>
  </si>
  <si>
    <t>% CAEN S/ SUBEN</t>
  </si>
  <si>
    <t>MONTO SUBEN</t>
  </si>
  <si>
    <t>Porcentaje Mecanismo de Estabilización dado el crecimiento estimado</t>
  </si>
  <si>
    <t>#</t>
  </si>
  <si>
    <t>Diferencial Negativo 
cae (&lt;0)</t>
  </si>
  <si>
    <t>Diferencial Positiva 
sube (&gt;0)</t>
  </si>
  <si>
    <t>Monto Crecimiento  Columna M*Porcentaje Mecanismo Estabilización dado el crecimiento de la comuna==
J-K</t>
  </si>
  <si>
    <t>Monto  Final de las Comunas con Diferencial Positivo</t>
  </si>
  <si>
    <t xml:space="preserve">Monto Final de las que Caían y se Estabilizan </t>
  </si>
  <si>
    <t>Monto determinado según factor del mecanismo compensacion o estabilizacion Ley 20.237</t>
  </si>
  <si>
    <t>FCM Provisorio M$</t>
  </si>
  <si>
    <t>Monto determinado por Aplicacion del Factor de Estabilización a las Comunas con Diferencial Positivo (Cesión)</t>
  </si>
  <si>
    <t>Piso descuento avance</t>
  </si>
  <si>
    <t>(A)-(B)</t>
  </si>
  <si>
    <t>Aporte Fiscal al Fondo Común Municipal M$</t>
  </si>
  <si>
    <t>MARÍA ELENA</t>
  </si>
  <si>
    <t>COPIAPÓ</t>
  </si>
  <si>
    <t>COMBARBALÁ</t>
  </si>
  <si>
    <t>RÍO HURTADO</t>
  </si>
  <si>
    <t>VALPARAÍSO</t>
  </si>
  <si>
    <t>CONCÓN</t>
  </si>
  <si>
    <t>JUAN FERNÁNDEZ</t>
  </si>
  <si>
    <t>PUCHUNCAVÍ</t>
  </si>
  <si>
    <t>SANTA MARÍA</t>
  </si>
  <si>
    <t>QUILPUÉ</t>
  </si>
  <si>
    <t>OLMUÉ</t>
  </si>
  <si>
    <t>MACHALÍ</t>
  </si>
  <si>
    <t>CHÉPICA</t>
  </si>
  <si>
    <t>CONSTITUCIÓN</t>
  </si>
  <si>
    <t>RÍO CLARO</t>
  </si>
  <si>
    <t>CURICÓ</t>
  </si>
  <si>
    <t>HUALAÑÉ</t>
  </si>
  <si>
    <t>LICANTÉN</t>
  </si>
  <si>
    <t>VICHUQUÉN</t>
  </si>
  <si>
    <t>COLBÚN</t>
  </si>
  <si>
    <t>LONGAVÍ</t>
  </si>
  <si>
    <t>CONCEPCIÓN</t>
  </si>
  <si>
    <t>TOMÉ</t>
  </si>
  <si>
    <t>HUALPÉN</t>
  </si>
  <si>
    <t>MULCHÉN</t>
  </si>
  <si>
    <t>SANTA BÁRBARA</t>
  </si>
  <si>
    <t>ALTO BIOBÍO</t>
  </si>
  <si>
    <t>CHILLÁN</t>
  </si>
  <si>
    <t>CHILLÁN VIEJO</t>
  </si>
  <si>
    <t>ÑIQUÉN</t>
  </si>
  <si>
    <t>QUILLÓN</t>
  </si>
  <si>
    <t>SAN FABIÁN</t>
  </si>
  <si>
    <t>SAN NICOLÁS</t>
  </si>
  <si>
    <t>PITRUFQUÉN</t>
  </si>
  <si>
    <t>PUCÓN</t>
  </si>
  <si>
    <t>TOLTÉN</t>
  </si>
  <si>
    <t>VILCÚN</t>
  </si>
  <si>
    <t>CURACAUTÍN</t>
  </si>
  <si>
    <t>PURÉN</t>
  </si>
  <si>
    <t>TRAIGUÉN</t>
  </si>
  <si>
    <t>COCHAMÓ</t>
  </si>
  <si>
    <t>MAULLÍN</t>
  </si>
  <si>
    <t>CURACO DE VÉLEZ</t>
  </si>
  <si>
    <t>PUQUELDÓN</t>
  </si>
  <si>
    <t>QUEILÉN</t>
  </si>
  <si>
    <t>QUELLÓN</t>
  </si>
  <si>
    <t>RÍO NEGRO</t>
  </si>
  <si>
    <t>CHAITÉN</t>
  </si>
  <si>
    <t>FUTALEUFÚ</t>
  </si>
  <si>
    <t>RÍO IBÁÑEZ</t>
  </si>
  <si>
    <t>RÍO VERDE</t>
  </si>
  <si>
    <t>CONCHALÍ</t>
  </si>
  <si>
    <t>ESTACIÓN CENTRAL</t>
  </si>
  <si>
    <t>MAIPÚ</t>
  </si>
  <si>
    <t>PEÑALOLÉN</t>
  </si>
  <si>
    <t>SAN JOAQUÍN</t>
  </si>
  <si>
    <t>SAN RAMÓN</t>
  </si>
  <si>
    <t>SAN JOSÉ DE MAIPO</t>
  </si>
  <si>
    <t>ALHUÉ</t>
  </si>
  <si>
    <t>CURACAVÍ</t>
  </si>
  <si>
    <t>MARÍA PINTO</t>
  </si>
  <si>
    <t>MÁFIL</t>
  </si>
  <si>
    <t>LA UNIÓN</t>
  </si>
  <si>
    <t>RÍO BUENO</t>
  </si>
  <si>
    <t xml:space="preserve">I.TRR. Recaudacion Abril Pago en  Mayo </t>
  </si>
  <si>
    <t>I.TRR. Recaudacion Junio Pago en  Julio</t>
  </si>
  <si>
    <t>I.TRR. Recaudacion Septiembre Pago en  Octubre</t>
  </si>
  <si>
    <t>I.TRR. Recaudacion Noviembre Pago en  Diciembre</t>
  </si>
  <si>
    <t xml:space="preserve">Aseo Municipal Recaudacion Abril Pago en  Mayo </t>
  </si>
  <si>
    <t>Aseo Municipal Recaudacion Junio Pago en  Julio</t>
  </si>
  <si>
    <t>Aseo Municipal Recaudacion Septiembre Pago en  Octubre</t>
  </si>
  <si>
    <t>Aseo Municipal Recaudacion Noviembre Pago en  Diciembre</t>
  </si>
  <si>
    <t>TOTAL MES DE ENERO</t>
  </si>
  <si>
    <t>TOTAL MES DE FEBRERO</t>
  </si>
  <si>
    <t>TOTAL MES DE MARZO</t>
  </si>
  <si>
    <t>TOTAL MES DE ABRIL</t>
  </si>
  <si>
    <t>TOTAL MES DE MAYO</t>
  </si>
  <si>
    <t>TOTAL MES DE JUNIO</t>
  </si>
  <si>
    <t>TOTAL MES DE JULIO</t>
  </si>
  <si>
    <t>TOTAL MES DE AGOSTO</t>
  </si>
  <si>
    <t>TOTAL MES DE SEPTIEMBRE</t>
  </si>
  <si>
    <t>TOTAL MES DE OCTUBRE</t>
  </si>
  <si>
    <t>TOTAL MES DE NOVIEMBRE</t>
  </si>
  <si>
    <t>TOTAL MES DE DICIEMBRE</t>
  </si>
  <si>
    <t>SALDO APLICACION A ENERO</t>
  </si>
  <si>
    <t>SALDO APLICACION A FEBRERO</t>
  </si>
  <si>
    <t>SALDO APLICACION A MARZO</t>
  </si>
  <si>
    <t>SALDO APLICACION A ABRIL</t>
  </si>
  <si>
    <t>SALDO APLICACION A MAYO</t>
  </si>
  <si>
    <t>SALDO APLICACION A JUNIO</t>
  </si>
  <si>
    <t>SALDO APLICACION A JULIO</t>
  </si>
  <si>
    <t>SALDO APLICACION A AGOSTO</t>
  </si>
  <si>
    <t>SALDO APLICACION A SEPTIEMBRE</t>
  </si>
  <si>
    <t>SALDO APLICACION A OCTUBRE</t>
  </si>
  <si>
    <t>SALDO APLICACION A NOVIEMBRE</t>
  </si>
  <si>
    <t>SALDO APLICACION A DICIEMBRE</t>
  </si>
  <si>
    <t>I.TERRITORIAL
Total Recaudacion  Estimada</t>
  </si>
  <si>
    <t>Aseo Municipal
Total Recaudacion Estimada</t>
  </si>
  <si>
    <t>ANTÁRTICA</t>
  </si>
  <si>
    <t>Factor del mecanismo compensacion o estabilizacion</t>
  </si>
  <si>
    <t># Comunas</t>
  </si>
  <si>
    <t>Monto Compensación Estimado (M$) (incluido en monto final estimado,  Columna U)</t>
  </si>
  <si>
    <t>Marzo</t>
  </si>
  <si>
    <t>Julio</t>
  </si>
  <si>
    <t>Mayo</t>
  </si>
  <si>
    <t>MES</t>
  </si>
  <si>
    <t>Monto Percibido Informado por Servicio de Tesorerías</t>
  </si>
  <si>
    <t>Enero</t>
  </si>
  <si>
    <t>Febrero</t>
  </si>
  <si>
    <t>Abril</t>
  </si>
  <si>
    <t>Junio</t>
  </si>
  <si>
    <t>Agosto</t>
  </si>
  <si>
    <t>Septiembre</t>
  </si>
  <si>
    <t>Octubre</t>
  </si>
  <si>
    <t>Noviembre</t>
  </si>
  <si>
    <t>Diciembre</t>
  </si>
  <si>
    <t>O’HIGGINS</t>
  </si>
  <si>
    <t xml:space="preserve"> Saldo F.C.M.</t>
  </si>
  <si>
    <t>%</t>
  </si>
  <si>
    <t>anticipo flujo</t>
  </si>
  <si>
    <t>apof flujo</t>
  </si>
  <si>
    <t>aplic glosa flujo</t>
  </si>
  <si>
    <t>ley 19704</t>
  </si>
  <si>
    <t>total calculado en flujo</t>
  </si>
  <si>
    <t>delta</t>
  </si>
  <si>
    <t>REQUÍNOA</t>
  </si>
  <si>
    <t xml:space="preserve">Aporte Fiscal </t>
  </si>
  <si>
    <t>COYHAIQUE</t>
  </si>
  <si>
    <t>AYSÉN</t>
  </si>
  <si>
    <t>TOTAL</t>
  </si>
  <si>
    <t>ISLA DE PASCUA</t>
  </si>
  <si>
    <t>Aporte Fiscal (1.052.000 UTM)</t>
  </si>
  <si>
    <t>CUADRO OFICIO CONJUNTO SUBDERE y DIPRES a TESORERIA</t>
  </si>
  <si>
    <t>CUT</t>
  </si>
  <si>
    <t>Monto</t>
  </si>
  <si>
    <t>Requerimiento fiscal después de ajuste por comuna</t>
  </si>
  <si>
    <t>Retorno fiscal con ajuste por comuna</t>
  </si>
  <si>
    <t>Monto Final sin Ley 19.704</t>
  </si>
  <si>
    <t>Total Estimado 2020 M$</t>
  </si>
  <si>
    <t>FCM 2021</t>
  </si>
  <si>
    <t>FCM 2020</t>
  </si>
  <si>
    <t>BEP 2017</t>
  </si>
  <si>
    <t>BEP 2018</t>
  </si>
  <si>
    <t>M$</t>
  </si>
  <si>
    <t>Glosa</t>
  </si>
  <si>
    <t xml:space="preserve">Para el </t>
  </si>
  <si>
    <t>BEP 2019</t>
  </si>
  <si>
    <t>FCM 2022</t>
  </si>
  <si>
    <t>Total Ley Nº 19.704 (ISLA DE PASCUA)) M$</t>
  </si>
  <si>
    <t>Monto Año 2019</t>
  </si>
  <si>
    <t>Monto Año 2020</t>
  </si>
  <si>
    <t>Monto Año 2021</t>
  </si>
  <si>
    <t>LEY Nº 19704 (ISLA DE PASCUA) ENERO</t>
  </si>
  <si>
    <t>LEY Nº 19704 (ISLA DE PASCUA) FEBRERO</t>
  </si>
  <si>
    <t>LEY Nº 19704 (ISLA DE PASCUA) MARZO</t>
  </si>
  <si>
    <t>LEY Nº 19704 (ISLA DE PASCUA) ABRIL</t>
  </si>
  <si>
    <t>LEY Nº 19704 (ISLA DE PASCUA) MAYO</t>
  </si>
  <si>
    <t>LEY Nº 19704 (ISLA DE PASCUA) JUNIO</t>
  </si>
  <si>
    <t>LEY Nº 19704 (ISLA DE PASCUA) JULIO</t>
  </si>
  <si>
    <t>LEY Nº 19704 (ISLA DE PASCUA) AGOSTO</t>
  </si>
  <si>
    <t>LEY Nº 19704 (ISLA DE PASCUA) SEPTIEMBRE</t>
  </si>
  <si>
    <t>LEY Nº 19704 (ISLA DE PASCUA) OCTUBRE</t>
  </si>
  <si>
    <t>LEY Nº 19704 (ISLA DE PASCUA) NOVIEMBRE</t>
  </si>
  <si>
    <t>LEY Nº 19704 (ISLA DE PASCUA) DICIEMBRE</t>
  </si>
  <si>
    <t>x</t>
  </si>
  <si>
    <t>COMUNA ISLA DE PASCUA</t>
  </si>
  <si>
    <t>Pagos anticipos y cierres por comuna 
(FUENTE: TESORERIA GENERAL DE LA REPUBLICA)</t>
  </si>
  <si>
    <t>(*) no considera compensación a ISLA DE PASCUA Ley 19.704</t>
  </si>
  <si>
    <t>FCM 2023</t>
  </si>
  <si>
    <t>Estimación de pobreza Comunal (CASEN 2020)</t>
  </si>
  <si>
    <t>COMUNA</t>
  </si>
  <si>
    <t>BEP 2020</t>
  </si>
  <si>
    <t>Monto Año 2022</t>
  </si>
  <si>
    <t>ip 22</t>
  </si>
  <si>
    <t>ef sin ip 22</t>
  </si>
  <si>
    <t>ef con ip 22</t>
  </si>
  <si>
    <t>Anticipos y Aporte Fiscal Netos de Isla de Pascua 2021</t>
  </si>
  <si>
    <t>1_CODI</t>
  </si>
  <si>
    <t>2_CONA</t>
  </si>
  <si>
    <t>3_COMU</t>
  </si>
  <si>
    <t>4_ESTFINAL</t>
  </si>
  <si>
    <t>5_CFCM</t>
  </si>
  <si>
    <t>6_FME</t>
  </si>
  <si>
    <t>7_TOT_ENE</t>
  </si>
  <si>
    <t>8_TOT_FEB</t>
  </si>
  <si>
    <t>9_TOT_MAR</t>
  </si>
  <si>
    <t>10_TOT_ABR</t>
  </si>
  <si>
    <t>11_TOT_MAY</t>
  </si>
  <si>
    <t>12_TOT_JUN</t>
  </si>
  <si>
    <t>13_TOT_JUL</t>
  </si>
  <si>
    <t>14_TOT_AGO</t>
  </si>
  <si>
    <t>15_TOT_SEP</t>
  </si>
  <si>
    <t>16_TOT_OCT</t>
  </si>
  <si>
    <t>17_TOT_NOV</t>
  </si>
  <si>
    <t>18_TOT_DIC</t>
  </si>
  <si>
    <t>19_TOT_ANT</t>
  </si>
  <si>
    <t xml:space="preserve">34_ASEO_ABR_MAY </t>
  </si>
  <si>
    <t>35_ITERR_JUN_JUL</t>
  </si>
  <si>
    <t>36_ASEO_JUN_JUL</t>
  </si>
  <si>
    <t>37_ITERR_SEPT_OCT</t>
  </si>
  <si>
    <t>38_ASEO_SEPT_OCT</t>
  </si>
  <si>
    <t>39_ITERR_NOV_DIC</t>
  </si>
  <si>
    <t>40_ASEO_NOV_DIC</t>
  </si>
  <si>
    <t>41_ITERR_Total</t>
  </si>
  <si>
    <t>42_ASEO_Total</t>
  </si>
  <si>
    <t>46_APERTURA</t>
  </si>
  <si>
    <t>47_VAR_CIERR20_APT</t>
  </si>
  <si>
    <t>48_VAR_TOTANTICIPOS</t>
  </si>
  <si>
    <t>NIVEL NACIONAL</t>
  </si>
  <si>
    <t>IPASCUA2016</t>
  </si>
  <si>
    <t>FCM2016</t>
  </si>
  <si>
    <t>IPASCUA2017</t>
  </si>
  <si>
    <t>FCM2017</t>
  </si>
  <si>
    <t>IPASCUA2018</t>
  </si>
  <si>
    <t>FCM2018</t>
  </si>
  <si>
    <t>IPASCUA2019</t>
  </si>
  <si>
    <t>FCM2019</t>
  </si>
  <si>
    <t>IPASCUA2020</t>
  </si>
  <si>
    <t>FCM2020</t>
  </si>
  <si>
    <t>IPASCUA2021</t>
  </si>
  <si>
    <t>FCM2021</t>
  </si>
  <si>
    <t>IPASCUA2022</t>
  </si>
  <si>
    <t>FCM2022</t>
  </si>
  <si>
    <t>REGIÓN</t>
  </si>
  <si>
    <t>CÓDIGO COMUNA</t>
  </si>
  <si>
    <t xml:space="preserve"> MONTO COMPENSACION ESTIMADO (M$) </t>
  </si>
  <si>
    <t>Flujos de Anticipos, Aporte Fiscal, Glosa 09 LEY de Presupuestos y Ley Nº 19.704</t>
  </si>
  <si>
    <t>APLICACION GLOSA 09 ENERO</t>
  </si>
  <si>
    <t>APLICACION GLOSA 09 FEBRERO</t>
  </si>
  <si>
    <t>APLICACION GLOSA 09 MARZO</t>
  </si>
  <si>
    <t>APLICACION GLOSA 09 ABRIL</t>
  </si>
  <si>
    <t>APLICACION GLOSA 09 MAYO</t>
  </si>
  <si>
    <t>APLICACION GLOSA 09 JUNIO</t>
  </si>
  <si>
    <t>APLICACION GLOSA 09 JULIO</t>
  </si>
  <si>
    <t>APLICACION GLOSA 09 AGOSTO</t>
  </si>
  <si>
    <t>APLICACION GLOSA 09 SEPTIEMBRE</t>
  </si>
  <si>
    <t>APLICACION GLOSA 09 OCTUBRE</t>
  </si>
  <si>
    <t>APLICACION GLOSA 09 NOVIEMBRE</t>
  </si>
  <si>
    <t>APLICACION GLOSA 09 DICIEMBRE</t>
  </si>
  <si>
    <t>Movimiento Glosa</t>
  </si>
  <si>
    <t>+</t>
  </si>
  <si>
    <t>-</t>
  </si>
  <si>
    <t xml:space="preserve">(*) Datos para cálculo Glosa Nº08, de la Partida:50, Capítulo: 01, </t>
  </si>
  <si>
    <t>IPASCUA2023</t>
  </si>
  <si>
    <t>FCM2023</t>
  </si>
  <si>
    <t>Flujo Glosa 08 Mensual</t>
  </si>
  <si>
    <t>Monto Año 2023</t>
  </si>
  <si>
    <t>Piso descuento a fisco</t>
  </si>
  <si>
    <t>APLICACION GLOSA 08 ENERO</t>
  </si>
  <si>
    <t>APLICACION GLOSA 08 FEBRERO</t>
  </si>
  <si>
    <t>APLICACION GLOSA 08 MARZO</t>
  </si>
  <si>
    <t>APLICACION GLOSA 08 ABRIL</t>
  </si>
  <si>
    <t>APLICACION GLOSA 08 MAYO</t>
  </si>
  <si>
    <t>APLICACION GLOSA 08 JUNIO</t>
  </si>
  <si>
    <t>APLICACION GLOSA 08 JULIO</t>
  </si>
  <si>
    <t>APLICACION GLOSA 08 AGOSTO</t>
  </si>
  <si>
    <t>APLICACION GLOSA 08 SEPTIEMBRE</t>
  </si>
  <si>
    <t>APLICACION GLOSA 08 OCTUBRE</t>
  </si>
  <si>
    <t>APLICACION GLOSA 08 NOVIEMBRE</t>
  </si>
  <si>
    <t>APLICACION GLOSA 08 DICIEMBRE</t>
  </si>
  <si>
    <t>EN CERO Santiago, LAS CONDES, PROVIDENCIA Y VITACURA. NO APLICAN EN GLOSA 08</t>
  </si>
  <si>
    <t>Anticipos y Aporte Fiscal Netos de Isla de Pascua</t>
  </si>
  <si>
    <t>Flujos de Anticipos, Aporte Fiscal, Glosa 08 LEY de PRESUPUESTOS y Ley Nº 19.704</t>
  </si>
  <si>
    <t>FCM 2025</t>
  </si>
  <si>
    <t>Código Único Territorial (CUT)</t>
  </si>
  <si>
    <t>( a )</t>
  </si>
  <si>
    <t>( b )</t>
  </si>
  <si>
    <t>( c )</t>
  </si>
  <si>
    <t>( d )</t>
  </si>
  <si>
    <t xml:space="preserve">( e ) </t>
  </si>
  <si>
    <t>( f )</t>
  </si>
  <si>
    <t>( g )</t>
  </si>
  <si>
    <t>( h )</t>
  </si>
  <si>
    <t>( i )</t>
  </si>
  <si>
    <t>( j )</t>
  </si>
  <si>
    <t>( k )</t>
  </si>
  <si>
    <t>( l )</t>
  </si>
  <si>
    <t>( m )</t>
  </si>
  <si>
    <t>( n )</t>
  </si>
  <si>
    <t>( o )</t>
  </si>
  <si>
    <t>( p )</t>
  </si>
  <si>
    <t>( q )</t>
  </si>
  <si>
    <t>( r )</t>
  </si>
  <si>
    <t>( s )</t>
  </si>
  <si>
    <t>( t )</t>
  </si>
  <si>
    <t>( u )</t>
  </si>
  <si>
    <t>( v )</t>
  </si>
  <si>
    <t>( w )</t>
  </si>
  <si>
    <t>( x )</t>
  </si>
  <si>
    <t>Divisor población flotante</t>
  </si>
  <si>
    <t>( y )</t>
  </si>
  <si>
    <t>( z )</t>
  </si>
  <si>
    <t>( a a )</t>
  </si>
  <si>
    <t xml:space="preserve"> ( b b )</t>
  </si>
  <si>
    <t>( c c )</t>
  </si>
  <si>
    <t>( d d )</t>
  </si>
  <si>
    <t>Comuna Turística para fines del FCM</t>
  </si>
  <si>
    <t>Dependencia FCM 
FET (%)</t>
  </si>
  <si>
    <t>IP
 FET (M$)</t>
  </si>
  <si>
    <t xml:space="preserve">Corte Dependencia FCM </t>
  </si>
  <si>
    <t xml:space="preserve">Corte percentil IP               </t>
  </si>
  <si>
    <t>Monto PESOS</t>
  </si>
  <si>
    <t>Grupo Beneficiados FET</t>
  </si>
  <si>
    <t xml:space="preserve">Percentil IP </t>
  </si>
  <si>
    <t>FONDO EQUIDAD TERRITORIAL (FET)</t>
  </si>
  <si>
    <t>FONDO COMUN MUNICIPAL</t>
  </si>
  <si>
    <t>PONDERACIÓN PREDIOS</t>
  </si>
  <si>
    <t>MONTO EN PESOS FET</t>
  </si>
  <si>
    <t>FONDO COMUN MINERO</t>
  </si>
  <si>
    <t>Actividad Minera</t>
  </si>
  <si>
    <t>MONTO EN PESOS FCMi</t>
  </si>
  <si>
    <t>IPASCUA2024</t>
  </si>
  <si>
    <t>FCM2024</t>
  </si>
  <si>
    <t>( e e)</t>
  </si>
  <si>
    <t>( f f )</t>
  </si>
  <si>
    <t>( g g )</t>
  </si>
  <si>
    <t>( h h )</t>
  </si>
  <si>
    <t>( i i )</t>
  </si>
  <si>
    <t>( j j )</t>
  </si>
  <si>
    <t>( k k )</t>
  </si>
  <si>
    <t>( l l )</t>
  </si>
  <si>
    <t>( m m )</t>
  </si>
  <si>
    <t>( n n )</t>
  </si>
  <si>
    <t>( o o )</t>
  </si>
  <si>
    <t>( p p )</t>
  </si>
  <si>
    <t>( q q )</t>
  </si>
  <si>
    <t>( r r )</t>
  </si>
  <si>
    <t>( s s )</t>
  </si>
  <si>
    <t>(**) Cierre para determinación del Mecanismo de Estabilización.</t>
  </si>
  <si>
    <t>NO BORRAR</t>
  </si>
  <si>
    <t>Aporte Fiscal al Fondo Común Municipal M$ (Art. 14, N° 5, ley 18.695)</t>
  </si>
  <si>
    <t>BEP 2021</t>
  </si>
  <si>
    <t>FCM 2024</t>
  </si>
  <si>
    <t>BEP 2022</t>
  </si>
  <si>
    <t>columnas hoja "DATA" ==&gt;</t>
  </si>
  <si>
    <t>Mes
 Recaudación</t>
  </si>
  <si>
    <t>Monto Año 2024</t>
  </si>
  <si>
    <t>Monto Año 2025</t>
  </si>
  <si>
    <t>x1</t>
  </si>
  <si>
    <t>x2</t>
  </si>
  <si>
    <t>delta Flujos Anticipos Acumulados</t>
  </si>
  <si>
    <t>Var</t>
  </si>
  <si>
    <t>Aportes Fiscales</t>
  </si>
  <si>
    <t>Meses FET y Minero</t>
  </si>
  <si>
    <t>enero, marzo, julio y septiembre de cada año</t>
  </si>
  <si>
    <t>.</t>
  </si>
  <si>
    <t>% / Total</t>
  </si>
  <si>
    <t>Nompropio</t>
  </si>
  <si>
    <t>43_CIERRE2022</t>
  </si>
  <si>
    <t>44_CIERRE2023</t>
  </si>
  <si>
    <t>45_CIERRE2024</t>
  </si>
  <si>
    <t>20_ENE_IPASCUA</t>
  </si>
  <si>
    <t>21_FEB_IPASCUA</t>
  </si>
  <si>
    <t>22_MAR_IPASCUA</t>
  </si>
  <si>
    <t>23_ABR_IPASCUA</t>
  </si>
  <si>
    <t>24_MAY_IPASCUA</t>
  </si>
  <si>
    <t>25_JUN_IPASCUA</t>
  </si>
  <si>
    <t>26_JUL_IPASCUA</t>
  </si>
  <si>
    <t>27_AGO_IPASCUA</t>
  </si>
  <si>
    <t>28_SEPT_IPASCUA</t>
  </si>
  <si>
    <t>29_OCT_IPASCUA</t>
  </si>
  <si>
    <t>30_NOV_IPASCUA</t>
  </si>
  <si>
    <t>31_DIC_IPASCUA</t>
  </si>
  <si>
    <t>32_TOT_IPASCUA</t>
  </si>
  <si>
    <t xml:space="preserve">33_ITERR_ABR_MAY </t>
  </si>
  <si>
    <t>49_MUNICIPIOS</t>
  </si>
  <si>
    <t>Estimación Total Fondo Común Municipal</t>
  </si>
  <si>
    <t>FECHA 
DE PAGO</t>
  </si>
  <si>
    <t>MONTO (M$)</t>
  </si>
  <si>
    <t>(Fuente: SUBDERE - TGR)</t>
  </si>
  <si>
    <t>(Fuente: TGR)</t>
  </si>
  <si>
    <t>Anticipo Impuesto Territorial (M$)</t>
  </si>
  <si>
    <t>Anticipo Derechos de Aseo (M$)</t>
  </si>
  <si>
    <t>Monto 
(M$ de cada año)</t>
  </si>
  <si>
    <t>Coeficiente Anual Fondo Común Municipal (100%)</t>
  </si>
  <si>
    <t>Mecanismo de Estabilización (+/-)</t>
  </si>
  <si>
    <t>columna_caratulas</t>
  </si>
  <si>
    <t>01101</t>
  </si>
  <si>
    <t>01107</t>
  </si>
  <si>
    <t>01401</t>
  </si>
  <si>
    <t>01402</t>
  </si>
  <si>
    <t>01403</t>
  </si>
  <si>
    <t>01404</t>
  </si>
  <si>
    <t>01405</t>
  </si>
  <si>
    <t>02101</t>
  </si>
  <si>
    <t>02201</t>
  </si>
  <si>
    <t>02102</t>
  </si>
  <si>
    <t>02203</t>
  </si>
  <si>
    <t>02103</t>
  </si>
  <si>
    <t>02104</t>
  </si>
  <si>
    <t>02202</t>
  </si>
  <si>
    <t>02301</t>
  </si>
  <si>
    <t>02302</t>
  </si>
  <si>
    <t>03101</t>
  </si>
  <si>
    <t>03201</t>
  </si>
  <si>
    <t>03102</t>
  </si>
  <si>
    <t>03202</t>
  </si>
  <si>
    <t>03103</t>
  </si>
  <si>
    <t>03301</t>
  </si>
  <si>
    <t>03302</t>
  </si>
  <si>
    <t>03304</t>
  </si>
  <si>
    <t>03303</t>
  </si>
  <si>
    <t>04101</t>
  </si>
  <si>
    <t>04102</t>
  </si>
  <si>
    <t>04103</t>
  </si>
  <si>
    <t>04104</t>
  </si>
  <si>
    <t>04105</t>
  </si>
  <si>
    <t>04106</t>
  </si>
  <si>
    <t>04201</t>
  </si>
  <si>
    <t>04301</t>
  </si>
  <si>
    <t>04202</t>
  </si>
  <si>
    <t>04304</t>
  </si>
  <si>
    <t>04203</t>
  </si>
  <si>
    <t>04303</t>
  </si>
  <si>
    <t>04204</t>
  </si>
  <si>
    <t>04302</t>
  </si>
  <si>
    <t>04305</t>
  </si>
  <si>
    <t>05101</t>
  </si>
  <si>
    <t>05301</t>
  </si>
  <si>
    <t>05102</t>
  </si>
  <si>
    <t>05103</t>
  </si>
  <si>
    <t>05104</t>
  </si>
  <si>
    <t>05105</t>
  </si>
  <si>
    <t>05107</t>
  </si>
  <si>
    <t>05109</t>
  </si>
  <si>
    <t>05302</t>
  </si>
  <si>
    <t>05201</t>
  </si>
  <si>
    <t>05701</t>
  </si>
  <si>
    <t>05702</t>
  </si>
  <si>
    <t>05303</t>
  </si>
  <si>
    <t>05704</t>
  </si>
  <si>
    <t>05304</t>
  </si>
  <si>
    <t>05703</t>
  </si>
  <si>
    <t>05401</t>
  </si>
  <si>
    <t>05402</t>
  </si>
  <si>
    <t>05403</t>
  </si>
  <si>
    <t>05404</t>
  </si>
  <si>
    <t>05405</t>
  </si>
  <si>
    <t>05501</t>
  </si>
  <si>
    <t>05502</t>
  </si>
  <si>
    <t>05504</t>
  </si>
  <si>
    <t>05503</t>
  </si>
  <si>
    <t>05506</t>
  </si>
  <si>
    <t>05601</t>
  </si>
  <si>
    <t>05602</t>
  </si>
  <si>
    <t>05603</t>
  </si>
  <si>
    <t>05604</t>
  </si>
  <si>
    <t>05605</t>
  </si>
  <si>
    <t>05606</t>
  </si>
  <si>
    <t>05705</t>
  </si>
  <si>
    <t>05706</t>
  </si>
  <si>
    <t>05801</t>
  </si>
  <si>
    <t>05802</t>
  </si>
  <si>
    <t>05803</t>
  </si>
  <si>
    <t>05804</t>
  </si>
  <si>
    <t>06101</t>
  </si>
  <si>
    <t>06102</t>
  </si>
  <si>
    <t>06107</t>
  </si>
  <si>
    <t>06103</t>
  </si>
  <si>
    <t>06116</t>
  </si>
  <si>
    <t>06104</t>
  </si>
  <si>
    <t>06106</t>
  </si>
  <si>
    <t>06105</t>
  </si>
  <si>
    <t>06109</t>
  </si>
  <si>
    <t>06108</t>
  </si>
  <si>
    <t>06115</t>
  </si>
  <si>
    <t>06110</t>
  </si>
  <si>
    <t>06111</t>
  </si>
  <si>
    <t>06114</t>
  </si>
  <si>
    <t>06112</t>
  </si>
  <si>
    <t>06113</t>
  </si>
  <si>
    <t>06117</t>
  </si>
  <si>
    <t>06201</t>
  </si>
  <si>
    <t>06301</t>
  </si>
  <si>
    <t>06202</t>
  </si>
  <si>
    <t>06304</t>
  </si>
  <si>
    <t>06203</t>
  </si>
  <si>
    <t>06303</t>
  </si>
  <si>
    <t>06204</t>
  </si>
  <si>
    <t>06305</t>
  </si>
  <si>
    <t>06205</t>
  </si>
  <si>
    <t>06302</t>
  </si>
  <si>
    <t>06206</t>
  </si>
  <si>
    <t>06306</t>
  </si>
  <si>
    <t>06307</t>
  </si>
  <si>
    <t>06308</t>
  </si>
  <si>
    <t>06309</t>
  </si>
  <si>
    <t>06310</t>
  </si>
  <si>
    <t>07101</t>
  </si>
  <si>
    <t>07201</t>
  </si>
  <si>
    <t>07102</t>
  </si>
  <si>
    <t>07103</t>
  </si>
  <si>
    <t>07104</t>
  </si>
  <si>
    <t>07105</t>
  </si>
  <si>
    <t>07106</t>
  </si>
  <si>
    <t>07203</t>
  </si>
  <si>
    <t>07107</t>
  </si>
  <si>
    <t>07108</t>
  </si>
  <si>
    <t>07109</t>
  </si>
  <si>
    <t>07202</t>
  </si>
  <si>
    <t>07110</t>
  </si>
  <si>
    <t>07401</t>
  </si>
  <si>
    <t>07403</t>
  </si>
  <si>
    <t>07402</t>
  </si>
  <si>
    <t>07301</t>
  </si>
  <si>
    <t>07302</t>
  </si>
  <si>
    <t>07303</t>
  </si>
  <si>
    <t>07304</t>
  </si>
  <si>
    <t>07305</t>
  </si>
  <si>
    <t>07306</t>
  </si>
  <si>
    <t>07307</t>
  </si>
  <si>
    <t>07308</t>
  </si>
  <si>
    <t>07309</t>
  </si>
  <si>
    <t>07404</t>
  </si>
  <si>
    <t>07405</t>
  </si>
  <si>
    <t>07406</t>
  </si>
  <si>
    <t>07407</t>
  </si>
  <si>
    <t>07408</t>
  </si>
  <si>
    <t>08101</t>
  </si>
  <si>
    <t>08201</t>
  </si>
  <si>
    <t>08102</t>
  </si>
  <si>
    <t>08207</t>
  </si>
  <si>
    <t>08103</t>
  </si>
  <si>
    <t>08104</t>
  </si>
  <si>
    <t>08204</t>
  </si>
  <si>
    <t>08105</t>
  </si>
  <si>
    <t>08203</t>
  </si>
  <si>
    <t>08106</t>
  </si>
  <si>
    <t>08107</t>
  </si>
  <si>
    <t>08202</t>
  </si>
  <si>
    <t>08108</t>
  </si>
  <si>
    <t>08109</t>
  </si>
  <si>
    <t>08110</t>
  </si>
  <si>
    <t>08206</t>
  </si>
  <si>
    <t>08111</t>
  </si>
  <si>
    <t>08205</t>
  </si>
  <si>
    <t>08112</t>
  </si>
  <si>
    <t>08303</t>
  </si>
  <si>
    <t>08301</t>
  </si>
  <si>
    <t>08305</t>
  </si>
  <si>
    <t>08306</t>
  </si>
  <si>
    <t>08302</t>
  </si>
  <si>
    <t>08304</t>
  </si>
  <si>
    <t>08307</t>
  </si>
  <si>
    <t>08308</t>
  </si>
  <si>
    <t>08309</t>
  </si>
  <si>
    <t>08310</t>
  </si>
  <si>
    <t>08311</t>
  </si>
  <si>
    <t>08312</t>
  </si>
  <si>
    <t>08313</t>
  </si>
  <si>
    <t>08314</t>
  </si>
  <si>
    <t>09101</t>
  </si>
  <si>
    <t>09201</t>
  </si>
  <si>
    <t>09102</t>
  </si>
  <si>
    <t>09209</t>
  </si>
  <si>
    <t>09103</t>
  </si>
  <si>
    <t>09204</t>
  </si>
  <si>
    <t>09104</t>
  </si>
  <si>
    <t>09105</t>
  </si>
  <si>
    <t>09203</t>
  </si>
  <si>
    <t>09106</t>
  </si>
  <si>
    <t>09207</t>
  </si>
  <si>
    <t>09107</t>
  </si>
  <si>
    <t>09108</t>
  </si>
  <si>
    <t>09205</t>
  </si>
  <si>
    <t>09109</t>
  </si>
  <si>
    <t>09110</t>
  </si>
  <si>
    <t>09111</t>
  </si>
  <si>
    <t>09208</t>
  </si>
  <si>
    <t>09112</t>
  </si>
  <si>
    <t>09113</t>
  </si>
  <si>
    <t>09206</t>
  </si>
  <si>
    <t>09114</t>
  </si>
  <si>
    <t>09211</t>
  </si>
  <si>
    <t>09115</t>
  </si>
  <si>
    <t>09116</t>
  </si>
  <si>
    <t>09210</t>
  </si>
  <si>
    <t>09117</t>
  </si>
  <si>
    <t>09118</t>
  </si>
  <si>
    <t>09119</t>
  </si>
  <si>
    <t>09202</t>
  </si>
  <si>
    <t>09120</t>
  </si>
  <si>
    <t>09121</t>
  </si>
  <si>
    <t>RECNO</t>
  </si>
  <si>
    <t>TOTAL 
PREDIOS 
EXENTOS 
Comuna
 AÑO 2023 (N° ) 
(PXci)</t>
  </si>
  <si>
    <t>TOTAL PREDIOS 
por Comuna 
AÑO 2023 (N° ) 
(PTci)</t>
  </si>
  <si>
    <t>MONTO AVALÚO PREDIOS 
EXENTOS 
Comuna 
Año 2023 (PESOS) 
(MXci)</t>
  </si>
  <si>
    <t>MONTO AVALÚO PREDIOS 
 Comuna 
Año 2023 (PESOS) 
(MTci)</t>
  </si>
  <si>
    <t>Sub GeneraFicha()</t>
  </si>
  <si>
    <t>Dim num As Integer</t>
  </si>
  <si>
    <t>        Do While num &lt; 348</t>
  </si>
  <si>
    <t>            Application.Wait (Now + TimeValue("00:00:1"))</t>
  </si>
  <si>
    <t>            num = num + 1</t>
  </si>
  <si>
    <t>            ImpPDF</t>
  </si>
  <si>
    <t>        Loop</t>
  </si>
  <si>
    <t>MsgBox "Terminó la Generación, llegó al final"</t>
  </si>
  <si>
    <t>End Sub</t>
  </si>
  <si>
    <t>Sub ImpPDF()</t>
  </si>
  <si>
    <t>Dim NombreArchivo, RutaArchivo As String</t>
  </si>
  <si>
    <t>    ActiveSheet.ExportAsFixedFormat Type:=xlTypePDF, _</t>
  </si>
  <si>
    <t>    Quality:=xlQualityStandard, _</t>
  </si>
  <si>
    <t>    IncludeDocProperties:=True, _</t>
  </si>
  <si>
    <t>    IgnorePrintAreas:=False, _</t>
  </si>
  <si>
    <t>    OpenAfterPublish:=False</t>
  </si>
  <si>
    <t>S2 : números del 1 al 347</t>
  </si>
  <si>
    <t>S3:  donde aparece el codigo en largo 5 y le da el nombre al pdf que se genere.... </t>
  </si>
  <si>
    <t>=SI(LARGO(BUSCARV(S2;$E$167:$G$514;3;0))=4;"0"&amp;BUSCARV(S2;$E$167:$G$514;3;0)&amp;".pdf";BUSCARV(S2;$E$167:$G$514;3;0)&amp;".pdf")</t>
  </si>
  <si>
    <t>Los montos informados en tablas 2 y 3 no consideran descuentos por concepto de convenios, deudas o</t>
  </si>
  <si>
    <t>retenciones que pueda realizar durante el presente año, la Tesorería General de la República.</t>
  </si>
  <si>
    <t>Range("R2").Value = 1</t>
  </si>
  <si>
    <t>            Range("R2").Value = num</t>
  </si>
  <si>
    <t>    Filename:="C:\TEMP\FCM_2025\" &amp; NombreArchivo, _</t>
  </si>
  <si>
    <t>    NombreArchivo = Range("R3").Value</t>
  </si>
  <si>
    <r>
      <t xml:space="preserve">1.- </t>
    </r>
    <r>
      <rPr>
        <b/>
        <u/>
        <sz val="12"/>
        <color theme="1"/>
        <rFont val="Arial"/>
        <family val="2"/>
      </rPr>
      <t>RESUMEN AÑO</t>
    </r>
  </si>
  <si>
    <r>
      <t xml:space="preserve">2.- </t>
    </r>
    <r>
      <rPr>
        <b/>
        <u/>
        <sz val="12"/>
        <color theme="1"/>
        <rFont val="Arial"/>
        <family val="2"/>
      </rPr>
      <t>TOTAL ANTICIPOS y APORTE FISCAL FONDO COMÚN MUNICIPAL</t>
    </r>
  </si>
  <si>
    <r>
      <t xml:space="preserve">3.- </t>
    </r>
    <r>
      <rPr>
        <b/>
        <u/>
        <sz val="12"/>
        <color theme="1"/>
        <rFont val="Arial"/>
        <family val="2"/>
      </rPr>
      <t>TOTAL ANTICIPOS DE IMPUESTO TERRITORIAL y DERECHOS DE ASEO</t>
    </r>
  </si>
  <si>
    <r>
      <t xml:space="preserve">4.- </t>
    </r>
    <r>
      <rPr>
        <b/>
        <u/>
        <sz val="12"/>
        <color theme="1"/>
        <rFont val="Arial"/>
        <family val="2"/>
      </rPr>
      <t>EVOLUCIÓN FCM ÚLTIMOS AÑOS</t>
    </r>
  </si>
  <si>
    <t>MONTO ANTICIPO 
y 
APORTE FISCAL 
(M$)</t>
  </si>
  <si>
    <t>MONTO COMPENSACIÓN (M$)</t>
  </si>
  <si>
    <t>Estimación Total FCM</t>
  </si>
  <si>
    <r>
      <t>Se asigna proporción 
de la población 
flotante SERNATUR,  
sólo si 
M</t>
    </r>
    <r>
      <rPr>
        <b/>
        <vertAlign val="subscript"/>
        <sz val="10"/>
        <rFont val="Consolas"/>
        <family val="3"/>
      </rPr>
      <t>i</t>
    </r>
    <r>
      <rPr>
        <b/>
        <sz val="10"/>
        <rFont val="Consolas"/>
        <family val="3"/>
      </rPr>
      <t xml:space="preserve"> &gt; P</t>
    </r>
  </si>
  <si>
    <t>Población Comunal, Estimada por el INE (N° ) Año 2023</t>
  </si>
  <si>
    <t>Ingresos Propios Permanentes (IPP) (M$) Año 2023</t>
  </si>
  <si>
    <t>Población flotante total Estimada para 2024 Referencia Año 2023, Informada por SERNATUR (Para cálculos FCM 2025)</t>
  </si>
  <si>
    <t>Anticipos pagados AÑO 2024 (SIN: aporte fiscal, aportes extraordinarios y Ley Nº 19.704) Montos en M$ Pago Anticipo F.C.M.(*)</t>
  </si>
  <si>
    <t>Compensación Ley Nº 19704 ISLA DE PASCUA Año 2024 
(M$)</t>
  </si>
  <si>
    <t>Total FCM Estimado Cierre 2024 (neto Ley 19.704) (Anticipos pagados, Saldos Pagados y Aporte Fiscal Pagado (**) 
(M$)</t>
  </si>
  <si>
    <t>Información</t>
  </si>
  <si>
    <t>Originador</t>
  </si>
  <si>
    <t>Min. Desarrollo Social</t>
  </si>
  <si>
    <t>BEP - SINIM</t>
  </si>
  <si>
    <t>SERNATUR</t>
  </si>
  <si>
    <t>TGR</t>
  </si>
  <si>
    <t>INE - SINIM</t>
  </si>
  <si>
    <t>SII - SINIM</t>
  </si>
  <si>
    <t>Aporte Fiscal FCM</t>
  </si>
  <si>
    <t>Aporte Fiscal FET</t>
  </si>
  <si>
    <t>Aporte Fiscal FCMi</t>
  </si>
  <si>
    <t>monto web DIPRES (PESOS)</t>
  </si>
  <si>
    <t>Monto FET en PESOS (Ajustado)</t>
  </si>
  <si>
    <t>Cuota 1 (Pesos)</t>
  </si>
  <si>
    <t>Cuota 2 (Pesos)</t>
  </si>
  <si>
    <t>Cuota 3 (Pesos)</t>
  </si>
  <si>
    <t>Cuota 4 (Pesos)</t>
  </si>
  <si>
    <t>( ab )</t>
  </si>
  <si>
    <t>( aa )</t>
  </si>
  <si>
    <t>( ac )</t>
  </si>
  <si>
    <t>( ad )</t>
  </si>
  <si>
    <t>Monto FCMi en PESOS (Ajustado)</t>
  </si>
  <si>
    <t>Código Comuna</t>
  </si>
  <si>
    <t>Accede (Sí/No)</t>
  </si>
  <si>
    <t>Sí</t>
  </si>
  <si>
    <t>Indicador de nivel de incidencia de la Actividad Minera</t>
  </si>
  <si>
    <t>Decimales Indicadores y Coeficiente MINERO</t>
  </si>
  <si>
    <t>MINERO PUENTE 2024</t>
  </si>
  <si>
    <t>Monto MINERO NO OFICIAL AL 09/01/25</t>
  </si>
  <si>
    <t>N° veces 25 // 24</t>
  </si>
  <si>
    <t>ACCESO COMUNAS MINERAS</t>
  </si>
  <si>
    <t>INDICADOR DE NIVEL DE INCIDENCIA DE ACTIVIDAD MINERA (YA PONDERADO 40%)</t>
  </si>
  <si>
    <t>Monto MINERO NO OFICIAL AL 239/01/25</t>
  </si>
  <si>
    <t>FCM 2026</t>
  </si>
  <si>
    <t>BEP 2023</t>
  </si>
  <si>
    <t>Estimación de Porcentaje de Personas Pobres, Encuesta CASEN</t>
  </si>
  <si>
    <t>Tarapacá</t>
  </si>
  <si>
    <t>Iquique</t>
  </si>
  <si>
    <t>Pica</t>
  </si>
  <si>
    <t>Antofagasta</t>
  </si>
  <si>
    <t>Mejillones</t>
  </si>
  <si>
    <t>Sierra Gorda</t>
  </si>
  <si>
    <t>Taltal</t>
  </si>
  <si>
    <t>Calama</t>
  </si>
  <si>
    <t>Ollagüe</t>
  </si>
  <si>
    <t>San Pedro de Atacama</t>
  </si>
  <si>
    <t>Tocopilla</t>
  </si>
  <si>
    <t>María Elena</t>
  </si>
  <si>
    <t>Atacama</t>
  </si>
  <si>
    <t>Caldera</t>
  </si>
  <si>
    <t>Chañaral</t>
  </si>
  <si>
    <t>Copiapó</t>
  </si>
  <si>
    <t>Diego de Almagro</t>
  </si>
  <si>
    <t>Freirina</t>
  </si>
  <si>
    <t>Huasco</t>
  </si>
  <si>
    <t>Tierra Amarilla</t>
  </si>
  <si>
    <t>Vallenar</t>
  </si>
  <si>
    <t>Coquimbo</t>
  </si>
  <si>
    <t>La Serena</t>
  </si>
  <si>
    <t>Andacollo</t>
  </si>
  <si>
    <t>La Higuera</t>
  </si>
  <si>
    <t>Illapel</t>
  </si>
  <si>
    <t>Canela</t>
  </si>
  <si>
    <t>Los Vilos</t>
  </si>
  <si>
    <t>Salamanca</t>
  </si>
  <si>
    <t>Combarbalá</t>
  </si>
  <si>
    <t>Monte Patria</t>
  </si>
  <si>
    <t>Punitaqui</t>
  </si>
  <si>
    <t>Valparaíso</t>
  </si>
  <si>
    <t>Puchuncaví</t>
  </si>
  <si>
    <t>Quintero</t>
  </si>
  <si>
    <t>Los Andes</t>
  </si>
  <si>
    <t>Calle Larga</t>
  </si>
  <si>
    <t>Cabildo</t>
  </si>
  <si>
    <t>La Calera</t>
  </si>
  <si>
    <t>Nogales</t>
  </si>
  <si>
    <t>San Felipe</t>
  </si>
  <si>
    <t>Catemu</t>
  </si>
  <si>
    <t>Rancagua</t>
  </si>
  <si>
    <t>Coltauco</t>
  </si>
  <si>
    <t>Doñihue</t>
  </si>
  <si>
    <t>Machalí</t>
  </si>
  <si>
    <t>Requínoa</t>
  </si>
  <si>
    <t>Litueche</t>
  </si>
  <si>
    <t>Código</t>
  </si>
  <si>
    <t>Comuna</t>
  </si>
  <si>
    <t>Región</t>
  </si>
  <si>
    <t>Indicador de nivel de incidencia de la Actividád</t>
  </si>
  <si>
    <t>Minera</t>
  </si>
  <si>
    <t>pe torca</t>
  </si>
  <si>
    <t>Libertador Gral. Bernardo O Higgins</t>
  </si>
  <si>
    <t>% Promedio Glosa 10 FCM Ley pptos</t>
  </si>
  <si>
    <t>Glosas 9 y 10 Ley PPTOS</t>
  </si>
  <si>
    <t>https://www.dipres.gob.cl/597/articles-387237_doc_pdf.pdf</t>
  </si>
  <si>
    <t>Factor</t>
  </si>
  <si>
    <t xml:space="preserve">(*) Datos para cálculo Glosa Nº, de la Partida:50, Capítulo: 01, </t>
  </si>
  <si>
    <t>&lt;=</t>
  </si>
  <si>
    <t>&gt;</t>
  </si>
  <si>
    <t>Accesos FET (Entra por Criterio de:)</t>
  </si>
  <si>
    <t>t_FET</t>
  </si>
  <si>
    <t>01</t>
  </si>
  <si>
    <t>10</t>
  </si>
  <si>
    <t>11</t>
  </si>
  <si>
    <t>00</t>
  </si>
  <si>
    <t>Sin Acceso</t>
  </si>
  <si>
    <t>PARA TABLA ARTICULO 1</t>
  </si>
  <si>
    <t>PARA TABLA ARTICULO 2</t>
  </si>
  <si>
    <t>Artículo 1</t>
  </si>
  <si>
    <t>Con Acceso</t>
  </si>
  <si>
    <t>Antartica NO PARTICIPA</t>
  </si>
  <si>
    <t>Articulo 2</t>
  </si>
  <si>
    <t>TABLA PARA DECRETO FONDO COMUN MINERO</t>
  </si>
  <si>
    <t>Articulo 1</t>
  </si>
  <si>
    <t>Dato COCHILCO-DIPRES</t>
  </si>
  <si>
    <t>FET - TABLAS DECRETO</t>
  </si>
  <si>
    <t>FCMi - TABLA DECRETO</t>
  </si>
  <si>
    <t>San Pedro De Atacama</t>
  </si>
  <si>
    <t>Diego De Almagro</t>
  </si>
  <si>
    <t>Petorca</t>
  </si>
  <si>
    <t>Tipo</t>
  </si>
  <si>
    <t>FCMi_26</t>
  </si>
  <si>
    <t>Diciembre 2024</t>
  </si>
  <si>
    <t>Enero 2025</t>
  </si>
  <si>
    <t>OFICIO ORDINARIO (E) N° 1011-DFP - 24/12/2025  - TGR</t>
  </si>
  <si>
    <t>Recaudación 2025</t>
  </si>
  <si>
    <t>Anticipos 2026</t>
  </si>
  <si>
    <t>IPASCUA2025</t>
  </si>
  <si>
    <t>FCM2025</t>
  </si>
  <si>
    <t>CIERRE 2024</t>
  </si>
  <si>
    <t xml:space="preserve">Datos para cálculo Glosa Nº08, de la Partida:50, Capítulo: 01, </t>
  </si>
  <si>
    <t xml:space="preserve"> Cierre  para determinación del Mecanismo de Estabilización.</t>
  </si>
  <si>
    <t xml:space="preserve"> Cierre  para determinacióndependencia FCM uso en el FET</t>
  </si>
  <si>
    <t>Entra por Criterio de Dependencia</t>
  </si>
  <si>
    <t>Entra por Criterio de Percentil</t>
  </si>
  <si>
    <t>Acceso</t>
  </si>
  <si>
    <t>Entra por Criterio de Dependencia y Percentil</t>
  </si>
  <si>
    <t xml:space="preserve">TOTAL MES DE FEBRERO </t>
  </si>
  <si>
    <t xml:space="preserve">TOTAL MES DE MARZO </t>
  </si>
  <si>
    <t xml:space="preserve">TOTAL MES DE ABRIL </t>
  </si>
  <si>
    <t xml:space="preserve">TOTAL MES DE MAYO </t>
  </si>
  <si>
    <t xml:space="preserve">TOTAL MES DE JUNIO </t>
  </si>
  <si>
    <t xml:space="preserve">TOTAL MES DE JULIO </t>
  </si>
  <si>
    <t xml:space="preserve">TOTAL MES DE AGOSTO </t>
  </si>
  <si>
    <t xml:space="preserve">TOTAL MES DE SEPTIEMBRE </t>
  </si>
  <si>
    <t xml:space="preserve">TOTAL MES DE OCTUBRE </t>
  </si>
  <si>
    <t xml:space="preserve">TOTAL MES DE NOVIEMBRE </t>
  </si>
  <si>
    <t xml:space="preserve">TOTAL MES DE DICIEMBRE </t>
  </si>
  <si>
    <t>46_CIERRE2025</t>
  </si>
  <si>
    <t>47_APERTURA2026</t>
  </si>
  <si>
    <t>48_MINERO_2024</t>
  </si>
  <si>
    <t>50_MINERO_2025</t>
  </si>
  <si>
    <t>51_MINERO_2026</t>
  </si>
  <si>
    <t>51_FET_2024</t>
  </si>
  <si>
    <t>52_FET_2025</t>
  </si>
  <si>
    <t>53_FET_2026</t>
  </si>
  <si>
    <t>Ver:5 20251231</t>
  </si>
  <si>
    <r>
      <t xml:space="preserve">Aporte Fiscal (Glosa </t>
    </r>
    <r>
      <rPr>
        <b/>
        <sz val="8"/>
        <color rgb="FFFF0000"/>
        <rFont val="Consolas"/>
        <family val="3"/>
      </rPr>
      <t>10</t>
    </r>
    <r>
      <rPr>
        <b/>
        <sz val="8"/>
        <rFont val="Consolas"/>
        <family val="3"/>
      </rPr>
      <t>) (2.500.000 UTM) (PESOS)</t>
    </r>
  </si>
  <si>
    <r>
      <t xml:space="preserve">Aporte Fiscal (Glosa </t>
    </r>
    <r>
      <rPr>
        <b/>
        <sz val="8"/>
        <color rgb="FFFF0000"/>
        <rFont val="Consolas"/>
        <family val="3"/>
      </rPr>
      <t>10</t>
    </r>
    <r>
      <rPr>
        <b/>
        <sz val="8"/>
        <rFont val="Consolas"/>
        <family val="3"/>
      </rPr>
      <t>) (800.000 UTM) (PESOS)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</si>
</sst>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 #,##0_-;_-* &quot;-&quot;_-;_-@_-"/>
    <numFmt numFmtId="165" formatCode="_-* #,##0.00_-;\-* #,##0.00_-;_-* &quot;-&quot;??_-;_-@_-"/>
    <numFmt numFmtId="166" formatCode="_-* #,##0_-;\-* #,##0_-;_-* &quot;-&quot;??_-;_-@_-"/>
    <numFmt numFmtId="167" formatCode="0.0000000000000"/>
    <numFmt numFmtId="168" formatCode="0.0%"/>
    <numFmt numFmtId="169" formatCode="_-* #,##0.0000_-;\-* #,##0.0000_-;_-* &quot;-&quot;??_-;_-@_-"/>
    <numFmt numFmtId="170" formatCode="_-* #,##0.000000000_-;\-* #,##0.000000000_-;_-* &quot;-&quot;??_-;_-@_-"/>
    <numFmt numFmtId="171" formatCode="_-* #,##0.0000000000000_-;\-* #,##0.0000000000000_-;_-* &quot;-&quot;??_-;_-@_-"/>
    <numFmt numFmtId="172" formatCode="_-* #,##0\ _P_t_s_-;\-* #,##0\ _P_t_s_-;_-* &quot;-&quot;??\ _P_t_s_-;_-@_-"/>
    <numFmt numFmtId="173" formatCode="_-* #,##0.0000000000000_-;\-* #,##0.0000000000000_-;_-* &quot;-&quot;?????????????_-;_-@_-"/>
    <numFmt numFmtId="174" formatCode="_-* #,##0\ _p_t_a_-;\-* #,##0\ _p_t_a_-;_-* &quot;-&quot;??\ _p_t_a_-;_-@_-"/>
    <numFmt numFmtId="175" formatCode="#,##0_ ;[Red]\-#,##0\ "/>
    <numFmt numFmtId="176" formatCode="dd/mm/yyyy;@"/>
    <numFmt numFmtId="177" formatCode="#,##0;[Red]\(#,##0\)"/>
    <numFmt numFmtId="178" formatCode="_-* #,##0.000_-;\-* #,##0.000_-;_-* &quot;-&quot;??_-;_-@_-"/>
    <numFmt numFmtId="179" formatCode="_-* #,##0.000\ _p_t_a_-;\-* #,##0.000\ _p_t_a_-;_-* &quot;-&quot;??\ _p_t_a_-;_-@_-"/>
    <numFmt numFmtId="180" formatCode="0.00000000000000"/>
    <numFmt numFmtId="181" formatCode="#,##0.0"/>
    <numFmt numFmtId="182" formatCode="_-* #,##0.00_-;\-* #,##0.00_-;_-* &quot;-&quot;_-;_-@_-"/>
    <numFmt numFmtId="183" formatCode="_-* #,##0.000000000000_-;\-* #,##0.000000000000_-;_-* &quot;-&quot;_-;_-@_-"/>
    <numFmt numFmtId="184" formatCode="_-* #,##0.0000000000000_-;\-* #,##0.0000000000000_-;_-* &quot;-&quot;_-;_-@_-"/>
    <numFmt numFmtId="185" formatCode="_-* #,##0.0000000000000000_-;\-* #,##0.0000000000000000_-;_-* &quot;-&quot;_-;_-@_-"/>
    <numFmt numFmtId="186" formatCode="_ * #,##0.0000000000000_ ;_ * \-#,##0.0000000000000_ ;_ * &quot;-&quot;?????????????_ ;_ @_ "/>
    <numFmt numFmtId="187" formatCode="0.000"/>
    <numFmt numFmtId="188" formatCode="0.00000000000000000"/>
    <numFmt numFmtId="189" formatCode="_-* #,##0.000_-;\-* #,##0.000_-;_-* &quot;-&quot;_-;_-@_-"/>
    <numFmt numFmtId="190" formatCode="_-* #,##0.00000000000_-;\-* #,##0.00000000000_-;_-* &quot;-&quot;_-;_-@_-"/>
    <numFmt numFmtId="191" formatCode="0.000000000"/>
    <numFmt numFmtId="192" formatCode="_-* #,##0.000000_-;\-* #,##0.000000_-;_-* &quot;-&quot;_-;_-@_-"/>
    <numFmt numFmtId="193" formatCode="_-* #,##0.0000000_-;\-* #,##0.0000000_-;_-* &quot;-&quot;_-;_-@_-"/>
  </numFmts>
  <fonts count="143" x14ac:knownFonts="1">
    <font>
      <sz val="11"/>
      <color theme="1"/>
      <name val="Calibri"/>
      <family val="2"/>
      <scheme val="minor"/>
    </font>
    <font>
      <sz val="11"/>
      <color indexed="8"/>
      <name val="Calibri"/>
      <family val="2"/>
    </font>
    <font>
      <sz val="10"/>
      <name val="Arial"/>
      <family val="2"/>
    </font>
    <font>
      <sz val="9"/>
      <name val="Arial"/>
      <family val="2"/>
    </font>
    <font>
      <b/>
      <sz val="9"/>
      <name val="Arial"/>
      <family val="2"/>
    </font>
    <font>
      <b/>
      <sz val="12"/>
      <name val="Arial"/>
      <family val="2"/>
    </font>
    <font>
      <sz val="11"/>
      <color indexed="8"/>
      <name val="Calibri"/>
      <family val="2"/>
    </font>
    <font>
      <sz val="8"/>
      <color indexed="8"/>
      <name val="Calibri"/>
      <family val="2"/>
    </font>
    <font>
      <sz val="11"/>
      <name val="Calibri"/>
      <family val="2"/>
    </font>
    <font>
      <sz val="8"/>
      <name val="Calibri"/>
      <family val="2"/>
    </font>
    <font>
      <b/>
      <sz val="8"/>
      <color indexed="8"/>
      <name val="Lucida Console"/>
      <family val="3"/>
    </font>
    <font>
      <b/>
      <sz val="8"/>
      <name val="Lucida Console"/>
      <family val="3"/>
    </font>
    <font>
      <b/>
      <sz val="16"/>
      <name val="Arial Black"/>
      <family val="2"/>
    </font>
    <font>
      <sz val="9"/>
      <name val="Calibri"/>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3"/>
      <color theme="3"/>
      <name val="Calibri"/>
      <family val="2"/>
      <scheme val="minor"/>
    </font>
    <font>
      <sz val="18"/>
      <color theme="3"/>
      <name val="Cambria"/>
      <family val="2"/>
      <scheme val="major"/>
    </font>
    <font>
      <b/>
      <sz val="11"/>
      <color theme="1"/>
      <name val="Calibri"/>
      <family val="2"/>
      <scheme val="minor"/>
    </font>
    <font>
      <sz val="11"/>
      <color rgb="FFFFFF00"/>
      <name val="Calibri"/>
      <family val="2"/>
      <scheme val="minor"/>
    </font>
    <font>
      <sz val="11"/>
      <name val="Calibri"/>
      <family val="2"/>
      <scheme val="minor"/>
    </font>
    <font>
      <sz val="11"/>
      <color rgb="FFFFFF00"/>
      <name val="Calibri"/>
      <family val="2"/>
    </font>
    <font>
      <b/>
      <sz val="11"/>
      <name val="Arial"/>
      <family val="2"/>
    </font>
    <font>
      <sz val="8"/>
      <name val="Calibri"/>
      <family val="2"/>
      <scheme val="minor"/>
    </font>
    <font>
      <sz val="11"/>
      <color rgb="FFFF0000"/>
      <name val="Calibri"/>
      <family val="2"/>
    </font>
    <font>
      <b/>
      <sz val="11"/>
      <color rgb="FFFF0000"/>
      <name val="Calibri"/>
      <family val="2"/>
    </font>
    <font>
      <b/>
      <sz val="8"/>
      <color theme="0"/>
      <name val="Arial"/>
      <family val="2"/>
    </font>
    <font>
      <b/>
      <sz val="12"/>
      <color theme="0"/>
      <name val="Arial Black"/>
      <family val="2"/>
    </font>
    <font>
      <b/>
      <sz val="11"/>
      <name val="Calibri"/>
      <family val="2"/>
      <scheme val="minor"/>
    </font>
    <font>
      <b/>
      <sz val="9"/>
      <name val="Calibri"/>
      <family val="2"/>
      <scheme val="minor"/>
    </font>
    <font>
      <sz val="9"/>
      <name val="Calibri"/>
      <family val="2"/>
      <scheme val="minor"/>
    </font>
    <font>
      <sz val="11"/>
      <color rgb="FF002060"/>
      <name val="Calibri"/>
      <family val="2"/>
      <scheme val="minor"/>
    </font>
    <font>
      <b/>
      <sz val="11"/>
      <color rgb="FFFF0000"/>
      <name val="Calibri"/>
      <family val="2"/>
      <scheme val="minor"/>
    </font>
    <font>
      <sz val="1"/>
      <color rgb="FFFF0000"/>
      <name val="Calibri"/>
      <family val="2"/>
    </font>
    <font>
      <b/>
      <sz val="16"/>
      <color rgb="FFFF0000"/>
      <name val="Arial Black"/>
      <family val="2"/>
    </font>
    <font>
      <b/>
      <sz val="9"/>
      <color rgb="FFFF0000"/>
      <name val="Arial"/>
      <family val="2"/>
    </font>
    <font>
      <b/>
      <sz val="11"/>
      <color rgb="FF002060"/>
      <name val="Calibri"/>
      <family val="2"/>
      <scheme val="minor"/>
    </font>
    <font>
      <sz val="6"/>
      <name val="Leelawadee UI"/>
      <family val="2"/>
    </font>
    <font>
      <b/>
      <sz val="8"/>
      <color rgb="FFFFFF00"/>
      <name val="Calibri"/>
      <family val="2"/>
    </font>
    <font>
      <sz val="8"/>
      <color rgb="FFFFFF00"/>
      <name val="Calibri"/>
      <family val="2"/>
    </font>
    <font>
      <sz val="8"/>
      <color theme="1"/>
      <name val="Calibri"/>
      <family val="2"/>
      <scheme val="minor"/>
    </font>
    <font>
      <sz val="10"/>
      <name val="Calibri"/>
      <family val="2"/>
      <scheme val="minor"/>
    </font>
    <font>
      <b/>
      <sz val="8"/>
      <color rgb="FFFF0000"/>
      <name val="Calibri"/>
      <family val="2"/>
    </font>
    <font>
      <b/>
      <sz val="12"/>
      <color theme="1"/>
      <name val="Consolas"/>
      <family val="3"/>
    </font>
    <font>
      <sz val="11"/>
      <color theme="1"/>
      <name val="Consolas"/>
      <family val="3"/>
    </font>
    <font>
      <sz val="10"/>
      <color theme="1"/>
      <name val="Consolas"/>
      <family val="3"/>
    </font>
    <font>
      <b/>
      <sz val="14"/>
      <color theme="1"/>
      <name val="Consolas"/>
      <family val="3"/>
    </font>
    <font>
      <b/>
      <sz val="14"/>
      <color rgb="FFFF0000"/>
      <name val="Consolas"/>
      <family val="3"/>
    </font>
    <font>
      <sz val="11"/>
      <name val="Consolas"/>
      <family val="3"/>
    </font>
    <font>
      <b/>
      <sz val="8"/>
      <name val="Consolas"/>
      <family val="3"/>
    </font>
    <font>
      <sz val="11"/>
      <color indexed="9"/>
      <name val="Consolas"/>
      <family val="3"/>
    </font>
    <font>
      <sz val="11"/>
      <color rgb="FFFF0000"/>
      <name val="Consolas"/>
      <family val="3"/>
    </font>
    <font>
      <sz val="9"/>
      <name val="Consolas"/>
      <family val="3"/>
    </font>
    <font>
      <b/>
      <sz val="9"/>
      <name val="Consolas"/>
      <family val="3"/>
    </font>
    <font>
      <b/>
      <sz val="9"/>
      <color indexed="8"/>
      <name val="Consolas"/>
      <family val="3"/>
    </font>
    <font>
      <sz val="6"/>
      <name val="Consolas"/>
      <family val="3"/>
    </font>
    <font>
      <b/>
      <sz val="10"/>
      <name val="Consolas"/>
      <family val="3"/>
    </font>
    <font>
      <sz val="8"/>
      <color indexed="8"/>
      <name val="Consolas"/>
      <family val="3"/>
    </font>
    <font>
      <sz val="9"/>
      <color indexed="9"/>
      <name val="Consolas"/>
      <family val="3"/>
    </font>
    <font>
      <b/>
      <sz val="9"/>
      <color indexed="10"/>
      <name val="Consolas"/>
      <family val="3"/>
    </font>
    <font>
      <sz val="11"/>
      <color indexed="8"/>
      <name val="Consolas"/>
      <family val="3"/>
    </font>
    <font>
      <sz val="11"/>
      <color indexed="56"/>
      <name val="Consolas"/>
      <family val="3"/>
    </font>
    <font>
      <b/>
      <sz val="8"/>
      <color indexed="8"/>
      <name val="Consolas"/>
      <family val="3"/>
    </font>
    <font>
      <b/>
      <sz val="12"/>
      <name val="Consolas"/>
      <family val="3"/>
    </font>
    <font>
      <b/>
      <sz val="11"/>
      <name val="Consolas"/>
      <family val="3"/>
    </font>
    <font>
      <b/>
      <sz val="14"/>
      <name val="Consolas"/>
      <family val="3"/>
    </font>
    <font>
      <sz val="11"/>
      <color theme="1"/>
      <name val="Arial"/>
      <family val="2"/>
    </font>
    <font>
      <sz val="11"/>
      <color indexed="8"/>
      <name val="Arial"/>
      <family val="2"/>
    </font>
    <font>
      <b/>
      <sz val="11"/>
      <color theme="1"/>
      <name val="Arial"/>
      <family val="2"/>
    </font>
    <font>
      <sz val="11"/>
      <color indexed="10"/>
      <name val="Consolas"/>
      <family val="3"/>
    </font>
    <font>
      <sz val="11"/>
      <color theme="0"/>
      <name val="Consolas"/>
      <family val="3"/>
    </font>
    <font>
      <sz val="10"/>
      <color indexed="10"/>
      <name val="Consolas"/>
      <family val="3"/>
    </font>
    <font>
      <sz val="10"/>
      <name val="Consolas"/>
      <family val="3"/>
    </font>
    <font>
      <b/>
      <sz val="8"/>
      <color rgb="FFFF0000"/>
      <name val="Consolas"/>
      <family val="3"/>
    </font>
    <font>
      <sz val="7"/>
      <color rgb="FFFF0000"/>
      <name val="Consolas"/>
      <family val="3"/>
    </font>
    <font>
      <b/>
      <sz val="10"/>
      <color theme="1"/>
      <name val="Consolas"/>
      <family val="3"/>
    </font>
    <font>
      <sz val="8"/>
      <color theme="0"/>
      <name val="Consolas"/>
      <family val="3"/>
    </font>
    <font>
      <sz val="10"/>
      <color rgb="FFFF0000"/>
      <name val="Consolas"/>
      <family val="3"/>
    </font>
    <font>
      <sz val="8"/>
      <color theme="1"/>
      <name val="Consolas"/>
      <family val="3"/>
    </font>
    <font>
      <sz val="8"/>
      <name val="Consolas"/>
      <family val="3"/>
    </font>
    <font>
      <b/>
      <sz val="10"/>
      <color rgb="FFFF0000"/>
      <name val="Consolas"/>
      <family val="3"/>
    </font>
    <font>
      <sz val="8"/>
      <color rgb="FF002060"/>
      <name val="Consolas"/>
      <family val="3"/>
    </font>
    <font>
      <sz val="8"/>
      <color rgb="FFFF0000"/>
      <name val="Consolas"/>
      <family val="3"/>
    </font>
    <font>
      <b/>
      <sz val="8"/>
      <color theme="1"/>
      <name val="Consolas"/>
      <family val="3"/>
    </font>
    <font>
      <b/>
      <sz val="8"/>
      <color rgb="FF000000"/>
      <name val="Consolas"/>
      <family val="3"/>
    </font>
    <font>
      <sz val="8"/>
      <color rgb="FF000000"/>
      <name val="Consolas"/>
      <family val="3"/>
    </font>
    <font>
      <b/>
      <sz val="8"/>
      <color rgb="FF002060"/>
      <name val="Calibri"/>
      <family val="2"/>
    </font>
    <font>
      <b/>
      <sz val="10"/>
      <color theme="0"/>
      <name val="Consolas"/>
      <family val="3"/>
    </font>
    <font>
      <sz val="10"/>
      <color theme="1"/>
      <name val="Arial"/>
      <family val="2"/>
    </font>
    <font>
      <b/>
      <sz val="10"/>
      <color theme="1"/>
      <name val="Arial"/>
      <family val="2"/>
    </font>
    <font>
      <sz val="8"/>
      <color theme="1"/>
      <name val="Arial"/>
      <family val="2"/>
    </font>
    <font>
      <b/>
      <sz val="14"/>
      <color theme="1"/>
      <name val="Arial"/>
      <family val="2"/>
    </font>
    <font>
      <b/>
      <sz val="16"/>
      <color theme="1"/>
      <name val="Arial"/>
      <family val="2"/>
    </font>
    <font>
      <b/>
      <sz val="12"/>
      <color theme="1"/>
      <name val="Arial"/>
      <family val="2"/>
    </font>
    <font>
      <b/>
      <u/>
      <sz val="12"/>
      <color theme="1"/>
      <name val="Arial"/>
      <family val="2"/>
    </font>
    <font>
      <sz val="10"/>
      <color rgb="FF000000"/>
      <name val="Arial"/>
      <family val="2"/>
    </font>
    <font>
      <sz val="9"/>
      <color rgb="FF000000"/>
      <name val="Arial"/>
      <family val="2"/>
    </font>
    <font>
      <sz val="9"/>
      <color theme="1"/>
      <name val="Arial"/>
      <family val="2"/>
    </font>
    <font>
      <b/>
      <sz val="8"/>
      <color theme="1"/>
      <name val="Arial"/>
      <family val="2"/>
    </font>
    <font>
      <sz val="10"/>
      <color theme="0"/>
      <name val="Consolas"/>
      <family val="3"/>
    </font>
    <font>
      <b/>
      <vertAlign val="subscript"/>
      <sz val="10"/>
      <name val="Consolas"/>
      <family val="3"/>
    </font>
    <font>
      <b/>
      <sz val="12"/>
      <color theme="0"/>
      <name val="Consolas"/>
      <family val="3"/>
    </font>
    <font>
      <b/>
      <sz val="14"/>
      <color rgb="FFFFFF00"/>
      <name val="Calibri"/>
      <family val="2"/>
      <scheme val="minor"/>
    </font>
    <font>
      <sz val="10"/>
      <color theme="1"/>
      <name val="Calibri"/>
      <family val="2"/>
      <scheme val="minor"/>
    </font>
    <font>
      <b/>
      <sz val="10"/>
      <color rgb="FFFF0000"/>
      <name val="Calibri"/>
      <family val="2"/>
      <scheme val="minor"/>
    </font>
    <font>
      <sz val="11"/>
      <color indexed="81"/>
      <name val="Tahoma"/>
      <family val="2"/>
    </font>
    <font>
      <b/>
      <sz val="11"/>
      <color indexed="81"/>
      <name val="Tahoma"/>
      <family val="2"/>
    </font>
    <font>
      <b/>
      <sz val="14"/>
      <color rgb="FFFF0000"/>
      <name val="Calibri"/>
      <family val="2"/>
      <scheme val="minor"/>
    </font>
    <font>
      <b/>
      <sz val="11"/>
      <color theme="3" tint="-0.249977111117893"/>
      <name val="Calibri"/>
      <family val="2"/>
      <scheme val="minor"/>
    </font>
    <font>
      <sz val="11"/>
      <color theme="3" tint="-0.249977111117893"/>
      <name val="Calibri"/>
      <family val="2"/>
      <scheme val="minor"/>
    </font>
    <font>
      <b/>
      <sz val="14"/>
      <color theme="3" tint="-0.249977111117893"/>
      <name val="Calibri"/>
      <family val="2"/>
      <scheme val="minor"/>
    </font>
    <font>
      <b/>
      <sz val="10"/>
      <color rgb="FFFFFFFF"/>
      <name val="Calibri"/>
      <family val="2"/>
    </font>
    <font>
      <b/>
      <sz val="20"/>
      <color indexed="8"/>
      <name val="Calibri"/>
      <family val="2"/>
    </font>
    <font>
      <b/>
      <sz val="20"/>
      <color theme="1"/>
      <name val="Calibri"/>
      <family val="2"/>
      <scheme val="minor"/>
    </font>
    <font>
      <b/>
      <sz val="8"/>
      <color theme="1"/>
      <name val="Calibri"/>
      <family val="2"/>
      <scheme val="minor"/>
    </font>
    <font>
      <sz val="9"/>
      <color theme="1"/>
      <name val="Calibri"/>
      <family val="2"/>
      <scheme val="minor"/>
    </font>
    <font>
      <b/>
      <sz val="9"/>
      <color theme="1"/>
      <name val="Calibri"/>
      <family val="2"/>
      <scheme val="minor"/>
    </font>
    <font>
      <b/>
      <sz val="11"/>
      <color rgb="FFFFFF00"/>
      <name val="Calibri"/>
      <family val="2"/>
    </font>
    <font>
      <b/>
      <sz val="11"/>
      <color rgb="FFFFFF00"/>
      <name val="Calibri"/>
      <family val="2"/>
      <scheme val="minor"/>
    </font>
    <font>
      <b/>
      <sz val="9"/>
      <name val="Calibri"/>
      <family val="2"/>
    </font>
    <font>
      <sz val="8"/>
      <name val="Leelawadee UI"/>
      <family val="2"/>
    </font>
    <font>
      <sz val="8"/>
      <color theme="2"/>
      <name val="Calibri"/>
      <family val="2"/>
    </font>
    <font>
      <sz val="8"/>
      <color rgb="FF002060"/>
      <name val="Calibri"/>
      <family val="2"/>
    </font>
    <font>
      <sz val="14"/>
      <name val="Consolas"/>
      <family val="3"/>
    </font>
    <font>
      <sz val="8"/>
      <color rgb="FFFFFF00"/>
      <name val="Consolas"/>
      <family val="3"/>
    </font>
    <font>
      <b/>
      <sz val="8"/>
      <color rgb="FFFFFF00"/>
      <name val="Consolas"/>
      <family val="3"/>
    </font>
    <font>
      <b/>
      <u/>
      <sz val="8"/>
      <color theme="1"/>
      <name val="Consolas"/>
      <family val="3"/>
    </font>
    <font>
      <b/>
      <sz val="8"/>
      <color theme="0"/>
      <name val="Calibri"/>
      <family val="2"/>
      <scheme val="minor"/>
    </font>
    <font>
      <b/>
      <sz val="8"/>
      <color rgb="FFFF0000"/>
      <name val="Calibri"/>
      <family val="2"/>
      <scheme val="minor"/>
    </font>
    <font>
      <i/>
      <sz val="8"/>
      <name val="Consolas"/>
      <family val="3"/>
    </font>
  </fonts>
  <fills count="68">
    <fill>
      <patternFill patternType="none"/>
    </fill>
    <fill>
      <patternFill patternType="gray125"/>
    </fill>
    <fill>
      <patternFill patternType="solid">
        <fgColor indexed="43"/>
        <bgColor indexed="64"/>
      </patternFill>
    </fill>
    <fill>
      <patternFill patternType="solid">
        <fgColor indexed="50"/>
        <bgColor indexed="64"/>
      </patternFill>
    </fill>
    <fill>
      <patternFill patternType="solid">
        <fgColor indexed="13"/>
        <bgColor indexed="64"/>
      </patternFill>
    </fill>
    <fill>
      <patternFill patternType="solid">
        <fgColor indexed="51"/>
        <bgColor indexed="64"/>
      </patternFill>
    </fill>
    <fill>
      <patternFill patternType="solid">
        <fgColor indexed="49"/>
        <bgColor indexed="64"/>
      </patternFill>
    </fill>
    <fill>
      <patternFill patternType="solid">
        <fgColor indexed="11"/>
        <bgColor indexed="64"/>
      </patternFill>
    </fill>
    <fill>
      <patternFill patternType="solid">
        <fgColor indexed="29"/>
        <bgColor indexed="64"/>
      </patternFill>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002060"/>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9" tint="-0.499984740745262"/>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F69B4"/>
        <bgColor indexed="64"/>
      </patternFill>
    </fill>
    <fill>
      <patternFill patternType="solid">
        <fgColor theme="7" tint="0.79998168889431442"/>
        <bgColor indexed="64"/>
      </patternFill>
    </fill>
    <fill>
      <patternFill patternType="solid">
        <fgColor rgb="FF7030A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ashed">
        <color indexed="10"/>
      </left>
      <right style="dashed">
        <color indexed="10"/>
      </right>
      <top style="dashed">
        <color indexed="10"/>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rgb="FF173277"/>
      </right>
      <top style="medium">
        <color indexed="64"/>
      </top>
      <bottom style="medium">
        <color indexed="64"/>
      </bottom>
      <diagonal/>
    </border>
    <border>
      <left/>
      <right style="medium">
        <color rgb="FF173277"/>
      </right>
      <top style="medium">
        <color indexed="64"/>
      </top>
      <bottom style="medium">
        <color indexed="64"/>
      </bottom>
      <diagonal/>
    </border>
    <border>
      <left style="medium">
        <color rgb="FF173277"/>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s>
  <cellStyleXfs count="57">
    <xf numFmtId="0" fontId="0"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8" fillId="30" borderId="31" applyNumberFormat="0" applyAlignment="0" applyProtection="0"/>
    <xf numFmtId="0" fontId="19" fillId="31" borderId="32" applyNumberFormat="0" applyAlignment="0" applyProtection="0"/>
    <xf numFmtId="0" fontId="20" fillId="0" borderId="33" applyNumberFormat="0" applyFill="0" applyAlignment="0" applyProtection="0"/>
    <xf numFmtId="0" fontId="21" fillId="0" borderId="34" applyNumberFormat="0" applyFill="0" applyAlignment="0" applyProtection="0"/>
    <xf numFmtId="0" fontId="22" fillId="0" borderId="0" applyNumberFormat="0" applyFill="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23" fillId="38" borderId="31" applyNumberFormat="0" applyAlignment="0" applyProtection="0"/>
    <xf numFmtId="0" fontId="24" fillId="39" borderId="0" applyNumberFormat="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0" fontId="25" fillId="40" borderId="0" applyNumberFormat="0" applyBorder="0" applyAlignment="0" applyProtection="0"/>
    <xf numFmtId="0" fontId="2" fillId="0" borderId="0"/>
    <xf numFmtId="0" fontId="2" fillId="0" borderId="0"/>
    <xf numFmtId="0" fontId="16" fillId="41" borderId="35" applyNumberFormat="0" applyFont="0" applyAlignment="0" applyProtection="0"/>
    <xf numFmtId="9" fontId="6" fillId="0" borderId="0" applyFont="0" applyFill="0" applyBorder="0" applyAlignment="0" applyProtection="0"/>
    <xf numFmtId="0" fontId="26" fillId="30" borderId="36"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37" applyNumberFormat="0" applyFill="0" applyAlignment="0" applyProtection="0"/>
    <xf numFmtId="0" fontId="22" fillId="0" borderId="38" applyNumberFormat="0" applyFill="0" applyAlignment="0" applyProtection="0"/>
    <xf numFmtId="0" fontId="30" fillId="0" borderId="0" applyNumberFormat="0" applyFill="0" applyBorder="0" applyAlignment="0" applyProtection="0"/>
    <xf numFmtId="0" fontId="31" fillId="0" borderId="39" applyNumberFormat="0" applyFill="0" applyAlignment="0" applyProtection="0"/>
    <xf numFmtId="165" fontId="16"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921">
    <xf numFmtId="0" fontId="0" fillId="0" borderId="0" xfId="0"/>
    <xf numFmtId="0" fontId="0" fillId="0" borderId="1" xfId="0" applyBorder="1"/>
    <xf numFmtId="0" fontId="5" fillId="0" borderId="0" xfId="0" applyFont="1"/>
    <xf numFmtId="166" fontId="6" fillId="0" borderId="0" xfId="32" applyNumberFormat="1" applyFont="1"/>
    <xf numFmtId="166" fontId="6" fillId="0" borderId="0" xfId="32" applyNumberFormat="1" applyFont="1" applyFill="1"/>
    <xf numFmtId="0" fontId="0" fillId="0" borderId="0" xfId="0" applyAlignment="1">
      <alignment wrapText="1"/>
    </xf>
    <xf numFmtId="0" fontId="0" fillId="0" borderId="0" xfId="0" applyAlignment="1">
      <alignment horizontal="center"/>
    </xf>
    <xf numFmtId="3" fontId="0" fillId="0" borderId="0" xfId="0" applyNumberFormat="1"/>
    <xf numFmtId="166" fontId="1" fillId="0" borderId="0" xfId="32" applyNumberFormat="1" applyFont="1"/>
    <xf numFmtId="49" fontId="6" fillId="0" borderId="0" xfId="32" applyNumberFormat="1" applyFont="1"/>
    <xf numFmtId="49" fontId="0" fillId="0" borderId="0" xfId="0" applyNumberFormat="1"/>
    <xf numFmtId="0" fontId="12" fillId="0" borderId="0" xfId="0" applyFont="1" applyAlignment="1">
      <alignment horizontal="left" vertical="top"/>
    </xf>
    <xf numFmtId="175" fontId="3" fillId="4" borderId="1" xfId="0" applyNumberFormat="1" applyFont="1" applyFill="1" applyBorder="1" applyAlignment="1">
      <alignment horizontal="center" vertical="center" wrapText="1"/>
    </xf>
    <xf numFmtId="175" fontId="3" fillId="2" borderId="1" xfId="0" applyNumberFormat="1" applyFont="1" applyFill="1" applyBorder="1" applyAlignment="1">
      <alignment horizontal="center" vertical="center" wrapText="1"/>
    </xf>
    <xf numFmtId="175" fontId="3" fillId="5" borderId="1" xfId="0" applyNumberFormat="1" applyFont="1" applyFill="1" applyBorder="1" applyAlignment="1">
      <alignment horizontal="center" vertical="center" wrapText="1"/>
    </xf>
    <xf numFmtId="175" fontId="3" fillId="3" borderId="1" xfId="0" applyNumberFormat="1" applyFont="1" applyFill="1" applyBorder="1" applyAlignment="1">
      <alignment horizontal="center" vertical="center" wrapText="1"/>
    </xf>
    <xf numFmtId="175" fontId="3" fillId="6" borderId="1" xfId="0" applyNumberFormat="1" applyFont="1" applyFill="1" applyBorder="1" applyAlignment="1">
      <alignment horizontal="center" vertical="center" wrapText="1"/>
    </xf>
    <xf numFmtId="175" fontId="3" fillId="7" borderId="1" xfId="0" applyNumberFormat="1" applyFont="1" applyFill="1" applyBorder="1" applyAlignment="1">
      <alignment horizontal="center" vertical="center" wrapText="1"/>
    </xf>
    <xf numFmtId="175" fontId="3" fillId="8" borderId="1" xfId="0" applyNumberFormat="1" applyFont="1" applyFill="1" applyBorder="1" applyAlignment="1">
      <alignment horizontal="center" vertical="center" wrapText="1"/>
    </xf>
    <xf numFmtId="175" fontId="3" fillId="9" borderId="1" xfId="0" applyNumberFormat="1" applyFont="1" applyFill="1" applyBorder="1" applyAlignment="1">
      <alignment horizontal="center" vertical="center" wrapText="1"/>
    </xf>
    <xf numFmtId="175" fontId="3" fillId="10" borderId="1" xfId="0" applyNumberFormat="1" applyFont="1" applyFill="1" applyBorder="1" applyAlignment="1">
      <alignment horizontal="center" vertical="center" wrapText="1"/>
    </xf>
    <xf numFmtId="175" fontId="3" fillId="11" borderId="1" xfId="0" applyNumberFormat="1" applyFont="1" applyFill="1" applyBorder="1" applyAlignment="1">
      <alignment horizontal="center" vertical="center" wrapText="1"/>
    </xf>
    <xf numFmtId="0" fontId="11" fillId="0" borderId="0" xfId="0" applyFont="1" applyAlignment="1">
      <alignment vertical="top"/>
    </xf>
    <xf numFmtId="0" fontId="8" fillId="0" borderId="0" xfId="0" applyFont="1"/>
    <xf numFmtId="3" fontId="8" fillId="0" borderId="0" xfId="0" applyNumberFormat="1" applyFont="1"/>
    <xf numFmtId="10" fontId="8" fillId="0" borderId="0" xfId="40" applyNumberFormat="1" applyFont="1"/>
    <xf numFmtId="175" fontId="8" fillId="0" borderId="0" xfId="0" applyNumberFormat="1" applyFont="1"/>
    <xf numFmtId="175" fontId="3" fillId="45" borderId="1" xfId="0" applyNumberFormat="1" applyFont="1" applyFill="1" applyBorder="1" applyAlignment="1">
      <alignment horizontal="center" vertical="center" wrapText="1"/>
    </xf>
    <xf numFmtId="0" fontId="8" fillId="0" borderId="0" xfId="34" applyNumberFormat="1" applyFont="1" applyFill="1" applyBorder="1"/>
    <xf numFmtId="166" fontId="4" fillId="0" borderId="0" xfId="32" applyNumberFormat="1" applyFont="1" applyFill="1" applyBorder="1" applyAlignment="1">
      <alignment horizontal="center" vertical="center" wrapText="1"/>
    </xf>
    <xf numFmtId="0" fontId="33" fillId="0" borderId="0" xfId="0" applyFont="1"/>
    <xf numFmtId="164" fontId="0" fillId="0" borderId="0" xfId="33" applyFont="1"/>
    <xf numFmtId="0" fontId="1" fillId="0" borderId="0" xfId="32" applyNumberFormat="1" applyFont="1" applyFill="1"/>
    <xf numFmtId="0" fontId="6" fillId="0" borderId="0" xfId="32" applyNumberFormat="1" applyFont="1" applyFill="1"/>
    <xf numFmtId="166" fontId="1" fillId="0" borderId="0" xfId="32" applyNumberFormat="1" applyFont="1" applyFill="1"/>
    <xf numFmtId="0" fontId="8" fillId="0" borderId="0" xfId="0" applyFont="1" applyAlignment="1">
      <alignment horizontal="center" vertical="center"/>
    </xf>
    <xf numFmtId="0" fontId="11" fillId="0" borderId="0" xfId="0" applyFont="1"/>
    <xf numFmtId="181" fontId="8" fillId="0" borderId="0" xfId="0" applyNumberFormat="1" applyFont="1" applyAlignment="1">
      <alignment horizontal="center"/>
    </xf>
    <xf numFmtId="164" fontId="0" fillId="0" borderId="0" xfId="0" applyNumberFormat="1"/>
    <xf numFmtId="0" fontId="33" fillId="0" borderId="0" xfId="0" applyFont="1" applyAlignment="1">
      <alignment horizontal="center" vertical="center"/>
    </xf>
    <xf numFmtId="0" fontId="33" fillId="0" borderId="0" xfId="0" applyFont="1" applyAlignment="1">
      <alignment horizontal="center"/>
    </xf>
    <xf numFmtId="166" fontId="1" fillId="0" borderId="0" xfId="32" quotePrefix="1" applyNumberFormat="1" applyFont="1" applyAlignment="1">
      <alignment vertical="top"/>
    </xf>
    <xf numFmtId="49" fontId="1" fillId="0" borderId="0" xfId="32" applyNumberFormat="1" applyFont="1"/>
    <xf numFmtId="166" fontId="8" fillId="0" borderId="0" xfId="32" applyNumberFormat="1" applyFont="1" applyFill="1"/>
    <xf numFmtId="175" fontId="33" fillId="0" borderId="0" xfId="0" applyNumberFormat="1" applyFont="1" applyAlignment="1">
      <alignment horizontal="center"/>
    </xf>
    <xf numFmtId="0" fontId="42" fillId="0" borderId="1" xfId="0" applyFont="1" applyBorder="1" applyAlignment="1">
      <alignment horizontal="center" vertical="center" wrapText="1"/>
    </xf>
    <xf numFmtId="175" fontId="33" fillId="0" borderId="0" xfId="0" applyNumberFormat="1" applyFont="1"/>
    <xf numFmtId="0" fontId="33" fillId="0" borderId="0" xfId="0" applyFont="1" applyAlignment="1">
      <alignment wrapText="1"/>
    </xf>
    <xf numFmtId="3" fontId="33" fillId="0" borderId="0" xfId="0" quotePrefix="1" applyNumberFormat="1" applyFont="1"/>
    <xf numFmtId="167" fontId="33" fillId="0" borderId="0" xfId="0" applyNumberFormat="1" applyFont="1"/>
    <xf numFmtId="175" fontId="33" fillId="4" borderId="0" xfId="0" applyNumberFormat="1" applyFont="1" applyFill="1"/>
    <xf numFmtId="3" fontId="33" fillId="0" borderId="0" xfId="0" applyNumberFormat="1" applyFont="1"/>
    <xf numFmtId="0" fontId="8" fillId="0" borderId="0" xfId="32" applyNumberFormat="1" applyFont="1"/>
    <xf numFmtId="0" fontId="44" fillId="0" borderId="0" xfId="0" applyFont="1"/>
    <xf numFmtId="164" fontId="0" fillId="0" borderId="0" xfId="33" applyFont="1" applyFill="1"/>
    <xf numFmtId="166" fontId="6" fillId="0" borderId="6" xfId="32" applyNumberFormat="1" applyFont="1" applyBorder="1"/>
    <xf numFmtId="49" fontId="8" fillId="0" borderId="0" xfId="32" applyNumberFormat="1" applyFont="1" applyFill="1"/>
    <xf numFmtId="49" fontId="33" fillId="0" borderId="0" xfId="0" applyNumberFormat="1" applyFont="1"/>
    <xf numFmtId="166" fontId="48" fillId="0" borderId="0" xfId="32" applyNumberFormat="1" applyFont="1" applyFill="1" applyBorder="1" applyAlignment="1">
      <alignment horizontal="center" vertical="center" wrapText="1"/>
    </xf>
    <xf numFmtId="166" fontId="44" fillId="0" borderId="0" xfId="32" applyNumberFormat="1" applyFont="1" applyFill="1"/>
    <xf numFmtId="166" fontId="44" fillId="0" borderId="0" xfId="32" applyNumberFormat="1" applyFont="1"/>
    <xf numFmtId="166" fontId="44" fillId="0" borderId="0" xfId="32" applyNumberFormat="1" applyFont="1" applyFill="1" applyAlignment="1">
      <alignment vertical="center" wrapText="1"/>
    </xf>
    <xf numFmtId="164" fontId="44" fillId="0" borderId="0" xfId="33" applyFont="1"/>
    <xf numFmtId="166" fontId="6" fillId="0" borderId="2" xfId="32" applyNumberFormat="1" applyFont="1" applyBorder="1"/>
    <xf numFmtId="164" fontId="8" fillId="0" borderId="0" xfId="33" applyFont="1"/>
    <xf numFmtId="164" fontId="33" fillId="0" borderId="0" xfId="33" applyFont="1"/>
    <xf numFmtId="164" fontId="33" fillId="42" borderId="0" xfId="33" applyFont="1" applyFill="1"/>
    <xf numFmtId="49" fontId="7" fillId="0" borderId="0" xfId="0" applyNumberFormat="1" applyFont="1" applyAlignment="1">
      <alignment horizontal="right"/>
    </xf>
    <xf numFmtId="0" fontId="7" fillId="0" borderId="0" xfId="0" applyFont="1" applyAlignment="1">
      <alignment horizontal="right"/>
    </xf>
    <xf numFmtId="0" fontId="7" fillId="0" borderId="0" xfId="34" applyNumberFormat="1" applyFont="1" applyFill="1"/>
    <xf numFmtId="171" fontId="7" fillId="0" borderId="0" xfId="34" applyNumberFormat="1" applyFont="1" applyFill="1"/>
    <xf numFmtId="49" fontId="7" fillId="0" borderId="0" xfId="34" applyNumberFormat="1" applyFont="1" applyFill="1" applyAlignment="1">
      <alignment horizontal="right"/>
    </xf>
    <xf numFmtId="0" fontId="7" fillId="0" borderId="0" xfId="40" applyNumberFormat="1" applyFont="1" applyFill="1"/>
    <xf numFmtId="0" fontId="32" fillId="47" borderId="0" xfId="0" applyFont="1" applyFill="1"/>
    <xf numFmtId="164" fontId="32" fillId="47" borderId="0" xfId="33" applyFont="1" applyFill="1"/>
    <xf numFmtId="0" fontId="51" fillId="47" borderId="0" xfId="0" applyFont="1" applyFill="1" applyAlignment="1">
      <alignment horizontal="left"/>
    </xf>
    <xf numFmtId="0" fontId="7" fillId="0" borderId="0" xfId="0" applyFont="1" applyAlignment="1">
      <alignment horizontal="left"/>
    </xf>
    <xf numFmtId="171" fontId="53" fillId="0" borderId="0" xfId="0" applyNumberFormat="1" applyFont="1"/>
    <xf numFmtId="164" fontId="53" fillId="0" borderId="0" xfId="33" applyFont="1"/>
    <xf numFmtId="164" fontId="33" fillId="0" borderId="0" xfId="0" applyNumberFormat="1" applyFont="1"/>
    <xf numFmtId="164" fontId="7" fillId="0" borderId="0" xfId="33" applyFont="1" applyFill="1"/>
    <xf numFmtId="0" fontId="13" fillId="0" borderId="1" xfId="0" applyFont="1" applyBorder="1" applyAlignment="1">
      <alignment horizontal="center" vertical="center" wrapText="1"/>
    </xf>
    <xf numFmtId="166" fontId="13" fillId="0" borderId="1" xfId="32" applyNumberFormat="1" applyFont="1" applyFill="1" applyBorder="1" applyAlignment="1">
      <alignment horizontal="center" vertical="center" wrapText="1"/>
    </xf>
    <xf numFmtId="0" fontId="44" fillId="0" borderId="0" xfId="0" applyFont="1" applyAlignment="1">
      <alignment vertical="center" wrapText="1"/>
    </xf>
    <xf numFmtId="178" fontId="6" fillId="0" borderId="0" xfId="32" applyNumberFormat="1" applyFont="1"/>
    <xf numFmtId="169" fontId="6" fillId="0" borderId="0" xfId="32" applyNumberFormat="1" applyFont="1"/>
    <xf numFmtId="166" fontId="46" fillId="53" borderId="0" xfId="32" applyNumberFormat="1" applyFont="1" applyFill="1" applyBorder="1"/>
    <xf numFmtId="0" fontId="50" fillId="53" borderId="0" xfId="0" applyFont="1" applyFill="1"/>
    <xf numFmtId="166" fontId="6" fillId="53" borderId="0" xfId="32" applyNumberFormat="1" applyFont="1" applyFill="1"/>
    <xf numFmtId="182" fontId="38" fillId="53" borderId="0" xfId="33" applyNumberFormat="1" applyFont="1" applyFill="1" applyAlignment="1"/>
    <xf numFmtId="49" fontId="34" fillId="53" borderId="0" xfId="32" applyNumberFormat="1" applyFont="1" applyFill="1" applyAlignment="1"/>
    <xf numFmtId="49" fontId="32" fillId="53" borderId="0" xfId="0" applyNumberFormat="1" applyFont="1" applyFill="1"/>
    <xf numFmtId="0" fontId="32" fillId="53" borderId="0" xfId="0" applyFont="1" applyFill="1"/>
    <xf numFmtId="166" fontId="44" fillId="53" borderId="0" xfId="32" applyNumberFormat="1" applyFont="1" applyFill="1"/>
    <xf numFmtId="164" fontId="7" fillId="43" borderId="0" xfId="33" applyFont="1" applyFill="1"/>
    <xf numFmtId="10" fontId="0" fillId="0" borderId="0" xfId="40" applyNumberFormat="1" applyFont="1"/>
    <xf numFmtId="186" fontId="0" fillId="0" borderId="0" xfId="0" applyNumberFormat="1"/>
    <xf numFmtId="0" fontId="0" fillId="0" borderId="0" xfId="0" applyAlignment="1">
      <alignment horizontal="center" vertical="center" wrapText="1"/>
    </xf>
    <xf numFmtId="0" fontId="0" fillId="51" borderId="0" xfId="0" applyFill="1" applyAlignment="1">
      <alignment horizontal="center" vertical="center" wrapText="1"/>
    </xf>
    <xf numFmtId="9" fontId="56" fillId="42" borderId="2" xfId="0" applyNumberFormat="1" applyFont="1" applyFill="1" applyBorder="1" applyAlignment="1">
      <alignment horizontal="center"/>
    </xf>
    <xf numFmtId="164" fontId="0" fillId="44" borderId="0" xfId="33" applyFont="1" applyFill="1" applyAlignment="1">
      <alignment horizontal="center" vertical="top" wrapText="1"/>
    </xf>
    <xf numFmtId="164" fontId="31" fillId="0" borderId="0" xfId="33" applyFont="1" applyAlignment="1">
      <alignment horizontal="center"/>
    </xf>
    <xf numFmtId="164" fontId="31" fillId="51" borderId="2" xfId="33" applyFont="1" applyFill="1" applyBorder="1"/>
    <xf numFmtId="0" fontId="31" fillId="0" borderId="0" xfId="0" applyFont="1"/>
    <xf numFmtId="0" fontId="31" fillId="0" borderId="0" xfId="0" applyFont="1" applyAlignment="1">
      <alignment horizontal="center"/>
    </xf>
    <xf numFmtId="0" fontId="31" fillId="42" borderId="2" xfId="0" applyFont="1" applyFill="1" applyBorder="1" applyAlignment="1">
      <alignment horizontal="center" vertical="center" wrapText="1"/>
    </xf>
    <xf numFmtId="164" fontId="0" fillId="51" borderId="0" xfId="33" applyFont="1" applyFill="1" applyAlignment="1">
      <alignment horizontal="center" vertical="center" wrapText="1"/>
    </xf>
    <xf numFmtId="0" fontId="43" fillId="55" borderId="1" xfId="0" applyFont="1" applyFill="1" applyBorder="1" applyAlignment="1">
      <alignment horizontal="center" vertical="center" wrapText="1"/>
    </xf>
    <xf numFmtId="177" fontId="2" fillId="55" borderId="1" xfId="34" applyNumberFormat="1" applyFont="1" applyFill="1" applyBorder="1" applyAlignment="1">
      <alignment horizontal="center" vertical="center" wrapText="1"/>
    </xf>
    <xf numFmtId="0" fontId="33" fillId="55" borderId="1" xfId="0" applyFont="1" applyFill="1" applyBorder="1" applyAlignment="1">
      <alignment horizontal="center" vertical="center" wrapText="1"/>
    </xf>
    <xf numFmtId="0" fontId="7" fillId="0" borderId="0" xfId="0" applyFont="1"/>
    <xf numFmtId="9" fontId="0" fillId="51" borderId="2" xfId="0" applyNumberFormat="1" applyFill="1" applyBorder="1" applyAlignment="1">
      <alignment horizontal="center"/>
    </xf>
    <xf numFmtId="10" fontId="0" fillId="0" borderId="0" xfId="40" applyNumberFormat="1" applyFont="1" applyAlignment="1">
      <alignment horizontal="center"/>
    </xf>
    <xf numFmtId="10" fontId="31" fillId="0" borderId="0" xfId="40" applyNumberFormat="1" applyFont="1" applyAlignment="1">
      <alignment horizontal="center"/>
    </xf>
    <xf numFmtId="10" fontId="0" fillId="51" borderId="0" xfId="40" applyNumberFormat="1" applyFont="1" applyFill="1" applyAlignment="1">
      <alignment horizontal="center" vertical="center" wrapText="1"/>
    </xf>
    <xf numFmtId="0" fontId="0" fillId="51" borderId="2" xfId="0" applyFill="1" applyBorder="1" applyAlignment="1">
      <alignment horizontal="center"/>
    </xf>
    <xf numFmtId="9" fontId="0" fillId="51" borderId="6" xfId="40" applyFont="1" applyFill="1" applyBorder="1" applyAlignment="1">
      <alignment horizontal="center"/>
    </xf>
    <xf numFmtId="184" fontId="0" fillId="0" borderId="0" xfId="33" applyNumberFormat="1" applyFont="1"/>
    <xf numFmtId="0" fontId="59" fillId="0" borderId="6" xfId="0" applyFont="1" applyBorder="1"/>
    <xf numFmtId="0" fontId="59" fillId="0" borderId="41" xfId="0" applyFont="1" applyBorder="1"/>
    <xf numFmtId="0" fontId="59" fillId="0" borderId="7" xfId="0" applyFont="1" applyBorder="1"/>
    <xf numFmtId="182" fontId="0" fillId="0" borderId="0" xfId="33" applyNumberFormat="1" applyFont="1"/>
    <xf numFmtId="183" fontId="0" fillId="0" borderId="0" xfId="33" applyNumberFormat="1" applyFont="1"/>
    <xf numFmtId="182" fontId="31" fillId="51" borderId="2" xfId="33" applyNumberFormat="1" applyFont="1" applyFill="1" applyBorder="1"/>
    <xf numFmtId="184" fontId="0" fillId="0" borderId="0" xfId="0" applyNumberFormat="1"/>
    <xf numFmtId="164" fontId="31" fillId="44" borderId="0" xfId="33" applyFont="1" applyFill="1" applyAlignment="1">
      <alignment horizontal="center" vertical="top" wrapText="1"/>
    </xf>
    <xf numFmtId="164" fontId="0" fillId="0" borderId="0" xfId="33" applyFont="1" applyAlignment="1">
      <alignment horizontal="center"/>
    </xf>
    <xf numFmtId="9" fontId="56" fillId="42" borderId="6" xfId="0" applyNumberFormat="1" applyFont="1" applyFill="1" applyBorder="1" applyAlignment="1">
      <alignment horizontal="center"/>
    </xf>
    <xf numFmtId="164" fontId="31" fillId="0" borderId="18" xfId="0" applyNumberFormat="1" applyFont="1" applyBorder="1"/>
    <xf numFmtId="164" fontId="31" fillId="0" borderId="10" xfId="0" applyNumberFormat="1" applyFont="1" applyBorder="1"/>
    <xf numFmtId="0" fontId="0" fillId="43" borderId="0" xfId="0" applyFill="1"/>
    <xf numFmtId="0" fontId="0" fillId="0" borderId="0" xfId="33" applyNumberFormat="1" applyFont="1" applyAlignment="1">
      <alignment horizontal="center"/>
    </xf>
    <xf numFmtId="10" fontId="0" fillId="0" borderId="0" xfId="40" applyNumberFormat="1" applyFont="1" applyFill="1"/>
    <xf numFmtId="184" fontId="0" fillId="0" borderId="0" xfId="33" applyNumberFormat="1" applyFont="1" applyFill="1"/>
    <xf numFmtId="182" fontId="0" fillId="0" borderId="0" xfId="33" applyNumberFormat="1" applyFont="1" applyFill="1"/>
    <xf numFmtId="183" fontId="0" fillId="0" borderId="0" xfId="33" applyNumberFormat="1" applyFont="1" applyFill="1"/>
    <xf numFmtId="0" fontId="0" fillId="51" borderId="2" xfId="33" applyNumberFormat="1" applyFont="1" applyFill="1" applyBorder="1" applyAlignment="1">
      <alignment horizontal="center"/>
    </xf>
    <xf numFmtId="166" fontId="6" fillId="44" borderId="0" xfId="32" applyNumberFormat="1" applyFont="1" applyFill="1"/>
    <xf numFmtId="166" fontId="6" fillId="58" borderId="0" xfId="32" applyNumberFormat="1" applyFont="1" applyFill="1"/>
    <xf numFmtId="166" fontId="38" fillId="53" borderId="6" xfId="32" applyNumberFormat="1" applyFont="1" applyFill="1" applyBorder="1"/>
    <xf numFmtId="0" fontId="60" fillId="53" borderId="41" xfId="32" applyNumberFormat="1" applyFont="1" applyFill="1" applyBorder="1" applyAlignment="1">
      <alignment horizontal="center" wrapText="1"/>
    </xf>
    <xf numFmtId="166" fontId="6" fillId="53" borderId="41" xfId="32" applyNumberFormat="1" applyFont="1" applyFill="1" applyBorder="1"/>
    <xf numFmtId="9" fontId="1" fillId="53" borderId="41" xfId="40" applyFont="1" applyFill="1" applyBorder="1"/>
    <xf numFmtId="49" fontId="6" fillId="53" borderId="41" xfId="32" applyNumberFormat="1" applyFont="1" applyFill="1" applyBorder="1"/>
    <xf numFmtId="49" fontId="0" fillId="53" borderId="41" xfId="0" applyNumberFormat="1" applyFill="1" applyBorder="1"/>
    <xf numFmtId="0" fontId="60" fillId="53" borderId="7" xfId="32" applyNumberFormat="1" applyFont="1" applyFill="1" applyBorder="1" applyAlignment="1">
      <alignment horizontal="center" wrapText="1"/>
    </xf>
    <xf numFmtId="0" fontId="58" fillId="0" borderId="0" xfId="0" applyFont="1"/>
    <xf numFmtId="0" fontId="89" fillId="0" borderId="0" xfId="0" applyFont="1" applyAlignment="1">
      <alignment horizontal="center" vertical="center"/>
    </xf>
    <xf numFmtId="0" fontId="86" fillId="43" borderId="40" xfId="0" applyFont="1" applyFill="1" applyBorder="1" applyAlignment="1">
      <alignment horizontal="left" wrapText="1"/>
    </xf>
    <xf numFmtId="0" fontId="86" fillId="43" borderId="20" xfId="0" applyFont="1" applyFill="1" applyBorder="1" applyAlignment="1">
      <alignment horizontal="left" wrapText="1"/>
    </xf>
    <xf numFmtId="0" fontId="86" fillId="43" borderId="47" xfId="0" applyFont="1" applyFill="1" applyBorder="1" applyAlignment="1">
      <alignment horizontal="center"/>
    </xf>
    <xf numFmtId="0" fontId="92" fillId="53" borderId="46" xfId="0" applyFont="1" applyFill="1" applyBorder="1"/>
    <xf numFmtId="0" fontId="92" fillId="0" borderId="0" xfId="0" applyFont="1"/>
    <xf numFmtId="0" fontId="92" fillId="0" borderId="47" xfId="0" applyFont="1" applyBorder="1"/>
    <xf numFmtId="175" fontId="8" fillId="49" borderId="0" xfId="0" applyNumberFormat="1" applyFont="1" applyFill="1"/>
    <xf numFmtId="164" fontId="33" fillId="0" borderId="0" xfId="33" applyFont="1" applyAlignment="1">
      <alignment horizontal="center"/>
    </xf>
    <xf numFmtId="164" fontId="8" fillId="0" borderId="0" xfId="33" applyFont="1" applyAlignment="1">
      <alignment horizontal="center"/>
    </xf>
    <xf numFmtId="164" fontId="33" fillId="0" borderId="0" xfId="33" applyFont="1" applyAlignment="1">
      <alignment horizontal="center" wrapText="1"/>
    </xf>
    <xf numFmtId="164" fontId="41" fillId="42" borderId="0" xfId="33" applyFont="1" applyFill="1"/>
    <xf numFmtId="164" fontId="8" fillId="42" borderId="0" xfId="33" applyFont="1" applyFill="1"/>
    <xf numFmtId="164" fontId="33" fillId="48" borderId="0" xfId="33" applyFont="1" applyFill="1" applyAlignment="1">
      <alignment vertical="top" wrapText="1"/>
    </xf>
    <xf numFmtId="0" fontId="7" fillId="43" borderId="0" xfId="0" applyFont="1" applyFill="1" applyAlignment="1">
      <alignment horizontal="right"/>
    </xf>
    <xf numFmtId="0" fontId="7" fillId="43" borderId="0" xfId="0" applyFont="1" applyFill="1" applyAlignment="1">
      <alignment horizontal="left"/>
    </xf>
    <xf numFmtId="171" fontId="53" fillId="43" borderId="0" xfId="0" applyNumberFormat="1" applyFont="1" applyFill="1"/>
    <xf numFmtId="164" fontId="32" fillId="54" borderId="0" xfId="33" applyFont="1" applyFill="1"/>
    <xf numFmtId="164" fontId="32" fillId="57" borderId="0" xfId="33" applyFont="1" applyFill="1"/>
    <xf numFmtId="164" fontId="32" fillId="60" borderId="0" xfId="33" applyFont="1" applyFill="1"/>
    <xf numFmtId="0" fontId="0" fillId="0" borderId="0" xfId="0" quotePrefix="1"/>
    <xf numFmtId="0" fontId="0" fillId="42" borderId="0" xfId="0" applyFill="1"/>
    <xf numFmtId="0" fontId="0" fillId="52" borderId="0" xfId="0" applyFill="1"/>
    <xf numFmtId="0" fontId="0" fillId="52" borderId="0" xfId="0" applyFill="1" applyAlignment="1">
      <alignment horizontal="right"/>
    </xf>
    <xf numFmtId="0" fontId="91" fillId="0" borderId="0" xfId="0" applyFont="1" applyAlignment="1">
      <alignment horizontal="right"/>
    </xf>
    <xf numFmtId="0" fontId="101" fillId="0" borderId="0" xfId="0" applyFont="1"/>
    <xf numFmtId="0" fontId="102" fillId="0" borderId="0" xfId="0" applyFont="1"/>
    <xf numFmtId="0" fontId="103" fillId="0" borderId="0" xfId="0" applyFont="1"/>
    <xf numFmtId="0" fontId="101" fillId="0" borderId="47" xfId="0" applyFont="1" applyBorder="1"/>
    <xf numFmtId="0" fontId="106" fillId="0" borderId="0" xfId="0" applyFont="1"/>
    <xf numFmtId="0" fontId="102" fillId="0" borderId="0" xfId="0" applyFont="1" applyAlignment="1">
      <alignment horizontal="center"/>
    </xf>
    <xf numFmtId="0" fontId="101" fillId="0" borderId="0" xfId="0" applyFont="1" applyAlignment="1">
      <alignment horizontal="right"/>
    </xf>
    <xf numFmtId="164" fontId="101" fillId="0" borderId="0" xfId="33" applyFont="1" applyFill="1" applyAlignment="1">
      <alignment horizontal="right" vertical="distributed" wrapText="1"/>
    </xf>
    <xf numFmtId="171" fontId="110" fillId="0" borderId="0" xfId="0" applyNumberFormat="1" applyFont="1"/>
    <xf numFmtId="0" fontId="102" fillId="0" borderId="0" xfId="0" applyFont="1" applyAlignment="1">
      <alignment horizontal="left" indent="4"/>
    </xf>
    <xf numFmtId="14" fontId="101" fillId="0" borderId="1" xfId="0" applyNumberFormat="1" applyFont="1" applyBorder="1" applyAlignment="1">
      <alignment horizontal="center"/>
    </xf>
    <xf numFmtId="164" fontId="101" fillId="0" borderId="1" xfId="33" applyFont="1" applyFill="1" applyBorder="1"/>
    <xf numFmtId="14" fontId="102" fillId="0" borderId="1" xfId="0" applyNumberFormat="1" applyFont="1" applyBorder="1" applyAlignment="1">
      <alignment horizontal="center"/>
    </xf>
    <xf numFmtId="164" fontId="102" fillId="0" borderId="1" xfId="33" applyFont="1" applyFill="1" applyBorder="1"/>
    <xf numFmtId="14" fontId="101" fillId="0" borderId="0" xfId="0" applyNumberFormat="1" applyFont="1" applyAlignment="1">
      <alignment horizontal="center"/>
    </xf>
    <xf numFmtId="0" fontId="101" fillId="0" borderId="1" xfId="0" applyFont="1" applyBorder="1" applyAlignment="1">
      <alignment horizontal="center"/>
    </xf>
    <xf numFmtId="189" fontId="101" fillId="0" borderId="0" xfId="0" applyNumberFormat="1" applyFont="1"/>
    <xf numFmtId="0" fontId="111" fillId="0" borderId="0" xfId="0" applyFont="1"/>
    <xf numFmtId="0" fontId="102" fillId="0" borderId="0" xfId="0" applyFont="1" applyAlignment="1">
      <alignment horizontal="center" vertical="top" wrapText="1"/>
    </xf>
    <xf numFmtId="0" fontId="102" fillId="0" borderId="1" xfId="0" applyFont="1" applyBorder="1" applyAlignment="1">
      <alignment horizontal="center" vertical="center" wrapText="1"/>
    </xf>
    <xf numFmtId="164" fontId="102" fillId="0" borderId="1" xfId="33" applyFont="1" applyFill="1" applyBorder="1" applyAlignment="1">
      <alignment horizontal="center" vertical="center"/>
    </xf>
    <xf numFmtId="164" fontId="101" fillId="0" borderId="0" xfId="33" applyFont="1" applyFill="1" applyAlignment="1">
      <alignment horizontal="center" vertical="distributed" wrapText="1"/>
    </xf>
    <xf numFmtId="14" fontId="102" fillId="0" borderId="1" xfId="0" applyNumberFormat="1" applyFont="1" applyBorder="1" applyAlignment="1">
      <alignment horizontal="center" vertical="center" wrapText="1"/>
    </xf>
    <xf numFmtId="164" fontId="102" fillId="0" borderId="0" xfId="33" applyFont="1" applyFill="1" applyBorder="1" applyAlignment="1">
      <alignment horizontal="center" vertical="center"/>
    </xf>
    <xf numFmtId="164" fontId="101" fillId="0" borderId="0" xfId="33" applyFont="1" applyFill="1" applyBorder="1"/>
    <xf numFmtId="164" fontId="102" fillId="0" borderId="0" xfId="33" applyFont="1" applyFill="1" applyBorder="1"/>
    <xf numFmtId="164" fontId="112" fillId="0" borderId="0" xfId="33" applyFont="1" applyAlignment="1">
      <alignment horizontal="center" vertical="center" wrapText="1"/>
    </xf>
    <xf numFmtId="164" fontId="112" fillId="0" borderId="0" xfId="33" applyFont="1"/>
    <xf numFmtId="164" fontId="102" fillId="0" borderId="1" xfId="33" applyFont="1" applyBorder="1" applyAlignment="1">
      <alignment horizontal="center" vertical="center" wrapText="1"/>
    </xf>
    <xf numFmtId="0" fontId="0" fillId="0" borderId="0" xfId="0" applyProtection="1">
      <protection hidden="1"/>
    </xf>
    <xf numFmtId="0" fontId="31" fillId="0" borderId="40" xfId="0" applyFont="1" applyBorder="1" applyAlignment="1" applyProtection="1">
      <alignment horizontal="center"/>
      <protection hidden="1"/>
    </xf>
    <xf numFmtId="164" fontId="31" fillId="0" borderId="40" xfId="33" applyFont="1" applyBorder="1" applyAlignment="1" applyProtection="1">
      <alignment horizontal="center"/>
      <protection hidden="1"/>
    </xf>
    <xf numFmtId="164" fontId="31" fillId="0" borderId="0" xfId="33" applyFont="1" applyBorder="1" applyAlignment="1" applyProtection="1">
      <alignment horizontal="center"/>
      <protection hidden="1"/>
    </xf>
    <xf numFmtId="0" fontId="31" fillId="0" borderId="0" xfId="0" applyFont="1" applyAlignment="1" applyProtection="1">
      <alignment horizontal="center"/>
      <protection hidden="1"/>
    </xf>
    <xf numFmtId="3" fontId="31" fillId="0" borderId="0" xfId="0" applyNumberFormat="1" applyFont="1" applyAlignment="1" applyProtection="1">
      <alignment horizontal="center"/>
      <protection hidden="1"/>
    </xf>
    <xf numFmtId="3" fontId="31" fillId="0" borderId="21" xfId="0" applyNumberFormat="1" applyFont="1" applyBorder="1" applyAlignment="1" applyProtection="1">
      <alignment horizontal="center"/>
      <protection hidden="1"/>
    </xf>
    <xf numFmtId="0" fontId="31" fillId="0" borderId="0" xfId="0" applyFont="1" applyProtection="1">
      <protection hidden="1"/>
    </xf>
    <xf numFmtId="164" fontId="0" fillId="0" borderId="0" xfId="0" applyNumberFormat="1" applyProtection="1">
      <protection hidden="1"/>
    </xf>
    <xf numFmtId="0" fontId="0" fillId="43" borderId="0" xfId="0" applyFill="1" applyProtection="1">
      <protection hidden="1"/>
    </xf>
    <xf numFmtId="164" fontId="0" fillId="0" borderId="0" xfId="33" applyFont="1" applyProtection="1">
      <protection hidden="1"/>
    </xf>
    <xf numFmtId="3" fontId="0" fillId="0" borderId="0" xfId="0" applyNumberFormat="1" applyProtection="1">
      <protection hidden="1"/>
    </xf>
    <xf numFmtId="0" fontId="0" fillId="0" borderId="0" xfId="0" applyAlignment="1" applyProtection="1">
      <alignment horizontal="center"/>
      <protection hidden="1"/>
    </xf>
    <xf numFmtId="185" fontId="0" fillId="0" borderId="0" xfId="33" applyNumberFormat="1" applyFont="1" applyProtection="1">
      <protection hidden="1"/>
    </xf>
    <xf numFmtId="0" fontId="64" fillId="46" borderId="0" xfId="0" applyFont="1" applyFill="1" applyProtection="1">
      <protection hidden="1"/>
    </xf>
    <xf numFmtId="0" fontId="83" fillId="46" borderId="0" xfId="0" applyFont="1" applyFill="1" applyProtection="1">
      <protection hidden="1"/>
    </xf>
    <xf numFmtId="0" fontId="82" fillId="0" borderId="0" xfId="0" applyFont="1" applyProtection="1">
      <protection hidden="1"/>
    </xf>
    <xf numFmtId="0" fontId="64" fillId="0" borderId="0" xfId="0" applyFont="1" applyProtection="1">
      <protection hidden="1"/>
    </xf>
    <xf numFmtId="166" fontId="64" fillId="46" borderId="0" xfId="32" applyNumberFormat="1" applyFont="1" applyFill="1" applyBorder="1" applyProtection="1">
      <protection hidden="1"/>
    </xf>
    <xf numFmtId="0" fontId="69" fillId="0" borderId="1" xfId="0" applyFont="1" applyBorder="1" applyAlignment="1" applyProtection="1">
      <alignment horizontal="center"/>
      <protection hidden="1"/>
    </xf>
    <xf numFmtId="0" fontId="61" fillId="0" borderId="1" xfId="0" applyFont="1" applyBorder="1" applyProtection="1">
      <protection hidden="1"/>
    </xf>
    <xf numFmtId="3" fontId="85" fillId="0" borderId="1" xfId="0" applyNumberFormat="1" applyFont="1" applyBorder="1" applyAlignment="1" applyProtection="1">
      <alignment horizontal="right"/>
      <protection hidden="1"/>
    </xf>
    <xf numFmtId="0" fontId="86" fillId="46" borderId="0" xfId="0" applyFont="1" applyFill="1" applyAlignment="1" applyProtection="1">
      <alignment horizontal="left" vertical="center" wrapText="1"/>
      <protection hidden="1"/>
    </xf>
    <xf numFmtId="3" fontId="87" fillId="46" borderId="0" xfId="0" applyNumberFormat="1" applyFont="1" applyFill="1" applyAlignment="1" applyProtection="1">
      <alignment horizontal="right" vertical="center"/>
      <protection hidden="1"/>
    </xf>
    <xf numFmtId="0" fontId="85" fillId="0" borderId="4" xfId="0" applyFont="1" applyBorder="1" applyProtection="1">
      <protection hidden="1"/>
    </xf>
    <xf numFmtId="0" fontId="61" fillId="0" borderId="19" xfId="0" applyFont="1" applyBorder="1" applyProtection="1">
      <protection hidden="1"/>
    </xf>
    <xf numFmtId="165" fontId="64" fillId="46" borderId="0" xfId="32" applyFont="1" applyFill="1" applyBorder="1" applyProtection="1">
      <protection hidden="1"/>
    </xf>
    <xf numFmtId="0" fontId="77" fillId="0" borderId="20" xfId="0" applyFont="1" applyBorder="1" applyAlignment="1" applyProtection="1">
      <alignment horizontal="center"/>
      <protection hidden="1"/>
    </xf>
    <xf numFmtId="166" fontId="69" fillId="0" borderId="5" xfId="32" applyNumberFormat="1" applyFont="1" applyFill="1" applyBorder="1" applyProtection="1">
      <protection hidden="1"/>
    </xf>
    <xf numFmtId="166" fontId="64" fillId="0" borderId="0" xfId="32" applyNumberFormat="1" applyFont="1" applyFill="1" applyProtection="1">
      <protection hidden="1"/>
    </xf>
    <xf numFmtId="166" fontId="64" fillId="0" borderId="0" xfId="32" applyNumberFormat="1" applyFont="1" applyProtection="1">
      <protection hidden="1"/>
    </xf>
    <xf numFmtId="0" fontId="61" fillId="0" borderId="6" xfId="0" applyFont="1" applyBorder="1" applyProtection="1">
      <protection hidden="1"/>
    </xf>
    <xf numFmtId="166" fontId="61" fillId="0" borderId="7" xfId="32" applyNumberFormat="1" applyFont="1" applyFill="1" applyBorder="1" applyProtection="1">
      <protection hidden="1"/>
    </xf>
    <xf numFmtId="166" fontId="64" fillId="0" borderId="0" xfId="0" applyNumberFormat="1" applyFont="1" applyProtection="1">
      <protection hidden="1"/>
    </xf>
    <xf numFmtId="0" fontId="62" fillId="0" borderId="13" xfId="0" applyFont="1" applyBorder="1" applyAlignment="1" applyProtection="1">
      <alignment horizontal="center" wrapText="1"/>
      <protection hidden="1"/>
    </xf>
    <xf numFmtId="0" fontId="62" fillId="0" borderId="1" xfId="0" applyFont="1" applyBorder="1" applyAlignment="1" applyProtection="1">
      <alignment horizontal="center" wrapText="1"/>
      <protection hidden="1"/>
    </xf>
    <xf numFmtId="0" fontId="83" fillId="0" borderId="0" xfId="0" applyFont="1" applyProtection="1">
      <protection hidden="1"/>
    </xf>
    <xf numFmtId="17" fontId="61" fillId="0" borderId="1" xfId="0" applyNumberFormat="1" applyFont="1" applyBorder="1" applyAlignment="1" applyProtection="1">
      <alignment horizontal="center"/>
      <protection hidden="1"/>
    </xf>
    <xf numFmtId="166" fontId="61" fillId="0" borderId="1" xfId="32" applyNumberFormat="1" applyFont="1" applyFill="1" applyBorder="1" applyProtection="1">
      <protection hidden="1"/>
    </xf>
    <xf numFmtId="166" fontId="62" fillId="0" borderId="0" xfId="0" applyNumberFormat="1" applyFont="1" applyAlignment="1" applyProtection="1">
      <alignment horizontal="center" wrapText="1"/>
      <protection hidden="1"/>
    </xf>
    <xf numFmtId="4" fontId="64" fillId="0" borderId="0" xfId="0" applyNumberFormat="1" applyFont="1" applyProtection="1">
      <protection hidden="1"/>
    </xf>
    <xf numFmtId="164" fontId="64" fillId="46" borderId="0" xfId="33" applyFont="1" applyFill="1" applyBorder="1" applyProtection="1">
      <protection hidden="1"/>
    </xf>
    <xf numFmtId="164" fontId="64" fillId="46" borderId="0" xfId="33" applyFont="1" applyFill="1" applyProtection="1">
      <protection hidden="1"/>
    </xf>
    <xf numFmtId="9" fontId="64" fillId="46" borderId="0" xfId="40" applyFont="1" applyFill="1" applyBorder="1" applyProtection="1">
      <protection hidden="1"/>
    </xf>
    <xf numFmtId="0" fontId="62" fillId="0" borderId="0" xfId="0" applyFont="1" applyAlignment="1" applyProtection="1">
      <alignment horizontal="center" wrapText="1"/>
      <protection hidden="1"/>
    </xf>
    <xf numFmtId="0" fontId="77" fillId="0" borderId="13" xfId="0" applyFont="1" applyBorder="1" applyAlignment="1" applyProtection="1">
      <alignment horizontal="center"/>
      <protection hidden="1"/>
    </xf>
    <xf numFmtId="166" fontId="77" fillId="0" borderId="1" xfId="0" applyNumberFormat="1" applyFont="1" applyBorder="1" applyProtection="1">
      <protection hidden="1"/>
    </xf>
    <xf numFmtId="166" fontId="77" fillId="0" borderId="0" xfId="0" applyNumberFormat="1" applyFont="1" applyProtection="1">
      <protection hidden="1"/>
    </xf>
    <xf numFmtId="0" fontId="62" fillId="0" borderId="0" xfId="0" applyFont="1" applyAlignment="1" applyProtection="1">
      <alignment horizontal="center" vertical="center" wrapText="1"/>
      <protection hidden="1"/>
    </xf>
    <xf numFmtId="0" fontId="94" fillId="45" borderId="1" xfId="0" applyFont="1" applyFill="1" applyBorder="1" applyAlignment="1" applyProtection="1">
      <alignment horizontal="center" vertical="center" wrapText="1"/>
      <protection hidden="1"/>
    </xf>
    <xf numFmtId="0" fontId="94" fillId="45" borderId="0" xfId="0" applyFont="1" applyFill="1" applyAlignment="1" applyProtection="1">
      <alignment horizontal="center" vertical="center" wrapText="1"/>
      <protection hidden="1"/>
    </xf>
    <xf numFmtId="0" fontId="95" fillId="45" borderId="0" xfId="0" applyFont="1" applyFill="1" applyAlignment="1" applyProtection="1">
      <alignment horizontal="center" vertical="center" wrapText="1"/>
      <protection hidden="1"/>
    </xf>
    <xf numFmtId="0" fontId="91" fillId="0" borderId="0" xfId="0" applyFont="1" applyProtection="1">
      <protection hidden="1"/>
    </xf>
    <xf numFmtId="0" fontId="70" fillId="0" borderId="0" xfId="0" applyFont="1" applyAlignment="1" applyProtection="1">
      <alignment horizontal="center" vertical="center" wrapText="1"/>
      <protection hidden="1"/>
    </xf>
    <xf numFmtId="3" fontId="89" fillId="0" borderId="0" xfId="0" applyNumberFormat="1" applyFont="1" applyProtection="1">
      <protection hidden="1"/>
    </xf>
    <xf numFmtId="0" fontId="92" fillId="0" borderId="13" xfId="0" applyFont="1" applyBorder="1" applyAlignment="1" applyProtection="1">
      <alignment horizontal="left"/>
      <protection hidden="1"/>
    </xf>
    <xf numFmtId="0" fontId="92" fillId="0" borderId="12" xfId="0" applyFont="1" applyBorder="1" applyAlignment="1" applyProtection="1">
      <alignment horizontal="left"/>
      <protection hidden="1"/>
    </xf>
    <xf numFmtId="176" fontId="92" fillId="0" borderId="1" xfId="0" applyNumberFormat="1" applyFont="1" applyBorder="1" applyAlignment="1" applyProtection="1">
      <alignment horizontal="center"/>
      <protection hidden="1"/>
    </xf>
    <xf numFmtId="166" fontId="62" fillId="0" borderId="1" xfId="34" applyNumberFormat="1" applyFont="1" applyFill="1" applyBorder="1" applyProtection="1">
      <protection hidden="1"/>
    </xf>
    <xf numFmtId="164" fontId="91" fillId="0" borderId="1" xfId="33" applyFont="1" applyBorder="1" applyProtection="1">
      <protection hidden="1"/>
    </xf>
    <xf numFmtId="164" fontId="91" fillId="0" borderId="1" xfId="33" applyFont="1" applyFill="1" applyBorder="1" applyProtection="1">
      <protection hidden="1"/>
    </xf>
    <xf numFmtId="166" fontId="91" fillId="0" borderId="1" xfId="32" applyNumberFormat="1" applyFont="1" applyFill="1" applyBorder="1" applyProtection="1">
      <protection hidden="1"/>
    </xf>
    <xf numFmtId="164" fontId="92" fillId="0" borderId="1" xfId="33" applyFont="1" applyBorder="1" applyProtection="1">
      <protection hidden="1"/>
    </xf>
    <xf numFmtId="164" fontId="94" fillId="45" borderId="1" xfId="33" applyFont="1" applyFill="1" applyBorder="1" applyProtection="1">
      <protection hidden="1"/>
    </xf>
    <xf numFmtId="3" fontId="94" fillId="0" borderId="1" xfId="0" applyNumberFormat="1" applyFont="1" applyBorder="1" applyProtection="1">
      <protection hidden="1"/>
    </xf>
    <xf numFmtId="3" fontId="94" fillId="46" borderId="0" xfId="0" applyNumberFormat="1" applyFont="1" applyFill="1" applyProtection="1">
      <protection hidden="1"/>
    </xf>
    <xf numFmtId="175" fontId="94" fillId="46" borderId="0" xfId="0" applyNumberFormat="1" applyFont="1" applyFill="1" applyProtection="1">
      <protection hidden="1"/>
    </xf>
    <xf numFmtId="175" fontId="95" fillId="46" borderId="0" xfId="0" applyNumberFormat="1" applyFont="1" applyFill="1" applyProtection="1">
      <protection hidden="1"/>
    </xf>
    <xf numFmtId="3" fontId="95" fillId="46" borderId="0" xfId="0" applyNumberFormat="1" applyFont="1" applyFill="1" applyProtection="1">
      <protection hidden="1"/>
    </xf>
    <xf numFmtId="168" fontId="95" fillId="46" borderId="0" xfId="40" applyNumberFormat="1" applyFont="1" applyFill="1" applyProtection="1">
      <protection hidden="1"/>
    </xf>
    <xf numFmtId="10" fontId="89" fillId="0" borderId="0" xfId="0" applyNumberFormat="1" applyFont="1" applyProtection="1">
      <protection hidden="1"/>
    </xf>
    <xf numFmtId="14" fontId="92" fillId="0" borderId="1" xfId="0" applyNumberFormat="1" applyFont="1" applyBorder="1" applyAlignment="1" applyProtection="1">
      <alignment horizontal="center"/>
      <protection hidden="1"/>
    </xf>
    <xf numFmtId="0" fontId="92" fillId="0" borderId="0" xfId="0" applyFont="1" applyProtection="1">
      <protection hidden="1"/>
    </xf>
    <xf numFmtId="0" fontId="92" fillId="0" borderId="13" xfId="0" applyFont="1" applyBorder="1" applyAlignment="1" applyProtection="1">
      <alignment horizontal="left" wrapText="1"/>
      <protection hidden="1"/>
    </xf>
    <xf numFmtId="0" fontId="92" fillId="0" borderId="12" xfId="0" applyFont="1" applyBorder="1" applyAlignment="1" applyProtection="1">
      <alignment horizontal="left" wrapText="1"/>
      <protection hidden="1"/>
    </xf>
    <xf numFmtId="14" fontId="92" fillId="0" borderId="3" xfId="0" applyNumberFormat="1" applyFont="1" applyBorder="1" applyProtection="1">
      <protection hidden="1"/>
    </xf>
    <xf numFmtId="164" fontId="92" fillId="0" borderId="3" xfId="33" applyFont="1" applyBorder="1" applyProtection="1">
      <protection hidden="1"/>
    </xf>
    <xf numFmtId="3" fontId="92" fillId="0" borderId="3" xfId="0" applyNumberFormat="1" applyFont="1" applyBorder="1" applyProtection="1">
      <protection hidden="1"/>
    </xf>
    <xf numFmtId="0" fontId="95" fillId="46" borderId="0" xfId="0" applyFont="1" applyFill="1" applyProtection="1">
      <protection hidden="1"/>
    </xf>
    <xf numFmtId="0" fontId="75" fillId="0" borderId="0" xfId="0" applyFont="1" applyAlignment="1" applyProtection="1">
      <alignment vertical="top"/>
      <protection hidden="1"/>
    </xf>
    <xf numFmtId="0" fontId="92" fillId="0" borderId="49" xfId="0" applyFont="1" applyBorder="1" applyAlignment="1" applyProtection="1">
      <alignment horizontal="left"/>
      <protection hidden="1"/>
    </xf>
    <xf numFmtId="3" fontId="91" fillId="0" borderId="0" xfId="0" applyNumberFormat="1" applyFont="1" applyProtection="1">
      <protection hidden="1"/>
    </xf>
    <xf numFmtId="0" fontId="94" fillId="45" borderId="0" xfId="0" applyFont="1" applyFill="1" applyProtection="1">
      <protection hidden="1"/>
    </xf>
    <xf numFmtId="0" fontId="94" fillId="0" borderId="0" xfId="0" applyFont="1" applyProtection="1">
      <protection hidden="1"/>
    </xf>
    <xf numFmtId="0" fontId="94" fillId="46" borderId="0" xfId="0" applyFont="1" applyFill="1" applyProtection="1">
      <protection hidden="1"/>
    </xf>
    <xf numFmtId="0" fontId="91" fillId="45" borderId="0" xfId="0" applyFont="1" applyFill="1" applyProtection="1">
      <protection hidden="1"/>
    </xf>
    <xf numFmtId="9" fontId="91" fillId="45" borderId="0" xfId="40" applyFont="1" applyFill="1" applyProtection="1">
      <protection hidden="1"/>
    </xf>
    <xf numFmtId="10" fontId="91" fillId="45" borderId="0" xfId="0" applyNumberFormat="1" applyFont="1" applyFill="1" applyProtection="1">
      <protection hidden="1"/>
    </xf>
    <xf numFmtId="0" fontId="95" fillId="45" borderId="0" xfId="0" applyFont="1" applyFill="1" applyProtection="1">
      <protection hidden="1"/>
    </xf>
    <xf numFmtId="0" fontId="89" fillId="46" borderId="0" xfId="0" applyFont="1" applyFill="1" applyProtection="1">
      <protection hidden="1"/>
    </xf>
    <xf numFmtId="0" fontId="89" fillId="0" borderId="0" xfId="0" applyFont="1" applyProtection="1">
      <protection hidden="1"/>
    </xf>
    <xf numFmtId="0" fontId="91" fillId="0" borderId="4" xfId="0" applyFont="1" applyBorder="1" applyProtection="1">
      <protection hidden="1"/>
    </xf>
    <xf numFmtId="0" fontId="91" fillId="0" borderId="46" xfId="0" applyFont="1" applyBorder="1" applyProtection="1">
      <protection hidden="1"/>
    </xf>
    <xf numFmtId="0" fontId="91" fillId="0" borderId="19" xfId="0" applyFont="1" applyBorder="1" applyProtection="1">
      <protection hidden="1"/>
    </xf>
    <xf numFmtId="0" fontId="96" fillId="0" borderId="0" xfId="0" applyFont="1" applyProtection="1">
      <protection hidden="1"/>
    </xf>
    <xf numFmtId="0" fontId="91" fillId="0" borderId="1" xfId="0" applyFont="1" applyBorder="1" applyAlignment="1" applyProtection="1">
      <alignment horizontal="center" vertical="center" wrapText="1"/>
      <protection hidden="1"/>
    </xf>
    <xf numFmtId="0" fontId="95" fillId="0" borderId="0" xfId="0" applyFont="1" applyAlignment="1" applyProtection="1">
      <alignment horizontal="center" vertical="center" wrapText="1"/>
      <protection hidden="1"/>
    </xf>
    <xf numFmtId="164" fontId="91" fillId="59" borderId="3" xfId="33" applyFont="1" applyFill="1" applyBorder="1" applyProtection="1">
      <protection hidden="1"/>
    </xf>
    <xf numFmtId="0" fontId="91" fillId="0" borderId="1" xfId="0" applyFont="1" applyBorder="1" applyProtection="1">
      <protection hidden="1"/>
    </xf>
    <xf numFmtId="164" fontId="91" fillId="59" borderId="1" xfId="33" applyFont="1" applyFill="1" applyBorder="1" applyProtection="1">
      <protection hidden="1"/>
    </xf>
    <xf numFmtId="0" fontId="96" fillId="0" borderId="1" xfId="0" applyFont="1" applyBorder="1" applyProtection="1">
      <protection hidden="1"/>
    </xf>
    <xf numFmtId="164" fontId="96" fillId="0" borderId="1" xfId="33" applyFont="1" applyBorder="1" applyProtection="1">
      <protection hidden="1"/>
    </xf>
    <xf numFmtId="164" fontId="96" fillId="0" borderId="1" xfId="0" applyNumberFormat="1" applyFont="1" applyBorder="1" applyProtection="1">
      <protection hidden="1"/>
    </xf>
    <xf numFmtId="164" fontId="91" fillId="0" borderId="0" xfId="33" applyFont="1" applyProtection="1">
      <protection hidden="1"/>
    </xf>
    <xf numFmtId="164" fontId="91" fillId="0" borderId="0" xfId="0" applyNumberFormat="1" applyFont="1" applyProtection="1">
      <protection hidden="1"/>
    </xf>
    <xf numFmtId="0" fontId="96" fillId="0" borderId="4" xfId="0" applyFont="1" applyBorder="1" applyProtection="1">
      <protection hidden="1"/>
    </xf>
    <xf numFmtId="0" fontId="96" fillId="0" borderId="46" xfId="0" applyFont="1" applyBorder="1" applyProtection="1">
      <protection hidden="1"/>
    </xf>
    <xf numFmtId="0" fontId="96" fillId="0" borderId="19" xfId="0" applyFont="1" applyBorder="1" applyProtection="1">
      <protection hidden="1"/>
    </xf>
    <xf numFmtId="164" fontId="96" fillId="0" borderId="20" xfId="0" applyNumberFormat="1" applyFont="1" applyBorder="1" applyProtection="1">
      <protection hidden="1"/>
    </xf>
    <xf numFmtId="0" fontId="96" fillId="0" borderId="47" xfId="0" applyFont="1" applyBorder="1" applyProtection="1">
      <protection hidden="1"/>
    </xf>
    <xf numFmtId="0" fontId="96" fillId="0" borderId="5" xfId="0" applyFont="1" applyBorder="1" applyProtection="1">
      <protection hidden="1"/>
    </xf>
    <xf numFmtId="166" fontId="91" fillId="0" borderId="0" xfId="0" applyNumberFormat="1" applyFont="1" applyProtection="1">
      <protection hidden="1"/>
    </xf>
    <xf numFmtId="166" fontId="91" fillId="45" borderId="0" xfId="0" applyNumberFormat="1" applyFont="1" applyFill="1" applyProtection="1">
      <protection hidden="1"/>
    </xf>
    <xf numFmtId="183" fontId="94" fillId="0" borderId="0" xfId="33" applyNumberFormat="1" applyFont="1" applyProtection="1">
      <protection hidden="1"/>
    </xf>
    <xf numFmtId="0" fontId="95" fillId="0" borderId="0" xfId="0" applyFont="1" applyProtection="1">
      <protection hidden="1"/>
    </xf>
    <xf numFmtId="0" fontId="57" fillId="0" borderId="0" xfId="0" applyFont="1" applyProtection="1">
      <protection hidden="1"/>
    </xf>
    <xf numFmtId="184" fontId="16" fillId="0" borderId="0" xfId="33" applyNumberFormat="1" applyFont="1" applyAlignment="1" applyProtection="1">
      <alignment horizontal="right"/>
      <protection hidden="1"/>
    </xf>
    <xf numFmtId="166" fontId="16" fillId="0" borderId="0" xfId="34" applyNumberFormat="1" applyFont="1" applyProtection="1">
      <protection hidden="1"/>
    </xf>
    <xf numFmtId="0" fontId="0" fillId="0" borderId="18" xfId="0" applyBorder="1" applyAlignment="1" applyProtection="1">
      <alignment horizontal="center" vertical="top" wrapText="1"/>
      <protection hidden="1"/>
    </xf>
    <xf numFmtId="0" fontId="0" fillId="0" borderId="0" xfId="0" applyAlignment="1" applyProtection="1">
      <alignment wrapText="1"/>
      <protection hidden="1"/>
    </xf>
    <xf numFmtId="164" fontId="0" fillId="0" borderId="0" xfId="33" applyFont="1" applyAlignment="1" applyProtection="1">
      <alignment horizontal="center"/>
      <protection hidden="1"/>
    </xf>
    <xf numFmtId="0" fontId="0" fillId="43" borderId="0" xfId="0" applyFill="1" applyAlignment="1" applyProtection="1">
      <alignment wrapText="1"/>
      <protection hidden="1"/>
    </xf>
    <xf numFmtId="0" fontId="35" fillId="0" borderId="1"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164" fontId="0" fillId="0" borderId="10" xfId="33" applyFont="1" applyBorder="1" applyProtection="1">
      <protection hidden="1"/>
    </xf>
    <xf numFmtId="0" fontId="0" fillId="0" borderId="0" xfId="0" applyAlignment="1" applyProtection="1">
      <alignment horizontal="center" vertical="top" wrapText="1"/>
      <protection hidden="1"/>
    </xf>
    <xf numFmtId="0" fontId="79" fillId="0" borderId="1" xfId="0" applyFont="1" applyBorder="1" applyAlignment="1" applyProtection="1">
      <alignment horizontal="center"/>
      <protection hidden="1"/>
    </xf>
    <xf numFmtId="0" fontId="79" fillId="0" borderId="1" xfId="0" applyFont="1" applyBorder="1" applyProtection="1">
      <protection hidden="1"/>
    </xf>
    <xf numFmtId="171" fontId="80" fillId="0" borderId="1" xfId="32" applyNumberFormat="1" applyFont="1" applyBorder="1" applyProtection="1">
      <protection hidden="1"/>
    </xf>
    <xf numFmtId="164" fontId="79" fillId="0" borderId="1" xfId="33" applyFont="1" applyBorder="1" applyProtection="1">
      <protection hidden="1"/>
    </xf>
    <xf numFmtId="0" fontId="79" fillId="0" borderId="52" xfId="0" applyFont="1" applyBorder="1" applyAlignment="1" applyProtection="1">
      <alignment horizontal="center"/>
      <protection hidden="1"/>
    </xf>
    <xf numFmtId="0" fontId="79" fillId="0" borderId="52" xfId="0" applyFont="1" applyBorder="1" applyProtection="1">
      <protection hidden="1"/>
    </xf>
    <xf numFmtId="0" fontId="81" fillId="0" borderId="13" xfId="0" applyFont="1" applyBorder="1" applyAlignment="1" applyProtection="1">
      <alignment horizontal="center"/>
      <protection hidden="1"/>
    </xf>
    <xf numFmtId="0" fontId="81" fillId="0" borderId="25" xfId="0" applyFont="1" applyBorder="1" applyProtection="1">
      <protection hidden="1"/>
    </xf>
    <xf numFmtId="0" fontId="81" fillId="0" borderId="12" xfId="0" applyFont="1" applyBorder="1" applyProtection="1">
      <protection hidden="1"/>
    </xf>
    <xf numFmtId="164" fontId="81" fillId="0" borderId="12" xfId="33" applyFont="1" applyBorder="1" applyProtection="1">
      <protection hidden="1"/>
    </xf>
    <xf numFmtId="164" fontId="81" fillId="0" borderId="1" xfId="33" applyFont="1" applyBorder="1" applyProtection="1">
      <protection hidden="1"/>
    </xf>
    <xf numFmtId="0" fontId="0" fillId="0" borderId="4" xfId="0" applyBorder="1" applyProtection="1">
      <protection hidden="1"/>
    </xf>
    <xf numFmtId="0" fontId="0" fillId="0" borderId="46" xfId="0" applyBorder="1" applyProtection="1">
      <protection hidden="1"/>
    </xf>
    <xf numFmtId="164" fontId="0" fillId="0" borderId="46" xfId="33" applyFont="1" applyBorder="1" applyProtection="1">
      <protection hidden="1"/>
    </xf>
    <xf numFmtId="164" fontId="0" fillId="0" borderId="19" xfId="33" applyFont="1" applyBorder="1" applyProtection="1">
      <protection hidden="1"/>
    </xf>
    <xf numFmtId="0" fontId="0" fillId="0" borderId="40" xfId="0" applyBorder="1" applyProtection="1">
      <protection hidden="1"/>
    </xf>
    <xf numFmtId="0" fontId="0" fillId="0" borderId="21" xfId="0" applyBorder="1" applyProtection="1">
      <protection hidden="1"/>
    </xf>
    <xf numFmtId="0" fontId="0" fillId="0" borderId="20" xfId="0" applyBorder="1" applyProtection="1">
      <protection hidden="1"/>
    </xf>
    <xf numFmtId="0" fontId="0" fillId="0" borderId="47" xfId="0" applyBorder="1" applyProtection="1">
      <protection hidden="1"/>
    </xf>
    <xf numFmtId="0" fontId="0" fillId="0" borderId="5" xfId="0" applyBorder="1" applyProtection="1">
      <protection hidden="1"/>
    </xf>
    <xf numFmtId="164" fontId="31" fillId="0" borderId="0" xfId="0" applyNumberFormat="1" applyFont="1"/>
    <xf numFmtId="0" fontId="0" fillId="0" borderId="18" xfId="0" applyBorder="1" applyAlignment="1">
      <alignment horizontal="center"/>
    </xf>
    <xf numFmtId="164" fontId="0" fillId="0" borderId="2" xfId="0" applyNumberFormat="1" applyBorder="1"/>
    <xf numFmtId="164" fontId="0" fillId="0" borderId="11" xfId="33" applyFont="1" applyBorder="1"/>
    <xf numFmtId="164" fontId="0" fillId="0" borderId="10" xfId="0" applyNumberFormat="1" applyBorder="1"/>
    <xf numFmtId="164" fontId="31" fillId="51" borderId="6" xfId="33" applyFont="1" applyFill="1" applyBorder="1" applyAlignment="1">
      <alignment horizontal="center" vertical="center" wrapText="1"/>
    </xf>
    <xf numFmtId="164" fontId="31" fillId="51" borderId="2" xfId="33" applyFont="1" applyFill="1" applyBorder="1" applyAlignment="1">
      <alignment horizontal="center" vertical="center" wrapText="1"/>
    </xf>
    <xf numFmtId="164" fontId="31" fillId="51" borderId="7" xfId="33" applyFont="1" applyFill="1" applyBorder="1" applyAlignment="1">
      <alignment horizontal="center" vertical="center" wrapText="1"/>
    </xf>
    <xf numFmtId="0" fontId="0" fillId="61" borderId="0" xfId="0" applyFill="1" applyAlignment="1">
      <alignment horizontal="center" vertical="center" wrapText="1"/>
    </xf>
    <xf numFmtId="0" fontId="86" fillId="43" borderId="6" xfId="0" applyFont="1" applyFill="1" applyBorder="1" applyAlignment="1">
      <alignment horizontal="left" wrapText="1"/>
    </xf>
    <xf numFmtId="0" fontId="86" fillId="43" borderId="41" xfId="0" applyFont="1" applyFill="1" applyBorder="1" applyAlignment="1">
      <alignment horizontal="center"/>
    </xf>
    <xf numFmtId="167" fontId="31" fillId="0" borderId="0" xfId="33" applyNumberFormat="1" applyFont="1" applyAlignment="1">
      <alignment horizontal="center"/>
    </xf>
    <xf numFmtId="167" fontId="0" fillId="0" borderId="0" xfId="0" applyNumberFormat="1"/>
    <xf numFmtId="167" fontId="0" fillId="51" borderId="0" xfId="0" applyNumberFormat="1" applyFill="1" applyAlignment="1">
      <alignment horizontal="center" vertical="center" wrapText="1"/>
    </xf>
    <xf numFmtId="167" fontId="0" fillId="0" borderId="0" xfId="33" applyNumberFormat="1" applyFont="1"/>
    <xf numFmtId="167" fontId="31" fillId="0" borderId="0" xfId="0" applyNumberFormat="1" applyFont="1" applyAlignment="1">
      <alignment horizontal="center"/>
    </xf>
    <xf numFmtId="167" fontId="31" fillId="42" borderId="2" xfId="0" applyNumberFormat="1" applyFont="1" applyFill="1" applyBorder="1" applyAlignment="1">
      <alignment horizontal="center" vertical="center" wrapText="1"/>
    </xf>
    <xf numFmtId="10" fontId="56" fillId="42" borderId="2" xfId="40" applyNumberFormat="1" applyFont="1" applyFill="1" applyBorder="1" applyAlignment="1">
      <alignment horizontal="center"/>
    </xf>
    <xf numFmtId="10" fontId="31" fillId="42" borderId="2" xfId="40" applyNumberFormat="1" applyFont="1" applyFill="1" applyBorder="1" applyAlignment="1">
      <alignment horizontal="center" vertical="center" wrapText="1"/>
    </xf>
    <xf numFmtId="10" fontId="56" fillId="42" borderId="6" xfId="0" applyNumberFormat="1" applyFont="1" applyFill="1" applyBorder="1" applyAlignment="1">
      <alignment horizontal="center"/>
    </xf>
    <xf numFmtId="0" fontId="31" fillId="42" borderId="6" xfId="0" applyFont="1" applyFill="1" applyBorder="1" applyAlignment="1">
      <alignment horizontal="center" vertical="center" wrapText="1"/>
    </xf>
    <xf numFmtId="189" fontId="0" fillId="0" borderId="0" xfId="0" applyNumberFormat="1" applyAlignment="1">
      <alignment horizontal="center"/>
    </xf>
    <xf numFmtId="164" fontId="0" fillId="0" borderId="1" xfId="33" applyFont="1" applyBorder="1"/>
    <xf numFmtId="189" fontId="0" fillId="0" borderId="1" xfId="0" applyNumberFormat="1" applyBorder="1" applyAlignment="1">
      <alignment horizontal="center"/>
    </xf>
    <xf numFmtId="164" fontId="0" fillId="0" borderId="1" xfId="33" applyFont="1" applyFill="1" applyBorder="1"/>
    <xf numFmtId="0" fontId="31" fillId="0" borderId="1" xfId="0" applyFont="1" applyBorder="1" applyAlignment="1">
      <alignment horizontal="center" vertical="center" wrapText="1"/>
    </xf>
    <xf numFmtId="0" fontId="31" fillId="0" borderId="0" xfId="0" applyFont="1" applyAlignment="1">
      <alignment horizontal="left"/>
    </xf>
    <xf numFmtId="185" fontId="19" fillId="0" borderId="47" xfId="33" applyNumberFormat="1" applyFont="1" applyFill="1" applyBorder="1" applyAlignment="1">
      <alignment horizontal="left" vertical="top" wrapText="1"/>
    </xf>
    <xf numFmtId="0" fontId="41" fillId="63" borderId="6" xfId="0" applyFont="1" applyFill="1" applyBorder="1" applyAlignment="1" applyProtection="1">
      <alignment horizontal="center" vertical="center" wrapText="1"/>
      <protection hidden="1"/>
    </xf>
    <xf numFmtId="0" fontId="41" fillId="63" borderId="2" xfId="0" applyFont="1" applyFill="1" applyBorder="1" applyAlignment="1" applyProtection="1">
      <alignment horizontal="center" vertical="center" wrapText="1"/>
      <protection hidden="1"/>
    </xf>
    <xf numFmtId="10" fontId="56" fillId="63" borderId="2" xfId="0" applyNumberFormat="1" applyFont="1" applyFill="1" applyBorder="1" applyAlignment="1">
      <alignment horizontal="center"/>
    </xf>
    <xf numFmtId="0" fontId="41" fillId="0" borderId="53" xfId="0" applyFont="1" applyBorder="1"/>
    <xf numFmtId="0" fontId="41" fillId="0" borderId="3" xfId="0" applyFont="1" applyBorder="1"/>
    <xf numFmtId="0" fontId="116" fillId="0" borderId="3" xfId="0" applyFont="1" applyBorder="1" applyAlignment="1">
      <alignment horizontal="center"/>
    </xf>
    <xf numFmtId="164" fontId="31" fillId="0" borderId="13" xfId="33" applyFont="1" applyBorder="1" applyAlignment="1">
      <alignment horizontal="center" vertical="center" wrapText="1"/>
    </xf>
    <xf numFmtId="164" fontId="0" fillId="0" borderId="3" xfId="33" applyFont="1" applyBorder="1"/>
    <xf numFmtId="189" fontId="0" fillId="0" borderId="3" xfId="0" applyNumberFormat="1" applyBorder="1" applyAlignment="1">
      <alignment horizontal="center"/>
    </xf>
    <xf numFmtId="164" fontId="31" fillId="0" borderId="15" xfId="33" applyFont="1" applyBorder="1" applyAlignment="1">
      <alignment horizontal="center" vertical="center" wrapText="1"/>
    </xf>
    <xf numFmtId="0" fontId="31" fillId="0" borderId="17" xfId="0" applyFont="1" applyBorder="1" applyAlignment="1">
      <alignment horizontal="center" vertical="center"/>
    </xf>
    <xf numFmtId="0" fontId="0" fillId="55" borderId="1" xfId="0" applyFill="1" applyBorder="1"/>
    <xf numFmtId="164" fontId="0" fillId="55" borderId="1" xfId="33" applyFont="1" applyFill="1" applyBorder="1"/>
    <xf numFmtId="189" fontId="0" fillId="55" borderId="1" xfId="0" applyNumberFormat="1" applyFill="1" applyBorder="1" applyAlignment="1">
      <alignment horizontal="center"/>
    </xf>
    <xf numFmtId="164" fontId="64" fillId="46" borderId="0" xfId="0" applyNumberFormat="1" applyFont="1" applyFill="1" applyProtection="1">
      <protection hidden="1"/>
    </xf>
    <xf numFmtId="164" fontId="41" fillId="0" borderId="40" xfId="33" applyFont="1" applyBorder="1" applyAlignment="1" applyProtection="1">
      <alignment vertical="center" wrapText="1"/>
      <protection hidden="1"/>
    </xf>
    <xf numFmtId="190" fontId="0" fillId="0" borderId="0" xfId="33" applyNumberFormat="1" applyFont="1"/>
    <xf numFmtId="0" fontId="86" fillId="43" borderId="0" xfId="0" applyFont="1" applyFill="1" applyAlignment="1">
      <alignment horizontal="center"/>
    </xf>
    <xf numFmtId="168" fontId="86" fillId="43" borderId="0" xfId="0" applyNumberFormat="1" applyFont="1" applyFill="1" applyAlignment="1">
      <alignment horizontal="center"/>
    </xf>
    <xf numFmtId="0" fontId="17" fillId="54" borderId="0" xfId="0" applyFont="1" applyFill="1" applyProtection="1">
      <protection hidden="1"/>
    </xf>
    <xf numFmtId="0" fontId="114" fillId="54" borderId="0" xfId="0" applyFont="1" applyFill="1" applyAlignment="1" applyProtection="1">
      <alignment horizontal="center"/>
      <protection hidden="1"/>
    </xf>
    <xf numFmtId="0" fontId="61" fillId="0" borderId="1" xfId="0" applyFont="1" applyBorder="1" applyAlignment="1" applyProtection="1">
      <alignment horizontal="center"/>
      <protection hidden="1"/>
    </xf>
    <xf numFmtId="0" fontId="58" fillId="62" borderId="6" xfId="0" applyFont="1" applyFill="1" applyBorder="1" applyAlignment="1" applyProtection="1">
      <alignment horizontal="center" vertical="center" wrapText="1"/>
      <protection hidden="1"/>
    </xf>
    <xf numFmtId="0" fontId="58" fillId="62" borderId="2" xfId="0" applyFont="1" applyFill="1" applyBorder="1" applyAlignment="1" applyProtection="1">
      <alignment horizontal="center" vertical="center" wrapText="1"/>
      <protection hidden="1"/>
    </xf>
    <xf numFmtId="0" fontId="114" fillId="54" borderId="4" xfId="0" applyFont="1" applyFill="1" applyBorder="1" applyAlignment="1" applyProtection="1">
      <alignment horizontal="center"/>
      <protection hidden="1"/>
    </xf>
    <xf numFmtId="0" fontId="114" fillId="54" borderId="46" xfId="0" applyFont="1" applyFill="1" applyBorder="1" applyAlignment="1" applyProtection="1">
      <alignment horizontal="center"/>
      <protection hidden="1"/>
    </xf>
    <xf numFmtId="0" fontId="114" fillId="54" borderId="19" xfId="0" applyFont="1" applyFill="1" applyBorder="1" applyAlignment="1" applyProtection="1">
      <alignment horizontal="center"/>
      <protection hidden="1"/>
    </xf>
    <xf numFmtId="10" fontId="0" fillId="0" borderId="0" xfId="0" applyNumberFormat="1"/>
    <xf numFmtId="10" fontId="0" fillId="0" borderId="0" xfId="0" applyNumberFormat="1" applyAlignment="1">
      <alignment wrapText="1"/>
    </xf>
    <xf numFmtId="0" fontId="0" fillId="0" borderId="1" xfId="0" applyBorder="1" applyAlignment="1">
      <alignment horizontal="center" vertical="center" wrapText="1"/>
    </xf>
    <xf numFmtId="186" fontId="0" fillId="0" borderId="1" xfId="0" applyNumberFormat="1" applyBorder="1"/>
    <xf numFmtId="0" fontId="27" fillId="43" borderId="0" xfId="0" applyFont="1" applyFill="1"/>
    <xf numFmtId="0" fontId="45" fillId="43" borderId="0" xfId="0" applyFont="1" applyFill="1"/>
    <xf numFmtId="0" fontId="120" fillId="43" borderId="0" xfId="0" applyFont="1" applyFill="1"/>
    <xf numFmtId="0" fontId="121" fillId="44" borderId="0" xfId="0" applyFont="1" applyFill="1"/>
    <xf numFmtId="0" fontId="122" fillId="44" borderId="0" xfId="0" applyFont="1" applyFill="1"/>
    <xf numFmtId="0" fontId="123" fillId="44" borderId="0" xfId="0" applyFont="1" applyFill="1"/>
    <xf numFmtId="0" fontId="45" fillId="43" borderId="6" xfId="0" applyFont="1" applyFill="1" applyBorder="1" applyAlignment="1">
      <alignment horizontal="center" vertical="center" wrapText="1"/>
    </xf>
    <xf numFmtId="0" fontId="45" fillId="43" borderId="41" xfId="0" applyFont="1" applyFill="1" applyBorder="1" applyAlignment="1">
      <alignment horizontal="center" vertical="center" wrapText="1"/>
    </xf>
    <xf numFmtId="0" fontId="45" fillId="43" borderId="7" xfId="0" applyFont="1" applyFill="1" applyBorder="1" applyAlignment="1">
      <alignment horizontal="center" vertical="center" wrapText="1"/>
    </xf>
    <xf numFmtId="164" fontId="27" fillId="43" borderId="0" xfId="33" applyFont="1" applyFill="1" applyAlignment="1">
      <alignment horizontal="left"/>
    </xf>
    <xf numFmtId="10" fontId="27" fillId="43" borderId="0" xfId="0" applyNumberFormat="1" applyFont="1" applyFill="1" applyAlignment="1">
      <alignment horizontal="center"/>
    </xf>
    <xf numFmtId="10" fontId="27" fillId="43" borderId="0" xfId="0" applyNumberFormat="1" applyFont="1" applyFill="1"/>
    <xf numFmtId="0" fontId="27" fillId="43" borderId="2" xfId="0" applyFont="1" applyFill="1" applyBorder="1"/>
    <xf numFmtId="164" fontId="27" fillId="43" borderId="0" xfId="33" applyFont="1" applyFill="1"/>
    <xf numFmtId="9" fontId="27" fillId="43" borderId="0" xfId="0" applyNumberFormat="1" applyFont="1" applyFill="1"/>
    <xf numFmtId="0" fontId="27" fillId="43" borderId="0" xfId="0" applyFont="1" applyFill="1" applyAlignment="1">
      <alignment horizontal="center" vertical="center" wrapText="1"/>
    </xf>
    <xf numFmtId="9" fontId="27" fillId="43" borderId="0" xfId="0" applyNumberFormat="1" applyFont="1" applyFill="1" applyAlignment="1">
      <alignment horizontal="center" vertical="center" wrapText="1"/>
    </xf>
    <xf numFmtId="0" fontId="49" fillId="52" borderId="0" xfId="0" applyFont="1" applyFill="1" applyAlignment="1">
      <alignment horizontal="center"/>
    </xf>
    <xf numFmtId="0" fontId="49" fillId="52" borderId="0" xfId="0" applyFont="1" applyFill="1"/>
    <xf numFmtId="0" fontId="49" fillId="52" borderId="6" xfId="0" applyFont="1" applyFill="1" applyBorder="1" applyAlignment="1">
      <alignment horizontal="center" vertical="center" wrapText="1"/>
    </xf>
    <xf numFmtId="0" fontId="49" fillId="52" borderId="41" xfId="0" applyFont="1" applyFill="1" applyBorder="1" applyAlignment="1">
      <alignment horizontal="center" vertical="center" wrapText="1"/>
    </xf>
    <xf numFmtId="0" fontId="49" fillId="52" borderId="7" xfId="0" applyFont="1" applyFill="1" applyBorder="1" applyAlignment="1">
      <alignment horizontal="center" vertical="center" wrapText="1"/>
    </xf>
    <xf numFmtId="0" fontId="49" fillId="52" borderId="2" xfId="0" applyFont="1" applyFill="1" applyBorder="1" applyAlignment="1">
      <alignment horizontal="center" vertical="center" wrapText="1"/>
    </xf>
    <xf numFmtId="184" fontId="0" fillId="0" borderId="55" xfId="0" applyNumberFormat="1" applyBorder="1"/>
    <xf numFmtId="0" fontId="41" fillId="0" borderId="26" xfId="0" applyFont="1" applyBorder="1"/>
    <xf numFmtId="0" fontId="41" fillId="0" borderId="56" xfId="0" applyFont="1" applyBorder="1"/>
    <xf numFmtId="0" fontId="116" fillId="0" borderId="56" xfId="0" applyFont="1" applyBorder="1" applyAlignment="1">
      <alignment horizontal="center"/>
    </xf>
    <xf numFmtId="184" fontId="0" fillId="0" borderId="51" xfId="0" applyNumberFormat="1" applyBorder="1"/>
    <xf numFmtId="184" fontId="0" fillId="0" borderId="54" xfId="0" applyNumberFormat="1" applyBorder="1"/>
    <xf numFmtId="0" fontId="124" fillId="65" borderId="57" xfId="0" applyFont="1" applyFill="1" applyBorder="1" applyAlignment="1">
      <alignment horizontal="center" vertical="center" wrapText="1"/>
    </xf>
    <xf numFmtId="0" fontId="124" fillId="65" borderId="58" xfId="0" applyFont="1" applyFill="1" applyBorder="1" applyAlignment="1">
      <alignment horizontal="center" vertical="center" wrapText="1"/>
    </xf>
    <xf numFmtId="0" fontId="124" fillId="65" borderId="59" xfId="0" applyFont="1" applyFill="1" applyBorder="1" applyAlignment="1">
      <alignment horizontal="center" vertical="center" wrapText="1"/>
    </xf>
    <xf numFmtId="182" fontId="41" fillId="0" borderId="21" xfId="33" applyNumberFormat="1" applyFont="1" applyBorder="1" applyAlignment="1" applyProtection="1">
      <alignment vertical="center" wrapText="1"/>
      <protection hidden="1"/>
    </xf>
    <xf numFmtId="0" fontId="86" fillId="42" borderId="1" xfId="0" applyFont="1" applyFill="1" applyBorder="1" applyAlignment="1" applyProtection="1">
      <alignment horizontal="center" vertical="center" wrapText="1"/>
      <protection hidden="1"/>
    </xf>
    <xf numFmtId="0" fontId="96" fillId="43" borderId="1" xfId="0" applyFont="1" applyFill="1" applyBorder="1" applyAlignment="1" applyProtection="1">
      <alignment horizontal="center"/>
      <protection hidden="1"/>
    </xf>
    <xf numFmtId="3" fontId="97" fillId="43" borderId="1" xfId="0" applyNumberFormat="1" applyFont="1" applyFill="1" applyBorder="1" applyAlignment="1" applyProtection="1">
      <alignment horizontal="center"/>
      <protection hidden="1"/>
    </xf>
    <xf numFmtId="0" fontId="91" fillId="43" borderId="1" xfId="0" applyFont="1" applyFill="1" applyBorder="1" applyAlignment="1" applyProtection="1">
      <alignment horizontal="center"/>
      <protection hidden="1"/>
    </xf>
    <xf numFmtId="3" fontId="98" fillId="43" borderId="1" xfId="0" applyNumberFormat="1" applyFont="1" applyFill="1" applyBorder="1" applyProtection="1">
      <protection hidden="1"/>
    </xf>
    <xf numFmtId="0" fontId="91" fillId="43" borderId="1" xfId="0" applyFont="1" applyFill="1" applyBorder="1" applyProtection="1">
      <protection hidden="1"/>
    </xf>
    <xf numFmtId="9" fontId="91" fillId="43" borderId="1" xfId="40" applyFont="1" applyFill="1" applyBorder="1" applyProtection="1">
      <protection hidden="1"/>
    </xf>
    <xf numFmtId="3" fontId="91" fillId="43" borderId="1" xfId="0" applyNumberFormat="1" applyFont="1" applyFill="1" applyBorder="1" applyProtection="1">
      <protection hidden="1"/>
    </xf>
    <xf numFmtId="166" fontId="91" fillId="43" borderId="1" xfId="0" applyNumberFormat="1" applyFont="1" applyFill="1" applyBorder="1" applyProtection="1">
      <protection hidden="1"/>
    </xf>
    <xf numFmtId="0" fontId="97" fillId="43" borderId="6" xfId="0" applyFont="1" applyFill="1" applyBorder="1" applyAlignment="1" applyProtection="1">
      <alignment horizontal="center" vertical="center" wrapText="1"/>
      <protection hidden="1"/>
    </xf>
    <xf numFmtId="0" fontId="97" fillId="43" borderId="2" xfId="0" applyFont="1" applyFill="1" applyBorder="1" applyAlignment="1" applyProtection="1">
      <alignment horizontal="center" vertical="center" wrapText="1"/>
      <protection hidden="1"/>
    </xf>
    <xf numFmtId="0" fontId="97" fillId="43" borderId="41" xfId="0" applyFont="1" applyFill="1" applyBorder="1" applyAlignment="1" applyProtection="1">
      <alignment horizontal="center" vertical="center" wrapText="1"/>
      <protection hidden="1"/>
    </xf>
    <xf numFmtId="0" fontId="98" fillId="43" borderId="43" xfId="0" applyFont="1" applyFill="1" applyBorder="1" applyAlignment="1" applyProtection="1">
      <alignment vertical="center"/>
      <protection hidden="1"/>
    </xf>
    <xf numFmtId="14" fontId="98" fillId="43" borderId="42" xfId="0" applyNumberFormat="1" applyFont="1" applyFill="1" applyBorder="1" applyAlignment="1" applyProtection="1">
      <alignment horizontal="center" vertical="center"/>
      <protection hidden="1"/>
    </xf>
    <xf numFmtId="166" fontId="98" fillId="43" borderId="25" xfId="34" applyNumberFormat="1" applyFont="1" applyFill="1" applyBorder="1" applyAlignment="1" applyProtection="1">
      <alignment horizontal="right" vertical="center"/>
      <protection hidden="1"/>
    </xf>
    <xf numFmtId="166" fontId="98" fillId="43" borderId="42" xfId="34" applyNumberFormat="1" applyFont="1" applyFill="1" applyBorder="1" applyAlignment="1" applyProtection="1">
      <alignment horizontal="right" vertical="center"/>
      <protection hidden="1"/>
    </xf>
    <xf numFmtId="0" fontId="98" fillId="43" borderId="44" xfId="0" applyFont="1" applyFill="1" applyBorder="1" applyAlignment="1" applyProtection="1">
      <alignment vertical="center"/>
      <protection hidden="1"/>
    </xf>
    <xf numFmtId="14" fontId="98" fillId="43" borderId="14" xfId="0" applyNumberFormat="1" applyFont="1" applyFill="1" applyBorder="1" applyAlignment="1" applyProtection="1">
      <alignment horizontal="center" vertical="center"/>
      <protection hidden="1"/>
    </xf>
    <xf numFmtId="166" fontId="98" fillId="43" borderId="45" xfId="34" applyNumberFormat="1" applyFont="1" applyFill="1" applyBorder="1" applyAlignment="1" applyProtection="1">
      <alignment horizontal="right" vertical="center"/>
      <protection hidden="1"/>
    </xf>
    <xf numFmtId="166" fontId="98" fillId="43" borderId="14" xfId="34" applyNumberFormat="1" applyFont="1" applyFill="1" applyBorder="1" applyAlignment="1" applyProtection="1">
      <alignment horizontal="right" vertical="center"/>
      <protection hidden="1"/>
    </xf>
    <xf numFmtId="166" fontId="97" fillId="43" borderId="16" xfId="34" applyNumberFormat="1" applyFont="1" applyFill="1" applyBorder="1" applyAlignment="1" applyProtection="1">
      <alignment horizontal="right" vertical="center"/>
      <protection hidden="1"/>
    </xf>
    <xf numFmtId="166" fontId="97" fillId="43" borderId="17" xfId="34" applyNumberFormat="1" applyFont="1" applyFill="1" applyBorder="1" applyAlignment="1" applyProtection="1">
      <alignment horizontal="right" vertical="center"/>
      <protection hidden="1"/>
    </xf>
    <xf numFmtId="0" fontId="98" fillId="43" borderId="0" xfId="0" applyFont="1" applyFill="1" applyAlignment="1" applyProtection="1">
      <alignment vertical="center"/>
      <protection hidden="1"/>
    </xf>
    <xf numFmtId="0" fontId="91" fillId="43" borderId="0" xfId="0" applyFont="1" applyFill="1" applyProtection="1">
      <protection hidden="1"/>
    </xf>
    <xf numFmtId="166" fontId="96" fillId="43" borderId="0" xfId="34" applyNumberFormat="1" applyFont="1" applyFill="1" applyProtection="1">
      <protection hidden="1"/>
    </xf>
    <xf numFmtId="166" fontId="91" fillId="43" borderId="0" xfId="0" applyNumberFormat="1" applyFont="1" applyFill="1" applyProtection="1">
      <protection hidden="1"/>
    </xf>
    <xf numFmtId="0" fontId="86" fillId="42" borderId="1" xfId="0" quotePrefix="1" applyFont="1" applyFill="1" applyBorder="1" applyProtection="1">
      <protection hidden="1"/>
    </xf>
    <xf numFmtId="166" fontId="86" fillId="42" borderId="1" xfId="34" applyNumberFormat="1" applyFont="1" applyFill="1" applyBorder="1" applyProtection="1">
      <protection hidden="1"/>
    </xf>
    <xf numFmtId="10" fontId="86" fillId="42" borderId="1" xfId="40" applyNumberFormat="1" applyFont="1" applyFill="1" applyBorder="1" applyProtection="1">
      <protection hidden="1"/>
    </xf>
    <xf numFmtId="0" fontId="86" fillId="42" borderId="1" xfId="0" applyFont="1" applyFill="1" applyBorder="1" applyProtection="1">
      <protection hidden="1"/>
    </xf>
    <xf numFmtId="0" fontId="86" fillId="56" borderId="1" xfId="0" applyFont="1" applyFill="1" applyBorder="1" applyAlignment="1" applyProtection="1">
      <alignment horizontal="center" vertical="center" wrapText="1"/>
      <protection hidden="1"/>
    </xf>
    <xf numFmtId="166" fontId="86" fillId="56" borderId="1" xfId="34" applyNumberFormat="1" applyFont="1" applyFill="1" applyBorder="1" applyProtection="1">
      <protection hidden="1"/>
    </xf>
    <xf numFmtId="164" fontId="31" fillId="0" borderId="40" xfId="0" applyNumberFormat="1" applyFont="1" applyBorder="1" applyAlignment="1" applyProtection="1">
      <alignment horizontal="center"/>
      <protection hidden="1"/>
    </xf>
    <xf numFmtId="0" fontId="17" fillId="0" borderId="0" xfId="0" applyFont="1" applyProtection="1">
      <protection hidden="1"/>
    </xf>
    <xf numFmtId="164" fontId="31" fillId="0" borderId="0" xfId="0" applyNumberFormat="1" applyFont="1" applyAlignment="1" applyProtection="1">
      <alignment horizontal="center"/>
      <protection hidden="1"/>
    </xf>
    <xf numFmtId="164" fontId="31" fillId="0" borderId="21" xfId="0" applyNumberFormat="1" applyFont="1" applyBorder="1" applyAlignment="1" applyProtection="1">
      <alignment horizontal="center"/>
      <protection hidden="1"/>
    </xf>
    <xf numFmtId="164" fontId="44" fillId="0" borderId="0" xfId="33" applyFont="1" applyAlignment="1">
      <alignment vertical="center" wrapText="1"/>
    </xf>
    <xf numFmtId="190" fontId="44" fillId="0" borderId="0" xfId="33" applyNumberFormat="1" applyFont="1"/>
    <xf numFmtId="49" fontId="125" fillId="64" borderId="0" xfId="32" applyNumberFormat="1" applyFont="1" applyFill="1"/>
    <xf numFmtId="49" fontId="126" fillId="64" borderId="0" xfId="0" applyNumberFormat="1" applyFont="1" applyFill="1"/>
    <xf numFmtId="0" fontId="126" fillId="64" borderId="0" xfId="0" applyFont="1" applyFill="1"/>
    <xf numFmtId="166" fontId="6" fillId="0" borderId="0" xfId="32" applyNumberFormat="1" applyFont="1" applyBorder="1"/>
    <xf numFmtId="166" fontId="6" fillId="66" borderId="0" xfId="32" applyNumberFormat="1" applyFont="1" applyFill="1"/>
    <xf numFmtId="166" fontId="13" fillId="66" borderId="1" xfId="32" applyNumberFormat="1" applyFont="1" applyFill="1" applyBorder="1" applyAlignment="1">
      <alignment horizontal="center" vertical="center" wrapText="1"/>
    </xf>
    <xf numFmtId="166" fontId="39" fillId="64" borderId="0" xfId="0" applyNumberFormat="1" applyFont="1" applyFill="1"/>
    <xf numFmtId="0" fontId="40" fillId="64" borderId="0" xfId="0" applyFont="1" applyFill="1" applyAlignment="1">
      <alignment vertical="top"/>
    </xf>
    <xf numFmtId="0" fontId="10" fillId="64" borderId="0" xfId="0" applyFont="1" applyFill="1"/>
    <xf numFmtId="166" fontId="13" fillId="0" borderId="13" xfId="32" applyNumberFormat="1" applyFont="1" applyFill="1" applyBorder="1" applyAlignment="1">
      <alignment horizontal="center" vertical="center" wrapText="1"/>
    </xf>
    <xf numFmtId="0" fontId="128" fillId="50" borderId="2" xfId="0" applyFont="1" applyFill="1" applyBorder="1" applyAlignment="1" applyProtection="1">
      <alignment horizontal="center" vertical="center" wrapText="1"/>
      <protection hidden="1"/>
    </xf>
    <xf numFmtId="166" fontId="13" fillId="66" borderId="13" xfId="32" applyNumberFormat="1" applyFont="1" applyFill="1" applyBorder="1" applyAlignment="1">
      <alignment horizontal="center" vertical="center" wrapText="1"/>
    </xf>
    <xf numFmtId="166" fontId="13" fillId="0" borderId="13" xfId="32" applyNumberFormat="1" applyFont="1" applyFill="1" applyBorder="1" applyAlignment="1">
      <alignment vertical="center" wrapText="1"/>
    </xf>
    <xf numFmtId="0" fontId="10" fillId="64" borderId="46" xfId="0" applyFont="1" applyFill="1" applyBorder="1"/>
    <xf numFmtId="0" fontId="10" fillId="64" borderId="19" xfId="0" applyFont="1" applyFill="1" applyBorder="1"/>
    <xf numFmtId="0" fontId="60" fillId="53" borderId="6" xfId="32" applyNumberFormat="1" applyFont="1" applyFill="1" applyBorder="1" applyAlignment="1">
      <alignment horizontal="center" wrapText="1"/>
    </xf>
    <xf numFmtId="166" fontId="6" fillId="0" borderId="40" xfId="32" applyNumberFormat="1" applyFont="1" applyBorder="1"/>
    <xf numFmtId="166" fontId="6" fillId="0" borderId="21" xfId="32" applyNumberFormat="1" applyFont="1" applyBorder="1"/>
    <xf numFmtId="166" fontId="13" fillId="44" borderId="50" xfId="32" applyNumberFormat="1" applyFont="1" applyFill="1" applyBorder="1" applyAlignment="1">
      <alignment horizontal="center" vertical="center" wrapText="1"/>
    </xf>
    <xf numFmtId="166" fontId="13" fillId="44" borderId="51" xfId="32" applyNumberFormat="1" applyFont="1" applyFill="1" applyBorder="1" applyAlignment="1">
      <alignment horizontal="center" vertical="center" wrapText="1"/>
    </xf>
    <xf numFmtId="0" fontId="60" fillId="53" borderId="2" xfId="32" applyNumberFormat="1" applyFont="1" applyFill="1" applyBorder="1" applyAlignment="1">
      <alignment horizontal="center" wrapText="1"/>
    </xf>
    <xf numFmtId="166" fontId="6" fillId="0" borderId="11" xfId="32" applyNumberFormat="1" applyFont="1" applyBorder="1"/>
    <xf numFmtId="166" fontId="130" fillId="64" borderId="4" xfId="32" applyNumberFormat="1" applyFont="1" applyFill="1" applyBorder="1"/>
    <xf numFmtId="0" fontId="131" fillId="64" borderId="18" xfId="0" applyFont="1" applyFill="1" applyBorder="1" applyAlignment="1">
      <alignment horizontal="center" vertical="center" wrapText="1"/>
    </xf>
    <xf numFmtId="166" fontId="37" fillId="53" borderId="0" xfId="32" applyNumberFormat="1" applyFont="1" applyFill="1" applyAlignment="1">
      <alignment horizontal="center"/>
    </xf>
    <xf numFmtId="166" fontId="37" fillId="0" borderId="0" xfId="32" applyNumberFormat="1" applyFont="1" applyFill="1" applyAlignment="1">
      <alignment horizontal="center"/>
    </xf>
    <xf numFmtId="0" fontId="47" fillId="0" borderId="0" xfId="0" applyFont="1" applyAlignment="1">
      <alignment horizontal="center" vertical="top"/>
    </xf>
    <xf numFmtId="166" fontId="37" fillId="53" borderId="41" xfId="32" applyNumberFormat="1" applyFont="1" applyFill="1" applyBorder="1" applyAlignment="1">
      <alignment horizontal="center"/>
    </xf>
    <xf numFmtId="166" fontId="6" fillId="0" borderId="0" xfId="32" applyNumberFormat="1" applyFont="1" applyAlignment="1">
      <alignment horizontal="center"/>
    </xf>
    <xf numFmtId="164" fontId="129" fillId="42" borderId="2" xfId="33" applyFont="1" applyFill="1" applyBorder="1" applyAlignment="1" applyProtection="1">
      <alignment horizontal="center" vertical="center" wrapText="1"/>
      <protection hidden="1"/>
    </xf>
    <xf numFmtId="166" fontId="132" fillId="42" borderId="48" xfId="32" applyNumberFormat="1" applyFont="1" applyFill="1" applyBorder="1" applyAlignment="1">
      <alignment horizontal="center" vertical="center" wrapText="1"/>
    </xf>
    <xf numFmtId="166" fontId="132" fillId="42" borderId="12" xfId="32" applyNumberFormat="1" applyFont="1" applyFill="1" applyBorder="1" applyAlignment="1">
      <alignment horizontal="center" vertical="center" wrapText="1"/>
    </xf>
    <xf numFmtId="166" fontId="33" fillId="0" borderId="0" xfId="0" applyNumberFormat="1" applyFont="1"/>
    <xf numFmtId="189" fontId="37" fillId="0" borderId="0" xfId="33" applyNumberFormat="1" applyFont="1" applyFill="1" applyAlignment="1">
      <alignment horizontal="center"/>
    </xf>
    <xf numFmtId="9" fontId="37" fillId="0" borderId="0" xfId="40" applyFont="1" applyFill="1" applyAlignment="1">
      <alignment horizontal="center"/>
    </xf>
    <xf numFmtId="0" fontId="58" fillId="46" borderId="0" xfId="0" applyFont="1" applyFill="1" applyAlignment="1">
      <alignment horizontal="center"/>
    </xf>
    <xf numFmtId="0" fontId="88" fillId="46" borderId="0" xfId="0" applyFont="1" applyFill="1" applyAlignment="1">
      <alignment horizontal="center"/>
    </xf>
    <xf numFmtId="0" fontId="58" fillId="46" borderId="0" xfId="0" applyFont="1" applyFill="1" applyProtection="1">
      <protection hidden="1"/>
    </xf>
    <xf numFmtId="0" fontId="58" fillId="46" borderId="46" xfId="0" applyFont="1" applyFill="1" applyBorder="1" applyProtection="1">
      <protection hidden="1"/>
    </xf>
    <xf numFmtId="0" fontId="58" fillId="46" borderId="40" xfId="0" applyFont="1" applyFill="1" applyBorder="1" applyProtection="1">
      <protection hidden="1"/>
    </xf>
    <xf numFmtId="164" fontId="88" fillId="46" borderId="6" xfId="0" applyNumberFormat="1" applyFont="1" applyFill="1" applyBorder="1" applyProtection="1">
      <protection hidden="1"/>
    </xf>
    <xf numFmtId="164" fontId="88" fillId="46" borderId="2" xfId="0" applyNumberFormat="1" applyFont="1" applyFill="1" applyBorder="1" applyProtection="1">
      <protection hidden="1"/>
    </xf>
    <xf numFmtId="164" fontId="88" fillId="46" borderId="7" xfId="0" applyNumberFormat="1" applyFont="1" applyFill="1" applyBorder="1" applyProtection="1">
      <protection hidden="1"/>
    </xf>
    <xf numFmtId="0" fontId="58" fillId="46" borderId="20" xfId="0" applyFont="1" applyFill="1" applyBorder="1" applyAlignment="1" applyProtection="1">
      <alignment horizontal="center" vertical="top" wrapText="1"/>
      <protection hidden="1"/>
    </xf>
    <xf numFmtId="0" fontId="58" fillId="46" borderId="47" xfId="0" applyFont="1" applyFill="1" applyBorder="1" applyAlignment="1" applyProtection="1">
      <alignment horizontal="center" vertical="top" wrapText="1"/>
      <protection hidden="1"/>
    </xf>
    <xf numFmtId="0" fontId="58" fillId="46" borderId="6" xfId="0" applyFont="1" applyFill="1" applyBorder="1" applyAlignment="1" applyProtection="1">
      <alignment horizontal="center" vertical="center" wrapText="1"/>
      <protection hidden="1"/>
    </xf>
    <xf numFmtId="0" fontId="0" fillId="46" borderId="2" xfId="0" applyFill="1" applyBorder="1" applyAlignment="1">
      <alignment horizontal="center" vertical="center" wrapText="1"/>
    </xf>
    <xf numFmtId="0" fontId="88" fillId="46" borderId="2" xfId="0" applyFont="1" applyFill="1" applyBorder="1" applyAlignment="1" applyProtection="1">
      <alignment horizontal="center" vertical="center" wrapText="1"/>
      <protection hidden="1"/>
    </xf>
    <xf numFmtId="164" fontId="58" fillId="46" borderId="0" xfId="33" applyFont="1" applyFill="1" applyProtection="1">
      <protection hidden="1"/>
    </xf>
    <xf numFmtId="164" fontId="58" fillId="46" borderId="0" xfId="0" applyNumberFormat="1" applyFont="1" applyFill="1" applyProtection="1">
      <protection hidden="1"/>
    </xf>
    <xf numFmtId="0" fontId="58" fillId="46" borderId="0" xfId="0" applyFont="1" applyFill="1"/>
    <xf numFmtId="164" fontId="31" fillId="0" borderId="21" xfId="33" applyFont="1" applyBorder="1" applyAlignment="1" applyProtection="1">
      <alignment horizontal="center"/>
      <protection hidden="1"/>
    </xf>
    <xf numFmtId="0" fontId="133" fillId="53" borderId="0" xfId="0" applyFont="1" applyFill="1"/>
    <xf numFmtId="0" fontId="91" fillId="52" borderId="60" xfId="0" applyFont="1" applyFill="1" applyBorder="1" applyAlignment="1" applyProtection="1">
      <alignment horizontal="center" vertical="center" wrapText="1"/>
      <protection hidden="1"/>
    </xf>
    <xf numFmtId="164" fontId="91" fillId="0" borderId="30" xfId="33" applyFont="1" applyBorder="1" applyProtection="1">
      <protection hidden="1"/>
    </xf>
    <xf numFmtId="164" fontId="91" fillId="0" borderId="12" xfId="33" applyFont="1" applyBorder="1" applyProtection="1">
      <protection hidden="1"/>
    </xf>
    <xf numFmtId="0" fontId="91" fillId="0" borderId="12" xfId="0" applyFont="1" applyBorder="1" applyProtection="1">
      <protection hidden="1"/>
    </xf>
    <xf numFmtId="0" fontId="91" fillId="0" borderId="0" xfId="0" applyFont="1" applyAlignment="1" applyProtection="1">
      <alignment horizontal="center" vertical="center" wrapText="1"/>
      <protection hidden="1"/>
    </xf>
    <xf numFmtId="164" fontId="91" fillId="0" borderId="0" xfId="33" applyFont="1" applyBorder="1" applyProtection="1">
      <protection hidden="1"/>
    </xf>
    <xf numFmtId="10" fontId="91" fillId="0" borderId="0" xfId="40" applyNumberFormat="1" applyFont="1" applyBorder="1" applyProtection="1">
      <protection hidden="1"/>
    </xf>
    <xf numFmtId="0" fontId="86" fillId="0" borderId="53" xfId="0" applyFont="1" applyBorder="1" applyProtection="1">
      <protection hidden="1"/>
    </xf>
    <xf numFmtId="10" fontId="91" fillId="0" borderId="54" xfId="40" applyNumberFormat="1" applyFont="1" applyBorder="1" applyProtection="1">
      <protection hidden="1"/>
    </xf>
    <xf numFmtId="0" fontId="91" fillId="0" borderId="24" xfId="0" applyFont="1" applyBorder="1" applyProtection="1">
      <protection hidden="1"/>
    </xf>
    <xf numFmtId="0" fontId="86" fillId="0" borderId="24" xfId="0" applyFont="1" applyBorder="1" applyProtection="1">
      <protection hidden="1"/>
    </xf>
    <xf numFmtId="0" fontId="91" fillId="0" borderId="48" xfId="0" applyFont="1" applyBorder="1" applyProtection="1">
      <protection hidden="1"/>
    </xf>
    <xf numFmtId="164" fontId="91" fillId="59" borderId="50" xfId="33" applyFont="1" applyFill="1" applyBorder="1" applyProtection="1">
      <protection hidden="1"/>
    </xf>
    <xf numFmtId="10" fontId="91" fillId="0" borderId="51" xfId="40" applyNumberFormat="1" applyFont="1" applyBorder="1" applyProtection="1">
      <protection hidden="1"/>
    </xf>
    <xf numFmtId="0" fontId="91" fillId="0" borderId="26" xfId="0" applyFont="1" applyBorder="1" applyAlignment="1" applyProtection="1">
      <alignment horizontal="center" vertical="center" wrapText="1"/>
      <protection hidden="1"/>
    </xf>
    <xf numFmtId="0" fontId="91" fillId="0" borderId="56" xfId="0" applyFont="1" applyBorder="1" applyAlignment="1" applyProtection="1">
      <alignment horizontal="center" vertical="center" wrapText="1"/>
      <protection hidden="1"/>
    </xf>
    <xf numFmtId="0" fontId="91" fillId="0" borderId="27" xfId="0" applyFont="1" applyBorder="1" applyAlignment="1" applyProtection="1">
      <alignment horizontal="center" vertical="center" wrapText="1"/>
      <protection hidden="1"/>
    </xf>
    <xf numFmtId="164" fontId="7" fillId="0" borderId="0" xfId="34" applyNumberFormat="1" applyFont="1" applyFill="1"/>
    <xf numFmtId="9" fontId="91" fillId="0" borderId="0" xfId="40" applyFont="1" applyProtection="1">
      <protection hidden="1"/>
    </xf>
    <xf numFmtId="14" fontId="0" fillId="0" borderId="0" xfId="0" applyNumberFormat="1" applyProtection="1">
      <protection hidden="1"/>
    </xf>
    <xf numFmtId="193" fontId="0" fillId="0" borderId="0" xfId="33" applyNumberFormat="1" applyFont="1" applyProtection="1">
      <protection hidden="1"/>
    </xf>
    <xf numFmtId="164" fontId="7" fillId="0" borderId="0" xfId="33" applyFont="1"/>
    <xf numFmtId="49" fontId="51" fillId="47" borderId="0" xfId="0" applyNumberFormat="1" applyFont="1" applyFill="1" applyAlignment="1">
      <alignment horizontal="left"/>
    </xf>
    <xf numFmtId="164" fontId="51" fillId="47" borderId="0" xfId="33" applyFont="1" applyFill="1" applyAlignment="1">
      <alignment horizontal="left"/>
    </xf>
    <xf numFmtId="0" fontId="55" fillId="42" borderId="0" xfId="0" applyFont="1" applyFill="1" applyAlignment="1">
      <alignment horizontal="left"/>
    </xf>
    <xf numFmtId="0" fontId="55" fillId="43" borderId="0" xfId="0" applyFont="1" applyFill="1" applyAlignment="1">
      <alignment horizontal="left"/>
    </xf>
    <xf numFmtId="164" fontId="134" fillId="67" borderId="0" xfId="33" applyFont="1" applyFill="1" applyAlignment="1">
      <alignment horizontal="left"/>
    </xf>
    <xf numFmtId="0" fontId="99" fillId="0" borderId="0" xfId="0" applyFont="1" applyAlignment="1">
      <alignment horizontal="left"/>
    </xf>
    <xf numFmtId="0" fontId="52" fillId="0" borderId="0" xfId="0" applyFont="1" applyAlignment="1">
      <alignment horizontal="left"/>
    </xf>
    <xf numFmtId="164" fontId="135" fillId="0" borderId="0" xfId="33" applyFont="1" applyAlignment="1">
      <alignment horizontal="left"/>
    </xf>
    <xf numFmtId="164" fontId="135" fillId="0" borderId="0" xfId="33" applyFont="1"/>
    <xf numFmtId="0" fontId="0" fillId="0" borderId="0" xfId="0" applyAlignment="1" applyProtection="1">
      <alignment horizontal="left" vertical="top" wrapText="1"/>
      <protection hidden="1"/>
    </xf>
    <xf numFmtId="0" fontId="111" fillId="0" borderId="0" xfId="0" applyFont="1" applyAlignment="1">
      <alignment horizontal="center"/>
    </xf>
    <xf numFmtId="0" fontId="0" fillId="0" borderId="0" xfId="0" applyAlignment="1">
      <alignment horizontal="center"/>
    </xf>
    <xf numFmtId="0" fontId="108" fillId="0" borderId="0" xfId="0" applyFont="1" applyAlignment="1">
      <alignment horizontal="left" vertical="distributed"/>
    </xf>
    <xf numFmtId="0" fontId="109" fillId="0" borderId="0" xfId="0" applyFont="1" applyAlignment="1">
      <alignment horizontal="left" vertical="distributed" wrapText="1"/>
    </xf>
    <xf numFmtId="0" fontId="109" fillId="0" borderId="0" xfId="0" applyFont="1" applyAlignment="1">
      <alignment horizontal="left" vertical="distributed"/>
    </xf>
    <xf numFmtId="0" fontId="104" fillId="0" borderId="0" xfId="0" applyFont="1" applyAlignment="1">
      <alignment horizontal="center"/>
    </xf>
    <xf numFmtId="0" fontId="105" fillId="0" borderId="47" xfId="0" applyFont="1" applyBorder="1" applyAlignment="1">
      <alignment horizontal="center"/>
    </xf>
    <xf numFmtId="0" fontId="108" fillId="0" borderId="47" xfId="0" applyFont="1" applyBorder="1" applyAlignment="1">
      <alignment horizontal="left" vertical="distributed"/>
    </xf>
    <xf numFmtId="164" fontId="101" fillId="0" borderId="0" xfId="33" applyFont="1" applyFill="1" applyBorder="1" applyAlignment="1">
      <alignment horizontal="center" vertical="distributed" wrapText="1"/>
    </xf>
    <xf numFmtId="164" fontId="101" fillId="0" borderId="47" xfId="33" applyFont="1" applyFill="1" applyBorder="1" applyAlignment="1">
      <alignment horizontal="center" vertical="distributed" wrapText="1"/>
    </xf>
    <xf numFmtId="0" fontId="31" fillId="53" borderId="0" xfId="0" applyFont="1" applyFill="1" applyAlignment="1">
      <alignment horizontal="left" vertical="top" wrapText="1"/>
    </xf>
    <xf numFmtId="0" fontId="54" fillId="0" borderId="29" xfId="0" applyFont="1" applyBorder="1" applyAlignment="1">
      <alignment horizontal="center" wrapText="1"/>
    </xf>
    <xf numFmtId="0" fontId="54" fillId="0" borderId="9" xfId="0" applyFont="1" applyBorder="1" applyAlignment="1">
      <alignment horizontal="center" wrapText="1"/>
    </xf>
    <xf numFmtId="0" fontId="86" fillId="42" borderId="1" xfId="0" applyFont="1" applyFill="1" applyBorder="1" applyAlignment="1" applyProtection="1">
      <alignment horizontal="center" vertical="center" wrapText="1"/>
      <protection hidden="1"/>
    </xf>
    <xf numFmtId="0" fontId="97" fillId="43" borderId="15" xfId="0" applyFont="1" applyFill="1" applyBorder="1" applyAlignment="1" applyProtection="1">
      <alignment horizontal="center" vertical="center"/>
      <protection hidden="1"/>
    </xf>
    <xf numFmtId="0" fontId="97" fillId="43" borderId="16" xfId="0" applyFont="1" applyFill="1" applyBorder="1" applyAlignment="1" applyProtection="1">
      <alignment horizontal="center" vertical="center"/>
      <protection hidden="1"/>
    </xf>
    <xf numFmtId="0" fontId="88" fillId="46" borderId="4" xfId="0" applyFont="1" applyFill="1" applyBorder="1" applyAlignment="1" applyProtection="1">
      <alignment horizontal="center"/>
      <protection hidden="1"/>
    </xf>
    <xf numFmtId="0" fontId="88" fillId="46" borderId="46" xfId="0" applyFont="1" applyFill="1" applyBorder="1" applyAlignment="1" applyProtection="1">
      <alignment horizontal="center"/>
      <protection hidden="1"/>
    </xf>
    <xf numFmtId="0" fontId="65" fillId="0" borderId="0" xfId="0" applyFont="1" applyFill="1" applyProtection="1">
      <protection hidden="1"/>
    </xf>
    <xf numFmtId="0" fontId="65" fillId="0" borderId="0" xfId="0" applyFont="1" applyFill="1" applyAlignment="1" applyProtection="1">
      <alignment wrapText="1"/>
      <protection hidden="1"/>
    </xf>
    <xf numFmtId="0" fontId="69" fillId="0" borderId="0" xfId="0" applyFont="1" applyFill="1" applyProtection="1">
      <protection hidden="1"/>
    </xf>
    <xf numFmtId="164" fontId="65" fillId="0" borderId="0" xfId="33" applyFont="1" applyFill="1" applyProtection="1">
      <protection hidden="1"/>
    </xf>
    <xf numFmtId="0" fontId="66" fillId="0" borderId="0" xfId="0" applyFont="1" applyFill="1" applyAlignment="1" applyProtection="1">
      <alignment vertical="top"/>
      <protection hidden="1"/>
    </xf>
    <xf numFmtId="0" fontId="65" fillId="0" borderId="1" xfId="34" applyNumberFormat="1" applyFont="1" applyFill="1" applyBorder="1" applyAlignment="1" applyProtection="1">
      <alignment horizontal="center" vertical="center" wrapText="1"/>
      <protection hidden="1"/>
    </xf>
    <xf numFmtId="0" fontId="65" fillId="0" borderId="1" xfId="0" applyFont="1" applyFill="1" applyBorder="1" applyAlignment="1" applyProtection="1">
      <alignment horizontal="center" vertical="center" wrapText="1"/>
      <protection hidden="1"/>
    </xf>
    <xf numFmtId="175" fontId="65" fillId="0" borderId="1" xfId="0" applyNumberFormat="1" applyFont="1" applyFill="1" applyBorder="1" applyAlignment="1" applyProtection="1">
      <alignment horizontal="center" vertical="center" wrapText="1"/>
      <protection hidden="1"/>
    </xf>
    <xf numFmtId="0" fontId="65" fillId="0" borderId="0" xfId="34" applyNumberFormat="1" applyFont="1" applyFill="1" applyBorder="1" applyProtection="1">
      <protection hidden="1"/>
    </xf>
    <xf numFmtId="0" fontId="41" fillId="0" borderId="6" xfId="0" applyFont="1" applyFill="1" applyBorder="1"/>
    <xf numFmtId="0" fontId="41" fillId="0" borderId="41" xfId="0" applyFont="1" applyFill="1" applyBorder="1"/>
    <xf numFmtId="0" fontId="41" fillId="0" borderId="7" xfId="0" applyFont="1" applyFill="1" applyBorder="1"/>
    <xf numFmtId="0" fontId="0" fillId="0" borderId="15" xfId="0" applyFill="1" applyBorder="1" applyAlignment="1">
      <alignment horizontal="center"/>
    </xf>
    <xf numFmtId="9" fontId="117" fillId="0" borderId="17" xfId="40" applyFont="1" applyFill="1" applyBorder="1" applyAlignment="1">
      <alignment horizontal="center"/>
    </xf>
    <xf numFmtId="0" fontId="76" fillId="0" borderId="0" xfId="0" applyFont="1" applyFill="1" applyProtection="1">
      <protection hidden="1"/>
    </xf>
    <xf numFmtId="0" fontId="82" fillId="0" borderId="0" xfId="0" applyFont="1" applyFill="1" applyProtection="1">
      <protection hidden="1"/>
    </xf>
    <xf numFmtId="0" fontId="75" fillId="0" borderId="0" xfId="0" applyFont="1" applyFill="1" applyProtection="1">
      <protection hidden="1"/>
    </xf>
    <xf numFmtId="0" fontId="64" fillId="0" borderId="0" xfId="0" applyFont="1" applyFill="1" applyProtection="1">
      <protection hidden="1"/>
    </xf>
    <xf numFmtId="0" fontId="84" fillId="0" borderId="0" xfId="0" applyFont="1" applyFill="1" applyProtection="1">
      <protection hidden="1"/>
    </xf>
    <xf numFmtId="0" fontId="0" fillId="0" borderId="4" xfId="0" applyFill="1" applyBorder="1" applyAlignment="1" applyProtection="1">
      <alignment horizontal="center"/>
      <protection hidden="1"/>
    </xf>
    <xf numFmtId="0" fontId="0" fillId="0" borderId="46" xfId="0" applyFill="1" applyBorder="1" applyAlignment="1" applyProtection="1">
      <alignment horizontal="center"/>
      <protection hidden="1"/>
    </xf>
    <xf numFmtId="0" fontId="0" fillId="0" borderId="19" xfId="0" applyFill="1" applyBorder="1" applyAlignment="1" applyProtection="1">
      <alignment horizontal="center"/>
      <protection hidden="1"/>
    </xf>
    <xf numFmtId="0" fontId="127" fillId="0" borderId="46" xfId="0" applyFont="1" applyFill="1" applyBorder="1" applyAlignment="1" applyProtection="1">
      <alignment horizontal="center" vertical="center"/>
      <protection hidden="1"/>
    </xf>
    <xf numFmtId="0" fontId="127" fillId="0" borderId="19" xfId="0" applyFont="1" applyFill="1" applyBorder="1" applyAlignment="1" applyProtection="1">
      <alignment horizontal="center" vertical="center"/>
      <protection hidden="1"/>
    </xf>
    <xf numFmtId="0" fontId="0" fillId="0" borderId="4" xfId="33" applyNumberFormat="1" applyFont="1" applyFill="1" applyBorder="1" applyAlignment="1" applyProtection="1">
      <alignment horizontal="center"/>
      <protection hidden="1"/>
    </xf>
    <xf numFmtId="0" fontId="115" fillId="0" borderId="4" xfId="0" applyFont="1" applyFill="1" applyBorder="1" applyAlignment="1" applyProtection="1">
      <alignment vertical="center" wrapText="1"/>
      <protection hidden="1"/>
    </xf>
    <xf numFmtId="191" fontId="115" fillId="0" borderId="19" xfId="0" applyNumberFormat="1" applyFont="1" applyFill="1" applyBorder="1" applyAlignment="1" applyProtection="1">
      <alignment vertical="center" wrapText="1"/>
      <protection hidden="1"/>
    </xf>
    <xf numFmtId="0" fontId="127" fillId="0" borderId="46" xfId="0" applyFont="1" applyFill="1" applyBorder="1" applyAlignment="1" applyProtection="1">
      <alignment horizontal="left" vertical="top" wrapText="1"/>
      <protection hidden="1"/>
    </xf>
    <xf numFmtId="0" fontId="0" fillId="0" borderId="0" xfId="0" applyFill="1" applyProtection="1">
      <protection hidden="1"/>
    </xf>
    <xf numFmtId="164" fontId="0" fillId="0" borderId="0" xfId="33" applyFont="1" applyFill="1" applyProtection="1">
      <protection hidden="1"/>
    </xf>
    <xf numFmtId="10" fontId="0" fillId="0" borderId="0" xfId="40" applyNumberFormat="1" applyFont="1" applyFill="1" applyProtection="1">
      <protection hidden="1"/>
    </xf>
    <xf numFmtId="3" fontId="0" fillId="0" borderId="0" xfId="0" applyNumberFormat="1" applyFill="1" applyProtection="1">
      <protection hidden="1"/>
    </xf>
    <xf numFmtId="164" fontId="0" fillId="0" borderId="11" xfId="33" applyFont="1" applyFill="1" applyBorder="1" applyProtection="1">
      <protection hidden="1"/>
    </xf>
    <xf numFmtId="0" fontId="33" fillId="0" borderId="40" xfId="0" applyFont="1" applyFill="1" applyBorder="1" applyAlignment="1" applyProtection="1">
      <alignment horizontal="center"/>
      <protection hidden="1"/>
    </xf>
    <xf numFmtId="190" fontId="33" fillId="0" borderId="21" xfId="33" applyNumberFormat="1" applyFont="1" applyFill="1" applyBorder="1" applyProtection="1">
      <protection hidden="1"/>
    </xf>
    <xf numFmtId="164" fontId="0" fillId="0" borderId="10" xfId="33" applyFont="1" applyFill="1" applyBorder="1" applyProtection="1">
      <protection hidden="1"/>
    </xf>
    <xf numFmtId="0" fontId="33" fillId="0" borderId="20" xfId="0" applyFont="1" applyFill="1" applyBorder="1" applyAlignment="1" applyProtection="1">
      <alignment horizontal="center"/>
      <protection hidden="1"/>
    </xf>
    <xf numFmtId="190" fontId="33" fillId="0" borderId="5" xfId="33" applyNumberFormat="1" applyFont="1" applyFill="1" applyBorder="1" applyProtection="1">
      <protection hidden="1"/>
    </xf>
    <xf numFmtId="164" fontId="31" fillId="0" borderId="18" xfId="33" applyFont="1" applyBorder="1" applyAlignment="1" applyProtection="1">
      <alignment horizontal="center"/>
      <protection hidden="1"/>
    </xf>
    <xf numFmtId="0" fontId="0" fillId="0" borderId="0" xfId="0" applyFont="1" applyAlignment="1" applyProtection="1">
      <alignment horizontal="center" vertical="center" wrapText="1"/>
      <protection hidden="1"/>
    </xf>
    <xf numFmtId="0" fontId="0" fillId="0" borderId="20" xfId="0" applyFont="1" applyFill="1" applyBorder="1" applyAlignment="1" applyProtection="1">
      <alignment horizontal="center" vertical="top" wrapText="1"/>
      <protection hidden="1"/>
    </xf>
    <xf numFmtId="0" fontId="0" fillId="0" borderId="47" xfId="0" applyFont="1" applyFill="1" applyBorder="1" applyAlignment="1" applyProtection="1">
      <alignment horizontal="center" vertical="top" wrapText="1"/>
      <protection hidden="1"/>
    </xf>
    <xf numFmtId="164" fontId="16" fillId="0" borderId="20" xfId="33" applyFont="1" applyFill="1" applyBorder="1" applyAlignment="1" applyProtection="1">
      <alignment horizontal="center" vertical="top" wrapText="1"/>
      <protection hidden="1"/>
    </xf>
    <xf numFmtId="164" fontId="16" fillId="0" borderId="47" xfId="33" applyFont="1" applyFill="1" applyBorder="1" applyAlignment="1" applyProtection="1">
      <alignment horizontal="center" vertical="top" wrapText="1"/>
      <protection hidden="1"/>
    </xf>
    <xf numFmtId="0" fontId="0" fillId="0" borderId="5" xfId="0" applyFont="1" applyFill="1" applyBorder="1" applyAlignment="1" applyProtection="1">
      <alignment horizontal="center" vertical="top" wrapText="1"/>
      <protection hidden="1"/>
    </xf>
    <xf numFmtId="164" fontId="16" fillId="0" borderId="5" xfId="33" applyFont="1" applyFill="1" applyBorder="1" applyAlignment="1" applyProtection="1">
      <alignment horizontal="center" vertical="top" wrapText="1"/>
      <protection hidden="1"/>
    </xf>
    <xf numFmtId="0" fontId="0" fillId="0" borderId="10" xfId="0" applyFont="1" applyFill="1" applyBorder="1" applyAlignment="1" applyProtection="1">
      <alignment horizontal="center" vertical="top" wrapText="1"/>
      <protection hidden="1"/>
    </xf>
    <xf numFmtId="0" fontId="33" fillId="0" borderId="6" xfId="0" applyFont="1" applyFill="1" applyBorder="1" applyAlignment="1" applyProtection="1">
      <alignment horizontal="center" vertical="center" wrapText="1"/>
      <protection hidden="1"/>
    </xf>
    <xf numFmtId="0" fontId="33" fillId="0" borderId="2" xfId="0" applyFont="1" applyFill="1" applyBorder="1" applyAlignment="1" applyProtection="1">
      <alignment horizontal="center" vertical="center" wrapText="1"/>
      <protection hidden="1"/>
    </xf>
    <xf numFmtId="0" fontId="78" fillId="46" borderId="41" xfId="0" applyFont="1" applyFill="1" applyBorder="1" applyAlignment="1" applyProtection="1">
      <alignment horizontal="centerContinuous"/>
      <protection hidden="1"/>
    </xf>
    <xf numFmtId="0" fontId="85" fillId="46" borderId="0" xfId="0" applyFont="1" applyFill="1"/>
    <xf numFmtId="0" fontId="85" fillId="46" borderId="47" xfId="0" applyFont="1" applyFill="1" applyBorder="1"/>
    <xf numFmtId="0" fontId="62" fillId="46" borderId="29" xfId="0" applyFont="1" applyFill="1" applyBorder="1" applyAlignment="1" applyProtection="1">
      <alignment horizontal="center" vertical="top" wrapText="1"/>
      <protection hidden="1"/>
    </xf>
    <xf numFmtId="0" fontId="62" fillId="46" borderId="30" xfId="0" applyFont="1" applyFill="1" applyBorder="1" applyAlignment="1" applyProtection="1">
      <alignment horizontal="center" vertical="top" wrapText="1"/>
      <protection hidden="1"/>
    </xf>
    <xf numFmtId="0" fontId="62" fillId="46" borderId="1" xfId="0" applyFont="1" applyFill="1" applyBorder="1" applyAlignment="1" applyProtection="1">
      <alignment horizontal="center" vertical="top" wrapText="1"/>
      <protection hidden="1"/>
    </xf>
    <xf numFmtId="0" fontId="57" fillId="46" borderId="0" xfId="0" applyFont="1" applyFill="1" applyAlignment="1" applyProtection="1">
      <alignment horizontal="center"/>
      <protection hidden="1"/>
    </xf>
    <xf numFmtId="0" fontId="78" fillId="46" borderId="0" xfId="0" applyFont="1" applyFill="1" applyProtection="1">
      <protection hidden="1"/>
    </xf>
    <xf numFmtId="0" fontId="61" fillId="46" borderId="0" xfId="0" applyFont="1" applyFill="1" applyProtection="1">
      <protection hidden="1"/>
    </xf>
    <xf numFmtId="0" fontId="62" fillId="46" borderId="0" xfId="0" applyFont="1" applyFill="1" applyProtection="1">
      <protection hidden="1"/>
    </xf>
    <xf numFmtId="0" fontId="57" fillId="46" borderId="0" xfId="0" applyFont="1" applyFill="1" applyProtection="1">
      <protection hidden="1"/>
    </xf>
    <xf numFmtId="165" fontId="57" fillId="46" borderId="0" xfId="32" applyFont="1" applyFill="1" applyProtection="1">
      <protection hidden="1"/>
    </xf>
    <xf numFmtId="3" fontId="57" fillId="46" borderId="0" xfId="0" applyNumberFormat="1" applyFont="1" applyFill="1" applyProtection="1">
      <protection hidden="1"/>
    </xf>
    <xf numFmtId="0" fontId="63" fillId="46" borderId="0" xfId="0" applyFont="1" applyFill="1" applyProtection="1">
      <protection hidden="1"/>
    </xf>
    <xf numFmtId="0" fontId="65" fillId="46" borderId="0" xfId="0" applyFont="1" applyFill="1" applyAlignment="1" applyProtection="1">
      <alignment horizontal="center"/>
      <protection hidden="1"/>
    </xf>
    <xf numFmtId="0" fontId="66" fillId="46" borderId="0" xfId="0" applyFont="1" applyFill="1" applyProtection="1">
      <protection hidden="1"/>
    </xf>
    <xf numFmtId="0" fontId="65" fillId="46" borderId="0" xfId="0" applyFont="1" applyFill="1" applyProtection="1">
      <protection hidden="1"/>
    </xf>
    <xf numFmtId="178" fontId="65" fillId="46" borderId="0" xfId="0" applyNumberFormat="1" applyFont="1" applyFill="1" applyProtection="1">
      <protection hidden="1"/>
    </xf>
    <xf numFmtId="166" fontId="65" fillId="46" borderId="0" xfId="0" applyNumberFormat="1" applyFont="1" applyFill="1" applyProtection="1">
      <protection hidden="1"/>
    </xf>
    <xf numFmtId="0" fontId="67" fillId="46" borderId="2" xfId="0" applyFont="1" applyFill="1" applyBorder="1" applyAlignment="1" applyProtection="1">
      <alignment horizontal="center" vertical="center" wrapText="1"/>
      <protection hidden="1"/>
    </xf>
    <xf numFmtId="166" fontId="65" fillId="46" borderId="0" xfId="32" applyNumberFormat="1" applyFont="1" applyFill="1" applyProtection="1">
      <protection hidden="1"/>
    </xf>
    <xf numFmtId="0" fontId="68" fillId="46" borderId="6" xfId="0" applyFont="1" applyFill="1" applyBorder="1" applyAlignment="1" applyProtection="1">
      <alignment wrapText="1"/>
      <protection hidden="1"/>
    </xf>
    <xf numFmtId="10" fontId="69" fillId="46" borderId="7" xfId="40" applyNumberFormat="1" applyFont="1" applyFill="1" applyBorder="1" applyAlignment="1" applyProtection="1">
      <alignment horizontal="center"/>
      <protection hidden="1"/>
    </xf>
    <xf numFmtId="166" fontId="65" fillId="46" borderId="0" xfId="32" applyNumberFormat="1" applyFont="1" applyFill="1" applyBorder="1" applyProtection="1">
      <protection hidden="1"/>
    </xf>
    <xf numFmtId="3" fontId="65" fillId="46" borderId="0" xfId="0" applyNumberFormat="1" applyFont="1" applyFill="1" applyAlignment="1" applyProtection="1">
      <alignment horizontal="center"/>
      <protection hidden="1"/>
    </xf>
    <xf numFmtId="165" fontId="65" fillId="46" borderId="0" xfId="32" applyFont="1" applyFill="1" applyBorder="1" applyProtection="1">
      <protection hidden="1"/>
    </xf>
    <xf numFmtId="172" fontId="65" fillId="46" borderId="0" xfId="0" applyNumberFormat="1" applyFont="1" applyFill="1" applyProtection="1">
      <protection hidden="1"/>
    </xf>
    <xf numFmtId="170" fontId="65" fillId="46" borderId="0" xfId="32" applyNumberFormat="1" applyFont="1" applyFill="1" applyProtection="1">
      <protection hidden="1"/>
    </xf>
    <xf numFmtId="0" fontId="70" fillId="46" borderId="0" xfId="0" applyFont="1" applyFill="1" applyAlignment="1" applyProtection="1">
      <alignment horizontal="center"/>
      <protection hidden="1"/>
    </xf>
    <xf numFmtId="166" fontId="62" fillId="46" borderId="0" xfId="32" applyNumberFormat="1" applyFont="1" applyFill="1" applyBorder="1" applyAlignment="1" applyProtection="1">
      <alignment horizontal="center" vertical="center" wrapText="1"/>
      <protection hidden="1"/>
    </xf>
    <xf numFmtId="165" fontId="64" fillId="46" borderId="0" xfId="0" applyNumberFormat="1" applyFont="1" applyFill="1" applyProtection="1">
      <protection hidden="1"/>
    </xf>
    <xf numFmtId="166" fontId="66" fillId="46" borderId="28" xfId="0" applyNumberFormat="1" applyFont="1" applyFill="1" applyBorder="1" applyAlignment="1" applyProtection="1">
      <alignment vertical="center" wrapText="1"/>
      <protection hidden="1"/>
    </xf>
    <xf numFmtId="189" fontId="65" fillId="46" borderId="0" xfId="33" applyNumberFormat="1" applyFont="1" applyFill="1" applyAlignment="1" applyProtection="1">
      <alignment horizontal="center" vertical="center"/>
      <protection hidden="1"/>
    </xf>
    <xf numFmtId="0" fontId="65" fillId="46" borderId="18" xfId="0" applyFont="1" applyFill="1" applyBorder="1" applyAlignment="1" applyProtection="1">
      <alignment horizontal="center" vertical="center" wrapText="1"/>
      <protection hidden="1"/>
    </xf>
    <xf numFmtId="0" fontId="65" fillId="46" borderId="18" xfId="0" applyFont="1" applyFill="1" applyBorder="1" applyAlignment="1" applyProtection="1">
      <alignment horizontal="center" vertical="center"/>
      <protection hidden="1"/>
    </xf>
    <xf numFmtId="3" fontId="71" fillId="46" borderId="0" xfId="0" applyNumberFormat="1" applyFont="1" applyFill="1" applyAlignment="1" applyProtection="1">
      <alignment horizontal="center"/>
      <protection hidden="1"/>
    </xf>
    <xf numFmtId="0" fontId="62" fillId="46" borderId="8" xfId="0" applyFont="1" applyFill="1" applyBorder="1" applyAlignment="1" applyProtection="1">
      <alignment horizontal="center" vertical="center" wrapText="1"/>
      <protection hidden="1"/>
    </xf>
    <xf numFmtId="179" fontId="65" fillId="46" borderId="0" xfId="0" applyNumberFormat="1" applyFont="1" applyFill="1" applyAlignment="1" applyProtection="1">
      <alignment horizontal="center"/>
      <protection hidden="1"/>
    </xf>
    <xf numFmtId="174" fontId="65" fillId="46" borderId="0" xfId="0" applyNumberFormat="1" applyFont="1" applyFill="1" applyProtection="1">
      <protection hidden="1"/>
    </xf>
    <xf numFmtId="166" fontId="66" fillId="46" borderId="2" xfId="32" applyNumberFormat="1" applyFont="1" applyFill="1" applyBorder="1" applyAlignment="1" applyProtection="1">
      <alignment horizontal="center" vertical="center" wrapText="1"/>
      <protection hidden="1"/>
    </xf>
    <xf numFmtId="166" fontId="66" fillId="46" borderId="6" xfId="32" applyNumberFormat="1" applyFont="1" applyFill="1" applyBorder="1" applyAlignment="1" applyProtection="1">
      <alignment horizontal="center" vertical="center" wrapText="1"/>
      <protection hidden="1"/>
    </xf>
    <xf numFmtId="0" fontId="72" fillId="46" borderId="9" xfId="0" applyFont="1" applyFill="1" applyBorder="1" applyAlignment="1" applyProtection="1">
      <alignment horizontal="center"/>
      <protection hidden="1"/>
    </xf>
    <xf numFmtId="0" fontId="72" fillId="46" borderId="0" xfId="0" applyFont="1" applyFill="1" applyAlignment="1" applyProtection="1">
      <alignment horizontal="center"/>
      <protection hidden="1"/>
    </xf>
    <xf numFmtId="165" fontId="65" fillId="46" borderId="0" xfId="32" applyFont="1" applyFill="1" applyProtection="1">
      <protection hidden="1"/>
    </xf>
    <xf numFmtId="3" fontId="65" fillId="46" borderId="10" xfId="0" applyNumberFormat="1" applyFont="1" applyFill="1" applyBorder="1" applyAlignment="1" applyProtection="1">
      <alignment horizontal="center"/>
      <protection hidden="1"/>
    </xf>
    <xf numFmtId="10" fontId="65" fillId="46" borderId="11" xfId="0" applyNumberFormat="1" applyFont="1" applyFill="1" applyBorder="1" applyAlignment="1" applyProtection="1">
      <alignment horizontal="center"/>
      <protection hidden="1"/>
    </xf>
    <xf numFmtId="10" fontId="65" fillId="46" borderId="0" xfId="40" applyNumberFormat="1" applyFont="1" applyFill="1" applyBorder="1" applyProtection="1">
      <protection hidden="1"/>
    </xf>
    <xf numFmtId="3" fontId="65" fillId="46" borderId="0" xfId="0" applyNumberFormat="1" applyFont="1" applyFill="1" applyProtection="1">
      <protection hidden="1"/>
    </xf>
    <xf numFmtId="166" fontId="66" fillId="46" borderId="7" xfId="32" applyNumberFormat="1" applyFont="1" applyFill="1" applyBorder="1" applyAlignment="1" applyProtection="1">
      <alignment horizontal="center" vertical="center" wrapText="1"/>
      <protection hidden="1"/>
    </xf>
    <xf numFmtId="3" fontId="64" fillId="46" borderId="0" xfId="0" applyNumberFormat="1" applyFont="1" applyFill="1" applyProtection="1">
      <protection hidden="1"/>
    </xf>
    <xf numFmtId="0" fontId="65" fillId="46" borderId="1" xfId="0" applyFont="1" applyFill="1" applyBorder="1" applyAlignment="1" applyProtection="1">
      <alignment horizontal="center" vertical="center" wrapText="1"/>
      <protection hidden="1"/>
    </xf>
    <xf numFmtId="9" fontId="65" fillId="46" borderId="1" xfId="0" applyNumberFormat="1" applyFont="1" applyFill="1" applyBorder="1" applyAlignment="1" applyProtection="1">
      <alignment horizontal="center" vertical="center" wrapText="1"/>
      <protection hidden="1"/>
    </xf>
    <xf numFmtId="166" fontId="65" fillId="46" borderId="13" xfId="32" applyNumberFormat="1" applyFont="1" applyFill="1" applyBorder="1" applyAlignment="1" applyProtection="1">
      <alignment horizontal="center" vertical="center" wrapText="1"/>
      <protection hidden="1"/>
    </xf>
    <xf numFmtId="0" fontId="65" fillId="46" borderId="27" xfId="0" applyFont="1" applyFill="1" applyBorder="1" applyAlignment="1" applyProtection="1">
      <alignment horizontal="center" vertical="center" wrapText="1"/>
      <protection hidden="1"/>
    </xf>
    <xf numFmtId="0" fontId="65" fillId="46" borderId="25" xfId="0" applyFont="1" applyFill="1" applyBorder="1" applyAlignment="1" applyProtection="1">
      <alignment horizontal="center" vertical="center" wrapText="1"/>
      <protection hidden="1"/>
    </xf>
    <xf numFmtId="0" fontId="65" fillId="46" borderId="14" xfId="0" applyFont="1" applyFill="1" applyBorder="1" applyAlignment="1" applyProtection="1">
      <alignment horizontal="center" vertical="center" wrapText="1"/>
      <protection hidden="1"/>
    </xf>
    <xf numFmtId="0" fontId="65" fillId="46" borderId="12" xfId="0" applyFont="1" applyFill="1" applyBorder="1" applyAlignment="1" applyProtection="1">
      <alignment horizontal="center" vertical="center" wrapText="1"/>
      <protection hidden="1"/>
    </xf>
    <xf numFmtId="0" fontId="65" fillId="46" borderId="13" xfId="0" applyFont="1" applyFill="1" applyBorder="1" applyAlignment="1" applyProtection="1">
      <alignment horizontal="center" vertical="center" wrapText="1"/>
      <protection hidden="1"/>
    </xf>
    <xf numFmtId="0" fontId="65" fillId="46" borderId="2" xfId="0" applyFont="1" applyFill="1" applyBorder="1" applyAlignment="1" applyProtection="1">
      <alignment horizontal="center" vertical="center" wrapText="1"/>
      <protection hidden="1"/>
    </xf>
    <xf numFmtId="9" fontId="66" fillId="46" borderId="6" xfId="0" applyNumberFormat="1" applyFont="1" applyFill="1" applyBorder="1" applyAlignment="1" applyProtection="1">
      <alignment horizontal="center" vertical="center" wrapText="1"/>
      <protection hidden="1"/>
    </xf>
    <xf numFmtId="170" fontId="66" fillId="46" borderId="2" xfId="32" applyNumberFormat="1" applyFont="1" applyFill="1" applyBorder="1" applyAlignment="1" applyProtection="1">
      <alignment horizontal="center" vertical="center" wrapText="1"/>
      <protection hidden="1"/>
    </xf>
    <xf numFmtId="0" fontId="66" fillId="46" borderId="2" xfId="0" applyFont="1" applyFill="1" applyBorder="1" applyAlignment="1" applyProtection="1">
      <alignment horizontal="center" vertical="center" wrapText="1"/>
      <protection hidden="1"/>
    </xf>
    <xf numFmtId="0" fontId="66" fillId="46" borderId="10" xfId="0" applyFont="1" applyFill="1" applyBorder="1" applyAlignment="1" applyProtection="1">
      <alignment horizontal="center" vertical="center" wrapText="1"/>
      <protection hidden="1"/>
    </xf>
    <xf numFmtId="0" fontId="64" fillId="46" borderId="0" xfId="0" applyFont="1" applyFill="1" applyAlignment="1" applyProtection="1">
      <alignment horizontal="center"/>
      <protection hidden="1"/>
    </xf>
    <xf numFmtId="166" fontId="73" fillId="46" borderId="0" xfId="32" applyNumberFormat="1" applyFont="1" applyFill="1" applyProtection="1">
      <protection hidden="1"/>
    </xf>
    <xf numFmtId="171" fontId="73" fillId="46" borderId="0" xfId="32" applyNumberFormat="1" applyFont="1" applyFill="1" applyProtection="1">
      <protection hidden="1"/>
    </xf>
    <xf numFmtId="166" fontId="57" fillId="46" borderId="0" xfId="0" applyNumberFormat="1" applyFont="1" applyFill="1" applyProtection="1">
      <protection hidden="1"/>
    </xf>
    <xf numFmtId="166" fontId="74" fillId="46" borderId="0" xfId="32" applyNumberFormat="1" applyFont="1" applyFill="1" applyProtection="1">
      <protection hidden="1"/>
    </xf>
    <xf numFmtId="171" fontId="57" fillId="46" borderId="0" xfId="0" applyNumberFormat="1" applyFont="1" applyFill="1" applyProtection="1">
      <protection hidden="1"/>
    </xf>
    <xf numFmtId="171" fontId="64" fillId="46" borderId="0" xfId="0" applyNumberFormat="1" applyFont="1" applyFill="1" applyProtection="1">
      <protection hidden="1"/>
    </xf>
    <xf numFmtId="182" fontId="64" fillId="46" borderId="0" xfId="33" applyNumberFormat="1" applyFont="1" applyFill="1" applyProtection="1">
      <protection hidden="1"/>
    </xf>
    <xf numFmtId="180" fontId="57" fillId="46" borderId="0" xfId="0" applyNumberFormat="1" applyFont="1" applyFill="1" applyProtection="1">
      <protection hidden="1"/>
    </xf>
    <xf numFmtId="173" fontId="57" fillId="46" borderId="0" xfId="0" applyNumberFormat="1" applyFont="1" applyFill="1" applyProtection="1">
      <protection hidden="1"/>
    </xf>
    <xf numFmtId="0" fontId="57" fillId="46" borderId="15" xfId="0" applyFont="1" applyFill="1" applyBorder="1" applyProtection="1">
      <protection hidden="1"/>
    </xf>
    <xf numFmtId="166" fontId="57" fillId="46" borderId="16" xfId="0" applyNumberFormat="1" applyFont="1" applyFill="1" applyBorder="1" applyProtection="1">
      <protection hidden="1"/>
    </xf>
    <xf numFmtId="166" fontId="57" fillId="46" borderId="17" xfId="0" applyNumberFormat="1" applyFont="1" applyFill="1" applyBorder="1" applyProtection="1">
      <protection hidden="1"/>
    </xf>
    <xf numFmtId="0" fontId="75" fillId="46" borderId="0" xfId="0" applyFont="1" applyFill="1" applyProtection="1">
      <protection hidden="1"/>
    </xf>
    <xf numFmtId="0" fontId="62" fillId="46" borderId="46" xfId="0" applyFont="1" applyFill="1" applyBorder="1" applyAlignment="1" applyProtection="1">
      <alignment horizontal="right"/>
      <protection hidden="1"/>
    </xf>
    <xf numFmtId="0" fontId="88" fillId="46" borderId="2" xfId="0" applyFont="1" applyFill="1" applyBorder="1" applyAlignment="1" applyProtection="1">
      <alignment horizontal="center"/>
      <protection hidden="1"/>
    </xf>
    <xf numFmtId="0" fontId="89" fillId="46" borderId="0" xfId="0" applyFont="1" applyFill="1" applyAlignment="1" applyProtection="1">
      <alignment horizontal="center" vertical="center"/>
      <protection hidden="1"/>
    </xf>
    <xf numFmtId="0" fontId="58" fillId="46" borderId="2" xfId="0" applyFont="1" applyFill="1" applyBorder="1" applyProtection="1">
      <protection hidden="1"/>
    </xf>
    <xf numFmtId="0" fontId="85" fillId="46" borderId="0" xfId="0" applyFont="1" applyFill="1" applyProtection="1">
      <protection hidden="1"/>
    </xf>
    <xf numFmtId="0" fontId="91" fillId="46" borderId="6" xfId="0" applyFont="1" applyFill="1" applyBorder="1" applyAlignment="1" applyProtection="1">
      <alignment horizontal="center"/>
      <protection hidden="1"/>
    </xf>
    <xf numFmtId="166" fontId="91" fillId="46" borderId="2" xfId="32" applyNumberFormat="1" applyFont="1" applyFill="1" applyBorder="1" applyAlignment="1" applyProtection="1">
      <alignment horizontal="center"/>
      <protection hidden="1"/>
    </xf>
    <xf numFmtId="10" fontId="89" fillId="46" borderId="21" xfId="0" applyNumberFormat="1" applyFont="1" applyFill="1" applyBorder="1" applyProtection="1">
      <protection hidden="1"/>
    </xf>
    <xf numFmtId="0" fontId="136" fillId="46" borderId="6" xfId="0" applyFont="1" applyFill="1" applyBorder="1" applyAlignment="1" applyProtection="1">
      <alignment horizontal="centerContinuous"/>
      <protection hidden="1"/>
    </xf>
    <xf numFmtId="0" fontId="112" fillId="46" borderId="0" xfId="0" applyFont="1" applyFill="1"/>
    <xf numFmtId="0" fontId="100" fillId="46" borderId="0" xfId="0" applyFont="1" applyFill="1"/>
    <xf numFmtId="0" fontId="90" fillId="46" borderId="0" xfId="0" applyFont="1" applyFill="1" applyAlignment="1">
      <alignment horizontal="center"/>
    </xf>
    <xf numFmtId="0" fontId="112" fillId="46" borderId="0" xfId="0" applyFont="1" applyFill="1" applyAlignment="1">
      <alignment horizontal="center"/>
    </xf>
    <xf numFmtId="0" fontId="17" fillId="46" borderId="0" xfId="0" applyFont="1" applyFill="1"/>
    <xf numFmtId="0" fontId="100" fillId="46" borderId="0" xfId="0" applyFont="1" applyFill="1" applyAlignment="1">
      <alignment horizontal="center"/>
    </xf>
    <xf numFmtId="0" fontId="100" fillId="46" borderId="0" xfId="0" applyFont="1" applyFill="1" applyAlignment="1">
      <alignment horizontal="left"/>
    </xf>
    <xf numFmtId="164" fontId="100" fillId="46" borderId="0" xfId="33" applyFont="1" applyFill="1" applyAlignment="1">
      <alignment horizontal="center"/>
    </xf>
    <xf numFmtId="0" fontId="88" fillId="46" borderId="0" xfId="0" applyFont="1" applyFill="1" applyAlignment="1">
      <alignment horizontal="left"/>
    </xf>
    <xf numFmtId="0" fontId="58" fillId="46" borderId="6" xfId="0" applyFont="1" applyFill="1" applyBorder="1" applyAlignment="1" applyProtection="1">
      <alignment horizontal="centerContinuous" vertical="center" wrapText="1"/>
      <protection hidden="1"/>
    </xf>
    <xf numFmtId="0" fontId="58" fillId="46" borderId="41" xfId="0" applyFont="1" applyFill="1" applyBorder="1" applyAlignment="1" applyProtection="1">
      <alignment horizontal="centerContinuous" vertical="center" wrapText="1"/>
      <protection hidden="1"/>
    </xf>
    <xf numFmtId="0" fontId="58" fillId="46" borderId="7" xfId="0" applyFont="1" applyFill="1" applyBorder="1" applyAlignment="1" applyProtection="1">
      <alignment horizontal="centerContinuous" vertical="center" wrapText="1"/>
      <protection hidden="1"/>
    </xf>
    <xf numFmtId="187" fontId="58" fillId="46" borderId="2" xfId="0" applyNumberFormat="1" applyFont="1" applyFill="1" applyBorder="1" applyAlignment="1" applyProtection="1">
      <alignment horizontal="center" vertical="center" wrapText="1"/>
      <protection hidden="1"/>
    </xf>
    <xf numFmtId="0" fontId="0" fillId="46" borderId="0" xfId="0" applyFill="1"/>
    <xf numFmtId="164" fontId="58" fillId="46" borderId="18" xfId="33" applyFont="1" applyFill="1" applyBorder="1" applyAlignment="1" applyProtection="1">
      <alignment horizontal="center"/>
      <protection hidden="1"/>
    </xf>
    <xf numFmtId="164" fontId="58" fillId="46" borderId="4" xfId="33" applyFont="1" applyFill="1" applyBorder="1" applyAlignment="1" applyProtection="1">
      <alignment horizontal="center"/>
      <protection hidden="1"/>
    </xf>
    <xf numFmtId="164" fontId="58" fillId="46" borderId="19" xfId="33" applyFont="1" applyFill="1" applyBorder="1" applyAlignment="1" applyProtection="1">
      <alignment horizontal="center"/>
      <protection hidden="1"/>
    </xf>
    <xf numFmtId="0" fontId="88" fillId="46" borderId="6" xfId="0" applyFont="1" applyFill="1" applyBorder="1"/>
    <xf numFmtId="0" fontId="88" fillId="46" borderId="41" xfId="0" applyFont="1" applyFill="1" applyBorder="1"/>
    <xf numFmtId="0" fontId="88" fillId="46" borderId="7" xfId="0" applyFont="1" applyFill="1" applyBorder="1"/>
    <xf numFmtId="10" fontId="58" fillId="46" borderId="0" xfId="40" applyNumberFormat="1" applyFont="1" applyFill="1" applyAlignment="1" applyProtection="1">
      <alignment horizontal="center"/>
      <protection hidden="1"/>
    </xf>
    <xf numFmtId="164" fontId="58" fillId="46" borderId="2" xfId="33" applyFont="1" applyFill="1" applyBorder="1" applyProtection="1">
      <protection hidden="1"/>
    </xf>
    <xf numFmtId="164" fontId="58" fillId="46" borderId="6" xfId="33" applyFont="1" applyFill="1" applyBorder="1" applyProtection="1">
      <protection hidden="1"/>
    </xf>
    <xf numFmtId="164" fontId="58" fillId="46" borderId="7" xfId="33" applyFont="1" applyFill="1" applyBorder="1" applyProtection="1">
      <protection hidden="1"/>
    </xf>
    <xf numFmtId="188" fontId="58" fillId="46" borderId="0" xfId="0" applyNumberFormat="1" applyFont="1" applyFill="1" applyProtection="1">
      <protection hidden="1"/>
    </xf>
    <xf numFmtId="182" fontId="58" fillId="46" borderId="10" xfId="0" applyNumberFormat="1" applyFont="1" applyFill="1" applyBorder="1" applyProtection="1">
      <protection hidden="1"/>
    </xf>
    <xf numFmtId="0" fontId="127" fillId="46" borderId="6" xfId="0" applyFont="1" applyFill="1" applyBorder="1" applyAlignment="1" applyProtection="1">
      <alignment horizontal="center" vertical="center"/>
      <protection hidden="1"/>
    </xf>
    <xf numFmtId="0" fontId="127" fillId="46" borderId="41" xfId="0" applyFont="1" applyFill="1" applyBorder="1" applyAlignment="1" applyProtection="1">
      <alignment horizontal="center" vertical="center"/>
      <protection hidden="1"/>
    </xf>
    <xf numFmtId="0" fontId="127" fillId="46" borderId="7" xfId="0" applyFont="1" applyFill="1" applyBorder="1" applyAlignment="1" applyProtection="1">
      <alignment horizontal="center" vertical="center"/>
      <protection hidden="1"/>
    </xf>
    <xf numFmtId="0" fontId="127" fillId="46" borderId="4" xfId="0" applyFont="1" applyFill="1" applyBorder="1" applyAlignment="1" applyProtection="1">
      <alignment horizontal="center" vertical="top" wrapText="1"/>
      <protection hidden="1"/>
    </xf>
    <xf numFmtId="0" fontId="127" fillId="46" borderId="19" xfId="0" applyFont="1" applyFill="1" applyBorder="1" applyAlignment="1" applyProtection="1">
      <alignment horizontal="center" vertical="top" wrapText="1"/>
      <protection hidden="1"/>
    </xf>
    <xf numFmtId="0" fontId="93" fillId="46" borderId="41" xfId="0" applyFont="1" applyFill="1" applyBorder="1" applyAlignment="1" applyProtection="1">
      <alignment horizontal="centerContinuous"/>
      <protection hidden="1"/>
    </xf>
    <xf numFmtId="0" fontId="93" fillId="46" borderId="7" xfId="0" applyFont="1" applyFill="1" applyBorder="1" applyAlignment="1" applyProtection="1">
      <alignment horizontal="centerContinuous"/>
      <protection hidden="1"/>
    </xf>
    <xf numFmtId="9" fontId="88" fillId="46" borderId="2" xfId="0" applyNumberFormat="1" applyFont="1" applyFill="1" applyBorder="1" applyAlignment="1" applyProtection="1">
      <alignment horizontal="center"/>
      <protection hidden="1"/>
    </xf>
    <xf numFmtId="0" fontId="88" fillId="46" borderId="0" xfId="0" applyFont="1" applyFill="1" applyProtection="1">
      <protection hidden="1"/>
    </xf>
    <xf numFmtId="180" fontId="58" fillId="46" borderId="2" xfId="0" applyNumberFormat="1" applyFont="1" applyFill="1" applyBorder="1" applyProtection="1">
      <protection hidden="1"/>
    </xf>
    <xf numFmtId="164" fontId="88" fillId="46" borderId="2" xfId="33" applyFont="1" applyFill="1" applyBorder="1" applyProtection="1">
      <protection hidden="1"/>
    </xf>
    <xf numFmtId="9" fontId="88" fillId="46" borderId="6" xfId="0" applyNumberFormat="1" applyFont="1" applyFill="1" applyBorder="1" applyAlignment="1" applyProtection="1">
      <alignment horizontal="center"/>
      <protection hidden="1"/>
    </xf>
    <xf numFmtId="3" fontId="31" fillId="46" borderId="4" xfId="0" applyNumberFormat="1" applyFont="1" applyFill="1" applyBorder="1" applyAlignment="1" applyProtection="1">
      <alignment horizontal="center"/>
      <protection hidden="1"/>
    </xf>
    <xf numFmtId="3" fontId="31" fillId="46" borderId="46" xfId="0" applyNumberFormat="1" applyFont="1" applyFill="1" applyBorder="1" applyAlignment="1" applyProtection="1">
      <alignment horizontal="center"/>
      <protection hidden="1"/>
    </xf>
    <xf numFmtId="3" fontId="31" fillId="46" borderId="19" xfId="0" applyNumberFormat="1" applyFont="1" applyFill="1" applyBorder="1" applyAlignment="1" applyProtection="1">
      <alignment horizontal="center"/>
      <protection hidden="1"/>
    </xf>
    <xf numFmtId="3" fontId="31" fillId="46" borderId="40" xfId="0" applyNumberFormat="1" applyFont="1" applyFill="1" applyBorder="1" applyAlignment="1" applyProtection="1">
      <alignment horizontal="center"/>
      <protection hidden="1"/>
    </xf>
    <xf numFmtId="3" fontId="31" fillId="46" borderId="21" xfId="0" applyNumberFormat="1" applyFont="1" applyFill="1" applyBorder="1" applyAlignment="1" applyProtection="1">
      <alignment horizontal="center"/>
      <protection hidden="1"/>
    </xf>
    <xf numFmtId="164" fontId="58" fillId="46" borderId="21" xfId="0" applyNumberFormat="1" applyFont="1" applyFill="1" applyBorder="1" applyProtection="1">
      <protection hidden="1"/>
    </xf>
    <xf numFmtId="0" fontId="58" fillId="46" borderId="0" xfId="0" applyFont="1" applyFill="1" applyAlignment="1">
      <alignment horizontal="center" vertical="center" wrapText="1"/>
    </xf>
    <xf numFmtId="0" fontId="58" fillId="46" borderId="0" xfId="0" applyFont="1" applyFill="1" applyAlignment="1" applyProtection="1">
      <alignment horizontal="center" vertical="center" wrapText="1"/>
      <protection hidden="1"/>
    </xf>
    <xf numFmtId="0" fontId="58" fillId="46" borderId="0" xfId="0" applyFont="1" applyFill="1" applyAlignment="1" applyProtection="1">
      <alignment horizontal="center" vertical="top" wrapText="1"/>
      <protection hidden="1"/>
    </xf>
    <xf numFmtId="164" fontId="69" fillId="46" borderId="0" xfId="33" applyFont="1" applyFill="1" applyAlignment="1" applyProtection="1">
      <alignment horizontal="center" vertical="top" wrapText="1"/>
      <protection hidden="1"/>
    </xf>
    <xf numFmtId="0" fontId="69" fillId="46" borderId="0" xfId="0" applyFont="1" applyFill="1" applyAlignment="1" applyProtection="1">
      <alignment horizontal="center" vertical="center" wrapText="1"/>
      <protection hidden="1"/>
    </xf>
    <xf numFmtId="164" fontId="85" fillId="46" borderId="0" xfId="33" applyFont="1" applyFill="1" applyBorder="1" applyAlignment="1" applyProtection="1">
      <alignment horizontal="center" vertical="center" wrapText="1"/>
      <protection hidden="1"/>
    </xf>
    <xf numFmtId="0" fontId="88" fillId="46" borderId="6" xfId="0" applyFont="1" applyFill="1" applyBorder="1" applyAlignment="1" applyProtection="1">
      <alignment horizontal="center" vertical="center" wrapText="1"/>
      <protection hidden="1"/>
    </xf>
    <xf numFmtId="164" fontId="0" fillId="46" borderId="20" xfId="33" applyFont="1" applyFill="1" applyBorder="1" applyAlignment="1" applyProtection="1">
      <alignment horizontal="center" vertical="top" wrapText="1"/>
      <protection hidden="1"/>
    </xf>
    <xf numFmtId="164" fontId="0" fillId="46" borderId="47" xfId="33" applyFont="1" applyFill="1" applyBorder="1" applyAlignment="1" applyProtection="1">
      <alignment horizontal="center" vertical="top" wrapText="1"/>
      <protection hidden="1"/>
    </xf>
    <xf numFmtId="164" fontId="0" fillId="46" borderId="5" xfId="33" applyFont="1" applyFill="1" applyBorder="1" applyAlignment="1" applyProtection="1">
      <alignment horizontal="center" vertical="top" wrapText="1"/>
      <protection hidden="1"/>
    </xf>
    <xf numFmtId="164" fontId="58" fillId="46" borderId="47" xfId="33" applyFont="1" applyFill="1" applyBorder="1" applyAlignment="1" applyProtection="1">
      <alignment horizontal="center" vertical="top" wrapText="1"/>
      <protection hidden="1"/>
    </xf>
    <xf numFmtId="164" fontId="58" fillId="46" borderId="5" xfId="33" applyFont="1" applyFill="1" applyBorder="1" applyAlignment="1" applyProtection="1">
      <alignment horizontal="center" vertical="top" wrapText="1"/>
      <protection hidden="1"/>
    </xf>
    <xf numFmtId="180" fontId="58" fillId="46" borderId="0" xfId="0" applyNumberFormat="1" applyFont="1" applyFill="1" applyProtection="1">
      <protection hidden="1"/>
    </xf>
    <xf numFmtId="10" fontId="58" fillId="46" borderId="0" xfId="40" applyNumberFormat="1" applyFont="1" applyFill="1" applyProtection="1">
      <protection hidden="1"/>
    </xf>
    <xf numFmtId="187" fontId="58" fillId="46" borderId="0" xfId="0" applyNumberFormat="1" applyFont="1" applyFill="1" applyProtection="1">
      <protection hidden="1"/>
    </xf>
    <xf numFmtId="0" fontId="58" fillId="46" borderId="0" xfId="0" applyFont="1" applyFill="1" applyAlignment="1" applyProtection="1">
      <alignment horizontal="center"/>
      <protection hidden="1"/>
    </xf>
    <xf numFmtId="182" fontId="58" fillId="46" borderId="0" xfId="0" applyNumberFormat="1" applyFont="1" applyFill="1" applyProtection="1">
      <protection hidden="1"/>
    </xf>
    <xf numFmtId="164" fontId="58" fillId="46" borderId="0" xfId="33" applyFont="1" applyFill="1" applyAlignment="1" applyProtection="1">
      <alignment horizontal="left" vertical="top" wrapText="1"/>
      <protection hidden="1"/>
    </xf>
    <xf numFmtId="164" fontId="58" fillId="46" borderId="0" xfId="33" applyFont="1" applyFill="1"/>
    <xf numFmtId="3" fontId="57" fillId="46" borderId="16" xfId="0" applyNumberFormat="1" applyFont="1" applyFill="1" applyBorder="1" applyProtection="1">
      <protection hidden="1"/>
    </xf>
    <xf numFmtId="164" fontId="85" fillId="46" borderId="21" xfId="33" applyFont="1" applyFill="1" applyBorder="1" applyProtection="1">
      <protection hidden="1"/>
    </xf>
    <xf numFmtId="0" fontId="95" fillId="0" borderId="0" xfId="0" applyFont="1"/>
    <xf numFmtId="0" fontId="91" fillId="0" borderId="0" xfId="0" applyFont="1"/>
    <xf numFmtId="0" fontId="62" fillId="46" borderId="4" xfId="0" applyFont="1" applyFill="1" applyBorder="1" applyProtection="1">
      <protection hidden="1"/>
    </xf>
    <xf numFmtId="0" fontId="137" fillId="46" borderId="46" xfId="0" applyFont="1" applyFill="1" applyBorder="1" applyProtection="1">
      <protection hidden="1"/>
    </xf>
    <xf numFmtId="0" fontId="92" fillId="46" borderId="19" xfId="0" applyFont="1" applyFill="1" applyBorder="1" applyProtection="1">
      <protection hidden="1"/>
    </xf>
    <xf numFmtId="0" fontId="138" fillId="47" borderId="4" xfId="0" applyFont="1" applyFill="1" applyBorder="1" applyAlignment="1">
      <alignment horizontal="center"/>
    </xf>
    <xf numFmtId="0" fontId="138" fillId="47" borderId="46" xfId="0" applyFont="1" applyFill="1" applyBorder="1" applyAlignment="1">
      <alignment horizontal="center"/>
    </xf>
    <xf numFmtId="0" fontId="138" fillId="47" borderId="19" xfId="0" applyFont="1" applyFill="1" applyBorder="1" applyAlignment="1">
      <alignment horizontal="center"/>
    </xf>
    <xf numFmtId="0" fontId="139" fillId="46" borderId="40" xfId="0" applyFont="1" applyFill="1" applyBorder="1" applyAlignment="1" applyProtection="1">
      <alignment horizontal="center"/>
      <protection hidden="1"/>
    </xf>
    <xf numFmtId="0" fontId="139" fillId="46" borderId="0" xfId="0" applyFont="1" applyFill="1" applyAlignment="1" applyProtection="1">
      <alignment horizontal="center"/>
      <protection hidden="1"/>
    </xf>
    <xf numFmtId="0" fontId="91" fillId="46" borderId="0" xfId="0" applyFont="1" applyFill="1" applyProtection="1">
      <protection hidden="1"/>
    </xf>
    <xf numFmtId="0" fontId="92" fillId="46" borderId="21" xfId="0" applyFont="1" applyFill="1" applyBorder="1" applyProtection="1">
      <protection hidden="1"/>
    </xf>
    <xf numFmtId="0" fontId="95" fillId="43" borderId="40" xfId="0" applyFont="1" applyFill="1" applyBorder="1"/>
    <xf numFmtId="0" fontId="95" fillId="43" borderId="0" xfId="0" applyFont="1" applyFill="1"/>
    <xf numFmtId="0" fontId="95" fillId="43" borderId="21" xfId="0" applyFont="1" applyFill="1" applyBorder="1"/>
    <xf numFmtId="0" fontId="91" fillId="46" borderId="40" xfId="0" applyFont="1" applyFill="1" applyBorder="1" applyProtection="1">
      <protection hidden="1"/>
    </xf>
    <xf numFmtId="0" fontId="96" fillId="46" borderId="6" xfId="0" applyFont="1" applyFill="1" applyBorder="1" applyAlignment="1" applyProtection="1">
      <alignment horizontal="center"/>
      <protection hidden="1"/>
    </xf>
    <xf numFmtId="0" fontId="96" fillId="46" borderId="2" xfId="0" applyFont="1" applyFill="1" applyBorder="1" applyAlignment="1" applyProtection="1">
      <alignment horizontal="center"/>
      <protection hidden="1"/>
    </xf>
    <xf numFmtId="0" fontId="89" fillId="0" borderId="0" xfId="0" applyFont="1"/>
    <xf numFmtId="0" fontId="86" fillId="43" borderId="21" xfId="0" applyFont="1" applyFill="1" applyBorder="1"/>
    <xf numFmtId="166" fontId="92" fillId="0" borderId="0" xfId="0" applyNumberFormat="1" applyFont="1"/>
    <xf numFmtId="0" fontId="91" fillId="46" borderId="18" xfId="0" applyFont="1" applyFill="1" applyBorder="1" applyProtection="1">
      <protection hidden="1"/>
    </xf>
    <xf numFmtId="9" fontId="91" fillId="46" borderId="21" xfId="40" applyFont="1" applyFill="1" applyBorder="1" applyAlignment="1" applyProtection="1">
      <alignment horizontal="center"/>
      <protection hidden="1"/>
    </xf>
    <xf numFmtId="0" fontId="91" fillId="46" borderId="20" xfId="0" applyFont="1" applyFill="1" applyBorder="1" applyProtection="1">
      <protection hidden="1"/>
    </xf>
    <xf numFmtId="166" fontId="62" fillId="46" borderId="10" xfId="32" applyNumberFormat="1" applyFont="1" applyFill="1" applyBorder="1" applyProtection="1">
      <protection hidden="1"/>
    </xf>
    <xf numFmtId="164" fontId="92" fillId="46" borderId="21" xfId="33" applyFont="1" applyFill="1" applyBorder="1" applyProtection="1">
      <protection hidden="1"/>
    </xf>
    <xf numFmtId="3" fontId="92" fillId="0" borderId="0" xfId="0" applyNumberFormat="1" applyFont="1"/>
    <xf numFmtId="0" fontId="92" fillId="0" borderId="0" xfId="0" applyFont="1" applyAlignment="1">
      <alignment horizontal="center"/>
    </xf>
    <xf numFmtId="10" fontId="92" fillId="0" borderId="0" xfId="40" applyNumberFormat="1" applyFont="1"/>
    <xf numFmtId="0" fontId="91" fillId="46" borderId="11" xfId="0" applyFont="1" applyFill="1" applyBorder="1" applyProtection="1">
      <protection hidden="1"/>
    </xf>
    <xf numFmtId="166" fontId="92" fillId="46" borderId="10" xfId="32" applyNumberFormat="1" applyFont="1" applyFill="1" applyBorder="1" applyProtection="1">
      <protection hidden="1"/>
    </xf>
    <xf numFmtId="164" fontId="92" fillId="0" borderId="0" xfId="33" applyFont="1"/>
    <xf numFmtId="164" fontId="92" fillId="0" borderId="0" xfId="0" applyNumberFormat="1" applyFont="1"/>
    <xf numFmtId="192" fontId="92" fillId="0" borderId="0" xfId="33" applyNumberFormat="1" applyFont="1"/>
    <xf numFmtId="166" fontId="95" fillId="0" borderId="0" xfId="0" applyNumberFormat="1" applyFont="1"/>
    <xf numFmtId="0" fontId="91" fillId="46" borderId="2" xfId="0" applyFont="1" applyFill="1" applyBorder="1" applyProtection="1">
      <protection hidden="1"/>
    </xf>
    <xf numFmtId="9" fontId="91" fillId="46" borderId="7" xfId="40" applyFont="1" applyFill="1" applyBorder="1" applyAlignment="1" applyProtection="1">
      <alignment horizontal="center"/>
      <protection hidden="1"/>
    </xf>
    <xf numFmtId="166" fontId="91" fillId="46" borderId="0" xfId="0" applyNumberFormat="1" applyFont="1" applyFill="1" applyProtection="1">
      <protection hidden="1"/>
    </xf>
    <xf numFmtId="0" fontId="95" fillId="46" borderId="40" xfId="0" applyFont="1" applyFill="1" applyBorder="1" applyProtection="1">
      <protection hidden="1"/>
    </xf>
    <xf numFmtId="10" fontId="91" fillId="46" borderId="0" xfId="40" applyNumberFormat="1" applyFont="1" applyFill="1" applyBorder="1" applyProtection="1">
      <protection hidden="1"/>
    </xf>
    <xf numFmtId="0" fontId="86" fillId="43" borderId="5" xfId="0" applyFont="1" applyFill="1" applyBorder="1"/>
    <xf numFmtId="164" fontId="92" fillId="0" borderId="0" xfId="40" applyNumberFormat="1" applyFont="1"/>
    <xf numFmtId="0" fontId="91" fillId="46" borderId="6" xfId="0" applyFont="1" applyFill="1" applyBorder="1" applyProtection="1">
      <protection hidden="1"/>
    </xf>
    <xf numFmtId="0" fontId="96" fillId="46" borderId="7" xfId="0" applyFont="1" applyFill="1" applyBorder="1" applyProtection="1">
      <protection hidden="1"/>
    </xf>
    <xf numFmtId="0" fontId="53" fillId="43" borderId="7" xfId="0" applyFont="1" applyFill="1" applyBorder="1"/>
    <xf numFmtId="164" fontId="91" fillId="0" borderId="0" xfId="33" applyFont="1"/>
    <xf numFmtId="0" fontId="92" fillId="46" borderId="0" xfId="0" applyFont="1" applyFill="1" applyProtection="1">
      <protection hidden="1"/>
    </xf>
    <xf numFmtId="0" fontId="53" fillId="43" borderId="40" xfId="0" applyFont="1" applyFill="1" applyBorder="1"/>
    <xf numFmtId="0" fontId="53" fillId="43" borderId="0" xfId="0" applyFont="1" applyFill="1"/>
    <xf numFmtId="0" fontId="53" fillId="43" borderId="21" xfId="0" applyFont="1" applyFill="1" applyBorder="1"/>
    <xf numFmtId="189" fontId="92" fillId="0" borderId="0" xfId="33" applyNumberFormat="1" applyFont="1"/>
    <xf numFmtId="0" fontId="96" fillId="46" borderId="0" xfId="0" applyFont="1" applyFill="1" applyProtection="1">
      <protection hidden="1"/>
    </xf>
    <xf numFmtId="166" fontId="91" fillId="46" borderId="0" xfId="32" applyNumberFormat="1" applyFont="1" applyFill="1" applyBorder="1" applyProtection="1">
      <protection hidden="1"/>
    </xf>
    <xf numFmtId="0" fontId="86" fillId="43" borderId="6" xfId="0" applyFont="1" applyFill="1" applyBorder="1"/>
    <xf numFmtId="0" fontId="86" fillId="43" borderId="41" xfId="0" applyFont="1" applyFill="1" applyBorder="1"/>
    <xf numFmtId="0" fontId="86" fillId="43" borderId="7" xfId="0" applyFont="1" applyFill="1" applyBorder="1"/>
    <xf numFmtId="166" fontId="95" fillId="46" borderId="0" xfId="32" applyNumberFormat="1" applyFont="1" applyFill="1" applyBorder="1" applyProtection="1">
      <protection hidden="1"/>
    </xf>
    <xf numFmtId="0" fontId="96" fillId="46" borderId="22" xfId="0" applyFont="1" applyFill="1" applyBorder="1" applyProtection="1">
      <protection hidden="1"/>
    </xf>
    <xf numFmtId="164" fontId="92" fillId="46" borderId="23" xfId="33" applyFont="1" applyFill="1" applyBorder="1" applyProtection="1">
      <protection hidden="1"/>
    </xf>
    <xf numFmtId="166" fontId="92" fillId="46" borderId="21" xfId="32" applyNumberFormat="1" applyFont="1" applyFill="1" applyBorder="1" applyProtection="1">
      <protection hidden="1"/>
    </xf>
    <xf numFmtId="166" fontId="95" fillId="0" borderId="0" xfId="32" applyNumberFormat="1" applyFont="1" applyFill="1" applyBorder="1"/>
    <xf numFmtId="0" fontId="86" fillId="43" borderId="6" xfId="0" applyFont="1" applyFill="1" applyBorder="1" applyAlignment="1">
      <alignment horizontal="right"/>
    </xf>
    <xf numFmtId="164" fontId="140" fillId="54" borderId="2" xfId="33" applyFont="1" applyFill="1" applyBorder="1" applyAlignment="1">
      <alignment horizontal="center"/>
    </xf>
    <xf numFmtId="0" fontId="53" fillId="43" borderId="19" xfId="0" applyFont="1" applyFill="1" applyBorder="1"/>
    <xf numFmtId="166" fontId="92" fillId="0" borderId="0" xfId="32" applyNumberFormat="1" applyFont="1" applyFill="1" applyBorder="1"/>
    <xf numFmtId="164" fontId="92" fillId="0" borderId="0" xfId="33" applyFont="1" applyFill="1" applyBorder="1"/>
    <xf numFmtId="166" fontId="96" fillId="46" borderId="24" xfId="32" applyNumberFormat="1" applyFont="1" applyFill="1" applyBorder="1" applyProtection="1">
      <protection hidden="1"/>
    </xf>
    <xf numFmtId="166" fontId="92" fillId="46" borderId="42" xfId="32" applyNumberFormat="1" applyFont="1" applyFill="1" applyBorder="1" applyProtection="1">
      <protection hidden="1"/>
    </xf>
    <xf numFmtId="166" fontId="92" fillId="46" borderId="21" xfId="0" applyNumberFormat="1" applyFont="1" applyFill="1" applyBorder="1" applyProtection="1">
      <protection hidden="1"/>
    </xf>
    <xf numFmtId="3" fontId="86" fillId="43" borderId="20" xfId="0" applyNumberFormat="1" applyFont="1" applyFill="1" applyBorder="1" applyAlignment="1">
      <alignment horizontal="right"/>
    </xf>
    <xf numFmtId="0" fontId="86" fillId="43" borderId="47" xfId="0" applyFont="1" applyFill="1" applyBorder="1"/>
    <xf numFmtId="0" fontId="95" fillId="43" borderId="5" xfId="0" applyFont="1" applyFill="1" applyBorder="1"/>
    <xf numFmtId="189" fontId="92" fillId="0" borderId="0" xfId="33" applyNumberFormat="1" applyFont="1" applyFill="1" applyBorder="1"/>
    <xf numFmtId="166" fontId="91" fillId="46" borderId="48" xfId="32" applyNumberFormat="1" applyFont="1" applyFill="1" applyBorder="1" applyProtection="1">
      <protection hidden="1"/>
    </xf>
    <xf numFmtId="166" fontId="91" fillId="46" borderId="14" xfId="32" applyNumberFormat="1" applyFont="1" applyFill="1" applyBorder="1" applyProtection="1">
      <protection hidden="1"/>
    </xf>
    <xf numFmtId="3" fontId="95" fillId="43" borderId="40" xfId="0" applyNumberFormat="1" applyFont="1" applyFill="1" applyBorder="1" applyAlignment="1">
      <alignment horizontal="right"/>
    </xf>
    <xf numFmtId="0" fontId="95" fillId="46" borderId="20" xfId="0" applyFont="1" applyFill="1" applyBorder="1" applyProtection="1">
      <protection hidden="1"/>
    </xf>
    <xf numFmtId="0" fontId="95" fillId="46" borderId="47" xfId="0" applyFont="1" applyFill="1" applyBorder="1" applyProtection="1">
      <protection hidden="1"/>
    </xf>
    <xf numFmtId="0" fontId="92" fillId="46" borderId="47" xfId="0" applyFont="1" applyFill="1" applyBorder="1" applyProtection="1">
      <protection hidden="1"/>
    </xf>
    <xf numFmtId="0" fontId="92" fillId="46" borderId="5" xfId="0" applyFont="1" applyFill="1" applyBorder="1" applyProtection="1">
      <protection hidden="1"/>
    </xf>
    <xf numFmtId="166" fontId="89" fillId="0" borderId="0" xfId="32" applyNumberFormat="1" applyFont="1" applyBorder="1"/>
    <xf numFmtId="3" fontId="95" fillId="43" borderId="20" xfId="0" applyNumberFormat="1" applyFont="1" applyFill="1" applyBorder="1" applyAlignment="1">
      <alignment horizontal="right"/>
    </xf>
    <xf numFmtId="164" fontId="95" fillId="43" borderId="47" xfId="33" applyFont="1" applyFill="1" applyBorder="1"/>
    <xf numFmtId="0" fontId="62" fillId="53" borderId="4" xfId="0" applyFont="1" applyFill="1" applyBorder="1"/>
    <xf numFmtId="0" fontId="89" fillId="53" borderId="19" xfId="0" applyFont="1" applyFill="1" applyBorder="1"/>
    <xf numFmtId="0" fontId="139" fillId="0" borderId="40" xfId="0" applyFont="1" applyBorder="1" applyAlignment="1">
      <alignment horizontal="center"/>
    </xf>
    <xf numFmtId="0" fontId="139" fillId="0" borderId="0" xfId="0" applyFont="1" applyAlignment="1">
      <alignment horizontal="center"/>
    </xf>
    <xf numFmtId="0" fontId="89" fillId="0" borderId="21" xfId="0" applyFont="1" applyBorder="1"/>
    <xf numFmtId="3" fontId="53" fillId="0" borderId="0" xfId="0" applyNumberFormat="1" applyFont="1"/>
    <xf numFmtId="0" fontId="91" fillId="0" borderId="40" xfId="0" applyFont="1" applyBorder="1"/>
    <xf numFmtId="0" fontId="96" fillId="42" borderId="2" xfId="0" applyFont="1" applyFill="1" applyBorder="1" applyAlignment="1">
      <alignment horizontal="center"/>
    </xf>
    <xf numFmtId="0" fontId="96" fillId="42" borderId="6" xfId="0" applyFont="1" applyFill="1" applyBorder="1" applyAlignment="1">
      <alignment horizontal="center"/>
    </xf>
    <xf numFmtId="0" fontId="62" fillId="42" borderId="6" xfId="0" applyFont="1" applyFill="1" applyBorder="1"/>
    <xf numFmtId="166" fontId="62" fillId="42" borderId="10" xfId="32" applyNumberFormat="1" applyFont="1" applyFill="1" applyBorder="1"/>
    <xf numFmtId="0" fontId="91" fillId="0" borderId="18" xfId="0" applyFont="1" applyBorder="1"/>
    <xf numFmtId="10" fontId="91" fillId="0" borderId="21" xfId="40" applyNumberFormat="1" applyFont="1" applyFill="1" applyBorder="1" applyAlignment="1">
      <alignment horizontal="center"/>
    </xf>
    <xf numFmtId="164" fontId="96" fillId="42" borderId="6" xfId="33" applyFont="1" applyFill="1" applyBorder="1" applyAlignment="1">
      <alignment horizontal="center"/>
    </xf>
    <xf numFmtId="0" fontId="91" fillId="0" borderId="11" xfId="0" applyFont="1" applyBorder="1"/>
    <xf numFmtId="0" fontId="141" fillId="43" borderId="6" xfId="0" applyFont="1" applyFill="1" applyBorder="1" applyAlignment="1">
      <alignment horizontal="center"/>
    </xf>
    <xf numFmtId="0" fontId="141" fillId="43" borderId="7" xfId="0" applyFont="1" applyFill="1" applyBorder="1" applyAlignment="1">
      <alignment horizontal="center"/>
    </xf>
    <xf numFmtId="0" fontId="91" fillId="0" borderId="0" xfId="0" applyFont="1" applyAlignment="1">
      <alignment horizontal="center"/>
    </xf>
    <xf numFmtId="0" fontId="89" fillId="0" borderId="0" xfId="0" applyFont="1" applyAlignment="1">
      <alignment horizontal="center"/>
    </xf>
    <xf numFmtId="0" fontId="92" fillId="42" borderId="4" xfId="0" applyFont="1" applyFill="1" applyBorder="1" applyAlignment="1">
      <alignment horizontal="right"/>
    </xf>
    <xf numFmtId="9" fontId="92" fillId="42" borderId="18" xfId="0" applyNumberFormat="1" applyFont="1" applyFill="1" applyBorder="1"/>
    <xf numFmtId="0" fontId="141" fillId="43" borderId="40" xfId="0" quotePrefix="1" applyFont="1" applyFill="1" applyBorder="1" applyAlignment="1">
      <alignment horizontal="center"/>
    </xf>
    <xf numFmtId="0" fontId="86" fillId="43" borderId="21" xfId="0" applyFont="1" applyFill="1" applyBorder="1" applyAlignment="1">
      <alignment horizontal="left"/>
    </xf>
    <xf numFmtId="0" fontId="92" fillId="42" borderId="6" xfId="0" applyFont="1" applyFill="1" applyBorder="1" applyAlignment="1">
      <alignment horizontal="right"/>
    </xf>
    <xf numFmtId="9" fontId="92" fillId="42" borderId="2" xfId="0" applyNumberFormat="1" applyFont="1" applyFill="1" applyBorder="1"/>
    <xf numFmtId="0" fontId="91" fillId="0" borderId="2" xfId="0" applyFont="1" applyBorder="1"/>
    <xf numFmtId="10" fontId="91" fillId="0" borderId="7" xfId="40" applyNumberFormat="1" applyFont="1" applyFill="1" applyBorder="1" applyAlignment="1">
      <alignment horizontal="center"/>
    </xf>
    <xf numFmtId="0" fontId="92" fillId="0" borderId="40" xfId="0" applyFont="1" applyBorder="1"/>
    <xf numFmtId="0" fontId="141" fillId="43" borderId="20" xfId="0" quotePrefix="1" applyFont="1" applyFill="1" applyBorder="1" applyAlignment="1">
      <alignment horizontal="center"/>
    </xf>
    <xf numFmtId="0" fontId="86" fillId="43" borderId="5" xfId="0" quotePrefix="1" applyFont="1" applyFill="1" applyBorder="1" applyAlignment="1">
      <alignment horizontal="left"/>
    </xf>
    <xf numFmtId="0" fontId="53" fillId="0" borderId="0" xfId="0" applyFont="1"/>
    <xf numFmtId="0" fontId="92" fillId="0" borderId="20" xfId="0" applyFont="1" applyBorder="1"/>
    <xf numFmtId="0" fontId="89" fillId="0" borderId="5" xfId="0" applyFont="1" applyBorder="1"/>
    <xf numFmtId="0" fontId="62" fillId="0" borderId="20" xfId="0" applyFont="1" applyBorder="1"/>
    <xf numFmtId="0" fontId="142" fillId="0" borderId="0" xfId="0" applyFont="1"/>
    <xf numFmtId="0" fontId="0" fillId="46" borderId="0" xfId="0" applyFill="1" applyProtection="1">
      <protection hidden="1"/>
    </xf>
    <xf numFmtId="164" fontId="0" fillId="46" borderId="0" xfId="33" applyFont="1" applyFill="1" applyProtection="1">
      <protection hidden="1"/>
    </xf>
    <xf numFmtId="10" fontId="0" fillId="46" borderId="0" xfId="40" applyNumberFormat="1" applyFont="1" applyFill="1" applyProtection="1">
      <protection hidden="1"/>
    </xf>
    <xf numFmtId="3" fontId="0" fillId="46" borderId="0" xfId="0" applyNumberFormat="1" applyFill="1" applyProtection="1">
      <protection hidden="1"/>
    </xf>
    <xf numFmtId="164" fontId="0" fillId="46" borderId="11" xfId="33" applyFont="1" applyFill="1" applyBorder="1" applyProtection="1">
      <protection hidden="1"/>
    </xf>
    <xf numFmtId="0" fontId="33" fillId="46" borderId="40" xfId="0" applyFont="1" applyFill="1" applyBorder="1" applyAlignment="1" applyProtection="1">
      <alignment horizontal="center"/>
      <protection hidden="1"/>
    </xf>
    <xf numFmtId="190" fontId="33" fillId="46" borderId="21" xfId="33" applyNumberFormat="1" applyFont="1" applyFill="1" applyBorder="1" applyProtection="1">
      <protection hidden="1"/>
    </xf>
    <xf numFmtId="164" fontId="0" fillId="46" borderId="0" xfId="0" applyNumberFormat="1" applyFill="1" applyProtection="1">
      <protection hidden="1"/>
    </xf>
    <xf numFmtId="0" fontId="85" fillId="46" borderId="6" xfId="0" applyFont="1" applyFill="1" applyBorder="1"/>
    <xf numFmtId="0" fontId="85" fillId="46" borderId="41" xfId="0" applyFont="1" applyFill="1" applyBorder="1" applyProtection="1">
      <protection hidden="1"/>
    </xf>
    <xf numFmtId="164" fontId="85" fillId="46" borderId="7" xfId="33" applyFont="1" applyFill="1" applyBorder="1" applyProtection="1">
      <protection hidden="1"/>
    </xf>
    <xf numFmtId="164" fontId="85" fillId="46" borderId="0" xfId="33" applyFont="1" applyFill="1" applyProtection="1">
      <protection hidden="1"/>
    </xf>
    <xf numFmtId="0" fontId="85" fillId="46" borderId="40" xfId="0" applyFont="1" applyFill="1" applyBorder="1"/>
    <xf numFmtId="0" fontId="85" fillId="46" borderId="4" xfId="0" applyFont="1" applyFill="1" applyBorder="1"/>
    <xf numFmtId="0" fontId="85" fillId="46" borderId="46" xfId="0" applyFont="1" applyFill="1" applyBorder="1" applyProtection="1">
      <protection hidden="1"/>
    </xf>
    <xf numFmtId="164" fontId="85" fillId="46" borderId="19" xfId="33" applyFont="1" applyFill="1" applyBorder="1" applyProtection="1">
      <protection hidden="1"/>
    </xf>
    <xf numFmtId="0" fontId="85" fillId="46" borderId="20" xfId="0" applyFont="1" applyFill="1" applyBorder="1"/>
    <xf numFmtId="164" fontId="85" fillId="46" borderId="5" xfId="33" applyFont="1" applyFill="1" applyBorder="1"/>
    <xf numFmtId="164" fontId="85" fillId="46" borderId="0" xfId="33" applyFont="1" applyFill="1"/>
    <xf numFmtId="0" fontId="85" fillId="46" borderId="46" xfId="0" applyFont="1" applyFill="1" applyBorder="1"/>
    <xf numFmtId="164" fontId="85" fillId="46" borderId="19" xfId="33" applyFont="1" applyFill="1" applyBorder="1"/>
    <xf numFmtId="164" fontId="85" fillId="46" borderId="21" xfId="33" applyFont="1" applyFill="1" applyBorder="1"/>
    <xf numFmtId="0" fontId="33" fillId="46" borderId="0" xfId="0" applyFont="1" applyFill="1"/>
  </cellXfs>
  <cellStyles count="57">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1" xfId="22"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xfId="33" builtinId="6"/>
    <cellStyle name="Millares [0] 2" xfId="55" xr:uid="{B3E7219B-49B9-43BB-AE88-579FD071699C}"/>
    <cellStyle name="Millares [0] 3" xfId="49" xr:uid="{46833D2C-DE70-4562-8D04-ABFEAE0B24B2}"/>
    <cellStyle name="Millares 2" xfId="34" xr:uid="{00000000-0005-0000-0000-000021000000}"/>
    <cellStyle name="Millares 2 2" xfId="48" xr:uid="{00000000-0005-0000-0000-000022000000}"/>
    <cellStyle name="Millares 3" xfId="35" xr:uid="{00000000-0005-0000-0000-000023000000}"/>
    <cellStyle name="Millares 4" xfId="52" xr:uid="{49CD14CD-B6F1-49F4-951A-8E48E43BBFFC}"/>
    <cellStyle name="Millares 5" xfId="53" xr:uid="{8D696550-3B11-4E15-BA1B-35DC27797892}"/>
    <cellStyle name="Millares 6" xfId="51" xr:uid="{F3E32B02-379F-4A50-A5B9-2206C2B5A17B}"/>
    <cellStyle name="Millares 7" xfId="54" xr:uid="{706B4C76-A6C1-47BA-9C8E-3115AFE6AAFD}"/>
    <cellStyle name="Neutral" xfId="36" builtinId="28" customBuiltin="1"/>
    <cellStyle name="Normal" xfId="0" builtinId="0"/>
    <cellStyle name="Normal 2" xfId="37" xr:uid="{00000000-0005-0000-0000-000026000000}"/>
    <cellStyle name="Normal 4" xfId="38" xr:uid="{00000000-0005-0000-0000-000027000000}"/>
    <cellStyle name="Notas 2" xfId="39" xr:uid="{00000000-0005-0000-0000-000028000000}"/>
    <cellStyle name="Porcentaje" xfId="40" builtinId="5"/>
    <cellStyle name="Porcentaje 2" xfId="56" xr:uid="{AE34F9D6-0E79-4315-94DB-33B214567177}"/>
    <cellStyle name="Porcentaje 3" xfId="50" xr:uid="{CC25DCD9-170C-4B0C-9FFF-D914986FB065}"/>
    <cellStyle name="Salida" xfId="41" builtinId="21" customBuiltin="1"/>
    <cellStyle name="Texto de advertencia" xfId="42" builtinId="11" customBuiltin="1"/>
    <cellStyle name="Texto explicativo" xfId="43" builtinId="53" customBuiltin="1"/>
    <cellStyle name="Título 2" xfId="44" builtinId="17" customBuiltin="1"/>
    <cellStyle name="Título 3" xfId="45" builtinId="18" customBuiltin="1"/>
    <cellStyle name="Título 4" xfId="46" xr:uid="{00000000-0005-0000-0000-00002F000000}"/>
    <cellStyle name="Total" xfId="47" builtinId="25" customBuiltin="1"/>
  </cellStyles>
  <dxfs count="18">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val="0"/>
        <condense val="0"/>
        <extend val="0"/>
        <color indexed="13"/>
      </font>
      <fill>
        <patternFill>
          <bgColor indexed="10"/>
        </patternFill>
      </fill>
      <border>
        <left style="thin">
          <color indexed="34"/>
        </left>
        <right style="thin">
          <color indexed="34"/>
        </right>
        <top style="thin">
          <color indexed="34"/>
        </top>
        <bottom style="thin">
          <color indexed="34"/>
        </bottom>
      </border>
    </dxf>
    <dxf>
      <font>
        <b/>
        <i val="0"/>
        <condense val="0"/>
        <extend val="0"/>
        <color indexed="13"/>
      </font>
      <fill>
        <patternFill>
          <bgColor indexed="10"/>
        </patternFill>
      </fill>
      <border>
        <left style="thin">
          <color indexed="34"/>
        </left>
        <right style="thin">
          <color indexed="34"/>
        </right>
        <top style="thin">
          <color indexed="34"/>
        </top>
        <bottom style="thin">
          <color indexed="34"/>
        </bottom>
      </border>
    </dxf>
    <dxf>
      <font>
        <b/>
        <i val="0"/>
        <condense val="0"/>
        <extend val="0"/>
        <color indexed="13"/>
      </font>
      <fill>
        <patternFill>
          <bgColor indexed="10"/>
        </patternFill>
      </fill>
      <border>
        <left style="thin">
          <color indexed="34"/>
        </left>
        <right style="thin">
          <color indexed="34"/>
        </right>
        <top style="thin">
          <color indexed="34"/>
        </top>
        <bottom style="thin">
          <color indexed="34"/>
        </bottom>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b/>
        <i val="0"/>
        <color rgb="FF002060"/>
      </font>
      <fill>
        <patternFill>
          <bgColor theme="5" tint="0.39994506668294322"/>
        </patternFill>
      </fill>
    </dxf>
    <dxf>
      <font>
        <b/>
        <i val="0"/>
        <color rgb="FFFF0000"/>
      </font>
      <fill>
        <patternFill>
          <bgColor rgb="FFFFFF00"/>
        </patternFill>
      </fill>
    </dxf>
    <dxf>
      <font>
        <color theme="0"/>
      </font>
      <border>
        <vertical/>
        <horizontal/>
      </border>
    </dxf>
    <dxf>
      <fill>
        <patternFill>
          <bgColor theme="0"/>
        </patternFill>
      </fill>
      <border>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614681</xdr:colOff>
      <xdr:row>0</xdr:row>
      <xdr:rowOff>147321</xdr:rowOff>
    </xdr:from>
    <xdr:to>
      <xdr:col>11</xdr:col>
      <xdr:colOff>566420</xdr:colOff>
      <xdr:row>5</xdr:row>
      <xdr:rowOff>104775</xdr:rowOff>
    </xdr:to>
    <xdr:pic>
      <xdr:nvPicPr>
        <xdr:cNvPr id="2" name="Picture 396">
          <a:extLst>
            <a:ext uri="{FF2B5EF4-FFF2-40B4-BE49-F238E27FC236}">
              <a16:creationId xmlns:a16="http://schemas.microsoft.com/office/drawing/2014/main" id="{F521CC87-5EE2-C8CD-77BC-EC40E9F50ADF}"/>
            </a:ext>
          </a:extLst>
        </xdr:cNvPr>
        <xdr:cNvPicPr/>
      </xdr:nvPicPr>
      <xdr:blipFill>
        <a:blip xmlns:r="http://schemas.openxmlformats.org/officeDocument/2006/relationships" r:embed="rId1"/>
        <a:stretch>
          <a:fillRect/>
        </a:stretch>
      </xdr:blipFill>
      <xdr:spPr>
        <a:xfrm>
          <a:off x="8729981" y="147321"/>
          <a:ext cx="818514" cy="909954"/>
        </a:xfrm>
        <a:prstGeom prst="rect">
          <a:avLst/>
        </a:prstGeom>
      </xdr:spPr>
    </xdr:pic>
    <xdr:clientData/>
  </xdr:twoCellAnchor>
  <xdr:twoCellAnchor>
    <xdr:from>
      <xdr:col>19</xdr:col>
      <xdr:colOff>251012</xdr:colOff>
      <xdr:row>0</xdr:row>
      <xdr:rowOff>143435</xdr:rowOff>
    </xdr:from>
    <xdr:to>
      <xdr:col>20</xdr:col>
      <xdr:colOff>367553</xdr:colOff>
      <xdr:row>2</xdr:row>
      <xdr:rowOff>89647</xdr:rowOff>
    </xdr:to>
    <xdr:sp macro="[0]!GeneraFicha" textlink="">
      <xdr:nvSpPr>
        <xdr:cNvPr id="3" name="Rectángulo 2">
          <a:extLst>
            <a:ext uri="{FF2B5EF4-FFF2-40B4-BE49-F238E27FC236}">
              <a16:creationId xmlns:a16="http://schemas.microsoft.com/office/drawing/2014/main" id="{F5C18181-9A10-2363-5D20-4A12B70E73B5}"/>
            </a:ext>
          </a:extLst>
        </xdr:cNvPr>
        <xdr:cNvSpPr/>
      </xdr:nvSpPr>
      <xdr:spPr>
        <a:xfrm>
          <a:off x="15428259" y="143435"/>
          <a:ext cx="905435" cy="304800"/>
        </a:xfrm>
        <a:prstGeom prst="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r>
            <a:rPr lang="es-CL" sz="1100" kern="1200"/>
            <a:t>Generar</a:t>
          </a:r>
        </a:p>
        <a:p>
          <a:pPr algn="l"/>
          <a:endParaRPr lang="es-CL" sz="1100" kern="12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30"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3ED4C944-D608-43DC-BFF3-BD6108949E5C}">
  <we:reference id="wa200005271" version="2.4.3.0" store="es-ES" storeType="OMEX"/>
  <we:alternateReferences>
    <we:reference id="wa200005271" version="2.4.3.0" store="wa200005271"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_xldudf_AI_TABLE</we:customFunctionIds>
        <we:customFunctionIds>_xldudf_AI_FILL</we:customFunctionIds>
        <we:customFunctionIds>_xldudf_AI_LIST</we:customFunctionIds>
        <we:customFunctionIds>_xldudf_AI_ASK</we:customFunctionIds>
        <we:customFunctionIds>_xldudf_AI_FORMAT</we:customFunctionIds>
        <we:customFunctionIds>_xldudf_AI_EXTRACT</we:customFunctionIds>
        <we:customFunctionIds>_xldudf_AI_TRANSLATE</we:customFunctionIds>
      </we:customFunctionIdList>
    </a:ext>
  </we:extLst>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0000"/>
  </sheetPr>
  <dimension ref="A1:BH370"/>
  <sheetViews>
    <sheetView showOutlineSymbols="0" showWhiteSpace="0" topLeftCell="AK1" zoomScale="130" zoomScaleNormal="130" workbookViewId="0">
      <selection activeCell="AK1" sqref="A1:XFD1048576"/>
    </sheetView>
  </sheetViews>
  <sheetFormatPr baseColWidth="10" defaultColWidth="11.140625" defaultRowHeight="3" customHeight="1" x14ac:dyDescent="0.2"/>
  <cols>
    <col min="1" max="1" width="5.85546875" style="67" bestFit="1" customWidth="1"/>
    <col min="2" max="2" width="6.42578125" style="71" bestFit="1" customWidth="1"/>
    <col min="3" max="3" width="17" style="76" bestFit="1" customWidth="1"/>
    <col min="4" max="4" width="11.85546875" style="69" bestFit="1" customWidth="1"/>
    <col min="5" max="5" width="14.140625" style="69" bestFit="1" customWidth="1"/>
    <col min="6" max="6" width="20.42578125" style="70" bestFit="1" customWidth="1"/>
    <col min="7" max="7" width="11.85546875" style="80" bestFit="1" customWidth="1"/>
    <col min="8" max="42" width="11.85546875" style="69" bestFit="1" customWidth="1"/>
    <col min="43" max="44" width="10.42578125" style="69" bestFit="1" customWidth="1"/>
    <col min="45" max="47" width="12.5703125" style="69" customWidth="1"/>
    <col min="48" max="48" width="16.140625" style="551" bestFit="1" customWidth="1"/>
    <col min="49" max="49" width="11.85546875" style="551" bestFit="1" customWidth="1"/>
    <col min="50" max="51" width="11.140625" style="551"/>
    <col min="52" max="52" width="17.28515625" style="551" customWidth="1"/>
    <col min="53" max="53" width="11.140625" style="551"/>
    <col min="54" max="16384" width="11.140625" style="110"/>
  </cols>
  <sheetData>
    <row r="1" spans="1:60" s="558" customFormat="1" ht="3" customHeight="1" x14ac:dyDescent="0.2">
      <c r="A1" s="552" t="s">
        <v>551</v>
      </c>
      <c r="B1" s="552" t="s">
        <v>552</v>
      </c>
      <c r="C1" s="75" t="s">
        <v>553</v>
      </c>
      <c r="D1" s="75" t="s">
        <v>554</v>
      </c>
      <c r="E1" s="75" t="s">
        <v>555</v>
      </c>
      <c r="F1" s="75" t="s">
        <v>556</v>
      </c>
      <c r="G1" s="553" t="s">
        <v>557</v>
      </c>
      <c r="H1" s="75" t="s">
        <v>558</v>
      </c>
      <c r="I1" s="75" t="s">
        <v>559</v>
      </c>
      <c r="J1" s="75" t="s">
        <v>560</v>
      </c>
      <c r="K1" s="75" t="s">
        <v>561</v>
      </c>
      <c r="L1" s="75" t="s">
        <v>562</v>
      </c>
      <c r="M1" s="75" t="s">
        <v>563</v>
      </c>
      <c r="N1" s="75" t="s">
        <v>564</v>
      </c>
      <c r="O1" s="75" t="s">
        <v>565</v>
      </c>
      <c r="P1" s="75" t="s">
        <v>566</v>
      </c>
      <c r="Q1" s="75" t="s">
        <v>567</v>
      </c>
      <c r="R1" s="75" t="s">
        <v>568</v>
      </c>
      <c r="S1" s="75" t="s">
        <v>569</v>
      </c>
      <c r="T1" s="75" t="s">
        <v>725</v>
      </c>
      <c r="U1" s="75" t="s">
        <v>726</v>
      </c>
      <c r="V1" s="75" t="s">
        <v>727</v>
      </c>
      <c r="W1" s="75" t="s">
        <v>728</v>
      </c>
      <c r="X1" s="75" t="s">
        <v>729</v>
      </c>
      <c r="Y1" s="75" t="s">
        <v>730</v>
      </c>
      <c r="Z1" s="75" t="s">
        <v>731</v>
      </c>
      <c r="AA1" s="75" t="s">
        <v>732</v>
      </c>
      <c r="AB1" s="75" t="s">
        <v>733</v>
      </c>
      <c r="AC1" s="75" t="s">
        <v>734</v>
      </c>
      <c r="AD1" s="75" t="s">
        <v>735</v>
      </c>
      <c r="AE1" s="75" t="s">
        <v>736</v>
      </c>
      <c r="AF1" s="75" t="s">
        <v>737</v>
      </c>
      <c r="AG1" s="554" t="s">
        <v>738</v>
      </c>
      <c r="AH1" s="554" t="s">
        <v>570</v>
      </c>
      <c r="AI1" s="554" t="s">
        <v>571</v>
      </c>
      <c r="AJ1" s="554" t="s">
        <v>572</v>
      </c>
      <c r="AK1" s="554" t="s">
        <v>573</v>
      </c>
      <c r="AL1" s="554" t="s">
        <v>574</v>
      </c>
      <c r="AM1" s="554" t="s">
        <v>575</v>
      </c>
      <c r="AN1" s="554" t="s">
        <v>576</v>
      </c>
      <c r="AO1" s="554" t="s">
        <v>577</v>
      </c>
      <c r="AP1" s="554" t="s">
        <v>578</v>
      </c>
      <c r="AQ1" s="555" t="s">
        <v>722</v>
      </c>
      <c r="AR1" s="555" t="s">
        <v>723</v>
      </c>
      <c r="AS1" s="554" t="s">
        <v>724</v>
      </c>
      <c r="AT1" s="554" t="s">
        <v>1148</v>
      </c>
      <c r="AU1" s="554" t="s">
        <v>1149</v>
      </c>
      <c r="AV1" s="559" t="s">
        <v>1150</v>
      </c>
      <c r="AW1" s="556" t="s">
        <v>1151</v>
      </c>
      <c r="AX1" s="559" t="s">
        <v>1152</v>
      </c>
      <c r="AY1" s="559" t="s">
        <v>1153</v>
      </c>
      <c r="AZ1" s="556" t="s">
        <v>1154</v>
      </c>
      <c r="BA1" s="559" t="s">
        <v>1155</v>
      </c>
      <c r="BB1" s="557"/>
      <c r="BC1" s="557"/>
      <c r="BD1" s="76"/>
      <c r="BE1" s="76"/>
      <c r="BF1" s="76"/>
      <c r="BG1" s="76"/>
      <c r="BH1" s="76"/>
    </row>
    <row r="2" spans="1:60" ht="3" customHeight="1" x14ac:dyDescent="0.2">
      <c r="A2" s="68" t="str">
        <f>IF(LEN(+'_DATA STT PAGOS_'!M7)=4,"0"&amp;+'_DATA STT PAGOS_'!M7,+'_DATA STT PAGOS_'!M7)</f>
        <v>01101</v>
      </c>
      <c r="B2" s="68" t="str">
        <f>IF(LEN(+'_DATA STT PAGOS_'!N7)=4,"0"&amp;+'_DATA STT PAGOS_'!N7,+'_DATA STT PAGOS_'!N7)</f>
        <v>01201</v>
      </c>
      <c r="C2" s="76" t="str">
        <f>+'_DATA STT PAGOS_'!O7</f>
        <v>IQUIQUE</v>
      </c>
      <c r="D2" s="80">
        <f>+'CALC MEC ESTAB Y ESTIM M FINAL'!U7</f>
        <v>8031724</v>
      </c>
      <c r="E2" s="77">
        <f>+'CALC MEC ESTAB Y ESTIM M FINAL'!Q7</f>
        <v>3.0338082943999999E-3</v>
      </c>
      <c r="F2" s="77">
        <f>+'CALC MEC ESTAB Y ESTIM M FINAL'!R7</f>
        <v>-2.041036894E-4</v>
      </c>
      <c r="G2" s="80">
        <f>+'_Flujo con Glosa 08'!CE7</f>
        <v>365987</v>
      </c>
      <c r="H2" s="80">
        <f>+'_Flujo con Glosa 08'!CF7</f>
        <v>365987</v>
      </c>
      <c r="I2" s="80">
        <f>+'_Flujo con Glosa 08'!CG7</f>
        <v>353941</v>
      </c>
      <c r="J2" s="80">
        <f>+'_Flujo con Glosa 08'!CH7</f>
        <v>365987</v>
      </c>
      <c r="K2" s="80">
        <f>+'_Flujo con Glosa 08'!CI7</f>
        <v>1097861</v>
      </c>
      <c r="L2" s="80">
        <f>+'_Flujo con Glosa 08'!CJ7</f>
        <v>376685</v>
      </c>
      <c r="M2" s="80">
        <f>+'_Flujo con Glosa 08'!CK7</f>
        <v>664378</v>
      </c>
      <c r="N2" s="80">
        <f>+'_Flujo con Glosa 08'!CL7</f>
        <v>365987</v>
      </c>
      <c r="O2" s="80">
        <f>+'_Flujo con Glosa 08'!CM7</f>
        <v>427077</v>
      </c>
      <c r="P2" s="80">
        <f>+'_Flujo con Glosa 08'!CN7</f>
        <v>715490</v>
      </c>
      <c r="Q2" s="80">
        <f>+'_Flujo con Glosa 08'!CO7</f>
        <v>365987</v>
      </c>
      <c r="R2" s="80">
        <f>+'_Flujo con Glosa 08'!CP7</f>
        <v>675063</v>
      </c>
      <c r="S2" s="80">
        <f>SUM(G2:R2)</f>
        <v>6140430</v>
      </c>
      <c r="T2" s="80">
        <v>0</v>
      </c>
      <c r="U2" s="80">
        <v>0</v>
      </c>
      <c r="V2" s="80">
        <v>0</v>
      </c>
      <c r="W2" s="80">
        <v>0</v>
      </c>
      <c r="X2" s="80">
        <v>0</v>
      </c>
      <c r="Y2" s="80">
        <v>0</v>
      </c>
      <c r="Z2" s="80">
        <v>0</v>
      </c>
      <c r="AA2" s="80">
        <v>0</v>
      </c>
      <c r="AB2" s="80">
        <v>0</v>
      </c>
      <c r="AC2" s="80">
        <v>0</v>
      </c>
      <c r="AD2" s="80">
        <v>0</v>
      </c>
      <c r="AE2" s="80">
        <v>0</v>
      </c>
      <c r="AF2" s="80">
        <f>SUM(T2:AE2)</f>
        <v>0</v>
      </c>
      <c r="AG2" s="80">
        <f>+COEF_FCM!AM9</f>
        <v>2599803</v>
      </c>
      <c r="AH2" s="80">
        <f>+COEF_FCM!AR9</f>
        <v>126379</v>
      </c>
      <c r="AI2" s="80">
        <f>+COEF_FCM!AN9</f>
        <v>225546</v>
      </c>
      <c r="AJ2" s="80">
        <f>+COEF_FCM!AS9</f>
        <v>54911</v>
      </c>
      <c r="AK2" s="80">
        <f>+COEF_FCM!AO9</f>
        <v>2135794</v>
      </c>
      <c r="AL2" s="80">
        <f>+COEF_FCM!AT9</f>
        <v>80316.694000000003</v>
      </c>
      <c r="AM2" s="80">
        <f>+COEF_FCM!AP9</f>
        <v>1762668</v>
      </c>
      <c r="AN2" s="80">
        <f>+COEF_FCM!AU9</f>
        <v>53727</v>
      </c>
      <c r="AO2" s="80">
        <f>+COEF_FCM!AQ9</f>
        <v>6723811</v>
      </c>
      <c r="AP2" s="80">
        <f>+COEF_FCM!AV9</f>
        <v>315333.69400000002</v>
      </c>
      <c r="AQ2" s="80">
        <f>+_CIERRE!O2+_CIERRE!P2</f>
        <v>4899219.9029999999</v>
      </c>
      <c r="AR2" s="80">
        <f>+_CIERRE!Q2+_CIERRE!R2</f>
        <v>6305296.4670000002</v>
      </c>
      <c r="AS2" s="80">
        <f>+_CIERRE!S2+_CIERRE!T2</f>
        <v>7042583.4210000001</v>
      </c>
      <c r="AT2" s="80">
        <f>+_CIERRE!U2+_CIERRE!V2</f>
        <v>7548535.6720000003</v>
      </c>
      <c r="AU2" s="80">
        <f>+'CALC MEC ESTAB Y ESTIM M FINAL'!T7</f>
        <v>8031724</v>
      </c>
      <c r="AV2" s="560">
        <v>0</v>
      </c>
      <c r="AW2" s="551">
        <v>1012325.623</v>
      </c>
      <c r="AX2" s="551">
        <v>1042243.752</v>
      </c>
      <c r="AY2" s="551">
        <v>0</v>
      </c>
      <c r="AZ2" s="551">
        <v>0</v>
      </c>
      <c r="BA2" s="551">
        <v>0</v>
      </c>
    </row>
    <row r="3" spans="1:60" ht="3" customHeight="1" x14ac:dyDescent="0.2">
      <c r="A3" s="68" t="str">
        <f>IF(LEN(+'_DATA STT PAGOS_'!M8)=4,"0"&amp;+'_DATA STT PAGOS_'!M8,+'_DATA STT PAGOS_'!M8)</f>
        <v>01107</v>
      </c>
      <c r="B3" s="68" t="str">
        <f>IF(LEN(+'_DATA STT PAGOS_'!N8)=4,"0"&amp;+'_DATA STT PAGOS_'!N8,+'_DATA STT PAGOS_'!N8)</f>
        <v>01211</v>
      </c>
      <c r="C3" s="76" t="str">
        <f>+'_DATA STT PAGOS_'!O8</f>
        <v>ALTO HOSPICIO</v>
      </c>
      <c r="D3" s="80">
        <f>+'CALC MEC ESTAB Y ESTIM M FINAL'!U8</f>
        <v>20538887</v>
      </c>
      <c r="E3" s="77">
        <f>+'CALC MEC ESTAB Y ESTIM M FINAL'!Q8</f>
        <v>7.6692195374999999E-3</v>
      </c>
      <c r="F3" s="77">
        <f>+'CALC MEC ESTAB Y ESTIM M FINAL'!R8</f>
        <v>-4.3304142719999999E-4</v>
      </c>
      <c r="G3" s="80">
        <f>+'_Flujo con Glosa 08'!CE8</f>
        <v>944791</v>
      </c>
      <c r="H3" s="80">
        <f>+'_Flujo con Glosa 08'!CF8</f>
        <v>944791</v>
      </c>
      <c r="I3" s="80">
        <f>+'_Flujo con Glosa 08'!CG8</f>
        <v>905106</v>
      </c>
      <c r="J3" s="80">
        <f>+'_Flujo con Glosa 08'!CH8</f>
        <v>944791</v>
      </c>
      <c r="K3" s="80">
        <f>+'_Flujo con Glosa 08'!CI8</f>
        <v>2780830</v>
      </c>
      <c r="L3" s="80">
        <f>+'_Flujo con Glosa 08'!CJ8</f>
        <v>972147</v>
      </c>
      <c r="M3" s="80">
        <f>+'_Flujo con Glosa 08'!CK8</f>
        <v>1690079</v>
      </c>
      <c r="N3" s="80">
        <f>+'_Flujo con Glosa 08'!CL8</f>
        <v>944791</v>
      </c>
      <c r="O3" s="80">
        <f>+'_Flujo con Glosa 08'!CM8</f>
        <v>1092130</v>
      </c>
      <c r="P3" s="80">
        <f>+'_Flujo con Glosa 08'!CN8</f>
        <v>1820782</v>
      </c>
      <c r="Q3" s="80">
        <f>+'_Flujo con Glosa 08'!CO8</f>
        <v>944791</v>
      </c>
      <c r="R3" s="80">
        <f>+'_Flujo con Glosa 08'!CP8</f>
        <v>1717402</v>
      </c>
      <c r="S3" s="80">
        <f t="shared" ref="S3:S66" si="0">SUM(G3:R3)</f>
        <v>15702431</v>
      </c>
      <c r="T3" s="80">
        <v>0</v>
      </c>
      <c r="U3" s="80">
        <v>0</v>
      </c>
      <c r="V3" s="80">
        <v>0</v>
      </c>
      <c r="W3" s="80">
        <v>0</v>
      </c>
      <c r="X3" s="80">
        <v>0</v>
      </c>
      <c r="Y3" s="80">
        <v>0</v>
      </c>
      <c r="Z3" s="80">
        <v>0</v>
      </c>
      <c r="AA3" s="80">
        <v>0</v>
      </c>
      <c r="AB3" s="80">
        <v>0</v>
      </c>
      <c r="AC3" s="80">
        <v>0</v>
      </c>
      <c r="AD3" s="80">
        <v>0</v>
      </c>
      <c r="AE3" s="80">
        <v>0</v>
      </c>
      <c r="AF3" s="80">
        <f t="shared" ref="AF3:AF66" si="1">SUM(T3:AE3)</f>
        <v>0</v>
      </c>
      <c r="AG3" s="80">
        <f>+COEF_FCM!AM10</f>
        <v>338728</v>
      </c>
      <c r="AH3" s="80">
        <f>+COEF_FCM!AR10</f>
        <v>6554</v>
      </c>
      <c r="AI3" s="80">
        <f>+COEF_FCM!AN10</f>
        <v>247936</v>
      </c>
      <c r="AJ3" s="80">
        <f>+COEF_FCM!AS10</f>
        <v>3956</v>
      </c>
      <c r="AK3" s="80">
        <f>+COEF_FCM!AO10</f>
        <v>254846</v>
      </c>
      <c r="AL3" s="80">
        <f>+COEF_FCM!AT10</f>
        <v>4330.7120000000004</v>
      </c>
      <c r="AM3" s="80">
        <f>+COEF_FCM!AP10</f>
        <v>260707</v>
      </c>
      <c r="AN3" s="80">
        <f>+COEF_FCM!AU10</f>
        <v>4158</v>
      </c>
      <c r="AO3" s="80">
        <f>+COEF_FCM!AQ10</f>
        <v>1102217</v>
      </c>
      <c r="AP3" s="80">
        <f>+COEF_FCM!AV10</f>
        <v>18998.712</v>
      </c>
      <c r="AQ3" s="80">
        <f>+_CIERRE!O3+_CIERRE!P3</f>
        <v>12706869.592</v>
      </c>
      <c r="AR3" s="80">
        <f>+_CIERRE!Q3+_CIERRE!R3</f>
        <v>16489485.563999999</v>
      </c>
      <c r="AS3" s="80">
        <f>+_CIERRE!S3+_CIERRE!T3</f>
        <v>18343696.063999999</v>
      </c>
      <c r="AT3" s="80">
        <f>+_CIERRE!U3+_CIERRE!V3</f>
        <v>19513718.671</v>
      </c>
      <c r="AU3" s="80">
        <f>+'CALC MEC ESTAB Y ESTIM M FINAL'!T8</f>
        <v>20538887</v>
      </c>
      <c r="AV3" s="560">
        <v>0</v>
      </c>
      <c r="AW3" s="551">
        <v>0</v>
      </c>
      <c r="AX3" s="551">
        <v>0</v>
      </c>
      <c r="AY3" s="551">
        <v>0</v>
      </c>
      <c r="AZ3" s="551">
        <v>2026932.564</v>
      </c>
      <c r="BA3" s="551">
        <v>2037587.612</v>
      </c>
    </row>
    <row r="4" spans="1:60" ht="3" customHeight="1" x14ac:dyDescent="0.2">
      <c r="A4" s="68" t="str">
        <f>IF(LEN(+'_DATA STT PAGOS_'!M9)=4,"0"&amp;+'_DATA STT PAGOS_'!M9,+'_DATA STT PAGOS_'!M9)</f>
        <v>01401</v>
      </c>
      <c r="B4" s="68" t="str">
        <f>IF(LEN(+'_DATA STT PAGOS_'!N9)=4,"0"&amp;+'_DATA STT PAGOS_'!N9,+'_DATA STT PAGOS_'!N9)</f>
        <v>01204</v>
      </c>
      <c r="C4" s="76" t="str">
        <f>+'_DATA STT PAGOS_'!O9</f>
        <v>POZO ALMONTE</v>
      </c>
      <c r="D4" s="80">
        <f>+'CALC MEC ESTAB Y ESTIM M FINAL'!U9</f>
        <v>4421315</v>
      </c>
      <c r="E4" s="77">
        <f>+'CALC MEC ESTAB Y ESTIM M FINAL'!Q9</f>
        <v>1.6740580702999999E-3</v>
      </c>
      <c r="F4" s="77">
        <f>+'CALC MEC ESTAB Y ESTIM M FINAL'!R9</f>
        <v>-1.1635833939999999E-4</v>
      </c>
      <c r="G4" s="80">
        <f>+'_Flujo con Glosa 08'!CE9</f>
        <v>200878</v>
      </c>
      <c r="H4" s="80">
        <f>+'_Flujo con Glosa 08'!CF9</f>
        <v>200878</v>
      </c>
      <c r="I4" s="80">
        <f>+'_Flujo con Glosa 08'!CG9</f>
        <v>194838</v>
      </c>
      <c r="J4" s="80">
        <f>+'_Flujo con Glosa 08'!CH9</f>
        <v>200878</v>
      </c>
      <c r="K4" s="80">
        <f>+'_Flujo con Glosa 08'!CI9</f>
        <v>606126</v>
      </c>
      <c r="L4" s="80">
        <f>+'_Flujo con Glosa 08'!CJ9</f>
        <v>206767</v>
      </c>
      <c r="M4" s="80">
        <f>+'_Flujo con Glosa 08'!CK9</f>
        <v>366319</v>
      </c>
      <c r="N4" s="80">
        <f>+'_Flujo con Glosa 08'!CL9</f>
        <v>200878</v>
      </c>
      <c r="O4" s="80">
        <f>+'_Flujo con Glosa 08'!CM9</f>
        <v>235098</v>
      </c>
      <c r="P4" s="80">
        <f>+'_Flujo con Glosa 08'!CN9</f>
        <v>394454</v>
      </c>
      <c r="Q4" s="80">
        <f>+'_Flujo con Glosa 08'!CO9</f>
        <v>200878</v>
      </c>
      <c r="R4" s="80">
        <f>+'_Flujo con Glosa 08'!CP9</f>
        <v>372201</v>
      </c>
      <c r="S4" s="80">
        <f t="shared" si="0"/>
        <v>3380193</v>
      </c>
      <c r="T4" s="80">
        <v>0</v>
      </c>
      <c r="U4" s="80">
        <v>0</v>
      </c>
      <c r="V4" s="80">
        <v>0</v>
      </c>
      <c r="W4" s="80">
        <v>0</v>
      </c>
      <c r="X4" s="80">
        <v>0</v>
      </c>
      <c r="Y4" s="80">
        <v>0</v>
      </c>
      <c r="Z4" s="80">
        <v>0</v>
      </c>
      <c r="AA4" s="80">
        <v>0</v>
      </c>
      <c r="AB4" s="80">
        <v>0</v>
      </c>
      <c r="AC4" s="80">
        <v>0</v>
      </c>
      <c r="AD4" s="80">
        <v>0</v>
      </c>
      <c r="AE4" s="80">
        <v>0</v>
      </c>
      <c r="AF4" s="80">
        <f t="shared" si="1"/>
        <v>0</v>
      </c>
      <c r="AG4" s="80">
        <f>+COEF_FCM!AM11</f>
        <v>137713</v>
      </c>
      <c r="AH4" s="80">
        <f>+COEF_FCM!AR11</f>
        <v>651</v>
      </c>
      <c r="AI4" s="80">
        <f>+COEF_FCM!AN11</f>
        <v>135183</v>
      </c>
      <c r="AJ4" s="80">
        <f>+COEF_FCM!AS11</f>
        <v>297</v>
      </c>
      <c r="AK4" s="80">
        <f>+COEF_FCM!AO11</f>
        <v>110668</v>
      </c>
      <c r="AL4" s="80">
        <f>+COEF_FCM!AT11</f>
        <v>372.721</v>
      </c>
      <c r="AM4" s="80">
        <f>+COEF_FCM!AP11</f>
        <v>86827</v>
      </c>
      <c r="AN4" s="80">
        <f>+COEF_FCM!AU11</f>
        <v>360</v>
      </c>
      <c r="AO4" s="80">
        <f>+COEF_FCM!AQ11</f>
        <v>470391</v>
      </c>
      <c r="AP4" s="80">
        <f>+COEF_FCM!AV11</f>
        <v>1680.721</v>
      </c>
      <c r="AQ4" s="80">
        <f>+_CIERRE!O4+_CIERRE!P4</f>
        <v>3098541.0819999999</v>
      </c>
      <c r="AR4" s="80">
        <f>+_CIERRE!Q4+_CIERRE!R4</f>
        <v>3556060.9670000002</v>
      </c>
      <c r="AS4" s="80">
        <f>+_CIERRE!S4+_CIERRE!T4</f>
        <v>3876729.787</v>
      </c>
      <c r="AT4" s="80">
        <f>+_CIERRE!U4+_CIERRE!V4</f>
        <v>4145851.0440000002</v>
      </c>
      <c r="AU4" s="80">
        <f>+'CALC MEC ESTAB Y ESTIM M FINAL'!T9</f>
        <v>4421315</v>
      </c>
      <c r="AV4" s="560">
        <v>0</v>
      </c>
      <c r="AW4" s="551">
        <v>768141.80900000001</v>
      </c>
      <c r="AX4" s="551">
        <v>0</v>
      </c>
      <c r="AY4" s="551">
        <v>0</v>
      </c>
      <c r="AZ4" s="551">
        <v>450711.196</v>
      </c>
      <c r="BA4" s="551">
        <v>465497.06</v>
      </c>
    </row>
    <row r="5" spans="1:60" ht="3" customHeight="1" x14ac:dyDescent="0.2">
      <c r="A5" s="68" t="str">
        <f>IF(LEN(+'_DATA STT PAGOS_'!M10)=4,"0"&amp;+'_DATA STT PAGOS_'!M10,+'_DATA STT PAGOS_'!M10)</f>
        <v>01402</v>
      </c>
      <c r="B5" s="68" t="str">
        <f>IF(LEN(+'_DATA STT PAGOS_'!N10)=4,"0"&amp;+'_DATA STT PAGOS_'!N10,+'_DATA STT PAGOS_'!N10)</f>
        <v>01208</v>
      </c>
      <c r="C5" s="76" t="str">
        <f>+'_DATA STT PAGOS_'!O10</f>
        <v>CAMIÑA</v>
      </c>
      <c r="D5" s="80">
        <f>+'CALC MEC ESTAB Y ESTIM M FINAL'!U10</f>
        <v>2674640</v>
      </c>
      <c r="E5" s="77">
        <f>+'CALC MEC ESTAB Y ESTIM M FINAL'!Q10</f>
        <v>9.7648616579999997E-4</v>
      </c>
      <c r="F5" s="77">
        <f>+'CALC MEC ESTAB Y ESTIM M FINAL'!R10</f>
        <v>-3.4167603100000001E-5</v>
      </c>
      <c r="G5" s="80">
        <f>+'_Flujo con Glosa 08'!CE10</f>
        <v>125804</v>
      </c>
      <c r="H5" s="80">
        <f>+'_Flujo con Glosa 08'!CF10</f>
        <v>125804</v>
      </c>
      <c r="I5" s="80">
        <f>+'_Flujo con Glosa 08'!CG10</f>
        <v>117866</v>
      </c>
      <c r="J5" s="80">
        <f>+'_Flujo con Glosa 08'!CH10</f>
        <v>125804</v>
      </c>
      <c r="K5" s="80">
        <f>+'_Flujo con Glosa 08'!CI10</f>
        <v>353818</v>
      </c>
      <c r="L5" s="80">
        <f>+'_Flujo con Glosa 08'!CJ10</f>
        <v>129366</v>
      </c>
      <c r="M5" s="80">
        <f>+'_Flujo con Glosa 08'!CK10</f>
        <v>217317</v>
      </c>
      <c r="N5" s="80">
        <f>+'_Flujo con Glosa 08'!CL10</f>
        <v>125804</v>
      </c>
      <c r="O5" s="80">
        <f>+'_Flujo con Glosa 08'!CM10</f>
        <v>142220</v>
      </c>
      <c r="P5" s="80">
        <f>+'_Flujo con Glosa 08'!CN10</f>
        <v>234338</v>
      </c>
      <c r="Q5" s="80">
        <f>+'_Flujo con Glosa 08'!CO10</f>
        <v>125804</v>
      </c>
      <c r="R5" s="80">
        <f>+'_Flujo con Glosa 08'!CP10</f>
        <v>220875</v>
      </c>
      <c r="S5" s="80">
        <f t="shared" si="0"/>
        <v>2044820</v>
      </c>
      <c r="T5" s="80">
        <v>0</v>
      </c>
      <c r="U5" s="80">
        <v>0</v>
      </c>
      <c r="V5" s="80">
        <v>0</v>
      </c>
      <c r="W5" s="80">
        <v>0</v>
      </c>
      <c r="X5" s="80">
        <v>0</v>
      </c>
      <c r="Y5" s="80">
        <v>0</v>
      </c>
      <c r="Z5" s="80">
        <v>0</v>
      </c>
      <c r="AA5" s="80">
        <v>0</v>
      </c>
      <c r="AB5" s="80">
        <v>0</v>
      </c>
      <c r="AC5" s="80">
        <v>0</v>
      </c>
      <c r="AD5" s="80">
        <v>0</v>
      </c>
      <c r="AE5" s="80">
        <v>0</v>
      </c>
      <c r="AF5" s="80">
        <f t="shared" si="1"/>
        <v>0</v>
      </c>
      <c r="AG5" s="80">
        <f>+COEF_FCM!AM12</f>
        <v>0</v>
      </c>
      <c r="AH5" s="80">
        <f>+COEF_FCM!AR12</f>
        <v>0</v>
      </c>
      <c r="AI5" s="80">
        <f>+COEF_FCM!AN12</f>
        <v>0</v>
      </c>
      <c r="AJ5" s="80">
        <f>+COEF_FCM!AS12</f>
        <v>0</v>
      </c>
      <c r="AK5" s="80">
        <f>+COEF_FCM!AO12</f>
        <v>0</v>
      </c>
      <c r="AL5" s="80">
        <f>+COEF_FCM!AT12</f>
        <v>0</v>
      </c>
      <c r="AM5" s="80">
        <f>+COEF_FCM!AP12</f>
        <v>0</v>
      </c>
      <c r="AN5" s="80">
        <f>+COEF_FCM!AU12</f>
        <v>0</v>
      </c>
      <c r="AO5" s="80">
        <f>+COEF_FCM!AQ12</f>
        <v>0</v>
      </c>
      <c r="AP5" s="80">
        <f>+COEF_FCM!AV12</f>
        <v>0</v>
      </c>
      <c r="AQ5" s="80">
        <f>+_CIERRE!O5+_CIERRE!P5</f>
        <v>2228704.716</v>
      </c>
      <c r="AR5" s="80">
        <f>+_CIERRE!Q5+_CIERRE!R5</f>
        <v>2416319.4700000002</v>
      </c>
      <c r="AS5" s="80">
        <f>+_CIERRE!S5+_CIERRE!T5</f>
        <v>2498460.102</v>
      </c>
      <c r="AT5" s="80">
        <f>+_CIERRE!U5+_CIERRE!V5</f>
        <v>2593753.4330000002</v>
      </c>
      <c r="AU5" s="80">
        <f>+'CALC MEC ESTAB Y ESTIM M FINAL'!T10</f>
        <v>2674640</v>
      </c>
      <c r="AV5" s="560">
        <v>0</v>
      </c>
      <c r="AW5" s="551">
        <v>0</v>
      </c>
      <c r="AX5" s="551">
        <v>0</v>
      </c>
      <c r="AY5" s="551">
        <v>0</v>
      </c>
      <c r="AZ5" s="551">
        <v>312023.283</v>
      </c>
      <c r="BA5" s="551">
        <v>315518.08100000001</v>
      </c>
    </row>
    <row r="6" spans="1:60" ht="3" customHeight="1" x14ac:dyDescent="0.2">
      <c r="A6" s="68" t="str">
        <f>IF(LEN(+'_DATA STT PAGOS_'!M11)=4,"0"&amp;+'_DATA STT PAGOS_'!M11,+'_DATA STT PAGOS_'!M11)</f>
        <v>01403</v>
      </c>
      <c r="B6" s="68" t="str">
        <f>IF(LEN(+'_DATA STT PAGOS_'!N11)=4,"0"&amp;+'_DATA STT PAGOS_'!N11,+'_DATA STT PAGOS_'!N11)</f>
        <v>01210</v>
      </c>
      <c r="C6" s="76" t="str">
        <f>+'_DATA STT PAGOS_'!O11</f>
        <v>COLCHANE</v>
      </c>
      <c r="D6" s="80">
        <f>+'CALC MEC ESTAB Y ESTIM M FINAL'!U11</f>
        <v>2533127</v>
      </c>
      <c r="E6" s="77">
        <f>+'CALC MEC ESTAB Y ESTIM M FINAL'!Q11</f>
        <v>1.0057909118999999E-3</v>
      </c>
      <c r="F6" s="77">
        <f>+'CALC MEC ESTAB Y ESTIM M FINAL'!R11</f>
        <v>-1.133298313E-4</v>
      </c>
      <c r="G6" s="80">
        <f>+'_Flujo con Glosa 08'!CE11</f>
        <v>109872</v>
      </c>
      <c r="H6" s="80">
        <f>+'_Flujo con Glosa 08'!CF11</f>
        <v>109872</v>
      </c>
      <c r="I6" s="80">
        <f>+'_Flujo con Glosa 08'!CG11</f>
        <v>111630</v>
      </c>
      <c r="J6" s="80">
        <f>+'_Flujo con Glosa 08'!CH11</f>
        <v>109872</v>
      </c>
      <c r="K6" s="80">
        <f>+'_Flujo con Glosa 08'!CI11</f>
        <v>362925</v>
      </c>
      <c r="L6" s="80">
        <f>+'_Flujo con Glosa 08'!CJ11</f>
        <v>113246</v>
      </c>
      <c r="M6" s="80">
        <f>+'_Flujo con Glosa 08'!CK11</f>
        <v>215095</v>
      </c>
      <c r="N6" s="80">
        <f>+'_Flujo con Glosa 08'!CL11</f>
        <v>109872</v>
      </c>
      <c r="O6" s="80">
        <f>+'_Flujo con Glosa 08'!CM11</f>
        <v>134696</v>
      </c>
      <c r="P6" s="80">
        <f>+'_Flujo con Glosa 08'!CN11</f>
        <v>231215</v>
      </c>
      <c r="Q6" s="80">
        <f>+'_Flujo con Glosa 08'!CO11</f>
        <v>109872</v>
      </c>
      <c r="R6" s="80">
        <f>+'_Flujo con Glosa 08'!CP11</f>
        <v>218465</v>
      </c>
      <c r="S6" s="80">
        <f t="shared" si="0"/>
        <v>1936632</v>
      </c>
      <c r="T6" s="80">
        <v>0</v>
      </c>
      <c r="U6" s="80">
        <v>0</v>
      </c>
      <c r="V6" s="80">
        <v>0</v>
      </c>
      <c r="W6" s="80">
        <v>0</v>
      </c>
      <c r="X6" s="80">
        <v>0</v>
      </c>
      <c r="Y6" s="80">
        <v>0</v>
      </c>
      <c r="Z6" s="80">
        <v>0</v>
      </c>
      <c r="AA6" s="80">
        <v>0</v>
      </c>
      <c r="AB6" s="80">
        <v>0</v>
      </c>
      <c r="AC6" s="80">
        <v>0</v>
      </c>
      <c r="AD6" s="80">
        <v>0</v>
      </c>
      <c r="AE6" s="80">
        <v>0</v>
      </c>
      <c r="AF6" s="80">
        <f t="shared" si="1"/>
        <v>0</v>
      </c>
      <c r="AG6" s="80">
        <f>+COEF_FCM!AM13</f>
        <v>251</v>
      </c>
      <c r="AH6" s="80">
        <f>+COEF_FCM!AR13</f>
        <v>0</v>
      </c>
      <c r="AI6" s="80">
        <f>+COEF_FCM!AN13</f>
        <v>191</v>
      </c>
      <c r="AJ6" s="80">
        <f>+COEF_FCM!AS13</f>
        <v>0</v>
      </c>
      <c r="AK6" s="80">
        <f>+COEF_FCM!AO13</f>
        <v>108</v>
      </c>
      <c r="AL6" s="80">
        <f>+COEF_FCM!AT13</f>
        <v>0</v>
      </c>
      <c r="AM6" s="80">
        <f>+COEF_FCM!AP13</f>
        <v>359</v>
      </c>
      <c r="AN6" s="80">
        <f>+COEF_FCM!AU13</f>
        <v>0</v>
      </c>
      <c r="AO6" s="80">
        <f>+COEF_FCM!AQ13</f>
        <v>909</v>
      </c>
      <c r="AP6" s="80">
        <f>+COEF_FCM!AV13</f>
        <v>0</v>
      </c>
      <c r="AQ6" s="80">
        <f>+_CIERRE!O6+_CIERRE!P6</f>
        <v>1614765.574</v>
      </c>
      <c r="AR6" s="80">
        <f>+_CIERRE!Q6+_CIERRE!R6</f>
        <v>1828852.206</v>
      </c>
      <c r="AS6" s="80">
        <f>+_CIERRE!S6+_CIERRE!T6</f>
        <v>1972637.115</v>
      </c>
      <c r="AT6" s="80">
        <f>+_CIERRE!U6+_CIERRE!V6</f>
        <v>2264832.7960000001</v>
      </c>
      <c r="AU6" s="80">
        <f>+'CALC MEC ESTAB Y ESTIM M FINAL'!T11</f>
        <v>2533127</v>
      </c>
      <c r="AV6" s="560">
        <v>0</v>
      </c>
      <c r="AW6" s="551">
        <v>0</v>
      </c>
      <c r="AX6" s="551">
        <v>0</v>
      </c>
      <c r="AY6" s="551">
        <v>0</v>
      </c>
      <c r="AZ6" s="551">
        <v>292233.70500000002</v>
      </c>
      <c r="BA6" s="551">
        <v>300935.804</v>
      </c>
    </row>
    <row r="7" spans="1:60" ht="3" customHeight="1" x14ac:dyDescent="0.2">
      <c r="A7" s="68" t="str">
        <f>IF(LEN(+'_DATA STT PAGOS_'!M12)=4,"0"&amp;+'_DATA STT PAGOS_'!M12,+'_DATA STT PAGOS_'!M12)</f>
        <v>01404</v>
      </c>
      <c r="B7" s="68" t="str">
        <f>IF(LEN(+'_DATA STT PAGOS_'!N12)=4,"0"&amp;+'_DATA STT PAGOS_'!N12,+'_DATA STT PAGOS_'!N12)</f>
        <v>01206</v>
      </c>
      <c r="C7" s="76" t="str">
        <f>+'_DATA STT PAGOS_'!O12</f>
        <v>HUARA</v>
      </c>
      <c r="D7" s="80">
        <f>+'CALC MEC ESTAB Y ESTIM M FINAL'!U12</f>
        <v>3557835</v>
      </c>
      <c r="E7" s="77">
        <f>+'CALC MEC ESTAB Y ESTIM M FINAL'!Q12</f>
        <v>1.3743390791E-3</v>
      </c>
      <c r="F7" s="77">
        <f>+'CALC MEC ESTAB Y ESTIM M FINAL'!R12</f>
        <v>-1.208570621E-4</v>
      </c>
      <c r="G7" s="80">
        <f>+'_Flujo con Glosa 08'!CE12</f>
        <v>158740</v>
      </c>
      <c r="H7" s="80">
        <f>+'_Flujo con Glosa 08'!CF12</f>
        <v>158740</v>
      </c>
      <c r="I7" s="80">
        <f>+'_Flujo con Glosa 08'!CG12</f>
        <v>156786</v>
      </c>
      <c r="J7" s="80">
        <f>+'_Flujo con Glosa 08'!CH12</f>
        <v>158740</v>
      </c>
      <c r="K7" s="80">
        <f>+'_Flujo con Glosa 08'!CI12</f>
        <v>496469</v>
      </c>
      <c r="L7" s="80">
        <f>+'_Flujo con Glosa 08'!CJ12</f>
        <v>163479</v>
      </c>
      <c r="M7" s="80">
        <f>+'_Flujo con Glosa 08'!CK12</f>
        <v>297684</v>
      </c>
      <c r="N7" s="80">
        <f>+'_Flujo con Glosa 08'!CL12</f>
        <v>158740</v>
      </c>
      <c r="O7" s="80">
        <f>+'_Flujo con Glosa 08'!CM12</f>
        <v>189184</v>
      </c>
      <c r="P7" s="80">
        <f>+'_Flujo con Glosa 08'!CN12</f>
        <v>320325</v>
      </c>
      <c r="Q7" s="80">
        <f>+'_Flujo con Glosa 08'!CO12</f>
        <v>158740</v>
      </c>
      <c r="R7" s="80">
        <f>+'_Flujo con Glosa 08'!CP12</f>
        <v>302417</v>
      </c>
      <c r="S7" s="80">
        <f t="shared" si="0"/>
        <v>2720044</v>
      </c>
      <c r="T7" s="80">
        <v>0</v>
      </c>
      <c r="U7" s="80">
        <v>0</v>
      </c>
      <c r="V7" s="80">
        <v>0</v>
      </c>
      <c r="W7" s="80">
        <v>0</v>
      </c>
      <c r="X7" s="80">
        <v>0</v>
      </c>
      <c r="Y7" s="80">
        <v>0</v>
      </c>
      <c r="Z7" s="80">
        <v>0</v>
      </c>
      <c r="AA7" s="80">
        <v>0</v>
      </c>
      <c r="AB7" s="80">
        <v>0</v>
      </c>
      <c r="AC7" s="80">
        <v>0</v>
      </c>
      <c r="AD7" s="80">
        <v>0</v>
      </c>
      <c r="AE7" s="80">
        <v>0</v>
      </c>
      <c r="AF7" s="80">
        <f t="shared" si="1"/>
        <v>0</v>
      </c>
      <c r="AG7" s="80">
        <f>+COEF_FCM!AM14</f>
        <v>2326</v>
      </c>
      <c r="AH7" s="80">
        <f>+COEF_FCM!AR14</f>
        <v>0</v>
      </c>
      <c r="AI7" s="80">
        <f>+COEF_FCM!AN14</f>
        <v>1935</v>
      </c>
      <c r="AJ7" s="80">
        <f>+COEF_FCM!AS14</f>
        <v>0</v>
      </c>
      <c r="AK7" s="80">
        <f>+COEF_FCM!AO14</f>
        <v>2295</v>
      </c>
      <c r="AL7" s="80">
        <f>+COEF_FCM!AT14</f>
        <v>0</v>
      </c>
      <c r="AM7" s="80">
        <f>+COEF_FCM!AP14</f>
        <v>2609</v>
      </c>
      <c r="AN7" s="80">
        <f>+COEF_FCM!AU14</f>
        <v>0</v>
      </c>
      <c r="AO7" s="80">
        <f>+COEF_FCM!AQ14</f>
        <v>9165</v>
      </c>
      <c r="AP7" s="80">
        <f>+COEF_FCM!AV14</f>
        <v>0</v>
      </c>
      <c r="AQ7" s="80">
        <f>+_CIERRE!O7+_CIERRE!P7</f>
        <v>2169136.622</v>
      </c>
      <c r="AR7" s="80">
        <f>+_CIERRE!Q7+_CIERRE!R7</f>
        <v>2523833.7480000001</v>
      </c>
      <c r="AS7" s="80">
        <f>+_CIERRE!S7+_CIERRE!T7</f>
        <v>2758937.4</v>
      </c>
      <c r="AT7" s="80">
        <f>+_CIERRE!U7+_CIERRE!V7</f>
        <v>3271722.463</v>
      </c>
      <c r="AU7" s="80">
        <f>+'CALC MEC ESTAB Y ESTIM M FINAL'!T12</f>
        <v>3557835</v>
      </c>
      <c r="AV7" s="560">
        <v>0</v>
      </c>
      <c r="AW7" s="551">
        <v>0</v>
      </c>
      <c r="AX7" s="551">
        <v>0</v>
      </c>
      <c r="AY7" s="551">
        <v>0</v>
      </c>
      <c r="AZ7" s="551">
        <v>348412.24900000001</v>
      </c>
      <c r="BA7" s="551">
        <v>359409.81900000002</v>
      </c>
    </row>
    <row r="8" spans="1:60" ht="3" customHeight="1" x14ac:dyDescent="0.2">
      <c r="A8" s="68" t="str">
        <f>IF(LEN(+'_DATA STT PAGOS_'!M13)=4,"0"&amp;+'_DATA STT PAGOS_'!M13,+'_DATA STT PAGOS_'!M13)</f>
        <v>01405</v>
      </c>
      <c r="B8" s="68" t="str">
        <f>IF(LEN(+'_DATA STT PAGOS_'!N13)=4,"0"&amp;+'_DATA STT PAGOS_'!N13,+'_DATA STT PAGOS_'!N13)</f>
        <v>01203</v>
      </c>
      <c r="C8" s="76" t="str">
        <f>+'_DATA STT PAGOS_'!O13</f>
        <v>PICA</v>
      </c>
      <c r="D8" s="80">
        <f>+'CALC MEC ESTAB Y ESTIM M FINAL'!U13</f>
        <v>4122585</v>
      </c>
      <c r="E8" s="77">
        <f>+'CALC MEC ESTAB Y ESTIM M FINAL'!Q13</f>
        <v>1.6808845946999999E-3</v>
      </c>
      <c r="F8" s="77">
        <f>+'CALC MEC ESTAB Y ESTIM M FINAL'!R13</f>
        <v>-2.2843216429999999E-4</v>
      </c>
      <c r="G8" s="80">
        <f>+'_Flujo con Glosa 08'!CE13</f>
        <v>173906</v>
      </c>
      <c r="H8" s="80">
        <f>+'_Flujo con Glosa 08'!CF13</f>
        <v>173906</v>
      </c>
      <c r="I8" s="80">
        <f>+'_Flujo con Glosa 08'!CG13</f>
        <v>181674</v>
      </c>
      <c r="J8" s="80">
        <f>+'_Flujo con Glosa 08'!CH13</f>
        <v>173906</v>
      </c>
      <c r="K8" s="80">
        <f>+'_Flujo con Glosa 08'!CI13</f>
        <v>605371</v>
      </c>
      <c r="L8" s="80">
        <f>+'_Flujo con Glosa 08'!CJ13</f>
        <v>179397</v>
      </c>
      <c r="M8" s="80">
        <f>+'_Flujo con Glosa 08'!CK13</f>
        <v>354967</v>
      </c>
      <c r="N8" s="80">
        <f>+'_Flujo con Glosa 08'!CL13</f>
        <v>173906</v>
      </c>
      <c r="O8" s="80">
        <f>+'_Flujo con Glosa 08'!CM13</f>
        <v>219213</v>
      </c>
      <c r="P8" s="80">
        <f>+'_Flujo con Glosa 08'!CN13</f>
        <v>381203</v>
      </c>
      <c r="Q8" s="80">
        <f>+'_Flujo con Glosa 08'!CO13</f>
        <v>173906</v>
      </c>
      <c r="R8" s="80">
        <f>+'_Flujo con Glosa 08'!CP13</f>
        <v>360452</v>
      </c>
      <c r="S8" s="80">
        <f t="shared" si="0"/>
        <v>3151807</v>
      </c>
      <c r="T8" s="80">
        <v>0</v>
      </c>
      <c r="U8" s="80">
        <v>0</v>
      </c>
      <c r="V8" s="80">
        <v>0</v>
      </c>
      <c r="W8" s="80">
        <v>0</v>
      </c>
      <c r="X8" s="80">
        <v>0</v>
      </c>
      <c r="Y8" s="80">
        <v>0</v>
      </c>
      <c r="Z8" s="80">
        <v>0</v>
      </c>
      <c r="AA8" s="80">
        <v>0</v>
      </c>
      <c r="AB8" s="80">
        <v>0</v>
      </c>
      <c r="AC8" s="80">
        <v>0</v>
      </c>
      <c r="AD8" s="80">
        <v>0</v>
      </c>
      <c r="AE8" s="80">
        <v>0</v>
      </c>
      <c r="AF8" s="80">
        <f t="shared" si="1"/>
        <v>0</v>
      </c>
      <c r="AG8" s="80">
        <f>+COEF_FCM!AM15</f>
        <v>153849</v>
      </c>
      <c r="AH8" s="80">
        <f>+COEF_FCM!AR15</f>
        <v>680</v>
      </c>
      <c r="AI8" s="80">
        <f>+COEF_FCM!AN15</f>
        <v>143721</v>
      </c>
      <c r="AJ8" s="80">
        <f>+COEF_FCM!AS15</f>
        <v>119</v>
      </c>
      <c r="AK8" s="80">
        <f>+COEF_FCM!AO15</f>
        <v>149155</v>
      </c>
      <c r="AL8" s="80">
        <f>+COEF_FCM!AT15</f>
        <v>393.34899999999999</v>
      </c>
      <c r="AM8" s="80">
        <f>+COEF_FCM!AP15</f>
        <v>148929</v>
      </c>
      <c r="AN8" s="80">
        <f>+COEF_FCM!AU15</f>
        <v>415</v>
      </c>
      <c r="AO8" s="80">
        <f>+COEF_FCM!AQ15</f>
        <v>595654</v>
      </c>
      <c r="AP8" s="80">
        <f>+COEF_FCM!AV15</f>
        <v>1607.3489999999999</v>
      </c>
      <c r="AQ8" s="80">
        <f>+_CIERRE!O8+_CIERRE!P8</f>
        <v>1890954.7220000001</v>
      </c>
      <c r="AR8" s="80">
        <f>+_CIERRE!Q8+_CIERRE!R8</f>
        <v>2210989.2999999998</v>
      </c>
      <c r="AS8" s="80">
        <f>+_CIERRE!S8+_CIERRE!T8</f>
        <v>2423232.9160000002</v>
      </c>
      <c r="AT8" s="80">
        <f>+_CIERRE!U8+_CIERRE!V8</f>
        <v>3581801.2829999998</v>
      </c>
      <c r="AU8" s="80">
        <f>+'CALC MEC ESTAB Y ESTIM M FINAL'!T13</f>
        <v>4122585</v>
      </c>
      <c r="AV8" s="560">
        <v>0</v>
      </c>
      <c r="AW8" s="551">
        <v>558434.34499999997</v>
      </c>
      <c r="AX8" s="551">
        <v>634297.20600000001</v>
      </c>
      <c r="AY8" s="551">
        <v>0</v>
      </c>
      <c r="AZ8" s="551">
        <v>324850.81</v>
      </c>
      <c r="BA8" s="551">
        <v>332051.07400000002</v>
      </c>
    </row>
    <row r="9" spans="1:60" ht="3" customHeight="1" x14ac:dyDescent="0.2">
      <c r="A9" s="68" t="str">
        <f>IF(LEN(+'_DATA STT PAGOS_'!M14)=4,"0"&amp;+'_DATA STT PAGOS_'!M14,+'_DATA STT PAGOS_'!M14)</f>
        <v>02101</v>
      </c>
      <c r="B9" s="68" t="str">
        <f>IF(LEN(+'_DATA STT PAGOS_'!N14)=4,"0"&amp;+'_DATA STT PAGOS_'!N14,+'_DATA STT PAGOS_'!N14)</f>
        <v>02201</v>
      </c>
      <c r="C9" s="76" t="str">
        <f>+'_DATA STT PAGOS_'!O14</f>
        <v>ANTOFAGASTA</v>
      </c>
      <c r="D9" s="80">
        <f>+'CALC MEC ESTAB Y ESTIM M FINAL'!U14</f>
        <v>21737560</v>
      </c>
      <c r="E9" s="77">
        <f>+'CALC MEC ESTAB Y ESTIM M FINAL'!Q14</f>
        <v>6.6030988963000003E-3</v>
      </c>
      <c r="F9" s="77">
        <f>+'CALC MEC ESTAB Y ESTIM M FINAL'!R14</f>
        <v>1.0553906822000001E-3</v>
      </c>
      <c r="G9" s="80">
        <f>+'_Flujo con Glosa 08'!CE14</f>
        <v>1052333</v>
      </c>
      <c r="H9" s="80">
        <f>+'_Flujo con Glosa 08'!CF14</f>
        <v>1052333</v>
      </c>
      <c r="I9" s="80">
        <f>+'_Flujo con Glosa 08'!CG14</f>
        <v>957929</v>
      </c>
      <c r="J9" s="80">
        <f>+'_Flujo con Glosa 08'!CH14</f>
        <v>1052333</v>
      </c>
      <c r="K9" s="80">
        <f>+'_Flujo con Glosa 08'!CI14</f>
        <v>2785915</v>
      </c>
      <c r="L9" s="80">
        <f>+'_Flujo con Glosa 08'!CJ14</f>
        <v>1081285</v>
      </c>
      <c r="M9" s="80">
        <f>+'_Flujo con Glosa 08'!CK14</f>
        <v>1767670</v>
      </c>
      <c r="N9" s="80">
        <f>+'_Flujo con Glosa 08'!CL14</f>
        <v>1052333</v>
      </c>
      <c r="O9" s="80">
        <f>+'_Flujo con Glosa 08'!CM14</f>
        <v>1155869</v>
      </c>
      <c r="P9" s="80">
        <f>+'_Flujo con Glosa 08'!CN14</f>
        <v>1843284</v>
      </c>
      <c r="Q9" s="80">
        <f>+'_Flujo con Glosa 08'!CO14</f>
        <v>1052333</v>
      </c>
      <c r="R9" s="80">
        <f>+'_Flujo con Glosa 08'!CP14</f>
        <v>1765229</v>
      </c>
      <c r="S9" s="80">
        <f t="shared" si="0"/>
        <v>16618846</v>
      </c>
      <c r="T9" s="80">
        <v>0</v>
      </c>
      <c r="U9" s="80">
        <v>0</v>
      </c>
      <c r="V9" s="80">
        <v>0</v>
      </c>
      <c r="W9" s="80">
        <v>0</v>
      </c>
      <c r="X9" s="80">
        <v>0</v>
      </c>
      <c r="Y9" s="80">
        <v>0</v>
      </c>
      <c r="Z9" s="80">
        <v>0</v>
      </c>
      <c r="AA9" s="80">
        <v>0</v>
      </c>
      <c r="AB9" s="80">
        <v>0</v>
      </c>
      <c r="AC9" s="80">
        <v>0</v>
      </c>
      <c r="AD9" s="80">
        <v>0</v>
      </c>
      <c r="AE9" s="80">
        <v>0</v>
      </c>
      <c r="AF9" s="80">
        <f t="shared" si="1"/>
        <v>0</v>
      </c>
      <c r="AG9" s="80">
        <f>+COEF_FCM!AM16</f>
        <v>3732884</v>
      </c>
      <c r="AH9" s="80">
        <f>+COEF_FCM!AR16</f>
        <v>347832</v>
      </c>
      <c r="AI9" s="80">
        <f>+COEF_FCM!AN16</f>
        <v>2425917</v>
      </c>
      <c r="AJ9" s="80">
        <f>+COEF_FCM!AS16</f>
        <v>144925</v>
      </c>
      <c r="AK9" s="80">
        <f>+COEF_FCM!AO16</f>
        <v>3215592</v>
      </c>
      <c r="AL9" s="80">
        <f>+COEF_FCM!AT16</f>
        <v>206993.25300000422</v>
      </c>
      <c r="AM9" s="80">
        <f>+COEF_FCM!AP16</f>
        <v>2775965</v>
      </c>
      <c r="AN9" s="80">
        <f>+COEF_FCM!AU16</f>
        <v>141352</v>
      </c>
      <c r="AO9" s="80">
        <f>+COEF_FCM!AQ16</f>
        <v>12150358</v>
      </c>
      <c r="AP9" s="80">
        <f>+COEF_FCM!AV16</f>
        <v>841102.25300000422</v>
      </c>
      <c r="AQ9" s="80">
        <f>+_CIERRE!O9+_CIERRE!P9</f>
        <v>11697376.751</v>
      </c>
      <c r="AR9" s="80">
        <f>+_CIERRE!Q9+_CIERRE!R9</f>
        <v>14411956.297</v>
      </c>
      <c r="AS9" s="80">
        <f>+_CIERRE!S9+_CIERRE!T9</f>
        <v>18468262.109999999</v>
      </c>
      <c r="AT9" s="80">
        <f>+_CIERRE!U9+_CIERRE!V9</f>
        <v>21737559.677000001</v>
      </c>
      <c r="AU9" s="80">
        <f>+'CALC MEC ESTAB Y ESTIM M FINAL'!T14</f>
        <v>21737560</v>
      </c>
      <c r="AV9" s="560">
        <v>0</v>
      </c>
      <c r="AW9" s="551">
        <v>2232609.6129999999</v>
      </c>
      <c r="AX9" s="551">
        <v>2140268.0320000001</v>
      </c>
      <c r="AY9" s="551">
        <v>0</v>
      </c>
      <c r="AZ9" s="551">
        <v>0</v>
      </c>
      <c r="BA9" s="551">
        <v>0</v>
      </c>
    </row>
    <row r="10" spans="1:60" ht="3" customHeight="1" x14ac:dyDescent="0.2">
      <c r="A10" s="68" t="str">
        <f>IF(LEN(+'_DATA STT PAGOS_'!M15)=4,"0"&amp;+'_DATA STT PAGOS_'!M15,+'_DATA STT PAGOS_'!M15)</f>
        <v>02102</v>
      </c>
      <c r="B10" s="68" t="str">
        <f>IF(LEN(+'_DATA STT PAGOS_'!N15)=4,"0"&amp;+'_DATA STT PAGOS_'!N15,+'_DATA STT PAGOS_'!N15)</f>
        <v>02203</v>
      </c>
      <c r="C10" s="76" t="str">
        <f>+'_DATA STT PAGOS_'!O15</f>
        <v>MEJILLONES</v>
      </c>
      <c r="D10" s="80">
        <f>+'CALC MEC ESTAB Y ESTIM M FINAL'!U15</f>
        <v>3052962</v>
      </c>
      <c r="E10" s="77">
        <f>+'CALC MEC ESTAB Y ESTIM M FINAL'!Q15</f>
        <v>1.1389251768E-3</v>
      </c>
      <c r="F10" s="77">
        <f>+'CALC MEC ESTAB Y ESTIM M FINAL'!R15</f>
        <v>-6.3317874299999996E-5</v>
      </c>
      <c r="G10" s="80">
        <f>+'_Flujo con Glosa 08'!CE15</f>
        <v>140877</v>
      </c>
      <c r="H10" s="80">
        <f>+'_Flujo con Glosa 08'!CF15</f>
        <v>140877</v>
      </c>
      <c r="I10" s="80">
        <f>+'_Flujo con Glosa 08'!CG15</f>
        <v>134538</v>
      </c>
      <c r="J10" s="80">
        <f>+'_Flujo con Glosa 08'!CH15</f>
        <v>140877</v>
      </c>
      <c r="K10" s="80">
        <f>+'_Flujo con Glosa 08'!CI15</f>
        <v>412029</v>
      </c>
      <c r="L10" s="80">
        <f>+'_Flujo con Glosa 08'!CJ15</f>
        <v>144943</v>
      </c>
      <c r="M10" s="80">
        <f>+'_Flujo con Glosa 08'!CK15</f>
        <v>250778</v>
      </c>
      <c r="N10" s="80">
        <f>+'_Flujo con Glosa 08'!CL15</f>
        <v>140877</v>
      </c>
      <c r="O10" s="80">
        <f>+'_Flujo con Glosa 08'!CM15</f>
        <v>162337</v>
      </c>
      <c r="P10" s="80">
        <f>+'_Flujo con Glosa 08'!CN15</f>
        <v>270206</v>
      </c>
      <c r="Q10" s="80">
        <f>+'_Flujo con Glosa 08'!CO15</f>
        <v>140877</v>
      </c>
      <c r="R10" s="80">
        <f>+'_Flujo con Glosa 08'!CP15</f>
        <v>254840</v>
      </c>
      <c r="S10" s="80">
        <f t="shared" si="0"/>
        <v>2334056</v>
      </c>
      <c r="T10" s="80">
        <v>0</v>
      </c>
      <c r="U10" s="80">
        <v>0</v>
      </c>
      <c r="V10" s="80">
        <v>0</v>
      </c>
      <c r="W10" s="80">
        <v>0</v>
      </c>
      <c r="X10" s="80">
        <v>0</v>
      </c>
      <c r="Y10" s="80">
        <v>0</v>
      </c>
      <c r="Z10" s="80">
        <v>0</v>
      </c>
      <c r="AA10" s="80">
        <v>0</v>
      </c>
      <c r="AB10" s="80">
        <v>0</v>
      </c>
      <c r="AC10" s="80">
        <v>0</v>
      </c>
      <c r="AD10" s="80">
        <v>0</v>
      </c>
      <c r="AE10" s="80">
        <v>0</v>
      </c>
      <c r="AF10" s="80">
        <f t="shared" si="1"/>
        <v>0</v>
      </c>
      <c r="AG10" s="80">
        <f>+COEF_FCM!AM17</f>
        <v>315267</v>
      </c>
      <c r="AH10" s="80">
        <f>+COEF_FCM!AR17</f>
        <v>3202</v>
      </c>
      <c r="AI10" s="80">
        <f>+COEF_FCM!AN17</f>
        <v>221306</v>
      </c>
      <c r="AJ10" s="80">
        <f>+COEF_FCM!AS17</f>
        <v>1463</v>
      </c>
      <c r="AK10" s="80">
        <f>+COEF_FCM!AO17</f>
        <v>320553</v>
      </c>
      <c r="AL10" s="80">
        <f>+COEF_FCM!AT17</f>
        <v>2420.5659999999998</v>
      </c>
      <c r="AM10" s="80">
        <f>+COEF_FCM!AP17</f>
        <v>257972</v>
      </c>
      <c r="AN10" s="80">
        <f>+COEF_FCM!AU17</f>
        <v>2037</v>
      </c>
      <c r="AO10" s="80">
        <f>+COEF_FCM!AQ17</f>
        <v>1115098</v>
      </c>
      <c r="AP10" s="80">
        <f>+COEF_FCM!AV17</f>
        <v>9122.5659999999989</v>
      </c>
      <c r="AQ10" s="80">
        <f>+_CIERRE!O10+_CIERRE!P10</f>
        <v>2038533.655</v>
      </c>
      <c r="AR10" s="80">
        <f>+_CIERRE!Q10+_CIERRE!R10</f>
        <v>2469721.4330000002</v>
      </c>
      <c r="AS10" s="80">
        <f>+_CIERRE!S10+_CIERRE!T10</f>
        <v>2759543.088</v>
      </c>
      <c r="AT10" s="80">
        <f>+_CIERRE!U10+_CIERRE!V10</f>
        <v>2903065.5240000002</v>
      </c>
      <c r="AU10" s="80">
        <f>+'CALC MEC ESTAB Y ESTIM M FINAL'!T15</f>
        <v>3052962</v>
      </c>
      <c r="AV10" s="560">
        <v>0</v>
      </c>
      <c r="AW10" s="551">
        <v>687009.18700000003</v>
      </c>
      <c r="AX10" s="551">
        <v>754508.35100000002</v>
      </c>
      <c r="AY10" s="551">
        <v>0</v>
      </c>
      <c r="AZ10" s="551">
        <v>352081.94500000001</v>
      </c>
      <c r="BA10" s="551">
        <v>362518.86200000002</v>
      </c>
    </row>
    <row r="11" spans="1:60" ht="3" customHeight="1" x14ac:dyDescent="0.2">
      <c r="A11" s="68" t="str">
        <f>IF(LEN(+'_DATA STT PAGOS_'!M16)=4,"0"&amp;+'_DATA STT PAGOS_'!M16,+'_DATA STT PAGOS_'!M16)</f>
        <v>02103</v>
      </c>
      <c r="B11" s="68" t="str">
        <f>IF(LEN(+'_DATA STT PAGOS_'!N16)=4,"0"&amp;+'_DATA STT PAGOS_'!N16,+'_DATA STT PAGOS_'!N16)</f>
        <v>02206</v>
      </c>
      <c r="C11" s="76" t="str">
        <f>+'_DATA STT PAGOS_'!O16</f>
        <v>SIERRA GORDA</v>
      </c>
      <c r="D11" s="80">
        <f>+'CALC MEC ESTAB Y ESTIM M FINAL'!U16</f>
        <v>2155530</v>
      </c>
      <c r="E11" s="77">
        <f>+'CALC MEC ESTAB Y ESTIM M FINAL'!Q16</f>
        <v>7.8373893989999992E-4</v>
      </c>
      <c r="F11" s="77">
        <f>+'CALC MEC ESTAB Y ESTIM M FINAL'!R16</f>
        <v>-2.4311211399999998E-5</v>
      </c>
      <c r="G11" s="80">
        <f>+'_Flujo con Glosa 08'!CE16</f>
        <v>101807</v>
      </c>
      <c r="H11" s="80">
        <f>+'_Flujo con Glosa 08'!CF16</f>
        <v>101807</v>
      </c>
      <c r="I11" s="80">
        <f>+'_Flujo con Glosa 08'!CG16</f>
        <v>94990</v>
      </c>
      <c r="J11" s="80">
        <f>+'_Flujo con Glosa 08'!CH16</f>
        <v>101807</v>
      </c>
      <c r="K11" s="80">
        <f>+'_Flujo con Glosa 08'!CI16</f>
        <v>283887</v>
      </c>
      <c r="L11" s="80">
        <f>+'_Flujo con Glosa 08'!CJ16</f>
        <v>104678</v>
      </c>
      <c r="M11" s="80">
        <f>+'_Flujo con Glosa 08'!CK16</f>
        <v>174719</v>
      </c>
      <c r="N11" s="80">
        <f>+'_Flujo con Glosa 08'!CL16</f>
        <v>101807</v>
      </c>
      <c r="O11" s="80">
        <f>+'_Flujo con Glosa 08'!CM16</f>
        <v>114618</v>
      </c>
      <c r="P11" s="80">
        <f>+'_Flujo con Glosa 08'!CN16</f>
        <v>188436</v>
      </c>
      <c r="Q11" s="80">
        <f>+'_Flujo con Glosa 08'!CO16</f>
        <v>101807</v>
      </c>
      <c r="R11" s="80">
        <f>+'_Flujo con Glosa 08'!CP16</f>
        <v>177587</v>
      </c>
      <c r="S11" s="80">
        <f t="shared" si="0"/>
        <v>1647950</v>
      </c>
      <c r="T11" s="80">
        <v>0</v>
      </c>
      <c r="U11" s="80">
        <v>0</v>
      </c>
      <c r="V11" s="80">
        <v>0</v>
      </c>
      <c r="W11" s="80">
        <v>0</v>
      </c>
      <c r="X11" s="80">
        <v>0</v>
      </c>
      <c r="Y11" s="80">
        <v>0</v>
      </c>
      <c r="Z11" s="80">
        <v>0</v>
      </c>
      <c r="AA11" s="80">
        <v>0</v>
      </c>
      <c r="AB11" s="80">
        <v>0</v>
      </c>
      <c r="AC11" s="80">
        <v>0</v>
      </c>
      <c r="AD11" s="80">
        <v>0</v>
      </c>
      <c r="AE11" s="80">
        <v>0</v>
      </c>
      <c r="AF11" s="80">
        <f t="shared" si="1"/>
        <v>0</v>
      </c>
      <c r="AG11" s="80">
        <f>+COEF_FCM!AM18</f>
        <v>335281</v>
      </c>
      <c r="AH11" s="80">
        <f>+COEF_FCM!AR18</f>
        <v>79</v>
      </c>
      <c r="AI11" s="80">
        <f>+COEF_FCM!AN18</f>
        <v>215371</v>
      </c>
      <c r="AJ11" s="80">
        <f>+COEF_FCM!AS18</f>
        <v>0</v>
      </c>
      <c r="AK11" s="80">
        <f>+COEF_FCM!AO18</f>
        <v>312271</v>
      </c>
      <c r="AL11" s="80">
        <f>+COEF_FCM!AT18</f>
        <v>0</v>
      </c>
      <c r="AM11" s="80">
        <f>+COEF_FCM!AP18</f>
        <v>60329</v>
      </c>
      <c r="AN11" s="80">
        <f>+COEF_FCM!AU18</f>
        <v>0</v>
      </c>
      <c r="AO11" s="80">
        <f>+COEF_FCM!AQ18</f>
        <v>923252</v>
      </c>
      <c r="AP11" s="80">
        <f>+COEF_FCM!AV18</f>
        <v>79</v>
      </c>
      <c r="AQ11" s="80">
        <f>+_CIERRE!O11+_CIERRE!P11</f>
        <v>1838722.6740000001</v>
      </c>
      <c r="AR11" s="80">
        <f>+_CIERRE!Q11+_CIERRE!R11</f>
        <v>1993508.7250000001</v>
      </c>
      <c r="AS11" s="80">
        <f>+_CIERRE!S11+_CIERRE!T11</f>
        <v>2061277.3870000001</v>
      </c>
      <c r="AT11" s="80">
        <f>+_CIERRE!U11+_CIERRE!V11</f>
        <v>2097976.4739999999</v>
      </c>
      <c r="AU11" s="80">
        <f>+'CALC MEC ESTAB Y ESTIM M FINAL'!T16</f>
        <v>2155530</v>
      </c>
      <c r="AV11" s="560">
        <v>0</v>
      </c>
      <c r="AW11" s="551">
        <v>844969.96100000001</v>
      </c>
      <c r="AX11" s="551">
        <v>850084.66599999997</v>
      </c>
      <c r="AY11" s="551">
        <v>0</v>
      </c>
      <c r="AZ11" s="551">
        <v>285998.95699999999</v>
      </c>
      <c r="BA11" s="551">
        <v>294620.76799999998</v>
      </c>
    </row>
    <row r="12" spans="1:60" ht="3" customHeight="1" x14ac:dyDescent="0.2">
      <c r="A12" s="68" t="str">
        <f>IF(LEN(+'_DATA STT PAGOS_'!M17)=4,"0"&amp;+'_DATA STT PAGOS_'!M17,+'_DATA STT PAGOS_'!M17)</f>
        <v>02104</v>
      </c>
      <c r="B12" s="68" t="str">
        <f>IF(LEN(+'_DATA STT PAGOS_'!N17)=4,"0"&amp;+'_DATA STT PAGOS_'!N17,+'_DATA STT PAGOS_'!N17)</f>
        <v>02202</v>
      </c>
      <c r="C12" s="76" t="str">
        <f>+'_DATA STT PAGOS_'!O17</f>
        <v>TALTAL</v>
      </c>
      <c r="D12" s="80">
        <f>+'CALC MEC ESTAB Y ESTIM M FINAL'!U17</f>
        <v>3165769</v>
      </c>
      <c r="E12" s="77">
        <f>+'CALC MEC ESTAB Y ESTIM M FINAL'!Q17</f>
        <v>1.1521052167999999E-3</v>
      </c>
      <c r="F12" s="77">
        <f>+'CALC MEC ESTAB Y ESTIM M FINAL'!R17</f>
        <v>-3.6754306900000002E-5</v>
      </c>
      <c r="G12" s="80">
        <f>+'_Flujo con Glosa 08'!CE17</f>
        <v>149277</v>
      </c>
      <c r="H12" s="80">
        <f>+'_Flujo con Glosa 08'!CF17</f>
        <v>149277</v>
      </c>
      <c r="I12" s="80">
        <f>+'_Flujo con Glosa 08'!CG17</f>
        <v>139509</v>
      </c>
      <c r="J12" s="80">
        <f>+'_Flujo con Glosa 08'!CH17</f>
        <v>149277</v>
      </c>
      <c r="K12" s="80">
        <f>+'_Flujo con Glosa 08'!CI17</f>
        <v>417671</v>
      </c>
      <c r="L12" s="80">
        <f>+'_Flujo con Glosa 08'!CJ17</f>
        <v>153494</v>
      </c>
      <c r="M12" s="80">
        <f>+'_Flujo con Glosa 08'!CK17</f>
        <v>256850</v>
      </c>
      <c r="N12" s="80">
        <f>+'_Flujo con Glosa 08'!CL17</f>
        <v>149277</v>
      </c>
      <c r="O12" s="80">
        <f>+'_Flujo con Glosa 08'!CM17</f>
        <v>168335</v>
      </c>
      <c r="P12" s="80">
        <f>+'_Flujo con Glosa 08'!CN17</f>
        <v>276996</v>
      </c>
      <c r="Q12" s="80">
        <f>+'_Flujo con Glosa 08'!CO17</f>
        <v>149277</v>
      </c>
      <c r="R12" s="80">
        <f>+'_Flujo con Glosa 08'!CP17</f>
        <v>261061</v>
      </c>
      <c r="S12" s="80">
        <f t="shared" si="0"/>
        <v>2420301</v>
      </c>
      <c r="T12" s="80">
        <v>0</v>
      </c>
      <c r="U12" s="80">
        <v>0</v>
      </c>
      <c r="V12" s="80">
        <v>0</v>
      </c>
      <c r="W12" s="80">
        <v>0</v>
      </c>
      <c r="X12" s="80">
        <v>0</v>
      </c>
      <c r="Y12" s="80">
        <v>0</v>
      </c>
      <c r="Z12" s="80">
        <v>0</v>
      </c>
      <c r="AA12" s="80">
        <v>0</v>
      </c>
      <c r="AB12" s="80">
        <v>0</v>
      </c>
      <c r="AC12" s="80">
        <v>0</v>
      </c>
      <c r="AD12" s="80">
        <v>0</v>
      </c>
      <c r="AE12" s="80">
        <v>0</v>
      </c>
      <c r="AF12" s="80">
        <f t="shared" si="1"/>
        <v>0</v>
      </c>
      <c r="AG12" s="80">
        <f>+COEF_FCM!AM19</f>
        <v>20100</v>
      </c>
      <c r="AH12" s="80">
        <f>+COEF_FCM!AR19</f>
        <v>0</v>
      </c>
      <c r="AI12" s="80">
        <f>+COEF_FCM!AN19</f>
        <v>16620</v>
      </c>
      <c r="AJ12" s="80">
        <f>+COEF_FCM!AS19</f>
        <v>0</v>
      </c>
      <c r="AK12" s="80">
        <f>+COEF_FCM!AO19</f>
        <v>22750</v>
      </c>
      <c r="AL12" s="80">
        <f>+COEF_FCM!AT19</f>
        <v>0</v>
      </c>
      <c r="AM12" s="80">
        <f>+COEF_FCM!AP19</f>
        <v>17558</v>
      </c>
      <c r="AN12" s="80">
        <f>+COEF_FCM!AU19</f>
        <v>0</v>
      </c>
      <c r="AO12" s="80">
        <f>+COEF_FCM!AQ19</f>
        <v>77028</v>
      </c>
      <c r="AP12" s="80">
        <f>+COEF_FCM!AV19</f>
        <v>0</v>
      </c>
      <c r="AQ12" s="80">
        <f>+_CIERRE!O12+_CIERRE!P12</f>
        <v>2225802.7609999999</v>
      </c>
      <c r="AR12" s="80">
        <f>+_CIERRE!Q12+_CIERRE!R12</f>
        <v>2509471.0860000001</v>
      </c>
      <c r="AS12" s="80">
        <f>+_CIERRE!S12+_CIERRE!T12</f>
        <v>2709399.5350000001</v>
      </c>
      <c r="AT12" s="80">
        <f>+_CIERRE!U12+_CIERRE!V12</f>
        <v>3078758.915</v>
      </c>
      <c r="AU12" s="80">
        <f>+'CALC MEC ESTAB Y ESTIM M FINAL'!T17</f>
        <v>3165769</v>
      </c>
      <c r="AV12" s="560">
        <v>0</v>
      </c>
      <c r="AW12" s="551">
        <v>841662.39899999998</v>
      </c>
      <c r="AX12" s="551">
        <v>902576.41099999996</v>
      </c>
      <c r="AY12" s="551">
        <v>0</v>
      </c>
      <c r="AZ12" s="551">
        <v>355055.69900000002</v>
      </c>
      <c r="BA12" s="551">
        <v>368481.446</v>
      </c>
    </row>
    <row r="13" spans="1:60" ht="3" customHeight="1" x14ac:dyDescent="0.2">
      <c r="A13" s="68" t="str">
        <f>IF(LEN(+'_DATA STT PAGOS_'!M18)=4,"0"&amp;+'_DATA STT PAGOS_'!M18,+'_DATA STT PAGOS_'!M18)</f>
        <v>02201</v>
      </c>
      <c r="B13" s="68" t="str">
        <f>IF(LEN(+'_DATA STT PAGOS_'!N18)=4,"0"&amp;+'_DATA STT PAGOS_'!N18,+'_DATA STT PAGOS_'!N18)</f>
        <v>02301</v>
      </c>
      <c r="C13" s="76" t="str">
        <f>+'_DATA STT PAGOS_'!O18</f>
        <v>CALAMA</v>
      </c>
      <c r="D13" s="80">
        <f>+'CALC MEC ESTAB Y ESTIM M FINAL'!U18</f>
        <v>14765849</v>
      </c>
      <c r="E13" s="77">
        <f>+'CALC MEC ESTAB Y ESTIM M FINAL'!Q18</f>
        <v>5.5304684913E-3</v>
      </c>
      <c r="F13" s="77">
        <f>+'CALC MEC ESTAB Y ESTIM M FINAL'!R18</f>
        <v>-3.282239021E-4</v>
      </c>
      <c r="G13" s="80">
        <f>+'_Flujo con Glosa 08'!CE18</f>
        <v>678006</v>
      </c>
      <c r="H13" s="80">
        <f>+'_Flujo con Glosa 08'!CF18</f>
        <v>678006</v>
      </c>
      <c r="I13" s="80">
        <f>+'_Flujo con Glosa 08'!CG18</f>
        <v>650700</v>
      </c>
      <c r="J13" s="80">
        <f>+'_Flujo con Glosa 08'!CH18</f>
        <v>678006</v>
      </c>
      <c r="K13" s="80">
        <f>+'_Flujo con Glosa 08'!CI18</f>
        <v>2002873</v>
      </c>
      <c r="L13" s="80">
        <f>+'_Flujo con Glosa 08'!CJ18</f>
        <v>697673</v>
      </c>
      <c r="M13" s="80">
        <f>+'_Flujo con Glosa 08'!CK18</f>
        <v>1216259</v>
      </c>
      <c r="N13" s="80">
        <f>+'_Flujo con Glosa 08'!CL18</f>
        <v>678006</v>
      </c>
      <c r="O13" s="80">
        <f>+'_Flujo con Glosa 08'!CM18</f>
        <v>785156</v>
      </c>
      <c r="P13" s="80">
        <f>+'_Flujo con Glosa 08'!CN18</f>
        <v>1310224</v>
      </c>
      <c r="Q13" s="80">
        <f>+'_Flujo con Glosa 08'!CO18</f>
        <v>678006</v>
      </c>
      <c r="R13" s="80">
        <f>+'_Flujo con Glosa 08'!CP18</f>
        <v>1235902</v>
      </c>
      <c r="S13" s="80">
        <f t="shared" si="0"/>
        <v>11288817</v>
      </c>
      <c r="T13" s="80">
        <v>0</v>
      </c>
      <c r="U13" s="80">
        <v>0</v>
      </c>
      <c r="V13" s="80">
        <v>0</v>
      </c>
      <c r="W13" s="80">
        <v>0</v>
      </c>
      <c r="X13" s="80">
        <v>0</v>
      </c>
      <c r="Y13" s="80">
        <v>0</v>
      </c>
      <c r="Z13" s="80">
        <v>0</v>
      </c>
      <c r="AA13" s="80">
        <v>0</v>
      </c>
      <c r="AB13" s="80">
        <v>0</v>
      </c>
      <c r="AC13" s="80">
        <v>0</v>
      </c>
      <c r="AD13" s="80">
        <v>0</v>
      </c>
      <c r="AE13" s="80">
        <v>0</v>
      </c>
      <c r="AF13" s="80">
        <f t="shared" si="1"/>
        <v>0</v>
      </c>
      <c r="AG13" s="80">
        <f>+COEF_FCM!AM20</f>
        <v>1318839</v>
      </c>
      <c r="AH13" s="80">
        <f>+COEF_FCM!AR20</f>
        <v>181961</v>
      </c>
      <c r="AI13" s="80">
        <f>+COEF_FCM!AN20</f>
        <v>987712</v>
      </c>
      <c r="AJ13" s="80">
        <f>+COEF_FCM!AS20</f>
        <v>74244</v>
      </c>
      <c r="AK13" s="80">
        <f>+COEF_FCM!AO20</f>
        <v>1107812</v>
      </c>
      <c r="AL13" s="80">
        <f>+COEF_FCM!AT20</f>
        <v>99250.21</v>
      </c>
      <c r="AM13" s="80">
        <f>+COEF_FCM!AP20</f>
        <v>988117</v>
      </c>
      <c r="AN13" s="80">
        <f>+COEF_FCM!AU20</f>
        <v>70626</v>
      </c>
      <c r="AO13" s="80">
        <f>+COEF_FCM!AQ20</f>
        <v>4402480</v>
      </c>
      <c r="AP13" s="80">
        <f>+COEF_FCM!AV20</f>
        <v>426081.21</v>
      </c>
      <c r="AQ13" s="80">
        <f>+_CIERRE!O13+_CIERRE!P13</f>
        <v>7561923.6260000002</v>
      </c>
      <c r="AR13" s="80">
        <f>+_CIERRE!Q13+_CIERRE!R13</f>
        <v>10418693.447000001</v>
      </c>
      <c r="AS13" s="80">
        <f>+_CIERRE!S13+_CIERRE!T13</f>
        <v>11951375.767999999</v>
      </c>
      <c r="AT13" s="80">
        <f>+_CIERRE!U13+_CIERRE!V13</f>
        <v>13988822.637</v>
      </c>
      <c r="AU13" s="80">
        <f>+'CALC MEC ESTAB Y ESTIM M FINAL'!T18</f>
        <v>14765849</v>
      </c>
      <c r="AV13" s="560">
        <v>0</v>
      </c>
      <c r="AW13" s="551">
        <v>5064982.2429999998</v>
      </c>
      <c r="AX13" s="551">
        <v>4525483.4330000002</v>
      </c>
      <c r="AY13" s="551">
        <v>0</v>
      </c>
      <c r="AZ13" s="551">
        <v>0</v>
      </c>
      <c r="BA13" s="551">
        <v>0</v>
      </c>
    </row>
    <row r="14" spans="1:60" ht="3" customHeight="1" x14ac:dyDescent="0.2">
      <c r="A14" s="68" t="str">
        <f>IF(LEN(+'_DATA STT PAGOS_'!M19)=4,"0"&amp;+'_DATA STT PAGOS_'!M19,+'_DATA STT PAGOS_'!M19)</f>
        <v>02202</v>
      </c>
      <c r="B14" s="68" t="str">
        <f>IF(LEN(+'_DATA STT PAGOS_'!N19)=4,"0"&amp;+'_DATA STT PAGOS_'!N19,+'_DATA STT PAGOS_'!N19)</f>
        <v>02302</v>
      </c>
      <c r="C14" s="76" t="str">
        <f>+'_DATA STT PAGOS_'!O19</f>
        <v>OLLAGÜE</v>
      </c>
      <c r="D14" s="80">
        <f>+'CALC MEC ESTAB Y ESTIM M FINAL'!U19</f>
        <v>2189058</v>
      </c>
      <c r="E14" s="77">
        <f>+'CALC MEC ESTAB Y ESTIM M FINAL'!Q19</f>
        <v>7.3792099869999996E-4</v>
      </c>
      <c r="F14" s="77">
        <f>+'CALC MEC ESTAB Y ESTIM M FINAL'!R19</f>
        <v>3.3319226199999999E-5</v>
      </c>
      <c r="G14" s="80">
        <f>+'_Flujo con Glosa 08'!CE19</f>
        <v>106198</v>
      </c>
      <c r="H14" s="80">
        <f>+'_Flujo con Glosa 08'!CF19</f>
        <v>106198</v>
      </c>
      <c r="I14" s="80">
        <f>+'_Flujo con Glosa 08'!CG19</f>
        <v>96467</v>
      </c>
      <c r="J14" s="80">
        <f>+'_Flujo con Glosa 08'!CH19</f>
        <v>106198</v>
      </c>
      <c r="K14" s="80">
        <f>+'_Flujo con Glosa 08'!CI19</f>
        <v>279881</v>
      </c>
      <c r="L14" s="80">
        <f>+'_Flujo con Glosa 08'!CJ19</f>
        <v>109114</v>
      </c>
      <c r="M14" s="80">
        <f>+'_Flujo con Glosa 08'!CK19</f>
        <v>178351</v>
      </c>
      <c r="N14" s="80">
        <f>+'_Flujo con Glosa 08'!CL19</f>
        <v>106198</v>
      </c>
      <c r="O14" s="80">
        <f>+'_Flujo con Glosa 08'!CM19</f>
        <v>116401</v>
      </c>
      <c r="P14" s="80">
        <f>+'_Flujo con Glosa 08'!CN19</f>
        <v>184838</v>
      </c>
      <c r="Q14" s="80">
        <f>+'_Flujo con Glosa 08'!CO19</f>
        <v>106198</v>
      </c>
      <c r="R14" s="80">
        <f>+'_Flujo con Glosa 08'!CP19</f>
        <v>177542</v>
      </c>
      <c r="S14" s="80">
        <f t="shared" si="0"/>
        <v>1673584</v>
      </c>
      <c r="T14" s="80">
        <v>0</v>
      </c>
      <c r="U14" s="80">
        <v>0</v>
      </c>
      <c r="V14" s="80">
        <v>0</v>
      </c>
      <c r="W14" s="80">
        <v>0</v>
      </c>
      <c r="X14" s="80">
        <v>0</v>
      </c>
      <c r="Y14" s="80">
        <v>0</v>
      </c>
      <c r="Z14" s="80">
        <v>0</v>
      </c>
      <c r="AA14" s="80">
        <v>0</v>
      </c>
      <c r="AB14" s="80">
        <v>0</v>
      </c>
      <c r="AC14" s="80">
        <v>0</v>
      </c>
      <c r="AD14" s="80">
        <v>0</v>
      </c>
      <c r="AE14" s="80">
        <v>0</v>
      </c>
      <c r="AF14" s="80">
        <f t="shared" si="1"/>
        <v>0</v>
      </c>
      <c r="AG14" s="80">
        <f>+COEF_FCM!AM21</f>
        <v>2480</v>
      </c>
      <c r="AH14" s="80">
        <f>+COEF_FCM!AR21</f>
        <v>0</v>
      </c>
      <c r="AI14" s="80">
        <f>+COEF_FCM!AN21</f>
        <v>1431</v>
      </c>
      <c r="AJ14" s="80">
        <f>+COEF_FCM!AS21</f>
        <v>0</v>
      </c>
      <c r="AK14" s="80">
        <f>+COEF_FCM!AO21</f>
        <v>2527</v>
      </c>
      <c r="AL14" s="80">
        <f>+COEF_FCM!AT21</f>
        <v>0</v>
      </c>
      <c r="AM14" s="80">
        <f>+COEF_FCM!AP21</f>
        <v>1458</v>
      </c>
      <c r="AN14" s="80">
        <f>+COEF_FCM!AU21</f>
        <v>0</v>
      </c>
      <c r="AO14" s="80">
        <f>+COEF_FCM!AQ21</f>
        <v>7896</v>
      </c>
      <c r="AP14" s="80">
        <f>+COEF_FCM!AV21</f>
        <v>0</v>
      </c>
      <c r="AQ14" s="80">
        <f>+_CIERRE!O14+_CIERRE!P14</f>
        <v>1934611.4129999999</v>
      </c>
      <c r="AR14" s="80">
        <f>+_CIERRE!Q14+_CIERRE!R14</f>
        <v>2097468.3930000002</v>
      </c>
      <c r="AS14" s="80">
        <f>+_CIERRE!S14+_CIERRE!T14</f>
        <v>2168769.9679999999</v>
      </c>
      <c r="AT14" s="80">
        <f>+_CIERRE!U14+_CIERRE!V14</f>
        <v>2189057.6719999998</v>
      </c>
      <c r="AU14" s="80">
        <f>+'CALC MEC ESTAB Y ESTIM M FINAL'!T19</f>
        <v>2189058</v>
      </c>
      <c r="AV14" s="560">
        <v>0</v>
      </c>
      <c r="AW14" s="551">
        <v>0</v>
      </c>
      <c r="AX14" s="551">
        <v>513692.05599999998</v>
      </c>
      <c r="AY14" s="551">
        <v>0</v>
      </c>
      <c r="AZ14" s="551">
        <v>278267.18400000001</v>
      </c>
      <c r="BA14" s="551">
        <v>286878.01</v>
      </c>
    </row>
    <row r="15" spans="1:60" ht="3" customHeight="1" x14ac:dyDescent="0.2">
      <c r="A15" s="68" t="str">
        <f>IF(LEN(+'_DATA STT PAGOS_'!M20)=4,"0"&amp;+'_DATA STT PAGOS_'!M20,+'_DATA STT PAGOS_'!M20)</f>
        <v>02203</v>
      </c>
      <c r="B15" s="68" t="str">
        <f>IF(LEN(+'_DATA STT PAGOS_'!N20)=4,"0"&amp;+'_DATA STT PAGOS_'!N20,+'_DATA STT PAGOS_'!N20)</f>
        <v>02303</v>
      </c>
      <c r="C15" s="76" t="str">
        <f>+'_DATA STT PAGOS_'!O20</f>
        <v>SAN PEDRO DE ATACAMA</v>
      </c>
      <c r="D15" s="80">
        <f>+'CALC MEC ESTAB Y ESTIM M FINAL'!U20</f>
        <v>7737829</v>
      </c>
      <c r="E15" s="77">
        <f>+'CALC MEC ESTAB Y ESTIM M FINAL'!Q20</f>
        <v>2.257144319E-3</v>
      </c>
      <c r="F15" s="77">
        <f>+'CALC MEC ESTAB Y ESTIM M FINAL'!R20</f>
        <v>4.6901641119999999E-4</v>
      </c>
      <c r="G15" s="80">
        <f>+'_Flujo con Glosa 08'!CE20</f>
        <v>375629</v>
      </c>
      <c r="H15" s="80">
        <f>+'_Flujo con Glosa 08'!CF20</f>
        <v>375629</v>
      </c>
      <c r="I15" s="80">
        <f>+'_Flujo con Glosa 08'!CG20</f>
        <v>340990</v>
      </c>
      <c r="J15" s="80">
        <f>+'_Flujo con Glosa 08'!CH20</f>
        <v>375629</v>
      </c>
      <c r="K15" s="80">
        <f>+'_Flujo con Glosa 08'!CI20</f>
        <v>988587</v>
      </c>
      <c r="L15" s="80">
        <f>+'_Flujo con Glosa 08'!CJ20</f>
        <v>385935</v>
      </c>
      <c r="M15" s="80">
        <f>+'_Flujo con Glosa 08'!CK20</f>
        <v>630801</v>
      </c>
      <c r="N15" s="80">
        <f>+'_Flujo con Glosa 08'!CL20</f>
        <v>375629</v>
      </c>
      <c r="O15" s="80">
        <f>+'_Flujo con Glosa 08'!CM20</f>
        <v>411450</v>
      </c>
      <c r="P15" s="80">
        <f>+'_Flujo con Glosa 08'!CN20</f>
        <v>652506</v>
      </c>
      <c r="Q15" s="80">
        <f>+'_Flujo con Glosa 08'!CO20</f>
        <v>375629</v>
      </c>
      <c r="R15" s="80">
        <f>+'_Flujo con Glosa 08'!CP20</f>
        <v>627327</v>
      </c>
      <c r="S15" s="80">
        <f t="shared" si="0"/>
        <v>5915741</v>
      </c>
      <c r="T15" s="80">
        <v>0</v>
      </c>
      <c r="U15" s="80">
        <v>0</v>
      </c>
      <c r="V15" s="80">
        <v>0</v>
      </c>
      <c r="W15" s="80">
        <v>0</v>
      </c>
      <c r="X15" s="80">
        <v>0</v>
      </c>
      <c r="Y15" s="80">
        <v>0</v>
      </c>
      <c r="Z15" s="80">
        <v>0</v>
      </c>
      <c r="AA15" s="80">
        <v>0</v>
      </c>
      <c r="AB15" s="80">
        <v>0</v>
      </c>
      <c r="AC15" s="80">
        <v>0</v>
      </c>
      <c r="AD15" s="80">
        <v>0</v>
      </c>
      <c r="AE15" s="80">
        <v>0</v>
      </c>
      <c r="AF15" s="80">
        <f t="shared" si="1"/>
        <v>0</v>
      </c>
      <c r="AG15" s="80">
        <f>+COEF_FCM!AM22</f>
        <v>63436</v>
      </c>
      <c r="AH15" s="80">
        <f>+COEF_FCM!AR22</f>
        <v>0</v>
      </c>
      <c r="AI15" s="80">
        <f>+COEF_FCM!AN22</f>
        <v>58329</v>
      </c>
      <c r="AJ15" s="80">
        <f>+COEF_FCM!AS22</f>
        <v>0</v>
      </c>
      <c r="AK15" s="80">
        <f>+COEF_FCM!AO22</f>
        <v>59680</v>
      </c>
      <c r="AL15" s="80">
        <f>+COEF_FCM!AT22</f>
        <v>0</v>
      </c>
      <c r="AM15" s="80">
        <f>+COEF_FCM!AP22</f>
        <v>58437</v>
      </c>
      <c r="AN15" s="80">
        <f>+COEF_FCM!AU22</f>
        <v>0</v>
      </c>
      <c r="AO15" s="80">
        <f>+COEF_FCM!AQ22</f>
        <v>239882</v>
      </c>
      <c r="AP15" s="80">
        <f>+COEF_FCM!AV22</f>
        <v>0</v>
      </c>
      <c r="AQ15" s="80">
        <f>+_CIERRE!O15+_CIERRE!P15</f>
        <v>5961449.71</v>
      </c>
      <c r="AR15" s="80">
        <f>+_CIERRE!Q15+_CIERRE!R15</f>
        <v>6463290.4390000002</v>
      </c>
      <c r="AS15" s="80">
        <f>+_CIERRE!S15+_CIERRE!T15</f>
        <v>6683005.2939999998</v>
      </c>
      <c r="AT15" s="80">
        <f>+_CIERRE!U15+_CIERRE!V15</f>
        <v>7737828.6370000001</v>
      </c>
      <c r="AU15" s="80">
        <f>+'CALC MEC ESTAB Y ESTIM M FINAL'!T20</f>
        <v>7737829</v>
      </c>
      <c r="AV15" s="560">
        <v>0</v>
      </c>
      <c r="AW15" s="551">
        <v>566874.95499999996</v>
      </c>
      <c r="AX15" s="551">
        <v>576381.09199999995</v>
      </c>
      <c r="AY15" s="551">
        <v>0</v>
      </c>
      <c r="AZ15" s="551">
        <v>351406.478</v>
      </c>
      <c r="BA15" s="551">
        <v>360441.35700000002</v>
      </c>
    </row>
    <row r="16" spans="1:60" ht="3" customHeight="1" x14ac:dyDescent="0.2">
      <c r="A16" s="68" t="str">
        <f>IF(LEN(+'_DATA STT PAGOS_'!M21)=4,"0"&amp;+'_DATA STT PAGOS_'!M21,+'_DATA STT PAGOS_'!M21)</f>
        <v>02301</v>
      </c>
      <c r="B16" s="68" t="str">
        <f>IF(LEN(+'_DATA STT PAGOS_'!N21)=4,"0"&amp;+'_DATA STT PAGOS_'!N21,+'_DATA STT PAGOS_'!N21)</f>
        <v>02101</v>
      </c>
      <c r="C16" s="76" t="str">
        <f>+'_DATA STT PAGOS_'!O21</f>
        <v>TOCOPILLA</v>
      </c>
      <c r="D16" s="80">
        <f>+'CALC MEC ESTAB Y ESTIM M FINAL'!U21</f>
        <v>6699774</v>
      </c>
      <c r="E16" s="77">
        <f>+'CALC MEC ESTAB Y ESTIM M FINAL'!Q21</f>
        <v>2.5825681232E-3</v>
      </c>
      <c r="F16" s="77">
        <f>+'CALC MEC ESTAB Y ESTIM M FINAL'!R21</f>
        <v>-2.2213064079999999E-4</v>
      </c>
      <c r="G16" s="80">
        <f>+'_Flujo con Glosa 08'!CE21</f>
        <v>299190</v>
      </c>
      <c r="H16" s="80">
        <f>+'_Flujo con Glosa 08'!CF21</f>
        <v>299190</v>
      </c>
      <c r="I16" s="80">
        <f>+'_Flujo con Glosa 08'!CG21</f>
        <v>295245</v>
      </c>
      <c r="J16" s="80">
        <f>+'_Flujo con Glosa 08'!CH21</f>
        <v>299190</v>
      </c>
      <c r="K16" s="80">
        <f>+'_Flujo con Glosa 08'!CI21</f>
        <v>934106</v>
      </c>
      <c r="L16" s="80">
        <f>+'_Flujo con Glosa 08'!CJ21</f>
        <v>308113</v>
      </c>
      <c r="M16" s="80">
        <f>+'_Flujo con Glosa 08'!CK21</f>
        <v>560304</v>
      </c>
      <c r="N16" s="80">
        <f>+'_Flujo con Glosa 08'!CL21</f>
        <v>299190</v>
      </c>
      <c r="O16" s="80">
        <f>+'_Flujo con Glosa 08'!CM21</f>
        <v>356253</v>
      </c>
      <c r="P16" s="80">
        <f>+'_Flujo con Glosa 08'!CN21</f>
        <v>602939</v>
      </c>
      <c r="Q16" s="80">
        <f>+'_Flujo con Glosa 08'!CO21</f>
        <v>299190</v>
      </c>
      <c r="R16" s="80">
        <f>+'_Flujo con Glosa 08'!CP21</f>
        <v>569217</v>
      </c>
      <c r="S16" s="80">
        <f t="shared" si="0"/>
        <v>5122127</v>
      </c>
      <c r="T16" s="80">
        <v>0</v>
      </c>
      <c r="U16" s="80">
        <v>0</v>
      </c>
      <c r="V16" s="80">
        <v>0</v>
      </c>
      <c r="W16" s="80">
        <v>0</v>
      </c>
      <c r="X16" s="80">
        <v>0</v>
      </c>
      <c r="Y16" s="80">
        <v>0</v>
      </c>
      <c r="Z16" s="80">
        <v>0</v>
      </c>
      <c r="AA16" s="80">
        <v>0</v>
      </c>
      <c r="AB16" s="80">
        <v>0</v>
      </c>
      <c r="AC16" s="80">
        <v>0</v>
      </c>
      <c r="AD16" s="80">
        <v>0</v>
      </c>
      <c r="AE16" s="80">
        <v>0</v>
      </c>
      <c r="AF16" s="80">
        <f t="shared" si="1"/>
        <v>0</v>
      </c>
      <c r="AG16" s="80">
        <f>+COEF_FCM!AM23</f>
        <v>91671</v>
      </c>
      <c r="AH16" s="80">
        <f>+COEF_FCM!AR23</f>
        <v>2843</v>
      </c>
      <c r="AI16" s="80">
        <f>+COEF_FCM!AN23</f>
        <v>82882</v>
      </c>
      <c r="AJ16" s="80">
        <f>+COEF_FCM!AS23</f>
        <v>1079</v>
      </c>
      <c r="AK16" s="80">
        <f>+COEF_FCM!AO23</f>
        <v>80228</v>
      </c>
      <c r="AL16" s="80">
        <f>+COEF_FCM!AT23</f>
        <v>1476.241</v>
      </c>
      <c r="AM16" s="80">
        <f>+COEF_FCM!AP23</f>
        <v>79785</v>
      </c>
      <c r="AN16" s="80">
        <f>+COEF_FCM!AU23</f>
        <v>1357</v>
      </c>
      <c r="AO16" s="80">
        <f>+COEF_FCM!AQ23</f>
        <v>334566</v>
      </c>
      <c r="AP16" s="80">
        <f>+COEF_FCM!AV23</f>
        <v>6755.241</v>
      </c>
      <c r="AQ16" s="80">
        <f>+_CIERRE!O16+_CIERRE!P16</f>
        <v>4246753.9189999998</v>
      </c>
      <c r="AR16" s="80">
        <f>+_CIERRE!Q16+_CIERRE!R16</f>
        <v>4956290.2340000002</v>
      </c>
      <c r="AS16" s="80">
        <f>+_CIERRE!S16+_CIERRE!T16</f>
        <v>5676553.6600000001</v>
      </c>
      <c r="AT16" s="80">
        <f>+_CIERRE!U16+_CIERRE!V16</f>
        <v>6173909.557</v>
      </c>
      <c r="AU16" s="80">
        <f>+'CALC MEC ESTAB Y ESTIM M FINAL'!T21</f>
        <v>6699774</v>
      </c>
      <c r="AV16" s="560">
        <v>0</v>
      </c>
      <c r="AW16" s="551">
        <v>842855.23300000001</v>
      </c>
      <c r="AX16" s="551">
        <v>858972.90899999999</v>
      </c>
      <c r="AY16" s="551">
        <v>0</v>
      </c>
      <c r="AZ16" s="551">
        <v>449236.60700000002</v>
      </c>
      <c r="BA16" s="551">
        <v>461277.77799999999</v>
      </c>
    </row>
    <row r="17" spans="1:53" ht="3" customHeight="1" x14ac:dyDescent="0.2">
      <c r="A17" s="68" t="str">
        <f>IF(LEN(+'_DATA STT PAGOS_'!M22)=4,"0"&amp;+'_DATA STT PAGOS_'!M22,+'_DATA STT PAGOS_'!M22)</f>
        <v>02302</v>
      </c>
      <c r="B17" s="68" t="str">
        <f>IF(LEN(+'_DATA STT PAGOS_'!N22)=4,"0"&amp;+'_DATA STT PAGOS_'!N22,+'_DATA STT PAGOS_'!N22)</f>
        <v>02103</v>
      </c>
      <c r="C17" s="76" t="str">
        <f>+'_DATA STT PAGOS_'!O22</f>
        <v>MARÍA ELENA</v>
      </c>
      <c r="D17" s="80">
        <f>+'CALC MEC ESTAB Y ESTIM M FINAL'!U22</f>
        <v>2125511</v>
      </c>
      <c r="E17" s="77">
        <f>+'CALC MEC ESTAB Y ESTIM M FINAL'!Q22</f>
        <v>7.8278413350000003E-4</v>
      </c>
      <c r="F17" s="77">
        <f>+'CALC MEC ESTAB Y ESTIM M FINAL'!R22</f>
        <v>-3.3932608299999998E-5</v>
      </c>
      <c r="G17" s="80">
        <f>+'_Flujo con Glosa 08'!CE22</f>
        <v>99311</v>
      </c>
      <c r="H17" s="80">
        <f>+'_Flujo con Glosa 08'!CF22</f>
        <v>99311</v>
      </c>
      <c r="I17" s="80">
        <f>+'_Flujo con Glosa 08'!CG22</f>
        <v>93667</v>
      </c>
      <c r="J17" s="80">
        <f>+'_Flujo con Glosa 08'!CH22</f>
        <v>99311</v>
      </c>
      <c r="K17" s="80">
        <f>+'_Flujo con Glosa 08'!CI22</f>
        <v>283169</v>
      </c>
      <c r="L17" s="80">
        <f>+'_Flujo con Glosa 08'!CJ22</f>
        <v>102142</v>
      </c>
      <c r="M17" s="80">
        <f>+'_Flujo con Glosa 08'!CK22</f>
        <v>173364</v>
      </c>
      <c r="N17" s="80">
        <f>+'_Flujo con Glosa 08'!CL22</f>
        <v>99311</v>
      </c>
      <c r="O17" s="80">
        <f>+'_Flujo con Glosa 08'!CM22</f>
        <v>113022</v>
      </c>
      <c r="P17" s="80">
        <f>+'_Flujo con Glosa 08'!CN22</f>
        <v>186890</v>
      </c>
      <c r="Q17" s="80">
        <f>+'_Flujo con Glosa 08'!CO22</f>
        <v>99311</v>
      </c>
      <c r="R17" s="80">
        <f>+'_Flujo con Glosa 08'!CP22</f>
        <v>176192</v>
      </c>
      <c r="S17" s="80">
        <f t="shared" si="0"/>
        <v>1625001</v>
      </c>
      <c r="T17" s="80">
        <v>0</v>
      </c>
      <c r="U17" s="80">
        <v>0</v>
      </c>
      <c r="V17" s="80">
        <v>0</v>
      </c>
      <c r="W17" s="80">
        <v>0</v>
      </c>
      <c r="X17" s="80">
        <v>0</v>
      </c>
      <c r="Y17" s="80">
        <v>0</v>
      </c>
      <c r="Z17" s="80">
        <v>0</v>
      </c>
      <c r="AA17" s="80">
        <v>0</v>
      </c>
      <c r="AB17" s="80">
        <v>0</v>
      </c>
      <c r="AC17" s="80">
        <v>0</v>
      </c>
      <c r="AD17" s="80">
        <v>0</v>
      </c>
      <c r="AE17" s="80">
        <v>0</v>
      </c>
      <c r="AF17" s="80">
        <f t="shared" si="1"/>
        <v>0</v>
      </c>
      <c r="AG17" s="80">
        <f>+COEF_FCM!AM24</f>
        <v>142056</v>
      </c>
      <c r="AH17" s="80">
        <f>+COEF_FCM!AR24</f>
        <v>0</v>
      </c>
      <c r="AI17" s="80">
        <f>+COEF_FCM!AN24</f>
        <v>71245</v>
      </c>
      <c r="AJ17" s="80">
        <f>+COEF_FCM!AS24</f>
        <v>0</v>
      </c>
      <c r="AK17" s="80">
        <f>+COEF_FCM!AO24</f>
        <v>157442</v>
      </c>
      <c r="AL17" s="80">
        <f>+COEF_FCM!AT24</f>
        <v>0</v>
      </c>
      <c r="AM17" s="80">
        <f>+COEF_FCM!AP24</f>
        <v>99829</v>
      </c>
      <c r="AN17" s="80">
        <f>+COEF_FCM!AU24</f>
        <v>0</v>
      </c>
      <c r="AO17" s="80">
        <f>+COEF_FCM!AQ24</f>
        <v>470572</v>
      </c>
      <c r="AP17" s="80">
        <f>+COEF_FCM!AV24</f>
        <v>0</v>
      </c>
      <c r="AQ17" s="80">
        <f>+_CIERRE!O17+_CIERRE!P17</f>
        <v>1496046.2579999999</v>
      </c>
      <c r="AR17" s="80">
        <f>+_CIERRE!Q17+_CIERRE!R17</f>
        <v>1792568.044</v>
      </c>
      <c r="AS17" s="80">
        <f>+_CIERRE!S17+_CIERRE!T17</f>
        <v>1974218.2339999999</v>
      </c>
      <c r="AT17" s="80">
        <f>+_CIERRE!U17+_CIERRE!V17</f>
        <v>2045180.247</v>
      </c>
      <c r="AU17" s="80">
        <f>+'CALC MEC ESTAB Y ESTIM M FINAL'!T22</f>
        <v>2125511</v>
      </c>
      <c r="AV17" s="560">
        <v>0</v>
      </c>
      <c r="AW17" s="551">
        <v>579616.33200000005</v>
      </c>
      <c r="AX17" s="551">
        <v>586985.13800000004</v>
      </c>
      <c r="AY17" s="551">
        <v>0</v>
      </c>
      <c r="AZ17" s="551">
        <v>288667.98800000001</v>
      </c>
      <c r="BA17" s="551">
        <v>297058.30900000001</v>
      </c>
    </row>
    <row r="18" spans="1:53" ht="3" customHeight="1" x14ac:dyDescent="0.2">
      <c r="A18" s="68" t="str">
        <f>IF(LEN(+'_DATA STT PAGOS_'!M23)=4,"0"&amp;+'_DATA STT PAGOS_'!M23,+'_DATA STT PAGOS_'!M23)</f>
        <v>03101</v>
      </c>
      <c r="B18" s="68" t="str">
        <f>IF(LEN(+'_DATA STT PAGOS_'!N23)=4,"0"&amp;+'_DATA STT PAGOS_'!N23,+'_DATA STT PAGOS_'!N23)</f>
        <v>03201</v>
      </c>
      <c r="C18" s="76" t="str">
        <f>+'_DATA STT PAGOS_'!O23</f>
        <v>COPIAPÓ</v>
      </c>
      <c r="D18" s="80">
        <f>+'CALC MEC ESTAB Y ESTIM M FINAL'!U23</f>
        <v>16633221</v>
      </c>
      <c r="E18" s="77">
        <f>+'CALC MEC ESTAB Y ESTIM M FINAL'!Q23</f>
        <v>4.7529314079000004E-3</v>
      </c>
      <c r="F18" s="77">
        <f>+'CALC MEC ESTAB Y ESTIM M FINAL'!R23</f>
        <v>1.1072181233000001E-3</v>
      </c>
      <c r="G18" s="80">
        <f>+'_Flujo con Glosa 08'!CE23</f>
        <v>806813</v>
      </c>
      <c r="H18" s="80">
        <f>+'_Flujo con Glosa 08'!CF23</f>
        <v>806813</v>
      </c>
      <c r="I18" s="80">
        <f>+'_Flujo con Glosa 08'!CG23</f>
        <v>732992</v>
      </c>
      <c r="J18" s="80">
        <f>+'_Flujo con Glosa 08'!CH23</f>
        <v>806813</v>
      </c>
      <c r="K18" s="80">
        <f>+'_Flujo con Glosa 08'!CI23</f>
        <v>2126980</v>
      </c>
      <c r="L18" s="80">
        <f>+'_Flujo con Glosa 08'!CJ23</f>
        <v>828967</v>
      </c>
      <c r="M18" s="80">
        <f>+'_Flujo con Glosa 08'!CK23</f>
        <v>1354999</v>
      </c>
      <c r="N18" s="80">
        <f>+'_Flujo con Glosa 08'!CL23</f>
        <v>806813</v>
      </c>
      <c r="O18" s="80">
        <f>+'_Flujo con Glosa 08'!CM23</f>
        <v>884451</v>
      </c>
      <c r="P18" s="80">
        <f>+'_Flujo con Glosa 08'!CN23</f>
        <v>1404874</v>
      </c>
      <c r="Q18" s="80">
        <f>+'_Flujo con Glosa 08'!CO23</f>
        <v>806813</v>
      </c>
      <c r="R18" s="80">
        <f>+'_Flujo con Glosa 08'!CP23</f>
        <v>1349139</v>
      </c>
      <c r="S18" s="80">
        <f t="shared" si="0"/>
        <v>12716467</v>
      </c>
      <c r="T18" s="80">
        <v>0</v>
      </c>
      <c r="U18" s="80">
        <v>0</v>
      </c>
      <c r="V18" s="80">
        <v>0</v>
      </c>
      <c r="W18" s="80">
        <v>0</v>
      </c>
      <c r="X18" s="80">
        <v>0</v>
      </c>
      <c r="Y18" s="80">
        <v>0</v>
      </c>
      <c r="Z18" s="80">
        <v>0</v>
      </c>
      <c r="AA18" s="80">
        <v>0</v>
      </c>
      <c r="AB18" s="80">
        <v>0</v>
      </c>
      <c r="AC18" s="80">
        <v>0</v>
      </c>
      <c r="AD18" s="80">
        <v>0</v>
      </c>
      <c r="AE18" s="80">
        <v>0</v>
      </c>
      <c r="AF18" s="80">
        <f t="shared" si="1"/>
        <v>0</v>
      </c>
      <c r="AG18" s="80">
        <f>+COEF_FCM!AM25</f>
        <v>950984</v>
      </c>
      <c r="AH18" s="80">
        <f>+COEF_FCM!AR25</f>
        <v>96659</v>
      </c>
      <c r="AI18" s="80">
        <f>+COEF_FCM!AN25</f>
        <v>730389</v>
      </c>
      <c r="AJ18" s="80">
        <f>+COEF_FCM!AS25</f>
        <v>45348</v>
      </c>
      <c r="AK18" s="80">
        <f>+COEF_FCM!AO25</f>
        <v>825475</v>
      </c>
      <c r="AL18" s="80">
        <f>+COEF_FCM!AT25</f>
        <v>61800.078999999998</v>
      </c>
      <c r="AM18" s="80">
        <f>+COEF_FCM!AP25</f>
        <v>713920</v>
      </c>
      <c r="AN18" s="80">
        <f>+COEF_FCM!AU25</f>
        <v>40863</v>
      </c>
      <c r="AO18" s="80">
        <f>+COEF_FCM!AQ25</f>
        <v>3220768</v>
      </c>
      <c r="AP18" s="80">
        <f>+COEF_FCM!AV25</f>
        <v>244670.079</v>
      </c>
      <c r="AQ18" s="80">
        <f>+_CIERRE!O18+_CIERRE!P18</f>
        <v>12278420.619999999</v>
      </c>
      <c r="AR18" s="80">
        <f>+_CIERRE!Q18+_CIERRE!R18</f>
        <v>15027942.172</v>
      </c>
      <c r="AS18" s="80">
        <f>+_CIERRE!S18+_CIERRE!T18</f>
        <v>16441420.776000001</v>
      </c>
      <c r="AT18" s="80">
        <f>+_CIERRE!U18+_CIERRE!V18</f>
        <v>16633220.784</v>
      </c>
      <c r="AU18" s="80">
        <f>+'CALC MEC ESTAB Y ESTIM M FINAL'!T23</f>
        <v>16633221</v>
      </c>
      <c r="AV18" s="560">
        <v>0</v>
      </c>
      <c r="AW18" s="551">
        <v>2936201.7760000001</v>
      </c>
      <c r="AX18" s="551">
        <v>2984341.9169999999</v>
      </c>
      <c r="AY18" s="551">
        <v>0</v>
      </c>
      <c r="AZ18" s="551">
        <v>0</v>
      </c>
      <c r="BA18" s="551">
        <v>0</v>
      </c>
    </row>
    <row r="19" spans="1:53" ht="3" customHeight="1" x14ac:dyDescent="0.2">
      <c r="A19" s="68" t="str">
        <f>IF(LEN(+'_DATA STT PAGOS_'!M24)=4,"0"&amp;+'_DATA STT PAGOS_'!M24,+'_DATA STT PAGOS_'!M24)</f>
        <v>03102</v>
      </c>
      <c r="B19" s="68" t="str">
        <f>IF(LEN(+'_DATA STT PAGOS_'!N24)=4,"0"&amp;+'_DATA STT PAGOS_'!N24,+'_DATA STT PAGOS_'!N24)</f>
        <v>03202</v>
      </c>
      <c r="C19" s="76" t="str">
        <f>+'_DATA STT PAGOS_'!O24</f>
        <v>CALDERA</v>
      </c>
      <c r="D19" s="80">
        <f>+'CALC MEC ESTAB Y ESTIM M FINAL'!U24</f>
        <v>10945703</v>
      </c>
      <c r="E19" s="77">
        <f>+'CALC MEC ESTAB Y ESTIM M FINAL'!Q24</f>
        <v>4.2317975907E-3</v>
      </c>
      <c r="F19" s="77">
        <f>+'CALC MEC ESTAB Y ESTIM M FINAL'!R24</f>
        <v>-3.7545150590000001E-4</v>
      </c>
      <c r="G19" s="80">
        <f>+'_Flujo con Glosa 08'!CE24</f>
        <v>488071</v>
      </c>
      <c r="H19" s="80">
        <f>+'_Flujo con Glosa 08'!CF24</f>
        <v>488071</v>
      </c>
      <c r="I19" s="80">
        <f>+'_Flujo con Glosa 08'!CG24</f>
        <v>482354</v>
      </c>
      <c r="J19" s="80">
        <f>+'_Flujo con Glosa 08'!CH24</f>
        <v>488071</v>
      </c>
      <c r="K19" s="80">
        <f>+'_Flujo con Glosa 08'!CI24</f>
        <v>1528275</v>
      </c>
      <c r="L19" s="80">
        <f>+'_Flujo con Glosa 08'!CJ24</f>
        <v>502650</v>
      </c>
      <c r="M19" s="80">
        <f>+'_Flujo con Glosa 08'!CK24</f>
        <v>916120</v>
      </c>
      <c r="N19" s="80">
        <f>+'_Flujo con Glosa 08'!CL24</f>
        <v>488071</v>
      </c>
      <c r="O19" s="80">
        <f>+'_Flujo con Glosa 08'!CM24</f>
        <v>582025</v>
      </c>
      <c r="P19" s="80">
        <f>+'_Flujo con Glosa 08'!CN24</f>
        <v>985774</v>
      </c>
      <c r="Q19" s="80">
        <f>+'_Flujo con Glosa 08'!CO24</f>
        <v>488071</v>
      </c>
      <c r="R19" s="80">
        <f>+'_Flujo con Glosa 08'!CP24</f>
        <v>930681</v>
      </c>
      <c r="S19" s="80">
        <f t="shared" si="0"/>
        <v>8368234</v>
      </c>
      <c r="T19" s="80">
        <v>0</v>
      </c>
      <c r="U19" s="80">
        <v>0</v>
      </c>
      <c r="V19" s="80">
        <v>0</v>
      </c>
      <c r="W19" s="80">
        <v>0</v>
      </c>
      <c r="X19" s="80">
        <v>0</v>
      </c>
      <c r="Y19" s="80">
        <v>0</v>
      </c>
      <c r="Z19" s="80">
        <v>0</v>
      </c>
      <c r="AA19" s="80">
        <v>0</v>
      </c>
      <c r="AB19" s="80">
        <v>0</v>
      </c>
      <c r="AC19" s="80">
        <v>0</v>
      </c>
      <c r="AD19" s="80">
        <v>0</v>
      </c>
      <c r="AE19" s="80">
        <v>0</v>
      </c>
      <c r="AF19" s="80">
        <f t="shared" si="1"/>
        <v>0</v>
      </c>
      <c r="AG19" s="80">
        <f>+COEF_FCM!AM26</f>
        <v>133274</v>
      </c>
      <c r="AH19" s="80">
        <f>+COEF_FCM!AR26</f>
        <v>13602</v>
      </c>
      <c r="AI19" s="80">
        <f>+COEF_FCM!AN26</f>
        <v>89954</v>
      </c>
      <c r="AJ19" s="80">
        <f>+COEF_FCM!AS26</f>
        <v>6773</v>
      </c>
      <c r="AK19" s="80">
        <f>+COEF_FCM!AO26</f>
        <v>91693</v>
      </c>
      <c r="AL19" s="80">
        <f>+COEF_FCM!AT26</f>
        <v>8536.6389999999992</v>
      </c>
      <c r="AM19" s="80">
        <f>+COEF_FCM!AP26</f>
        <v>83641</v>
      </c>
      <c r="AN19" s="80">
        <f>+COEF_FCM!AU26</f>
        <v>5809</v>
      </c>
      <c r="AO19" s="80">
        <f>+COEF_FCM!AQ26</f>
        <v>398562</v>
      </c>
      <c r="AP19" s="80">
        <f>+COEF_FCM!AV26</f>
        <v>34720.638999999996</v>
      </c>
      <c r="AQ19" s="80">
        <f>+_CIERRE!O19+_CIERRE!P19</f>
        <v>7407174.5939999996</v>
      </c>
      <c r="AR19" s="80">
        <f>+_CIERRE!Q19+_CIERRE!R19</f>
        <v>8123913.7620000001</v>
      </c>
      <c r="AS19" s="80">
        <f>+_CIERRE!S19+_CIERRE!T19</f>
        <v>9403813.534</v>
      </c>
      <c r="AT19" s="80">
        <f>+_CIERRE!U19+_CIERRE!V19</f>
        <v>10056871.369000001</v>
      </c>
      <c r="AU19" s="80">
        <f>+'CALC MEC ESTAB Y ESTIM M FINAL'!T24</f>
        <v>10945703</v>
      </c>
      <c r="AV19" s="560">
        <v>0</v>
      </c>
      <c r="AW19" s="551">
        <v>693719.00699999998</v>
      </c>
      <c r="AX19" s="551">
        <v>710109.87600000005</v>
      </c>
      <c r="AY19" s="551">
        <v>0</v>
      </c>
      <c r="AZ19" s="551">
        <v>376278.978</v>
      </c>
      <c r="BA19" s="551">
        <v>386724.49</v>
      </c>
    </row>
    <row r="20" spans="1:53" ht="3" customHeight="1" x14ac:dyDescent="0.2">
      <c r="A20" s="68" t="str">
        <f>IF(LEN(+'_DATA STT PAGOS_'!M25)=4,"0"&amp;+'_DATA STT PAGOS_'!M25,+'_DATA STT PAGOS_'!M25)</f>
        <v>03103</v>
      </c>
      <c r="B20" s="68" t="str">
        <f>IF(LEN(+'_DATA STT PAGOS_'!N25)=4,"0"&amp;+'_DATA STT PAGOS_'!N25,+'_DATA STT PAGOS_'!N25)</f>
        <v>03203</v>
      </c>
      <c r="C20" s="76" t="str">
        <f>+'_DATA STT PAGOS_'!O25</f>
        <v>TIERRA AMARILLA</v>
      </c>
      <c r="D20" s="80">
        <f>+'CALC MEC ESTAB Y ESTIM M FINAL'!U25</f>
        <v>2798686</v>
      </c>
      <c r="E20" s="77">
        <f>+'CALC MEC ESTAB Y ESTIM M FINAL'!Q25</f>
        <v>1.0339601286E-3</v>
      </c>
      <c r="F20" s="77">
        <f>+'CALC MEC ESTAB Y ESTIM M FINAL'!R25</f>
        <v>-4.7938225199999999E-5</v>
      </c>
      <c r="G20" s="80">
        <f>+'_Flujo con Glosa 08'!CE25</f>
        <v>130292</v>
      </c>
      <c r="H20" s="80">
        <f>+'_Flujo con Glosa 08'!CF25</f>
        <v>130292</v>
      </c>
      <c r="I20" s="80">
        <f>+'_Flujo con Glosa 08'!CG25</f>
        <v>123332</v>
      </c>
      <c r="J20" s="80">
        <f>+'_Flujo con Glosa 08'!CH25</f>
        <v>130292</v>
      </c>
      <c r="K20" s="80">
        <f>+'_Flujo con Glosa 08'!CI25</f>
        <v>374268</v>
      </c>
      <c r="L20" s="80">
        <f>+'_Flujo con Glosa 08'!CJ25</f>
        <v>134020</v>
      </c>
      <c r="M20" s="80">
        <f>+'_Flujo con Glosa 08'!CK25</f>
        <v>228743</v>
      </c>
      <c r="N20" s="80">
        <f>+'_Flujo con Glosa 08'!CL25</f>
        <v>130292</v>
      </c>
      <c r="O20" s="80">
        <f>+'_Flujo con Glosa 08'!CM25</f>
        <v>148817</v>
      </c>
      <c r="P20" s="80">
        <f>+'_Flujo con Glosa 08'!CN25</f>
        <v>246553</v>
      </c>
      <c r="Q20" s="80">
        <f>+'_Flujo con Glosa 08'!CO25</f>
        <v>130292</v>
      </c>
      <c r="R20" s="80">
        <f>+'_Flujo con Glosa 08'!CP25</f>
        <v>232466</v>
      </c>
      <c r="S20" s="80">
        <f t="shared" si="0"/>
        <v>2139659</v>
      </c>
      <c r="T20" s="80">
        <v>0</v>
      </c>
      <c r="U20" s="80">
        <v>0</v>
      </c>
      <c r="V20" s="80">
        <v>0</v>
      </c>
      <c r="W20" s="80">
        <v>0</v>
      </c>
      <c r="X20" s="80">
        <v>0</v>
      </c>
      <c r="Y20" s="80">
        <v>0</v>
      </c>
      <c r="Z20" s="80">
        <v>0</v>
      </c>
      <c r="AA20" s="80">
        <v>0</v>
      </c>
      <c r="AB20" s="80">
        <v>0</v>
      </c>
      <c r="AC20" s="80">
        <v>0</v>
      </c>
      <c r="AD20" s="80">
        <v>0</v>
      </c>
      <c r="AE20" s="80">
        <v>0</v>
      </c>
      <c r="AF20" s="80">
        <f t="shared" si="1"/>
        <v>0</v>
      </c>
      <c r="AG20" s="80">
        <f>+COEF_FCM!AM27</f>
        <v>128501</v>
      </c>
      <c r="AH20" s="80">
        <f>+COEF_FCM!AR27</f>
        <v>0</v>
      </c>
      <c r="AI20" s="80">
        <f>+COEF_FCM!AN27</f>
        <v>112678</v>
      </c>
      <c r="AJ20" s="80">
        <f>+COEF_FCM!AS27</f>
        <v>0</v>
      </c>
      <c r="AK20" s="80">
        <f>+COEF_FCM!AO27</f>
        <v>132795</v>
      </c>
      <c r="AL20" s="80">
        <f>+COEF_FCM!AT27</f>
        <v>0</v>
      </c>
      <c r="AM20" s="80">
        <f>+COEF_FCM!AP27</f>
        <v>121891</v>
      </c>
      <c r="AN20" s="80">
        <f>+COEF_FCM!AU27</f>
        <v>0</v>
      </c>
      <c r="AO20" s="80">
        <f>+COEF_FCM!AQ27</f>
        <v>495865</v>
      </c>
      <c r="AP20" s="80">
        <f>+COEF_FCM!AV27</f>
        <v>0</v>
      </c>
      <c r="AQ20" s="80">
        <f>+_CIERRE!O20+_CIERRE!P20</f>
        <v>2092356.0390000001</v>
      </c>
      <c r="AR20" s="80">
        <f>+_CIERRE!Q20+_CIERRE!R20</f>
        <v>2391575.9989999998</v>
      </c>
      <c r="AS20" s="80">
        <f>+_CIERRE!S20+_CIERRE!T20</f>
        <v>2585015.3560000001</v>
      </c>
      <c r="AT20" s="80">
        <f>+_CIERRE!U20+_CIERRE!V20</f>
        <v>2685199.1660000002</v>
      </c>
      <c r="AU20" s="80">
        <f>+'CALC MEC ESTAB Y ESTIM M FINAL'!T25</f>
        <v>2798686</v>
      </c>
      <c r="AV20" s="560">
        <v>0</v>
      </c>
      <c r="AW20" s="551">
        <v>2210678.3480000002</v>
      </c>
      <c r="AX20" s="551">
        <v>2296646.5699999998</v>
      </c>
      <c r="AY20" s="551">
        <v>0</v>
      </c>
      <c r="AZ20" s="551">
        <v>334109.89</v>
      </c>
      <c r="BA20" s="551">
        <v>343915.64</v>
      </c>
    </row>
    <row r="21" spans="1:53" ht="3" customHeight="1" x14ac:dyDescent="0.2">
      <c r="A21" s="68" t="str">
        <f>IF(LEN(+'_DATA STT PAGOS_'!M26)=4,"0"&amp;+'_DATA STT PAGOS_'!M26,+'_DATA STT PAGOS_'!M26)</f>
        <v>03201</v>
      </c>
      <c r="B21" s="68" t="str">
        <f>IF(LEN(+'_DATA STT PAGOS_'!N26)=4,"0"&amp;+'_DATA STT PAGOS_'!N26,+'_DATA STT PAGOS_'!N26)</f>
        <v>03101</v>
      </c>
      <c r="C21" s="76" t="str">
        <f>+'_DATA STT PAGOS_'!O26</f>
        <v>CHAÑARAL</v>
      </c>
      <c r="D21" s="80">
        <f>+'CALC MEC ESTAB Y ESTIM M FINAL'!U26</f>
        <v>4118810</v>
      </c>
      <c r="E21" s="77">
        <f>+'CALC MEC ESTAB Y ESTIM M FINAL'!Q26</f>
        <v>1.5931253803E-3</v>
      </c>
      <c r="F21" s="77">
        <f>+'CALC MEC ESTAB Y ESTIM M FINAL'!R26</f>
        <v>-1.420027145E-4</v>
      </c>
      <c r="G21" s="80">
        <f>+'_Flujo con Glosa 08'!CE26</f>
        <v>183438</v>
      </c>
      <c r="H21" s="80">
        <f>+'_Flujo con Glosa 08'!CF26</f>
        <v>183438</v>
      </c>
      <c r="I21" s="80">
        <f>+'_Flujo con Glosa 08'!CG26</f>
        <v>181507</v>
      </c>
      <c r="J21" s="80">
        <f>+'_Flujo con Glosa 08'!CH26</f>
        <v>183438</v>
      </c>
      <c r="K21" s="80">
        <f>+'_Flujo con Glosa 08'!CI26</f>
        <v>575744</v>
      </c>
      <c r="L21" s="80">
        <f>+'_Flujo con Glosa 08'!CJ26</f>
        <v>188924</v>
      </c>
      <c r="M21" s="80">
        <f>+'_Flujo con Glosa 08'!CK26</f>
        <v>344951</v>
      </c>
      <c r="N21" s="80">
        <f>+'_Flujo con Glosa 08'!CL26</f>
        <v>183438</v>
      </c>
      <c r="O21" s="80">
        <f>+'_Flujo con Glosa 08'!CM26</f>
        <v>219013</v>
      </c>
      <c r="P21" s="80">
        <f>+'_Flujo con Glosa 08'!CN26</f>
        <v>371163</v>
      </c>
      <c r="Q21" s="80">
        <f>+'_Flujo con Glosa 08'!CO26</f>
        <v>183438</v>
      </c>
      <c r="R21" s="80">
        <f>+'_Flujo con Glosa 08'!CP26</f>
        <v>350431</v>
      </c>
      <c r="S21" s="80">
        <f t="shared" si="0"/>
        <v>3148923</v>
      </c>
      <c r="T21" s="80">
        <v>0</v>
      </c>
      <c r="U21" s="80">
        <v>0</v>
      </c>
      <c r="V21" s="80">
        <v>0</v>
      </c>
      <c r="W21" s="80">
        <v>0</v>
      </c>
      <c r="X21" s="80">
        <v>0</v>
      </c>
      <c r="Y21" s="80">
        <v>0</v>
      </c>
      <c r="Z21" s="80">
        <v>0</v>
      </c>
      <c r="AA21" s="80">
        <v>0</v>
      </c>
      <c r="AB21" s="80">
        <v>0</v>
      </c>
      <c r="AC21" s="80">
        <v>0</v>
      </c>
      <c r="AD21" s="80">
        <v>0</v>
      </c>
      <c r="AE21" s="80">
        <v>0</v>
      </c>
      <c r="AF21" s="80">
        <f t="shared" si="1"/>
        <v>0</v>
      </c>
      <c r="AG21" s="80">
        <f>+COEF_FCM!AM28</f>
        <v>31268</v>
      </c>
      <c r="AH21" s="80">
        <f>+COEF_FCM!AR28</f>
        <v>2196</v>
      </c>
      <c r="AI21" s="80">
        <f>+COEF_FCM!AN28</f>
        <v>45040</v>
      </c>
      <c r="AJ21" s="80">
        <f>+COEF_FCM!AS28</f>
        <v>1041</v>
      </c>
      <c r="AK21" s="80">
        <f>+COEF_FCM!AO28</f>
        <v>25311</v>
      </c>
      <c r="AL21" s="80">
        <f>+COEF_FCM!AT28</f>
        <v>1069.644</v>
      </c>
      <c r="AM21" s="80">
        <f>+COEF_FCM!AP28</f>
        <v>19543</v>
      </c>
      <c r="AN21" s="80">
        <f>+COEF_FCM!AU28</f>
        <v>990</v>
      </c>
      <c r="AO21" s="80">
        <f>+COEF_FCM!AQ28</f>
        <v>121162</v>
      </c>
      <c r="AP21" s="80">
        <f>+COEF_FCM!AV28</f>
        <v>5296.6440000000002</v>
      </c>
      <c r="AQ21" s="80">
        <f>+_CIERRE!O21+_CIERRE!P21</f>
        <v>2606199.9339999999</v>
      </c>
      <c r="AR21" s="80">
        <f>+_CIERRE!Q21+_CIERRE!R21</f>
        <v>2825592.1379999998</v>
      </c>
      <c r="AS21" s="80">
        <f>+_CIERRE!S21+_CIERRE!T21</f>
        <v>2931625.85</v>
      </c>
      <c r="AT21" s="80">
        <f>+_CIERRE!U21+_CIERRE!V21</f>
        <v>3782637.95</v>
      </c>
      <c r="AU21" s="80">
        <f>+'CALC MEC ESTAB Y ESTIM M FINAL'!T26</f>
        <v>4118810</v>
      </c>
      <c r="AV21" s="560">
        <v>0</v>
      </c>
      <c r="AW21" s="551">
        <v>880033.52300000004</v>
      </c>
      <c r="AX21" s="551">
        <v>915390.81700000004</v>
      </c>
      <c r="AY21" s="551">
        <v>0</v>
      </c>
      <c r="AZ21" s="551">
        <v>363869.587</v>
      </c>
      <c r="BA21" s="551">
        <v>374227.03899999999</v>
      </c>
    </row>
    <row r="22" spans="1:53" ht="3" customHeight="1" x14ac:dyDescent="0.2">
      <c r="A22" s="68" t="str">
        <f>IF(LEN(+'_DATA STT PAGOS_'!M27)=4,"0"&amp;+'_DATA STT PAGOS_'!M27,+'_DATA STT PAGOS_'!M27)</f>
        <v>03202</v>
      </c>
      <c r="B22" s="68" t="str">
        <f>IF(LEN(+'_DATA STT PAGOS_'!N27)=4,"0"&amp;+'_DATA STT PAGOS_'!N27,+'_DATA STT PAGOS_'!N27)</f>
        <v>03102</v>
      </c>
      <c r="C22" s="76" t="str">
        <f>+'_DATA STT PAGOS_'!O27</f>
        <v>DIEGO DE ALMAGRO</v>
      </c>
      <c r="D22" s="80">
        <f>+'CALC MEC ESTAB Y ESTIM M FINAL'!U27</f>
        <v>2839953</v>
      </c>
      <c r="E22" s="77">
        <f>+'CALC MEC ESTAB Y ESTIM M FINAL'!Q27</f>
        <v>9.9839454279999993E-4</v>
      </c>
      <c r="F22" s="77">
        <f>+'CALC MEC ESTAB Y ESTIM M FINAL'!R27</f>
        <v>2.1663909000000002E-6</v>
      </c>
      <c r="G22" s="80">
        <f>+'_Flujo con Glosa 08'!CE27</f>
        <v>137793</v>
      </c>
      <c r="H22" s="80">
        <f>+'_Flujo con Glosa 08'!CF27</f>
        <v>137793</v>
      </c>
      <c r="I22" s="80">
        <f>+'_Flujo con Glosa 08'!CG27</f>
        <v>125151</v>
      </c>
      <c r="J22" s="80">
        <f>+'_Flujo con Glosa 08'!CH27</f>
        <v>137793</v>
      </c>
      <c r="K22" s="80">
        <f>+'_Flujo con Glosa 08'!CI27</f>
        <v>363046</v>
      </c>
      <c r="L22" s="80">
        <f>+'_Flujo con Glosa 08'!CJ27</f>
        <v>141576</v>
      </c>
      <c r="M22" s="80">
        <f>+'_Flujo con Glosa 08'!CK27</f>
        <v>231410</v>
      </c>
      <c r="N22" s="80">
        <f>+'_Flujo con Glosa 08'!CL27</f>
        <v>137793</v>
      </c>
      <c r="O22" s="80">
        <f>+'_Flujo con Glosa 08'!CM27</f>
        <v>151011</v>
      </c>
      <c r="P22" s="80">
        <f>+'_Flujo con Glosa 08'!CN27</f>
        <v>239735</v>
      </c>
      <c r="Q22" s="80">
        <f>+'_Flujo con Glosa 08'!CO27</f>
        <v>137793</v>
      </c>
      <c r="R22" s="80">
        <f>+'_Flujo con Glosa 08'!CP27</f>
        <v>230314</v>
      </c>
      <c r="S22" s="80">
        <f t="shared" si="0"/>
        <v>2171208</v>
      </c>
      <c r="T22" s="80">
        <v>0</v>
      </c>
      <c r="U22" s="80">
        <v>0</v>
      </c>
      <c r="V22" s="80">
        <v>0</v>
      </c>
      <c r="W22" s="80">
        <v>0</v>
      </c>
      <c r="X22" s="80">
        <v>0</v>
      </c>
      <c r="Y22" s="80">
        <v>0</v>
      </c>
      <c r="Z22" s="80">
        <v>0</v>
      </c>
      <c r="AA22" s="80">
        <v>0</v>
      </c>
      <c r="AB22" s="80">
        <v>0</v>
      </c>
      <c r="AC22" s="80">
        <v>0</v>
      </c>
      <c r="AD22" s="80">
        <v>0</v>
      </c>
      <c r="AE22" s="80">
        <v>0</v>
      </c>
      <c r="AF22" s="80">
        <f t="shared" si="1"/>
        <v>0</v>
      </c>
      <c r="AG22" s="80">
        <f>+COEF_FCM!AM29</f>
        <v>124859</v>
      </c>
      <c r="AH22" s="80">
        <f>+COEF_FCM!AR29</f>
        <v>320</v>
      </c>
      <c r="AI22" s="80">
        <f>+COEF_FCM!AN29</f>
        <v>113119</v>
      </c>
      <c r="AJ22" s="80">
        <f>+COEF_FCM!AS29</f>
        <v>214</v>
      </c>
      <c r="AK22" s="80">
        <f>+COEF_FCM!AO29</f>
        <v>117320</v>
      </c>
      <c r="AL22" s="80">
        <f>+COEF_FCM!AT29</f>
        <v>322.43799999999999</v>
      </c>
      <c r="AM22" s="80">
        <f>+COEF_FCM!AP29</f>
        <v>116687</v>
      </c>
      <c r="AN22" s="80">
        <f>+COEF_FCM!AU29</f>
        <v>270</v>
      </c>
      <c r="AO22" s="80">
        <f>+COEF_FCM!AQ29</f>
        <v>471985</v>
      </c>
      <c r="AP22" s="80">
        <f>+COEF_FCM!AV29</f>
        <v>1126.4380000000001</v>
      </c>
      <c r="AQ22" s="80">
        <f>+_CIERRE!O22+_CIERRE!P22</f>
        <v>2002262.848</v>
      </c>
      <c r="AR22" s="80">
        <f>+_CIERRE!Q22+_CIERRE!R22</f>
        <v>2272998.3849999998</v>
      </c>
      <c r="AS22" s="80">
        <f>+_CIERRE!S22+_CIERRE!T22</f>
        <v>2454439.8289999999</v>
      </c>
      <c r="AT22" s="80">
        <f>+_CIERRE!U22+_CIERRE!V22</f>
        <v>2839952.64</v>
      </c>
      <c r="AU22" s="80">
        <f>+'CALC MEC ESTAB Y ESTIM M FINAL'!T27</f>
        <v>2839953</v>
      </c>
      <c r="AV22" s="560">
        <v>0</v>
      </c>
      <c r="AW22" s="551">
        <v>1345475.5190000001</v>
      </c>
      <c r="AX22" s="551">
        <v>1331516.4779999999</v>
      </c>
      <c r="AY22" s="551">
        <v>0</v>
      </c>
      <c r="AZ22" s="551">
        <v>326903.43800000002</v>
      </c>
      <c r="BA22" s="551">
        <v>336375.277</v>
      </c>
    </row>
    <row r="23" spans="1:53" ht="3" customHeight="1" x14ac:dyDescent="0.2">
      <c r="A23" s="68" t="str">
        <f>IF(LEN(+'_DATA STT PAGOS_'!M28)=4,"0"&amp;+'_DATA STT PAGOS_'!M28,+'_DATA STT PAGOS_'!M28)</f>
        <v>03301</v>
      </c>
      <c r="B23" s="68" t="str">
        <f>IF(LEN(+'_DATA STT PAGOS_'!N28)=4,"0"&amp;+'_DATA STT PAGOS_'!N28,+'_DATA STT PAGOS_'!N28)</f>
        <v>03301</v>
      </c>
      <c r="C23" s="76" t="str">
        <f>+'_DATA STT PAGOS_'!O28</f>
        <v>VALLENAR</v>
      </c>
      <c r="D23" s="80">
        <f>+'CALC MEC ESTAB Y ESTIM M FINAL'!U28</f>
        <v>11163566</v>
      </c>
      <c r="E23" s="77">
        <f>+'CALC MEC ESTAB Y ESTIM M FINAL'!Q28</f>
        <v>4.3485102512999998E-3</v>
      </c>
      <c r="F23" s="77">
        <f>+'CALC MEC ESTAB Y ESTIM M FINAL'!R28</f>
        <v>-4.154076604E-4</v>
      </c>
      <c r="G23" s="80">
        <f>+'_Flujo con Glosa 08'!CE28</f>
        <v>493325</v>
      </c>
      <c r="H23" s="80">
        <f>+'_Flujo con Glosa 08'!CF28</f>
        <v>493325</v>
      </c>
      <c r="I23" s="80">
        <f>+'_Flujo con Glosa 08'!CG28</f>
        <v>491955</v>
      </c>
      <c r="J23" s="80">
        <f>+'_Flujo con Glosa 08'!CH28</f>
        <v>493325</v>
      </c>
      <c r="K23" s="80">
        <f>+'_Flujo con Glosa 08'!CI28</f>
        <v>1572075</v>
      </c>
      <c r="L23" s="80">
        <f>+'_Flujo con Glosa 08'!CJ28</f>
        <v>508194</v>
      </c>
      <c r="M23" s="80">
        <f>+'_Flujo con Glosa 08'!CK28</f>
        <v>938815</v>
      </c>
      <c r="N23" s="80">
        <f>+'_Flujo con Glosa 08'!CL28</f>
        <v>493325</v>
      </c>
      <c r="O23" s="80">
        <f>+'_Flujo con Glosa 08'!CM28</f>
        <v>593610</v>
      </c>
      <c r="P23" s="80">
        <f>+'_Flujo con Glosa 08'!CN28</f>
        <v>1009855</v>
      </c>
      <c r="Q23" s="80">
        <f>+'_Flujo con Glosa 08'!CO28</f>
        <v>493325</v>
      </c>
      <c r="R23" s="80">
        <f>+'_Flujo con Glosa 08'!CP28</f>
        <v>953666</v>
      </c>
      <c r="S23" s="80">
        <f t="shared" si="0"/>
        <v>8534795</v>
      </c>
      <c r="T23" s="80">
        <v>0</v>
      </c>
      <c r="U23" s="80">
        <v>0</v>
      </c>
      <c r="V23" s="80">
        <v>0</v>
      </c>
      <c r="W23" s="80">
        <v>0</v>
      </c>
      <c r="X23" s="80">
        <v>0</v>
      </c>
      <c r="Y23" s="80">
        <v>0</v>
      </c>
      <c r="Z23" s="80">
        <v>0</v>
      </c>
      <c r="AA23" s="80">
        <v>0</v>
      </c>
      <c r="AB23" s="80">
        <v>0</v>
      </c>
      <c r="AC23" s="80">
        <v>0</v>
      </c>
      <c r="AD23" s="80">
        <v>0</v>
      </c>
      <c r="AE23" s="80">
        <v>0</v>
      </c>
      <c r="AF23" s="80">
        <f t="shared" si="1"/>
        <v>0</v>
      </c>
      <c r="AG23" s="80">
        <f>+COEF_FCM!AM30</f>
        <v>169811</v>
      </c>
      <c r="AH23" s="80">
        <f>+COEF_FCM!AR30</f>
        <v>11130</v>
      </c>
      <c r="AI23" s="80">
        <f>+COEF_FCM!AN30</f>
        <v>145676</v>
      </c>
      <c r="AJ23" s="80">
        <f>+COEF_FCM!AS30</f>
        <v>6331</v>
      </c>
      <c r="AK23" s="80">
        <f>+COEF_FCM!AO30</f>
        <v>147962</v>
      </c>
      <c r="AL23" s="80">
        <f>+COEF_FCM!AT30</f>
        <v>6019.3509999999997</v>
      </c>
      <c r="AM23" s="80">
        <f>+COEF_FCM!AP30</f>
        <v>120391</v>
      </c>
      <c r="AN23" s="80">
        <f>+COEF_FCM!AU30</f>
        <v>4139</v>
      </c>
      <c r="AO23" s="80">
        <f>+COEF_FCM!AQ30</f>
        <v>583840</v>
      </c>
      <c r="AP23" s="80">
        <f>+COEF_FCM!AV30</f>
        <v>27619.350999999999</v>
      </c>
      <c r="AQ23" s="80">
        <f>+_CIERRE!O23+_CIERRE!P23</f>
        <v>6824225.034</v>
      </c>
      <c r="AR23" s="80">
        <f>+_CIERRE!Q23+_CIERRE!R23</f>
        <v>8015818.6069999998</v>
      </c>
      <c r="AS23" s="80">
        <f>+_CIERRE!S23+_CIERRE!T23</f>
        <v>8834996.1009999998</v>
      </c>
      <c r="AT23" s="80">
        <f>+_CIERRE!U23+_CIERRE!V23</f>
        <v>10180143.745999999</v>
      </c>
      <c r="AU23" s="80">
        <f>+'CALC MEC ESTAB Y ESTIM M FINAL'!T28</f>
        <v>11163566</v>
      </c>
      <c r="AV23" s="560">
        <v>0</v>
      </c>
      <c r="AW23" s="551">
        <v>1055385.622</v>
      </c>
      <c r="AX23" s="551">
        <v>1064682.75</v>
      </c>
      <c r="AY23" s="551">
        <v>0</v>
      </c>
      <c r="AZ23" s="551">
        <v>634398.20799999998</v>
      </c>
      <c r="BA23" s="551">
        <v>615312.51699999999</v>
      </c>
    </row>
    <row r="24" spans="1:53" ht="3" customHeight="1" x14ac:dyDescent="0.2">
      <c r="A24" s="68" t="str">
        <f>IF(LEN(+'_DATA STT PAGOS_'!M29)=4,"0"&amp;+'_DATA STT PAGOS_'!M29,+'_DATA STT PAGOS_'!M29)</f>
        <v>03302</v>
      </c>
      <c r="B24" s="68" t="str">
        <f>IF(LEN(+'_DATA STT PAGOS_'!N29)=4,"0"&amp;+'_DATA STT PAGOS_'!N29,+'_DATA STT PAGOS_'!N29)</f>
        <v>03304</v>
      </c>
      <c r="C24" s="76" t="str">
        <f>+'_DATA STT PAGOS_'!O29</f>
        <v>ALTO DEL CARMEN</v>
      </c>
      <c r="D24" s="80">
        <f>+'CALC MEC ESTAB Y ESTIM M FINAL'!U29</f>
        <v>2991556</v>
      </c>
      <c r="E24" s="77">
        <f>+'CALC MEC ESTAB Y ESTIM M FINAL'!Q29</f>
        <v>1.0982444626999998E-3</v>
      </c>
      <c r="F24" s="77">
        <f>+'CALC MEC ESTAB Y ESTIM M FINAL'!R29</f>
        <v>-4.4271672800000001E-5</v>
      </c>
      <c r="G24" s="80">
        <f>+'_Flujo con Glosa 08'!CE29</f>
        <v>139952</v>
      </c>
      <c r="H24" s="80">
        <f>+'_Flujo con Glosa 08'!CF29</f>
        <v>139952</v>
      </c>
      <c r="I24" s="80">
        <f>+'_Flujo con Glosa 08'!CG29</f>
        <v>131832</v>
      </c>
      <c r="J24" s="80">
        <f>+'_Flujo con Glosa 08'!CH29</f>
        <v>139952</v>
      </c>
      <c r="K24" s="80">
        <f>+'_Flujo con Glosa 08'!CI29</f>
        <v>398017</v>
      </c>
      <c r="L24" s="80">
        <f>+'_Flujo con Glosa 08'!CJ29</f>
        <v>143936</v>
      </c>
      <c r="M24" s="80">
        <f>+'_Flujo con Glosa 08'!CK29</f>
        <v>243825</v>
      </c>
      <c r="N24" s="80">
        <f>+'_Flujo con Glosa 08'!CL29</f>
        <v>139952</v>
      </c>
      <c r="O24" s="80">
        <f>+'_Flujo con Glosa 08'!CM29</f>
        <v>159072</v>
      </c>
      <c r="P24" s="80">
        <f>+'_Flujo con Glosa 08'!CN29</f>
        <v>262863</v>
      </c>
      <c r="Q24" s="80">
        <f>+'_Flujo con Glosa 08'!CO29</f>
        <v>139952</v>
      </c>
      <c r="R24" s="80">
        <f>+'_Flujo con Glosa 08'!CP29</f>
        <v>247806</v>
      </c>
      <c r="S24" s="80">
        <f t="shared" si="0"/>
        <v>2287111</v>
      </c>
      <c r="T24" s="80">
        <v>0</v>
      </c>
      <c r="U24" s="80">
        <v>0</v>
      </c>
      <c r="V24" s="80">
        <v>0</v>
      </c>
      <c r="W24" s="80">
        <v>0</v>
      </c>
      <c r="X24" s="80">
        <v>0</v>
      </c>
      <c r="Y24" s="80">
        <v>0</v>
      </c>
      <c r="Z24" s="80">
        <v>0</v>
      </c>
      <c r="AA24" s="80">
        <v>0</v>
      </c>
      <c r="AB24" s="80">
        <v>0</v>
      </c>
      <c r="AC24" s="80">
        <v>0</v>
      </c>
      <c r="AD24" s="80">
        <v>0</v>
      </c>
      <c r="AE24" s="80">
        <v>0</v>
      </c>
      <c r="AF24" s="80">
        <f t="shared" si="1"/>
        <v>0</v>
      </c>
      <c r="AG24" s="80">
        <f>+COEF_FCM!AM31</f>
        <v>11832</v>
      </c>
      <c r="AH24" s="80">
        <f>+COEF_FCM!AR31</f>
        <v>0</v>
      </c>
      <c r="AI24" s="80">
        <f>+COEF_FCM!AN31</f>
        <v>11582</v>
      </c>
      <c r="AJ24" s="80">
        <f>+COEF_FCM!AS31</f>
        <v>0</v>
      </c>
      <c r="AK24" s="80">
        <f>+COEF_FCM!AO31</f>
        <v>11251</v>
      </c>
      <c r="AL24" s="80">
        <f>+COEF_FCM!AT31</f>
        <v>0</v>
      </c>
      <c r="AM24" s="80">
        <f>+COEF_FCM!AP31</f>
        <v>10835</v>
      </c>
      <c r="AN24" s="80">
        <f>+COEF_FCM!AU31</f>
        <v>0</v>
      </c>
      <c r="AO24" s="80">
        <f>+COEF_FCM!AQ31</f>
        <v>45500</v>
      </c>
      <c r="AP24" s="80">
        <f>+COEF_FCM!AV31</f>
        <v>0</v>
      </c>
      <c r="AQ24" s="80">
        <f>+_CIERRE!O24+_CIERRE!P24</f>
        <v>2424223.8289999999</v>
      </c>
      <c r="AR24" s="80">
        <f>+_CIERRE!Q24+_CIERRE!R24</f>
        <v>2628297.4029999999</v>
      </c>
      <c r="AS24" s="80">
        <f>+_CIERRE!S24+_CIERRE!T24</f>
        <v>2717643.8829999999</v>
      </c>
      <c r="AT24" s="80">
        <f>+_CIERRE!U24+_CIERRE!V24</f>
        <v>2886748.9539999999</v>
      </c>
      <c r="AU24" s="80">
        <f>+'CALC MEC ESTAB Y ESTIM M FINAL'!T29</f>
        <v>2991556</v>
      </c>
      <c r="AV24" s="560">
        <v>0</v>
      </c>
      <c r="AW24" s="551">
        <v>0</v>
      </c>
      <c r="AX24" s="551">
        <v>0</v>
      </c>
      <c r="AY24" s="551">
        <v>0</v>
      </c>
      <c r="AZ24" s="551">
        <v>333588.96600000001</v>
      </c>
      <c r="BA24" s="551">
        <v>344543.701</v>
      </c>
    </row>
    <row r="25" spans="1:53" ht="3" customHeight="1" x14ac:dyDescent="0.2">
      <c r="A25" s="68" t="str">
        <f>IF(LEN(+'_DATA STT PAGOS_'!M30)=4,"0"&amp;+'_DATA STT PAGOS_'!M30,+'_DATA STT PAGOS_'!M30)</f>
        <v>03303</v>
      </c>
      <c r="B25" s="68" t="str">
        <f>IF(LEN(+'_DATA STT PAGOS_'!N30)=4,"0"&amp;+'_DATA STT PAGOS_'!N30,+'_DATA STT PAGOS_'!N30)</f>
        <v>03302</v>
      </c>
      <c r="C25" s="76" t="str">
        <f>+'_DATA STT PAGOS_'!O30</f>
        <v>FREIRINA</v>
      </c>
      <c r="D25" s="80">
        <f>+'CALC MEC ESTAB Y ESTIM M FINAL'!U30</f>
        <v>2904657</v>
      </c>
      <c r="E25" s="77">
        <f>+'CALC MEC ESTAB Y ESTIM M FINAL'!Q30</f>
        <v>1.0675685584999998E-3</v>
      </c>
      <c r="F25" s="77">
        <f>+'CALC MEC ESTAB Y ESTIM M FINAL'!R30</f>
        <v>-4.4211426799999999E-5</v>
      </c>
      <c r="G25" s="80">
        <f>+'_Flujo con Glosa 08'!CE30</f>
        <v>135736</v>
      </c>
      <c r="H25" s="80">
        <f>+'_Flujo con Glosa 08'!CF30</f>
        <v>135736</v>
      </c>
      <c r="I25" s="80">
        <f>+'_Flujo con Glosa 08'!CG30</f>
        <v>128002</v>
      </c>
      <c r="J25" s="80">
        <f>+'_Flujo con Glosa 08'!CH30</f>
        <v>135736</v>
      </c>
      <c r="K25" s="80">
        <f>+'_Flujo con Glosa 08'!CI30</f>
        <v>386907</v>
      </c>
      <c r="L25" s="80">
        <f>+'_Flujo con Glosa 08'!CJ30</f>
        <v>139605</v>
      </c>
      <c r="M25" s="80">
        <f>+'_Flujo con Glosa 08'!CK30</f>
        <v>236893</v>
      </c>
      <c r="N25" s="80">
        <f>+'_Flujo con Glosa 08'!CL30</f>
        <v>135736</v>
      </c>
      <c r="O25" s="80">
        <f>+'_Flujo con Glosa 08'!CM30</f>
        <v>154451</v>
      </c>
      <c r="P25" s="80">
        <f>+'_Flujo con Glosa 08'!CN30</f>
        <v>255377</v>
      </c>
      <c r="Q25" s="80">
        <f>+'_Flujo con Glosa 08'!CO30</f>
        <v>135736</v>
      </c>
      <c r="R25" s="80">
        <f>+'_Flujo con Glosa 08'!CP30</f>
        <v>240757</v>
      </c>
      <c r="S25" s="80">
        <f t="shared" si="0"/>
        <v>2220672</v>
      </c>
      <c r="T25" s="80">
        <v>0</v>
      </c>
      <c r="U25" s="80">
        <v>0</v>
      </c>
      <c r="V25" s="80">
        <v>0</v>
      </c>
      <c r="W25" s="80">
        <v>0</v>
      </c>
      <c r="X25" s="80">
        <v>0</v>
      </c>
      <c r="Y25" s="80">
        <v>0</v>
      </c>
      <c r="Z25" s="80">
        <v>0</v>
      </c>
      <c r="AA25" s="80">
        <v>0</v>
      </c>
      <c r="AB25" s="80">
        <v>0</v>
      </c>
      <c r="AC25" s="80">
        <v>0</v>
      </c>
      <c r="AD25" s="80">
        <v>0</v>
      </c>
      <c r="AE25" s="80">
        <v>0</v>
      </c>
      <c r="AF25" s="80">
        <f t="shared" si="1"/>
        <v>0</v>
      </c>
      <c r="AG25" s="80">
        <f>+COEF_FCM!AM32</f>
        <v>34149</v>
      </c>
      <c r="AH25" s="80">
        <f>+COEF_FCM!AR32</f>
        <v>196</v>
      </c>
      <c r="AI25" s="80">
        <f>+COEF_FCM!AN32</f>
        <v>28437</v>
      </c>
      <c r="AJ25" s="80">
        <f>+COEF_FCM!AS32</f>
        <v>134</v>
      </c>
      <c r="AK25" s="80">
        <f>+COEF_FCM!AO32</f>
        <v>29719</v>
      </c>
      <c r="AL25" s="80">
        <f>+COEF_FCM!AT32</f>
        <v>180.96700000000001</v>
      </c>
      <c r="AM25" s="80">
        <f>+COEF_FCM!AP32</f>
        <v>25711</v>
      </c>
      <c r="AN25" s="80">
        <f>+COEF_FCM!AU32</f>
        <v>95</v>
      </c>
      <c r="AO25" s="80">
        <f>+COEF_FCM!AQ32</f>
        <v>118016</v>
      </c>
      <c r="AP25" s="80">
        <f>+COEF_FCM!AV32</f>
        <v>605.96699999999998</v>
      </c>
      <c r="AQ25" s="80">
        <f>+_CIERRE!O25+_CIERRE!P25</f>
        <v>2277415.193</v>
      </c>
      <c r="AR25" s="80">
        <f>+_CIERRE!Q25+_CIERRE!R25</f>
        <v>2478329.4849999999</v>
      </c>
      <c r="AS25" s="80">
        <f>+_CIERRE!S25+_CIERRE!T25</f>
        <v>2644144.5520000001</v>
      </c>
      <c r="AT25" s="80">
        <f>+_CIERRE!U25+_CIERRE!V25</f>
        <v>2799992.2420000001</v>
      </c>
      <c r="AU25" s="80">
        <f>+'CALC MEC ESTAB Y ESTIM M FINAL'!T30</f>
        <v>2904657</v>
      </c>
      <c r="AV25" s="560">
        <v>0</v>
      </c>
      <c r="AW25" s="551">
        <v>548484.38500000001</v>
      </c>
      <c r="AX25" s="551">
        <v>878676.83100000001</v>
      </c>
      <c r="AY25" s="551">
        <v>0</v>
      </c>
      <c r="AZ25" s="551">
        <v>328337.48800000001</v>
      </c>
      <c r="BA25" s="551">
        <v>337778.66700000002</v>
      </c>
    </row>
    <row r="26" spans="1:53" ht="3" customHeight="1" x14ac:dyDescent="0.2">
      <c r="A26" s="68" t="str">
        <f>IF(LEN(+'_DATA STT PAGOS_'!M31)=4,"0"&amp;+'_DATA STT PAGOS_'!M31,+'_DATA STT PAGOS_'!M31)</f>
        <v>03304</v>
      </c>
      <c r="B26" s="68" t="str">
        <f>IF(LEN(+'_DATA STT PAGOS_'!N31)=4,"0"&amp;+'_DATA STT PAGOS_'!N31,+'_DATA STT PAGOS_'!N31)</f>
        <v>03303</v>
      </c>
      <c r="C26" s="76" t="str">
        <f>+'_DATA STT PAGOS_'!O31</f>
        <v>HUASCO</v>
      </c>
      <c r="D26" s="80">
        <f>+'CALC MEC ESTAB Y ESTIM M FINAL'!U31</f>
        <v>4376384</v>
      </c>
      <c r="E26" s="77">
        <f>+'CALC MEC ESTAB Y ESTIM M FINAL'!Q31</f>
        <v>1.6927900738999998E-3</v>
      </c>
      <c r="F26" s="77">
        <f>+'CALC MEC ESTAB Y ESTIM M FINAL'!R31</f>
        <v>-1.509201841E-4</v>
      </c>
      <c r="G26" s="80">
        <f>+'_Flujo con Glosa 08'!CE31</f>
        <v>194884</v>
      </c>
      <c r="H26" s="80">
        <f>+'_Flujo con Glosa 08'!CF31</f>
        <v>194884</v>
      </c>
      <c r="I26" s="80">
        <f>+'_Flujo con Glosa 08'!CG31</f>
        <v>192858</v>
      </c>
      <c r="J26" s="80">
        <f>+'_Flujo con Glosa 08'!CH31</f>
        <v>194884</v>
      </c>
      <c r="K26" s="80">
        <f>+'_Flujo con Glosa 08'!CI31</f>
        <v>611824</v>
      </c>
      <c r="L26" s="80">
        <f>+'_Flujo con Glosa 08'!CJ31</f>
        <v>200713</v>
      </c>
      <c r="M26" s="80">
        <f>+'_Flujo con Glosa 08'!CK31</f>
        <v>366549</v>
      </c>
      <c r="N26" s="80">
        <f>+'_Flujo con Glosa 08'!CL31</f>
        <v>194884</v>
      </c>
      <c r="O26" s="80">
        <f>+'_Flujo con Glosa 08'!CM31</f>
        <v>232709</v>
      </c>
      <c r="P26" s="80">
        <f>+'_Flujo con Glosa 08'!CN31</f>
        <v>394399</v>
      </c>
      <c r="Q26" s="80">
        <f>+'_Flujo con Glosa 08'!CO31</f>
        <v>194884</v>
      </c>
      <c r="R26" s="80">
        <f>+'_Flujo con Glosa 08'!CP31</f>
        <v>372371</v>
      </c>
      <c r="S26" s="80">
        <f t="shared" si="0"/>
        <v>3345843</v>
      </c>
      <c r="T26" s="80">
        <v>0</v>
      </c>
      <c r="U26" s="80">
        <v>0</v>
      </c>
      <c r="V26" s="80">
        <v>0</v>
      </c>
      <c r="W26" s="80">
        <v>0</v>
      </c>
      <c r="X26" s="80">
        <v>0</v>
      </c>
      <c r="Y26" s="80">
        <v>0</v>
      </c>
      <c r="Z26" s="80">
        <v>0</v>
      </c>
      <c r="AA26" s="80">
        <v>0</v>
      </c>
      <c r="AB26" s="80">
        <v>0</v>
      </c>
      <c r="AC26" s="80">
        <v>0</v>
      </c>
      <c r="AD26" s="80">
        <v>0</v>
      </c>
      <c r="AE26" s="80">
        <v>0</v>
      </c>
      <c r="AF26" s="80">
        <f t="shared" si="1"/>
        <v>0</v>
      </c>
      <c r="AG26" s="80">
        <f>+COEF_FCM!AM33</f>
        <v>44056</v>
      </c>
      <c r="AH26" s="80">
        <f>+COEF_FCM!AR33</f>
        <v>0</v>
      </c>
      <c r="AI26" s="80">
        <f>+COEF_FCM!AN33</f>
        <v>24121</v>
      </c>
      <c r="AJ26" s="80">
        <f>+COEF_FCM!AS33</f>
        <v>0</v>
      </c>
      <c r="AK26" s="80">
        <f>+COEF_FCM!AO33</f>
        <v>51726</v>
      </c>
      <c r="AL26" s="80">
        <f>+COEF_FCM!AT33</f>
        <v>0</v>
      </c>
      <c r="AM26" s="80">
        <f>+COEF_FCM!AP33</f>
        <v>24076</v>
      </c>
      <c r="AN26" s="80">
        <f>+COEF_FCM!AU33</f>
        <v>0</v>
      </c>
      <c r="AO26" s="80">
        <f>+COEF_FCM!AQ33</f>
        <v>143979</v>
      </c>
      <c r="AP26" s="80">
        <f>+COEF_FCM!AV33</f>
        <v>0</v>
      </c>
      <c r="AQ26" s="80">
        <f>+_CIERRE!O26+_CIERRE!P26</f>
        <v>2413106.875</v>
      </c>
      <c r="AR26" s="80">
        <f>+_CIERRE!Q26+_CIERRE!R26</f>
        <v>2744340.051</v>
      </c>
      <c r="AS26" s="80">
        <f>+_CIERRE!S26+_CIERRE!T26</f>
        <v>3414152.7409999999</v>
      </c>
      <c r="AT26" s="80">
        <f>+_CIERRE!U26+_CIERRE!V26</f>
        <v>4019100.35</v>
      </c>
      <c r="AU26" s="80">
        <f>+'CALC MEC ESTAB Y ESTIM M FINAL'!T31</f>
        <v>4376384</v>
      </c>
      <c r="AV26" s="560">
        <v>0</v>
      </c>
      <c r="AW26" s="551">
        <v>816784.15399999998</v>
      </c>
      <c r="AX26" s="551">
        <v>2434912.1800000002</v>
      </c>
      <c r="AY26" s="551">
        <v>0</v>
      </c>
      <c r="AZ26" s="551">
        <v>353769.44199999998</v>
      </c>
      <c r="BA26" s="551">
        <v>363393.26400000002</v>
      </c>
    </row>
    <row r="27" spans="1:53" ht="3" customHeight="1" x14ac:dyDescent="0.2">
      <c r="A27" s="68" t="str">
        <f>IF(LEN(+'_DATA STT PAGOS_'!M32)=4,"0"&amp;+'_DATA STT PAGOS_'!M32,+'_DATA STT PAGOS_'!M32)</f>
        <v>04101</v>
      </c>
      <c r="B27" s="68" t="str">
        <f>IF(LEN(+'_DATA STT PAGOS_'!N32)=4,"0"&amp;+'_DATA STT PAGOS_'!N32,+'_DATA STT PAGOS_'!N32)</f>
        <v>04101</v>
      </c>
      <c r="C27" s="76" t="str">
        <f>+'_DATA STT PAGOS_'!O32</f>
        <v>LA SERENA</v>
      </c>
      <c r="D27" s="80">
        <f>+'CALC MEC ESTAB Y ESTIM M FINAL'!U32</f>
        <v>15618802</v>
      </c>
      <c r="E27" s="77">
        <f>+'CALC MEC ESTAB Y ESTIM M FINAL'!Q32</f>
        <v>4.2805304101000002E-3</v>
      </c>
      <c r="F27" s="77">
        <f>+'CALC MEC ESTAB Y ESTIM M FINAL'!R32</f>
        <v>1.2222228648000001E-3</v>
      </c>
      <c r="G27" s="80">
        <f>+'_Flujo con Glosa 08'!CE32</f>
        <v>757716</v>
      </c>
      <c r="H27" s="80">
        <f>+'_Flujo con Glosa 08'!CF32</f>
        <v>757716</v>
      </c>
      <c r="I27" s="80">
        <f>+'_Flujo con Glosa 08'!CG32</f>
        <v>688288</v>
      </c>
      <c r="J27" s="80">
        <f>+'_Flujo con Glosa 08'!CH32</f>
        <v>757716</v>
      </c>
      <c r="K27" s="80">
        <f>+'_Flujo con Glosa 08'!CI32</f>
        <v>1996935</v>
      </c>
      <c r="L27" s="80">
        <f>+'_Flujo con Glosa 08'!CJ32</f>
        <v>778519</v>
      </c>
      <c r="M27" s="80">
        <f>+'_Flujo con Glosa 08'!CK32</f>
        <v>1272526</v>
      </c>
      <c r="N27" s="80">
        <f>+'_Flujo con Glosa 08'!CL32</f>
        <v>757716</v>
      </c>
      <c r="O27" s="80">
        <f>+'_Flujo con Glosa 08'!CM32</f>
        <v>830512</v>
      </c>
      <c r="P27" s="80">
        <f>+'_Flujo con Glosa 08'!CN32</f>
        <v>1318810</v>
      </c>
      <c r="Q27" s="80">
        <f>+'_Flujo con Glosa 08'!CO32</f>
        <v>757716</v>
      </c>
      <c r="R27" s="80">
        <f>+'_Flujo con Glosa 08'!CP32</f>
        <v>1266750</v>
      </c>
      <c r="S27" s="80">
        <f t="shared" si="0"/>
        <v>11940920</v>
      </c>
      <c r="T27" s="80">
        <v>0</v>
      </c>
      <c r="U27" s="80">
        <v>0</v>
      </c>
      <c r="V27" s="80">
        <v>0</v>
      </c>
      <c r="W27" s="80">
        <v>0</v>
      </c>
      <c r="X27" s="80">
        <v>0</v>
      </c>
      <c r="Y27" s="80">
        <v>0</v>
      </c>
      <c r="Z27" s="80">
        <v>0</v>
      </c>
      <c r="AA27" s="80">
        <v>0</v>
      </c>
      <c r="AB27" s="80">
        <v>0</v>
      </c>
      <c r="AC27" s="80">
        <v>0</v>
      </c>
      <c r="AD27" s="80">
        <v>0</v>
      </c>
      <c r="AE27" s="80">
        <v>0</v>
      </c>
      <c r="AF27" s="80">
        <f t="shared" si="1"/>
        <v>0</v>
      </c>
      <c r="AG27" s="80">
        <f>+COEF_FCM!AM34</f>
        <v>2430008</v>
      </c>
      <c r="AH27" s="80">
        <f>+COEF_FCM!AR34</f>
        <v>286035</v>
      </c>
      <c r="AI27" s="80">
        <f>+COEF_FCM!AN34</f>
        <v>1595702</v>
      </c>
      <c r="AJ27" s="80">
        <f>+COEF_FCM!AS34</f>
        <v>133404</v>
      </c>
      <c r="AK27" s="80">
        <f>+COEF_FCM!AO34</f>
        <v>1864827</v>
      </c>
      <c r="AL27" s="80">
        <f>+COEF_FCM!AT34</f>
        <v>173835.8</v>
      </c>
      <c r="AM27" s="80">
        <f>+COEF_FCM!AP34</f>
        <v>1650520</v>
      </c>
      <c r="AN27" s="80">
        <f>+COEF_FCM!AU34</f>
        <v>121929</v>
      </c>
      <c r="AO27" s="80">
        <f>+COEF_FCM!AQ34</f>
        <v>7541057</v>
      </c>
      <c r="AP27" s="80">
        <f>+COEF_FCM!AV34</f>
        <v>715203.8</v>
      </c>
      <c r="AQ27" s="80">
        <f>+_CIERRE!O27+_CIERRE!P27</f>
        <v>13803333.814999999</v>
      </c>
      <c r="AR27" s="80">
        <f>+_CIERRE!Q27+_CIERRE!R27</f>
        <v>14965312.199999999</v>
      </c>
      <c r="AS27" s="80">
        <f>+_CIERRE!S27+_CIERRE!T27</f>
        <v>15474048.626</v>
      </c>
      <c r="AT27" s="80">
        <f>+_CIERRE!U27+_CIERRE!V27</f>
        <v>15618801.604</v>
      </c>
      <c r="AU27" s="80">
        <f>+'CALC MEC ESTAB Y ESTIM M FINAL'!T32</f>
        <v>15618802</v>
      </c>
      <c r="AV27" s="560">
        <v>0</v>
      </c>
      <c r="AW27" s="551">
        <v>1605790.007</v>
      </c>
      <c r="AX27" s="551">
        <v>1823207.7649999999</v>
      </c>
      <c r="AY27" s="551">
        <v>0</v>
      </c>
      <c r="AZ27" s="551">
        <v>0</v>
      </c>
      <c r="BA27" s="551">
        <v>0</v>
      </c>
    </row>
    <row r="28" spans="1:53" ht="3" customHeight="1" x14ac:dyDescent="0.2">
      <c r="A28" s="68" t="str">
        <f>IF(LEN(+'_DATA STT PAGOS_'!M33)=4,"0"&amp;+'_DATA STT PAGOS_'!M33,+'_DATA STT PAGOS_'!M33)</f>
        <v>04102</v>
      </c>
      <c r="B28" s="68" t="str">
        <f>IF(LEN(+'_DATA STT PAGOS_'!N33)=4,"0"&amp;+'_DATA STT PAGOS_'!N33,+'_DATA STT PAGOS_'!N33)</f>
        <v>04103</v>
      </c>
      <c r="C28" s="76" t="str">
        <f>+'_DATA STT PAGOS_'!O33</f>
        <v>COQUIMBO</v>
      </c>
      <c r="D28" s="80">
        <f>+'CALC MEC ESTAB Y ESTIM M FINAL'!U33</f>
        <v>33376494</v>
      </c>
      <c r="E28" s="77">
        <f>+'CALC MEC ESTAB Y ESTIM M FINAL'!Q33</f>
        <v>1.2365458046400001E-2</v>
      </c>
      <c r="F28" s="77">
        <f>+'CALC MEC ESTAB Y ESTIM M FINAL'!R33</f>
        <v>-6.0638617060000005E-4</v>
      </c>
      <c r="G28" s="80">
        <f>+'_Flujo con Glosa 08'!CE33</f>
        <v>1549321</v>
      </c>
      <c r="H28" s="80">
        <f>+'_Flujo con Glosa 08'!CF33</f>
        <v>1549321</v>
      </c>
      <c r="I28" s="80">
        <f>+'_Flujo con Glosa 08'!CG33</f>
        <v>1470833</v>
      </c>
      <c r="J28" s="80">
        <f>+'_Flujo con Glosa 08'!CH33</f>
        <v>1549321</v>
      </c>
      <c r="K28" s="80">
        <f>+'_Flujo con Glosa 08'!CI33</f>
        <v>4476962</v>
      </c>
      <c r="L28" s="80">
        <f>+'_Flujo con Glosa 08'!CJ33</f>
        <v>1593775</v>
      </c>
      <c r="M28" s="80">
        <f>+'_Flujo con Glosa 08'!CK33</f>
        <v>2732447</v>
      </c>
      <c r="N28" s="80">
        <f>+'_Flujo con Glosa 08'!CL33</f>
        <v>1549321</v>
      </c>
      <c r="O28" s="80">
        <f>+'_Flujo con Glosa 08'!CM33</f>
        <v>1774755</v>
      </c>
      <c r="P28" s="80">
        <f>+'_Flujo con Glosa 08'!CN33</f>
        <v>2944843</v>
      </c>
      <c r="Q28" s="80">
        <f>+'_Flujo con Glosa 08'!CO33</f>
        <v>1549321</v>
      </c>
      <c r="R28" s="80">
        <f>+'_Flujo con Glosa 08'!CP33</f>
        <v>2776847</v>
      </c>
      <c r="S28" s="80">
        <f t="shared" si="0"/>
        <v>25517067</v>
      </c>
      <c r="T28" s="80">
        <v>0</v>
      </c>
      <c r="U28" s="80">
        <v>0</v>
      </c>
      <c r="V28" s="80">
        <v>0</v>
      </c>
      <c r="W28" s="80">
        <v>0</v>
      </c>
      <c r="X28" s="80">
        <v>0</v>
      </c>
      <c r="Y28" s="80">
        <v>0</v>
      </c>
      <c r="Z28" s="80">
        <v>0</v>
      </c>
      <c r="AA28" s="80">
        <v>0</v>
      </c>
      <c r="AB28" s="80">
        <v>0</v>
      </c>
      <c r="AC28" s="80">
        <v>0</v>
      </c>
      <c r="AD28" s="80">
        <v>0</v>
      </c>
      <c r="AE28" s="80">
        <v>0</v>
      </c>
      <c r="AF28" s="80">
        <f t="shared" si="1"/>
        <v>0</v>
      </c>
      <c r="AG28" s="80">
        <f>+COEF_FCM!AM35</f>
        <v>1506795</v>
      </c>
      <c r="AH28" s="80">
        <f>+COEF_FCM!AR35</f>
        <v>172878</v>
      </c>
      <c r="AI28" s="80">
        <f>+COEF_FCM!AN35</f>
        <v>1006766</v>
      </c>
      <c r="AJ28" s="80">
        <f>+COEF_FCM!AS35</f>
        <v>78651</v>
      </c>
      <c r="AK28" s="80">
        <f>+COEF_FCM!AO35</f>
        <v>1165703</v>
      </c>
      <c r="AL28" s="80">
        <f>+COEF_FCM!AT35</f>
        <v>103889.81</v>
      </c>
      <c r="AM28" s="80">
        <f>+COEF_FCM!AP35</f>
        <v>1186564</v>
      </c>
      <c r="AN28" s="80">
        <f>+COEF_FCM!AU35</f>
        <v>76318</v>
      </c>
      <c r="AO28" s="80">
        <f>+COEF_FCM!AQ35</f>
        <v>4865828</v>
      </c>
      <c r="AP28" s="80">
        <f>+COEF_FCM!AV35</f>
        <v>431736.81</v>
      </c>
      <c r="AQ28" s="80">
        <f>+_CIERRE!O28+_CIERRE!P28</f>
        <v>25364103.065000001</v>
      </c>
      <c r="AR28" s="80">
        <f>+_CIERRE!Q28+_CIERRE!R28</f>
        <v>29387027.828000002</v>
      </c>
      <c r="AS28" s="80">
        <f>+_CIERRE!S28+_CIERRE!T28</f>
        <v>30386022</v>
      </c>
      <c r="AT28" s="80">
        <f>+_CIERRE!U28+_CIERRE!V28</f>
        <v>31940954.114999998</v>
      </c>
      <c r="AU28" s="80">
        <f>+'CALC MEC ESTAB Y ESTIM M FINAL'!T33</f>
        <v>33376494</v>
      </c>
      <c r="AV28" s="560">
        <v>0</v>
      </c>
      <c r="AW28" s="551">
        <v>1451686.763</v>
      </c>
      <c r="AX28" s="551">
        <v>1528037.3060000001</v>
      </c>
      <c r="AY28" s="551">
        <v>0</v>
      </c>
      <c r="AZ28" s="551">
        <v>0</v>
      </c>
      <c r="BA28" s="551">
        <v>0</v>
      </c>
    </row>
    <row r="29" spans="1:53" ht="3" customHeight="1" x14ac:dyDescent="0.2">
      <c r="A29" s="68" t="str">
        <f>IF(LEN(+'_DATA STT PAGOS_'!M34)=4,"0"&amp;+'_DATA STT PAGOS_'!M34,+'_DATA STT PAGOS_'!M34)</f>
        <v>04103</v>
      </c>
      <c r="B29" s="68" t="str">
        <f>IF(LEN(+'_DATA STT PAGOS_'!N34)=4,"0"&amp;+'_DATA STT PAGOS_'!N34,+'_DATA STT PAGOS_'!N34)</f>
        <v>04104</v>
      </c>
      <c r="C29" s="76" t="str">
        <f>+'_DATA STT PAGOS_'!O34</f>
        <v>ANDACOLLO</v>
      </c>
      <c r="D29" s="80">
        <f>+'CALC MEC ESTAB Y ESTIM M FINAL'!U34</f>
        <v>3826701</v>
      </c>
      <c r="E29" s="77">
        <f>+'CALC MEC ESTAB Y ESTIM M FINAL'!Q34</f>
        <v>1.4634594166E-3</v>
      </c>
      <c r="F29" s="77">
        <f>+'CALC MEC ESTAB Y ESTIM M FINAL'!R34</f>
        <v>-1.152513626E-4</v>
      </c>
      <c r="G29" s="80">
        <f>+'_Flujo con Glosa 08'!CE34</f>
        <v>172302</v>
      </c>
      <c r="H29" s="80">
        <f>+'_Flujo con Glosa 08'!CF34</f>
        <v>172302</v>
      </c>
      <c r="I29" s="80">
        <f>+'_Flujo con Glosa 08'!CG34</f>
        <v>168635</v>
      </c>
      <c r="J29" s="80">
        <f>+'_Flujo con Glosa 08'!CH34</f>
        <v>172302</v>
      </c>
      <c r="K29" s="80">
        <f>+'_Flujo con Glosa 08'!CI34</f>
        <v>529291</v>
      </c>
      <c r="L29" s="80">
        <f>+'_Flujo con Glosa 08'!CJ34</f>
        <v>177399</v>
      </c>
      <c r="M29" s="80">
        <f>+'_Flujo con Glosa 08'!CK34</f>
        <v>318614</v>
      </c>
      <c r="N29" s="80">
        <f>+'_Flujo con Glosa 08'!CL34</f>
        <v>172302</v>
      </c>
      <c r="O29" s="80">
        <f>+'_Flujo con Glosa 08'!CM34</f>
        <v>203481</v>
      </c>
      <c r="P29" s="80">
        <f>+'_Flujo con Glosa 08'!CN34</f>
        <v>342966</v>
      </c>
      <c r="Q29" s="80">
        <f>+'_Flujo con Glosa 08'!CO34</f>
        <v>172302</v>
      </c>
      <c r="R29" s="80">
        <f>+'_Flujo con Glosa 08'!CP34</f>
        <v>323705</v>
      </c>
      <c r="S29" s="80">
        <f t="shared" si="0"/>
        <v>2925601</v>
      </c>
      <c r="T29" s="80">
        <v>0</v>
      </c>
      <c r="U29" s="80">
        <v>0</v>
      </c>
      <c r="V29" s="80">
        <v>0</v>
      </c>
      <c r="W29" s="80">
        <v>0</v>
      </c>
      <c r="X29" s="80">
        <v>0</v>
      </c>
      <c r="Y29" s="80">
        <v>0</v>
      </c>
      <c r="Z29" s="80">
        <v>0</v>
      </c>
      <c r="AA29" s="80">
        <v>0</v>
      </c>
      <c r="AB29" s="80">
        <v>0</v>
      </c>
      <c r="AC29" s="80">
        <v>0</v>
      </c>
      <c r="AD29" s="80">
        <v>0</v>
      </c>
      <c r="AE29" s="80">
        <v>0</v>
      </c>
      <c r="AF29" s="80">
        <f t="shared" si="1"/>
        <v>0</v>
      </c>
      <c r="AG29" s="80">
        <f>+COEF_FCM!AM36</f>
        <v>11809</v>
      </c>
      <c r="AH29" s="80">
        <f>+COEF_FCM!AR36</f>
        <v>392</v>
      </c>
      <c r="AI29" s="80">
        <f>+COEF_FCM!AN36</f>
        <v>11879</v>
      </c>
      <c r="AJ29" s="80">
        <f>+COEF_FCM!AS36</f>
        <v>103</v>
      </c>
      <c r="AK29" s="80">
        <f>+COEF_FCM!AO36</f>
        <v>10267</v>
      </c>
      <c r="AL29" s="80">
        <f>+COEF_FCM!AT36</f>
        <v>204.69800000000001</v>
      </c>
      <c r="AM29" s="80">
        <f>+COEF_FCM!AP36</f>
        <v>16205</v>
      </c>
      <c r="AN29" s="80">
        <f>+COEF_FCM!AU36</f>
        <v>148</v>
      </c>
      <c r="AO29" s="80">
        <f>+COEF_FCM!AQ36</f>
        <v>50160</v>
      </c>
      <c r="AP29" s="80">
        <f>+COEF_FCM!AV36</f>
        <v>847.69799999999998</v>
      </c>
      <c r="AQ29" s="80">
        <f>+_CIERRE!O29+_CIERRE!P29</f>
        <v>2627316.5619999999</v>
      </c>
      <c r="AR29" s="80">
        <f>+_CIERRE!Q29+_CIERRE!R29</f>
        <v>3135196.15</v>
      </c>
      <c r="AS29" s="80">
        <f>+_CIERRE!S29+_CIERRE!T29</f>
        <v>3470435.696</v>
      </c>
      <c r="AT29" s="80">
        <f>+_CIERRE!U29+_CIERRE!V29</f>
        <v>3553857.9780000001</v>
      </c>
      <c r="AU29" s="80">
        <f>+'CALC MEC ESTAB Y ESTIM M FINAL'!T34</f>
        <v>3826701</v>
      </c>
      <c r="AV29" s="560">
        <v>0</v>
      </c>
      <c r="AW29" s="551">
        <v>1641576.7779999999</v>
      </c>
      <c r="AX29" s="551">
        <v>1676732.5859999999</v>
      </c>
      <c r="AY29" s="551">
        <v>0</v>
      </c>
      <c r="AZ29" s="551">
        <v>350913.12199999997</v>
      </c>
      <c r="BA29" s="551">
        <v>360944.38299999997</v>
      </c>
    </row>
    <row r="30" spans="1:53" ht="3" customHeight="1" x14ac:dyDescent="0.2">
      <c r="A30" s="68" t="str">
        <f>IF(LEN(+'_DATA STT PAGOS_'!M35)=4,"0"&amp;+'_DATA STT PAGOS_'!M35,+'_DATA STT PAGOS_'!M35)</f>
        <v>04104</v>
      </c>
      <c r="B30" s="68" t="str">
        <f>IF(LEN(+'_DATA STT PAGOS_'!N35)=4,"0"&amp;+'_DATA STT PAGOS_'!N35,+'_DATA STT PAGOS_'!N35)</f>
        <v>04102</v>
      </c>
      <c r="C30" s="76" t="str">
        <f>+'_DATA STT PAGOS_'!O35</f>
        <v>LA HIGUERA</v>
      </c>
      <c r="D30" s="80">
        <f>+'CALC MEC ESTAB Y ESTIM M FINAL'!U35</f>
        <v>3641912</v>
      </c>
      <c r="E30" s="77">
        <f>+'CALC MEC ESTAB Y ESTIM M FINAL'!Q35</f>
        <v>1.5283578196999999E-3</v>
      </c>
      <c r="F30" s="77">
        <f>+'CALC MEC ESTAB Y ESTIM M FINAL'!R35</f>
        <v>-2.4525419509999999E-4</v>
      </c>
      <c r="G30" s="80">
        <f>+'_Flujo con Glosa 08'!CE35</f>
        <v>148545</v>
      </c>
      <c r="H30" s="80">
        <f>+'_Flujo con Glosa 08'!CF35</f>
        <v>148545</v>
      </c>
      <c r="I30" s="80">
        <f>+'_Flujo con Glosa 08'!CG35</f>
        <v>160492</v>
      </c>
      <c r="J30" s="80">
        <f>+'_Flujo con Glosa 08'!CH35</f>
        <v>148545</v>
      </c>
      <c r="K30" s="80">
        <f>+'_Flujo con Glosa 08'!CI35</f>
        <v>550040</v>
      </c>
      <c r="L30" s="80">
        <f>+'_Flujo con Glosa 08'!CJ35</f>
        <v>153396</v>
      </c>
      <c r="M30" s="80">
        <f>+'_Flujo con Glosa 08'!CK35</f>
        <v>318665</v>
      </c>
      <c r="N30" s="80">
        <f>+'_Flujo con Glosa 08'!CL35</f>
        <v>148545</v>
      </c>
      <c r="O30" s="80">
        <f>+'_Flujo con Glosa 08'!CM35</f>
        <v>193654</v>
      </c>
      <c r="P30" s="80">
        <f>+'_Flujo con Glosa 08'!CN35</f>
        <v>341840</v>
      </c>
      <c r="Q30" s="80">
        <f>+'_Flujo con Glosa 08'!CO35</f>
        <v>148545</v>
      </c>
      <c r="R30" s="80">
        <f>+'_Flujo con Glosa 08'!CP35</f>
        <v>323509</v>
      </c>
      <c r="S30" s="80">
        <f t="shared" si="0"/>
        <v>2784321</v>
      </c>
      <c r="T30" s="80">
        <v>0</v>
      </c>
      <c r="U30" s="80">
        <v>0</v>
      </c>
      <c r="V30" s="80">
        <v>0</v>
      </c>
      <c r="W30" s="80">
        <v>0</v>
      </c>
      <c r="X30" s="80">
        <v>0</v>
      </c>
      <c r="Y30" s="80">
        <v>0</v>
      </c>
      <c r="Z30" s="80">
        <v>0</v>
      </c>
      <c r="AA30" s="80">
        <v>0</v>
      </c>
      <c r="AB30" s="80">
        <v>0</v>
      </c>
      <c r="AC30" s="80">
        <v>0</v>
      </c>
      <c r="AD30" s="80">
        <v>0</v>
      </c>
      <c r="AE30" s="80">
        <v>0</v>
      </c>
      <c r="AF30" s="80">
        <f t="shared" si="1"/>
        <v>0</v>
      </c>
      <c r="AG30" s="80">
        <f>+COEF_FCM!AM37</f>
        <v>10841</v>
      </c>
      <c r="AH30" s="80">
        <f>+COEF_FCM!AR37</f>
        <v>0</v>
      </c>
      <c r="AI30" s="80">
        <f>+COEF_FCM!AN37</f>
        <v>8004</v>
      </c>
      <c r="AJ30" s="80">
        <f>+COEF_FCM!AS37</f>
        <v>0</v>
      </c>
      <c r="AK30" s="80">
        <f>+COEF_FCM!AO37</f>
        <v>9565</v>
      </c>
      <c r="AL30" s="80">
        <f>+COEF_FCM!AT37</f>
        <v>0</v>
      </c>
      <c r="AM30" s="80">
        <f>+COEF_FCM!AP37</f>
        <v>7465</v>
      </c>
      <c r="AN30" s="80">
        <f>+COEF_FCM!AU37</f>
        <v>0</v>
      </c>
      <c r="AO30" s="80">
        <f>+COEF_FCM!AQ37</f>
        <v>35875</v>
      </c>
      <c r="AP30" s="80">
        <f>+COEF_FCM!AV37</f>
        <v>0</v>
      </c>
      <c r="AQ30" s="80">
        <f>+_CIERRE!O30+_CIERRE!P30</f>
        <v>2140202.2579999999</v>
      </c>
      <c r="AR30" s="80">
        <f>+_CIERRE!Q30+_CIERRE!R30</f>
        <v>2464699.6540000001</v>
      </c>
      <c r="AS30" s="80">
        <f>+_CIERRE!S30+_CIERRE!T30</f>
        <v>2683163.4270000001</v>
      </c>
      <c r="AT30" s="80">
        <f>+_CIERRE!U30+_CIERRE!V30</f>
        <v>3061305.4210000001</v>
      </c>
      <c r="AU30" s="80">
        <f>+'CALC MEC ESTAB Y ESTIM M FINAL'!T35</f>
        <v>3641912</v>
      </c>
      <c r="AV30" s="560">
        <v>0</v>
      </c>
      <c r="AW30" s="551">
        <v>705297.125</v>
      </c>
      <c r="AX30" s="551">
        <v>731325.25300000003</v>
      </c>
      <c r="AY30" s="551">
        <v>0</v>
      </c>
      <c r="AZ30" s="551">
        <v>335710.43599999999</v>
      </c>
      <c r="BA30" s="551">
        <v>344509.20500000002</v>
      </c>
    </row>
    <row r="31" spans="1:53" ht="3" customHeight="1" x14ac:dyDescent="0.2">
      <c r="A31" s="68" t="str">
        <f>IF(LEN(+'_DATA STT PAGOS_'!M36)=4,"0"&amp;+'_DATA STT PAGOS_'!M36,+'_DATA STT PAGOS_'!M36)</f>
        <v>04105</v>
      </c>
      <c r="B31" s="68" t="str">
        <f>IF(LEN(+'_DATA STT PAGOS_'!N36)=4,"0"&amp;+'_DATA STT PAGOS_'!N36,+'_DATA STT PAGOS_'!N36)</f>
        <v>04106</v>
      </c>
      <c r="C31" s="76" t="str">
        <f>+'_DATA STT PAGOS_'!O36</f>
        <v>PAIGUANO</v>
      </c>
      <c r="D31" s="80">
        <f>+'CALC MEC ESTAB Y ESTIM M FINAL'!U36</f>
        <v>3559808</v>
      </c>
      <c r="E31" s="77">
        <f>+'CALC MEC ESTAB Y ESTIM M FINAL'!Q36</f>
        <v>1.2652333860999998E-3</v>
      </c>
      <c r="F31" s="77">
        <f>+'CALC MEC ESTAB Y ESTIM M FINAL'!R36</f>
        <v>-1.1056027500000001E-5</v>
      </c>
      <c r="G31" s="80">
        <f>+'_Flujo con Glosa 08'!CE36</f>
        <v>171429</v>
      </c>
      <c r="H31" s="80">
        <f>+'_Flujo con Glosa 08'!CF36</f>
        <v>171429</v>
      </c>
      <c r="I31" s="80">
        <f>+'_Flujo con Glosa 08'!CG36</f>
        <v>156873</v>
      </c>
      <c r="J31" s="80">
        <f>+'_Flujo con Glosa 08'!CH36</f>
        <v>171429</v>
      </c>
      <c r="K31" s="80">
        <f>+'_Flujo con Glosa 08'!CI36</f>
        <v>458943</v>
      </c>
      <c r="L31" s="80">
        <f>+'_Flujo con Glosa 08'!CJ36</f>
        <v>176170</v>
      </c>
      <c r="M31" s="80">
        <f>+'_Flujo con Glosa 08'!CK36</f>
        <v>288105</v>
      </c>
      <c r="N31" s="80">
        <f>+'_Flujo con Glosa 08'!CL36</f>
        <v>171429</v>
      </c>
      <c r="O31" s="80">
        <f>+'_Flujo con Glosa 08'!CM36</f>
        <v>189288</v>
      </c>
      <c r="P31" s="80">
        <f>+'_Flujo con Glosa 08'!CN36</f>
        <v>305044</v>
      </c>
      <c r="Q31" s="80">
        <f>+'_Flujo con Glosa 08'!CO36</f>
        <v>171429</v>
      </c>
      <c r="R31" s="80">
        <f>+'_Flujo con Glosa 08'!CP36</f>
        <v>289984</v>
      </c>
      <c r="S31" s="80">
        <f t="shared" si="0"/>
        <v>2721552</v>
      </c>
      <c r="T31" s="80">
        <v>0</v>
      </c>
      <c r="U31" s="80">
        <v>0</v>
      </c>
      <c r="V31" s="80">
        <v>0</v>
      </c>
      <c r="W31" s="80">
        <v>0</v>
      </c>
      <c r="X31" s="80">
        <v>0</v>
      </c>
      <c r="Y31" s="80">
        <v>0</v>
      </c>
      <c r="Z31" s="80">
        <v>0</v>
      </c>
      <c r="AA31" s="80">
        <v>0</v>
      </c>
      <c r="AB31" s="80">
        <v>0</v>
      </c>
      <c r="AC31" s="80">
        <v>0</v>
      </c>
      <c r="AD31" s="80">
        <v>0</v>
      </c>
      <c r="AE31" s="80">
        <v>0</v>
      </c>
      <c r="AF31" s="80">
        <f t="shared" si="1"/>
        <v>0</v>
      </c>
      <c r="AG31" s="80">
        <f>+COEF_FCM!AM38</f>
        <v>19234</v>
      </c>
      <c r="AH31" s="80">
        <f>+COEF_FCM!AR38</f>
        <v>171</v>
      </c>
      <c r="AI31" s="80">
        <f>+COEF_FCM!AN38</f>
        <v>11506</v>
      </c>
      <c r="AJ31" s="80">
        <f>+COEF_FCM!AS38</f>
        <v>133</v>
      </c>
      <c r="AK31" s="80">
        <f>+COEF_FCM!AO38</f>
        <v>12933</v>
      </c>
      <c r="AL31" s="80">
        <f>+COEF_FCM!AT38</f>
        <v>83.111999999999995</v>
      </c>
      <c r="AM31" s="80">
        <f>+COEF_FCM!AP38</f>
        <v>12879</v>
      </c>
      <c r="AN31" s="80">
        <f>+COEF_FCM!AU38</f>
        <v>54</v>
      </c>
      <c r="AO31" s="80">
        <f>+COEF_FCM!AQ38</f>
        <v>56552</v>
      </c>
      <c r="AP31" s="80">
        <f>+COEF_FCM!AV38</f>
        <v>441.11199999999997</v>
      </c>
      <c r="AQ31" s="80">
        <f>+_CIERRE!O31+_CIERRE!P31</f>
        <v>2640257.7349999999</v>
      </c>
      <c r="AR31" s="80">
        <f>+_CIERRE!Q31+_CIERRE!R31</f>
        <v>3056511.7489999998</v>
      </c>
      <c r="AS31" s="80">
        <f>+_CIERRE!S31+_CIERRE!T31</f>
        <v>3402026.09</v>
      </c>
      <c r="AT31" s="80">
        <f>+_CIERRE!U31+_CIERRE!V31</f>
        <v>3533634.355</v>
      </c>
      <c r="AU31" s="80">
        <f>+'CALC MEC ESTAB Y ESTIM M FINAL'!T36</f>
        <v>3559808</v>
      </c>
      <c r="AV31" s="560">
        <v>0</v>
      </c>
      <c r="AW31" s="551">
        <v>0</v>
      </c>
      <c r="AX31" s="551">
        <v>0</v>
      </c>
      <c r="AY31" s="551">
        <v>0</v>
      </c>
      <c r="AZ31" s="551">
        <v>309724.64199999999</v>
      </c>
      <c r="BA31" s="551">
        <v>318377.53999999998</v>
      </c>
    </row>
    <row r="32" spans="1:53" ht="3" customHeight="1" x14ac:dyDescent="0.2">
      <c r="A32" s="68" t="str">
        <f>IF(LEN(+'_DATA STT PAGOS_'!M37)=4,"0"&amp;+'_DATA STT PAGOS_'!M37,+'_DATA STT PAGOS_'!M37)</f>
        <v>04106</v>
      </c>
      <c r="B32" s="68" t="str">
        <f>IF(LEN(+'_DATA STT PAGOS_'!N37)=4,"0"&amp;+'_DATA STT PAGOS_'!N37,+'_DATA STT PAGOS_'!N37)</f>
        <v>04105</v>
      </c>
      <c r="C32" s="76" t="str">
        <f>+'_DATA STT PAGOS_'!O37</f>
        <v>VICUÑA</v>
      </c>
      <c r="D32" s="80">
        <f>+'CALC MEC ESTAB Y ESTIM M FINAL'!U37</f>
        <v>10110985</v>
      </c>
      <c r="E32" s="77">
        <f>+'CALC MEC ESTAB Y ESTIM M FINAL'!Q37</f>
        <v>3.9204895318E-3</v>
      </c>
      <c r="F32" s="77">
        <f>+'CALC MEC ESTAB Y ESTIM M FINAL'!R37</f>
        <v>-3.5822783490000002E-4</v>
      </c>
      <c r="G32" s="80">
        <f>+'_Flujo con Glosa 08'!CE37</f>
        <v>449213</v>
      </c>
      <c r="H32" s="80">
        <f>+'_Flujo con Glosa 08'!CF37</f>
        <v>449213</v>
      </c>
      <c r="I32" s="80">
        <f>+'_Flujo con Glosa 08'!CG37</f>
        <v>445570</v>
      </c>
      <c r="J32" s="80">
        <f>+'_Flujo con Glosa 08'!CH37</f>
        <v>449213</v>
      </c>
      <c r="K32" s="80">
        <f>+'_Flujo con Glosa 08'!CI37</f>
        <v>1416641</v>
      </c>
      <c r="L32" s="80">
        <f>+'_Flujo con Glosa 08'!CJ37</f>
        <v>462680</v>
      </c>
      <c r="M32" s="80">
        <f>+'_Flujo con Glosa 08'!CK37</f>
        <v>847893</v>
      </c>
      <c r="N32" s="80">
        <f>+'_Flujo con Glosa 08'!CL37</f>
        <v>449213</v>
      </c>
      <c r="O32" s="80">
        <f>+'_Flujo con Glosa 08'!CM37</f>
        <v>537639</v>
      </c>
      <c r="P32" s="80">
        <f>+'_Flujo con Glosa 08'!CN37</f>
        <v>912237</v>
      </c>
      <c r="Q32" s="80">
        <f>+'_Flujo con Glosa 08'!CO37</f>
        <v>449213</v>
      </c>
      <c r="R32" s="80">
        <f>+'_Flujo con Glosa 08'!CP37</f>
        <v>861345</v>
      </c>
      <c r="S32" s="80">
        <f t="shared" si="0"/>
        <v>7730070</v>
      </c>
      <c r="T32" s="80">
        <v>0</v>
      </c>
      <c r="U32" s="80">
        <v>0</v>
      </c>
      <c r="V32" s="80">
        <v>0</v>
      </c>
      <c r="W32" s="80">
        <v>0</v>
      </c>
      <c r="X32" s="80">
        <v>0</v>
      </c>
      <c r="Y32" s="80">
        <v>0</v>
      </c>
      <c r="Z32" s="80">
        <v>0</v>
      </c>
      <c r="AA32" s="80">
        <v>0</v>
      </c>
      <c r="AB32" s="80">
        <v>0</v>
      </c>
      <c r="AC32" s="80">
        <v>0</v>
      </c>
      <c r="AD32" s="80">
        <v>0</v>
      </c>
      <c r="AE32" s="80">
        <v>0</v>
      </c>
      <c r="AF32" s="80">
        <f t="shared" si="1"/>
        <v>0</v>
      </c>
      <c r="AG32" s="80">
        <f>+COEF_FCM!AM39</f>
        <v>79026</v>
      </c>
      <c r="AH32" s="80">
        <f>+COEF_FCM!AR39</f>
        <v>2279</v>
      </c>
      <c r="AI32" s="80">
        <f>+COEF_FCM!AN39</f>
        <v>48512</v>
      </c>
      <c r="AJ32" s="80">
        <f>+COEF_FCM!AS39</f>
        <v>968</v>
      </c>
      <c r="AK32" s="80">
        <f>+COEF_FCM!AO39</f>
        <v>61729</v>
      </c>
      <c r="AL32" s="80">
        <f>+COEF_FCM!AT39</f>
        <v>1537.75</v>
      </c>
      <c r="AM32" s="80">
        <f>+COEF_FCM!AP39</f>
        <v>59297</v>
      </c>
      <c r="AN32" s="80">
        <f>+COEF_FCM!AU39</f>
        <v>1106</v>
      </c>
      <c r="AO32" s="80">
        <f>+COEF_FCM!AQ39</f>
        <v>248564</v>
      </c>
      <c r="AP32" s="80">
        <f>+COEF_FCM!AV39</f>
        <v>5890.75</v>
      </c>
      <c r="AQ32" s="80">
        <f>+_CIERRE!O32+_CIERRE!P32</f>
        <v>6491857.6310000001</v>
      </c>
      <c r="AR32" s="80">
        <f>+_CIERRE!Q32+_CIERRE!R32</f>
        <v>7656789.4850000003</v>
      </c>
      <c r="AS32" s="80">
        <f>+_CIERRE!S32+_CIERRE!T32</f>
        <v>8919989.8159999996</v>
      </c>
      <c r="AT32" s="80">
        <f>+_CIERRE!U32+_CIERRE!V32</f>
        <v>9262927.4979999997</v>
      </c>
      <c r="AU32" s="80">
        <f>+'CALC MEC ESTAB Y ESTIM M FINAL'!T37</f>
        <v>10110985</v>
      </c>
      <c r="AV32" s="560">
        <v>0</v>
      </c>
      <c r="AW32" s="551">
        <v>0</v>
      </c>
      <c r="AX32" s="551">
        <v>0</v>
      </c>
      <c r="AY32" s="551">
        <v>0</v>
      </c>
      <c r="AZ32" s="551">
        <v>495849.14899999998</v>
      </c>
      <c r="BA32" s="551">
        <v>494340.02799999999</v>
      </c>
    </row>
    <row r="33" spans="1:53" ht="3" customHeight="1" x14ac:dyDescent="0.2">
      <c r="A33" s="68" t="str">
        <f>IF(LEN(+'_DATA STT PAGOS_'!M38)=4,"0"&amp;+'_DATA STT PAGOS_'!M38,+'_DATA STT PAGOS_'!M38)</f>
        <v>04201</v>
      </c>
      <c r="B33" s="68" t="str">
        <f>IF(LEN(+'_DATA STT PAGOS_'!N38)=4,"0"&amp;+'_DATA STT PAGOS_'!N38,+'_DATA STT PAGOS_'!N38)</f>
        <v>04301</v>
      </c>
      <c r="C33" s="76" t="str">
        <f>+'_DATA STT PAGOS_'!O38</f>
        <v>ILLAPEL</v>
      </c>
      <c r="D33" s="80">
        <f>+'CALC MEC ESTAB Y ESTIM M FINAL'!U38</f>
        <v>7882126</v>
      </c>
      <c r="E33" s="77">
        <f>+'CALC MEC ESTAB Y ESTIM M FINAL'!Q38</f>
        <v>2.9426147622999997E-3</v>
      </c>
      <c r="F33" s="77">
        <f>+'CALC MEC ESTAB Y ESTIM M FINAL'!R38</f>
        <v>-1.6561598790000001E-4</v>
      </c>
      <c r="G33" s="80">
        <f>+'_Flujo con Glosa 08'!CE38</f>
        <v>363357</v>
      </c>
      <c r="H33" s="80">
        <f>+'_Flujo con Glosa 08'!CF38</f>
        <v>363357</v>
      </c>
      <c r="I33" s="80">
        <f>+'_Flujo con Glosa 08'!CG38</f>
        <v>347349</v>
      </c>
      <c r="J33" s="80">
        <f>+'_Flujo con Glosa 08'!CH38</f>
        <v>363357</v>
      </c>
      <c r="K33" s="80">
        <f>+'_Flujo con Glosa 08'!CI38</f>
        <v>1064853</v>
      </c>
      <c r="L33" s="80">
        <f>+'_Flujo con Glosa 08'!CJ38</f>
        <v>373855</v>
      </c>
      <c r="M33" s="80">
        <f>+'_Flujo con Glosa 08'!CK38</f>
        <v>647817</v>
      </c>
      <c r="N33" s="80">
        <f>+'_Flujo con Glosa 08'!CL38</f>
        <v>363357</v>
      </c>
      <c r="O33" s="80">
        <f>+'_Flujo con Glosa 08'!CM38</f>
        <v>419123</v>
      </c>
      <c r="P33" s="80">
        <f>+'_Flujo con Glosa 08'!CN38</f>
        <v>697976</v>
      </c>
      <c r="Q33" s="80">
        <f>+'_Flujo con Glosa 08'!CO38</f>
        <v>363357</v>
      </c>
      <c r="R33" s="80">
        <f>+'_Flujo con Glosa 08'!CP38</f>
        <v>658303</v>
      </c>
      <c r="S33" s="80">
        <f t="shared" si="0"/>
        <v>6026061</v>
      </c>
      <c r="T33" s="80">
        <v>0</v>
      </c>
      <c r="U33" s="80">
        <v>0</v>
      </c>
      <c r="V33" s="80">
        <v>0</v>
      </c>
      <c r="W33" s="80">
        <v>0</v>
      </c>
      <c r="X33" s="80">
        <v>0</v>
      </c>
      <c r="Y33" s="80">
        <v>0</v>
      </c>
      <c r="Z33" s="80">
        <v>0</v>
      </c>
      <c r="AA33" s="80">
        <v>0</v>
      </c>
      <c r="AB33" s="80">
        <v>0</v>
      </c>
      <c r="AC33" s="80">
        <v>0</v>
      </c>
      <c r="AD33" s="80">
        <v>0</v>
      </c>
      <c r="AE33" s="80">
        <v>0</v>
      </c>
      <c r="AF33" s="80">
        <f t="shared" si="1"/>
        <v>0</v>
      </c>
      <c r="AG33" s="80">
        <f>+COEF_FCM!AM40</f>
        <v>54014</v>
      </c>
      <c r="AH33" s="80">
        <f>+COEF_FCM!AR40</f>
        <v>4734</v>
      </c>
      <c r="AI33" s="80">
        <f>+COEF_FCM!AN40</f>
        <v>41008</v>
      </c>
      <c r="AJ33" s="80">
        <f>+COEF_FCM!AS40</f>
        <v>2608</v>
      </c>
      <c r="AK33" s="80">
        <f>+COEF_FCM!AO40</f>
        <v>41596</v>
      </c>
      <c r="AL33" s="80">
        <f>+COEF_FCM!AT40</f>
        <v>3030.5250000000001</v>
      </c>
      <c r="AM33" s="80">
        <f>+COEF_FCM!AP40</f>
        <v>39038</v>
      </c>
      <c r="AN33" s="80">
        <f>+COEF_FCM!AU40</f>
        <v>2475</v>
      </c>
      <c r="AO33" s="80">
        <f>+COEF_FCM!AQ40</f>
        <v>175656</v>
      </c>
      <c r="AP33" s="80">
        <f>+COEF_FCM!AV40</f>
        <v>12847.525</v>
      </c>
      <c r="AQ33" s="80">
        <f>+_CIERRE!O33+_CIERRE!P33</f>
        <v>5503465.6610000003</v>
      </c>
      <c r="AR33" s="80">
        <f>+_CIERRE!Q33+_CIERRE!R33</f>
        <v>6156211.2019999996</v>
      </c>
      <c r="AS33" s="80">
        <f>+_CIERRE!S33+_CIERRE!T33</f>
        <v>6931629.1679999996</v>
      </c>
      <c r="AT33" s="80">
        <f>+_CIERRE!U33+_CIERRE!V33</f>
        <v>7490051.2750000004</v>
      </c>
      <c r="AU33" s="80">
        <f>+'CALC MEC ESTAB Y ESTIM M FINAL'!T38</f>
        <v>7882126</v>
      </c>
      <c r="AV33" s="560">
        <v>0</v>
      </c>
      <c r="AW33" s="551">
        <v>1150374.1240000001</v>
      </c>
      <c r="AX33" s="551">
        <v>1162083.297</v>
      </c>
      <c r="AY33" s="551">
        <v>0</v>
      </c>
      <c r="AZ33" s="551">
        <v>597595.24</v>
      </c>
      <c r="BA33" s="551">
        <v>564843.00199999998</v>
      </c>
    </row>
    <row r="34" spans="1:53" ht="3" customHeight="1" x14ac:dyDescent="0.2">
      <c r="A34" s="68" t="str">
        <f>IF(LEN(+'_DATA STT PAGOS_'!M39)=4,"0"&amp;+'_DATA STT PAGOS_'!M39,+'_DATA STT PAGOS_'!M39)</f>
        <v>04202</v>
      </c>
      <c r="B34" s="68" t="str">
        <f>IF(LEN(+'_DATA STT PAGOS_'!N39)=4,"0"&amp;+'_DATA STT PAGOS_'!N39,+'_DATA STT PAGOS_'!N39)</f>
        <v>04304</v>
      </c>
      <c r="C34" s="76" t="str">
        <f>+'_DATA STT PAGOS_'!O39</f>
        <v>CANELA</v>
      </c>
      <c r="D34" s="80">
        <f>+'CALC MEC ESTAB Y ESTIM M FINAL'!U39</f>
        <v>5079855</v>
      </c>
      <c r="E34" s="77">
        <f>+'CALC MEC ESTAB Y ESTIM M FINAL'!Q39</f>
        <v>2.2312945272999997E-3</v>
      </c>
      <c r="F34" s="77">
        <f>+'CALC MEC ESTAB Y ESTIM M FINAL'!R39</f>
        <v>-4.415805094E-4</v>
      </c>
      <c r="G34" s="80">
        <f>+'_Flujo con Glosa 08'!CE39</f>
        <v>195694</v>
      </c>
      <c r="H34" s="80">
        <f>+'_Flujo con Glosa 08'!CF39</f>
        <v>195694</v>
      </c>
      <c r="I34" s="80">
        <f>+'_Flujo con Glosa 08'!CG39</f>
        <v>223859</v>
      </c>
      <c r="J34" s="80">
        <f>+'_Flujo con Glosa 08'!CH39</f>
        <v>195694</v>
      </c>
      <c r="K34" s="80">
        <f>+'_Flujo con Glosa 08'!CI39</f>
        <v>801719</v>
      </c>
      <c r="L34" s="80">
        <f>+'_Flujo con Glosa 08'!CJ39</f>
        <v>211645</v>
      </c>
      <c r="M34" s="80">
        <f>+'_Flujo con Glosa 08'!CK39</f>
        <v>446800</v>
      </c>
      <c r="N34" s="80">
        <f>+'_Flujo con Glosa 08'!CL39</f>
        <v>195694</v>
      </c>
      <c r="O34" s="80">
        <f>+'_Flujo con Glosa 08'!CM39</f>
        <v>270116</v>
      </c>
      <c r="P34" s="80">
        <f>+'_Flujo con Glosa 08'!CN39</f>
        <v>488311</v>
      </c>
      <c r="Q34" s="80">
        <f>+'_Flujo con Glosa 08'!CO39</f>
        <v>203936</v>
      </c>
      <c r="R34" s="80">
        <f>+'_Flujo con Glosa 08'!CP39</f>
        <v>454501</v>
      </c>
      <c r="S34" s="80">
        <f t="shared" si="0"/>
        <v>3883663</v>
      </c>
      <c r="T34" s="80">
        <v>0</v>
      </c>
      <c r="U34" s="80">
        <v>0</v>
      </c>
      <c r="V34" s="80">
        <v>0</v>
      </c>
      <c r="W34" s="80">
        <v>0</v>
      </c>
      <c r="X34" s="80">
        <v>0</v>
      </c>
      <c r="Y34" s="80">
        <v>0</v>
      </c>
      <c r="Z34" s="80">
        <v>0</v>
      </c>
      <c r="AA34" s="80">
        <v>0</v>
      </c>
      <c r="AB34" s="80">
        <v>0</v>
      </c>
      <c r="AC34" s="80">
        <v>0</v>
      </c>
      <c r="AD34" s="80">
        <v>0</v>
      </c>
      <c r="AE34" s="80">
        <v>0</v>
      </c>
      <c r="AF34" s="80">
        <f t="shared" si="1"/>
        <v>0</v>
      </c>
      <c r="AG34" s="80">
        <f>+COEF_FCM!AM41</f>
        <v>35970</v>
      </c>
      <c r="AH34" s="80">
        <f>+COEF_FCM!AR41</f>
        <v>92</v>
      </c>
      <c r="AI34" s="80">
        <f>+COEF_FCM!AN41</f>
        <v>18683</v>
      </c>
      <c r="AJ34" s="80">
        <f>+COEF_FCM!AS41</f>
        <v>63</v>
      </c>
      <c r="AK34" s="80">
        <f>+COEF_FCM!AO41</f>
        <v>23700</v>
      </c>
      <c r="AL34" s="80">
        <f>+COEF_FCM!AT41</f>
        <v>64.816999999999993</v>
      </c>
      <c r="AM34" s="80">
        <f>+COEF_FCM!AP41</f>
        <v>19712</v>
      </c>
      <c r="AN34" s="80">
        <f>+COEF_FCM!AU41</f>
        <v>0</v>
      </c>
      <c r="AO34" s="80">
        <f>+COEF_FCM!AQ41</f>
        <v>98065</v>
      </c>
      <c r="AP34" s="80">
        <f>+COEF_FCM!AV41</f>
        <v>219.81700000000001</v>
      </c>
      <c r="AQ34" s="80">
        <f>+_CIERRE!O34+_CIERRE!P34</f>
        <v>2494849.86</v>
      </c>
      <c r="AR34" s="80">
        <f>+_CIERRE!Q34+_CIERRE!R34</f>
        <v>2704868.54</v>
      </c>
      <c r="AS34" s="80">
        <f>+_CIERRE!S34+_CIERRE!T34</f>
        <v>2855755.307</v>
      </c>
      <c r="AT34" s="80">
        <f>+_CIERRE!U34+_CIERRE!V34</f>
        <v>4034471.3739999998</v>
      </c>
      <c r="AU34" s="80">
        <f>+'CALC MEC ESTAB Y ESTIM M FINAL'!T39</f>
        <v>5079855</v>
      </c>
      <c r="AV34" s="560">
        <v>0</v>
      </c>
      <c r="AW34" s="551">
        <v>601707.42200000002</v>
      </c>
      <c r="AX34" s="551">
        <v>615845.85499999998</v>
      </c>
      <c r="AY34" s="551">
        <v>0</v>
      </c>
      <c r="AZ34" s="551">
        <v>347304.93599999999</v>
      </c>
      <c r="BA34" s="551">
        <v>356108.21</v>
      </c>
    </row>
    <row r="35" spans="1:53" ht="3" customHeight="1" x14ac:dyDescent="0.2">
      <c r="A35" s="68" t="str">
        <f>IF(LEN(+'_DATA STT PAGOS_'!M40)=4,"0"&amp;+'_DATA STT PAGOS_'!M40,+'_DATA STT PAGOS_'!M40)</f>
        <v>04203</v>
      </c>
      <c r="B35" s="68" t="str">
        <f>IF(LEN(+'_DATA STT PAGOS_'!N40)=4,"0"&amp;+'_DATA STT PAGOS_'!N40,+'_DATA STT PAGOS_'!N40)</f>
        <v>04303</v>
      </c>
      <c r="C35" s="76" t="str">
        <f>+'_DATA STT PAGOS_'!O40</f>
        <v>LOS VILOS</v>
      </c>
      <c r="D35" s="80">
        <f>+'CALC MEC ESTAB Y ESTIM M FINAL'!U40</f>
        <v>13698405</v>
      </c>
      <c r="E35" s="77">
        <f>+'CALC MEC ESTAB Y ESTIM M FINAL'!Q40</f>
        <v>5.3683452994999995E-3</v>
      </c>
      <c r="F35" s="77">
        <f>+'CALC MEC ESTAB Y ESTIM M FINAL'!R40</f>
        <v>-5.4217834610000004E-4</v>
      </c>
      <c r="G35" s="80">
        <f>+'_Flujo con Glosa 08'!CE40</f>
        <v>602475</v>
      </c>
      <c r="H35" s="80">
        <f>+'_Flujo con Glosa 08'!CF40</f>
        <v>602475</v>
      </c>
      <c r="I35" s="80">
        <f>+'_Flujo con Glosa 08'!CG40</f>
        <v>603660</v>
      </c>
      <c r="J35" s="80">
        <f>+'_Flujo con Glosa 08'!CH40</f>
        <v>602475</v>
      </c>
      <c r="K35" s="80">
        <f>+'_Flujo con Glosa 08'!CI40</f>
        <v>1937634</v>
      </c>
      <c r="L35" s="80">
        <f>+'_Flujo con Glosa 08'!CJ40</f>
        <v>620720</v>
      </c>
      <c r="M35" s="80">
        <f>+'_Flujo con Glosa 08'!CK40</f>
        <v>1154851</v>
      </c>
      <c r="N35" s="80">
        <f>+'_Flujo con Glosa 08'!CL40</f>
        <v>602475</v>
      </c>
      <c r="O35" s="80">
        <f>+'_Flujo con Glosa 08'!CM40</f>
        <v>728396</v>
      </c>
      <c r="P35" s="80">
        <f>+'_Flujo con Glosa 08'!CN40</f>
        <v>1242023</v>
      </c>
      <c r="Q35" s="80">
        <f>+'_Flujo con Glosa 08'!CO40</f>
        <v>602475</v>
      </c>
      <c r="R35" s="80">
        <f>+'_Flujo con Glosa 08'!CP40</f>
        <v>1173075</v>
      </c>
      <c r="S35" s="80">
        <f t="shared" si="0"/>
        <v>10472734</v>
      </c>
      <c r="T35" s="80">
        <v>0</v>
      </c>
      <c r="U35" s="80">
        <v>0</v>
      </c>
      <c r="V35" s="80">
        <v>0</v>
      </c>
      <c r="W35" s="80">
        <v>0</v>
      </c>
      <c r="X35" s="80">
        <v>0</v>
      </c>
      <c r="Y35" s="80">
        <v>0</v>
      </c>
      <c r="Z35" s="80">
        <v>0</v>
      </c>
      <c r="AA35" s="80">
        <v>0</v>
      </c>
      <c r="AB35" s="80">
        <v>0</v>
      </c>
      <c r="AC35" s="80">
        <v>0</v>
      </c>
      <c r="AD35" s="80">
        <v>0</v>
      </c>
      <c r="AE35" s="80">
        <v>0</v>
      </c>
      <c r="AF35" s="80">
        <f t="shared" si="1"/>
        <v>0</v>
      </c>
      <c r="AG35" s="80">
        <f>+COEF_FCM!AM42</f>
        <v>158632</v>
      </c>
      <c r="AH35" s="80">
        <f>+COEF_FCM!AR42</f>
        <v>12238</v>
      </c>
      <c r="AI35" s="80">
        <f>+COEF_FCM!AN42</f>
        <v>63298</v>
      </c>
      <c r="AJ35" s="80">
        <f>+COEF_FCM!AS42</f>
        <v>6484</v>
      </c>
      <c r="AK35" s="80">
        <f>+COEF_FCM!AO42</f>
        <v>144094</v>
      </c>
      <c r="AL35" s="80">
        <f>+COEF_FCM!AT42</f>
        <v>9392.2199999999993</v>
      </c>
      <c r="AM35" s="80">
        <f>+COEF_FCM!AP42</f>
        <v>67214</v>
      </c>
      <c r="AN35" s="80">
        <f>+COEF_FCM!AU42</f>
        <v>7283</v>
      </c>
      <c r="AO35" s="80">
        <f>+COEF_FCM!AQ42</f>
        <v>433238</v>
      </c>
      <c r="AP35" s="80">
        <f>+COEF_FCM!AV42</f>
        <v>35397.22</v>
      </c>
      <c r="AQ35" s="80">
        <f>+_CIERRE!O35+_CIERRE!P35</f>
        <v>7831875.2400000002</v>
      </c>
      <c r="AR35" s="80">
        <f>+_CIERRE!Q35+_CIERRE!R35</f>
        <v>9354060.3819999993</v>
      </c>
      <c r="AS35" s="80">
        <f>+_CIERRE!S35+_CIERRE!T35</f>
        <v>11116533.354</v>
      </c>
      <c r="AT35" s="80">
        <f>+_CIERRE!U35+_CIERRE!V35</f>
        <v>12414869.785</v>
      </c>
      <c r="AU35" s="80">
        <f>+'CALC MEC ESTAB Y ESTIM M FINAL'!T40</f>
        <v>13698405</v>
      </c>
      <c r="AV35" s="560">
        <v>0</v>
      </c>
      <c r="AW35" s="551">
        <v>788292.60600000003</v>
      </c>
      <c r="AX35" s="551">
        <v>800623.174</v>
      </c>
      <c r="AY35" s="551">
        <v>0</v>
      </c>
      <c r="AZ35" s="551">
        <v>418812.984</v>
      </c>
      <c r="BA35" s="551">
        <v>429936.68099999998</v>
      </c>
    </row>
    <row r="36" spans="1:53" ht="3" customHeight="1" x14ac:dyDescent="0.2">
      <c r="A36" s="68" t="str">
        <f>IF(LEN(+'_DATA STT PAGOS_'!M41)=4,"0"&amp;+'_DATA STT PAGOS_'!M41,+'_DATA STT PAGOS_'!M41)</f>
        <v>04204</v>
      </c>
      <c r="B36" s="68" t="str">
        <f>IF(LEN(+'_DATA STT PAGOS_'!N41)=4,"0"&amp;+'_DATA STT PAGOS_'!N41,+'_DATA STT PAGOS_'!N41)</f>
        <v>04302</v>
      </c>
      <c r="C36" s="76" t="str">
        <f>+'_DATA STT PAGOS_'!O41</f>
        <v>SALAMANCA</v>
      </c>
      <c r="D36" s="80">
        <f>+'CALC MEC ESTAB Y ESTIM M FINAL'!U41</f>
        <v>6845054</v>
      </c>
      <c r="E36" s="77">
        <f>+'CALC MEC ESTAB Y ESTIM M FINAL'!Q41</f>
        <v>2.7171629085E-3</v>
      </c>
      <c r="F36" s="77">
        <f>+'CALC MEC ESTAB Y ESTIM M FINAL'!R41</f>
        <v>-3.0554109510000003E-4</v>
      </c>
      <c r="G36" s="80">
        <f>+'_Flujo con Glosa 08'!CE41</f>
        <v>296887</v>
      </c>
      <c r="H36" s="80">
        <f>+'_Flujo con Glosa 08'!CF41</f>
        <v>296887</v>
      </c>
      <c r="I36" s="80">
        <f>+'_Flujo con Glosa 08'!CG41</f>
        <v>301647</v>
      </c>
      <c r="J36" s="80">
        <f>+'_Flujo con Glosa 08'!CH41</f>
        <v>296887</v>
      </c>
      <c r="K36" s="80">
        <f>+'_Flujo con Glosa 08'!CI41</f>
        <v>980733</v>
      </c>
      <c r="L36" s="80">
        <f>+'_Flujo con Glosa 08'!CJ41</f>
        <v>306004</v>
      </c>
      <c r="M36" s="80">
        <f>+'_Flujo con Glosa 08'!CK41</f>
        <v>581244</v>
      </c>
      <c r="N36" s="80">
        <f>+'_Flujo con Glosa 08'!CL41</f>
        <v>296887</v>
      </c>
      <c r="O36" s="80">
        <f>+'_Flujo con Glosa 08'!CM41</f>
        <v>363978</v>
      </c>
      <c r="P36" s="80">
        <f>+'_Flujo con Glosa 08'!CN41</f>
        <v>624803</v>
      </c>
      <c r="Q36" s="80">
        <f>+'_Flujo con Glosa 08'!CO41</f>
        <v>296887</v>
      </c>
      <c r="R36" s="80">
        <f>+'_Flujo con Glosa 08'!CP41</f>
        <v>590349</v>
      </c>
      <c r="S36" s="80">
        <f t="shared" si="0"/>
        <v>5233193</v>
      </c>
      <c r="T36" s="80">
        <v>0</v>
      </c>
      <c r="U36" s="80">
        <v>0</v>
      </c>
      <c r="V36" s="80">
        <v>0</v>
      </c>
      <c r="W36" s="80">
        <v>0</v>
      </c>
      <c r="X36" s="80">
        <v>0</v>
      </c>
      <c r="Y36" s="80">
        <v>0</v>
      </c>
      <c r="Z36" s="80">
        <v>0</v>
      </c>
      <c r="AA36" s="80">
        <v>0</v>
      </c>
      <c r="AB36" s="80">
        <v>0</v>
      </c>
      <c r="AC36" s="80">
        <v>0</v>
      </c>
      <c r="AD36" s="80">
        <v>0</v>
      </c>
      <c r="AE36" s="80">
        <v>0</v>
      </c>
      <c r="AF36" s="80">
        <f t="shared" si="1"/>
        <v>0</v>
      </c>
      <c r="AG36" s="80">
        <f>+COEF_FCM!AM43</f>
        <v>107799</v>
      </c>
      <c r="AH36" s="80">
        <f>+COEF_FCM!AR43</f>
        <v>1674</v>
      </c>
      <c r="AI36" s="80">
        <f>+COEF_FCM!AN43</f>
        <v>34731</v>
      </c>
      <c r="AJ36" s="80">
        <f>+COEF_FCM!AS43</f>
        <v>1026</v>
      </c>
      <c r="AK36" s="80">
        <f>+COEF_FCM!AO43</f>
        <v>96593</v>
      </c>
      <c r="AL36" s="80">
        <f>+COEF_FCM!AT43</f>
        <v>1231.171</v>
      </c>
      <c r="AM36" s="80">
        <f>+COEF_FCM!AP43</f>
        <v>32086</v>
      </c>
      <c r="AN36" s="80">
        <f>+COEF_FCM!AU43</f>
        <v>944</v>
      </c>
      <c r="AO36" s="80">
        <f>+COEF_FCM!AQ43</f>
        <v>271209</v>
      </c>
      <c r="AP36" s="80">
        <f>+COEF_FCM!AV43</f>
        <v>4875.1710000000003</v>
      </c>
      <c r="AQ36" s="80">
        <f>+_CIERRE!O36+_CIERRE!P36</f>
        <v>3696071.5120000001</v>
      </c>
      <c r="AR36" s="80">
        <f>+_CIERRE!Q36+_CIERRE!R36</f>
        <v>4007211.324</v>
      </c>
      <c r="AS36" s="80">
        <f>+_CIERRE!S36+_CIERRE!T36</f>
        <v>4891018.8169999998</v>
      </c>
      <c r="AT36" s="80">
        <f>+_CIERRE!U36+_CIERRE!V36</f>
        <v>6121725.1579999998</v>
      </c>
      <c r="AU36" s="80">
        <f>+'CALC MEC ESTAB Y ESTIM M FINAL'!T41</f>
        <v>6845054</v>
      </c>
      <c r="AV36" s="560">
        <v>0</v>
      </c>
      <c r="AW36" s="551">
        <v>963449.07200000004</v>
      </c>
      <c r="AX36" s="551">
        <v>999278.00699999998</v>
      </c>
      <c r="AY36" s="551">
        <v>0</v>
      </c>
      <c r="AZ36" s="551">
        <v>452716.07400000002</v>
      </c>
      <c r="BA36" s="551">
        <v>464035.86300000001</v>
      </c>
    </row>
    <row r="37" spans="1:53" ht="3" customHeight="1" x14ac:dyDescent="0.2">
      <c r="A37" s="68" t="str">
        <f>IF(LEN(+'_DATA STT PAGOS_'!M42)=4,"0"&amp;+'_DATA STT PAGOS_'!M42,+'_DATA STT PAGOS_'!M42)</f>
        <v>04301</v>
      </c>
      <c r="B37" s="68" t="str">
        <f>IF(LEN(+'_DATA STT PAGOS_'!N42)=4,"0"&amp;+'_DATA STT PAGOS_'!N42,+'_DATA STT PAGOS_'!N42)</f>
        <v>04201</v>
      </c>
      <c r="C37" s="76" t="str">
        <f>+'_DATA STT PAGOS_'!O42</f>
        <v>OVALLE</v>
      </c>
      <c r="D37" s="80">
        <f>+'CALC MEC ESTAB Y ESTIM M FINAL'!U42</f>
        <v>21481999</v>
      </c>
      <c r="E37" s="77">
        <f>+'CALC MEC ESTAB Y ESTIM M FINAL'!Q42</f>
        <v>8.1640494396000001E-3</v>
      </c>
      <c r="F37" s="77">
        <f>+'CALC MEC ESTAB Y ESTIM M FINAL'!R42</f>
        <v>-5.9559790320000004E-4</v>
      </c>
      <c r="G37" s="80">
        <f>+'_Flujo con Glosa 08'!CE42</f>
        <v>972928</v>
      </c>
      <c r="H37" s="80">
        <f>+'_Flujo con Glosa 08'!CF42</f>
        <v>972928</v>
      </c>
      <c r="I37" s="80">
        <f>+'_Flujo con Glosa 08'!CG42</f>
        <v>946667</v>
      </c>
      <c r="J37" s="80">
        <f>+'_Flujo con Glosa 08'!CH42</f>
        <v>972928</v>
      </c>
      <c r="K37" s="80">
        <f>+'_Flujo con Glosa 08'!CI42</f>
        <v>2954261</v>
      </c>
      <c r="L37" s="80">
        <f>+'_Flujo con Glosa 08'!CJ42</f>
        <v>1001540</v>
      </c>
      <c r="M37" s="80">
        <f>+'_Flujo con Glosa 08'!CK42</f>
        <v>1782932</v>
      </c>
      <c r="N37" s="80">
        <f>+'_Flujo con Glosa 08'!CL42</f>
        <v>972928</v>
      </c>
      <c r="O37" s="80">
        <f>+'_Flujo con Glosa 08'!CM42</f>
        <v>1142280</v>
      </c>
      <c r="P37" s="80">
        <f>+'_Flujo con Glosa 08'!CN42</f>
        <v>1919635</v>
      </c>
      <c r="Q37" s="80">
        <f>+'_Flujo con Glosa 08'!CO42</f>
        <v>972928</v>
      </c>
      <c r="R37" s="80">
        <f>+'_Flujo con Glosa 08'!CP42</f>
        <v>1811510</v>
      </c>
      <c r="S37" s="80">
        <f t="shared" si="0"/>
        <v>16423465</v>
      </c>
      <c r="T37" s="80">
        <v>0</v>
      </c>
      <c r="U37" s="80">
        <v>0</v>
      </c>
      <c r="V37" s="80">
        <v>0</v>
      </c>
      <c r="W37" s="80">
        <v>0</v>
      </c>
      <c r="X37" s="80">
        <v>0</v>
      </c>
      <c r="Y37" s="80">
        <v>0</v>
      </c>
      <c r="Z37" s="80">
        <v>0</v>
      </c>
      <c r="AA37" s="80">
        <v>0</v>
      </c>
      <c r="AB37" s="80">
        <v>0</v>
      </c>
      <c r="AC37" s="80">
        <v>0</v>
      </c>
      <c r="AD37" s="80">
        <v>0</v>
      </c>
      <c r="AE37" s="80">
        <v>0</v>
      </c>
      <c r="AF37" s="80">
        <f t="shared" si="1"/>
        <v>0</v>
      </c>
      <c r="AG37" s="80">
        <f>+COEF_FCM!AM44</f>
        <v>376860</v>
      </c>
      <c r="AH37" s="80">
        <f>+COEF_FCM!AR44</f>
        <v>15137</v>
      </c>
      <c r="AI37" s="80">
        <f>+COEF_FCM!AN44</f>
        <v>307333</v>
      </c>
      <c r="AJ37" s="80">
        <f>+COEF_FCM!AS44</f>
        <v>6747</v>
      </c>
      <c r="AK37" s="80">
        <f>+COEF_FCM!AO44</f>
        <v>349888</v>
      </c>
      <c r="AL37" s="80">
        <f>+COEF_FCM!AT44</f>
        <v>10158.919</v>
      </c>
      <c r="AM37" s="80">
        <f>+COEF_FCM!AP44</f>
        <v>295540</v>
      </c>
      <c r="AN37" s="80">
        <f>+COEF_FCM!AU44</f>
        <v>6850</v>
      </c>
      <c r="AO37" s="80">
        <f>+COEF_FCM!AQ44</f>
        <v>1329621</v>
      </c>
      <c r="AP37" s="80">
        <f>+COEF_FCM!AV44</f>
        <v>38892.919000000002</v>
      </c>
      <c r="AQ37" s="80">
        <f>+_CIERRE!O37+_CIERRE!P37</f>
        <v>17058541.918000001</v>
      </c>
      <c r="AR37" s="80">
        <f>+_CIERRE!Q37+_CIERRE!R37</f>
        <v>18494546.193999998</v>
      </c>
      <c r="AS37" s="80">
        <f>+_CIERRE!S37+_CIERRE!T37</f>
        <v>19347446.850000001</v>
      </c>
      <c r="AT37" s="80">
        <f>+_CIERRE!U37+_CIERRE!V37</f>
        <v>20071999.322999999</v>
      </c>
      <c r="AU37" s="80">
        <f>+'CALC MEC ESTAB Y ESTIM M FINAL'!T42</f>
        <v>21481999</v>
      </c>
      <c r="AV37" s="560">
        <v>0</v>
      </c>
      <c r="AW37" s="551">
        <v>0</v>
      </c>
      <c r="AX37" s="551">
        <v>0</v>
      </c>
      <c r="AY37" s="551">
        <v>0</v>
      </c>
      <c r="AZ37" s="551">
        <v>1217019.879</v>
      </c>
      <c r="BA37" s="551">
        <v>1287373.977</v>
      </c>
    </row>
    <row r="38" spans="1:53" ht="3" customHeight="1" x14ac:dyDescent="0.2">
      <c r="A38" s="68" t="str">
        <f>IF(LEN(+'_DATA STT PAGOS_'!M43)=4,"0"&amp;+'_DATA STT PAGOS_'!M43,+'_DATA STT PAGOS_'!M43)</f>
        <v>04302</v>
      </c>
      <c r="B38" s="68" t="str">
        <f>IF(LEN(+'_DATA STT PAGOS_'!N43)=4,"0"&amp;+'_DATA STT PAGOS_'!N43,+'_DATA STT PAGOS_'!N43)</f>
        <v>04205</v>
      </c>
      <c r="C38" s="76" t="str">
        <f>+'_DATA STT PAGOS_'!O43</f>
        <v>COMBARBALÁ</v>
      </c>
      <c r="D38" s="80">
        <f>+'CALC MEC ESTAB Y ESTIM M FINAL'!U43</f>
        <v>5697402</v>
      </c>
      <c r="E38" s="77">
        <f>+'CALC MEC ESTAB Y ESTIM M FINAL'!Q43</f>
        <v>2.1829226593999998E-3</v>
      </c>
      <c r="F38" s="77">
        <f>+'CALC MEC ESTAB Y ESTIM M FINAL'!R43</f>
        <v>-1.7563691110000001E-4</v>
      </c>
      <c r="G38" s="80">
        <f>+'_Flujo con Glosa 08'!CE43</f>
        <v>256171</v>
      </c>
      <c r="H38" s="80">
        <f>+'_Flujo con Glosa 08'!CF43</f>
        <v>256171</v>
      </c>
      <c r="I38" s="80">
        <f>+'_Flujo con Glosa 08'!CG43</f>
        <v>251073</v>
      </c>
      <c r="J38" s="80">
        <f>+'_Flujo con Glosa 08'!CH43</f>
        <v>256171</v>
      </c>
      <c r="K38" s="80">
        <f>+'_Flujo con Glosa 08'!CI43</f>
        <v>789121</v>
      </c>
      <c r="L38" s="80">
        <f>+'_Flujo con Glosa 08'!CJ43</f>
        <v>263759</v>
      </c>
      <c r="M38" s="80">
        <f>+'_Flujo con Glosa 08'!CK43</f>
        <v>474730</v>
      </c>
      <c r="N38" s="80">
        <f>+'_Flujo con Glosa 08'!CL43</f>
        <v>256171</v>
      </c>
      <c r="O38" s="80">
        <f>+'_Flujo con Glosa 08'!CM43</f>
        <v>302953</v>
      </c>
      <c r="P38" s="80">
        <f>+'_Flujo con Glosa 08'!CN43</f>
        <v>510988</v>
      </c>
      <c r="Q38" s="80">
        <f>+'_Flujo con Glosa 08'!CO43</f>
        <v>256171</v>
      </c>
      <c r="R38" s="80">
        <f>+'_Flujo con Glosa 08'!CP43</f>
        <v>482310</v>
      </c>
      <c r="S38" s="80">
        <f t="shared" si="0"/>
        <v>4355789</v>
      </c>
      <c r="T38" s="80">
        <v>0</v>
      </c>
      <c r="U38" s="80">
        <v>0</v>
      </c>
      <c r="V38" s="80">
        <v>0</v>
      </c>
      <c r="W38" s="80">
        <v>0</v>
      </c>
      <c r="X38" s="80">
        <v>0</v>
      </c>
      <c r="Y38" s="80">
        <v>0</v>
      </c>
      <c r="Z38" s="80">
        <v>0</v>
      </c>
      <c r="AA38" s="80">
        <v>0</v>
      </c>
      <c r="AB38" s="80">
        <v>0</v>
      </c>
      <c r="AC38" s="80">
        <v>0</v>
      </c>
      <c r="AD38" s="80">
        <v>0</v>
      </c>
      <c r="AE38" s="80">
        <v>0</v>
      </c>
      <c r="AF38" s="80">
        <f t="shared" si="1"/>
        <v>0</v>
      </c>
      <c r="AG38" s="80">
        <f>+COEF_FCM!AM45</f>
        <v>16343</v>
      </c>
      <c r="AH38" s="80">
        <f>+COEF_FCM!AR45</f>
        <v>516</v>
      </c>
      <c r="AI38" s="80">
        <f>+COEF_FCM!AN45</f>
        <v>7344</v>
      </c>
      <c r="AJ38" s="80">
        <f>+COEF_FCM!AS45</f>
        <v>83</v>
      </c>
      <c r="AK38" s="80">
        <f>+COEF_FCM!AO45</f>
        <v>10464</v>
      </c>
      <c r="AL38" s="80">
        <f>+COEF_FCM!AT45</f>
        <v>218.00399999999999</v>
      </c>
      <c r="AM38" s="80">
        <f>+COEF_FCM!AP45</f>
        <v>9386</v>
      </c>
      <c r="AN38" s="80">
        <f>+COEF_FCM!AU45</f>
        <v>147</v>
      </c>
      <c r="AO38" s="80">
        <f>+COEF_FCM!AQ45</f>
        <v>43537</v>
      </c>
      <c r="AP38" s="80">
        <f>+COEF_FCM!AV45</f>
        <v>964.00400000000002</v>
      </c>
      <c r="AQ38" s="80">
        <f>+_CIERRE!O38+_CIERRE!P38</f>
        <v>3895541.449</v>
      </c>
      <c r="AR38" s="80">
        <f>+_CIERRE!Q38+_CIERRE!R38</f>
        <v>4489520.5240000002</v>
      </c>
      <c r="AS38" s="80">
        <f>+_CIERRE!S38+_CIERRE!T38</f>
        <v>4873889.2589999996</v>
      </c>
      <c r="AT38" s="80">
        <f>+_CIERRE!U38+_CIERRE!V38</f>
        <v>5281604.0240000002</v>
      </c>
      <c r="AU38" s="80">
        <f>+'CALC MEC ESTAB Y ESTIM M FINAL'!T43</f>
        <v>5697402</v>
      </c>
      <c r="AV38" s="560">
        <v>0</v>
      </c>
      <c r="AW38" s="551">
        <v>791997.53799999994</v>
      </c>
      <c r="AX38" s="551">
        <v>812386.08700000006</v>
      </c>
      <c r="AY38" s="551">
        <v>0</v>
      </c>
      <c r="AZ38" s="551">
        <v>484089.53899999999</v>
      </c>
      <c r="BA38" s="551">
        <v>499114.87800000003</v>
      </c>
    </row>
    <row r="39" spans="1:53" ht="3" customHeight="1" x14ac:dyDescent="0.2">
      <c r="A39" s="68" t="str">
        <f>IF(LEN(+'_DATA STT PAGOS_'!M44)=4,"0"&amp;+'_DATA STT PAGOS_'!M44,+'_DATA STT PAGOS_'!M44)</f>
        <v>04303</v>
      </c>
      <c r="B39" s="68" t="str">
        <f>IF(LEN(+'_DATA STT PAGOS_'!N44)=4,"0"&amp;+'_DATA STT PAGOS_'!N44,+'_DATA STT PAGOS_'!N44)</f>
        <v>04203</v>
      </c>
      <c r="C39" s="76" t="str">
        <f>+'_DATA STT PAGOS_'!O44</f>
        <v>MONTE PATRIA</v>
      </c>
      <c r="D39" s="80">
        <f>+'CALC MEC ESTAB Y ESTIM M FINAL'!U44</f>
        <v>9445851</v>
      </c>
      <c r="E39" s="77">
        <f>+'CALC MEC ESTAB Y ESTIM M FINAL'!Q44</f>
        <v>3.5552917356999995E-3</v>
      </c>
      <c r="F39" s="77">
        <f>+'CALC MEC ESTAB Y ESTIM M FINAL'!R44</f>
        <v>-2.273674654E-4</v>
      </c>
      <c r="G39" s="80">
        <f>+'_Flujo con Glosa 08'!CE44</f>
        <v>431942</v>
      </c>
      <c r="H39" s="80">
        <f>+'_Flujo con Glosa 08'!CF44</f>
        <v>431942</v>
      </c>
      <c r="I39" s="80">
        <f>+'_Flujo con Glosa 08'!CG44</f>
        <v>416259</v>
      </c>
      <c r="J39" s="80">
        <f>+'_Flujo con Glosa 08'!CH44</f>
        <v>431942</v>
      </c>
      <c r="K39" s="80">
        <f>+'_Flujo con Glosa 08'!CI44</f>
        <v>1286611</v>
      </c>
      <c r="L39" s="80">
        <f>+'_Flujo con Glosa 08'!CJ44</f>
        <v>444523</v>
      </c>
      <c r="M39" s="80">
        <f>+'_Flujo con Glosa 08'!CK44</f>
        <v>779836</v>
      </c>
      <c r="N39" s="80">
        <f>+'_Flujo con Glosa 08'!CL44</f>
        <v>431942</v>
      </c>
      <c r="O39" s="80">
        <f>+'_Flujo con Glosa 08'!CM44</f>
        <v>502272</v>
      </c>
      <c r="P39" s="80">
        <f>+'_Flujo con Glosa 08'!CN44</f>
        <v>839948</v>
      </c>
      <c r="Q39" s="80">
        <f>+'_Flujo con Glosa 08'!CO44</f>
        <v>431942</v>
      </c>
      <c r="R39" s="80">
        <f>+'_Flujo con Glosa 08'!CP44</f>
        <v>792404</v>
      </c>
      <c r="S39" s="80">
        <f t="shared" si="0"/>
        <v>7221563</v>
      </c>
      <c r="T39" s="80">
        <v>0</v>
      </c>
      <c r="U39" s="80">
        <v>0</v>
      </c>
      <c r="V39" s="80">
        <v>0</v>
      </c>
      <c r="W39" s="80">
        <v>0</v>
      </c>
      <c r="X39" s="80">
        <v>0</v>
      </c>
      <c r="Y39" s="80">
        <v>0</v>
      </c>
      <c r="Z39" s="80">
        <v>0</v>
      </c>
      <c r="AA39" s="80">
        <v>0</v>
      </c>
      <c r="AB39" s="80">
        <v>0</v>
      </c>
      <c r="AC39" s="80">
        <v>0</v>
      </c>
      <c r="AD39" s="80">
        <v>0</v>
      </c>
      <c r="AE39" s="80">
        <v>0</v>
      </c>
      <c r="AF39" s="80">
        <f t="shared" si="1"/>
        <v>0</v>
      </c>
      <c r="AG39" s="80">
        <f>+COEF_FCM!AM46</f>
        <v>40309</v>
      </c>
      <c r="AH39" s="80">
        <f>+COEF_FCM!AR46</f>
        <v>282</v>
      </c>
      <c r="AI39" s="80">
        <f>+COEF_FCM!AN46</f>
        <v>24487</v>
      </c>
      <c r="AJ39" s="80">
        <f>+COEF_FCM!AS46</f>
        <v>112</v>
      </c>
      <c r="AK39" s="80">
        <f>+COEF_FCM!AO46</f>
        <v>23794</v>
      </c>
      <c r="AL39" s="80">
        <f>+COEF_FCM!AT46</f>
        <v>165.20599999999999</v>
      </c>
      <c r="AM39" s="80">
        <f>+COEF_FCM!AP46</f>
        <v>21549</v>
      </c>
      <c r="AN39" s="80">
        <f>+COEF_FCM!AU46</f>
        <v>90</v>
      </c>
      <c r="AO39" s="80">
        <f>+COEF_FCM!AQ46</f>
        <v>110139</v>
      </c>
      <c r="AP39" s="80">
        <f>+COEF_FCM!AV46</f>
        <v>649.20600000000002</v>
      </c>
      <c r="AQ39" s="80">
        <f>+_CIERRE!O39+_CIERRE!P39</f>
        <v>6768595.7970000003</v>
      </c>
      <c r="AR39" s="80">
        <f>+_CIERRE!Q39+_CIERRE!R39</f>
        <v>7698026.7000000002</v>
      </c>
      <c r="AS39" s="80">
        <f>+_CIERRE!S39+_CIERRE!T39</f>
        <v>8319495.6169999996</v>
      </c>
      <c r="AT39" s="80">
        <f>+_CIERRE!U39+_CIERRE!V39</f>
        <v>8907587.807</v>
      </c>
      <c r="AU39" s="80">
        <f>+'CALC MEC ESTAB Y ESTIM M FINAL'!T44</f>
        <v>9445851</v>
      </c>
      <c r="AV39" s="560">
        <v>0</v>
      </c>
      <c r="AW39" s="551">
        <v>915209.20400000003</v>
      </c>
      <c r="AX39" s="551">
        <v>931612.91200000001</v>
      </c>
      <c r="AY39" s="551">
        <v>0</v>
      </c>
      <c r="AZ39" s="551">
        <v>747389.78</v>
      </c>
      <c r="BA39" s="551">
        <v>747987.68900000001</v>
      </c>
    </row>
    <row r="40" spans="1:53" ht="3" customHeight="1" x14ac:dyDescent="0.2">
      <c r="A40" s="68" t="str">
        <f>IF(LEN(+'_DATA STT PAGOS_'!M45)=4,"0"&amp;+'_DATA STT PAGOS_'!M45,+'_DATA STT PAGOS_'!M45)</f>
        <v>04304</v>
      </c>
      <c r="B40" s="68" t="str">
        <f>IF(LEN(+'_DATA STT PAGOS_'!N45)=4,"0"&amp;+'_DATA STT PAGOS_'!N45,+'_DATA STT PAGOS_'!N45)</f>
        <v>04204</v>
      </c>
      <c r="C40" s="76" t="str">
        <f>+'_DATA STT PAGOS_'!O45</f>
        <v>PUNITAQUI</v>
      </c>
      <c r="D40" s="80">
        <f>+'CALC MEC ESTAB Y ESTIM M FINAL'!U45</f>
        <v>4606710</v>
      </c>
      <c r="E40" s="77">
        <f>+'CALC MEC ESTAB Y ESTIM M FINAL'!Q45</f>
        <v>1.787320059E-3</v>
      </c>
      <c r="F40" s="77">
        <f>+'CALC MEC ESTAB Y ESTIM M FINAL'!R45</f>
        <v>-1.64302554E-4</v>
      </c>
      <c r="G40" s="80">
        <f>+'_Flujo con Glosa 08'!CE45</f>
        <v>204480</v>
      </c>
      <c r="H40" s="80">
        <f>+'_Flujo con Glosa 08'!CF45</f>
        <v>204480</v>
      </c>
      <c r="I40" s="80">
        <f>+'_Flujo con Glosa 08'!CG45</f>
        <v>203008</v>
      </c>
      <c r="J40" s="80">
        <f>+'_Flujo con Glosa 08'!CH45</f>
        <v>204480</v>
      </c>
      <c r="K40" s="80">
        <f>+'_Flujo con Glosa 08'!CI45</f>
        <v>646006</v>
      </c>
      <c r="L40" s="80">
        <f>+'_Flujo con Glosa 08'!CJ45</f>
        <v>210616</v>
      </c>
      <c r="M40" s="80">
        <f>+'_Flujo con Glosa 08'!CK45</f>
        <v>386500</v>
      </c>
      <c r="N40" s="80">
        <f>+'_Flujo con Glosa 08'!CL45</f>
        <v>204480</v>
      </c>
      <c r="O40" s="80">
        <f>+'_Flujo con Glosa 08'!CM45</f>
        <v>244956</v>
      </c>
      <c r="P40" s="80">
        <f>+'_Flujo con Glosa 08'!CN45</f>
        <v>415816</v>
      </c>
      <c r="Q40" s="80">
        <f>+'_Flujo con Glosa 08'!CO45</f>
        <v>204480</v>
      </c>
      <c r="R40" s="80">
        <f>+'_Flujo con Glosa 08'!CP45</f>
        <v>392629</v>
      </c>
      <c r="S40" s="80">
        <f t="shared" si="0"/>
        <v>3521931</v>
      </c>
      <c r="T40" s="80">
        <v>0</v>
      </c>
      <c r="U40" s="80">
        <v>0</v>
      </c>
      <c r="V40" s="80">
        <v>0</v>
      </c>
      <c r="W40" s="80">
        <v>0</v>
      </c>
      <c r="X40" s="80">
        <v>0</v>
      </c>
      <c r="Y40" s="80">
        <v>0</v>
      </c>
      <c r="Z40" s="80">
        <v>0</v>
      </c>
      <c r="AA40" s="80">
        <v>0</v>
      </c>
      <c r="AB40" s="80">
        <v>0</v>
      </c>
      <c r="AC40" s="80">
        <v>0</v>
      </c>
      <c r="AD40" s="80">
        <v>0</v>
      </c>
      <c r="AE40" s="80">
        <v>0</v>
      </c>
      <c r="AF40" s="80">
        <f t="shared" si="1"/>
        <v>0</v>
      </c>
      <c r="AG40" s="80">
        <f>+COEF_FCM!AM47</f>
        <v>18170</v>
      </c>
      <c r="AH40" s="80">
        <f>+COEF_FCM!AR47</f>
        <v>400</v>
      </c>
      <c r="AI40" s="80">
        <f>+COEF_FCM!AN47</f>
        <v>12333</v>
      </c>
      <c r="AJ40" s="80">
        <f>+COEF_FCM!AS47</f>
        <v>123</v>
      </c>
      <c r="AK40" s="80">
        <f>+COEF_FCM!AO47</f>
        <v>13629</v>
      </c>
      <c r="AL40" s="80">
        <f>+COEF_FCM!AT47</f>
        <v>210.34</v>
      </c>
      <c r="AM40" s="80">
        <f>+COEF_FCM!AP47</f>
        <v>14751</v>
      </c>
      <c r="AN40" s="80">
        <f>+COEF_FCM!AU47</f>
        <v>194</v>
      </c>
      <c r="AO40" s="80">
        <f>+COEF_FCM!AQ47</f>
        <v>58883</v>
      </c>
      <c r="AP40" s="80">
        <f>+COEF_FCM!AV47</f>
        <v>927.34</v>
      </c>
      <c r="AQ40" s="80">
        <f>+_CIERRE!O40+_CIERRE!P40</f>
        <v>2957172.0359999998</v>
      </c>
      <c r="AR40" s="80">
        <f>+_CIERRE!Q40+_CIERRE!R40</f>
        <v>3445072.3429999999</v>
      </c>
      <c r="AS40" s="80">
        <f>+_CIERRE!S40+_CIERRE!T40</f>
        <v>3829124.6</v>
      </c>
      <c r="AT40" s="80">
        <f>+_CIERRE!U40+_CIERRE!V40</f>
        <v>4217744.6610000003</v>
      </c>
      <c r="AU40" s="80">
        <f>+'CALC MEC ESTAB Y ESTIM M FINAL'!T45</f>
        <v>4606710</v>
      </c>
      <c r="AV40" s="560">
        <v>0</v>
      </c>
      <c r="AW40" s="551">
        <v>716632.75399999996</v>
      </c>
      <c r="AX40" s="551">
        <v>746672.54500000004</v>
      </c>
      <c r="AY40" s="551">
        <v>0</v>
      </c>
      <c r="AZ40" s="551">
        <v>393269.98499999999</v>
      </c>
      <c r="BA40" s="551">
        <v>429367.87</v>
      </c>
    </row>
    <row r="41" spans="1:53" ht="3" customHeight="1" x14ac:dyDescent="0.2">
      <c r="A41" s="68" t="str">
        <f>IF(LEN(+'_DATA STT PAGOS_'!M46)=4,"0"&amp;+'_DATA STT PAGOS_'!M46,+'_DATA STT PAGOS_'!M46)</f>
        <v>04305</v>
      </c>
      <c r="B41" s="68" t="str">
        <f>IF(LEN(+'_DATA STT PAGOS_'!N46)=4,"0"&amp;+'_DATA STT PAGOS_'!N46,+'_DATA STT PAGOS_'!N46)</f>
        <v>04206</v>
      </c>
      <c r="C41" s="76" t="str">
        <f>+'_DATA STT PAGOS_'!O46</f>
        <v>RÍO HURTADO</v>
      </c>
      <c r="D41" s="80">
        <f>+'CALC MEC ESTAB Y ESTIM M FINAL'!U46</f>
        <v>3491870</v>
      </c>
      <c r="E41" s="77">
        <f>+'CALC MEC ESTAB Y ESTIM M FINAL'!Q46</f>
        <v>1.3949360636000001E-3</v>
      </c>
      <c r="F41" s="77">
        <f>+'CALC MEC ESTAB Y ESTIM M FINAL'!R46</f>
        <v>-1.6469432930000001E-4</v>
      </c>
      <c r="G41" s="80">
        <f>+'_Flujo con Glosa 08'!CE46</f>
        <v>150541</v>
      </c>
      <c r="H41" s="80">
        <f>+'_Flujo con Glosa 08'!CF46</f>
        <v>150541</v>
      </c>
      <c r="I41" s="80">
        <f>+'_Flujo con Glosa 08'!CG46</f>
        <v>153879</v>
      </c>
      <c r="J41" s="80">
        <f>+'_Flujo con Glosa 08'!CH46</f>
        <v>150541</v>
      </c>
      <c r="K41" s="80">
        <f>+'_Flujo con Glosa 08'!CI46</f>
        <v>503032</v>
      </c>
      <c r="L41" s="80">
        <f>+'_Flujo con Glosa 08'!CJ46</f>
        <v>155192</v>
      </c>
      <c r="M41" s="80">
        <f>+'_Flujo con Glosa 08'!CK46</f>
        <v>297420</v>
      </c>
      <c r="N41" s="80">
        <f>+'_Flujo con Glosa 08'!CL46</f>
        <v>150541</v>
      </c>
      <c r="O41" s="80">
        <f>+'_Flujo con Glosa 08'!CM46</f>
        <v>185676</v>
      </c>
      <c r="P41" s="80">
        <f>+'_Flujo con Glosa 08'!CN46</f>
        <v>319641</v>
      </c>
      <c r="Q41" s="80">
        <f>+'_Flujo con Glosa 08'!CO46</f>
        <v>150541</v>
      </c>
      <c r="R41" s="80">
        <f>+'_Flujo con Glosa 08'!CP46</f>
        <v>302065</v>
      </c>
      <c r="S41" s="80">
        <f t="shared" si="0"/>
        <v>2669610</v>
      </c>
      <c r="T41" s="80">
        <v>0</v>
      </c>
      <c r="U41" s="80">
        <v>0</v>
      </c>
      <c r="V41" s="80">
        <v>0</v>
      </c>
      <c r="W41" s="80">
        <v>0</v>
      </c>
      <c r="X41" s="80">
        <v>0</v>
      </c>
      <c r="Y41" s="80">
        <v>0</v>
      </c>
      <c r="Z41" s="80">
        <v>0</v>
      </c>
      <c r="AA41" s="80">
        <v>0</v>
      </c>
      <c r="AB41" s="80">
        <v>0</v>
      </c>
      <c r="AC41" s="80">
        <v>0</v>
      </c>
      <c r="AD41" s="80">
        <v>0</v>
      </c>
      <c r="AE41" s="80">
        <v>0</v>
      </c>
      <c r="AF41" s="80">
        <f t="shared" si="1"/>
        <v>0</v>
      </c>
      <c r="AG41" s="80">
        <f>+COEF_FCM!AM48</f>
        <v>8132</v>
      </c>
      <c r="AH41" s="80">
        <f>+COEF_FCM!AR48</f>
        <v>181</v>
      </c>
      <c r="AI41" s="80">
        <f>+COEF_FCM!AN48</f>
        <v>6013</v>
      </c>
      <c r="AJ41" s="80">
        <f>+COEF_FCM!AS48</f>
        <v>0</v>
      </c>
      <c r="AK41" s="80">
        <f>+COEF_FCM!AO48</f>
        <v>7069</v>
      </c>
      <c r="AL41" s="80">
        <f>+COEF_FCM!AT48</f>
        <v>0</v>
      </c>
      <c r="AM41" s="80">
        <f>+COEF_FCM!AP48</f>
        <v>5823</v>
      </c>
      <c r="AN41" s="80">
        <f>+COEF_FCM!AU48</f>
        <v>87</v>
      </c>
      <c r="AO41" s="80">
        <f>+COEF_FCM!AQ48</f>
        <v>27037</v>
      </c>
      <c r="AP41" s="80">
        <f>+COEF_FCM!AV48</f>
        <v>268</v>
      </c>
      <c r="AQ41" s="80">
        <f>+_CIERRE!O41+_CIERRE!P41</f>
        <v>2144239.6490000002</v>
      </c>
      <c r="AR41" s="80">
        <f>+_CIERRE!Q41+_CIERRE!R41</f>
        <v>2414031.1669999999</v>
      </c>
      <c r="AS41" s="80">
        <f>+_CIERRE!S41+_CIERRE!T41</f>
        <v>2675397.1970000002</v>
      </c>
      <c r="AT41" s="80">
        <f>+_CIERRE!U41+_CIERRE!V41</f>
        <v>3101976.9219999998</v>
      </c>
      <c r="AU41" s="80">
        <f>+'CALC MEC ESTAB Y ESTIM M FINAL'!T46</f>
        <v>3491870</v>
      </c>
      <c r="AV41" s="560">
        <v>0</v>
      </c>
      <c r="AW41" s="551">
        <v>0</v>
      </c>
      <c r="AX41" s="551">
        <v>0</v>
      </c>
      <c r="AY41" s="551">
        <v>0</v>
      </c>
      <c r="AZ41" s="551">
        <v>319400.25900000002</v>
      </c>
      <c r="BA41" s="551">
        <v>328153.554</v>
      </c>
    </row>
    <row r="42" spans="1:53" ht="3" customHeight="1" x14ac:dyDescent="0.2">
      <c r="A42" s="68" t="str">
        <f>IF(LEN(+'_DATA STT PAGOS_'!M47)=4,"0"&amp;+'_DATA STT PAGOS_'!M47,+'_DATA STT PAGOS_'!M47)</f>
        <v>05101</v>
      </c>
      <c r="B42" s="68" t="str">
        <f>IF(LEN(+'_DATA STT PAGOS_'!N47)=4,"0"&amp;+'_DATA STT PAGOS_'!N47,+'_DATA STT PAGOS_'!N47)</f>
        <v>05301</v>
      </c>
      <c r="C42" s="76" t="str">
        <f>+'_DATA STT PAGOS_'!O47</f>
        <v>VALPARAÍSO</v>
      </c>
      <c r="D42" s="80">
        <f>+'CALC MEC ESTAB Y ESTIM M FINAL'!U47</f>
        <v>43410277</v>
      </c>
      <c r="E42" s="77">
        <f>+'CALC MEC ESTAB Y ESTIM M FINAL'!Q47</f>
        <v>1.64346343247E-2</v>
      </c>
      <c r="F42" s="77">
        <f>+'CALC MEC ESTAB Y ESTIM M FINAL'!R47</f>
        <v>-1.1405003564E-3</v>
      </c>
      <c r="G42" s="80">
        <f>+'_Flujo con Glosa 08'!CE47</f>
        <v>1975650</v>
      </c>
      <c r="H42" s="80">
        <f>+'_Flujo con Glosa 08'!CF47</f>
        <v>1975650</v>
      </c>
      <c r="I42" s="80">
        <f>+'_Flujo con Glosa 08'!CG47</f>
        <v>1913001</v>
      </c>
      <c r="J42" s="80">
        <f>+'_Flujo con Glosa 08'!CH47</f>
        <v>1975650</v>
      </c>
      <c r="K42" s="80">
        <f>+'_Flujo con Glosa 08'!CI47</f>
        <v>5941149</v>
      </c>
      <c r="L42" s="80">
        <f>+'_Flujo con Glosa 08'!CJ47</f>
        <v>2033468</v>
      </c>
      <c r="M42" s="80">
        <f>+'_Flujo con Glosa 08'!CK47</f>
        <v>3593320</v>
      </c>
      <c r="N42" s="80">
        <f>+'_Flujo con Glosa 08'!CL47</f>
        <v>1975650</v>
      </c>
      <c r="O42" s="80">
        <f>+'_Flujo con Glosa 08'!CM47</f>
        <v>2308290</v>
      </c>
      <c r="P42" s="80">
        <f>+'_Flujo con Glosa 08'!CN47</f>
        <v>3869568</v>
      </c>
      <c r="Q42" s="80">
        <f>+'_Flujo con Glosa 08'!CO47</f>
        <v>1975650</v>
      </c>
      <c r="R42" s="80">
        <f>+'_Flujo con Glosa 08'!CP47</f>
        <v>3651070</v>
      </c>
      <c r="S42" s="80">
        <f t="shared" si="0"/>
        <v>33188116</v>
      </c>
      <c r="T42" s="80">
        <v>0</v>
      </c>
      <c r="U42" s="80">
        <v>0</v>
      </c>
      <c r="V42" s="80">
        <v>0</v>
      </c>
      <c r="W42" s="80">
        <v>0</v>
      </c>
      <c r="X42" s="80">
        <v>0</v>
      </c>
      <c r="Y42" s="80">
        <v>0</v>
      </c>
      <c r="Z42" s="80">
        <v>0</v>
      </c>
      <c r="AA42" s="80">
        <v>0</v>
      </c>
      <c r="AB42" s="80">
        <v>0</v>
      </c>
      <c r="AC42" s="80">
        <v>0</v>
      </c>
      <c r="AD42" s="80">
        <v>0</v>
      </c>
      <c r="AE42" s="80">
        <v>0</v>
      </c>
      <c r="AF42" s="80">
        <f t="shared" si="1"/>
        <v>0</v>
      </c>
      <c r="AG42" s="80">
        <f>+COEF_FCM!AM49</f>
        <v>1578546</v>
      </c>
      <c r="AH42" s="80">
        <f>+COEF_FCM!AR49</f>
        <v>182079</v>
      </c>
      <c r="AI42" s="80">
        <f>+COEF_FCM!AN49</f>
        <v>1241874</v>
      </c>
      <c r="AJ42" s="80">
        <f>+COEF_FCM!AS49</f>
        <v>78266</v>
      </c>
      <c r="AK42" s="80">
        <f>+COEF_FCM!AO49</f>
        <v>1456309</v>
      </c>
      <c r="AL42" s="80">
        <f>+COEF_FCM!AT49</f>
        <v>107286.928</v>
      </c>
      <c r="AM42" s="80">
        <f>+COEF_FCM!AP49</f>
        <v>1237881</v>
      </c>
      <c r="AN42" s="80">
        <f>+COEF_FCM!AU49</f>
        <v>70807</v>
      </c>
      <c r="AO42" s="80">
        <f>+COEF_FCM!AQ49</f>
        <v>5514610</v>
      </c>
      <c r="AP42" s="80">
        <f>+COEF_FCM!AV49</f>
        <v>438438.92800000001</v>
      </c>
      <c r="AQ42" s="80">
        <f>+_CIERRE!O42+_CIERRE!P42</f>
        <v>26084175.344999999</v>
      </c>
      <c r="AR42" s="80">
        <f>+_CIERRE!Q42+_CIERRE!R42</f>
        <v>32918439.754999999</v>
      </c>
      <c r="AS42" s="80">
        <f>+_CIERRE!S42+_CIERRE!T42</f>
        <v>39387383.501999997</v>
      </c>
      <c r="AT42" s="80">
        <f>+_CIERRE!U42+_CIERRE!V42</f>
        <v>40710292.370999999</v>
      </c>
      <c r="AU42" s="80">
        <f>+'CALC MEC ESTAB Y ESTIM M FINAL'!T47</f>
        <v>43410277</v>
      </c>
      <c r="AV42" s="560">
        <v>0</v>
      </c>
      <c r="AW42" s="551">
        <v>0</v>
      </c>
      <c r="AX42" s="551">
        <v>0</v>
      </c>
      <c r="AY42" s="551">
        <v>0</v>
      </c>
      <c r="AZ42" s="551">
        <v>1557721.351</v>
      </c>
      <c r="BA42" s="551">
        <v>1676069.1529999999</v>
      </c>
    </row>
    <row r="43" spans="1:53" ht="3" customHeight="1" x14ac:dyDescent="0.2">
      <c r="A43" s="68" t="str">
        <f>IF(LEN(+'_DATA STT PAGOS_'!M48)=4,"0"&amp;+'_DATA STT PAGOS_'!M48,+'_DATA STT PAGOS_'!M48)</f>
        <v>05102</v>
      </c>
      <c r="B43" s="68" t="str">
        <f>IF(LEN(+'_DATA STT PAGOS_'!N48)=4,"0"&amp;+'_DATA STT PAGOS_'!N48,+'_DATA STT PAGOS_'!N48)</f>
        <v>05305</v>
      </c>
      <c r="C43" s="76" t="str">
        <f>+'_DATA STT PAGOS_'!O48</f>
        <v>CASABLANCA</v>
      </c>
      <c r="D43" s="80">
        <f>+'CALC MEC ESTAB Y ESTIM M FINAL'!U48</f>
        <v>3274687</v>
      </c>
      <c r="E43" s="77">
        <f>+'CALC MEC ESTAB Y ESTIM M FINAL'!Q48</f>
        <v>1.2395388461000001E-3</v>
      </c>
      <c r="F43" s="77">
        <f>+'CALC MEC ESTAB Y ESTIM M FINAL'!R48</f>
        <v>-8.5814306199999996E-5</v>
      </c>
      <c r="G43" s="80">
        <f>+'_Flujo con Glosa 08'!CE48</f>
        <v>148841</v>
      </c>
      <c r="H43" s="80">
        <f>+'_Flujo con Glosa 08'!CF48</f>
        <v>148841</v>
      </c>
      <c r="I43" s="80">
        <f>+'_Flujo con Glosa 08'!CG48</f>
        <v>144309</v>
      </c>
      <c r="J43" s="80">
        <f>+'_Flujo con Glosa 08'!CH48</f>
        <v>148841</v>
      </c>
      <c r="K43" s="80">
        <f>+'_Flujo con Glosa 08'!CI48</f>
        <v>448756</v>
      </c>
      <c r="L43" s="80">
        <f>+'_Flujo con Glosa 08'!CJ48</f>
        <v>153203</v>
      </c>
      <c r="M43" s="80">
        <f>+'_Flujo con Glosa 08'!CK48</f>
        <v>271258</v>
      </c>
      <c r="N43" s="80">
        <f>+'_Flujo con Glosa 08'!CL48</f>
        <v>148841</v>
      </c>
      <c r="O43" s="80">
        <f>+'_Flujo con Glosa 08'!CM48</f>
        <v>174127</v>
      </c>
      <c r="P43" s="80">
        <f>+'_Flujo con Glosa 08'!CN48</f>
        <v>292097</v>
      </c>
      <c r="Q43" s="80">
        <f>+'_Flujo con Glosa 08'!CO48</f>
        <v>148841</v>
      </c>
      <c r="R43" s="80">
        <f>+'_Flujo con Glosa 08'!CP48</f>
        <v>275614</v>
      </c>
      <c r="S43" s="80">
        <f t="shared" si="0"/>
        <v>2503569</v>
      </c>
      <c r="T43" s="80">
        <v>0</v>
      </c>
      <c r="U43" s="80">
        <v>0</v>
      </c>
      <c r="V43" s="80">
        <v>0</v>
      </c>
      <c r="W43" s="80">
        <v>0</v>
      </c>
      <c r="X43" s="80">
        <v>0</v>
      </c>
      <c r="Y43" s="80">
        <v>0</v>
      </c>
      <c r="Z43" s="80">
        <v>0</v>
      </c>
      <c r="AA43" s="80">
        <v>0</v>
      </c>
      <c r="AB43" s="80">
        <v>0</v>
      </c>
      <c r="AC43" s="80">
        <v>0</v>
      </c>
      <c r="AD43" s="80">
        <v>0</v>
      </c>
      <c r="AE43" s="80">
        <v>0</v>
      </c>
      <c r="AF43" s="80">
        <f t="shared" si="1"/>
        <v>0</v>
      </c>
      <c r="AG43" s="80">
        <f>+COEF_FCM!AM50</f>
        <v>396895</v>
      </c>
      <c r="AH43" s="80">
        <f>+COEF_FCM!AR50</f>
        <v>15870</v>
      </c>
      <c r="AI43" s="80">
        <f>+COEF_FCM!AN50</f>
        <v>264347</v>
      </c>
      <c r="AJ43" s="80">
        <f>+COEF_FCM!AS50</f>
        <v>7282</v>
      </c>
      <c r="AK43" s="80">
        <f>+COEF_FCM!AO50</f>
        <v>280323</v>
      </c>
      <c r="AL43" s="80">
        <f>+COEF_FCM!AT50</f>
        <v>9169.9570000000003</v>
      </c>
      <c r="AM43" s="80">
        <f>+COEF_FCM!AP50</f>
        <v>261528</v>
      </c>
      <c r="AN43" s="80">
        <f>+COEF_FCM!AU50</f>
        <v>8841</v>
      </c>
      <c r="AO43" s="80">
        <f>+COEF_FCM!AQ50</f>
        <v>1203093</v>
      </c>
      <c r="AP43" s="80">
        <f>+COEF_FCM!AV50</f>
        <v>41162.957000000002</v>
      </c>
      <c r="AQ43" s="80">
        <f>+_CIERRE!O43+_CIERRE!P43</f>
        <v>2305046.196</v>
      </c>
      <c r="AR43" s="80">
        <f>+_CIERRE!Q43+_CIERRE!R43</f>
        <v>2665433.4419999998</v>
      </c>
      <c r="AS43" s="80">
        <f>+_CIERRE!S43+_CIERRE!T43</f>
        <v>2885187.841</v>
      </c>
      <c r="AT43" s="80">
        <f>+_CIERRE!U43+_CIERRE!V43</f>
        <v>3071532.6979999999</v>
      </c>
      <c r="AU43" s="80">
        <f>+'CALC MEC ESTAB Y ESTIM M FINAL'!T48</f>
        <v>3274687</v>
      </c>
      <c r="AV43" s="560">
        <v>0</v>
      </c>
      <c r="AW43" s="551">
        <v>0</v>
      </c>
      <c r="AX43" s="551">
        <v>0</v>
      </c>
      <c r="AY43" s="551">
        <v>0</v>
      </c>
      <c r="AZ43" s="551">
        <v>376678.19699999999</v>
      </c>
      <c r="BA43" s="551">
        <v>390325.538</v>
      </c>
    </row>
    <row r="44" spans="1:53" ht="3" customHeight="1" x14ac:dyDescent="0.2">
      <c r="A44" s="68" t="str">
        <f>IF(LEN(+'_DATA STT PAGOS_'!M49)=4,"0"&amp;+'_DATA STT PAGOS_'!M49,+'_DATA STT PAGOS_'!M49)</f>
        <v>05103</v>
      </c>
      <c r="B44" s="68" t="str">
        <f>IF(LEN(+'_DATA STT PAGOS_'!N49)=4,"0"&amp;+'_DATA STT PAGOS_'!N49,+'_DATA STT PAGOS_'!N49)</f>
        <v>05309</v>
      </c>
      <c r="C44" s="76" t="str">
        <f>+'_DATA STT PAGOS_'!O49</f>
        <v>CONCÓN</v>
      </c>
      <c r="D44" s="80">
        <f>+'CALC MEC ESTAB Y ESTIM M FINAL'!U49</f>
        <v>2607982</v>
      </c>
      <c r="E44" s="77">
        <f>+'CALC MEC ESTAB Y ESTIM M FINAL'!Q49</f>
        <v>9.3301419669999995E-4</v>
      </c>
      <c r="F44" s="77">
        <f>+'CALC MEC ESTAB Y ESTIM M FINAL'!R49</f>
        <v>-1.41803656E-5</v>
      </c>
      <c r="G44" s="80">
        <f>+'_Flujo con Glosa 08'!CE49</f>
        <v>125116</v>
      </c>
      <c r="H44" s="80">
        <f>+'_Flujo con Glosa 08'!CF49</f>
        <v>125116</v>
      </c>
      <c r="I44" s="80">
        <f>+'_Flujo con Glosa 08'!CG49</f>
        <v>114928</v>
      </c>
      <c r="J44" s="80">
        <f>+'_Flujo con Glosa 08'!CH49</f>
        <v>125116</v>
      </c>
      <c r="K44" s="80">
        <f>+'_Flujo con Glosa 08'!CI49</f>
        <v>337658</v>
      </c>
      <c r="L44" s="80">
        <f>+'_Flujo con Glosa 08'!CJ49</f>
        <v>128590</v>
      </c>
      <c r="M44" s="80">
        <f>+'_Flujo con Glosa 08'!CK49</f>
        <v>210348</v>
      </c>
      <c r="N44" s="80">
        <f>+'_Flujo con Glosa 08'!CL49</f>
        <v>125116</v>
      </c>
      <c r="O44" s="80">
        <f>+'_Flujo con Glosa 08'!CM49</f>
        <v>138676</v>
      </c>
      <c r="P44" s="80">
        <f>+'_Flujo con Glosa 08'!CN49</f>
        <v>225157</v>
      </c>
      <c r="Q44" s="80">
        <f>+'_Flujo con Glosa 08'!CO49</f>
        <v>125116</v>
      </c>
      <c r="R44" s="80">
        <f>+'_Flujo con Glosa 08'!CP49</f>
        <v>212923</v>
      </c>
      <c r="S44" s="80">
        <f t="shared" si="0"/>
        <v>1993860</v>
      </c>
      <c r="T44" s="80">
        <v>0</v>
      </c>
      <c r="U44" s="80">
        <v>0</v>
      </c>
      <c r="V44" s="80">
        <v>0</v>
      </c>
      <c r="W44" s="80">
        <v>0</v>
      </c>
      <c r="X44" s="80">
        <v>0</v>
      </c>
      <c r="Y44" s="80">
        <v>0</v>
      </c>
      <c r="Z44" s="80">
        <v>0</v>
      </c>
      <c r="AA44" s="80">
        <v>0</v>
      </c>
      <c r="AB44" s="80">
        <v>0</v>
      </c>
      <c r="AC44" s="80">
        <v>0</v>
      </c>
      <c r="AD44" s="80">
        <v>0</v>
      </c>
      <c r="AE44" s="80">
        <v>0</v>
      </c>
      <c r="AF44" s="80">
        <f t="shared" si="1"/>
        <v>0</v>
      </c>
      <c r="AG44" s="80">
        <f>+COEF_FCM!AM51</f>
        <v>1479702</v>
      </c>
      <c r="AH44" s="80">
        <f>+COEF_FCM!AR51</f>
        <v>204485</v>
      </c>
      <c r="AI44" s="80">
        <f>+COEF_FCM!AN51</f>
        <v>882586</v>
      </c>
      <c r="AJ44" s="80">
        <f>+COEF_FCM!AS51</f>
        <v>93188</v>
      </c>
      <c r="AK44" s="80">
        <f>+COEF_FCM!AO51</f>
        <v>1270196</v>
      </c>
      <c r="AL44" s="80">
        <f>+COEF_FCM!AT51</f>
        <v>125634.902</v>
      </c>
      <c r="AM44" s="80">
        <f>+COEF_FCM!AP51</f>
        <v>959094</v>
      </c>
      <c r="AN44" s="80">
        <f>+COEF_FCM!AU51</f>
        <v>84910</v>
      </c>
      <c r="AO44" s="80">
        <f>+COEF_FCM!AQ51</f>
        <v>4591578</v>
      </c>
      <c r="AP44" s="80">
        <f>+COEF_FCM!AV51</f>
        <v>508217.902</v>
      </c>
      <c r="AQ44" s="80">
        <f>+_CIERRE!O44+_CIERRE!P44</f>
        <v>2116729.3149999999</v>
      </c>
      <c r="AR44" s="80">
        <f>+_CIERRE!Q44+_CIERRE!R44</f>
        <v>2397599.2039999999</v>
      </c>
      <c r="AS44" s="80">
        <f>+_CIERRE!S44+_CIERRE!T44</f>
        <v>2550551.7149999999</v>
      </c>
      <c r="AT44" s="80">
        <f>+_CIERRE!U44+_CIERRE!V44</f>
        <v>2574411.2940000002</v>
      </c>
      <c r="AU44" s="80">
        <f>+'CALC MEC ESTAB Y ESTIM M FINAL'!T49</f>
        <v>2607982</v>
      </c>
      <c r="AV44" s="560">
        <v>0</v>
      </c>
      <c r="AW44" s="551">
        <v>0</v>
      </c>
      <c r="AX44" s="551">
        <v>0</v>
      </c>
      <c r="AY44" s="551">
        <v>0</v>
      </c>
      <c r="AZ44" s="551">
        <v>320317.39</v>
      </c>
      <c r="BA44" s="551">
        <v>329670.62599999999</v>
      </c>
    </row>
    <row r="45" spans="1:53" ht="3" customHeight="1" x14ac:dyDescent="0.2">
      <c r="A45" s="68" t="str">
        <f>IF(LEN(+'_DATA STT PAGOS_'!M50)=4,"0"&amp;+'_DATA STT PAGOS_'!M50,+'_DATA STT PAGOS_'!M50)</f>
        <v>05104</v>
      </c>
      <c r="B45" s="68" t="str">
        <f>IF(LEN(+'_DATA STT PAGOS_'!N50)=4,"0"&amp;+'_DATA STT PAGOS_'!N50,+'_DATA STT PAGOS_'!N50)</f>
        <v>05308</v>
      </c>
      <c r="C45" s="76" t="str">
        <f>+'_DATA STT PAGOS_'!O50</f>
        <v>JUAN FERNÁNDEZ</v>
      </c>
      <c r="D45" s="80">
        <f>+'CALC MEC ESTAB Y ESTIM M FINAL'!U50</f>
        <v>2163175</v>
      </c>
      <c r="E45" s="77">
        <f>+'CALC MEC ESTAB Y ESTIM M FINAL'!Q50</f>
        <v>7.8309284159999997E-4</v>
      </c>
      <c r="F45" s="77">
        <f>+'CALC MEC ESTAB Y ESTIM M FINAL'!R50</f>
        <v>-2.0971608300000001E-5</v>
      </c>
      <c r="G45" s="80">
        <f>+'_Flujo con Glosa 08'!CE50</f>
        <v>102551</v>
      </c>
      <c r="H45" s="80">
        <f>+'_Flujo con Glosa 08'!CF50</f>
        <v>102551</v>
      </c>
      <c r="I45" s="80">
        <f>+'_Flujo con Glosa 08'!CG50</f>
        <v>95327</v>
      </c>
      <c r="J45" s="80">
        <f>+'_Flujo con Glosa 08'!CH50</f>
        <v>102551</v>
      </c>
      <c r="K45" s="80">
        <f>+'_Flujo con Glosa 08'!CI50</f>
        <v>283745</v>
      </c>
      <c r="L45" s="80">
        <f>+'_Flujo con Glosa 08'!CJ50</f>
        <v>105432</v>
      </c>
      <c r="M45" s="80">
        <f>+'_Flujo con Glosa 08'!CK50</f>
        <v>174956</v>
      </c>
      <c r="N45" s="80">
        <f>+'_Flujo con Glosa 08'!CL50</f>
        <v>102551</v>
      </c>
      <c r="O45" s="80">
        <f>+'_Flujo con Glosa 08'!CM50</f>
        <v>115024</v>
      </c>
      <c r="P45" s="80">
        <f>+'_Flujo con Glosa 08'!CN50</f>
        <v>188721</v>
      </c>
      <c r="Q45" s="80">
        <f>+'_Flujo con Glosa 08'!CO50</f>
        <v>102551</v>
      </c>
      <c r="R45" s="80">
        <f>+'_Flujo con Glosa 08'!CP50</f>
        <v>177834</v>
      </c>
      <c r="S45" s="80">
        <f t="shared" si="0"/>
        <v>1653794</v>
      </c>
      <c r="T45" s="80">
        <v>0</v>
      </c>
      <c r="U45" s="80">
        <v>0</v>
      </c>
      <c r="V45" s="80">
        <v>0</v>
      </c>
      <c r="W45" s="80">
        <v>0</v>
      </c>
      <c r="X45" s="80">
        <v>0</v>
      </c>
      <c r="Y45" s="80">
        <v>0</v>
      </c>
      <c r="Z45" s="80">
        <v>0</v>
      </c>
      <c r="AA45" s="80">
        <v>0</v>
      </c>
      <c r="AB45" s="80">
        <v>0</v>
      </c>
      <c r="AC45" s="80">
        <v>0</v>
      </c>
      <c r="AD45" s="80">
        <v>0</v>
      </c>
      <c r="AE45" s="80">
        <v>0</v>
      </c>
      <c r="AF45" s="80">
        <f t="shared" si="1"/>
        <v>0</v>
      </c>
      <c r="AG45" s="80">
        <f>+COEF_FCM!AM52</f>
        <v>875</v>
      </c>
      <c r="AH45" s="80">
        <f>+COEF_FCM!AR52</f>
        <v>0</v>
      </c>
      <c r="AI45" s="80">
        <f>+COEF_FCM!AN52</f>
        <v>394</v>
      </c>
      <c r="AJ45" s="80">
        <f>+COEF_FCM!AS52</f>
        <v>0</v>
      </c>
      <c r="AK45" s="80">
        <f>+COEF_FCM!AO52</f>
        <v>1056</v>
      </c>
      <c r="AL45" s="80">
        <f>+COEF_FCM!AT52</f>
        <v>0</v>
      </c>
      <c r="AM45" s="80">
        <f>+COEF_FCM!AP52</f>
        <v>193</v>
      </c>
      <c r="AN45" s="80">
        <f>+COEF_FCM!AU52</f>
        <v>0</v>
      </c>
      <c r="AO45" s="80">
        <f>+COEF_FCM!AQ52</f>
        <v>2518</v>
      </c>
      <c r="AP45" s="80">
        <f>+COEF_FCM!AV52</f>
        <v>0</v>
      </c>
      <c r="AQ45" s="80">
        <f>+_CIERRE!O45+_CIERRE!P45</f>
        <v>1842026.0759999999</v>
      </c>
      <c r="AR45" s="80">
        <f>+_CIERRE!Q45+_CIERRE!R45</f>
        <v>1997089.044</v>
      </c>
      <c r="AS45" s="80">
        <f>+_CIERRE!S45+_CIERRE!T45</f>
        <v>2064978.899</v>
      </c>
      <c r="AT45" s="80">
        <f>+_CIERRE!U45+_CIERRE!V45</f>
        <v>2113528.1320000002</v>
      </c>
      <c r="AU45" s="80">
        <f>+'CALC MEC ESTAB Y ESTIM M FINAL'!T50</f>
        <v>2163175</v>
      </c>
      <c r="AV45" s="560">
        <v>0</v>
      </c>
      <c r="AW45" s="551">
        <v>0</v>
      </c>
      <c r="AX45" s="551">
        <v>0</v>
      </c>
      <c r="AY45" s="551">
        <v>0</v>
      </c>
      <c r="AZ45" s="551">
        <v>284544.09899999999</v>
      </c>
      <c r="BA45" s="551">
        <v>288774.19199999998</v>
      </c>
    </row>
    <row r="46" spans="1:53" ht="3" customHeight="1" x14ac:dyDescent="0.2">
      <c r="A46" s="68" t="str">
        <f>IF(LEN(+'_DATA STT PAGOS_'!M51)=4,"0"&amp;+'_DATA STT PAGOS_'!M51,+'_DATA STT PAGOS_'!M51)</f>
        <v>05105</v>
      </c>
      <c r="B46" s="68" t="str">
        <f>IF(LEN(+'_DATA STT PAGOS_'!N51)=4,"0"&amp;+'_DATA STT PAGOS_'!N51,+'_DATA STT PAGOS_'!N51)</f>
        <v>05307</v>
      </c>
      <c r="C46" s="76" t="str">
        <f>+'_DATA STT PAGOS_'!O51</f>
        <v>PUCHUNCAVÍ</v>
      </c>
      <c r="D46" s="80">
        <f>+'CALC MEC ESTAB Y ESTIM M FINAL'!U51</f>
        <v>3000323</v>
      </c>
      <c r="E46" s="77">
        <f>+'CALC MEC ESTAB Y ESTIM M FINAL'!Q51</f>
        <v>1.0823682633000001E-3</v>
      </c>
      <c r="F46" s="77">
        <f>+'CALC MEC ESTAB Y ESTIM M FINAL'!R51</f>
        <v>-2.5306504E-5</v>
      </c>
      <c r="G46" s="80">
        <f>+'_Flujo con Glosa 08'!CE51</f>
        <v>142907</v>
      </c>
      <c r="H46" s="80">
        <f>+'_Flujo con Glosa 08'!CF51</f>
        <v>142907</v>
      </c>
      <c r="I46" s="80">
        <f>+'_Flujo con Glosa 08'!CG51</f>
        <v>132218</v>
      </c>
      <c r="J46" s="80">
        <f>+'_Flujo con Glosa 08'!CH51</f>
        <v>142907</v>
      </c>
      <c r="K46" s="80">
        <f>+'_Flujo con Glosa 08'!CI51</f>
        <v>391549</v>
      </c>
      <c r="L46" s="80">
        <f>+'_Flujo con Glosa 08'!CJ51</f>
        <v>146903</v>
      </c>
      <c r="M46" s="80">
        <f>+'_Flujo con Glosa 08'!CK51</f>
        <v>241995</v>
      </c>
      <c r="N46" s="80">
        <f>+'_Flujo con Glosa 08'!CL51</f>
        <v>142907</v>
      </c>
      <c r="O46" s="80">
        <f>+'_Flujo con Glosa 08'!CM51</f>
        <v>159539</v>
      </c>
      <c r="P46" s="80">
        <f>+'_Flujo con Glosa 08'!CN51</f>
        <v>261088</v>
      </c>
      <c r="Q46" s="80">
        <f>+'_Flujo con Glosa 08'!CO51</f>
        <v>142907</v>
      </c>
      <c r="R46" s="80">
        <f>+'_Flujo con Glosa 08'!CP51</f>
        <v>245987</v>
      </c>
      <c r="S46" s="80">
        <f t="shared" si="0"/>
        <v>2293814</v>
      </c>
      <c r="T46" s="80">
        <v>0</v>
      </c>
      <c r="U46" s="80">
        <v>0</v>
      </c>
      <c r="V46" s="80">
        <v>0</v>
      </c>
      <c r="W46" s="80">
        <v>0</v>
      </c>
      <c r="X46" s="80">
        <v>0</v>
      </c>
      <c r="Y46" s="80">
        <v>0</v>
      </c>
      <c r="Z46" s="80">
        <v>0</v>
      </c>
      <c r="AA46" s="80">
        <v>0</v>
      </c>
      <c r="AB46" s="80">
        <v>0</v>
      </c>
      <c r="AC46" s="80">
        <v>0</v>
      </c>
      <c r="AD46" s="80">
        <v>0</v>
      </c>
      <c r="AE46" s="80">
        <v>0</v>
      </c>
      <c r="AF46" s="80">
        <f t="shared" si="1"/>
        <v>0</v>
      </c>
      <c r="AG46" s="80">
        <f>+COEF_FCM!AM53</f>
        <v>753276</v>
      </c>
      <c r="AH46" s="80">
        <f>+COEF_FCM!AR53</f>
        <v>68451</v>
      </c>
      <c r="AI46" s="80">
        <f>+COEF_FCM!AN53</f>
        <v>459743</v>
      </c>
      <c r="AJ46" s="80">
        <f>+COEF_FCM!AS53</f>
        <v>33260</v>
      </c>
      <c r="AK46" s="80">
        <f>+COEF_FCM!AO53</f>
        <v>552480</v>
      </c>
      <c r="AL46" s="80">
        <f>+COEF_FCM!AT53</f>
        <v>44106.224999999999</v>
      </c>
      <c r="AM46" s="80">
        <f>+COEF_FCM!AP53</f>
        <v>493073</v>
      </c>
      <c r="AN46" s="80">
        <f>+COEF_FCM!AU53</f>
        <v>34980</v>
      </c>
      <c r="AO46" s="80">
        <f>+COEF_FCM!AQ53</f>
        <v>2258572</v>
      </c>
      <c r="AP46" s="80">
        <f>+COEF_FCM!AV53</f>
        <v>180797.22500000001</v>
      </c>
      <c r="AQ46" s="80">
        <f>+_CIERRE!O46+_CIERRE!P46</f>
        <v>2351864.585</v>
      </c>
      <c r="AR46" s="80">
        <f>+_CIERRE!Q46+_CIERRE!R46</f>
        <v>2676344.395</v>
      </c>
      <c r="AS46" s="80">
        <f>+_CIERRE!S46+_CIERRE!T46</f>
        <v>2896860.3620000002</v>
      </c>
      <c r="AT46" s="80">
        <f>+_CIERRE!U46+_CIERRE!V46</f>
        <v>2940412.6069999998</v>
      </c>
      <c r="AU46" s="80">
        <f>+'CALC MEC ESTAB Y ESTIM M FINAL'!T51</f>
        <v>3000323</v>
      </c>
      <c r="AV46" s="560">
        <v>0</v>
      </c>
      <c r="AW46" s="551">
        <v>1771527.4569999999</v>
      </c>
      <c r="AX46" s="551">
        <v>1294618.1359999999</v>
      </c>
      <c r="AY46" s="551">
        <v>0</v>
      </c>
      <c r="AZ46" s="551">
        <v>341492.359</v>
      </c>
      <c r="BA46" s="551">
        <v>349613.49099999998</v>
      </c>
    </row>
    <row r="47" spans="1:53" ht="3" customHeight="1" x14ac:dyDescent="0.2">
      <c r="A47" s="68" t="str">
        <f>IF(LEN(+'_DATA STT PAGOS_'!M52)=4,"0"&amp;+'_DATA STT PAGOS_'!M52,+'_DATA STT PAGOS_'!M52)</f>
        <v>05107</v>
      </c>
      <c r="B47" s="68" t="str">
        <f>IF(LEN(+'_DATA STT PAGOS_'!N52)=4,"0"&amp;+'_DATA STT PAGOS_'!N52,+'_DATA STT PAGOS_'!N52)</f>
        <v>05306</v>
      </c>
      <c r="C47" s="76" t="str">
        <f>+'_DATA STT PAGOS_'!O52</f>
        <v>QUINTERO</v>
      </c>
      <c r="D47" s="80">
        <f>+'CALC MEC ESTAB Y ESTIM M FINAL'!U52</f>
        <v>18032215</v>
      </c>
      <c r="E47" s="77">
        <f>+'CALC MEC ESTAB Y ESTIM M FINAL'!Q52</f>
        <v>5.7572828316999995E-3</v>
      </c>
      <c r="F47" s="77">
        <f>+'CALC MEC ESTAB Y ESTIM M FINAL'!R52</f>
        <v>5.9575468380000001E-4</v>
      </c>
      <c r="G47" s="80">
        <f>+'_Flujo con Glosa 08'!CE52</f>
        <v>874798</v>
      </c>
      <c r="H47" s="80">
        <f>+'_Flujo con Glosa 08'!CF52</f>
        <v>874798</v>
      </c>
      <c r="I47" s="80">
        <f>+'_Flujo con Glosa 08'!CG52</f>
        <v>794642</v>
      </c>
      <c r="J47" s="80">
        <f>+'_Flujo con Glosa 08'!CH52</f>
        <v>874798</v>
      </c>
      <c r="K47" s="80">
        <f>+'_Flujo con Glosa 08'!CI52</f>
        <v>2305502</v>
      </c>
      <c r="L47" s="80">
        <f>+'_Flujo con Glosa 08'!CJ52</f>
        <v>898815</v>
      </c>
      <c r="M47" s="80">
        <f>+'_Flujo con Glosa 08'!CK52</f>
        <v>1469156</v>
      </c>
      <c r="N47" s="80">
        <f>+'_Flujo con Glosa 08'!CL52</f>
        <v>874798</v>
      </c>
      <c r="O47" s="80">
        <f>+'_Flujo con Glosa 08'!CM52</f>
        <v>958842</v>
      </c>
      <c r="P47" s="80">
        <f>+'_Flujo con Glosa 08'!CN52</f>
        <v>1522593</v>
      </c>
      <c r="Q47" s="80">
        <f>+'_Flujo con Glosa 08'!CO52</f>
        <v>874798</v>
      </c>
      <c r="R47" s="80">
        <f>+'_Flujo con Glosa 08'!CP52</f>
        <v>1462488</v>
      </c>
      <c r="S47" s="80">
        <f t="shared" si="0"/>
        <v>13786028</v>
      </c>
      <c r="T47" s="80">
        <v>0</v>
      </c>
      <c r="U47" s="80">
        <v>0</v>
      </c>
      <c r="V47" s="80">
        <v>0</v>
      </c>
      <c r="W47" s="80">
        <v>0</v>
      </c>
      <c r="X47" s="80">
        <v>0</v>
      </c>
      <c r="Y47" s="80">
        <v>0</v>
      </c>
      <c r="Z47" s="80">
        <v>0</v>
      </c>
      <c r="AA47" s="80">
        <v>0</v>
      </c>
      <c r="AB47" s="80">
        <v>0</v>
      </c>
      <c r="AC47" s="80">
        <v>0</v>
      </c>
      <c r="AD47" s="80">
        <v>0</v>
      </c>
      <c r="AE47" s="80">
        <v>0</v>
      </c>
      <c r="AF47" s="80">
        <f t="shared" si="1"/>
        <v>0</v>
      </c>
      <c r="AG47" s="80">
        <f>+COEF_FCM!AM54</f>
        <v>294302</v>
      </c>
      <c r="AH47" s="80">
        <f>+COEF_FCM!AR54</f>
        <v>30661</v>
      </c>
      <c r="AI47" s="80">
        <f>+COEF_FCM!AN54</f>
        <v>163558</v>
      </c>
      <c r="AJ47" s="80">
        <f>+COEF_FCM!AS54</f>
        <v>17708</v>
      </c>
      <c r="AK47" s="80">
        <f>+COEF_FCM!AO54</f>
        <v>247813</v>
      </c>
      <c r="AL47" s="80">
        <f>+COEF_FCM!AT54</f>
        <v>21016.552</v>
      </c>
      <c r="AM47" s="80">
        <f>+COEF_FCM!AP54</f>
        <v>207414</v>
      </c>
      <c r="AN47" s="80">
        <f>+COEF_FCM!AU54</f>
        <v>16396</v>
      </c>
      <c r="AO47" s="80">
        <f>+COEF_FCM!AQ54</f>
        <v>913087</v>
      </c>
      <c r="AP47" s="80">
        <f>+COEF_FCM!AV54</f>
        <v>85781.551999999996</v>
      </c>
      <c r="AQ47" s="80">
        <f>+_CIERRE!O47+_CIERRE!P47</f>
        <v>11871140.854</v>
      </c>
      <c r="AR47" s="80">
        <f>+_CIERRE!Q47+_CIERRE!R47</f>
        <v>14614958.339</v>
      </c>
      <c r="AS47" s="80">
        <f>+_CIERRE!S47+_CIERRE!T47</f>
        <v>17865094.568999998</v>
      </c>
      <c r="AT47" s="80">
        <f>+_CIERRE!U47+_CIERRE!V47</f>
        <v>18032214.719000001</v>
      </c>
      <c r="AU47" s="80">
        <f>+'CALC MEC ESTAB Y ESTIM M FINAL'!T52</f>
        <v>18032215</v>
      </c>
      <c r="AV47" s="560">
        <v>0</v>
      </c>
      <c r="AW47" s="551">
        <v>0</v>
      </c>
      <c r="AX47" s="551">
        <v>1303131.0730000001</v>
      </c>
      <c r="AY47" s="551">
        <v>0</v>
      </c>
      <c r="AZ47" s="551">
        <v>437006.34299999999</v>
      </c>
      <c r="BA47" s="551">
        <v>451691.83199999999</v>
      </c>
    </row>
    <row r="48" spans="1:53" ht="3" customHeight="1" x14ac:dyDescent="0.2">
      <c r="A48" s="68" t="str">
        <f>IF(LEN(+'_DATA STT PAGOS_'!M53)=4,"0"&amp;+'_DATA STT PAGOS_'!M53,+'_DATA STT PAGOS_'!M53)</f>
        <v>05109</v>
      </c>
      <c r="B48" s="68" t="str">
        <f>IF(LEN(+'_DATA STT PAGOS_'!N53)=4,"0"&amp;+'_DATA STT PAGOS_'!N53,+'_DATA STT PAGOS_'!N53)</f>
        <v>05302</v>
      </c>
      <c r="C48" s="76" t="str">
        <f>+'_DATA STT PAGOS_'!O53</f>
        <v>VIÑA DEL MAR</v>
      </c>
      <c r="D48" s="80">
        <f>+'CALC MEC ESTAB Y ESTIM M FINAL'!U53</f>
        <v>14172211</v>
      </c>
      <c r="E48" s="77">
        <f>+'CALC MEC ESTAB Y ESTIM M FINAL'!Q53</f>
        <v>5.2970879269000001E-3</v>
      </c>
      <c r="F48" s="77">
        <f>+'CALC MEC ESTAB Y ESTIM M FINAL'!R53</f>
        <v>-3.0399160940000001E-4</v>
      </c>
      <c r="G48" s="80">
        <f>+'_Flujo con Glosa 08'!CE53</f>
        <v>652842</v>
      </c>
      <c r="H48" s="80">
        <f>+'_Flujo con Glosa 08'!CF53</f>
        <v>652842</v>
      </c>
      <c r="I48" s="80">
        <f>+'_Flujo con Glosa 08'!CG53</f>
        <v>624540</v>
      </c>
      <c r="J48" s="80">
        <f>+'_Flujo con Glosa 08'!CH53</f>
        <v>652842</v>
      </c>
      <c r="K48" s="80">
        <f>+'_Flujo con Glosa 08'!CI53</f>
        <v>1916068</v>
      </c>
      <c r="L48" s="80">
        <f>+'_Flujo con Glosa 08'!CJ53</f>
        <v>671718</v>
      </c>
      <c r="M48" s="80">
        <f>+'_Flujo con Glosa 08'!CK53</f>
        <v>1165267</v>
      </c>
      <c r="N48" s="80">
        <f>+'_Flujo con Glosa 08'!CL53</f>
        <v>652842</v>
      </c>
      <c r="O48" s="80">
        <f>+'_Flujo con Glosa 08'!CM53</f>
        <v>753590</v>
      </c>
      <c r="P48" s="80">
        <f>+'_Flujo con Glosa 08'!CN53</f>
        <v>1255454</v>
      </c>
      <c r="Q48" s="80">
        <f>+'_Flujo con Glosa 08'!CO53</f>
        <v>652842</v>
      </c>
      <c r="R48" s="80">
        <f>+'_Flujo con Glosa 08'!CP53</f>
        <v>1184121</v>
      </c>
      <c r="S48" s="80">
        <f t="shared" si="0"/>
        <v>10834968</v>
      </c>
      <c r="T48" s="80">
        <v>0</v>
      </c>
      <c r="U48" s="80">
        <v>0</v>
      </c>
      <c r="V48" s="80">
        <v>0</v>
      </c>
      <c r="W48" s="80">
        <v>0</v>
      </c>
      <c r="X48" s="80">
        <v>0</v>
      </c>
      <c r="Y48" s="80">
        <v>0</v>
      </c>
      <c r="Z48" s="80">
        <v>0</v>
      </c>
      <c r="AA48" s="80">
        <v>0</v>
      </c>
      <c r="AB48" s="80">
        <v>0</v>
      </c>
      <c r="AC48" s="80">
        <v>0</v>
      </c>
      <c r="AD48" s="80">
        <v>0</v>
      </c>
      <c r="AE48" s="80">
        <v>0</v>
      </c>
      <c r="AF48" s="80">
        <f t="shared" si="1"/>
        <v>0</v>
      </c>
      <c r="AG48" s="80">
        <f>+COEF_FCM!AM55</f>
        <v>4645551</v>
      </c>
      <c r="AH48" s="80">
        <f>+COEF_FCM!AR55</f>
        <v>755726</v>
      </c>
      <c r="AI48" s="80">
        <f>+COEF_FCM!AN55</f>
        <v>3074574</v>
      </c>
      <c r="AJ48" s="80">
        <f>+COEF_FCM!AS55</f>
        <v>349242</v>
      </c>
      <c r="AK48" s="80">
        <f>+COEF_FCM!AO55</f>
        <v>3795406</v>
      </c>
      <c r="AL48" s="80">
        <f>+COEF_FCM!AT55</f>
        <v>484010.4</v>
      </c>
      <c r="AM48" s="80">
        <f>+COEF_FCM!AP55</f>
        <v>3009947</v>
      </c>
      <c r="AN48" s="80">
        <f>+COEF_FCM!AU55</f>
        <v>324525</v>
      </c>
      <c r="AO48" s="80">
        <f>+COEF_FCM!AQ55</f>
        <v>14525478</v>
      </c>
      <c r="AP48" s="80">
        <f>+COEF_FCM!AV55</f>
        <v>1913503.4</v>
      </c>
      <c r="AQ48" s="80">
        <f>+_CIERRE!O48+_CIERRE!P48</f>
        <v>9742460.3739999998</v>
      </c>
      <c r="AR48" s="80">
        <f>+_CIERRE!Q48+_CIERRE!R48</f>
        <v>11192382.419</v>
      </c>
      <c r="AS48" s="80">
        <f>+_CIERRE!S48+_CIERRE!T48</f>
        <v>12721170.834000001</v>
      </c>
      <c r="AT48" s="80">
        <f>+_CIERRE!U48+_CIERRE!V48</f>
        <v>13452550.674000001</v>
      </c>
      <c r="AU48" s="80">
        <f>+'CALC MEC ESTAB Y ESTIM M FINAL'!T53</f>
        <v>14172211</v>
      </c>
      <c r="AV48" s="560">
        <v>0</v>
      </c>
      <c r="AW48" s="551">
        <v>0</v>
      </c>
      <c r="AX48" s="551">
        <v>0</v>
      </c>
      <c r="AY48" s="551">
        <v>0</v>
      </c>
      <c r="AZ48" s="551">
        <v>0</v>
      </c>
      <c r="BA48" s="551">
        <v>0</v>
      </c>
    </row>
    <row r="49" spans="1:54" ht="3" customHeight="1" x14ac:dyDescent="0.2">
      <c r="A49" s="161" t="str">
        <f>IF(LEN(+'_DATA STT PAGOS_'!M54)=4,"0"&amp;+'_DATA STT PAGOS_'!M54,+'_DATA STT PAGOS_'!M54)</f>
        <v>05201</v>
      </c>
      <c r="B49" s="161" t="str">
        <f>IF(LEN(+'_DATA STT PAGOS_'!N54)=4,"0"&amp;+'_DATA STT PAGOS_'!N54,+'_DATA STT PAGOS_'!N54)</f>
        <v>05101</v>
      </c>
      <c r="C49" s="162" t="str">
        <f>+'_DATA STT PAGOS_'!O54</f>
        <v>ISLA DE PASCUA</v>
      </c>
      <c r="D49" s="94">
        <f>+'CALC MEC ESTAB Y ESTIM M FINAL'!U54</f>
        <v>5980196</v>
      </c>
      <c r="E49" s="163">
        <f>+'CALC MEC ESTAB Y ESTIM M FINAL'!Q54</f>
        <v>2.1928367904999998E-3</v>
      </c>
      <c r="F49" s="163">
        <f>+'CALC MEC ESTAB Y ESTIM M FINAL'!R54</f>
        <v>-8.59182394E-5</v>
      </c>
      <c r="G49" s="94">
        <f>+'_Flujo con Glosa 08'!CE54</f>
        <v>280250</v>
      </c>
      <c r="H49" s="94">
        <f>+'_Flujo con Glosa 08'!CF54</f>
        <v>280250</v>
      </c>
      <c r="I49" s="94">
        <f>+'_Flujo con Glosa 08'!CG54</f>
        <v>263535</v>
      </c>
      <c r="J49" s="94">
        <f>+'_Flujo con Glosa 08'!CH54</f>
        <v>280250</v>
      </c>
      <c r="K49" s="94">
        <f>+'_Flujo con Glosa 08'!CI54</f>
        <v>794198</v>
      </c>
      <c r="L49" s="94">
        <f>+'_Flujo con Glosa 08'!CJ54</f>
        <v>288215</v>
      </c>
      <c r="M49" s="94">
        <f>+'_Flujo con Glosa 08'!CK54</f>
        <v>486931</v>
      </c>
      <c r="N49" s="94">
        <f>+'_Flujo con Glosa 08'!CL54</f>
        <v>280250</v>
      </c>
      <c r="O49" s="94">
        <f>+'_Flujo con Glosa 08'!CM54</f>
        <v>317990</v>
      </c>
      <c r="P49" s="94">
        <f>+'_Flujo con Glosa 08'!CN54</f>
        <v>524987</v>
      </c>
      <c r="Q49" s="94">
        <f>+'_Flujo con Glosa 08'!CO54</f>
        <v>280250</v>
      </c>
      <c r="R49" s="94">
        <f>+'_Flujo con Glosa 08'!CP54</f>
        <v>494887</v>
      </c>
      <c r="S49" s="80">
        <f t="shared" si="0"/>
        <v>4571993</v>
      </c>
      <c r="T49" s="94">
        <f>+'DATA UIM IPASCUA DETCOMP'!D16</f>
        <v>2353142</v>
      </c>
      <c r="U49" s="94">
        <f>+'DATA UIM IPASCUA DETCOMP'!D17</f>
        <v>2353142</v>
      </c>
      <c r="V49" s="94">
        <f>+'DATA UIM IPASCUA DETCOMP'!D18</f>
        <v>2353142</v>
      </c>
      <c r="W49" s="94">
        <f>+'DATA UIM IPASCUA DETCOMP'!D19</f>
        <v>2353142</v>
      </c>
      <c r="X49" s="94">
        <f>+'DATA UIM IPASCUA DETCOMP'!D20</f>
        <v>2353142</v>
      </c>
      <c r="Y49" s="94">
        <f>+'DATA UIM IPASCUA DETCOMP'!D21</f>
        <v>2353142</v>
      </c>
      <c r="Z49" s="94">
        <f>+'DATA UIM IPASCUA DETCOMP'!D22</f>
        <v>2353142</v>
      </c>
      <c r="AA49" s="94">
        <f>+'DATA UIM IPASCUA DETCOMP'!D23</f>
        <v>2353142</v>
      </c>
      <c r="AB49" s="94">
        <f>+'DATA UIM IPASCUA DETCOMP'!D24</f>
        <v>2353141</v>
      </c>
      <c r="AC49" s="94">
        <f>+'DATA UIM IPASCUA DETCOMP'!D25</f>
        <v>2353141</v>
      </c>
      <c r="AD49" s="94">
        <f>+'DATA UIM IPASCUA DETCOMP'!D26</f>
        <v>2353141</v>
      </c>
      <c r="AE49" s="94">
        <f>+'DATA UIM IPASCUA DETCOMP'!D27</f>
        <v>2353141</v>
      </c>
      <c r="AF49" s="94">
        <f t="shared" si="1"/>
        <v>28237700</v>
      </c>
      <c r="AG49" s="94">
        <f>+COEF_FCM!AM56</f>
        <v>0</v>
      </c>
      <c r="AH49" s="94">
        <f>+COEF_FCM!AR56</f>
        <v>0</v>
      </c>
      <c r="AI49" s="94">
        <f>+COEF_FCM!AN56</f>
        <v>0</v>
      </c>
      <c r="AJ49" s="94">
        <f>+COEF_FCM!AS56</f>
        <v>0</v>
      </c>
      <c r="AK49" s="94">
        <f>+COEF_FCM!AO56</f>
        <v>0</v>
      </c>
      <c r="AL49" s="94">
        <f>+COEF_FCM!AT56</f>
        <v>0</v>
      </c>
      <c r="AM49" s="94">
        <f>+COEF_FCM!AP56</f>
        <v>0</v>
      </c>
      <c r="AN49" s="94">
        <f>+COEF_FCM!AU56</f>
        <v>0</v>
      </c>
      <c r="AO49" s="94">
        <f>+COEF_FCM!AQ56</f>
        <v>0</v>
      </c>
      <c r="AP49" s="94">
        <f>+COEF_FCM!AV56</f>
        <v>0</v>
      </c>
      <c r="AQ49" s="94">
        <f>+_CIERRE!O49+_CIERRE!P49</f>
        <v>15679584.455</v>
      </c>
      <c r="AR49" s="94">
        <f>+_CIERRE!Q49+_CIERRE!R49</f>
        <v>20161484.432</v>
      </c>
      <c r="AS49" s="94">
        <f>+_CIERRE!S49+_CIERRE!T49</f>
        <v>24939789.006000001</v>
      </c>
      <c r="AT49" s="94">
        <f>+_CIERRE!U49+_CIERRE!V49</f>
        <v>27874560.962000001</v>
      </c>
      <c r="AU49" s="94">
        <f>+'CALC MEC ESTAB Y ESTIM M FINAL'!T54</f>
        <v>34217896</v>
      </c>
      <c r="AV49" s="560">
        <v>0</v>
      </c>
      <c r="AW49" s="551">
        <v>0</v>
      </c>
      <c r="AX49" s="551">
        <v>0</v>
      </c>
      <c r="AY49" s="551">
        <v>0</v>
      </c>
      <c r="AZ49" s="551">
        <v>392009.31400000001</v>
      </c>
      <c r="BA49" s="551">
        <v>400961.777</v>
      </c>
      <c r="BB49" s="551"/>
    </row>
    <row r="50" spans="1:54" ht="3" customHeight="1" x14ac:dyDescent="0.2">
      <c r="A50" s="68" t="str">
        <f>IF(LEN(+'_DATA STT PAGOS_'!M55)=4,"0"&amp;+'_DATA STT PAGOS_'!M55,+'_DATA STT PAGOS_'!M55)</f>
        <v>05301</v>
      </c>
      <c r="B50" s="68" t="str">
        <f>IF(LEN(+'_DATA STT PAGOS_'!N55)=4,"0"&amp;+'_DATA STT PAGOS_'!N55,+'_DATA STT PAGOS_'!N55)</f>
        <v>05701</v>
      </c>
      <c r="C50" s="76" t="str">
        <f>+'_DATA STT PAGOS_'!O55</f>
        <v>LOS ANDES</v>
      </c>
      <c r="D50" s="80">
        <f>+'CALC MEC ESTAB Y ESTIM M FINAL'!U55</f>
        <v>11862613</v>
      </c>
      <c r="E50" s="77">
        <f>+'CALC MEC ESTAB Y ESTIM M FINAL'!Q55</f>
        <v>4.6656279228999998E-3</v>
      </c>
      <c r="F50" s="77">
        <f>+'CALC MEC ESTAB Y ESTIM M FINAL'!R55</f>
        <v>-4.8623972980000002E-4</v>
      </c>
      <c r="G50" s="80">
        <f>+'_Flujo con Glosa 08'!CE55</f>
        <v>519402</v>
      </c>
      <c r="H50" s="80">
        <f>+'_Flujo con Glosa 08'!CF55</f>
        <v>519402</v>
      </c>
      <c r="I50" s="80">
        <f>+'_Flujo con Glosa 08'!CG55</f>
        <v>522761</v>
      </c>
      <c r="J50" s="80">
        <f>+'_Flujo con Glosa 08'!CH55</f>
        <v>519402</v>
      </c>
      <c r="K50" s="80">
        <f>+'_Flujo con Glosa 08'!CI55</f>
        <v>1684959</v>
      </c>
      <c r="L50" s="80">
        <f>+'_Flujo con Glosa 08'!CJ55</f>
        <v>535202</v>
      </c>
      <c r="M50" s="80">
        <f>+'_Flujo con Glosa 08'!CK55</f>
        <v>1002416</v>
      </c>
      <c r="N50" s="80">
        <f>+'_Flujo con Glosa 08'!CL55</f>
        <v>519402</v>
      </c>
      <c r="O50" s="80">
        <f>+'_Flujo con Glosa 08'!CM55</f>
        <v>630781</v>
      </c>
      <c r="P50" s="80">
        <f>+'_Flujo con Glosa 08'!CN55</f>
        <v>1077905</v>
      </c>
      <c r="Q50" s="80">
        <f>+'_Flujo con Glosa 08'!CO55</f>
        <v>519402</v>
      </c>
      <c r="R50" s="80">
        <f>+'_Flujo con Glosa 08'!CP55</f>
        <v>1018197</v>
      </c>
      <c r="S50" s="80">
        <f t="shared" si="0"/>
        <v>9069231</v>
      </c>
      <c r="T50" s="80">
        <v>0</v>
      </c>
      <c r="U50" s="80">
        <v>0</v>
      </c>
      <c r="V50" s="80">
        <v>0</v>
      </c>
      <c r="W50" s="80">
        <v>0</v>
      </c>
      <c r="X50" s="80">
        <v>0</v>
      </c>
      <c r="Y50" s="80">
        <v>0</v>
      </c>
      <c r="Z50" s="80">
        <v>0</v>
      </c>
      <c r="AA50" s="80">
        <v>0</v>
      </c>
      <c r="AB50" s="80">
        <v>0</v>
      </c>
      <c r="AC50" s="80">
        <v>0</v>
      </c>
      <c r="AD50" s="80">
        <v>0</v>
      </c>
      <c r="AE50" s="80">
        <v>0</v>
      </c>
      <c r="AF50" s="80">
        <f t="shared" si="1"/>
        <v>0</v>
      </c>
      <c r="AG50" s="80">
        <f>+COEF_FCM!AM57</f>
        <v>336963</v>
      </c>
      <c r="AH50" s="80">
        <f>+COEF_FCM!AR57</f>
        <v>28763</v>
      </c>
      <c r="AI50" s="80">
        <f>+COEF_FCM!AN57</f>
        <v>279494</v>
      </c>
      <c r="AJ50" s="80">
        <f>+COEF_FCM!AS57</f>
        <v>14452</v>
      </c>
      <c r="AK50" s="80">
        <f>+COEF_FCM!AO57</f>
        <v>315355</v>
      </c>
      <c r="AL50" s="80">
        <f>+COEF_FCM!AT57</f>
        <v>19865.931</v>
      </c>
      <c r="AM50" s="80">
        <f>+COEF_FCM!AP57</f>
        <v>271476</v>
      </c>
      <c r="AN50" s="80">
        <f>+COEF_FCM!AU57</f>
        <v>11508</v>
      </c>
      <c r="AO50" s="80">
        <f>+COEF_FCM!AQ57</f>
        <v>1203288</v>
      </c>
      <c r="AP50" s="80">
        <f>+COEF_FCM!AV57</f>
        <v>74588.930999999997</v>
      </c>
      <c r="AQ50" s="80">
        <f>+_CIERRE!O50+_CIERRE!P50</f>
        <v>7656653.3609999996</v>
      </c>
      <c r="AR50" s="80">
        <f>+_CIERRE!Q50+_CIERRE!R50</f>
        <v>8699003.3190000001</v>
      </c>
      <c r="AS50" s="80">
        <f>+_CIERRE!S50+_CIERRE!T50</f>
        <v>9901823.5739999991</v>
      </c>
      <c r="AT50" s="80">
        <f>+_CIERRE!U50+_CIERRE!V50</f>
        <v>10711505.232999999</v>
      </c>
      <c r="AU50" s="80">
        <f>+'CALC MEC ESTAB Y ESTIM M FINAL'!T55</f>
        <v>11862613</v>
      </c>
      <c r="AV50" s="560">
        <v>0</v>
      </c>
      <c r="AW50" s="551">
        <v>1227825.3470000001</v>
      </c>
      <c r="AX50" s="551">
        <v>1319309.6610000001</v>
      </c>
      <c r="AY50" s="551">
        <v>0</v>
      </c>
      <c r="AZ50" s="551">
        <v>648326.53300000005</v>
      </c>
      <c r="BA50" s="551">
        <v>689981.51199999999</v>
      </c>
    </row>
    <row r="51" spans="1:54" ht="3" customHeight="1" x14ac:dyDescent="0.2">
      <c r="A51" s="68" t="str">
        <f>IF(LEN(+'_DATA STT PAGOS_'!M56)=4,"0"&amp;+'_DATA STT PAGOS_'!M56,+'_DATA STT PAGOS_'!M56)</f>
        <v>05302</v>
      </c>
      <c r="B51" s="68" t="str">
        <f>IF(LEN(+'_DATA STT PAGOS_'!N56)=4,"0"&amp;+'_DATA STT PAGOS_'!N56,+'_DATA STT PAGOS_'!N56)</f>
        <v>05702</v>
      </c>
      <c r="C51" s="76" t="str">
        <f>+'_DATA STT PAGOS_'!O56</f>
        <v>CALLE LARGA</v>
      </c>
      <c r="D51" s="80">
        <f>+'CALC MEC ESTAB Y ESTIM M FINAL'!U56</f>
        <v>2923837</v>
      </c>
      <c r="E51" s="77">
        <f>+'CALC MEC ESTAB Y ESTIM M FINAL'!Q56</f>
        <v>1.0876570388999999E-3</v>
      </c>
      <c r="F51" s="77">
        <f>+'CALC MEC ESTAB Y ESTIM M FINAL'!R56</f>
        <v>-5.7542710899999999E-5</v>
      </c>
      <c r="G51" s="80">
        <f>+'_Flujo con Glosa 08'!CE56</f>
        <v>135246</v>
      </c>
      <c r="H51" s="80">
        <f>+'_Flujo con Glosa 08'!CF56</f>
        <v>135246</v>
      </c>
      <c r="I51" s="80">
        <f>+'_Flujo con Glosa 08'!CG56</f>
        <v>128847</v>
      </c>
      <c r="J51" s="80">
        <f>+'_Flujo con Glosa 08'!CH56</f>
        <v>135246</v>
      </c>
      <c r="K51" s="80">
        <f>+'_Flujo con Glosa 08'!CI56</f>
        <v>393621</v>
      </c>
      <c r="L51" s="80">
        <f>+'_Flujo con Glosa 08'!CJ56</f>
        <v>139140</v>
      </c>
      <c r="M51" s="80">
        <f>+'_Flujo con Glosa 08'!CK56</f>
        <v>239844</v>
      </c>
      <c r="N51" s="80">
        <f>+'_Flujo con Glosa 08'!CL56</f>
        <v>135246</v>
      </c>
      <c r="O51" s="80">
        <f>+'_Flujo con Glosa 08'!CM56</f>
        <v>155472</v>
      </c>
      <c r="P51" s="80">
        <f>+'_Flujo con Glosa 08'!CN56</f>
        <v>258450</v>
      </c>
      <c r="Q51" s="80">
        <f>+'_Flujo con Glosa 08'!CO56</f>
        <v>135246</v>
      </c>
      <c r="R51" s="80">
        <f>+'_Flujo con Glosa 08'!CP56</f>
        <v>243733</v>
      </c>
      <c r="S51" s="80">
        <f t="shared" si="0"/>
        <v>2235337</v>
      </c>
      <c r="T51" s="80">
        <v>0</v>
      </c>
      <c r="U51" s="80">
        <v>0</v>
      </c>
      <c r="V51" s="80">
        <v>0</v>
      </c>
      <c r="W51" s="80">
        <v>0</v>
      </c>
      <c r="X51" s="80">
        <v>0</v>
      </c>
      <c r="Y51" s="80">
        <v>0</v>
      </c>
      <c r="Z51" s="80">
        <v>0</v>
      </c>
      <c r="AA51" s="80">
        <v>0</v>
      </c>
      <c r="AB51" s="80">
        <v>0</v>
      </c>
      <c r="AC51" s="80">
        <v>0</v>
      </c>
      <c r="AD51" s="80">
        <v>0</v>
      </c>
      <c r="AE51" s="80">
        <v>0</v>
      </c>
      <c r="AF51" s="80">
        <f t="shared" si="1"/>
        <v>0</v>
      </c>
      <c r="AG51" s="80">
        <f>+COEF_FCM!AM58</f>
        <v>56061</v>
      </c>
      <c r="AH51" s="80">
        <f>+COEF_FCM!AR58</f>
        <v>4562</v>
      </c>
      <c r="AI51" s="80">
        <f>+COEF_FCM!AN58</f>
        <v>33813</v>
      </c>
      <c r="AJ51" s="80">
        <f>+COEF_FCM!AS58</f>
        <v>1999</v>
      </c>
      <c r="AK51" s="80">
        <f>+COEF_FCM!AO58</f>
        <v>55153</v>
      </c>
      <c r="AL51" s="80">
        <f>+COEF_FCM!AT58</f>
        <v>2769.087</v>
      </c>
      <c r="AM51" s="80">
        <f>+COEF_FCM!AP58</f>
        <v>35049</v>
      </c>
      <c r="AN51" s="80">
        <f>+COEF_FCM!AU58</f>
        <v>1815</v>
      </c>
      <c r="AO51" s="80">
        <f>+COEF_FCM!AQ58</f>
        <v>180076</v>
      </c>
      <c r="AP51" s="80">
        <f>+COEF_FCM!AV58</f>
        <v>11145.087</v>
      </c>
      <c r="AQ51" s="80">
        <f>+_CIERRE!O51+_CIERRE!P51</f>
        <v>2253699.5210000002</v>
      </c>
      <c r="AR51" s="80">
        <f>+_CIERRE!Q51+_CIERRE!R51</f>
        <v>2486529.7059999998</v>
      </c>
      <c r="AS51" s="80">
        <f>+_CIERRE!S51+_CIERRE!T51</f>
        <v>2659000.6189999999</v>
      </c>
      <c r="AT51" s="80">
        <f>+_CIERRE!U51+_CIERRE!V51</f>
        <v>2787611.7080000001</v>
      </c>
      <c r="AU51" s="80">
        <f>+'CALC MEC ESTAB Y ESTIM M FINAL'!T56</f>
        <v>2923837</v>
      </c>
      <c r="AV51" s="560">
        <v>0</v>
      </c>
      <c r="AW51" s="551">
        <v>582140.55599999998</v>
      </c>
      <c r="AX51" s="551">
        <v>594996.26300000004</v>
      </c>
      <c r="AY51" s="551">
        <v>0</v>
      </c>
      <c r="AZ51" s="551">
        <v>344609.79100000003</v>
      </c>
      <c r="BA51" s="551">
        <v>354809.90600000002</v>
      </c>
    </row>
    <row r="52" spans="1:54" ht="3" customHeight="1" x14ac:dyDescent="0.2">
      <c r="A52" s="68" t="str">
        <f>IF(LEN(+'_DATA STT PAGOS_'!M57)=4,"0"&amp;+'_DATA STT PAGOS_'!M57,+'_DATA STT PAGOS_'!M57)</f>
        <v>05303</v>
      </c>
      <c r="B52" s="68" t="str">
        <f>IF(LEN(+'_DATA STT PAGOS_'!N57)=4,"0"&amp;+'_DATA STT PAGOS_'!N57,+'_DATA STT PAGOS_'!N57)</f>
        <v>05704</v>
      </c>
      <c r="C52" s="76" t="str">
        <f>+'_DATA STT PAGOS_'!O57</f>
        <v>RINCONADA</v>
      </c>
      <c r="D52" s="80">
        <f>+'CALC MEC ESTAB Y ESTIM M FINAL'!U57</f>
        <v>2587199</v>
      </c>
      <c r="E52" s="77">
        <f>+'CALC MEC ESTAB Y ESTIM M FINAL'!Q57</f>
        <v>9.7180654209999995E-4</v>
      </c>
      <c r="F52" s="77">
        <f>+'CALC MEC ESTAB Y ESTIM M FINAL'!R57</f>
        <v>-6.0295003300000001E-5</v>
      </c>
      <c r="G52" s="80">
        <f>+'_Flujo con Glosa 08'!CE57</f>
        <v>118576</v>
      </c>
      <c r="H52" s="80">
        <f>+'_Flujo con Glosa 08'!CF57</f>
        <v>118576</v>
      </c>
      <c r="I52" s="80">
        <f>+'_Flujo con Glosa 08'!CG57</f>
        <v>114013</v>
      </c>
      <c r="J52" s="80">
        <f>+'_Flujo con Glosa 08'!CH57</f>
        <v>118576</v>
      </c>
      <c r="K52" s="80">
        <f>+'_Flujo con Glosa 08'!CI57</f>
        <v>351595</v>
      </c>
      <c r="L52" s="80">
        <f>+'_Flujo con Glosa 08'!CJ57</f>
        <v>122022</v>
      </c>
      <c r="M52" s="80">
        <f>+'_Flujo con Glosa 08'!CK57</f>
        <v>213328</v>
      </c>
      <c r="N52" s="80">
        <f>+'_Flujo con Glosa 08'!CL57</f>
        <v>118576</v>
      </c>
      <c r="O52" s="80">
        <f>+'_Flujo con Glosa 08'!CM57</f>
        <v>137572</v>
      </c>
      <c r="P52" s="80">
        <f>+'_Flujo con Glosa 08'!CN57</f>
        <v>229791</v>
      </c>
      <c r="Q52" s="80">
        <f>+'_Flujo con Glosa 08'!CO57</f>
        <v>118576</v>
      </c>
      <c r="R52" s="80">
        <f>+'_Flujo con Glosa 08'!CP57</f>
        <v>216770</v>
      </c>
      <c r="S52" s="80">
        <f t="shared" si="0"/>
        <v>1977971</v>
      </c>
      <c r="T52" s="80">
        <v>0</v>
      </c>
      <c r="U52" s="80">
        <v>0</v>
      </c>
      <c r="V52" s="80">
        <v>0</v>
      </c>
      <c r="W52" s="80">
        <v>0</v>
      </c>
      <c r="X52" s="80">
        <v>0</v>
      </c>
      <c r="Y52" s="80">
        <v>0</v>
      </c>
      <c r="Z52" s="80">
        <v>0</v>
      </c>
      <c r="AA52" s="80">
        <v>0</v>
      </c>
      <c r="AB52" s="80">
        <v>0</v>
      </c>
      <c r="AC52" s="80">
        <v>0</v>
      </c>
      <c r="AD52" s="80">
        <v>0</v>
      </c>
      <c r="AE52" s="80">
        <v>0</v>
      </c>
      <c r="AF52" s="80">
        <f t="shared" si="1"/>
        <v>0</v>
      </c>
      <c r="AG52" s="80">
        <f>+COEF_FCM!AM59</f>
        <v>72185</v>
      </c>
      <c r="AH52" s="80">
        <f>+COEF_FCM!AR59</f>
        <v>3267</v>
      </c>
      <c r="AI52" s="80">
        <f>+COEF_FCM!AN59</f>
        <v>43369</v>
      </c>
      <c r="AJ52" s="80">
        <f>+COEF_FCM!AS59</f>
        <v>2030</v>
      </c>
      <c r="AK52" s="80">
        <f>+COEF_FCM!AO59</f>
        <v>63835</v>
      </c>
      <c r="AL52" s="80">
        <f>+COEF_FCM!AT59</f>
        <v>2218.6759999999999</v>
      </c>
      <c r="AM52" s="80">
        <f>+COEF_FCM!AP59</f>
        <v>35762</v>
      </c>
      <c r="AN52" s="80">
        <f>+COEF_FCM!AU59</f>
        <v>1552</v>
      </c>
      <c r="AO52" s="80">
        <f>+COEF_FCM!AQ59</f>
        <v>215151</v>
      </c>
      <c r="AP52" s="80">
        <f>+COEF_FCM!AV59</f>
        <v>9067.6759999999995</v>
      </c>
      <c r="AQ52" s="80">
        <f>+_CIERRE!O52+_CIERRE!P52</f>
        <v>1862977.98</v>
      </c>
      <c r="AR52" s="80">
        <f>+_CIERRE!Q52+_CIERRE!R52</f>
        <v>2138489.1669999999</v>
      </c>
      <c r="AS52" s="80">
        <f>+_CIERRE!S52+_CIERRE!T52</f>
        <v>2331167.9649999999</v>
      </c>
      <c r="AT52" s="80">
        <f>+_CIERRE!U52+_CIERRE!V52</f>
        <v>2444458.838</v>
      </c>
      <c r="AU52" s="80">
        <f>+'CALC MEC ESTAB Y ESTIM M FINAL'!T57</f>
        <v>2587199</v>
      </c>
      <c r="AV52" s="560">
        <v>0</v>
      </c>
      <c r="AW52" s="551">
        <v>0</v>
      </c>
      <c r="AX52" s="551">
        <v>0</v>
      </c>
      <c r="AY52" s="551">
        <v>0</v>
      </c>
      <c r="AZ52" s="551">
        <v>320891.04100000003</v>
      </c>
      <c r="BA52" s="551">
        <v>333447.27899999998</v>
      </c>
    </row>
    <row r="53" spans="1:54" ht="3" customHeight="1" x14ac:dyDescent="0.2">
      <c r="A53" s="68" t="str">
        <f>IF(LEN(+'_DATA STT PAGOS_'!M58)=4,"0"&amp;+'_DATA STT PAGOS_'!M58,+'_DATA STT PAGOS_'!M58)</f>
        <v>05304</v>
      </c>
      <c r="B53" s="68" t="str">
        <f>IF(LEN(+'_DATA STT PAGOS_'!N58)=4,"0"&amp;+'_DATA STT PAGOS_'!N58,+'_DATA STT PAGOS_'!N58)</f>
        <v>05703</v>
      </c>
      <c r="C53" s="76" t="str">
        <f>+'_DATA STT PAGOS_'!O58</f>
        <v>SAN ESTEBAN</v>
      </c>
      <c r="D53" s="80">
        <f>+'CALC MEC ESTAB Y ESTIM M FINAL'!U58</f>
        <v>4675472</v>
      </c>
      <c r="E53" s="77">
        <f>+'CALC MEC ESTAB Y ESTIM M FINAL'!Q58</f>
        <v>1.7360543605999998E-3</v>
      </c>
      <c r="F53" s="77">
        <f>+'CALC MEC ESTAB Y ESTIM M FINAL'!R58</f>
        <v>-8.8810753499999996E-5</v>
      </c>
      <c r="G53" s="80">
        <f>+'_Flujo con Glosa 08'!CE58</f>
        <v>216541</v>
      </c>
      <c r="H53" s="80">
        <f>+'_Flujo con Glosa 08'!CF58</f>
        <v>216541</v>
      </c>
      <c r="I53" s="80">
        <f>+'_Flujo con Glosa 08'!CG58</f>
        <v>206038</v>
      </c>
      <c r="J53" s="80">
        <f>+'_Flujo con Glosa 08'!CH58</f>
        <v>216541</v>
      </c>
      <c r="K53" s="80">
        <f>+'_Flujo con Glosa 08'!CI58</f>
        <v>628622</v>
      </c>
      <c r="L53" s="80">
        <f>+'_Flujo con Glosa 08'!CJ58</f>
        <v>222768</v>
      </c>
      <c r="M53" s="80">
        <f>+'_Flujo con Glosa 08'!CK58</f>
        <v>383260</v>
      </c>
      <c r="N53" s="80">
        <f>+'_Flujo con Glosa 08'!CL58</f>
        <v>216541</v>
      </c>
      <c r="O53" s="80">
        <f>+'_Flujo con Glosa 08'!CM58</f>
        <v>248613</v>
      </c>
      <c r="P53" s="80">
        <f>+'_Flujo con Glosa 08'!CN58</f>
        <v>413014</v>
      </c>
      <c r="Q53" s="80">
        <f>+'_Flujo con Glosa 08'!CO58</f>
        <v>216541</v>
      </c>
      <c r="R53" s="80">
        <f>+'_Flujo con Glosa 08'!CP58</f>
        <v>389481</v>
      </c>
      <c r="S53" s="80">
        <f t="shared" si="0"/>
        <v>3574501</v>
      </c>
      <c r="T53" s="80">
        <v>0</v>
      </c>
      <c r="U53" s="80">
        <v>0</v>
      </c>
      <c r="V53" s="80">
        <v>0</v>
      </c>
      <c r="W53" s="80">
        <v>0</v>
      </c>
      <c r="X53" s="80">
        <v>0</v>
      </c>
      <c r="Y53" s="80">
        <v>0</v>
      </c>
      <c r="Z53" s="80">
        <v>0</v>
      </c>
      <c r="AA53" s="80">
        <v>0</v>
      </c>
      <c r="AB53" s="80">
        <v>0</v>
      </c>
      <c r="AC53" s="80">
        <v>0</v>
      </c>
      <c r="AD53" s="80">
        <v>0</v>
      </c>
      <c r="AE53" s="80">
        <v>0</v>
      </c>
      <c r="AF53" s="80">
        <f t="shared" si="1"/>
        <v>0</v>
      </c>
      <c r="AG53" s="80">
        <f>+COEF_FCM!AM60</f>
        <v>109541</v>
      </c>
      <c r="AH53" s="80">
        <f>+COEF_FCM!AR60</f>
        <v>8120</v>
      </c>
      <c r="AI53" s="80">
        <f>+COEF_FCM!AN60</f>
        <v>51090</v>
      </c>
      <c r="AJ53" s="80">
        <f>+COEF_FCM!AS60</f>
        <v>2914</v>
      </c>
      <c r="AK53" s="80">
        <f>+COEF_FCM!AO60</f>
        <v>85960</v>
      </c>
      <c r="AL53" s="80">
        <f>+COEF_FCM!AT60</f>
        <v>5019.0640000000003</v>
      </c>
      <c r="AM53" s="80">
        <f>+COEF_FCM!AP60</f>
        <v>54301</v>
      </c>
      <c r="AN53" s="80">
        <f>+COEF_FCM!AU60</f>
        <v>3333</v>
      </c>
      <c r="AO53" s="80">
        <f>+COEF_FCM!AQ60</f>
        <v>300892</v>
      </c>
      <c r="AP53" s="80">
        <f>+COEF_FCM!AV60</f>
        <v>19386.063999999998</v>
      </c>
      <c r="AQ53" s="80">
        <f>+_CIERRE!O53+_CIERRE!P53</f>
        <v>3355841.5430000001</v>
      </c>
      <c r="AR53" s="80">
        <f>+_CIERRE!Q53+_CIERRE!R53</f>
        <v>4075870.6770000001</v>
      </c>
      <c r="AS53" s="80">
        <f>+_CIERRE!S53+_CIERRE!T53</f>
        <v>4214427.9330000002</v>
      </c>
      <c r="AT53" s="80">
        <f>+_CIERRE!U53+_CIERRE!V53</f>
        <v>4465224.6440000003</v>
      </c>
      <c r="AU53" s="80">
        <f>+'CALC MEC ESTAB Y ESTIM M FINAL'!T58</f>
        <v>4675472</v>
      </c>
      <c r="AV53" s="560">
        <v>0</v>
      </c>
      <c r="AW53" s="551">
        <v>0</v>
      </c>
      <c r="AX53" s="551">
        <v>0</v>
      </c>
      <c r="AY53" s="551">
        <v>0</v>
      </c>
      <c r="AZ53" s="551">
        <v>386817.641</v>
      </c>
      <c r="BA53" s="551">
        <v>376207.39199999999</v>
      </c>
    </row>
    <row r="54" spans="1:54" ht="3" customHeight="1" x14ac:dyDescent="0.2">
      <c r="A54" s="68" t="str">
        <f>IF(LEN(+'_DATA STT PAGOS_'!M59)=4,"0"&amp;+'_DATA STT PAGOS_'!M59,+'_DATA STT PAGOS_'!M59)</f>
        <v>05401</v>
      </c>
      <c r="B54" s="68" t="str">
        <f>IF(LEN(+'_DATA STT PAGOS_'!N59)=4,"0"&amp;+'_DATA STT PAGOS_'!N59,+'_DATA STT PAGOS_'!N59)</f>
        <v>05201</v>
      </c>
      <c r="C54" s="76" t="str">
        <f>+'_DATA STT PAGOS_'!O59</f>
        <v>LA LIGUA</v>
      </c>
      <c r="D54" s="80">
        <f>+'CALC MEC ESTAB Y ESTIM M FINAL'!U59</f>
        <v>12042079</v>
      </c>
      <c r="E54" s="77">
        <f>+'CALC MEC ESTAB Y ESTIM M FINAL'!Q59</f>
        <v>5.1423304400000005E-3</v>
      </c>
      <c r="F54" s="77">
        <f>+'CALC MEC ESTAB Y ESTIM M FINAL'!R59</f>
        <v>-8.997135278E-4</v>
      </c>
      <c r="G54" s="80">
        <f>+'_Flujo con Glosa 08'!CE59</f>
        <v>481139</v>
      </c>
      <c r="H54" s="80">
        <f>+'_Flujo con Glosa 08'!CF59</f>
        <v>481139</v>
      </c>
      <c r="I54" s="80">
        <f>+'_Flujo con Glosa 08'!CG59</f>
        <v>530670</v>
      </c>
      <c r="J54" s="80">
        <f>+'_Flujo con Glosa 08'!CH59</f>
        <v>481139</v>
      </c>
      <c r="K54" s="80">
        <f>+'_Flujo con Glosa 08'!CI59</f>
        <v>1848812</v>
      </c>
      <c r="L54" s="80">
        <f>+'_Flujo con Glosa 08'!CJ59</f>
        <v>501715</v>
      </c>
      <c r="M54" s="80">
        <f>+'_Flujo con Glosa 08'!CK59</f>
        <v>1059165</v>
      </c>
      <c r="N54" s="80">
        <f>+'_Flujo con Glosa 08'!CL59</f>
        <v>481139</v>
      </c>
      <c r="O54" s="80">
        <f>+'_Flujo con Glosa 08'!CM59</f>
        <v>640323</v>
      </c>
      <c r="P54" s="80">
        <f>+'_Flujo con Glosa 08'!CN59</f>
        <v>1140334</v>
      </c>
      <c r="Q54" s="80">
        <f>+'_Flujo con Glosa 08'!CO59</f>
        <v>483441</v>
      </c>
      <c r="R54" s="80">
        <f>+'_Flujo con Glosa 08'!CP59</f>
        <v>1077420</v>
      </c>
      <c r="S54" s="80">
        <f t="shared" si="0"/>
        <v>9206436</v>
      </c>
      <c r="T54" s="80">
        <v>0</v>
      </c>
      <c r="U54" s="80">
        <v>0</v>
      </c>
      <c r="V54" s="80">
        <v>0</v>
      </c>
      <c r="W54" s="80">
        <v>0</v>
      </c>
      <c r="X54" s="80">
        <v>0</v>
      </c>
      <c r="Y54" s="80">
        <v>0</v>
      </c>
      <c r="Z54" s="80">
        <v>0</v>
      </c>
      <c r="AA54" s="80">
        <v>0</v>
      </c>
      <c r="AB54" s="80">
        <v>0</v>
      </c>
      <c r="AC54" s="80">
        <v>0</v>
      </c>
      <c r="AD54" s="80">
        <v>0</v>
      </c>
      <c r="AE54" s="80">
        <v>0</v>
      </c>
      <c r="AF54" s="80">
        <f t="shared" si="1"/>
        <v>0</v>
      </c>
      <c r="AG54" s="80">
        <f>+COEF_FCM!AM61</f>
        <v>184656</v>
      </c>
      <c r="AH54" s="80">
        <f>+COEF_FCM!AR61</f>
        <v>30510</v>
      </c>
      <c r="AI54" s="80">
        <f>+COEF_FCM!AN61</f>
        <v>116423</v>
      </c>
      <c r="AJ54" s="80">
        <f>+COEF_FCM!AS61</f>
        <v>15821</v>
      </c>
      <c r="AK54" s="80">
        <f>+COEF_FCM!AO61</f>
        <v>141869</v>
      </c>
      <c r="AL54" s="80">
        <f>+COEF_FCM!AT61</f>
        <v>19369.326000000001</v>
      </c>
      <c r="AM54" s="80">
        <f>+COEF_FCM!AP61</f>
        <v>109961</v>
      </c>
      <c r="AN54" s="80">
        <f>+COEF_FCM!AU61</f>
        <v>14842</v>
      </c>
      <c r="AO54" s="80">
        <f>+COEF_FCM!AQ61</f>
        <v>552909</v>
      </c>
      <c r="AP54" s="80">
        <f>+COEF_FCM!AV61</f>
        <v>80542.326000000001</v>
      </c>
      <c r="AQ54" s="80">
        <f>+_CIERRE!O54+_CIERRE!P54</f>
        <v>6064232.4060000004</v>
      </c>
      <c r="AR54" s="80">
        <f>+_CIERRE!Q54+_CIERRE!R54</f>
        <v>7098899.3839999996</v>
      </c>
      <c r="AS54" s="80">
        <f>+_CIERRE!S54+_CIERRE!T54</f>
        <v>7660051.5259999996</v>
      </c>
      <c r="AT54" s="80">
        <f>+_CIERRE!U54+_CIERRE!V54</f>
        <v>9912126.3489999995</v>
      </c>
      <c r="AU54" s="80">
        <f>+'CALC MEC ESTAB Y ESTIM M FINAL'!T59</f>
        <v>12042079</v>
      </c>
      <c r="AV54" s="560">
        <v>0</v>
      </c>
      <c r="AW54" s="551">
        <v>0</v>
      </c>
      <c r="AX54" s="551">
        <v>0</v>
      </c>
      <c r="AY54" s="551">
        <v>0</v>
      </c>
      <c r="AZ54" s="551">
        <v>501076.06800000003</v>
      </c>
      <c r="BA54" s="551">
        <v>508389.37800000003</v>
      </c>
    </row>
    <row r="55" spans="1:54" ht="3" customHeight="1" x14ac:dyDescent="0.2">
      <c r="A55" s="68" t="str">
        <f>IF(LEN(+'_DATA STT PAGOS_'!M60)=4,"0"&amp;+'_DATA STT PAGOS_'!M60,+'_DATA STT PAGOS_'!M60)</f>
        <v>05402</v>
      </c>
      <c r="B55" s="68" t="str">
        <f>IF(LEN(+'_DATA STT PAGOS_'!N60)=4,"0"&amp;+'_DATA STT PAGOS_'!N60,+'_DATA STT PAGOS_'!N60)</f>
        <v>05203</v>
      </c>
      <c r="C55" s="76" t="str">
        <f>+'_DATA STT PAGOS_'!O60</f>
        <v>CABILDO</v>
      </c>
      <c r="D55" s="80">
        <f>+'CALC MEC ESTAB Y ESTIM M FINAL'!U60</f>
        <v>4960801</v>
      </c>
      <c r="E55" s="77">
        <f>+'CALC MEC ESTAB Y ESTIM M FINAL'!Q60</f>
        <v>1.9136556924999998E-3</v>
      </c>
      <c r="F55" s="77">
        <f>+'CALC MEC ESTAB Y ESTIM M FINAL'!R60</f>
        <v>-1.6588621429999999E-4</v>
      </c>
      <c r="G55" s="80">
        <f>+'_Flujo con Glosa 08'!CE60</f>
        <v>221454</v>
      </c>
      <c r="H55" s="80">
        <f>+'_Flujo con Glosa 08'!CF60</f>
        <v>221454</v>
      </c>
      <c r="I55" s="80">
        <f>+'_Flujo con Glosa 08'!CG60</f>
        <v>218612</v>
      </c>
      <c r="J55" s="80">
        <f>+'_Flujo con Glosa 08'!CH60</f>
        <v>221454</v>
      </c>
      <c r="K55" s="80">
        <f>+'_Flujo con Glosa 08'!CI60</f>
        <v>691889</v>
      </c>
      <c r="L55" s="80">
        <f>+'_Flujo con Glosa 08'!CJ60</f>
        <v>228061</v>
      </c>
      <c r="M55" s="80">
        <f>+'_Flujo con Glosa 08'!CK60</f>
        <v>414952</v>
      </c>
      <c r="N55" s="80">
        <f>+'_Flujo con Glosa 08'!CL60</f>
        <v>221454</v>
      </c>
      <c r="O55" s="80">
        <f>+'_Flujo con Glosa 08'!CM60</f>
        <v>263785</v>
      </c>
      <c r="P55" s="80">
        <f>+'_Flujo con Glosa 08'!CN60</f>
        <v>446520</v>
      </c>
      <c r="Q55" s="80">
        <f>+'_Flujo con Glosa 08'!CO60</f>
        <v>221454</v>
      </c>
      <c r="R55" s="80">
        <f>+'_Flujo con Glosa 08'!CP60</f>
        <v>421551</v>
      </c>
      <c r="S55" s="80">
        <f t="shared" si="0"/>
        <v>3792640</v>
      </c>
      <c r="T55" s="80">
        <v>0</v>
      </c>
      <c r="U55" s="80">
        <v>0</v>
      </c>
      <c r="V55" s="80">
        <v>0</v>
      </c>
      <c r="W55" s="80">
        <v>0</v>
      </c>
      <c r="X55" s="80">
        <v>0</v>
      </c>
      <c r="Y55" s="80">
        <v>0</v>
      </c>
      <c r="Z55" s="80">
        <v>0</v>
      </c>
      <c r="AA55" s="80">
        <v>0</v>
      </c>
      <c r="AB55" s="80">
        <v>0</v>
      </c>
      <c r="AC55" s="80">
        <v>0</v>
      </c>
      <c r="AD55" s="80">
        <v>0</v>
      </c>
      <c r="AE55" s="80">
        <v>0</v>
      </c>
      <c r="AF55" s="80">
        <f t="shared" si="1"/>
        <v>0</v>
      </c>
      <c r="AG55" s="80">
        <f>+COEF_FCM!AM62</f>
        <v>32098</v>
      </c>
      <c r="AH55" s="80">
        <f>+COEF_FCM!AR62</f>
        <v>780</v>
      </c>
      <c r="AI55" s="80">
        <f>+COEF_FCM!AN62</f>
        <v>28657</v>
      </c>
      <c r="AJ55" s="80">
        <f>+COEF_FCM!AS62</f>
        <v>127</v>
      </c>
      <c r="AK55" s="80">
        <f>+COEF_FCM!AO62</f>
        <v>31734</v>
      </c>
      <c r="AL55" s="80">
        <f>+COEF_FCM!AT62</f>
        <v>585.76599999999996</v>
      </c>
      <c r="AM55" s="80">
        <f>+COEF_FCM!AP62</f>
        <v>24200</v>
      </c>
      <c r="AN55" s="80">
        <f>+COEF_FCM!AU62</f>
        <v>474</v>
      </c>
      <c r="AO55" s="80">
        <f>+COEF_FCM!AQ62</f>
        <v>116689</v>
      </c>
      <c r="AP55" s="80">
        <f>+COEF_FCM!AV62</f>
        <v>1966.7660000000001</v>
      </c>
      <c r="AQ55" s="80">
        <f>+_CIERRE!O55+_CIERRE!P55</f>
        <v>3453188.7510000002</v>
      </c>
      <c r="AR55" s="80">
        <f>+_CIERRE!Q55+_CIERRE!R55</f>
        <v>3895386.7069999999</v>
      </c>
      <c r="AS55" s="80">
        <f>+_CIERRE!S55+_CIERRE!T55</f>
        <v>4208989.4560000002</v>
      </c>
      <c r="AT55" s="80">
        <f>+_CIERRE!U55+_CIERRE!V55</f>
        <v>4568086.4620000003</v>
      </c>
      <c r="AU55" s="80">
        <f>+'CALC MEC ESTAB Y ESTIM M FINAL'!T60</f>
        <v>4960801</v>
      </c>
      <c r="AV55" s="560">
        <v>0</v>
      </c>
      <c r="AW55" s="551">
        <v>1158814.351</v>
      </c>
      <c r="AX55" s="551">
        <v>1185915.2009999999</v>
      </c>
      <c r="AY55" s="551">
        <v>0</v>
      </c>
      <c r="AZ55" s="551">
        <v>426708.34299999999</v>
      </c>
      <c r="BA55" s="551">
        <v>454573.45500000002</v>
      </c>
    </row>
    <row r="56" spans="1:54" ht="3" customHeight="1" x14ac:dyDescent="0.2">
      <c r="A56" s="68" t="str">
        <f>IF(LEN(+'_DATA STT PAGOS_'!M61)=4,"0"&amp;+'_DATA STT PAGOS_'!M61,+'_DATA STT PAGOS_'!M61)</f>
        <v>05403</v>
      </c>
      <c r="B56" s="68" t="str">
        <f>IF(LEN(+'_DATA STT PAGOS_'!N61)=4,"0"&amp;+'_DATA STT PAGOS_'!N61,+'_DATA STT PAGOS_'!N61)</f>
        <v>05205</v>
      </c>
      <c r="C56" s="76" t="str">
        <f>+'_DATA STT PAGOS_'!O61</f>
        <v>PAPUDO</v>
      </c>
      <c r="D56" s="80">
        <f>+'CALC MEC ESTAB Y ESTIM M FINAL'!U61</f>
        <v>2244150</v>
      </c>
      <c r="E56" s="77">
        <f>+'CALC MEC ESTAB Y ESTIM M FINAL'!Q61</f>
        <v>8.3977310849999993E-4</v>
      </c>
      <c r="F56" s="77">
        <f>+'CALC MEC ESTAB Y ESTIM M FINAL'!R61</f>
        <v>-4.9123063800000002E-5</v>
      </c>
      <c r="G56" s="80">
        <f>+'_Flujo con Glosa 08'!CE61</f>
        <v>103253</v>
      </c>
      <c r="H56" s="80">
        <f>+'_Flujo con Glosa 08'!CF61</f>
        <v>103253</v>
      </c>
      <c r="I56" s="80">
        <f>+'_Flujo con Glosa 08'!CG61</f>
        <v>98895</v>
      </c>
      <c r="J56" s="80">
        <f>+'_Flujo con Glosa 08'!CH61</f>
        <v>103253</v>
      </c>
      <c r="K56" s="80">
        <f>+'_Flujo con Glosa 08'!CI61</f>
        <v>303778</v>
      </c>
      <c r="L56" s="80">
        <f>+'_Flujo con Glosa 08'!CJ61</f>
        <v>106242</v>
      </c>
      <c r="M56" s="80">
        <f>+'_Flujo con Glosa 08'!CK61</f>
        <v>184642</v>
      </c>
      <c r="N56" s="80">
        <f>+'_Flujo con Glosa 08'!CL61</f>
        <v>103253</v>
      </c>
      <c r="O56" s="80">
        <f>+'_Flujo con Glosa 08'!CM61</f>
        <v>119330</v>
      </c>
      <c r="P56" s="80">
        <f>+'_Flujo con Glosa 08'!CN61</f>
        <v>198923</v>
      </c>
      <c r="Q56" s="80">
        <f>+'_Flujo con Glosa 08'!CO61</f>
        <v>103253</v>
      </c>
      <c r="R56" s="80">
        <f>+'_Flujo con Glosa 08'!CP61</f>
        <v>187628</v>
      </c>
      <c r="S56" s="80">
        <f t="shared" si="0"/>
        <v>1715703</v>
      </c>
      <c r="T56" s="80">
        <v>0</v>
      </c>
      <c r="U56" s="80">
        <v>0</v>
      </c>
      <c r="V56" s="80">
        <v>0</v>
      </c>
      <c r="W56" s="80">
        <v>0</v>
      </c>
      <c r="X56" s="80">
        <v>0</v>
      </c>
      <c r="Y56" s="80">
        <v>0</v>
      </c>
      <c r="Z56" s="80">
        <v>0</v>
      </c>
      <c r="AA56" s="80">
        <v>0</v>
      </c>
      <c r="AB56" s="80">
        <v>0</v>
      </c>
      <c r="AC56" s="80">
        <v>0</v>
      </c>
      <c r="AD56" s="80">
        <v>0</v>
      </c>
      <c r="AE56" s="80">
        <v>0</v>
      </c>
      <c r="AF56" s="80">
        <f t="shared" si="1"/>
        <v>0</v>
      </c>
      <c r="AG56" s="80">
        <f>+COEF_FCM!AM63</f>
        <v>194512</v>
      </c>
      <c r="AH56" s="80">
        <f>+COEF_FCM!AR63</f>
        <v>52550</v>
      </c>
      <c r="AI56" s="80">
        <f>+COEF_FCM!AN63</f>
        <v>87262</v>
      </c>
      <c r="AJ56" s="80">
        <f>+COEF_FCM!AS63</f>
        <v>22467</v>
      </c>
      <c r="AK56" s="80">
        <f>+COEF_FCM!AO63</f>
        <v>134982</v>
      </c>
      <c r="AL56" s="80">
        <f>+COEF_FCM!AT63</f>
        <v>30545.164000000001</v>
      </c>
      <c r="AM56" s="80">
        <f>+COEF_FCM!AP63</f>
        <v>98732</v>
      </c>
      <c r="AN56" s="80">
        <f>+COEF_FCM!AU63</f>
        <v>20501</v>
      </c>
      <c r="AO56" s="80">
        <f>+COEF_FCM!AQ63</f>
        <v>515488</v>
      </c>
      <c r="AP56" s="80">
        <f>+COEF_FCM!AV63</f>
        <v>126063.164</v>
      </c>
      <c r="AQ56" s="80">
        <f>+_CIERRE!O56+_CIERRE!P56</f>
        <v>1621399.45</v>
      </c>
      <c r="AR56" s="80">
        <f>+_CIERRE!Q56+_CIERRE!R56</f>
        <v>1875478.0919999999</v>
      </c>
      <c r="AS56" s="80">
        <f>+_CIERRE!S56+_CIERRE!T56</f>
        <v>2035207.371</v>
      </c>
      <c r="AT56" s="80">
        <f>+_CIERRE!U56+_CIERRE!V56</f>
        <v>2127857.0580000002</v>
      </c>
      <c r="AU56" s="80">
        <f>+'CALC MEC ESTAB Y ESTIM M FINAL'!T61</f>
        <v>2244150</v>
      </c>
      <c r="AV56" s="560">
        <v>0</v>
      </c>
      <c r="AW56" s="551">
        <v>0</v>
      </c>
      <c r="AX56" s="551">
        <v>0</v>
      </c>
      <c r="AY56" s="551">
        <v>0</v>
      </c>
      <c r="AZ56" s="551">
        <v>296363.33799999999</v>
      </c>
      <c r="BA56" s="551">
        <v>307390.946</v>
      </c>
    </row>
    <row r="57" spans="1:54" ht="3" customHeight="1" x14ac:dyDescent="0.2">
      <c r="A57" s="68" t="str">
        <f>IF(LEN(+'_DATA STT PAGOS_'!M62)=4,"0"&amp;+'_DATA STT PAGOS_'!M62,+'_DATA STT PAGOS_'!M62)</f>
        <v>05404</v>
      </c>
      <c r="B57" s="68" t="str">
        <f>IF(LEN(+'_DATA STT PAGOS_'!N62)=4,"0"&amp;+'_DATA STT PAGOS_'!N62,+'_DATA STT PAGOS_'!N62)</f>
        <v>05202</v>
      </c>
      <c r="C57" s="76" t="str">
        <f>+'_DATA STT PAGOS_'!O62</f>
        <v>PETORCA</v>
      </c>
      <c r="D57" s="80">
        <f>+'CALC MEC ESTAB Y ESTIM M FINAL'!U62</f>
        <v>3401641</v>
      </c>
      <c r="E57" s="77">
        <f>+'CALC MEC ESTAB Y ESTIM M FINAL'!Q62</f>
        <v>1.3164872482999998E-3</v>
      </c>
      <c r="F57" s="77">
        <f>+'CALC MEC ESTAB Y ESTIM M FINAL'!R62</f>
        <v>-1.180346588E-4</v>
      </c>
      <c r="G57" s="80">
        <f>+'_Flujo con Glosa 08'!CE62</f>
        <v>151566</v>
      </c>
      <c r="H57" s="80">
        <f>+'_Flujo con Glosa 08'!CF62</f>
        <v>151566</v>
      </c>
      <c r="I57" s="80">
        <f>+'_Flujo con Glosa 08'!CG62</f>
        <v>149903</v>
      </c>
      <c r="J57" s="80">
        <f>+'_Flujo con Glosa 08'!CH62</f>
        <v>151566</v>
      </c>
      <c r="K57" s="80">
        <f>+'_Flujo con Glosa 08'!CI62</f>
        <v>475289</v>
      </c>
      <c r="L57" s="80">
        <f>+'_Flujo con Glosa 08'!CJ62</f>
        <v>156097</v>
      </c>
      <c r="M57" s="80">
        <f>+'_Flujo con Glosa 08'!CK62</f>
        <v>284821</v>
      </c>
      <c r="N57" s="80">
        <f>+'_Flujo con Glosa 08'!CL62</f>
        <v>151566</v>
      </c>
      <c r="O57" s="80">
        <f>+'_Flujo con Glosa 08'!CM62</f>
        <v>180879</v>
      </c>
      <c r="P57" s="80">
        <f>+'_Flujo con Glosa 08'!CN62</f>
        <v>306466</v>
      </c>
      <c r="Q57" s="80">
        <f>+'_Flujo con Glosa 08'!CO62</f>
        <v>151566</v>
      </c>
      <c r="R57" s="80">
        <f>+'_Flujo con Glosa 08'!CP62</f>
        <v>289345</v>
      </c>
      <c r="S57" s="80">
        <f t="shared" si="0"/>
        <v>2600630</v>
      </c>
      <c r="T57" s="80">
        <v>0</v>
      </c>
      <c r="U57" s="80">
        <v>0</v>
      </c>
      <c r="V57" s="80">
        <v>0</v>
      </c>
      <c r="W57" s="80">
        <v>0</v>
      </c>
      <c r="X57" s="80">
        <v>0</v>
      </c>
      <c r="Y57" s="80">
        <v>0</v>
      </c>
      <c r="Z57" s="80">
        <v>0</v>
      </c>
      <c r="AA57" s="80">
        <v>0</v>
      </c>
      <c r="AB57" s="80">
        <v>0</v>
      </c>
      <c r="AC57" s="80">
        <v>0</v>
      </c>
      <c r="AD57" s="80">
        <v>0</v>
      </c>
      <c r="AE57" s="80">
        <v>0</v>
      </c>
      <c r="AF57" s="80">
        <f t="shared" si="1"/>
        <v>0</v>
      </c>
      <c r="AG57" s="80">
        <f>+COEF_FCM!AM64</f>
        <v>14351</v>
      </c>
      <c r="AH57" s="80">
        <f>+COEF_FCM!AR64</f>
        <v>0</v>
      </c>
      <c r="AI57" s="80">
        <f>+COEF_FCM!AN64</f>
        <v>13909</v>
      </c>
      <c r="AJ57" s="80">
        <f>+COEF_FCM!AS64</f>
        <v>0</v>
      </c>
      <c r="AK57" s="80">
        <f>+COEF_FCM!AO64</f>
        <v>18193</v>
      </c>
      <c r="AL57" s="80">
        <f>+COEF_FCM!AT64</f>
        <v>0</v>
      </c>
      <c r="AM57" s="80">
        <f>+COEF_FCM!AP64</f>
        <v>10803</v>
      </c>
      <c r="AN57" s="80">
        <f>+COEF_FCM!AU64</f>
        <v>0</v>
      </c>
      <c r="AO57" s="80">
        <f>+COEF_FCM!AQ64</f>
        <v>57256</v>
      </c>
      <c r="AP57" s="80">
        <f>+COEF_FCM!AV64</f>
        <v>0</v>
      </c>
      <c r="AQ57" s="80">
        <f>+_CIERRE!O57+_CIERRE!P57</f>
        <v>2395031.06</v>
      </c>
      <c r="AR57" s="80">
        <f>+_CIERRE!Q57+_CIERRE!R57</f>
        <v>2695154.8309999998</v>
      </c>
      <c r="AS57" s="80">
        <f>+_CIERRE!S57+_CIERRE!T57</f>
        <v>2857616.4330000002</v>
      </c>
      <c r="AT57" s="80">
        <f>+_CIERRE!U57+_CIERRE!V57</f>
        <v>3122210.0109999999</v>
      </c>
      <c r="AU57" s="80">
        <f>+'CALC MEC ESTAB Y ESTIM M FINAL'!T62</f>
        <v>3401641</v>
      </c>
      <c r="AV57" s="560">
        <v>0</v>
      </c>
      <c r="AW57" s="551">
        <v>639239.80500000005</v>
      </c>
      <c r="AX57" s="551">
        <v>655964.21699999995</v>
      </c>
      <c r="AY57" s="551">
        <v>0</v>
      </c>
      <c r="AZ57" s="551">
        <v>343356.52600000001</v>
      </c>
      <c r="BA57" s="551">
        <v>353716.80599999998</v>
      </c>
    </row>
    <row r="58" spans="1:54" ht="3" customHeight="1" x14ac:dyDescent="0.2">
      <c r="A58" s="68" t="str">
        <f>IF(LEN(+'_DATA STT PAGOS_'!M63)=4,"0"&amp;+'_DATA STT PAGOS_'!M63,+'_DATA STT PAGOS_'!M63)</f>
        <v>05405</v>
      </c>
      <c r="B58" s="68" t="str">
        <f>IF(LEN(+'_DATA STT PAGOS_'!N63)=4,"0"&amp;+'_DATA STT PAGOS_'!N63,+'_DATA STT PAGOS_'!N63)</f>
        <v>05204</v>
      </c>
      <c r="C58" s="76" t="str">
        <f>+'_DATA STT PAGOS_'!O63</f>
        <v>ZAPALLAR</v>
      </c>
      <c r="D58" s="80">
        <f>+'CALC MEC ESTAB Y ESTIM M FINAL'!U63</f>
        <v>2125669</v>
      </c>
      <c r="E58" s="77">
        <f>+'CALC MEC ESTAB Y ESTIM M FINAL'!Q63</f>
        <v>7.8789411909999997E-4</v>
      </c>
      <c r="F58" s="77">
        <f>+'CALC MEC ESTAB Y ESTIM M FINAL'!R63</f>
        <v>-3.8986933199999998E-5</v>
      </c>
      <c r="G58" s="80">
        <f>+'_Flujo con Glosa 08'!CE63</f>
        <v>98673</v>
      </c>
      <c r="H58" s="80">
        <f>+'_Flujo con Glosa 08'!CF63</f>
        <v>98673</v>
      </c>
      <c r="I58" s="80">
        <f>+'_Flujo con Glosa 08'!CG63</f>
        <v>93674</v>
      </c>
      <c r="J58" s="80">
        <f>+'_Flujo con Glosa 08'!CH63</f>
        <v>98673</v>
      </c>
      <c r="K58" s="80">
        <f>+'_Flujo con Glosa 08'!CI63</f>
        <v>285125</v>
      </c>
      <c r="L58" s="80">
        <f>+'_Flujo con Glosa 08'!CJ63</f>
        <v>101504</v>
      </c>
      <c r="M58" s="80">
        <f>+'_Flujo con Glosa 08'!CK63</f>
        <v>174023</v>
      </c>
      <c r="N58" s="80">
        <f>+'_Flujo con Glosa 08'!CL63</f>
        <v>98673</v>
      </c>
      <c r="O58" s="80">
        <f>+'_Flujo con Glosa 08'!CM63</f>
        <v>113030</v>
      </c>
      <c r="P58" s="80">
        <f>+'_Flujo con Glosa 08'!CN63</f>
        <v>187549</v>
      </c>
      <c r="Q58" s="80">
        <f>+'_Flujo con Glosa 08'!CO63</f>
        <v>98673</v>
      </c>
      <c r="R58" s="80">
        <f>+'_Flujo con Glosa 08'!CP63</f>
        <v>176850</v>
      </c>
      <c r="S58" s="80">
        <f t="shared" si="0"/>
        <v>1625120</v>
      </c>
      <c r="T58" s="80">
        <v>0</v>
      </c>
      <c r="U58" s="80">
        <v>0</v>
      </c>
      <c r="V58" s="80">
        <v>0</v>
      </c>
      <c r="W58" s="80">
        <v>0</v>
      </c>
      <c r="X58" s="80">
        <v>0</v>
      </c>
      <c r="Y58" s="80">
        <v>0</v>
      </c>
      <c r="Z58" s="80">
        <v>0</v>
      </c>
      <c r="AA58" s="80">
        <v>0</v>
      </c>
      <c r="AB58" s="80">
        <v>0</v>
      </c>
      <c r="AC58" s="80">
        <v>0</v>
      </c>
      <c r="AD58" s="80">
        <v>0</v>
      </c>
      <c r="AE58" s="80">
        <v>0</v>
      </c>
      <c r="AF58" s="80">
        <f t="shared" si="1"/>
        <v>0</v>
      </c>
      <c r="AG58" s="80">
        <f>+COEF_FCM!AM65</f>
        <v>1453518</v>
      </c>
      <c r="AH58" s="80">
        <f>+COEF_FCM!AR65</f>
        <v>123737</v>
      </c>
      <c r="AI58" s="80">
        <f>+COEF_FCM!AN65</f>
        <v>935064</v>
      </c>
      <c r="AJ58" s="80">
        <f>+COEF_FCM!AS65</f>
        <v>68416</v>
      </c>
      <c r="AK58" s="80">
        <f>+COEF_FCM!AO65</f>
        <v>1147761</v>
      </c>
      <c r="AL58" s="80">
        <f>+COEF_FCM!AT65</f>
        <v>89312.589000000007</v>
      </c>
      <c r="AM58" s="80">
        <f>+COEF_FCM!AP65</f>
        <v>918699</v>
      </c>
      <c r="AN58" s="80">
        <f>+COEF_FCM!AU65</f>
        <v>66938</v>
      </c>
      <c r="AO58" s="80">
        <f>+COEF_FCM!AQ65</f>
        <v>4455042</v>
      </c>
      <c r="AP58" s="80">
        <f>+COEF_FCM!AV65</f>
        <v>348403.58900000004</v>
      </c>
      <c r="AQ58" s="80">
        <f>+_CIERRE!O58+_CIERRE!P58</f>
        <v>1535525.89</v>
      </c>
      <c r="AR58" s="80">
        <f>+_CIERRE!Q58+_CIERRE!R58</f>
        <v>1794569.57</v>
      </c>
      <c r="AS58" s="80">
        <f>+_CIERRE!S58+_CIERRE!T58</f>
        <v>1949449.851</v>
      </c>
      <c r="AT58" s="80">
        <f>+_CIERRE!U58+_CIERRE!V58</f>
        <v>2033373.1980000001</v>
      </c>
      <c r="AU58" s="80">
        <f>+'CALC MEC ESTAB Y ESTIM M FINAL'!T63</f>
        <v>2125669</v>
      </c>
      <c r="AV58" s="560">
        <v>0</v>
      </c>
      <c r="AW58" s="551">
        <v>0</v>
      </c>
      <c r="AX58" s="551">
        <v>0</v>
      </c>
      <c r="AY58" s="551">
        <v>0</v>
      </c>
      <c r="AZ58" s="551">
        <v>0</v>
      </c>
      <c r="BA58" s="551">
        <v>0</v>
      </c>
    </row>
    <row r="59" spans="1:54" ht="3" customHeight="1" x14ac:dyDescent="0.2">
      <c r="A59" s="68" t="str">
        <f>IF(LEN(+'_DATA STT PAGOS_'!M64)=4,"0"&amp;+'_DATA STT PAGOS_'!M64,+'_DATA STT PAGOS_'!M64)</f>
        <v>05501</v>
      </c>
      <c r="B59" s="68" t="str">
        <f>IF(LEN(+'_DATA STT PAGOS_'!N64)=4,"0"&amp;+'_DATA STT PAGOS_'!N64,+'_DATA STT PAGOS_'!N64)</f>
        <v>05501</v>
      </c>
      <c r="C59" s="76" t="str">
        <f>+'_DATA STT PAGOS_'!O64</f>
        <v>QUILLOTA</v>
      </c>
      <c r="D59" s="80">
        <f>+'CALC MEC ESTAB Y ESTIM M FINAL'!U64</f>
        <v>13355206</v>
      </c>
      <c r="E59" s="77">
        <f>+'CALC MEC ESTAB Y ESTIM M FINAL'!Q64</f>
        <v>4.9125323882999996E-3</v>
      </c>
      <c r="F59" s="77">
        <f>+'CALC MEC ESTAB Y ESTIM M FINAL'!R64</f>
        <v>-2.072798179E-4</v>
      </c>
      <c r="G59" s="80">
        <f>+'_Flujo con Glosa 08'!CE64</f>
        <v>624096</v>
      </c>
      <c r="H59" s="80">
        <f>+'_Flujo con Glosa 08'!CF64</f>
        <v>624096</v>
      </c>
      <c r="I59" s="80">
        <f>+'_Flujo con Glosa 08'!CG64</f>
        <v>588536</v>
      </c>
      <c r="J59" s="80">
        <f>+'_Flujo con Glosa 08'!CH64</f>
        <v>624096</v>
      </c>
      <c r="K59" s="80">
        <f>+'_Flujo con Glosa 08'!CI64</f>
        <v>1778942</v>
      </c>
      <c r="L59" s="80">
        <f>+'_Flujo con Glosa 08'!CJ64</f>
        <v>641884</v>
      </c>
      <c r="M59" s="80">
        <f>+'_Flujo con Glosa 08'!CK64</f>
        <v>1089202</v>
      </c>
      <c r="N59" s="80">
        <f>+'_Flujo con Glosa 08'!CL64</f>
        <v>624096</v>
      </c>
      <c r="O59" s="80">
        <f>+'_Flujo con Glosa 08'!CM64</f>
        <v>710148</v>
      </c>
      <c r="P59" s="80">
        <f>+'_Flujo con Glosa 08'!CN64</f>
        <v>1174190</v>
      </c>
      <c r="Q59" s="80">
        <f>+'_Flujo con Glosa 08'!CO64</f>
        <v>624096</v>
      </c>
      <c r="R59" s="80">
        <f>+'_Flujo con Glosa 08'!CP64</f>
        <v>1106969</v>
      </c>
      <c r="S59" s="80">
        <f t="shared" si="0"/>
        <v>10210351</v>
      </c>
      <c r="T59" s="80">
        <v>0</v>
      </c>
      <c r="U59" s="80">
        <v>0</v>
      </c>
      <c r="V59" s="80">
        <v>0</v>
      </c>
      <c r="W59" s="80">
        <v>0</v>
      </c>
      <c r="X59" s="80">
        <v>0</v>
      </c>
      <c r="Y59" s="80">
        <v>0</v>
      </c>
      <c r="Z59" s="80">
        <v>0</v>
      </c>
      <c r="AA59" s="80">
        <v>0</v>
      </c>
      <c r="AB59" s="80">
        <v>0</v>
      </c>
      <c r="AC59" s="80">
        <v>0</v>
      </c>
      <c r="AD59" s="80">
        <v>0</v>
      </c>
      <c r="AE59" s="80">
        <v>0</v>
      </c>
      <c r="AF59" s="80">
        <f t="shared" si="1"/>
        <v>0</v>
      </c>
      <c r="AG59" s="80">
        <f>+COEF_FCM!AM66</f>
        <v>360836</v>
      </c>
      <c r="AH59" s="80">
        <f>+COEF_FCM!AR66</f>
        <v>28809</v>
      </c>
      <c r="AI59" s="80">
        <f>+COEF_FCM!AN66</f>
        <v>275706</v>
      </c>
      <c r="AJ59" s="80">
        <f>+COEF_FCM!AS66</f>
        <v>11729</v>
      </c>
      <c r="AK59" s="80">
        <f>+COEF_FCM!AO66</f>
        <v>273583</v>
      </c>
      <c r="AL59" s="80">
        <f>+COEF_FCM!AT66</f>
        <v>15508.195</v>
      </c>
      <c r="AM59" s="80">
        <f>+COEF_FCM!AP66</f>
        <v>228774</v>
      </c>
      <c r="AN59" s="80">
        <f>+COEF_FCM!AU66</f>
        <v>10778</v>
      </c>
      <c r="AO59" s="80">
        <f>+COEF_FCM!AQ66</f>
        <v>1138899</v>
      </c>
      <c r="AP59" s="80">
        <f>+COEF_FCM!AV66</f>
        <v>66824.195000000007</v>
      </c>
      <c r="AQ59" s="80">
        <f>+_CIERRE!O59+_CIERRE!P59</f>
        <v>9815236.2630000003</v>
      </c>
      <c r="AR59" s="80">
        <f>+_CIERRE!Q59+_CIERRE!R59</f>
        <v>11730110.273</v>
      </c>
      <c r="AS59" s="80">
        <f>+_CIERRE!S59+_CIERRE!T59</f>
        <v>12745271.639</v>
      </c>
      <c r="AT59" s="80">
        <f>+_CIERRE!U59+_CIERRE!V59</f>
        <v>12864497.853</v>
      </c>
      <c r="AU59" s="80">
        <f>+'CALC MEC ESTAB Y ESTIM M FINAL'!T64</f>
        <v>13355206</v>
      </c>
      <c r="AV59" s="560">
        <v>0</v>
      </c>
      <c r="AW59" s="551">
        <v>0</v>
      </c>
      <c r="AX59" s="551">
        <v>0</v>
      </c>
      <c r="AY59" s="551">
        <v>0</v>
      </c>
      <c r="AZ59" s="551">
        <v>861768.25800000003</v>
      </c>
      <c r="BA59" s="551">
        <v>973267.08400000003</v>
      </c>
    </row>
    <row r="60" spans="1:54" ht="3" customHeight="1" x14ac:dyDescent="0.2">
      <c r="A60" s="68" t="str">
        <f>IF(LEN(+'_DATA STT PAGOS_'!M65)=4,"0"&amp;+'_DATA STT PAGOS_'!M65,+'_DATA STT PAGOS_'!M65)</f>
        <v>05502</v>
      </c>
      <c r="B60" s="68" t="str">
        <f>IF(LEN(+'_DATA STT PAGOS_'!N65)=4,"0"&amp;+'_DATA STT PAGOS_'!N65,+'_DATA STT PAGOS_'!N65)</f>
        <v>05504</v>
      </c>
      <c r="C60" s="76" t="str">
        <f>+'_DATA STT PAGOS_'!O65</f>
        <v>CALERA</v>
      </c>
      <c r="D60" s="80">
        <f>+'CALC MEC ESTAB Y ESTIM M FINAL'!U65</f>
        <v>8495689</v>
      </c>
      <c r="E60" s="77">
        <f>+'CALC MEC ESTAB Y ESTIM M FINAL'!Q65</f>
        <v>3.0011270000000001E-3</v>
      </c>
      <c r="F60" s="77">
        <f>+'CALC MEC ESTAB Y ESTIM M FINAL'!R65</f>
        <v>-7.9602270999999992E-6</v>
      </c>
      <c r="G60" s="80">
        <f>+'_Flujo con Glosa 08'!CE65</f>
        <v>411238</v>
      </c>
      <c r="H60" s="80">
        <f>+'_Flujo con Glosa 08'!CF65</f>
        <v>411238</v>
      </c>
      <c r="I60" s="80">
        <f>+'_Flujo con Glosa 08'!CG65</f>
        <v>374387</v>
      </c>
      <c r="J60" s="80">
        <f>+'_Flujo con Glosa 08'!CH65</f>
        <v>411238</v>
      </c>
      <c r="K60" s="80">
        <f>+'_Flujo con Glosa 08'!CI65</f>
        <v>1088954</v>
      </c>
      <c r="L60" s="80">
        <f>+'_Flujo con Glosa 08'!CJ65</f>
        <v>422553</v>
      </c>
      <c r="M60" s="80">
        <f>+'_Flujo con Glosa 08'!CK65</f>
        <v>690789</v>
      </c>
      <c r="N60" s="80">
        <f>+'_Flujo con Glosa 08'!CL65</f>
        <v>411238</v>
      </c>
      <c r="O60" s="80">
        <f>+'_Flujo con Glosa 08'!CM65</f>
        <v>451748</v>
      </c>
      <c r="P60" s="80">
        <f>+'_Flujo con Glosa 08'!CN65</f>
        <v>720570</v>
      </c>
      <c r="Q60" s="80">
        <f>+'_Flujo con Glosa 08'!CO65</f>
        <v>411238</v>
      </c>
      <c r="R60" s="80">
        <f>+'_Flujo con Glosa 08'!CP65</f>
        <v>689950</v>
      </c>
      <c r="S60" s="80">
        <f t="shared" si="0"/>
        <v>6495141</v>
      </c>
      <c r="T60" s="80">
        <v>0</v>
      </c>
      <c r="U60" s="80">
        <v>0</v>
      </c>
      <c r="V60" s="80">
        <v>0</v>
      </c>
      <c r="W60" s="80">
        <v>0</v>
      </c>
      <c r="X60" s="80">
        <v>0</v>
      </c>
      <c r="Y60" s="80">
        <v>0</v>
      </c>
      <c r="Z60" s="80">
        <v>0</v>
      </c>
      <c r="AA60" s="80">
        <v>0</v>
      </c>
      <c r="AB60" s="80">
        <v>0</v>
      </c>
      <c r="AC60" s="80">
        <v>0</v>
      </c>
      <c r="AD60" s="80">
        <v>0</v>
      </c>
      <c r="AE60" s="80">
        <v>0</v>
      </c>
      <c r="AF60" s="80">
        <f t="shared" si="1"/>
        <v>0</v>
      </c>
      <c r="AG60" s="80">
        <f>+COEF_FCM!AM67</f>
        <v>174448</v>
      </c>
      <c r="AH60" s="80">
        <f>+COEF_FCM!AR67</f>
        <v>3681</v>
      </c>
      <c r="AI60" s="80">
        <f>+COEF_FCM!AN67</f>
        <v>25927</v>
      </c>
      <c r="AJ60" s="80">
        <f>+COEF_FCM!AS67</f>
        <v>1751</v>
      </c>
      <c r="AK60" s="80">
        <f>+COEF_FCM!AO67</f>
        <v>164875</v>
      </c>
      <c r="AL60" s="80">
        <f>+COEF_FCM!AT67</f>
        <v>2420.8270000000002</v>
      </c>
      <c r="AM60" s="80">
        <f>+COEF_FCM!AP67</f>
        <v>145033</v>
      </c>
      <c r="AN60" s="80">
        <f>+COEF_FCM!AU67</f>
        <v>1478</v>
      </c>
      <c r="AO60" s="80">
        <f>+COEF_FCM!AQ67</f>
        <v>510283</v>
      </c>
      <c r="AP60" s="80">
        <f>+COEF_FCM!AV67</f>
        <v>9330.8270000000011</v>
      </c>
      <c r="AQ60" s="80">
        <f>+_CIERRE!O60+_CIERRE!P60</f>
        <v>6803423.6610000003</v>
      </c>
      <c r="AR60" s="80">
        <f>+_CIERRE!Q60+_CIERRE!R60</f>
        <v>7818434.926</v>
      </c>
      <c r="AS60" s="80">
        <f>+_CIERRE!S60+_CIERRE!T60</f>
        <v>8398283.3200000003</v>
      </c>
      <c r="AT60" s="80">
        <f>+_CIERRE!U60+_CIERRE!V60</f>
        <v>8476844.7980000004</v>
      </c>
      <c r="AU60" s="80">
        <f>+'CALC MEC ESTAB Y ESTIM M FINAL'!T65</f>
        <v>8495689</v>
      </c>
      <c r="AV60" s="560">
        <v>0</v>
      </c>
      <c r="AW60" s="551">
        <v>0</v>
      </c>
      <c r="AX60" s="551">
        <v>0</v>
      </c>
      <c r="AY60" s="551">
        <v>0</v>
      </c>
      <c r="AZ60" s="551">
        <v>667599.96</v>
      </c>
      <c r="BA60" s="551">
        <v>689163.83900000004</v>
      </c>
    </row>
    <row r="61" spans="1:54" ht="3" customHeight="1" x14ac:dyDescent="0.2">
      <c r="A61" s="68" t="str">
        <f>IF(LEN(+'_DATA STT PAGOS_'!M66)=4,"0"&amp;+'_DATA STT PAGOS_'!M66,+'_DATA STT PAGOS_'!M66)</f>
        <v>05503</v>
      </c>
      <c r="B61" s="68" t="str">
        <f>IF(LEN(+'_DATA STT PAGOS_'!N66)=4,"0"&amp;+'_DATA STT PAGOS_'!N66,+'_DATA STT PAGOS_'!N66)</f>
        <v>05503</v>
      </c>
      <c r="C61" s="76" t="str">
        <f>+'_DATA STT PAGOS_'!O66</f>
        <v>HIJUELAS</v>
      </c>
      <c r="D61" s="80">
        <f>+'CALC MEC ESTAB Y ESTIM M FINAL'!U66</f>
        <v>4135147</v>
      </c>
      <c r="E61" s="77">
        <f>+'CALC MEC ESTAB Y ESTIM M FINAL'!Q66</f>
        <v>1.5758481016999999E-3</v>
      </c>
      <c r="F61" s="77">
        <f>+'CALC MEC ESTAB Y ESTIM M FINAL'!R66</f>
        <v>-1.189697054E-4</v>
      </c>
      <c r="G61" s="80">
        <f>+'_Flujo con Glosa 08'!CE66</f>
        <v>186930</v>
      </c>
      <c r="H61" s="80">
        <f>+'_Flujo con Glosa 08'!CF66</f>
        <v>186930</v>
      </c>
      <c r="I61" s="80">
        <f>+'_Flujo con Glosa 08'!CG66</f>
        <v>182227</v>
      </c>
      <c r="J61" s="80">
        <f>+'_Flujo con Glosa 08'!CH66</f>
        <v>186930</v>
      </c>
      <c r="K61" s="80">
        <f>+'_Flujo con Glosa 08'!CI66</f>
        <v>569733</v>
      </c>
      <c r="L61" s="80">
        <f>+'_Flujo con Glosa 08'!CJ66</f>
        <v>192438</v>
      </c>
      <c r="M61" s="80">
        <f>+'_Flujo con Glosa 08'!CK66</f>
        <v>343555</v>
      </c>
      <c r="N61" s="80">
        <f>+'_Flujo con Glosa 08'!CL66</f>
        <v>186930</v>
      </c>
      <c r="O61" s="80">
        <f>+'_Flujo con Glosa 08'!CM66</f>
        <v>219881</v>
      </c>
      <c r="P61" s="80">
        <f>+'_Flujo con Glosa 08'!CN66</f>
        <v>369870</v>
      </c>
      <c r="Q61" s="80">
        <f>+'_Flujo con Glosa 08'!CO66</f>
        <v>186930</v>
      </c>
      <c r="R61" s="80">
        <f>+'_Flujo con Glosa 08'!CP66</f>
        <v>349056</v>
      </c>
      <c r="S61" s="80">
        <f t="shared" si="0"/>
        <v>3161410</v>
      </c>
      <c r="T61" s="80">
        <v>0</v>
      </c>
      <c r="U61" s="80">
        <v>0</v>
      </c>
      <c r="V61" s="80">
        <v>0</v>
      </c>
      <c r="W61" s="80">
        <v>0</v>
      </c>
      <c r="X61" s="80">
        <v>0</v>
      </c>
      <c r="Y61" s="80">
        <v>0</v>
      </c>
      <c r="Z61" s="80">
        <v>0</v>
      </c>
      <c r="AA61" s="80">
        <v>0</v>
      </c>
      <c r="AB61" s="80">
        <v>0</v>
      </c>
      <c r="AC61" s="80">
        <v>0</v>
      </c>
      <c r="AD61" s="80">
        <v>0</v>
      </c>
      <c r="AE61" s="80">
        <v>0</v>
      </c>
      <c r="AF61" s="80">
        <f t="shared" si="1"/>
        <v>0</v>
      </c>
      <c r="AG61" s="80">
        <f>+COEF_FCM!AM68</f>
        <v>90647</v>
      </c>
      <c r="AH61" s="80">
        <f>+COEF_FCM!AR68</f>
        <v>6295</v>
      </c>
      <c r="AI61" s="80">
        <f>+COEF_FCM!AN68</f>
        <v>63455</v>
      </c>
      <c r="AJ61" s="80">
        <f>+COEF_FCM!AS68</f>
        <v>3709</v>
      </c>
      <c r="AK61" s="80">
        <f>+COEF_FCM!AO68</f>
        <v>68083</v>
      </c>
      <c r="AL61" s="80">
        <f>+COEF_FCM!AT68</f>
        <v>4223.9690000000001</v>
      </c>
      <c r="AM61" s="80">
        <f>+COEF_FCM!AP68</f>
        <v>59774</v>
      </c>
      <c r="AN61" s="80">
        <f>+COEF_FCM!AU68</f>
        <v>3236</v>
      </c>
      <c r="AO61" s="80">
        <f>+COEF_FCM!AQ68</f>
        <v>281959</v>
      </c>
      <c r="AP61" s="80">
        <f>+COEF_FCM!AV68</f>
        <v>17463.969000000001</v>
      </c>
      <c r="AQ61" s="80">
        <f>+_CIERRE!O61+_CIERRE!P61</f>
        <v>2594286.4339999999</v>
      </c>
      <c r="AR61" s="80">
        <f>+_CIERRE!Q61+_CIERRE!R61</f>
        <v>3114720.3650000002</v>
      </c>
      <c r="AS61" s="80">
        <f>+_CIERRE!S61+_CIERRE!T61</f>
        <v>3519412.713</v>
      </c>
      <c r="AT61" s="80">
        <f>+_CIERRE!U61+_CIERRE!V61</f>
        <v>3853502.2779999999</v>
      </c>
      <c r="AU61" s="80">
        <f>+'CALC MEC ESTAB Y ESTIM M FINAL'!T66</f>
        <v>4135147</v>
      </c>
      <c r="AV61" s="560">
        <v>0</v>
      </c>
      <c r="AW61" s="551">
        <v>0</v>
      </c>
      <c r="AX61" s="551">
        <v>0</v>
      </c>
      <c r="AY61" s="551">
        <v>0</v>
      </c>
      <c r="AZ61" s="551">
        <v>357324.576</v>
      </c>
      <c r="BA61" s="551">
        <v>369819.39799999999</v>
      </c>
    </row>
    <row r="62" spans="1:54" ht="3" customHeight="1" x14ac:dyDescent="0.2">
      <c r="A62" s="68" t="str">
        <f>IF(LEN(+'_DATA STT PAGOS_'!M67)=4,"0"&amp;+'_DATA STT PAGOS_'!M67,+'_DATA STT PAGOS_'!M67)</f>
        <v>05504</v>
      </c>
      <c r="B62" s="68" t="str">
        <f>IF(LEN(+'_DATA STT PAGOS_'!N67)=4,"0"&amp;+'_DATA STT PAGOS_'!N67,+'_DATA STT PAGOS_'!N67)</f>
        <v>05505</v>
      </c>
      <c r="C62" s="76" t="str">
        <f>+'_DATA STT PAGOS_'!O67</f>
        <v>LA CRUZ</v>
      </c>
      <c r="D62" s="80">
        <f>+'CALC MEC ESTAB Y ESTIM M FINAL'!U67</f>
        <v>4135797</v>
      </c>
      <c r="E62" s="77">
        <f>+'CALC MEC ESTAB Y ESTIM M FINAL'!Q67</f>
        <v>1.5442511086E-3</v>
      </c>
      <c r="F62" s="77">
        <f>+'CALC MEC ESTAB Y ESTIM M FINAL'!R67</f>
        <v>-8.7143594300000002E-5</v>
      </c>
      <c r="G62" s="80">
        <f>+'_Flujo con Glosa 08'!CE67</f>
        <v>190808</v>
      </c>
      <c r="H62" s="80">
        <f>+'_Flujo con Glosa 08'!CF67</f>
        <v>190808</v>
      </c>
      <c r="I62" s="80">
        <f>+'_Flujo con Glosa 08'!CG67</f>
        <v>182256</v>
      </c>
      <c r="J62" s="80">
        <f>+'_Flujo con Glosa 08'!CH67</f>
        <v>190808</v>
      </c>
      <c r="K62" s="80">
        <f>+'_Flujo con Glosa 08'!CI67</f>
        <v>558278</v>
      </c>
      <c r="L62" s="80">
        <f>+'_Flujo con Glosa 08'!CJ67</f>
        <v>196316</v>
      </c>
      <c r="M62" s="80">
        <f>+'_Flujo con Glosa 08'!CK67</f>
        <v>339760</v>
      </c>
      <c r="N62" s="80">
        <f>+'_Flujo con Glosa 08'!CL67</f>
        <v>190808</v>
      </c>
      <c r="O62" s="80">
        <f>+'_Flujo con Glosa 08'!CM67</f>
        <v>219916</v>
      </c>
      <c r="P62" s="80">
        <f>+'_Flujo con Glosa 08'!CN67</f>
        <v>366079</v>
      </c>
      <c r="Q62" s="80">
        <f>+'_Flujo con Glosa 08'!CO67</f>
        <v>190808</v>
      </c>
      <c r="R62" s="80">
        <f>+'_Flujo con Glosa 08'!CP67</f>
        <v>345263</v>
      </c>
      <c r="S62" s="80">
        <f t="shared" si="0"/>
        <v>3161908</v>
      </c>
      <c r="T62" s="80">
        <v>0</v>
      </c>
      <c r="U62" s="80">
        <v>0</v>
      </c>
      <c r="V62" s="80">
        <v>0</v>
      </c>
      <c r="W62" s="80">
        <v>0</v>
      </c>
      <c r="X62" s="80">
        <v>0</v>
      </c>
      <c r="Y62" s="80">
        <v>0</v>
      </c>
      <c r="Z62" s="80">
        <v>0</v>
      </c>
      <c r="AA62" s="80">
        <v>0</v>
      </c>
      <c r="AB62" s="80">
        <v>0</v>
      </c>
      <c r="AC62" s="80">
        <v>0</v>
      </c>
      <c r="AD62" s="80">
        <v>0</v>
      </c>
      <c r="AE62" s="80">
        <v>0</v>
      </c>
      <c r="AF62" s="80">
        <f t="shared" si="1"/>
        <v>0</v>
      </c>
      <c r="AG62" s="80">
        <f>+COEF_FCM!AM69</f>
        <v>90198</v>
      </c>
      <c r="AH62" s="80">
        <f>+COEF_FCM!AR69</f>
        <v>15077</v>
      </c>
      <c r="AI62" s="80">
        <f>+COEF_FCM!AN69</f>
        <v>42664</v>
      </c>
      <c r="AJ62" s="80">
        <f>+COEF_FCM!AS69</f>
        <v>6667</v>
      </c>
      <c r="AK62" s="80">
        <f>+COEF_FCM!AO69</f>
        <v>58661</v>
      </c>
      <c r="AL62" s="80">
        <f>+COEF_FCM!AT69</f>
        <v>8435.3119999999999</v>
      </c>
      <c r="AM62" s="80">
        <f>+COEF_FCM!AP69</f>
        <v>37608</v>
      </c>
      <c r="AN62" s="80">
        <f>+COEF_FCM!AU69</f>
        <v>5791</v>
      </c>
      <c r="AO62" s="80">
        <f>+COEF_FCM!AQ69</f>
        <v>229131</v>
      </c>
      <c r="AP62" s="80">
        <f>+COEF_FCM!AV69</f>
        <v>35970.311999999998</v>
      </c>
      <c r="AQ62" s="80">
        <f>+_CIERRE!O62+_CIERRE!P62</f>
        <v>2851685.477</v>
      </c>
      <c r="AR62" s="80">
        <f>+_CIERRE!Q62+_CIERRE!R62</f>
        <v>3351656.2990000001</v>
      </c>
      <c r="AS62" s="80">
        <f>+_CIERRE!S62+_CIERRE!T62</f>
        <v>3652236.497</v>
      </c>
      <c r="AT62" s="80">
        <f>+_CIERRE!U62+_CIERRE!V62</f>
        <v>3929495.3259999999</v>
      </c>
      <c r="AU62" s="80">
        <f>+'CALC MEC ESTAB Y ESTIM M FINAL'!T67</f>
        <v>4135797</v>
      </c>
      <c r="AV62" s="560">
        <v>0</v>
      </c>
      <c r="AW62" s="551">
        <v>0</v>
      </c>
      <c r="AX62" s="551">
        <v>0</v>
      </c>
      <c r="AY62" s="551">
        <v>0</v>
      </c>
      <c r="AZ62" s="551">
        <v>403001.21</v>
      </c>
      <c r="BA62" s="551">
        <v>400753.24400000001</v>
      </c>
    </row>
    <row r="63" spans="1:54" ht="3" customHeight="1" x14ac:dyDescent="0.2">
      <c r="A63" s="68" t="str">
        <f>IF(LEN(+'_DATA STT PAGOS_'!M68)=4,"0"&amp;+'_DATA STT PAGOS_'!M68,+'_DATA STT PAGOS_'!M68)</f>
        <v>05506</v>
      </c>
      <c r="B63" s="68" t="str">
        <f>IF(LEN(+'_DATA STT PAGOS_'!N68)=4,"0"&amp;+'_DATA STT PAGOS_'!N68,+'_DATA STT PAGOS_'!N68)</f>
        <v>05502</v>
      </c>
      <c r="C63" s="76" t="str">
        <f>+'_DATA STT PAGOS_'!O68</f>
        <v>NOGALES</v>
      </c>
      <c r="D63" s="80">
        <f>+'CALC MEC ESTAB Y ESTIM M FINAL'!U68</f>
        <v>4560486</v>
      </c>
      <c r="E63" s="77">
        <f>+'CALC MEC ESTAB Y ESTIM M FINAL'!Q68</f>
        <v>1.6896458145E-3</v>
      </c>
      <c r="F63" s="77">
        <f>+'CALC MEC ESTAB Y ESTIM M FINAL'!R68</f>
        <v>-8.2913688799999999E-5</v>
      </c>
      <c r="G63" s="80">
        <f>+'_Flujo con Glosa 08'!CE68</f>
        <v>211890</v>
      </c>
      <c r="H63" s="80">
        <f>+'_Flujo con Glosa 08'!CF68</f>
        <v>211890</v>
      </c>
      <c r="I63" s="80">
        <f>+'_Flujo con Glosa 08'!CG68</f>
        <v>200971</v>
      </c>
      <c r="J63" s="80">
        <f>+'_Flujo con Glosa 08'!CH68</f>
        <v>211890</v>
      </c>
      <c r="K63" s="80">
        <f>+'_Flujo con Glosa 08'!CI68</f>
        <v>611140</v>
      </c>
      <c r="L63" s="80">
        <f>+'_Flujo con Glosa 08'!CJ68</f>
        <v>217964</v>
      </c>
      <c r="M63" s="80">
        <f>+'_Flujo con Glosa 08'!CK68</f>
        <v>373161</v>
      </c>
      <c r="N63" s="80">
        <f>+'_Flujo con Glosa 08'!CL68</f>
        <v>211890</v>
      </c>
      <c r="O63" s="80">
        <f>+'_Flujo con Glosa 08'!CM68</f>
        <v>242499</v>
      </c>
      <c r="P63" s="80">
        <f>+'_Flujo con Glosa 08'!CN68</f>
        <v>402182</v>
      </c>
      <c r="Q63" s="80">
        <f>+'_Flujo con Glosa 08'!CO68</f>
        <v>211890</v>
      </c>
      <c r="R63" s="80">
        <f>+'_Flujo con Glosa 08'!CP68</f>
        <v>379228</v>
      </c>
      <c r="S63" s="80">
        <f t="shared" si="0"/>
        <v>3486595</v>
      </c>
      <c r="T63" s="80">
        <v>0</v>
      </c>
      <c r="U63" s="80">
        <v>0</v>
      </c>
      <c r="V63" s="80">
        <v>0</v>
      </c>
      <c r="W63" s="80">
        <v>0</v>
      </c>
      <c r="X63" s="80">
        <v>0</v>
      </c>
      <c r="Y63" s="80">
        <v>0</v>
      </c>
      <c r="Z63" s="80">
        <v>0</v>
      </c>
      <c r="AA63" s="80">
        <v>0</v>
      </c>
      <c r="AB63" s="80">
        <v>0</v>
      </c>
      <c r="AC63" s="80">
        <v>0</v>
      </c>
      <c r="AD63" s="80">
        <v>0</v>
      </c>
      <c r="AE63" s="80">
        <v>0</v>
      </c>
      <c r="AF63" s="80">
        <f t="shared" si="1"/>
        <v>0</v>
      </c>
      <c r="AG63" s="80">
        <f>+COEF_FCM!AM70</f>
        <v>82761</v>
      </c>
      <c r="AH63" s="80">
        <f>+COEF_FCM!AR70</f>
        <v>1532</v>
      </c>
      <c r="AI63" s="80">
        <f>+COEF_FCM!AN70</f>
        <v>63354</v>
      </c>
      <c r="AJ63" s="80">
        <f>+COEF_FCM!AS70</f>
        <v>921</v>
      </c>
      <c r="AK63" s="80">
        <f>+COEF_FCM!AO70</f>
        <v>70540</v>
      </c>
      <c r="AL63" s="80">
        <f>+COEF_FCM!AT70</f>
        <v>1179.903</v>
      </c>
      <c r="AM63" s="80">
        <f>+COEF_FCM!AP70</f>
        <v>61525</v>
      </c>
      <c r="AN63" s="80">
        <f>+COEF_FCM!AU70</f>
        <v>1089</v>
      </c>
      <c r="AO63" s="80">
        <f>+COEF_FCM!AQ70</f>
        <v>278180</v>
      </c>
      <c r="AP63" s="80">
        <f>+COEF_FCM!AV70</f>
        <v>4721.9030000000002</v>
      </c>
      <c r="AQ63" s="80">
        <f>+_CIERRE!O63+_CIERRE!P63</f>
        <v>3260169.1379999998</v>
      </c>
      <c r="AR63" s="80">
        <f>+_CIERRE!Q63+_CIERRE!R63</f>
        <v>3700202.577</v>
      </c>
      <c r="AS63" s="80">
        <f>+_CIERRE!S63+_CIERRE!T63</f>
        <v>3960110.0520000001</v>
      </c>
      <c r="AT63" s="80">
        <f>+_CIERRE!U63+_CIERRE!V63</f>
        <v>4364199.2719999999</v>
      </c>
      <c r="AU63" s="80">
        <f>+'CALC MEC ESTAB Y ESTIM M FINAL'!T68</f>
        <v>4560486</v>
      </c>
      <c r="AV63" s="560">
        <v>0</v>
      </c>
      <c r="AW63" s="551">
        <v>999174.55799999996</v>
      </c>
      <c r="AX63" s="551">
        <v>983084.11699999997</v>
      </c>
      <c r="AY63" s="551">
        <v>0</v>
      </c>
      <c r="AZ63" s="551">
        <v>372582.85</v>
      </c>
      <c r="BA63" s="551">
        <v>397670.64</v>
      </c>
    </row>
    <row r="64" spans="1:54" ht="3" customHeight="1" x14ac:dyDescent="0.2">
      <c r="A64" s="68" t="str">
        <f>IF(LEN(+'_DATA STT PAGOS_'!M69)=4,"0"&amp;+'_DATA STT PAGOS_'!M69,+'_DATA STT PAGOS_'!M69)</f>
        <v>05601</v>
      </c>
      <c r="B64" s="68" t="str">
        <f>IF(LEN(+'_DATA STT PAGOS_'!N69)=4,"0"&amp;+'_DATA STT PAGOS_'!N69,+'_DATA STT PAGOS_'!N69)</f>
        <v>05401</v>
      </c>
      <c r="C64" s="76" t="str">
        <f>+'_DATA STT PAGOS_'!O69</f>
        <v>SAN ANTONIO</v>
      </c>
      <c r="D64" s="80">
        <f>+'CALC MEC ESTAB Y ESTIM M FINAL'!U69</f>
        <v>14582249</v>
      </c>
      <c r="E64" s="77">
        <f>+'CALC MEC ESTAB Y ESTIM M FINAL'!Q69</f>
        <v>5.7598125402999996E-3</v>
      </c>
      <c r="F64" s="77">
        <f>+'CALC MEC ESTAB Y ESTIM M FINAL'!R69</f>
        <v>-6.2225342499999995E-4</v>
      </c>
      <c r="G64" s="80">
        <f>+'_Flujo con Glosa 08'!CE69</f>
        <v>636151</v>
      </c>
      <c r="H64" s="80">
        <f>+'_Flujo con Glosa 08'!CF69</f>
        <v>636151</v>
      </c>
      <c r="I64" s="80">
        <f>+'_Flujo con Glosa 08'!CG69</f>
        <v>642609</v>
      </c>
      <c r="J64" s="80">
        <f>+'_Flujo con Glosa 08'!CH69</f>
        <v>636151</v>
      </c>
      <c r="K64" s="80">
        <f>+'_Flujo con Glosa 08'!CI69</f>
        <v>2078243</v>
      </c>
      <c r="L64" s="80">
        <f>+'_Flujo con Glosa 08'!CJ69</f>
        <v>655573</v>
      </c>
      <c r="M64" s="80">
        <f>+'_Flujo con Glosa 08'!CK69</f>
        <v>1234561</v>
      </c>
      <c r="N64" s="80">
        <f>+'_Flujo con Glosa 08'!CL69</f>
        <v>636151</v>
      </c>
      <c r="O64" s="80">
        <f>+'_Flujo con Glosa 08'!CM69</f>
        <v>775394</v>
      </c>
      <c r="P64" s="80">
        <f>+'_Flujo con Glosa 08'!CN69</f>
        <v>1327357</v>
      </c>
      <c r="Q64" s="80">
        <f>+'_Flujo con Glosa 08'!CO69</f>
        <v>636151</v>
      </c>
      <c r="R64" s="80">
        <f>+'_Flujo con Glosa 08'!CP69</f>
        <v>1253960</v>
      </c>
      <c r="S64" s="80">
        <f t="shared" si="0"/>
        <v>11148452</v>
      </c>
      <c r="T64" s="80">
        <v>0</v>
      </c>
      <c r="U64" s="80">
        <v>0</v>
      </c>
      <c r="V64" s="80">
        <v>0</v>
      </c>
      <c r="W64" s="80">
        <v>0</v>
      </c>
      <c r="X64" s="80">
        <v>0</v>
      </c>
      <c r="Y64" s="80">
        <v>0</v>
      </c>
      <c r="Z64" s="80">
        <v>0</v>
      </c>
      <c r="AA64" s="80">
        <v>0</v>
      </c>
      <c r="AB64" s="80">
        <v>0</v>
      </c>
      <c r="AC64" s="80">
        <v>0</v>
      </c>
      <c r="AD64" s="80">
        <v>0</v>
      </c>
      <c r="AE64" s="80">
        <v>0</v>
      </c>
      <c r="AF64" s="80">
        <f t="shared" si="1"/>
        <v>0</v>
      </c>
      <c r="AG64" s="80">
        <f>+COEF_FCM!AM71</f>
        <v>611350</v>
      </c>
      <c r="AH64" s="80">
        <f>+COEF_FCM!AR71</f>
        <v>17288</v>
      </c>
      <c r="AI64" s="80">
        <f>+COEF_FCM!AN71</f>
        <v>529621</v>
      </c>
      <c r="AJ64" s="80">
        <f>+COEF_FCM!AS71</f>
        <v>10112</v>
      </c>
      <c r="AK64" s="80">
        <f>+COEF_FCM!AO71</f>
        <v>523257</v>
      </c>
      <c r="AL64" s="80">
        <f>+COEF_FCM!AT71</f>
        <v>11267.019</v>
      </c>
      <c r="AM64" s="80">
        <f>+COEF_FCM!AP71</f>
        <v>456620</v>
      </c>
      <c r="AN64" s="80">
        <f>+COEF_FCM!AU71</f>
        <v>8963</v>
      </c>
      <c r="AO64" s="80">
        <f>+COEF_FCM!AQ71</f>
        <v>2120848</v>
      </c>
      <c r="AP64" s="80">
        <f>+COEF_FCM!AV71</f>
        <v>47630.019</v>
      </c>
      <c r="AQ64" s="80">
        <f>+_CIERRE!O64+_CIERRE!P64</f>
        <v>10975860.573999999</v>
      </c>
      <c r="AR64" s="80">
        <f>+_CIERRE!Q64+_CIERRE!R64</f>
        <v>11899819.475</v>
      </c>
      <c r="AS64" s="80">
        <f>+_CIERRE!S64+_CIERRE!T64</f>
        <v>12304345.452</v>
      </c>
      <c r="AT64" s="80">
        <f>+_CIERRE!U64+_CIERRE!V64</f>
        <v>13109146.607999999</v>
      </c>
      <c r="AU64" s="80">
        <f>+'CALC MEC ESTAB Y ESTIM M FINAL'!T69</f>
        <v>14582249</v>
      </c>
      <c r="AV64" s="560">
        <v>0</v>
      </c>
      <c r="AW64" s="551">
        <v>0</v>
      </c>
      <c r="AX64" s="551">
        <v>0</v>
      </c>
      <c r="AY64" s="551">
        <v>0</v>
      </c>
      <c r="AZ64" s="551">
        <v>725074.81299999997</v>
      </c>
      <c r="BA64" s="551">
        <v>742836.33900000004</v>
      </c>
    </row>
    <row r="65" spans="1:53" ht="3" customHeight="1" x14ac:dyDescent="0.2">
      <c r="A65" s="68" t="str">
        <f>IF(LEN(+'_DATA STT PAGOS_'!M70)=4,"0"&amp;+'_DATA STT PAGOS_'!M70,+'_DATA STT PAGOS_'!M70)</f>
        <v>05602</v>
      </c>
      <c r="B65" s="68" t="str">
        <f>IF(LEN(+'_DATA STT PAGOS_'!N70)=4,"0"&amp;+'_DATA STT PAGOS_'!N70,+'_DATA STT PAGOS_'!N70)</f>
        <v>05406</v>
      </c>
      <c r="C65" s="76" t="str">
        <f>+'_DATA STT PAGOS_'!O70</f>
        <v>ALGARROBO</v>
      </c>
      <c r="D65" s="80">
        <f>+'CALC MEC ESTAB Y ESTIM M FINAL'!U70</f>
        <v>2586618</v>
      </c>
      <c r="E65" s="77">
        <f>+'CALC MEC ESTAB Y ESTIM M FINAL'!Q70</f>
        <v>9.5929743669999996E-4</v>
      </c>
      <c r="F65" s="77">
        <f>+'CALC MEC ESTAB Y ESTIM M FINAL'!R70</f>
        <v>-4.7990720299999997E-5</v>
      </c>
      <c r="G65" s="80">
        <f>+'_Flujo con Glosa 08'!CE70</f>
        <v>119976</v>
      </c>
      <c r="H65" s="80">
        <f>+'_Flujo con Glosa 08'!CF70</f>
        <v>119976</v>
      </c>
      <c r="I65" s="80">
        <f>+'_Flujo con Glosa 08'!CG70</f>
        <v>113987</v>
      </c>
      <c r="J65" s="80">
        <f>+'_Flujo con Glosa 08'!CH70</f>
        <v>119976</v>
      </c>
      <c r="K65" s="80">
        <f>+'_Flujo con Glosa 08'!CI70</f>
        <v>347236</v>
      </c>
      <c r="L65" s="80">
        <f>+'_Flujo con Glosa 08'!CJ70</f>
        <v>123421</v>
      </c>
      <c r="M65" s="80">
        <f>+'_Flujo con Glosa 08'!CK70</f>
        <v>211852</v>
      </c>
      <c r="N65" s="80">
        <f>+'_Flujo con Glosa 08'!CL70</f>
        <v>119976</v>
      </c>
      <c r="O65" s="80">
        <f>+'_Flujo con Glosa 08'!CM70</f>
        <v>137540</v>
      </c>
      <c r="P65" s="80">
        <f>+'_Flujo con Glosa 08'!CN70</f>
        <v>228314</v>
      </c>
      <c r="Q65" s="80">
        <f>+'_Flujo con Glosa 08'!CO70</f>
        <v>119976</v>
      </c>
      <c r="R65" s="80">
        <f>+'_Flujo con Glosa 08'!CP70</f>
        <v>215294</v>
      </c>
      <c r="S65" s="80">
        <f t="shared" si="0"/>
        <v>1977524</v>
      </c>
      <c r="T65" s="80">
        <v>0</v>
      </c>
      <c r="U65" s="80">
        <v>0</v>
      </c>
      <c r="V65" s="80">
        <v>0</v>
      </c>
      <c r="W65" s="80">
        <v>0</v>
      </c>
      <c r="X65" s="80">
        <v>0</v>
      </c>
      <c r="Y65" s="80">
        <v>0</v>
      </c>
      <c r="Z65" s="80">
        <v>0</v>
      </c>
      <c r="AA65" s="80">
        <v>0</v>
      </c>
      <c r="AB65" s="80">
        <v>0</v>
      </c>
      <c r="AC65" s="80">
        <v>0</v>
      </c>
      <c r="AD65" s="80">
        <v>0</v>
      </c>
      <c r="AE65" s="80">
        <v>0</v>
      </c>
      <c r="AF65" s="80">
        <f t="shared" si="1"/>
        <v>0</v>
      </c>
      <c r="AG65" s="80">
        <f>+COEF_FCM!AM72</f>
        <v>582775</v>
      </c>
      <c r="AH65" s="80">
        <f>+COEF_FCM!AR72</f>
        <v>166496</v>
      </c>
      <c r="AI65" s="80">
        <f>+COEF_FCM!AN72</f>
        <v>308073</v>
      </c>
      <c r="AJ65" s="80">
        <f>+COEF_FCM!AS72</f>
        <v>70016</v>
      </c>
      <c r="AK65" s="80">
        <f>+COEF_FCM!AO72</f>
        <v>419457</v>
      </c>
      <c r="AL65" s="80">
        <f>+COEF_FCM!AT72</f>
        <v>94413.146999999997</v>
      </c>
      <c r="AM65" s="80">
        <f>+COEF_FCM!AP72</f>
        <v>306223</v>
      </c>
      <c r="AN65" s="80">
        <f>+COEF_FCM!AU72</f>
        <v>66409</v>
      </c>
      <c r="AO65" s="80">
        <f>+COEF_FCM!AQ72</f>
        <v>1616528</v>
      </c>
      <c r="AP65" s="80">
        <f>+COEF_FCM!AV72</f>
        <v>397334.147</v>
      </c>
      <c r="AQ65" s="80">
        <f>+_CIERRE!O65+_CIERRE!P65</f>
        <v>1794628.0379999999</v>
      </c>
      <c r="AR65" s="80">
        <f>+_CIERRE!Q65+_CIERRE!R65</f>
        <v>2173100.5819999999</v>
      </c>
      <c r="AS65" s="80">
        <f>+_CIERRE!S65+_CIERRE!T65</f>
        <v>2362849.7059999998</v>
      </c>
      <c r="AT65" s="80">
        <f>+_CIERRE!U65+_CIERRE!V65</f>
        <v>2473005.5690000001</v>
      </c>
      <c r="AU65" s="80">
        <f>+'CALC MEC ESTAB Y ESTIM M FINAL'!T70</f>
        <v>2586618</v>
      </c>
      <c r="AV65" s="560">
        <v>0</v>
      </c>
      <c r="AW65" s="551">
        <v>0</v>
      </c>
      <c r="AX65" s="551">
        <v>0</v>
      </c>
      <c r="AY65" s="551">
        <v>0</v>
      </c>
      <c r="AZ65" s="551">
        <v>322296.495</v>
      </c>
      <c r="BA65" s="551">
        <v>331366.28899999999</v>
      </c>
    </row>
    <row r="66" spans="1:53" ht="3" customHeight="1" x14ac:dyDescent="0.2">
      <c r="A66" s="68" t="str">
        <f>IF(LEN(+'_DATA STT PAGOS_'!M71)=4,"0"&amp;+'_DATA STT PAGOS_'!M71,+'_DATA STT PAGOS_'!M71)</f>
        <v>05603</v>
      </c>
      <c r="B66" s="68" t="str">
        <f>IF(LEN(+'_DATA STT PAGOS_'!N71)=4,"0"&amp;+'_DATA STT PAGOS_'!N71,+'_DATA STT PAGOS_'!N71)</f>
        <v>05403</v>
      </c>
      <c r="C66" s="76" t="str">
        <f>+'_DATA STT PAGOS_'!O71</f>
        <v>CARTAGENA</v>
      </c>
      <c r="D66" s="80">
        <f>+'CALC MEC ESTAB Y ESTIM M FINAL'!U71</f>
        <v>16150872</v>
      </c>
      <c r="E66" s="77">
        <f>+'CALC MEC ESTAB Y ESTIM M FINAL'!Q71</f>
        <v>6.0738851694000003E-3</v>
      </c>
      <c r="F66" s="77">
        <f>+'CALC MEC ESTAB Y ESTIM M FINAL'!R71</f>
        <v>-3.8367491300000001E-4</v>
      </c>
      <c r="G66" s="80">
        <f>+'_Flujo con Glosa 08'!CE71</f>
        <v>739741</v>
      </c>
      <c r="H66" s="80">
        <f>+'_Flujo con Glosa 08'!CF71</f>
        <v>739741</v>
      </c>
      <c r="I66" s="80">
        <f>+'_Flujo con Glosa 08'!CG71</f>
        <v>711735</v>
      </c>
      <c r="J66" s="80">
        <f>+'_Flujo con Glosa 08'!CH71</f>
        <v>739741</v>
      </c>
      <c r="K66" s="80">
        <f>+'_Flujo con Glosa 08'!CI71</f>
        <v>2196324</v>
      </c>
      <c r="L66" s="80">
        <f>+'_Flujo con Glosa 08'!CJ71</f>
        <v>761252</v>
      </c>
      <c r="M66" s="80">
        <f>+'_Flujo con Glosa 08'!CK71</f>
        <v>1332205</v>
      </c>
      <c r="N66" s="80">
        <f>+'_Flujo con Glosa 08'!CL71</f>
        <v>739741</v>
      </c>
      <c r="O66" s="80">
        <f>+'_Flujo con Glosa 08'!CM71</f>
        <v>858804</v>
      </c>
      <c r="P66" s="80">
        <f>+'_Flujo con Glosa 08'!CN71</f>
        <v>1434983</v>
      </c>
      <c r="Q66" s="80">
        <f>+'_Flujo con Glosa 08'!CO71</f>
        <v>739741</v>
      </c>
      <c r="R66" s="80">
        <f>+'_Flujo con Glosa 08'!CP71</f>
        <v>1353690</v>
      </c>
      <c r="S66" s="80">
        <f t="shared" si="0"/>
        <v>12347698</v>
      </c>
      <c r="T66" s="80">
        <v>0</v>
      </c>
      <c r="U66" s="80">
        <v>0</v>
      </c>
      <c r="V66" s="80">
        <v>0</v>
      </c>
      <c r="W66" s="80">
        <v>0</v>
      </c>
      <c r="X66" s="80">
        <v>0</v>
      </c>
      <c r="Y66" s="80">
        <v>0</v>
      </c>
      <c r="Z66" s="80">
        <v>0</v>
      </c>
      <c r="AA66" s="80">
        <v>0</v>
      </c>
      <c r="AB66" s="80">
        <v>0</v>
      </c>
      <c r="AC66" s="80">
        <v>0</v>
      </c>
      <c r="AD66" s="80">
        <v>0</v>
      </c>
      <c r="AE66" s="80">
        <v>0</v>
      </c>
      <c r="AF66" s="80">
        <f t="shared" si="1"/>
        <v>0</v>
      </c>
      <c r="AG66" s="80">
        <f>+COEF_FCM!AM73</f>
        <v>64430</v>
      </c>
      <c r="AH66" s="80">
        <f>+COEF_FCM!AR73</f>
        <v>14253</v>
      </c>
      <c r="AI66" s="80">
        <f>+COEF_FCM!AN73</f>
        <v>47508</v>
      </c>
      <c r="AJ66" s="80">
        <f>+COEF_FCM!AS73</f>
        <v>7615</v>
      </c>
      <c r="AK66" s="80">
        <f>+COEF_FCM!AO73</f>
        <v>52355</v>
      </c>
      <c r="AL66" s="80">
        <f>+COEF_FCM!AT73</f>
        <v>9604.67</v>
      </c>
      <c r="AM66" s="80">
        <f>+COEF_FCM!AP73</f>
        <v>49786</v>
      </c>
      <c r="AN66" s="80">
        <f>+COEF_FCM!AU73</f>
        <v>7902</v>
      </c>
      <c r="AO66" s="80">
        <f>+COEF_FCM!AQ73</f>
        <v>214079</v>
      </c>
      <c r="AP66" s="80">
        <f>+COEF_FCM!AV73</f>
        <v>39374.67</v>
      </c>
      <c r="AQ66" s="80">
        <f>+_CIERRE!O66+_CIERRE!P66</f>
        <v>12166028.089</v>
      </c>
      <c r="AR66" s="80">
        <f>+_CIERRE!Q66+_CIERRE!R66</f>
        <v>13190176.267000001</v>
      </c>
      <c r="AS66" s="80">
        <f>+_CIERRE!S66+_CIERRE!T66</f>
        <v>14938002.812000001</v>
      </c>
      <c r="AT66" s="80">
        <f>+_CIERRE!U66+_CIERRE!V66</f>
        <v>15242571.33</v>
      </c>
      <c r="AU66" s="80">
        <f>+'CALC MEC ESTAB Y ESTIM M FINAL'!T71</f>
        <v>16150872</v>
      </c>
      <c r="AV66" s="560">
        <v>0</v>
      </c>
      <c r="AW66" s="551">
        <v>0</v>
      </c>
      <c r="AX66" s="551">
        <v>0</v>
      </c>
      <c r="AY66" s="551">
        <v>0</v>
      </c>
      <c r="AZ66" s="551">
        <v>522835.33100000001</v>
      </c>
      <c r="BA66" s="551">
        <v>533305.09499999997</v>
      </c>
    </row>
    <row r="67" spans="1:53" ht="3" customHeight="1" x14ac:dyDescent="0.2">
      <c r="A67" s="68" t="str">
        <f>IF(LEN(+'_DATA STT PAGOS_'!M72)=4,"0"&amp;+'_DATA STT PAGOS_'!M72,+'_DATA STT PAGOS_'!M72)</f>
        <v>05604</v>
      </c>
      <c r="B67" s="68" t="str">
        <f>IF(LEN(+'_DATA STT PAGOS_'!N72)=4,"0"&amp;+'_DATA STT PAGOS_'!N72,+'_DATA STT PAGOS_'!N72)</f>
        <v>05405</v>
      </c>
      <c r="C67" s="76" t="str">
        <f>+'_DATA STT PAGOS_'!O72</f>
        <v>EL QUISCO</v>
      </c>
      <c r="D67" s="80">
        <f>+'CALC MEC ESTAB Y ESTIM M FINAL'!U72</f>
        <v>23302948</v>
      </c>
      <c r="E67" s="77">
        <f>+'CALC MEC ESTAB Y ESTIM M FINAL'!Q72</f>
        <v>9.0897504326999997E-3</v>
      </c>
      <c r="F67" s="77">
        <f>+'CALC MEC ESTAB Y ESTIM M FINAL'!R72</f>
        <v>-8.7974954320000005E-4</v>
      </c>
      <c r="G67" s="80">
        <f>+'_Flujo con Glosa 08'!CE72</f>
        <v>1029674</v>
      </c>
      <c r="H67" s="80">
        <f>+'_Flujo con Glosa 08'!CF72</f>
        <v>1029674</v>
      </c>
      <c r="I67" s="80">
        <f>+'_Flujo con Glosa 08'!CG72</f>
        <v>1026913</v>
      </c>
      <c r="J67" s="80">
        <f>+'_Flujo con Glosa 08'!CH72</f>
        <v>1029674</v>
      </c>
      <c r="K67" s="80">
        <f>+'_Flujo con Glosa 08'!CI72</f>
        <v>3281859</v>
      </c>
      <c r="L67" s="80">
        <f>+'_Flujo con Glosa 08'!CJ72</f>
        <v>1060711</v>
      </c>
      <c r="M67" s="80">
        <f>+'_Flujo con Glosa 08'!CK72</f>
        <v>1959789</v>
      </c>
      <c r="N67" s="80">
        <f>+'_Flujo con Glosa 08'!CL72</f>
        <v>1029674</v>
      </c>
      <c r="O67" s="80">
        <f>+'_Flujo con Glosa 08'!CM72</f>
        <v>1239107</v>
      </c>
      <c r="P67" s="80">
        <f>+'_Flujo con Glosa 08'!CN72</f>
        <v>2108081</v>
      </c>
      <c r="Q67" s="80">
        <f>+'_Flujo con Glosa 08'!CO72</f>
        <v>1029674</v>
      </c>
      <c r="R67" s="80">
        <f>+'_Flujo con Glosa 08'!CP72</f>
        <v>1990790</v>
      </c>
      <c r="S67" s="80">
        <f t="shared" ref="S67:S130" si="2">SUM(G67:R67)</f>
        <v>17815620</v>
      </c>
      <c r="T67" s="80">
        <v>0</v>
      </c>
      <c r="U67" s="80">
        <v>0</v>
      </c>
      <c r="V67" s="80">
        <v>0</v>
      </c>
      <c r="W67" s="80">
        <v>0</v>
      </c>
      <c r="X67" s="80">
        <v>0</v>
      </c>
      <c r="Y67" s="80">
        <v>0</v>
      </c>
      <c r="Z67" s="80">
        <v>0</v>
      </c>
      <c r="AA67" s="80">
        <v>0</v>
      </c>
      <c r="AB67" s="80">
        <v>0</v>
      </c>
      <c r="AC67" s="80">
        <v>0</v>
      </c>
      <c r="AD67" s="80">
        <v>0</v>
      </c>
      <c r="AE67" s="80">
        <v>0</v>
      </c>
      <c r="AF67" s="80">
        <f t="shared" ref="AF67:AF130" si="3">SUM(T67:AE67)</f>
        <v>0</v>
      </c>
      <c r="AG67" s="80">
        <f>+COEF_FCM!AM74</f>
        <v>184915</v>
      </c>
      <c r="AH67" s="80">
        <f>+COEF_FCM!AR74</f>
        <v>52829</v>
      </c>
      <c r="AI67" s="80">
        <f>+COEF_FCM!AN74</f>
        <v>121539</v>
      </c>
      <c r="AJ67" s="80">
        <f>+COEF_FCM!AS74</f>
        <v>26431</v>
      </c>
      <c r="AK67" s="80">
        <f>+COEF_FCM!AO74</f>
        <v>138653</v>
      </c>
      <c r="AL67" s="80">
        <f>+COEF_FCM!AT74</f>
        <v>30395.723999999998</v>
      </c>
      <c r="AM67" s="80">
        <f>+COEF_FCM!AP74</f>
        <v>109930</v>
      </c>
      <c r="AN67" s="80">
        <f>+COEF_FCM!AU74</f>
        <v>23347</v>
      </c>
      <c r="AO67" s="80">
        <f>+COEF_FCM!AQ74</f>
        <v>555037</v>
      </c>
      <c r="AP67" s="80">
        <f>+COEF_FCM!AV74</f>
        <v>133002.72399999999</v>
      </c>
      <c r="AQ67" s="80">
        <f>+_CIERRE!O67+_CIERRE!P67</f>
        <v>14831933.038000001</v>
      </c>
      <c r="AR67" s="80">
        <f>+_CIERRE!Q67+_CIERRE!R67</f>
        <v>16080499.895</v>
      </c>
      <c r="AS67" s="80">
        <f>+_CIERRE!S67+_CIERRE!T67</f>
        <v>18809598.028999999</v>
      </c>
      <c r="AT67" s="80">
        <f>+_CIERRE!U67+_CIERRE!V67</f>
        <v>21220256.642999999</v>
      </c>
      <c r="AU67" s="80">
        <f>+'CALC MEC ESTAB Y ESTIM M FINAL'!T72</f>
        <v>23302948</v>
      </c>
      <c r="AV67" s="560">
        <v>0</v>
      </c>
      <c r="AW67" s="551">
        <v>0</v>
      </c>
      <c r="AX67" s="551">
        <v>0</v>
      </c>
      <c r="AY67" s="551">
        <v>0</v>
      </c>
      <c r="AZ67" s="551">
        <v>414296.685</v>
      </c>
      <c r="BA67" s="551">
        <v>426373.00099999999</v>
      </c>
    </row>
    <row r="68" spans="1:53" ht="3" customHeight="1" x14ac:dyDescent="0.2">
      <c r="A68" s="68" t="str">
        <f>IF(LEN(+'_DATA STT PAGOS_'!M73)=4,"0"&amp;+'_DATA STT PAGOS_'!M73,+'_DATA STT PAGOS_'!M73)</f>
        <v>05605</v>
      </c>
      <c r="B68" s="68" t="str">
        <f>IF(LEN(+'_DATA STT PAGOS_'!N73)=4,"0"&amp;+'_DATA STT PAGOS_'!N73,+'_DATA STT PAGOS_'!N73)</f>
        <v>05404</v>
      </c>
      <c r="C68" s="76" t="str">
        <f>+'_DATA STT PAGOS_'!O73</f>
        <v>EL TABO</v>
      </c>
      <c r="D68" s="80">
        <f>+'CALC MEC ESTAB Y ESTIM M FINAL'!U73</f>
        <v>25115904</v>
      </c>
      <c r="E68" s="77">
        <f>+'CALC MEC ESTAB Y ESTIM M FINAL'!Q73</f>
        <v>1.0296521052200001E-2</v>
      </c>
      <c r="F68" s="77">
        <f>+'CALC MEC ESTAB Y ESTIM M FINAL'!R73</f>
        <v>-1.4477868248E-3</v>
      </c>
      <c r="G68" s="80">
        <f>+'_Flujo con Glosa 08'!CE73</f>
        <v>1052908</v>
      </c>
      <c r="H68" s="80">
        <f>+'_Flujo con Glosa 08'!CF73</f>
        <v>1052908</v>
      </c>
      <c r="I68" s="80">
        <f>+'_Flujo con Glosa 08'!CG73</f>
        <v>1106806</v>
      </c>
      <c r="J68" s="80">
        <f>+'_Flujo con Glosa 08'!CH73</f>
        <v>1052908</v>
      </c>
      <c r="K68" s="80">
        <f>+'_Flujo con Glosa 08'!CI73</f>
        <v>3707807</v>
      </c>
      <c r="L68" s="80">
        <f>+'_Flujo con Glosa 08'!CJ73</f>
        <v>1086360</v>
      </c>
      <c r="M68" s="80">
        <f>+'_Flujo con Glosa 08'!CK73</f>
        <v>2169134</v>
      </c>
      <c r="N68" s="80">
        <f>+'_Flujo con Glosa 08'!CL73</f>
        <v>1052908</v>
      </c>
      <c r="O68" s="80">
        <f>+'_Flujo con Glosa 08'!CM73</f>
        <v>1335509</v>
      </c>
      <c r="P68" s="80">
        <f>+'_Flujo con Glosa 08'!CN73</f>
        <v>2328963</v>
      </c>
      <c r="Q68" s="80">
        <f>+'_Flujo con Glosa 08'!CO73</f>
        <v>1052908</v>
      </c>
      <c r="R68" s="80">
        <f>+'_Flujo con Glosa 08'!CP73</f>
        <v>2202546</v>
      </c>
      <c r="S68" s="80">
        <f t="shared" si="2"/>
        <v>19201665</v>
      </c>
      <c r="T68" s="80">
        <v>0</v>
      </c>
      <c r="U68" s="80">
        <v>0</v>
      </c>
      <c r="V68" s="80">
        <v>0</v>
      </c>
      <c r="W68" s="80">
        <v>0</v>
      </c>
      <c r="X68" s="80">
        <v>0</v>
      </c>
      <c r="Y68" s="80">
        <v>0</v>
      </c>
      <c r="Z68" s="80">
        <v>0</v>
      </c>
      <c r="AA68" s="80">
        <v>0</v>
      </c>
      <c r="AB68" s="80">
        <v>0</v>
      </c>
      <c r="AC68" s="80">
        <v>0</v>
      </c>
      <c r="AD68" s="80">
        <v>0</v>
      </c>
      <c r="AE68" s="80">
        <v>0</v>
      </c>
      <c r="AF68" s="80">
        <f t="shared" si="3"/>
        <v>0</v>
      </c>
      <c r="AG68" s="80">
        <f>+COEF_FCM!AM75</f>
        <v>70711</v>
      </c>
      <c r="AH68" s="80">
        <f>+COEF_FCM!AR75</f>
        <v>15549</v>
      </c>
      <c r="AI68" s="80">
        <f>+COEF_FCM!AN75</f>
        <v>54267</v>
      </c>
      <c r="AJ68" s="80">
        <f>+COEF_FCM!AS75</f>
        <v>6242</v>
      </c>
      <c r="AK68" s="80">
        <f>+COEF_FCM!AO75</f>
        <v>63880</v>
      </c>
      <c r="AL68" s="80">
        <f>+COEF_FCM!AT75</f>
        <v>8705.8289999999997</v>
      </c>
      <c r="AM68" s="80">
        <f>+COEF_FCM!AP75</f>
        <v>53393</v>
      </c>
      <c r="AN68" s="80">
        <f>+COEF_FCM!AU75</f>
        <v>6969</v>
      </c>
      <c r="AO68" s="80">
        <f>+COEF_FCM!AQ75</f>
        <v>242251</v>
      </c>
      <c r="AP68" s="80">
        <f>+COEF_FCM!AV75</f>
        <v>37465.828999999998</v>
      </c>
      <c r="AQ68" s="80">
        <f>+_CIERRE!O68+_CIERRE!P68</f>
        <v>12660238.443</v>
      </c>
      <c r="AR68" s="80">
        <f>+_CIERRE!Q68+_CIERRE!R68</f>
        <v>14798422.009</v>
      </c>
      <c r="AS68" s="80">
        <f>+_CIERRE!S68+_CIERRE!T68</f>
        <v>17731237.168000001</v>
      </c>
      <c r="AT68" s="80">
        <f>+_CIERRE!U68+_CIERRE!V68</f>
        <v>21688459.668000001</v>
      </c>
      <c r="AU68" s="80">
        <f>+'CALC MEC ESTAB Y ESTIM M FINAL'!T73</f>
        <v>25115904</v>
      </c>
      <c r="AV68" s="560">
        <v>0</v>
      </c>
      <c r="AW68" s="551">
        <v>0</v>
      </c>
      <c r="AX68" s="551">
        <v>0</v>
      </c>
      <c r="AY68" s="551">
        <v>0</v>
      </c>
      <c r="AZ68" s="551">
        <v>408251.74699999997</v>
      </c>
      <c r="BA68" s="551">
        <v>422900.66399999999</v>
      </c>
    </row>
    <row r="69" spans="1:53" ht="3" customHeight="1" x14ac:dyDescent="0.2">
      <c r="A69" s="68" t="str">
        <f>IF(LEN(+'_DATA STT PAGOS_'!M74)=4,"0"&amp;+'_DATA STT PAGOS_'!M74,+'_DATA STT PAGOS_'!M74)</f>
        <v>05606</v>
      </c>
      <c r="B69" s="68" t="str">
        <f>IF(LEN(+'_DATA STT PAGOS_'!N74)=4,"0"&amp;+'_DATA STT PAGOS_'!N74,+'_DATA STT PAGOS_'!N74)</f>
        <v>05402</v>
      </c>
      <c r="C69" s="76" t="str">
        <f>+'_DATA STT PAGOS_'!O74</f>
        <v>SANTO DOMINGO</v>
      </c>
      <c r="D69" s="80">
        <f>+'CALC MEC ESTAB Y ESTIM M FINAL'!U74</f>
        <v>2710348</v>
      </c>
      <c r="E69" s="77">
        <f>+'CALC MEC ESTAB Y ESTIM M FINAL'!Q74</f>
        <v>1.0024095685E-3</v>
      </c>
      <c r="F69" s="77">
        <f>+'CALC MEC ESTAB Y ESTIM M FINAL'!R74</f>
        <v>-4.7510513599999997E-5</v>
      </c>
      <c r="G69" s="80">
        <f>+'_Flujo con Glosa 08'!CE74</f>
        <v>126012</v>
      </c>
      <c r="H69" s="80">
        <f>+'_Flujo con Glosa 08'!CF74</f>
        <v>126012</v>
      </c>
      <c r="I69" s="80">
        <f>+'_Flujo con Glosa 08'!CG74</f>
        <v>119439</v>
      </c>
      <c r="J69" s="80">
        <f>+'_Flujo con Glosa 08'!CH74</f>
        <v>126012</v>
      </c>
      <c r="K69" s="80">
        <f>+'_Flujo con Glosa 08'!CI74</f>
        <v>362956</v>
      </c>
      <c r="L69" s="80">
        <f>+'_Flujo con Glosa 08'!CJ74</f>
        <v>129622</v>
      </c>
      <c r="M69" s="80">
        <f>+'_Flujo con Glosa 08'!CK74</f>
        <v>221690</v>
      </c>
      <c r="N69" s="80">
        <f>+'_Flujo con Glosa 08'!CL74</f>
        <v>126012</v>
      </c>
      <c r="O69" s="80">
        <f>+'_Flujo con Glosa 08'!CM74</f>
        <v>144120</v>
      </c>
      <c r="P69" s="80">
        <f>+'_Flujo con Glosa 08'!CN74</f>
        <v>238938</v>
      </c>
      <c r="Q69" s="80">
        <f>+'_Flujo con Glosa 08'!CO74</f>
        <v>126012</v>
      </c>
      <c r="R69" s="80">
        <f>+'_Flujo con Glosa 08'!CP74</f>
        <v>225296</v>
      </c>
      <c r="S69" s="80">
        <f t="shared" si="2"/>
        <v>2072121</v>
      </c>
      <c r="T69" s="80">
        <v>0</v>
      </c>
      <c r="U69" s="80">
        <v>0</v>
      </c>
      <c r="V69" s="80">
        <v>0</v>
      </c>
      <c r="W69" s="80">
        <v>0</v>
      </c>
      <c r="X69" s="80">
        <v>0</v>
      </c>
      <c r="Y69" s="80">
        <v>0</v>
      </c>
      <c r="Z69" s="80">
        <v>0</v>
      </c>
      <c r="AA69" s="80">
        <v>0</v>
      </c>
      <c r="AB69" s="80">
        <v>0</v>
      </c>
      <c r="AC69" s="80">
        <v>0</v>
      </c>
      <c r="AD69" s="80">
        <v>0</v>
      </c>
      <c r="AE69" s="80">
        <v>0</v>
      </c>
      <c r="AF69" s="80">
        <f t="shared" si="3"/>
        <v>0</v>
      </c>
      <c r="AG69" s="80">
        <f>+COEF_FCM!AM76</f>
        <v>441087</v>
      </c>
      <c r="AH69" s="80">
        <f>+COEF_FCM!AR76</f>
        <v>94782</v>
      </c>
      <c r="AI69" s="80">
        <f>+COEF_FCM!AN76</f>
        <v>236904</v>
      </c>
      <c r="AJ69" s="80">
        <f>+COEF_FCM!AS76</f>
        <v>49708</v>
      </c>
      <c r="AK69" s="80">
        <f>+COEF_FCM!AO76</f>
        <v>308008</v>
      </c>
      <c r="AL69" s="80">
        <f>+COEF_FCM!AT76</f>
        <v>62177.010999999999</v>
      </c>
      <c r="AM69" s="80">
        <f>+COEF_FCM!AP76</f>
        <v>226396</v>
      </c>
      <c r="AN69" s="80">
        <f>+COEF_FCM!AU76</f>
        <v>45560</v>
      </c>
      <c r="AO69" s="80">
        <f>+COEF_FCM!AQ76</f>
        <v>1212395</v>
      </c>
      <c r="AP69" s="80">
        <f>+COEF_FCM!AV76</f>
        <v>252227.011</v>
      </c>
      <c r="AQ69" s="80">
        <f>+_CIERRE!O69+_CIERRE!P69</f>
        <v>1829337.219</v>
      </c>
      <c r="AR69" s="80">
        <f>+_CIERRE!Q69+_CIERRE!R69</f>
        <v>2227725.59</v>
      </c>
      <c r="AS69" s="80">
        <f>+_CIERRE!S69+_CIERRE!T69</f>
        <v>2473739.514</v>
      </c>
      <c r="AT69" s="80">
        <f>+_CIERRE!U69+_CIERRE!V69</f>
        <v>2597872.92</v>
      </c>
      <c r="AU69" s="80">
        <f>+'CALC MEC ESTAB Y ESTIM M FINAL'!T74</f>
        <v>2710348</v>
      </c>
      <c r="AV69" s="560">
        <v>0</v>
      </c>
      <c r="AW69" s="551">
        <v>0</v>
      </c>
      <c r="AX69" s="551">
        <v>0</v>
      </c>
      <c r="AY69" s="551">
        <v>0</v>
      </c>
      <c r="AZ69" s="551">
        <v>329315.26</v>
      </c>
      <c r="BA69" s="551">
        <v>336753.82799999998</v>
      </c>
    </row>
    <row r="70" spans="1:53" ht="3" customHeight="1" x14ac:dyDescent="0.2">
      <c r="A70" s="68" t="str">
        <f>IF(LEN(+'_DATA STT PAGOS_'!M75)=4,"0"&amp;+'_DATA STT PAGOS_'!M75,+'_DATA STT PAGOS_'!M75)</f>
        <v>05701</v>
      </c>
      <c r="B70" s="68" t="str">
        <f>IF(LEN(+'_DATA STT PAGOS_'!N75)=4,"0"&amp;+'_DATA STT PAGOS_'!N75,+'_DATA STT PAGOS_'!N75)</f>
        <v>05601</v>
      </c>
      <c r="C70" s="76" t="str">
        <f>+'_DATA STT PAGOS_'!O75</f>
        <v>SAN FELIPE</v>
      </c>
      <c r="D70" s="80">
        <f>+'CALC MEC ESTAB Y ESTIM M FINAL'!U75</f>
        <v>12491532</v>
      </c>
      <c r="E70" s="77">
        <f>+'CALC MEC ESTAB Y ESTIM M FINAL'!Q75</f>
        <v>4.5369317958999997E-3</v>
      </c>
      <c r="F70" s="77">
        <f>+'CALC MEC ESTAB Y ESTIM M FINAL'!R75</f>
        <v>-1.3596542799999999E-4</v>
      </c>
      <c r="G70" s="80">
        <f>+'_Flujo con Glosa 08'!CE75</f>
        <v>590387</v>
      </c>
      <c r="H70" s="80">
        <f>+'_Flujo con Glosa 08'!CF75</f>
        <v>590387</v>
      </c>
      <c r="I70" s="80">
        <f>+'_Flujo con Glosa 08'!CG75</f>
        <v>550476</v>
      </c>
      <c r="J70" s="80">
        <f>+'_Flujo con Glosa 08'!CH75</f>
        <v>590387</v>
      </c>
      <c r="K70" s="80">
        <f>+'_Flujo con Glosa 08'!CI75</f>
        <v>1643946</v>
      </c>
      <c r="L70" s="80">
        <f>+'_Flujo con Glosa 08'!CJ75</f>
        <v>607025</v>
      </c>
      <c r="M70" s="80">
        <f>+'_Flujo con Glosa 08'!CK75</f>
        <v>1012114</v>
      </c>
      <c r="N70" s="80">
        <f>+'_Flujo con Glosa 08'!CL75</f>
        <v>590387</v>
      </c>
      <c r="O70" s="80">
        <f>+'_Flujo con Glosa 08'!CM75</f>
        <v>664223</v>
      </c>
      <c r="P70" s="80">
        <f>+'_Flujo con Glosa 08'!CN75</f>
        <v>1091604</v>
      </c>
      <c r="Q70" s="80">
        <f>+'_Flujo con Glosa 08'!CO75</f>
        <v>590387</v>
      </c>
      <c r="R70" s="80">
        <f>+'_Flujo con Glosa 08'!CP75</f>
        <v>1028731</v>
      </c>
      <c r="S70" s="80">
        <f t="shared" si="2"/>
        <v>9550054</v>
      </c>
      <c r="T70" s="80">
        <v>0</v>
      </c>
      <c r="U70" s="80">
        <v>0</v>
      </c>
      <c r="V70" s="80">
        <v>0</v>
      </c>
      <c r="W70" s="80">
        <v>0</v>
      </c>
      <c r="X70" s="80">
        <v>0</v>
      </c>
      <c r="Y70" s="80">
        <v>0</v>
      </c>
      <c r="Z70" s="80">
        <v>0</v>
      </c>
      <c r="AA70" s="80">
        <v>0</v>
      </c>
      <c r="AB70" s="80">
        <v>0</v>
      </c>
      <c r="AC70" s="80">
        <v>0</v>
      </c>
      <c r="AD70" s="80">
        <v>0</v>
      </c>
      <c r="AE70" s="80">
        <v>0</v>
      </c>
      <c r="AF70" s="80">
        <f t="shared" si="3"/>
        <v>0</v>
      </c>
      <c r="AG70" s="80">
        <f>+COEF_FCM!AM77</f>
        <v>297282</v>
      </c>
      <c r="AH70" s="80">
        <f>+COEF_FCM!AR77</f>
        <v>24950</v>
      </c>
      <c r="AI70" s="80">
        <f>+COEF_FCM!AN77</f>
        <v>223372</v>
      </c>
      <c r="AJ70" s="80">
        <f>+COEF_FCM!AS77</f>
        <v>13140</v>
      </c>
      <c r="AK70" s="80">
        <f>+COEF_FCM!AO77</f>
        <v>242978</v>
      </c>
      <c r="AL70" s="80">
        <f>+COEF_FCM!AT77</f>
        <v>15517.422</v>
      </c>
      <c r="AM70" s="80">
        <f>+COEF_FCM!AP77</f>
        <v>208525</v>
      </c>
      <c r="AN70" s="80">
        <f>+COEF_FCM!AU77</f>
        <v>11206</v>
      </c>
      <c r="AO70" s="80">
        <f>+COEF_FCM!AQ77</f>
        <v>972157</v>
      </c>
      <c r="AP70" s="80">
        <f>+COEF_FCM!AV77</f>
        <v>64813.421999999999</v>
      </c>
      <c r="AQ70" s="80">
        <f>+_CIERRE!O70+_CIERRE!P70</f>
        <v>8541411.8760000002</v>
      </c>
      <c r="AR70" s="80">
        <f>+_CIERRE!Q70+_CIERRE!R70</f>
        <v>10496126.262</v>
      </c>
      <c r="AS70" s="80">
        <f>+_CIERRE!S70+_CIERRE!T70</f>
        <v>12056865.558</v>
      </c>
      <c r="AT70" s="80">
        <f>+_CIERRE!U70+_CIERRE!V70</f>
        <v>12169651.806</v>
      </c>
      <c r="AU70" s="80">
        <f>+'CALC MEC ESTAB Y ESTIM M FINAL'!T75</f>
        <v>12491532</v>
      </c>
      <c r="AV70" s="560">
        <v>0</v>
      </c>
      <c r="AW70" s="551">
        <v>1266986.82</v>
      </c>
      <c r="AX70" s="551">
        <v>1333411.6089999999</v>
      </c>
      <c r="AY70" s="551">
        <v>0</v>
      </c>
      <c r="AZ70" s="551">
        <v>893987.94499999995</v>
      </c>
      <c r="BA70" s="551">
        <v>996518.31700000004</v>
      </c>
    </row>
    <row r="71" spans="1:53" ht="3" customHeight="1" x14ac:dyDescent="0.2">
      <c r="A71" s="68" t="str">
        <f>IF(LEN(+'_DATA STT PAGOS_'!M76)=4,"0"&amp;+'_DATA STT PAGOS_'!M76,+'_DATA STT PAGOS_'!M76)</f>
        <v>05702</v>
      </c>
      <c r="B71" s="68" t="str">
        <f>IF(LEN(+'_DATA STT PAGOS_'!N76)=4,"0"&amp;+'_DATA STT PAGOS_'!N76,+'_DATA STT PAGOS_'!N76)</f>
        <v>05603</v>
      </c>
      <c r="C71" s="76" t="str">
        <f>+'_DATA STT PAGOS_'!O76</f>
        <v>CATEMU</v>
      </c>
      <c r="D71" s="80">
        <f>+'CALC MEC ESTAB Y ESTIM M FINAL'!U76</f>
        <v>3660777</v>
      </c>
      <c r="E71" s="77">
        <f>+'CALC MEC ESTAB Y ESTIM M FINAL'!Q76</f>
        <v>1.3345881378E-3</v>
      </c>
      <c r="F71" s="77">
        <f>+'CALC MEC ESTAB Y ESTIM M FINAL'!R76</f>
        <v>-4.4837844600000003E-5</v>
      </c>
      <c r="G71" s="80">
        <f>+'_Flujo con Glosa 08'!CE76</f>
        <v>172255</v>
      </c>
      <c r="H71" s="80">
        <f>+'_Flujo con Glosa 08'!CF76</f>
        <v>172255</v>
      </c>
      <c r="I71" s="80">
        <f>+'_Flujo con Glosa 08'!CG76</f>
        <v>161323</v>
      </c>
      <c r="J71" s="80">
        <f>+'_Flujo con Glosa 08'!CH76</f>
        <v>172255</v>
      </c>
      <c r="K71" s="80">
        <f>+'_Flujo con Glosa 08'!CI76</f>
        <v>484069</v>
      </c>
      <c r="L71" s="80">
        <f>+'_Flujo con Glosa 08'!CJ76</f>
        <v>177131</v>
      </c>
      <c r="M71" s="80">
        <f>+'_Flujo con Glosa 08'!CK76</f>
        <v>297375</v>
      </c>
      <c r="N71" s="80">
        <f>+'_Flujo con Glosa 08'!CL76</f>
        <v>172255</v>
      </c>
      <c r="O71" s="80">
        <f>+'_Flujo con Glosa 08'!CM76</f>
        <v>194657</v>
      </c>
      <c r="P71" s="80">
        <f>+'_Flujo con Glosa 08'!CN76</f>
        <v>320671</v>
      </c>
      <c r="Q71" s="80">
        <f>+'_Flujo con Glosa 08'!CO76</f>
        <v>172255</v>
      </c>
      <c r="R71" s="80">
        <f>+'_Flujo con Glosa 08'!CP76</f>
        <v>302244</v>
      </c>
      <c r="S71" s="80">
        <f t="shared" si="2"/>
        <v>2798745</v>
      </c>
      <c r="T71" s="80">
        <v>0</v>
      </c>
      <c r="U71" s="80">
        <v>0</v>
      </c>
      <c r="V71" s="80">
        <v>0</v>
      </c>
      <c r="W71" s="80">
        <v>0</v>
      </c>
      <c r="X71" s="80">
        <v>0</v>
      </c>
      <c r="Y71" s="80">
        <v>0</v>
      </c>
      <c r="Z71" s="80">
        <v>0</v>
      </c>
      <c r="AA71" s="80">
        <v>0</v>
      </c>
      <c r="AB71" s="80">
        <v>0</v>
      </c>
      <c r="AC71" s="80">
        <v>0</v>
      </c>
      <c r="AD71" s="80">
        <v>0</v>
      </c>
      <c r="AE71" s="80">
        <v>0</v>
      </c>
      <c r="AF71" s="80">
        <f t="shared" si="3"/>
        <v>0</v>
      </c>
      <c r="AG71" s="80">
        <f>+COEF_FCM!AM78</f>
        <v>51678</v>
      </c>
      <c r="AH71" s="80">
        <f>+COEF_FCM!AR78</f>
        <v>531</v>
      </c>
      <c r="AI71" s="80">
        <f>+COEF_FCM!AN78</f>
        <v>33109</v>
      </c>
      <c r="AJ71" s="80">
        <f>+COEF_FCM!AS78</f>
        <v>353</v>
      </c>
      <c r="AK71" s="80">
        <f>+COEF_FCM!AO78</f>
        <v>43067</v>
      </c>
      <c r="AL71" s="80">
        <f>+COEF_FCM!AT78</f>
        <v>239.215</v>
      </c>
      <c r="AM71" s="80">
        <f>+COEF_FCM!AP78</f>
        <v>29294</v>
      </c>
      <c r="AN71" s="80">
        <f>+COEF_FCM!AU78</f>
        <v>242</v>
      </c>
      <c r="AO71" s="80">
        <f>+COEF_FCM!AQ78</f>
        <v>157148</v>
      </c>
      <c r="AP71" s="80">
        <f>+COEF_FCM!AV78</f>
        <v>1365.2149999999999</v>
      </c>
      <c r="AQ71" s="80">
        <f>+_CIERRE!O71+_CIERRE!P71</f>
        <v>2808809.8020000001</v>
      </c>
      <c r="AR71" s="80">
        <f>+_CIERRE!Q71+_CIERRE!R71</f>
        <v>3143320.7919999999</v>
      </c>
      <c r="AS71" s="80">
        <f>+_CIERRE!S71+_CIERRE!T71</f>
        <v>3320782.5819999999</v>
      </c>
      <c r="AT71" s="80">
        <f>+_CIERRE!U71+_CIERRE!V71</f>
        <v>3554628.4339999999</v>
      </c>
      <c r="AU71" s="80">
        <f>+'CALC MEC ESTAB Y ESTIM M FINAL'!T76</f>
        <v>3660777</v>
      </c>
      <c r="AV71" s="560">
        <v>0</v>
      </c>
      <c r="AW71" s="551">
        <v>1297094.432</v>
      </c>
      <c r="AX71" s="551">
        <v>1227386.2520000001</v>
      </c>
      <c r="AY71" s="551">
        <v>0</v>
      </c>
      <c r="AZ71" s="551">
        <v>377060.826</v>
      </c>
      <c r="BA71" s="551">
        <v>373001.83</v>
      </c>
    </row>
    <row r="72" spans="1:53" ht="3" customHeight="1" x14ac:dyDescent="0.2">
      <c r="A72" s="68" t="str">
        <f>IF(LEN(+'_DATA STT PAGOS_'!M77)=4,"0"&amp;+'_DATA STT PAGOS_'!M77,+'_DATA STT PAGOS_'!M77)</f>
        <v>05703</v>
      </c>
      <c r="B72" s="68" t="str">
        <f>IF(LEN(+'_DATA STT PAGOS_'!N77)=4,"0"&amp;+'_DATA STT PAGOS_'!N77,+'_DATA STT PAGOS_'!N77)</f>
        <v>05606</v>
      </c>
      <c r="C72" s="76" t="str">
        <f>+'_DATA STT PAGOS_'!O77</f>
        <v>LLAILLAY</v>
      </c>
      <c r="D72" s="80">
        <f>+'CALC MEC ESTAB Y ESTIM M FINAL'!U77</f>
        <v>6245443</v>
      </c>
      <c r="E72" s="77">
        <f>+'CALC MEC ESTAB Y ESTIM M FINAL'!Q77</f>
        <v>2.5505791692000002E-3</v>
      </c>
      <c r="F72" s="77">
        <f>+'CALC MEC ESTAB Y ESTIM M FINAL'!R77</f>
        <v>-3.5020982799999998E-4</v>
      </c>
      <c r="G72" s="80">
        <f>+'_Flujo con Glosa 08'!CE77</f>
        <v>262732</v>
      </c>
      <c r="H72" s="80">
        <f>+'_Flujo con Glosa 08'!CF77</f>
        <v>262732</v>
      </c>
      <c r="I72" s="80">
        <f>+'_Flujo con Glosa 08'!CG77</f>
        <v>275224</v>
      </c>
      <c r="J72" s="80">
        <f>+'_Flujo con Glosa 08'!CH77</f>
        <v>262732</v>
      </c>
      <c r="K72" s="80">
        <f>+'_Flujo con Glosa 08'!CI77</f>
        <v>919269</v>
      </c>
      <c r="L72" s="80">
        <f>+'_Flujo con Glosa 08'!CJ77</f>
        <v>271050</v>
      </c>
      <c r="M72" s="80">
        <f>+'_Flujo con Glosa 08'!CK77</f>
        <v>538477</v>
      </c>
      <c r="N72" s="80">
        <f>+'_Flujo con Glosa 08'!CL77</f>
        <v>262732</v>
      </c>
      <c r="O72" s="80">
        <f>+'_Flujo con Glosa 08'!CM77</f>
        <v>332094</v>
      </c>
      <c r="P72" s="80">
        <f>+'_Flujo con Glosa 08'!CN77</f>
        <v>578220</v>
      </c>
      <c r="Q72" s="80">
        <f>+'_Flujo con Glosa 08'!CO77</f>
        <v>262732</v>
      </c>
      <c r="R72" s="80">
        <f>+'_Flujo con Glosa 08'!CP77</f>
        <v>546785</v>
      </c>
      <c r="S72" s="80">
        <f t="shared" si="2"/>
        <v>4774779</v>
      </c>
      <c r="T72" s="80">
        <v>0</v>
      </c>
      <c r="U72" s="80">
        <v>0</v>
      </c>
      <c r="V72" s="80">
        <v>0</v>
      </c>
      <c r="W72" s="80">
        <v>0</v>
      </c>
      <c r="X72" s="80">
        <v>0</v>
      </c>
      <c r="Y72" s="80">
        <v>0</v>
      </c>
      <c r="Z72" s="80">
        <v>0</v>
      </c>
      <c r="AA72" s="80">
        <v>0</v>
      </c>
      <c r="AB72" s="80">
        <v>0</v>
      </c>
      <c r="AC72" s="80">
        <v>0</v>
      </c>
      <c r="AD72" s="80">
        <v>0</v>
      </c>
      <c r="AE72" s="80">
        <v>0</v>
      </c>
      <c r="AF72" s="80">
        <f t="shared" si="3"/>
        <v>0</v>
      </c>
      <c r="AG72" s="80">
        <f>+COEF_FCM!AM79</f>
        <v>70111</v>
      </c>
      <c r="AH72" s="80">
        <f>+COEF_FCM!AR79</f>
        <v>960</v>
      </c>
      <c r="AI72" s="80">
        <f>+COEF_FCM!AN79</f>
        <v>48588</v>
      </c>
      <c r="AJ72" s="80">
        <f>+COEF_FCM!AS79</f>
        <v>448</v>
      </c>
      <c r="AK72" s="80">
        <f>+COEF_FCM!AO79</f>
        <v>58292</v>
      </c>
      <c r="AL72" s="80">
        <f>+COEF_FCM!AT79</f>
        <v>637.31700000000001</v>
      </c>
      <c r="AM72" s="80">
        <f>+COEF_FCM!AP79</f>
        <v>49417</v>
      </c>
      <c r="AN72" s="80">
        <f>+COEF_FCM!AU79</f>
        <v>453</v>
      </c>
      <c r="AO72" s="80">
        <f>+COEF_FCM!AQ79</f>
        <v>226408</v>
      </c>
      <c r="AP72" s="80">
        <f>+COEF_FCM!AV79</f>
        <v>2498.317</v>
      </c>
      <c r="AQ72" s="80">
        <f>+_CIERRE!O72+_CIERRE!P72</f>
        <v>3658331.6639999999</v>
      </c>
      <c r="AR72" s="80">
        <f>+_CIERRE!Q72+_CIERRE!R72</f>
        <v>4308694.926</v>
      </c>
      <c r="AS72" s="80">
        <f>+_CIERRE!S72+_CIERRE!T72</f>
        <v>4749461.3969999999</v>
      </c>
      <c r="AT72" s="80">
        <f>+_CIERRE!U72+_CIERRE!V72</f>
        <v>5416366.8399999999</v>
      </c>
      <c r="AU72" s="80">
        <f>+'CALC MEC ESTAB Y ESTIM M FINAL'!T77</f>
        <v>6245443</v>
      </c>
      <c r="AV72" s="560">
        <v>0</v>
      </c>
      <c r="AW72" s="551">
        <v>0</v>
      </c>
      <c r="AX72" s="551">
        <v>0</v>
      </c>
      <c r="AY72" s="551">
        <v>0</v>
      </c>
      <c r="AZ72" s="551">
        <v>509725.75099999999</v>
      </c>
      <c r="BA72" s="551">
        <v>505139.30699999997</v>
      </c>
    </row>
    <row r="73" spans="1:53" ht="3" customHeight="1" x14ac:dyDescent="0.2">
      <c r="A73" s="68" t="str">
        <f>IF(LEN(+'_DATA STT PAGOS_'!M78)=4,"0"&amp;+'_DATA STT PAGOS_'!M78,+'_DATA STT PAGOS_'!M78)</f>
        <v>05704</v>
      </c>
      <c r="B73" s="68" t="str">
        <f>IF(LEN(+'_DATA STT PAGOS_'!N78)=4,"0"&amp;+'_DATA STT PAGOS_'!N78,+'_DATA STT PAGOS_'!N78)</f>
        <v>05602</v>
      </c>
      <c r="C73" s="76" t="str">
        <f>+'_DATA STT PAGOS_'!O78</f>
        <v>PANQUEHUE</v>
      </c>
      <c r="D73" s="80">
        <f>+'CALC MEC ESTAB Y ESTIM M FINAL'!U78</f>
        <v>2372578</v>
      </c>
      <c r="E73" s="77">
        <f>+'CALC MEC ESTAB Y ESTIM M FINAL'!Q78</f>
        <v>8.8600442689999997E-4</v>
      </c>
      <c r="F73" s="77">
        <f>+'CALC MEC ESTAB Y ESTIM M FINAL'!R78</f>
        <v>-5.0107434599999997E-5</v>
      </c>
      <c r="G73" s="80">
        <f>+'_Flujo con Glosa 08'!CE78</f>
        <v>109297</v>
      </c>
      <c r="H73" s="80">
        <f>+'_Flujo con Glosa 08'!CF78</f>
        <v>109297</v>
      </c>
      <c r="I73" s="80">
        <f>+'_Flujo con Glosa 08'!CG78</f>
        <v>104555</v>
      </c>
      <c r="J73" s="80">
        <f>+'_Flujo con Glosa 08'!CH78</f>
        <v>109297</v>
      </c>
      <c r="K73" s="80">
        <f>+'_Flujo con Glosa 08'!CI78</f>
        <v>320758</v>
      </c>
      <c r="L73" s="80">
        <f>+'_Flujo con Glosa 08'!CJ78</f>
        <v>112457</v>
      </c>
      <c r="M73" s="80">
        <f>+'_Flujo con Glosa 08'!CK78</f>
        <v>195073</v>
      </c>
      <c r="N73" s="80">
        <f>+'_Flujo con Glosa 08'!CL78</f>
        <v>109297</v>
      </c>
      <c r="O73" s="80">
        <f>+'_Flujo con Glosa 08'!CM78</f>
        <v>126159</v>
      </c>
      <c r="P73" s="80">
        <f>+'_Flujo con Glosa 08'!CN78</f>
        <v>210172</v>
      </c>
      <c r="Q73" s="80">
        <f>+'_Flujo con Glosa 08'!CO78</f>
        <v>109297</v>
      </c>
      <c r="R73" s="80">
        <f>+'_Flujo con Glosa 08'!CP78</f>
        <v>198229</v>
      </c>
      <c r="S73" s="80">
        <f t="shared" si="2"/>
        <v>1813888</v>
      </c>
      <c r="T73" s="80">
        <v>0</v>
      </c>
      <c r="U73" s="80">
        <v>0</v>
      </c>
      <c r="V73" s="80">
        <v>0</v>
      </c>
      <c r="W73" s="80">
        <v>0</v>
      </c>
      <c r="X73" s="80">
        <v>0</v>
      </c>
      <c r="Y73" s="80">
        <v>0</v>
      </c>
      <c r="Z73" s="80">
        <v>0</v>
      </c>
      <c r="AA73" s="80">
        <v>0</v>
      </c>
      <c r="AB73" s="80">
        <v>0</v>
      </c>
      <c r="AC73" s="80">
        <v>0</v>
      </c>
      <c r="AD73" s="80">
        <v>0</v>
      </c>
      <c r="AE73" s="80">
        <v>0</v>
      </c>
      <c r="AF73" s="80">
        <f t="shared" si="3"/>
        <v>0</v>
      </c>
      <c r="AG73" s="80">
        <f>+COEF_FCM!AM80</f>
        <v>57172</v>
      </c>
      <c r="AH73" s="80">
        <f>+COEF_FCM!AR80</f>
        <v>328</v>
      </c>
      <c r="AI73" s="80">
        <f>+COEF_FCM!AN80</f>
        <v>40276</v>
      </c>
      <c r="AJ73" s="80">
        <f>+COEF_FCM!AS80</f>
        <v>157</v>
      </c>
      <c r="AK73" s="80">
        <f>+COEF_FCM!AO80</f>
        <v>46164</v>
      </c>
      <c r="AL73" s="80">
        <f>+COEF_FCM!AT80</f>
        <v>225.75399999999999</v>
      </c>
      <c r="AM73" s="80">
        <f>+COEF_FCM!AP80</f>
        <v>29404</v>
      </c>
      <c r="AN73" s="80">
        <f>+COEF_FCM!AU80</f>
        <v>144</v>
      </c>
      <c r="AO73" s="80">
        <f>+COEF_FCM!AQ80</f>
        <v>173016</v>
      </c>
      <c r="AP73" s="80">
        <f>+COEF_FCM!AV80</f>
        <v>854.75400000000002</v>
      </c>
      <c r="AQ73" s="80">
        <f>+_CIERRE!O73+_CIERRE!P73</f>
        <v>1744184.0190000001</v>
      </c>
      <c r="AR73" s="80">
        <f>+_CIERRE!Q73+_CIERRE!R73</f>
        <v>1975473.3049999999</v>
      </c>
      <c r="AS73" s="80">
        <f>+_CIERRE!S73+_CIERRE!T73</f>
        <v>2141183.8670000001</v>
      </c>
      <c r="AT73" s="80">
        <f>+_CIERRE!U73+_CIERRE!V73</f>
        <v>2253954.3939999999</v>
      </c>
      <c r="AU73" s="80">
        <f>+'CALC MEC ESTAB Y ESTIM M FINAL'!T78</f>
        <v>2372578</v>
      </c>
      <c r="AV73" s="560">
        <v>0</v>
      </c>
      <c r="AW73" s="551">
        <v>0</v>
      </c>
      <c r="AX73" s="551">
        <v>0</v>
      </c>
      <c r="AY73" s="551">
        <v>0</v>
      </c>
      <c r="AZ73" s="551">
        <v>307870.17099999997</v>
      </c>
      <c r="BA73" s="551">
        <v>317308.51500000001</v>
      </c>
    </row>
    <row r="74" spans="1:53" ht="3" customHeight="1" x14ac:dyDescent="0.2">
      <c r="A74" s="68" t="str">
        <f>IF(LEN(+'_DATA STT PAGOS_'!M79)=4,"0"&amp;+'_DATA STT PAGOS_'!M79,+'_DATA STT PAGOS_'!M79)</f>
        <v>05705</v>
      </c>
      <c r="B74" s="68" t="str">
        <f>IF(LEN(+'_DATA STT PAGOS_'!N79)=4,"0"&amp;+'_DATA STT PAGOS_'!N79,+'_DATA STT PAGOS_'!N79)</f>
        <v>05604</v>
      </c>
      <c r="C74" s="76" t="str">
        <f>+'_DATA STT PAGOS_'!O79</f>
        <v>PUTAENDO</v>
      </c>
      <c r="D74" s="80">
        <f>+'CALC MEC ESTAB Y ESTIM M FINAL'!U79</f>
        <v>4879122</v>
      </c>
      <c r="E74" s="77">
        <f>+'CALC MEC ESTAB Y ESTIM M FINAL'!Q79</f>
        <v>1.831114653E-3</v>
      </c>
      <c r="F74" s="77">
        <f>+'CALC MEC ESTAB Y ESTIM M FINAL'!R79</f>
        <v>-1.121220922E-4</v>
      </c>
      <c r="G74" s="80">
        <f>+'_Flujo con Glosa 08'!CE79</f>
        <v>223772</v>
      </c>
      <c r="H74" s="80">
        <f>+'_Flujo con Glosa 08'!CF79</f>
        <v>223772</v>
      </c>
      <c r="I74" s="80">
        <f>+'_Flujo con Glosa 08'!CG79</f>
        <v>215013</v>
      </c>
      <c r="J74" s="80">
        <f>+'_Flujo con Glosa 08'!CH79</f>
        <v>223772</v>
      </c>
      <c r="K74" s="80">
        <f>+'_Flujo con Glosa 08'!CI79</f>
        <v>662606</v>
      </c>
      <c r="L74" s="80">
        <f>+'_Flujo con Glosa 08'!CJ79</f>
        <v>230271</v>
      </c>
      <c r="M74" s="80">
        <f>+'_Flujo con Glosa 08'!CK79</f>
        <v>402155</v>
      </c>
      <c r="N74" s="80">
        <f>+'_Flujo con Glosa 08'!CL79</f>
        <v>223772</v>
      </c>
      <c r="O74" s="80">
        <f>+'_Flujo con Glosa 08'!CM79</f>
        <v>259442</v>
      </c>
      <c r="P74" s="80">
        <f>+'_Flujo con Glosa 08'!CN79</f>
        <v>433204</v>
      </c>
      <c r="Q74" s="80">
        <f>+'_Flujo con Glosa 08'!CO79</f>
        <v>223772</v>
      </c>
      <c r="R74" s="80">
        <f>+'_Flujo con Glosa 08'!CP79</f>
        <v>408647</v>
      </c>
      <c r="S74" s="80">
        <f t="shared" si="2"/>
        <v>3730198</v>
      </c>
      <c r="T74" s="80">
        <v>0</v>
      </c>
      <c r="U74" s="80">
        <v>0</v>
      </c>
      <c r="V74" s="80">
        <v>0</v>
      </c>
      <c r="W74" s="80">
        <v>0</v>
      </c>
      <c r="X74" s="80">
        <v>0</v>
      </c>
      <c r="Y74" s="80">
        <v>0</v>
      </c>
      <c r="Z74" s="80">
        <v>0</v>
      </c>
      <c r="AA74" s="80">
        <v>0</v>
      </c>
      <c r="AB74" s="80">
        <v>0</v>
      </c>
      <c r="AC74" s="80">
        <v>0</v>
      </c>
      <c r="AD74" s="80">
        <v>0</v>
      </c>
      <c r="AE74" s="80">
        <v>0</v>
      </c>
      <c r="AF74" s="80">
        <f t="shared" si="3"/>
        <v>0</v>
      </c>
      <c r="AG74" s="80">
        <f>+COEF_FCM!AM81</f>
        <v>27352</v>
      </c>
      <c r="AH74" s="80">
        <f>+COEF_FCM!AR81</f>
        <v>538</v>
      </c>
      <c r="AI74" s="80">
        <f>+COEF_FCM!AN81</f>
        <v>14255</v>
      </c>
      <c r="AJ74" s="80">
        <f>+COEF_FCM!AS81</f>
        <v>298</v>
      </c>
      <c r="AK74" s="80">
        <f>+COEF_FCM!AO81</f>
        <v>24980</v>
      </c>
      <c r="AL74" s="80">
        <f>+COEF_FCM!AT81</f>
        <v>377.024</v>
      </c>
      <c r="AM74" s="80">
        <f>+COEF_FCM!AP81</f>
        <v>21682</v>
      </c>
      <c r="AN74" s="80">
        <f>+COEF_FCM!AU81</f>
        <v>261</v>
      </c>
      <c r="AO74" s="80">
        <f>+COEF_FCM!AQ81</f>
        <v>88269</v>
      </c>
      <c r="AP74" s="80">
        <f>+COEF_FCM!AV81</f>
        <v>1474.0239999999999</v>
      </c>
      <c r="AQ74" s="80">
        <f>+_CIERRE!O74+_CIERRE!P74</f>
        <v>3406543.5529999998</v>
      </c>
      <c r="AR74" s="80">
        <f>+_CIERRE!Q74+_CIERRE!R74</f>
        <v>3960885.4539999999</v>
      </c>
      <c r="AS74" s="80">
        <f>+_CIERRE!S74+_CIERRE!T74</f>
        <v>4303901.3140000002</v>
      </c>
      <c r="AT74" s="80">
        <f>+_CIERRE!U74+_CIERRE!V74</f>
        <v>4613688.2479999997</v>
      </c>
      <c r="AU74" s="80">
        <f>+'CALC MEC ESTAB Y ESTIM M FINAL'!T79</f>
        <v>4879122</v>
      </c>
      <c r="AV74" s="560">
        <v>0</v>
      </c>
      <c r="AW74" s="551">
        <v>0</v>
      </c>
      <c r="AX74" s="551">
        <v>0</v>
      </c>
      <c r="AY74" s="551">
        <v>0</v>
      </c>
      <c r="AZ74" s="551">
        <v>463007.09499999997</v>
      </c>
      <c r="BA74" s="551">
        <v>459939.027</v>
      </c>
    </row>
    <row r="75" spans="1:53" ht="3" customHeight="1" x14ac:dyDescent="0.2">
      <c r="A75" s="68" t="str">
        <f>IF(LEN(+'_DATA STT PAGOS_'!M80)=4,"0"&amp;+'_DATA STT PAGOS_'!M80,+'_DATA STT PAGOS_'!M80)</f>
        <v>05706</v>
      </c>
      <c r="B75" s="68" t="str">
        <f>IF(LEN(+'_DATA STT PAGOS_'!N80)=4,"0"&amp;+'_DATA STT PAGOS_'!N80,+'_DATA STT PAGOS_'!N80)</f>
        <v>05605</v>
      </c>
      <c r="C75" s="76" t="str">
        <f>+'_DATA STT PAGOS_'!O80</f>
        <v>SANTA MARÍA</v>
      </c>
      <c r="D75" s="80">
        <f>+'CALC MEC ESTAB Y ESTIM M FINAL'!U80</f>
        <v>4009010</v>
      </c>
      <c r="E75" s="77">
        <f>+'CALC MEC ESTAB Y ESTIM M FINAL'!Q80</f>
        <v>1.5418469723999999E-3</v>
      </c>
      <c r="F75" s="77">
        <f>+'CALC MEC ESTAB Y ESTIM M FINAL'!R80</f>
        <v>-1.294088277E-4</v>
      </c>
      <c r="G75" s="80">
        <f>+'_Flujo con Glosa 08'!CE80</f>
        <v>179615</v>
      </c>
      <c r="H75" s="80">
        <f>+'_Flujo con Glosa 08'!CF80</f>
        <v>179615</v>
      </c>
      <c r="I75" s="80">
        <f>+'_Flujo con Glosa 08'!CG80</f>
        <v>176669</v>
      </c>
      <c r="J75" s="80">
        <f>+'_Flujo con Glosa 08'!CH80</f>
        <v>179615</v>
      </c>
      <c r="K75" s="80">
        <f>+'_Flujo con Glosa 08'!CI80</f>
        <v>557193</v>
      </c>
      <c r="L75" s="80">
        <f>+'_Flujo con Glosa 08'!CJ80</f>
        <v>184955</v>
      </c>
      <c r="M75" s="80">
        <f>+'_Flujo con Glosa 08'!CK80</f>
        <v>334689</v>
      </c>
      <c r="N75" s="80">
        <f>+'_Flujo con Glosa 08'!CL80</f>
        <v>179615</v>
      </c>
      <c r="O75" s="80">
        <f>+'_Flujo con Glosa 08'!CM80</f>
        <v>213174</v>
      </c>
      <c r="P75" s="80">
        <f>+'_Flujo con Glosa 08'!CN80</f>
        <v>360201</v>
      </c>
      <c r="Q75" s="80">
        <f>+'_Flujo con Glosa 08'!CO80</f>
        <v>179615</v>
      </c>
      <c r="R75" s="80">
        <f>+'_Flujo con Glosa 08'!CP80</f>
        <v>340022</v>
      </c>
      <c r="S75" s="80">
        <f t="shared" si="2"/>
        <v>3064978</v>
      </c>
      <c r="T75" s="80">
        <v>0</v>
      </c>
      <c r="U75" s="80">
        <v>0</v>
      </c>
      <c r="V75" s="80">
        <v>0</v>
      </c>
      <c r="W75" s="80">
        <v>0</v>
      </c>
      <c r="X75" s="80">
        <v>0</v>
      </c>
      <c r="Y75" s="80">
        <v>0</v>
      </c>
      <c r="Z75" s="80">
        <v>0</v>
      </c>
      <c r="AA75" s="80">
        <v>0</v>
      </c>
      <c r="AB75" s="80">
        <v>0</v>
      </c>
      <c r="AC75" s="80">
        <v>0</v>
      </c>
      <c r="AD75" s="80">
        <v>0</v>
      </c>
      <c r="AE75" s="80">
        <v>0</v>
      </c>
      <c r="AF75" s="80">
        <f t="shared" si="3"/>
        <v>0</v>
      </c>
      <c r="AG75" s="80">
        <f>+COEF_FCM!AM82</f>
        <v>41858</v>
      </c>
      <c r="AH75" s="80">
        <f>+COEF_FCM!AR82</f>
        <v>328</v>
      </c>
      <c r="AI75" s="80">
        <f>+COEF_FCM!AN82</f>
        <v>30809</v>
      </c>
      <c r="AJ75" s="80">
        <f>+COEF_FCM!AS82</f>
        <v>591</v>
      </c>
      <c r="AK75" s="80">
        <f>+COEF_FCM!AO82</f>
        <v>35218</v>
      </c>
      <c r="AL75" s="80">
        <f>+COEF_FCM!AT82</f>
        <v>304.99799999999999</v>
      </c>
      <c r="AM75" s="80">
        <f>+COEF_FCM!AP82</f>
        <v>33350</v>
      </c>
      <c r="AN75" s="80">
        <f>+COEF_FCM!AU82</f>
        <v>270</v>
      </c>
      <c r="AO75" s="80">
        <f>+COEF_FCM!AQ82</f>
        <v>141235</v>
      </c>
      <c r="AP75" s="80">
        <f>+COEF_FCM!AV82</f>
        <v>1493.998</v>
      </c>
      <c r="AQ75" s="80">
        <f>+_CIERRE!O75+_CIERRE!P75</f>
        <v>2863420.213</v>
      </c>
      <c r="AR75" s="80">
        <f>+_CIERRE!Q75+_CIERRE!R75</f>
        <v>3104465.2829999998</v>
      </c>
      <c r="AS75" s="80">
        <f>+_CIERRE!S75+_CIERRE!T75</f>
        <v>3268942.0389999999</v>
      </c>
      <c r="AT75" s="80">
        <f>+_CIERRE!U75+_CIERRE!V75</f>
        <v>3702652.4040000001</v>
      </c>
      <c r="AU75" s="80">
        <f>+'CALC MEC ESTAB Y ESTIM M FINAL'!T80</f>
        <v>4009010</v>
      </c>
      <c r="AV75" s="560">
        <v>0</v>
      </c>
      <c r="AW75" s="551">
        <v>0</v>
      </c>
      <c r="AX75" s="551">
        <v>0</v>
      </c>
      <c r="AY75" s="551">
        <v>0</v>
      </c>
      <c r="AZ75" s="551">
        <v>366872.64199999999</v>
      </c>
      <c r="BA75" s="551">
        <v>375541.42300000001</v>
      </c>
    </row>
    <row r="76" spans="1:53" ht="3" customHeight="1" x14ac:dyDescent="0.2">
      <c r="A76" s="68" t="str">
        <f>IF(LEN(+'_DATA STT PAGOS_'!M81)=4,"0"&amp;+'_DATA STT PAGOS_'!M81,+'_DATA STT PAGOS_'!M81)</f>
        <v>05801</v>
      </c>
      <c r="B76" s="68" t="str">
        <f>IF(LEN(+'_DATA STT PAGOS_'!N81)=4,"0"&amp;+'_DATA STT PAGOS_'!N81,+'_DATA STT PAGOS_'!N81)</f>
        <v>05304</v>
      </c>
      <c r="C76" s="76" t="str">
        <f>+'_DATA STT PAGOS_'!O81</f>
        <v>QUILPUÉ</v>
      </c>
      <c r="D76" s="80">
        <f>+'CALC MEC ESTAB Y ESTIM M FINAL'!U81</f>
        <v>22854538</v>
      </c>
      <c r="E76" s="77">
        <f>+'CALC MEC ESTAB Y ESTIM M FINAL'!Q81</f>
        <v>8.6961211084000019E-3</v>
      </c>
      <c r="F76" s="77">
        <f>+'CALC MEC ESTAB Y ESTIM M FINAL'!R81</f>
        <v>-6.4410230009999999E-4</v>
      </c>
      <c r="G76" s="80">
        <f>+'_Flujo con Glosa 08'!CE81</f>
        <v>1034838</v>
      </c>
      <c r="H76" s="80">
        <f>+'_Flujo con Glosa 08'!CF81</f>
        <v>1034838</v>
      </c>
      <c r="I76" s="80">
        <f>+'_Flujo con Glosa 08'!CG81</f>
        <v>1007152</v>
      </c>
      <c r="J76" s="80">
        <f>+'_Flujo con Glosa 08'!CH81</f>
        <v>1034838</v>
      </c>
      <c r="K76" s="80">
        <f>+'_Flujo con Glosa 08'!CI81</f>
        <v>3143774</v>
      </c>
      <c r="L76" s="80">
        <f>+'_Flujo con Glosa 08'!CJ81</f>
        <v>1065278</v>
      </c>
      <c r="M76" s="80">
        <f>+'_Flujo con Glosa 08'!CK81</f>
        <v>1897100</v>
      </c>
      <c r="N76" s="80">
        <f>+'_Flujo con Glosa 08'!CL81</f>
        <v>1034838</v>
      </c>
      <c r="O76" s="80">
        <f>+'_Flujo con Glosa 08'!CM81</f>
        <v>1215263</v>
      </c>
      <c r="P76" s="80">
        <f>+'_Flujo con Glosa 08'!CN81</f>
        <v>2042538</v>
      </c>
      <c r="Q76" s="80">
        <f>+'_Flujo con Glosa 08'!CO81</f>
        <v>1034838</v>
      </c>
      <c r="R76" s="80">
        <f>+'_Flujo con Glosa 08'!CP81</f>
        <v>1927504</v>
      </c>
      <c r="S76" s="80">
        <f t="shared" si="2"/>
        <v>17472799</v>
      </c>
      <c r="T76" s="80">
        <v>0</v>
      </c>
      <c r="U76" s="80">
        <v>0</v>
      </c>
      <c r="V76" s="80">
        <v>0</v>
      </c>
      <c r="W76" s="80">
        <v>0</v>
      </c>
      <c r="X76" s="80">
        <v>0</v>
      </c>
      <c r="Y76" s="80">
        <v>0</v>
      </c>
      <c r="Z76" s="80">
        <v>0</v>
      </c>
      <c r="AA76" s="80">
        <v>0</v>
      </c>
      <c r="AB76" s="80">
        <v>0</v>
      </c>
      <c r="AC76" s="80">
        <v>0</v>
      </c>
      <c r="AD76" s="80">
        <v>0</v>
      </c>
      <c r="AE76" s="80">
        <v>0</v>
      </c>
      <c r="AF76" s="80">
        <f t="shared" si="3"/>
        <v>0</v>
      </c>
      <c r="AG76" s="80">
        <f>+COEF_FCM!AM83</f>
        <v>618837</v>
      </c>
      <c r="AH76" s="80">
        <f>+COEF_FCM!AR83</f>
        <v>112978</v>
      </c>
      <c r="AI76" s="80">
        <f>+COEF_FCM!AN83</f>
        <v>443887</v>
      </c>
      <c r="AJ76" s="80">
        <f>+COEF_FCM!AS83</f>
        <v>50189</v>
      </c>
      <c r="AK76" s="80">
        <f>+COEF_FCM!AO83</f>
        <v>507774</v>
      </c>
      <c r="AL76" s="80">
        <f>+COEF_FCM!AT83</f>
        <v>65692.554000000004</v>
      </c>
      <c r="AM76" s="80">
        <f>+COEF_FCM!AP83</f>
        <v>438981</v>
      </c>
      <c r="AN76" s="80">
        <f>+COEF_FCM!AU83</f>
        <v>47650</v>
      </c>
      <c r="AO76" s="80">
        <f>+COEF_FCM!AQ83</f>
        <v>2009479</v>
      </c>
      <c r="AP76" s="80">
        <f>+COEF_FCM!AV83</f>
        <v>276509.554</v>
      </c>
      <c r="AQ76" s="80">
        <f>+_CIERRE!O76+_CIERRE!P76</f>
        <v>15845931.445</v>
      </c>
      <c r="AR76" s="80">
        <f>+_CIERRE!Q76+_CIERRE!R76</f>
        <v>18911070.975000001</v>
      </c>
      <c r="AS76" s="80">
        <f>+_CIERRE!S76+_CIERRE!T76</f>
        <v>20762863.993000001</v>
      </c>
      <c r="AT76" s="80">
        <f>+_CIERRE!U76+_CIERRE!V76</f>
        <v>21329710.710000001</v>
      </c>
      <c r="AU76" s="80">
        <f>+'CALC MEC ESTAB Y ESTIM M FINAL'!T81</f>
        <v>22854538</v>
      </c>
      <c r="AV76" s="560">
        <v>0</v>
      </c>
      <c r="AW76" s="551">
        <v>0</v>
      </c>
      <c r="AX76" s="551">
        <v>0</v>
      </c>
      <c r="AY76" s="551">
        <v>0</v>
      </c>
      <c r="AZ76" s="551">
        <v>1555954.7860000001</v>
      </c>
      <c r="BA76" s="551">
        <v>1693079.767</v>
      </c>
    </row>
    <row r="77" spans="1:53" ht="3" customHeight="1" x14ac:dyDescent="0.2">
      <c r="A77" s="68" t="str">
        <f>IF(LEN(+'_DATA STT PAGOS_'!M82)=4,"0"&amp;+'_DATA STT PAGOS_'!M82,+'_DATA STT PAGOS_'!M82)</f>
        <v>05802</v>
      </c>
      <c r="B77" s="68" t="str">
        <f>IF(LEN(+'_DATA STT PAGOS_'!N82)=4,"0"&amp;+'_DATA STT PAGOS_'!N82,+'_DATA STT PAGOS_'!N82)</f>
        <v>05506</v>
      </c>
      <c r="C77" s="76" t="str">
        <f>+'_DATA STT PAGOS_'!O82</f>
        <v>LIMACHE</v>
      </c>
      <c r="D77" s="80">
        <f>+'CALC MEC ESTAB Y ESTIM M FINAL'!U82</f>
        <v>8317800</v>
      </c>
      <c r="E77" s="77">
        <f>+'CALC MEC ESTAB Y ESTIM M FINAL'!Q82</f>
        <v>3.0663077543999998E-3</v>
      </c>
      <c r="F77" s="77">
        <f>+'CALC MEC ESTAB Y ESTIM M FINAL'!R82</f>
        <v>-1.358139321E-4</v>
      </c>
      <c r="G77" s="80">
        <f>+'_Flujo con Glosa 08'!CE82</f>
        <v>387924</v>
      </c>
      <c r="H77" s="80">
        <f>+'_Flujo con Glosa 08'!CF82</f>
        <v>387924</v>
      </c>
      <c r="I77" s="80">
        <f>+'_Flujo con Glosa 08'!CG82</f>
        <v>366548</v>
      </c>
      <c r="J77" s="80">
        <f>+'_Flujo con Glosa 08'!CH82</f>
        <v>387924</v>
      </c>
      <c r="K77" s="80">
        <f>+'_Flujo con Glosa 08'!CI82</f>
        <v>1110262</v>
      </c>
      <c r="L77" s="80">
        <f>+'_Flujo con Glosa 08'!CJ82</f>
        <v>399003</v>
      </c>
      <c r="M77" s="80">
        <f>+'_Flujo con Glosa 08'!CK82</f>
        <v>679141</v>
      </c>
      <c r="N77" s="80">
        <f>+'_Flujo con Glosa 08'!CL82</f>
        <v>387924</v>
      </c>
      <c r="O77" s="80">
        <f>+'_Flujo con Glosa 08'!CM82</f>
        <v>442289</v>
      </c>
      <c r="P77" s="80">
        <f>+'_Flujo con Glosa 08'!CN82</f>
        <v>732072</v>
      </c>
      <c r="Q77" s="80">
        <f>+'_Flujo con Glosa 08'!CO82</f>
        <v>387924</v>
      </c>
      <c r="R77" s="80">
        <f>+'_Flujo con Glosa 08'!CP82</f>
        <v>690206</v>
      </c>
      <c r="S77" s="80">
        <f t="shared" si="2"/>
        <v>6359141</v>
      </c>
      <c r="T77" s="80">
        <v>0</v>
      </c>
      <c r="U77" s="80">
        <v>0</v>
      </c>
      <c r="V77" s="80">
        <v>0</v>
      </c>
      <c r="W77" s="80">
        <v>0</v>
      </c>
      <c r="X77" s="80">
        <v>0</v>
      </c>
      <c r="Y77" s="80">
        <v>0</v>
      </c>
      <c r="Z77" s="80">
        <v>0</v>
      </c>
      <c r="AA77" s="80">
        <v>0</v>
      </c>
      <c r="AB77" s="80">
        <v>0</v>
      </c>
      <c r="AC77" s="80">
        <v>0</v>
      </c>
      <c r="AD77" s="80">
        <v>0</v>
      </c>
      <c r="AE77" s="80">
        <v>0</v>
      </c>
      <c r="AF77" s="80">
        <f t="shared" si="3"/>
        <v>0</v>
      </c>
      <c r="AG77" s="80">
        <f>+COEF_FCM!AM84</f>
        <v>247881</v>
      </c>
      <c r="AH77" s="80">
        <f>+COEF_FCM!AR84</f>
        <v>16333</v>
      </c>
      <c r="AI77" s="80">
        <f>+COEF_FCM!AN84</f>
        <v>155642</v>
      </c>
      <c r="AJ77" s="80">
        <f>+COEF_FCM!AS84</f>
        <v>7967</v>
      </c>
      <c r="AK77" s="80">
        <f>+COEF_FCM!AO84</f>
        <v>176691</v>
      </c>
      <c r="AL77" s="80">
        <f>+COEF_FCM!AT84</f>
        <v>9813.1260000000002</v>
      </c>
      <c r="AM77" s="80">
        <f>+COEF_FCM!AP84</f>
        <v>133085</v>
      </c>
      <c r="AN77" s="80">
        <f>+COEF_FCM!AU84</f>
        <v>7601</v>
      </c>
      <c r="AO77" s="80">
        <f>+COEF_FCM!AQ84</f>
        <v>713299</v>
      </c>
      <c r="AP77" s="80">
        <f>+COEF_FCM!AV84</f>
        <v>41714.126000000004</v>
      </c>
      <c r="AQ77" s="80">
        <f>+_CIERRE!O77+_CIERRE!P77</f>
        <v>6275724.9740000004</v>
      </c>
      <c r="AR77" s="80">
        <f>+_CIERRE!Q77+_CIERRE!R77</f>
        <v>7189256.8219999997</v>
      </c>
      <c r="AS77" s="80">
        <f>+_CIERRE!S77+_CIERRE!T77</f>
        <v>7922170.7010000004</v>
      </c>
      <c r="AT77" s="80">
        <f>+_CIERRE!U77+_CIERRE!V77</f>
        <v>7996278.7750000004</v>
      </c>
      <c r="AU77" s="80">
        <f>+'CALC MEC ESTAB Y ESTIM M FINAL'!T82</f>
        <v>8317800</v>
      </c>
      <c r="AV77" s="560">
        <v>0</v>
      </c>
      <c r="AW77" s="551">
        <v>0</v>
      </c>
      <c r="AX77" s="551">
        <v>0</v>
      </c>
      <c r="AY77" s="551">
        <v>0</v>
      </c>
      <c r="AZ77" s="551">
        <v>621896.52300000004</v>
      </c>
      <c r="BA77" s="551">
        <v>660620.14199999999</v>
      </c>
    </row>
    <row r="78" spans="1:53" ht="3" customHeight="1" x14ac:dyDescent="0.2">
      <c r="A78" s="68" t="str">
        <f>IF(LEN(+'_DATA STT PAGOS_'!M83)=4,"0"&amp;+'_DATA STT PAGOS_'!M83,+'_DATA STT PAGOS_'!M83)</f>
        <v>05803</v>
      </c>
      <c r="B78" s="68" t="str">
        <f>IF(LEN(+'_DATA STT PAGOS_'!N83)=4,"0"&amp;+'_DATA STT PAGOS_'!N83,+'_DATA STT PAGOS_'!N83)</f>
        <v>05507</v>
      </c>
      <c r="C78" s="76" t="str">
        <f>+'_DATA STT PAGOS_'!O83</f>
        <v>OLMUÉ</v>
      </c>
      <c r="D78" s="80">
        <f>+'CALC MEC ESTAB Y ESTIM M FINAL'!U83</f>
        <v>3205999</v>
      </c>
      <c r="E78" s="77">
        <f>+'CALC MEC ESTAB Y ESTIM M FINAL'!Q83</f>
        <v>1.1035310834000001E-3</v>
      </c>
      <c r="F78" s="77">
        <f>+'CALC MEC ESTAB Y ESTIM M FINAL'!R83</f>
        <v>2.5993520199999999E-5</v>
      </c>
      <c r="G78" s="80">
        <f>+'_Flujo con Glosa 08'!CE83</f>
        <v>155533</v>
      </c>
      <c r="H78" s="80">
        <f>+'_Flujo con Glosa 08'!CF83</f>
        <v>155533</v>
      </c>
      <c r="I78" s="80">
        <f>+'_Flujo con Glosa 08'!CG83</f>
        <v>141282</v>
      </c>
      <c r="J78" s="80">
        <f>+'_Flujo con Glosa 08'!CH83</f>
        <v>155533</v>
      </c>
      <c r="K78" s="80">
        <f>+'_Flujo con Glosa 08'!CI83</f>
        <v>409900</v>
      </c>
      <c r="L78" s="80">
        <f>+'_Flujo con Glosa 08'!CJ83</f>
        <v>159803</v>
      </c>
      <c r="M78" s="80">
        <f>+'_Flujo con Glosa 08'!CK83</f>
        <v>261205</v>
      </c>
      <c r="N78" s="80">
        <f>+'_Flujo con Glosa 08'!CL83</f>
        <v>155533</v>
      </c>
      <c r="O78" s="80">
        <f>+'_Flujo con Glosa 08'!CM83</f>
        <v>170475</v>
      </c>
      <c r="P78" s="80">
        <f>+'_Flujo con Glosa 08'!CN83</f>
        <v>270706</v>
      </c>
      <c r="Q78" s="80">
        <f>+'_Flujo con Glosa 08'!CO83</f>
        <v>155533</v>
      </c>
      <c r="R78" s="80">
        <f>+'_Flujo con Glosa 08'!CP83</f>
        <v>260020</v>
      </c>
      <c r="S78" s="80">
        <f t="shared" si="2"/>
        <v>2451056</v>
      </c>
      <c r="T78" s="80">
        <v>0</v>
      </c>
      <c r="U78" s="80">
        <v>0</v>
      </c>
      <c r="V78" s="80">
        <v>0</v>
      </c>
      <c r="W78" s="80">
        <v>0</v>
      </c>
      <c r="X78" s="80">
        <v>0</v>
      </c>
      <c r="Y78" s="80">
        <v>0</v>
      </c>
      <c r="Z78" s="80">
        <v>0</v>
      </c>
      <c r="AA78" s="80">
        <v>0</v>
      </c>
      <c r="AB78" s="80">
        <v>0</v>
      </c>
      <c r="AC78" s="80">
        <v>0</v>
      </c>
      <c r="AD78" s="80">
        <v>0</v>
      </c>
      <c r="AE78" s="80">
        <v>0</v>
      </c>
      <c r="AF78" s="80">
        <f t="shared" si="3"/>
        <v>0</v>
      </c>
      <c r="AG78" s="80">
        <f>+COEF_FCM!AM85</f>
        <v>190775</v>
      </c>
      <c r="AH78" s="80">
        <f>+COEF_FCM!AR85</f>
        <v>14806</v>
      </c>
      <c r="AI78" s="80">
        <f>+COEF_FCM!AN85</f>
        <v>124086</v>
      </c>
      <c r="AJ78" s="80">
        <f>+COEF_FCM!AS85</f>
        <v>6991</v>
      </c>
      <c r="AK78" s="80">
        <f>+COEF_FCM!AO85</f>
        <v>160469</v>
      </c>
      <c r="AL78" s="80">
        <f>+COEF_FCM!AT85</f>
        <v>9939.3989999999994</v>
      </c>
      <c r="AM78" s="80">
        <f>+COEF_FCM!AP85</f>
        <v>123040</v>
      </c>
      <c r="AN78" s="80">
        <f>+COEF_FCM!AU85</f>
        <v>6906</v>
      </c>
      <c r="AO78" s="80">
        <f>+COEF_FCM!AQ85</f>
        <v>598370</v>
      </c>
      <c r="AP78" s="80">
        <f>+COEF_FCM!AV85</f>
        <v>38642.398999999998</v>
      </c>
      <c r="AQ78" s="80">
        <f>+_CIERRE!O78+_CIERRE!P78</f>
        <v>2833346.0669999998</v>
      </c>
      <c r="AR78" s="80">
        <f>+_CIERRE!Q78+_CIERRE!R78</f>
        <v>3071860.1680000001</v>
      </c>
      <c r="AS78" s="80">
        <f>+_CIERRE!S78+_CIERRE!T78</f>
        <v>3176285.8059999999</v>
      </c>
      <c r="AT78" s="80">
        <f>+_CIERRE!U78+_CIERRE!V78</f>
        <v>3205999.0469999998</v>
      </c>
      <c r="AU78" s="80">
        <f>+'CALC MEC ESTAB Y ESTIM M FINAL'!T83</f>
        <v>3205999</v>
      </c>
      <c r="AV78" s="560">
        <v>0</v>
      </c>
      <c r="AW78" s="551">
        <v>0</v>
      </c>
      <c r="AX78" s="551">
        <v>0</v>
      </c>
      <c r="AY78" s="551">
        <v>0</v>
      </c>
      <c r="AZ78" s="551">
        <v>349372.05699999997</v>
      </c>
      <c r="BA78" s="551">
        <v>359717.49</v>
      </c>
    </row>
    <row r="79" spans="1:53" ht="3" customHeight="1" x14ac:dyDescent="0.2">
      <c r="A79" s="68" t="str">
        <f>IF(LEN(+'_DATA STT PAGOS_'!M84)=4,"0"&amp;+'_DATA STT PAGOS_'!M84,+'_DATA STT PAGOS_'!M84)</f>
        <v>05804</v>
      </c>
      <c r="B79" s="68" t="str">
        <f>IF(LEN(+'_DATA STT PAGOS_'!N84)=4,"0"&amp;+'_DATA STT PAGOS_'!N84,+'_DATA STT PAGOS_'!N84)</f>
        <v>05303</v>
      </c>
      <c r="C79" s="76" t="str">
        <f>+'_DATA STT PAGOS_'!O84</f>
        <v>VILLA ALEMANA</v>
      </c>
      <c r="D79" s="80">
        <f>+'CALC MEC ESTAB Y ESTIM M FINAL'!U84</f>
        <v>20173942</v>
      </c>
      <c r="E79" s="77">
        <f>+'CALC MEC ESTAB Y ESTIM M FINAL'!Q84</f>
        <v>7.2492652494000002E-3</v>
      </c>
      <c r="F79" s="77">
        <f>+'CALC MEC ESTAB Y ESTIM M FINAL'!R84</f>
        <v>-1.4166308190000001E-4</v>
      </c>
      <c r="G79" s="80">
        <f>+'_Flujo con Glosa 08'!CE84</f>
        <v>962430</v>
      </c>
      <c r="H79" s="80">
        <f>+'_Flujo con Glosa 08'!CF84</f>
        <v>962430</v>
      </c>
      <c r="I79" s="80">
        <f>+'_Flujo con Glosa 08'!CG84</f>
        <v>889024</v>
      </c>
      <c r="J79" s="80">
        <f>+'_Flujo con Glosa 08'!CH84</f>
        <v>962430</v>
      </c>
      <c r="K79" s="80">
        <f>+'_Flujo con Glosa 08'!CI84</f>
        <v>2628140</v>
      </c>
      <c r="L79" s="80">
        <f>+'_Flujo con Glosa 08'!CJ84</f>
        <v>989300</v>
      </c>
      <c r="M79" s="80">
        <f>+'_Flujo con Glosa 08'!CK84</f>
        <v>1625623</v>
      </c>
      <c r="N79" s="80">
        <f>+'_Flujo con Glosa 08'!CL84</f>
        <v>962430</v>
      </c>
      <c r="O79" s="80">
        <f>+'_Flujo con Glosa 08'!CM84</f>
        <v>1072725</v>
      </c>
      <c r="P79" s="80">
        <f>+'_Flujo con Glosa 08'!CN84</f>
        <v>1754002</v>
      </c>
      <c r="Q79" s="80">
        <f>+'_Flujo con Glosa 08'!CO84</f>
        <v>962430</v>
      </c>
      <c r="R79" s="80">
        <f>+'_Flujo con Glosa 08'!CP84</f>
        <v>1652460</v>
      </c>
      <c r="S79" s="80">
        <f t="shared" si="2"/>
        <v>15423424</v>
      </c>
      <c r="T79" s="80">
        <v>0</v>
      </c>
      <c r="U79" s="80">
        <v>0</v>
      </c>
      <c r="V79" s="80">
        <v>0</v>
      </c>
      <c r="W79" s="80">
        <v>0</v>
      </c>
      <c r="X79" s="80">
        <v>0</v>
      </c>
      <c r="Y79" s="80">
        <v>0</v>
      </c>
      <c r="Z79" s="80">
        <v>0</v>
      </c>
      <c r="AA79" s="80">
        <v>0</v>
      </c>
      <c r="AB79" s="80">
        <v>0</v>
      </c>
      <c r="AC79" s="80">
        <v>0</v>
      </c>
      <c r="AD79" s="80">
        <v>0</v>
      </c>
      <c r="AE79" s="80">
        <v>0</v>
      </c>
      <c r="AF79" s="80">
        <f t="shared" si="3"/>
        <v>0</v>
      </c>
      <c r="AG79" s="80">
        <f>+COEF_FCM!AM86</f>
        <v>317209</v>
      </c>
      <c r="AH79" s="80">
        <f>+COEF_FCM!AR86</f>
        <v>90828</v>
      </c>
      <c r="AI79" s="80">
        <f>+COEF_FCM!AN86</f>
        <v>203972</v>
      </c>
      <c r="AJ79" s="80">
        <f>+COEF_FCM!AS86</f>
        <v>35973</v>
      </c>
      <c r="AK79" s="80">
        <f>+COEF_FCM!AO86</f>
        <v>253608</v>
      </c>
      <c r="AL79" s="80">
        <f>+COEF_FCM!AT86</f>
        <v>56251.8</v>
      </c>
      <c r="AM79" s="80">
        <f>+COEF_FCM!AP86</f>
        <v>203254</v>
      </c>
      <c r="AN79" s="80">
        <f>+COEF_FCM!AU86</f>
        <v>37737</v>
      </c>
      <c r="AO79" s="80">
        <f>+COEF_FCM!AQ86</f>
        <v>978043</v>
      </c>
      <c r="AP79" s="80">
        <f>+COEF_FCM!AV86</f>
        <v>220789.8</v>
      </c>
      <c r="AQ79" s="80">
        <f>+_CIERRE!O79+_CIERRE!P79</f>
        <v>15540322.513</v>
      </c>
      <c r="AR79" s="80">
        <f>+_CIERRE!Q79+_CIERRE!R79</f>
        <v>18503249.820999999</v>
      </c>
      <c r="AS79" s="80">
        <f>+_CIERRE!S79+_CIERRE!T79</f>
        <v>19654713.499000002</v>
      </c>
      <c r="AT79" s="80">
        <f>+_CIERRE!U79+_CIERRE!V79</f>
        <v>19838573.588</v>
      </c>
      <c r="AU79" s="80">
        <f>+'CALC MEC ESTAB Y ESTIM M FINAL'!T84</f>
        <v>20173942</v>
      </c>
      <c r="AV79" s="560">
        <v>0</v>
      </c>
      <c r="AW79" s="551">
        <v>0</v>
      </c>
      <c r="AX79" s="551">
        <v>0</v>
      </c>
      <c r="AY79" s="551">
        <v>0</v>
      </c>
      <c r="AZ79" s="551">
        <v>1588492.058</v>
      </c>
      <c r="BA79" s="551">
        <v>1724278.8389999999</v>
      </c>
    </row>
    <row r="80" spans="1:53" ht="3" customHeight="1" x14ac:dyDescent="0.2">
      <c r="A80" s="68" t="str">
        <f>IF(LEN(+'_DATA STT PAGOS_'!M85)=4,"0"&amp;+'_DATA STT PAGOS_'!M85,+'_DATA STT PAGOS_'!M85)</f>
        <v>06101</v>
      </c>
      <c r="B80" s="68" t="str">
        <f>IF(LEN(+'_DATA STT PAGOS_'!N85)=4,"0"&amp;+'_DATA STT PAGOS_'!N85,+'_DATA STT PAGOS_'!N85)</f>
        <v>06101</v>
      </c>
      <c r="C80" s="76" t="str">
        <f>+'_DATA STT PAGOS_'!O85</f>
        <v>RANCAGUA</v>
      </c>
      <c r="D80" s="80">
        <f>+'CALC MEC ESTAB Y ESTIM M FINAL'!U85</f>
        <v>29661361</v>
      </c>
      <c r="E80" s="77">
        <f>+'CALC MEC ESTAB Y ESTIM M FINAL'!Q85</f>
        <v>1.13868389505E-2</v>
      </c>
      <c r="F80" s="77">
        <f>+'CALC MEC ESTAB Y ESTIM M FINAL'!R85</f>
        <v>-9.3666759789999999E-4</v>
      </c>
      <c r="G80" s="80">
        <f>+'_Flujo con Glosa 08'!CE85</f>
        <v>1330884</v>
      </c>
      <c r="H80" s="80">
        <f>+'_Flujo con Glosa 08'!CF85</f>
        <v>1330884</v>
      </c>
      <c r="I80" s="80">
        <f>+'_Flujo con Glosa 08'!CG85</f>
        <v>1307115</v>
      </c>
      <c r="J80" s="80">
        <f>+'_Flujo con Glosa 08'!CH85</f>
        <v>1330884</v>
      </c>
      <c r="K80" s="80">
        <f>+'_Flujo con Glosa 08'!CI85</f>
        <v>4116580</v>
      </c>
      <c r="L80" s="80">
        <f>+'_Flujo con Glosa 08'!CJ85</f>
        <v>1370390</v>
      </c>
      <c r="M80" s="80">
        <f>+'_Flujo con Glosa 08'!CK85</f>
        <v>2474280</v>
      </c>
      <c r="N80" s="80">
        <f>+'_Flujo con Glosa 08'!CL85</f>
        <v>1330884</v>
      </c>
      <c r="O80" s="80">
        <f>+'_Flujo con Glosa 08'!CM85</f>
        <v>1577208</v>
      </c>
      <c r="P80" s="80">
        <f>+'_Flujo con Glosa 08'!CN85</f>
        <v>2663035</v>
      </c>
      <c r="Q80" s="80">
        <f>+'_Flujo con Glosa 08'!CO85</f>
        <v>1330884</v>
      </c>
      <c r="R80" s="80">
        <f>+'_Flujo con Glosa 08'!CP85</f>
        <v>2513740</v>
      </c>
      <c r="S80" s="80">
        <f t="shared" si="2"/>
        <v>22676768</v>
      </c>
      <c r="T80" s="80">
        <v>0</v>
      </c>
      <c r="U80" s="80">
        <v>0</v>
      </c>
      <c r="V80" s="80">
        <v>0</v>
      </c>
      <c r="W80" s="80">
        <v>0</v>
      </c>
      <c r="X80" s="80">
        <v>0</v>
      </c>
      <c r="Y80" s="80">
        <v>0</v>
      </c>
      <c r="Z80" s="80">
        <v>0</v>
      </c>
      <c r="AA80" s="80">
        <v>0</v>
      </c>
      <c r="AB80" s="80">
        <v>0</v>
      </c>
      <c r="AC80" s="80">
        <v>0</v>
      </c>
      <c r="AD80" s="80">
        <v>0</v>
      </c>
      <c r="AE80" s="80">
        <v>0</v>
      </c>
      <c r="AF80" s="80">
        <f t="shared" si="3"/>
        <v>0</v>
      </c>
      <c r="AG80" s="80">
        <f>+COEF_FCM!AM87</f>
        <v>1421995</v>
      </c>
      <c r="AH80" s="80">
        <f>+COEF_FCM!AR87</f>
        <v>122933</v>
      </c>
      <c r="AI80" s="80">
        <f>+COEF_FCM!AN87</f>
        <v>1120368</v>
      </c>
      <c r="AJ80" s="80">
        <f>+COEF_FCM!AS87</f>
        <v>57370</v>
      </c>
      <c r="AK80" s="80">
        <f>+COEF_FCM!AO87</f>
        <v>1237778</v>
      </c>
      <c r="AL80" s="80">
        <f>+COEF_FCM!AT87</f>
        <v>80433.432000000001</v>
      </c>
      <c r="AM80" s="80">
        <f>+COEF_FCM!AP87</f>
        <v>1061889</v>
      </c>
      <c r="AN80" s="80">
        <f>+COEF_FCM!AU87</f>
        <v>54861</v>
      </c>
      <c r="AO80" s="80">
        <f>+COEF_FCM!AQ87</f>
        <v>4842030</v>
      </c>
      <c r="AP80" s="80">
        <f>+COEF_FCM!AV87</f>
        <v>315597.43200000003</v>
      </c>
      <c r="AQ80" s="80">
        <f>+_CIERRE!O80+_CIERRE!P80</f>
        <v>18409318.809999999</v>
      </c>
      <c r="AR80" s="80">
        <f>+_CIERRE!Q80+_CIERRE!R80</f>
        <v>22148576.050000001</v>
      </c>
      <c r="AS80" s="80">
        <f>+_CIERRE!S80+_CIERRE!T80</f>
        <v>25943786.555</v>
      </c>
      <c r="AT80" s="80">
        <f>+_CIERRE!U80+_CIERRE!V80</f>
        <v>27443923.140000001</v>
      </c>
      <c r="AU80" s="80">
        <f>+'CALC MEC ESTAB Y ESTIM M FINAL'!T85</f>
        <v>29661361</v>
      </c>
      <c r="AV80" s="560">
        <v>0</v>
      </c>
      <c r="AW80" s="551">
        <v>2988757.736</v>
      </c>
      <c r="AX80" s="551">
        <v>2618604.69</v>
      </c>
      <c r="AY80" s="551">
        <v>0</v>
      </c>
      <c r="AZ80" s="551">
        <v>0</v>
      </c>
      <c r="BA80" s="551">
        <v>0</v>
      </c>
    </row>
    <row r="81" spans="1:53" ht="3" customHeight="1" x14ac:dyDescent="0.2">
      <c r="A81" s="68" t="str">
        <f>IF(LEN(+'_DATA STT PAGOS_'!M86)=4,"0"&amp;+'_DATA STT PAGOS_'!M86,+'_DATA STT PAGOS_'!M86)</f>
        <v>06102</v>
      </c>
      <c r="B81" s="68" t="str">
        <f>IF(LEN(+'_DATA STT PAGOS_'!N86)=4,"0"&amp;+'_DATA STT PAGOS_'!N86,+'_DATA STT PAGOS_'!N86)</f>
        <v>06107</v>
      </c>
      <c r="C81" s="76" t="str">
        <f>+'_DATA STT PAGOS_'!O86</f>
        <v>CODEGUA</v>
      </c>
      <c r="D81" s="80">
        <f>+'CALC MEC ESTAB Y ESTIM M FINAL'!U86</f>
        <v>2863599</v>
      </c>
      <c r="E81" s="77">
        <f>+'CALC MEC ESTAB Y ESTIM M FINAL'!Q86</f>
        <v>1.0002736970000001E-3</v>
      </c>
      <c r="F81" s="77">
        <f>+'CALC MEC ESTAB Y ESTIM M FINAL'!R86</f>
        <v>8.6180010000000006E-6</v>
      </c>
      <c r="G81" s="80">
        <f>+'_Flujo con Glosa 08'!CE86</f>
        <v>138922</v>
      </c>
      <c r="H81" s="80">
        <f>+'_Flujo con Glosa 08'!CF86</f>
        <v>138922</v>
      </c>
      <c r="I81" s="80">
        <f>+'_Flujo con Glosa 08'!CG86</f>
        <v>126193</v>
      </c>
      <c r="J81" s="80">
        <f>+'_Flujo con Glosa 08'!CH86</f>
        <v>138922</v>
      </c>
      <c r="K81" s="80">
        <f>+'_Flujo con Glosa 08'!CI86</f>
        <v>366124</v>
      </c>
      <c r="L81" s="80">
        <f>+'_Flujo con Glosa 08'!CJ86</f>
        <v>142736</v>
      </c>
      <c r="M81" s="80">
        <f>+'_Flujo con Glosa 08'!CK86</f>
        <v>233309</v>
      </c>
      <c r="N81" s="80">
        <f>+'_Flujo con Glosa 08'!CL86</f>
        <v>138922</v>
      </c>
      <c r="O81" s="80">
        <f>+'_Flujo con Glosa 08'!CM86</f>
        <v>152269</v>
      </c>
      <c r="P81" s="80">
        <f>+'_Flujo con Glosa 08'!CN86</f>
        <v>241795</v>
      </c>
      <c r="Q81" s="80">
        <f>+'_Flujo con Glosa 08'!CO86</f>
        <v>138922</v>
      </c>
      <c r="R81" s="80">
        <f>+'_Flujo con Glosa 08'!CP86</f>
        <v>232250</v>
      </c>
      <c r="S81" s="80">
        <f t="shared" si="2"/>
        <v>2189286</v>
      </c>
      <c r="T81" s="80">
        <v>0</v>
      </c>
      <c r="U81" s="80">
        <v>0</v>
      </c>
      <c r="V81" s="80">
        <v>0</v>
      </c>
      <c r="W81" s="80">
        <v>0</v>
      </c>
      <c r="X81" s="80">
        <v>0</v>
      </c>
      <c r="Y81" s="80">
        <v>0</v>
      </c>
      <c r="Z81" s="80">
        <v>0</v>
      </c>
      <c r="AA81" s="80">
        <v>0</v>
      </c>
      <c r="AB81" s="80">
        <v>0</v>
      </c>
      <c r="AC81" s="80">
        <v>0</v>
      </c>
      <c r="AD81" s="80">
        <v>0</v>
      </c>
      <c r="AE81" s="80">
        <v>0</v>
      </c>
      <c r="AF81" s="80">
        <f t="shared" si="3"/>
        <v>0</v>
      </c>
      <c r="AG81" s="80">
        <f>+COEF_FCM!AM88</f>
        <v>82756</v>
      </c>
      <c r="AH81" s="80">
        <f>+COEF_FCM!AR88</f>
        <v>834</v>
      </c>
      <c r="AI81" s="80">
        <f>+COEF_FCM!AN88</f>
        <v>53020</v>
      </c>
      <c r="AJ81" s="80">
        <f>+COEF_FCM!AS88</f>
        <v>526</v>
      </c>
      <c r="AK81" s="80">
        <f>+COEF_FCM!AO88</f>
        <v>59905</v>
      </c>
      <c r="AL81" s="80">
        <f>+COEF_FCM!AT88</f>
        <v>427.79700000000003</v>
      </c>
      <c r="AM81" s="80">
        <f>+COEF_FCM!AP88</f>
        <v>63935</v>
      </c>
      <c r="AN81" s="80">
        <f>+COEF_FCM!AU88</f>
        <v>382</v>
      </c>
      <c r="AO81" s="80">
        <f>+COEF_FCM!AQ88</f>
        <v>259616</v>
      </c>
      <c r="AP81" s="80">
        <f>+COEF_FCM!AV88</f>
        <v>2169.797</v>
      </c>
      <c r="AQ81" s="80">
        <f>+_CIERRE!O81+_CIERRE!P81</f>
        <v>2232196.389</v>
      </c>
      <c r="AR81" s="80">
        <f>+_CIERRE!Q81+_CIERRE!R81</f>
        <v>2623673.497</v>
      </c>
      <c r="AS81" s="80">
        <f>+_CIERRE!S81+_CIERRE!T81</f>
        <v>2837060.2549999999</v>
      </c>
      <c r="AT81" s="80">
        <f>+_CIERRE!U81+_CIERRE!V81</f>
        <v>2863598.8829999999</v>
      </c>
      <c r="AU81" s="80">
        <f>+'CALC MEC ESTAB Y ESTIM M FINAL'!T86</f>
        <v>2863599</v>
      </c>
      <c r="AV81" s="560">
        <v>0</v>
      </c>
      <c r="AW81" s="551">
        <v>0</v>
      </c>
      <c r="AX81" s="551">
        <v>0</v>
      </c>
      <c r="AY81" s="551">
        <v>0</v>
      </c>
      <c r="AZ81" s="551">
        <v>343599.65399999998</v>
      </c>
      <c r="BA81" s="551">
        <v>345945.21899999998</v>
      </c>
    </row>
    <row r="82" spans="1:53" ht="3" customHeight="1" x14ac:dyDescent="0.2">
      <c r="A82" s="68" t="str">
        <f>IF(LEN(+'_DATA STT PAGOS_'!M87)=4,"0"&amp;+'_DATA STT PAGOS_'!M87,+'_DATA STT PAGOS_'!M87)</f>
        <v>06103</v>
      </c>
      <c r="B82" s="68" t="str">
        <f>IF(LEN(+'_DATA STT PAGOS_'!N87)=4,"0"&amp;+'_DATA STT PAGOS_'!N87,+'_DATA STT PAGOS_'!N87)</f>
        <v>06116</v>
      </c>
      <c r="C82" s="76" t="str">
        <f>+'_DATA STT PAGOS_'!O87</f>
        <v>COINCO</v>
      </c>
      <c r="D82" s="80">
        <f>+'CALC MEC ESTAB Y ESTIM M FINAL'!U87</f>
        <v>3069660</v>
      </c>
      <c r="E82" s="77">
        <f>+'CALC MEC ESTAB Y ESTIM M FINAL'!Q87</f>
        <v>1.1514581380999999E-3</v>
      </c>
      <c r="F82" s="77">
        <f>+'CALC MEC ESTAB Y ESTIM M FINAL'!R87</f>
        <v>-6.9967838300000003E-5</v>
      </c>
      <c r="G82" s="80">
        <f>+'_Flujo con Glosa 08'!CE87</f>
        <v>140880</v>
      </c>
      <c r="H82" s="80">
        <f>+'_Flujo con Glosa 08'!CF87</f>
        <v>140880</v>
      </c>
      <c r="I82" s="80">
        <f>+'_Flujo con Glosa 08'!CG87</f>
        <v>135274</v>
      </c>
      <c r="J82" s="80">
        <f>+'_Flujo con Glosa 08'!CH87</f>
        <v>140880</v>
      </c>
      <c r="K82" s="80">
        <f>+'_Flujo con Glosa 08'!CI87</f>
        <v>416585</v>
      </c>
      <c r="L82" s="80">
        <f>+'_Flujo con Glosa 08'!CJ87</f>
        <v>144969</v>
      </c>
      <c r="M82" s="80">
        <f>+'_Flujo con Glosa 08'!CK87</f>
        <v>252917</v>
      </c>
      <c r="N82" s="80">
        <f>+'_Flujo con Glosa 08'!CL87</f>
        <v>140880</v>
      </c>
      <c r="O82" s="80">
        <f>+'_Flujo con Glosa 08'!CM87</f>
        <v>163225</v>
      </c>
      <c r="P82" s="80">
        <f>+'_Flujo con Glosa 08'!CN87</f>
        <v>272452</v>
      </c>
      <c r="Q82" s="80">
        <f>+'_Flujo con Glosa 08'!CO87</f>
        <v>140880</v>
      </c>
      <c r="R82" s="80">
        <f>+'_Flujo con Glosa 08'!CP87</f>
        <v>257000</v>
      </c>
      <c r="S82" s="80">
        <f t="shared" si="2"/>
        <v>2346822</v>
      </c>
      <c r="T82" s="80">
        <v>0</v>
      </c>
      <c r="U82" s="80">
        <v>0</v>
      </c>
      <c r="V82" s="80">
        <v>0</v>
      </c>
      <c r="W82" s="80">
        <v>0</v>
      </c>
      <c r="X82" s="80">
        <v>0</v>
      </c>
      <c r="Y82" s="80">
        <v>0</v>
      </c>
      <c r="Z82" s="80">
        <v>0</v>
      </c>
      <c r="AA82" s="80">
        <v>0</v>
      </c>
      <c r="AB82" s="80">
        <v>0</v>
      </c>
      <c r="AC82" s="80">
        <v>0</v>
      </c>
      <c r="AD82" s="80">
        <v>0</v>
      </c>
      <c r="AE82" s="80">
        <v>0</v>
      </c>
      <c r="AF82" s="80">
        <f t="shared" si="3"/>
        <v>0</v>
      </c>
      <c r="AG82" s="80">
        <f>+COEF_FCM!AM89</f>
        <v>21315</v>
      </c>
      <c r="AH82" s="80">
        <f>+COEF_FCM!AR89</f>
        <v>504</v>
      </c>
      <c r="AI82" s="80">
        <f>+COEF_FCM!AN89</f>
        <v>8829</v>
      </c>
      <c r="AJ82" s="80">
        <f>+COEF_FCM!AS89</f>
        <v>165</v>
      </c>
      <c r="AK82" s="80">
        <f>+COEF_FCM!AO89</f>
        <v>14156</v>
      </c>
      <c r="AL82" s="80">
        <f>+COEF_FCM!AT89</f>
        <v>257.95</v>
      </c>
      <c r="AM82" s="80">
        <f>+COEF_FCM!AP89</f>
        <v>12324</v>
      </c>
      <c r="AN82" s="80">
        <f>+COEF_FCM!AU89</f>
        <v>178</v>
      </c>
      <c r="AO82" s="80">
        <f>+COEF_FCM!AQ89</f>
        <v>56624</v>
      </c>
      <c r="AP82" s="80">
        <f>+COEF_FCM!AV89</f>
        <v>1104.95</v>
      </c>
      <c r="AQ82" s="80">
        <f>+_CIERRE!O82+_CIERRE!P82</f>
        <v>2071290.4029999999</v>
      </c>
      <c r="AR82" s="80">
        <f>+_CIERRE!Q82+_CIERRE!R82</f>
        <v>2420872.1009999998</v>
      </c>
      <c r="AS82" s="80">
        <f>+_CIERRE!S82+_CIERRE!T82</f>
        <v>2610967.3939999999</v>
      </c>
      <c r="AT82" s="80">
        <f>+_CIERRE!U82+_CIERRE!V82</f>
        <v>2904019.5079999999</v>
      </c>
      <c r="AU82" s="80">
        <f>+'CALC MEC ESTAB Y ESTIM M FINAL'!T87</f>
        <v>3069660</v>
      </c>
      <c r="AV82" s="560">
        <v>0</v>
      </c>
      <c r="AW82" s="551">
        <v>0</v>
      </c>
      <c r="AX82" s="551">
        <v>0</v>
      </c>
      <c r="AY82" s="551">
        <v>0</v>
      </c>
      <c r="AZ82" s="551">
        <v>332383.11900000001</v>
      </c>
      <c r="BA82" s="551">
        <v>341934.978</v>
      </c>
    </row>
    <row r="83" spans="1:53" ht="3" customHeight="1" x14ac:dyDescent="0.2">
      <c r="A83" s="68" t="str">
        <f>IF(LEN(+'_DATA STT PAGOS_'!M88)=4,"0"&amp;+'_DATA STT PAGOS_'!M88,+'_DATA STT PAGOS_'!M88)</f>
        <v>06104</v>
      </c>
      <c r="B83" s="68" t="str">
        <f>IF(LEN(+'_DATA STT PAGOS_'!N88)=4,"0"&amp;+'_DATA STT PAGOS_'!N88,+'_DATA STT PAGOS_'!N88)</f>
        <v>06106</v>
      </c>
      <c r="C83" s="76" t="str">
        <f>+'_DATA STT PAGOS_'!O88</f>
        <v>COLTAUCO</v>
      </c>
      <c r="D83" s="80">
        <f>+'CALC MEC ESTAB Y ESTIM M FINAL'!U88</f>
        <v>5730655</v>
      </c>
      <c r="E83" s="77">
        <f>+'CALC MEC ESTAB Y ESTIM M FINAL'!Q88</f>
        <v>2.1624887142000001E-3</v>
      </c>
      <c r="F83" s="77">
        <f>+'CALC MEC ESTAB Y ESTIM M FINAL'!R88</f>
        <v>-1.43487374E-4</v>
      </c>
      <c r="G83" s="80">
        <f>+'_Flujo con Glosa 08'!CE88</f>
        <v>261400</v>
      </c>
      <c r="H83" s="80">
        <f>+'_Flujo con Glosa 08'!CF88</f>
        <v>261400</v>
      </c>
      <c r="I83" s="80">
        <f>+'_Flujo con Glosa 08'!CG88</f>
        <v>252538</v>
      </c>
      <c r="J83" s="80">
        <f>+'_Flujo con Glosa 08'!CH88</f>
        <v>261400</v>
      </c>
      <c r="K83" s="80">
        <f>+'_Flujo con Glosa 08'!CI88</f>
        <v>782526</v>
      </c>
      <c r="L83" s="80">
        <f>+'_Flujo con Glosa 08'!CJ88</f>
        <v>269033</v>
      </c>
      <c r="M83" s="80">
        <f>+'_Flujo con Glosa 08'!CK88</f>
        <v>473768</v>
      </c>
      <c r="N83" s="80">
        <f>+'_Flujo con Glosa 08'!CL88</f>
        <v>261400</v>
      </c>
      <c r="O83" s="80">
        <f>+'_Flujo con Glosa 08'!CM88</f>
        <v>304720</v>
      </c>
      <c r="P83" s="80">
        <f>+'_Flujo con Glosa 08'!CN88</f>
        <v>510236</v>
      </c>
      <c r="Q83" s="80">
        <f>+'_Flujo con Glosa 08'!CO88</f>
        <v>261400</v>
      </c>
      <c r="R83" s="80">
        <f>+'_Flujo con Glosa 08'!CP88</f>
        <v>481392</v>
      </c>
      <c r="S83" s="80">
        <f t="shared" si="2"/>
        <v>4381213</v>
      </c>
      <c r="T83" s="80">
        <v>0</v>
      </c>
      <c r="U83" s="80">
        <v>0</v>
      </c>
      <c r="V83" s="80">
        <v>0</v>
      </c>
      <c r="W83" s="80">
        <v>0</v>
      </c>
      <c r="X83" s="80">
        <v>0</v>
      </c>
      <c r="Y83" s="80">
        <v>0</v>
      </c>
      <c r="Z83" s="80">
        <v>0</v>
      </c>
      <c r="AA83" s="80">
        <v>0</v>
      </c>
      <c r="AB83" s="80">
        <v>0</v>
      </c>
      <c r="AC83" s="80">
        <v>0</v>
      </c>
      <c r="AD83" s="80">
        <v>0</v>
      </c>
      <c r="AE83" s="80">
        <v>0</v>
      </c>
      <c r="AF83" s="80">
        <f t="shared" si="3"/>
        <v>0</v>
      </c>
      <c r="AG83" s="80">
        <f>+COEF_FCM!AM90</f>
        <v>38532</v>
      </c>
      <c r="AH83" s="80">
        <f>+COEF_FCM!AR90</f>
        <v>753</v>
      </c>
      <c r="AI83" s="80">
        <f>+COEF_FCM!AN90</f>
        <v>24338</v>
      </c>
      <c r="AJ83" s="80">
        <f>+COEF_FCM!AS90</f>
        <v>363</v>
      </c>
      <c r="AK83" s="80">
        <f>+COEF_FCM!AO90</f>
        <v>28251</v>
      </c>
      <c r="AL83" s="80">
        <f>+COEF_FCM!AT90</f>
        <v>450.29500000000002</v>
      </c>
      <c r="AM83" s="80">
        <f>+COEF_FCM!AP90</f>
        <v>23337</v>
      </c>
      <c r="AN83" s="80">
        <f>+COEF_FCM!AU90</f>
        <v>528</v>
      </c>
      <c r="AO83" s="80">
        <f>+COEF_FCM!AQ90</f>
        <v>114458</v>
      </c>
      <c r="AP83" s="80">
        <f>+COEF_FCM!AV90</f>
        <v>2094.2950000000001</v>
      </c>
      <c r="AQ83" s="80">
        <f>+_CIERRE!O83+_CIERRE!P83</f>
        <v>3820836.1230000001</v>
      </c>
      <c r="AR83" s="80">
        <f>+_CIERRE!Q83+_CIERRE!R83</f>
        <v>4569159.1710000001</v>
      </c>
      <c r="AS83" s="80">
        <f>+_CIERRE!S83+_CIERRE!T83</f>
        <v>4925661.6310000001</v>
      </c>
      <c r="AT83" s="80">
        <f>+_CIERRE!U83+_CIERRE!V83</f>
        <v>5390967.7390000001</v>
      </c>
      <c r="AU83" s="80">
        <f>+'CALC MEC ESTAB Y ESTIM M FINAL'!T88</f>
        <v>5730655</v>
      </c>
      <c r="AV83" s="560">
        <v>0</v>
      </c>
      <c r="AW83" s="551">
        <v>916541.91700000002</v>
      </c>
      <c r="AX83" s="551">
        <v>925841.35699999996</v>
      </c>
      <c r="AY83" s="551">
        <v>0</v>
      </c>
      <c r="AZ83" s="551">
        <v>561755.58299999998</v>
      </c>
      <c r="BA83" s="551">
        <v>555272.68400000001</v>
      </c>
    </row>
    <row r="84" spans="1:53" ht="3" customHeight="1" x14ac:dyDescent="0.2">
      <c r="A84" s="68" t="str">
        <f>IF(LEN(+'_DATA STT PAGOS_'!M89)=4,"0"&amp;+'_DATA STT PAGOS_'!M89,+'_DATA STT PAGOS_'!M89)</f>
        <v>06105</v>
      </c>
      <c r="B84" s="68" t="str">
        <f>IF(LEN(+'_DATA STT PAGOS_'!N89)=4,"0"&amp;+'_DATA STT PAGOS_'!N89,+'_DATA STT PAGOS_'!N89)</f>
        <v>06105</v>
      </c>
      <c r="C84" s="76" t="str">
        <f>+'_DATA STT PAGOS_'!O89</f>
        <v>DOÑIHUE</v>
      </c>
      <c r="D84" s="80">
        <f>+'CALC MEC ESTAB Y ESTIM M FINAL'!U89</f>
        <v>4992851</v>
      </c>
      <c r="E84" s="77">
        <f>+'CALC MEC ESTAB Y ESTIM M FINAL'!Q89</f>
        <v>1.9262410641999999E-3</v>
      </c>
      <c r="F84" s="77">
        <f>+'CALC MEC ESTAB Y ESTIM M FINAL'!R89</f>
        <v>-1.6717991850000001E-4</v>
      </c>
      <c r="G84" s="80">
        <f>+'_Flujo con Glosa 08'!CE89</f>
        <v>222847</v>
      </c>
      <c r="H84" s="80">
        <f>+'_Flujo con Glosa 08'!CF89</f>
        <v>222847</v>
      </c>
      <c r="I84" s="80">
        <f>+'_Flujo con Glosa 08'!CG89</f>
        <v>220025</v>
      </c>
      <c r="J84" s="80">
        <f>+'_Flujo con Glosa 08'!CH89</f>
        <v>222847</v>
      </c>
      <c r="K84" s="80">
        <f>+'_Flujo con Glosa 08'!CI89</f>
        <v>696473</v>
      </c>
      <c r="L84" s="80">
        <f>+'_Flujo con Glosa 08'!CJ89</f>
        <v>229497</v>
      </c>
      <c r="M84" s="80">
        <f>+'_Flujo con Glosa 08'!CK89</f>
        <v>417671</v>
      </c>
      <c r="N84" s="80">
        <f>+'_Flujo con Glosa 08'!CL89</f>
        <v>222847</v>
      </c>
      <c r="O84" s="80">
        <f>+'_Flujo con Glosa 08'!CM89</f>
        <v>265489</v>
      </c>
      <c r="P84" s="80">
        <f>+'_Flujo con Glosa 08'!CN89</f>
        <v>449443</v>
      </c>
      <c r="Q84" s="80">
        <f>+'_Flujo con Glosa 08'!CO89</f>
        <v>222847</v>
      </c>
      <c r="R84" s="80">
        <f>+'_Flujo con Glosa 08'!CP89</f>
        <v>424313</v>
      </c>
      <c r="S84" s="80">
        <f t="shared" si="2"/>
        <v>3817146</v>
      </c>
      <c r="T84" s="80">
        <v>0</v>
      </c>
      <c r="U84" s="80">
        <v>0</v>
      </c>
      <c r="V84" s="80">
        <v>0</v>
      </c>
      <c r="W84" s="80">
        <v>0</v>
      </c>
      <c r="X84" s="80">
        <v>0</v>
      </c>
      <c r="Y84" s="80">
        <v>0</v>
      </c>
      <c r="Z84" s="80">
        <v>0</v>
      </c>
      <c r="AA84" s="80">
        <v>0</v>
      </c>
      <c r="AB84" s="80">
        <v>0</v>
      </c>
      <c r="AC84" s="80">
        <v>0</v>
      </c>
      <c r="AD84" s="80">
        <v>0</v>
      </c>
      <c r="AE84" s="80">
        <v>0</v>
      </c>
      <c r="AF84" s="80">
        <f t="shared" si="3"/>
        <v>0</v>
      </c>
      <c r="AG84" s="80">
        <f>+COEF_FCM!AM91</f>
        <v>74902</v>
      </c>
      <c r="AH84" s="80">
        <f>+COEF_FCM!AR91</f>
        <v>2816</v>
      </c>
      <c r="AI84" s="80">
        <f>+COEF_FCM!AN91</f>
        <v>67793</v>
      </c>
      <c r="AJ84" s="80">
        <f>+COEF_FCM!AS91</f>
        <v>2384</v>
      </c>
      <c r="AK84" s="80">
        <f>+COEF_FCM!AO91</f>
        <v>74918</v>
      </c>
      <c r="AL84" s="80">
        <f>+COEF_FCM!AT91</f>
        <v>2391.877</v>
      </c>
      <c r="AM84" s="80">
        <f>+COEF_FCM!AP91</f>
        <v>62772</v>
      </c>
      <c r="AN84" s="80">
        <f>+COEF_FCM!AU91</f>
        <v>1298</v>
      </c>
      <c r="AO84" s="80">
        <f>+COEF_FCM!AQ91</f>
        <v>280385</v>
      </c>
      <c r="AP84" s="80">
        <f>+COEF_FCM!AV91</f>
        <v>8889.8770000000004</v>
      </c>
      <c r="AQ84" s="80">
        <f>+_CIERRE!O84+_CIERRE!P84</f>
        <v>3535736.5269999998</v>
      </c>
      <c r="AR84" s="80">
        <f>+_CIERRE!Q84+_CIERRE!R84</f>
        <v>3945006.3709999998</v>
      </c>
      <c r="AS84" s="80">
        <f>+_CIERRE!S84+_CIERRE!T84</f>
        <v>4231781.818</v>
      </c>
      <c r="AT84" s="80">
        <f>+_CIERRE!U84+_CIERRE!V84</f>
        <v>4597074.193</v>
      </c>
      <c r="AU84" s="80">
        <f>+'CALC MEC ESTAB Y ESTIM M FINAL'!T89</f>
        <v>4992851</v>
      </c>
      <c r="AV84" s="560">
        <v>0</v>
      </c>
      <c r="AW84" s="551">
        <v>855363.54700000002</v>
      </c>
      <c r="AX84" s="551">
        <v>876087.21900000004</v>
      </c>
      <c r="AY84" s="551">
        <v>0</v>
      </c>
      <c r="AZ84" s="551">
        <v>448807.71100000001</v>
      </c>
      <c r="BA84" s="551">
        <v>467115.76699999999</v>
      </c>
    </row>
    <row r="85" spans="1:53" ht="3" customHeight="1" x14ac:dyDescent="0.2">
      <c r="A85" s="68" t="str">
        <f>IF(LEN(+'_DATA STT PAGOS_'!M90)=4,"0"&amp;+'_DATA STT PAGOS_'!M90,+'_DATA STT PAGOS_'!M90)</f>
        <v>06106</v>
      </c>
      <c r="B85" s="68" t="str">
        <f>IF(LEN(+'_DATA STT PAGOS_'!N90)=4,"0"&amp;+'_DATA STT PAGOS_'!N90,+'_DATA STT PAGOS_'!N90)</f>
        <v>06103</v>
      </c>
      <c r="C85" s="76" t="str">
        <f>+'_DATA STT PAGOS_'!O90</f>
        <v>GRANEROS</v>
      </c>
      <c r="D85" s="80">
        <f>+'CALC MEC ESTAB Y ESTIM M FINAL'!U90</f>
        <v>6749487</v>
      </c>
      <c r="E85" s="77">
        <f>+'CALC MEC ESTAB Y ESTIM M FINAL'!Q90</f>
        <v>2.6043275477E-3</v>
      </c>
      <c r="F85" s="77">
        <f>+'CALC MEC ESTAB Y ESTIM M FINAL'!R90</f>
        <v>-2.2637534370000001E-4</v>
      </c>
      <c r="G85" s="80">
        <f>+'_Flujo con Glosa 08'!CE90</f>
        <v>301578</v>
      </c>
      <c r="H85" s="80">
        <f>+'_Flujo con Glosa 08'!CF90</f>
        <v>301578</v>
      </c>
      <c r="I85" s="80">
        <f>+'_Flujo con Glosa 08'!CG90</f>
        <v>297436</v>
      </c>
      <c r="J85" s="80">
        <f>+'_Flujo con Glosa 08'!CH90</f>
        <v>301578</v>
      </c>
      <c r="K85" s="80">
        <f>+'_Flujo con Glosa 08'!CI90</f>
        <v>940534</v>
      </c>
      <c r="L85" s="80">
        <f>+'_Flujo con Glosa 08'!CJ90</f>
        <v>310568</v>
      </c>
      <c r="M85" s="80">
        <f>+'_Flujo con Glosa 08'!CK90</f>
        <v>564293</v>
      </c>
      <c r="N85" s="80">
        <f>+'_Flujo con Glosa 08'!CL90</f>
        <v>301578</v>
      </c>
      <c r="O85" s="80">
        <f>+'_Flujo con Glosa 08'!CM90</f>
        <v>358896</v>
      </c>
      <c r="P85" s="80">
        <f>+'_Flujo con Glosa 08'!CN90</f>
        <v>607244</v>
      </c>
      <c r="Q85" s="80">
        <f>+'_Flujo con Glosa 08'!CO90</f>
        <v>301578</v>
      </c>
      <c r="R85" s="80">
        <f>+'_Flujo con Glosa 08'!CP90</f>
        <v>573272</v>
      </c>
      <c r="S85" s="80">
        <f t="shared" si="2"/>
        <v>5160133</v>
      </c>
      <c r="T85" s="80">
        <v>0</v>
      </c>
      <c r="U85" s="80">
        <v>0</v>
      </c>
      <c r="V85" s="80">
        <v>0</v>
      </c>
      <c r="W85" s="80">
        <v>0</v>
      </c>
      <c r="X85" s="80">
        <v>0</v>
      </c>
      <c r="Y85" s="80">
        <v>0</v>
      </c>
      <c r="Z85" s="80">
        <v>0</v>
      </c>
      <c r="AA85" s="80">
        <v>0</v>
      </c>
      <c r="AB85" s="80">
        <v>0</v>
      </c>
      <c r="AC85" s="80">
        <v>0</v>
      </c>
      <c r="AD85" s="80">
        <v>0</v>
      </c>
      <c r="AE85" s="80">
        <v>0</v>
      </c>
      <c r="AF85" s="80">
        <f t="shared" si="3"/>
        <v>0</v>
      </c>
      <c r="AG85" s="80">
        <f>+COEF_FCM!AM92</f>
        <v>134205</v>
      </c>
      <c r="AH85" s="80">
        <f>+COEF_FCM!AR92</f>
        <v>0</v>
      </c>
      <c r="AI85" s="80">
        <f>+COEF_FCM!AN92</f>
        <v>79537</v>
      </c>
      <c r="AJ85" s="80">
        <f>+COEF_FCM!AS92</f>
        <v>0</v>
      </c>
      <c r="AK85" s="80">
        <f>+COEF_FCM!AO92</f>
        <v>88937</v>
      </c>
      <c r="AL85" s="80">
        <f>+COEF_FCM!AT92</f>
        <v>0</v>
      </c>
      <c r="AM85" s="80">
        <f>+COEF_FCM!AP92</f>
        <v>93543</v>
      </c>
      <c r="AN85" s="80">
        <f>+COEF_FCM!AU92</f>
        <v>0</v>
      </c>
      <c r="AO85" s="80">
        <f>+COEF_FCM!AQ92</f>
        <v>396222</v>
      </c>
      <c r="AP85" s="80">
        <f>+COEF_FCM!AV92</f>
        <v>0</v>
      </c>
      <c r="AQ85" s="80">
        <f>+_CIERRE!O85+_CIERRE!P85</f>
        <v>4332708.5549999997</v>
      </c>
      <c r="AR85" s="80">
        <f>+_CIERRE!Q85+_CIERRE!R85</f>
        <v>5322294.7630000003</v>
      </c>
      <c r="AS85" s="80">
        <f>+_CIERRE!S85+_CIERRE!T85</f>
        <v>5804282.3810000001</v>
      </c>
      <c r="AT85" s="80">
        <f>+_CIERRE!U85+_CIERRE!V85</f>
        <v>6213573.0130000003</v>
      </c>
      <c r="AU85" s="80">
        <f>+'CALC MEC ESTAB Y ESTIM M FINAL'!T90</f>
        <v>6749487</v>
      </c>
      <c r="AV85" s="560">
        <v>0</v>
      </c>
      <c r="AW85" s="551">
        <v>0</v>
      </c>
      <c r="AX85" s="551">
        <v>0</v>
      </c>
      <c r="AY85" s="551">
        <v>0</v>
      </c>
      <c r="AZ85" s="551">
        <v>623789.43599999999</v>
      </c>
      <c r="BA85" s="551">
        <v>665435.19900000002</v>
      </c>
    </row>
    <row r="86" spans="1:53" ht="3" customHeight="1" x14ac:dyDescent="0.2">
      <c r="A86" s="68" t="str">
        <f>IF(LEN(+'_DATA STT PAGOS_'!M91)=4,"0"&amp;+'_DATA STT PAGOS_'!M91,+'_DATA STT PAGOS_'!M91)</f>
        <v>06107</v>
      </c>
      <c r="B86" s="68" t="str">
        <f>IF(LEN(+'_DATA STT PAGOS_'!N91)=4,"0"&amp;+'_DATA STT PAGOS_'!N91,+'_DATA STT PAGOS_'!N91)</f>
        <v>06109</v>
      </c>
      <c r="C86" s="76" t="str">
        <f>+'_DATA STT PAGOS_'!O91</f>
        <v>LAS CABRAS</v>
      </c>
      <c r="D86" s="80">
        <f>+'CALC MEC ESTAB Y ESTIM M FINAL'!U91</f>
        <v>3488544</v>
      </c>
      <c r="E86" s="77">
        <f>+'CALC MEC ESTAB Y ESTIM M FINAL'!Q91</f>
        <v>1.3048628945999999E-3</v>
      </c>
      <c r="F86" s="77">
        <f>+'CALC MEC ESTAB Y ESTIM M FINAL'!R91</f>
        <v>-7.5793030600000003E-5</v>
      </c>
      <c r="G86" s="80">
        <f>+'_Flujo con Glosa 08'!CE91</f>
        <v>160491</v>
      </c>
      <c r="H86" s="80">
        <f>+'_Flujo con Glosa 08'!CF91</f>
        <v>160491</v>
      </c>
      <c r="I86" s="80">
        <f>+'_Flujo con Glosa 08'!CG91</f>
        <v>153733</v>
      </c>
      <c r="J86" s="80">
        <f>+'_Flujo con Glosa 08'!CH91</f>
        <v>160491</v>
      </c>
      <c r="K86" s="80">
        <f>+'_Flujo con Glosa 08'!CI91</f>
        <v>472273</v>
      </c>
      <c r="L86" s="80">
        <f>+'_Flujo con Glosa 08'!CJ91</f>
        <v>165137</v>
      </c>
      <c r="M86" s="80">
        <f>+'_Flujo con Glosa 08'!CK91</f>
        <v>287044</v>
      </c>
      <c r="N86" s="80">
        <f>+'_Flujo con Glosa 08'!CL91</f>
        <v>160491</v>
      </c>
      <c r="O86" s="80">
        <f>+'_Flujo con Glosa 08'!CM91</f>
        <v>185499</v>
      </c>
      <c r="P86" s="80">
        <f>+'_Flujo con Glosa 08'!CN91</f>
        <v>309244</v>
      </c>
      <c r="Q86" s="80">
        <f>+'_Flujo con Glosa 08'!CO91</f>
        <v>160491</v>
      </c>
      <c r="R86" s="80">
        <f>+'_Flujo con Glosa 08'!CP91</f>
        <v>291684</v>
      </c>
      <c r="S86" s="80">
        <f t="shared" si="2"/>
        <v>2667069</v>
      </c>
      <c r="T86" s="80">
        <v>0</v>
      </c>
      <c r="U86" s="80">
        <v>0</v>
      </c>
      <c r="V86" s="80">
        <v>0</v>
      </c>
      <c r="W86" s="80">
        <v>0</v>
      </c>
      <c r="X86" s="80">
        <v>0</v>
      </c>
      <c r="Y86" s="80">
        <v>0</v>
      </c>
      <c r="Z86" s="80">
        <v>0</v>
      </c>
      <c r="AA86" s="80">
        <v>0</v>
      </c>
      <c r="AB86" s="80">
        <v>0</v>
      </c>
      <c r="AC86" s="80">
        <v>0</v>
      </c>
      <c r="AD86" s="80">
        <v>0</v>
      </c>
      <c r="AE86" s="80">
        <v>0</v>
      </c>
      <c r="AF86" s="80">
        <f t="shared" si="3"/>
        <v>0</v>
      </c>
      <c r="AG86" s="80">
        <f>+COEF_FCM!AM93</f>
        <v>242457</v>
      </c>
      <c r="AH86" s="80">
        <f>+COEF_FCM!AR93</f>
        <v>23784</v>
      </c>
      <c r="AI86" s="80">
        <f>+COEF_FCM!AN93</f>
        <v>173282</v>
      </c>
      <c r="AJ86" s="80">
        <f>+COEF_FCM!AS93</f>
        <v>12946</v>
      </c>
      <c r="AK86" s="80">
        <f>+COEF_FCM!AO93</f>
        <v>190847</v>
      </c>
      <c r="AL86" s="80">
        <f>+COEF_FCM!AT93</f>
        <v>16405.169000000002</v>
      </c>
      <c r="AM86" s="80">
        <f>+COEF_FCM!AP93</f>
        <v>159127</v>
      </c>
      <c r="AN86" s="80">
        <f>+COEF_FCM!AU93</f>
        <v>11833</v>
      </c>
      <c r="AO86" s="80">
        <f>+COEF_FCM!AQ93</f>
        <v>765713</v>
      </c>
      <c r="AP86" s="80">
        <f>+COEF_FCM!AV93</f>
        <v>64968.169000000002</v>
      </c>
      <c r="AQ86" s="80">
        <f>+_CIERRE!O86+_CIERRE!P86</f>
        <v>2637133.8199999998</v>
      </c>
      <c r="AR86" s="80">
        <f>+_CIERRE!Q86+_CIERRE!R86</f>
        <v>2944172.0159999998</v>
      </c>
      <c r="AS86" s="80">
        <f>+_CIERRE!S86+_CIERRE!T86</f>
        <v>3151169.3569999998</v>
      </c>
      <c r="AT86" s="80">
        <f>+_CIERRE!U86+_CIERRE!V86</f>
        <v>3309113.389</v>
      </c>
      <c r="AU86" s="80">
        <f>+'CALC MEC ESTAB Y ESTIM M FINAL'!T91</f>
        <v>3488544</v>
      </c>
      <c r="AV86" s="560">
        <v>0</v>
      </c>
      <c r="AW86" s="551">
        <v>0</v>
      </c>
      <c r="AX86" s="551">
        <v>0</v>
      </c>
      <c r="AY86" s="551">
        <v>0</v>
      </c>
      <c r="AZ86" s="551">
        <v>384937.79300000001</v>
      </c>
      <c r="BA86" s="551">
        <v>397913.07799999998</v>
      </c>
    </row>
    <row r="87" spans="1:53" ht="3" customHeight="1" x14ac:dyDescent="0.2">
      <c r="A87" s="68" t="str">
        <f>IF(LEN(+'_DATA STT PAGOS_'!M92)=4,"0"&amp;+'_DATA STT PAGOS_'!M92,+'_DATA STT PAGOS_'!M92)</f>
        <v>06108</v>
      </c>
      <c r="B87" s="68" t="str">
        <f>IF(LEN(+'_DATA STT PAGOS_'!N92)=4,"0"&amp;+'_DATA STT PAGOS_'!N92,+'_DATA STT PAGOS_'!N92)</f>
        <v>06102</v>
      </c>
      <c r="C87" s="76" t="str">
        <f>+'_DATA STT PAGOS_'!O92</f>
        <v>MACHALÍ</v>
      </c>
      <c r="D87" s="80">
        <f>+'CALC MEC ESTAB Y ESTIM M FINAL'!U92</f>
        <v>3640438</v>
      </c>
      <c r="E87" s="77">
        <f>+'CALC MEC ESTAB Y ESTIM M FINAL'!Q92</f>
        <v>1.3483327160999999E-3</v>
      </c>
      <c r="F87" s="77">
        <f>+'CALC MEC ESTAB Y ESTIM M FINAL'!R92</f>
        <v>-6.57481499E-5</v>
      </c>
      <c r="G87" s="80">
        <f>+'_Flujo con Glosa 08'!CE92</f>
        <v>169261</v>
      </c>
      <c r="H87" s="80">
        <f>+'_Flujo con Glosa 08'!CF92</f>
        <v>169261</v>
      </c>
      <c r="I87" s="80">
        <f>+'_Flujo con Glosa 08'!CG92</f>
        <v>160427</v>
      </c>
      <c r="J87" s="80">
        <f>+'_Flujo con Glosa 08'!CH92</f>
        <v>169261</v>
      </c>
      <c r="K87" s="80">
        <f>+'_Flujo con Glosa 08'!CI92</f>
        <v>487490</v>
      </c>
      <c r="L87" s="80">
        <f>+'_Flujo con Glosa 08'!CJ92</f>
        <v>174110</v>
      </c>
      <c r="M87" s="80">
        <f>+'_Flujo con Glosa 08'!CK92</f>
        <v>297759</v>
      </c>
      <c r="N87" s="80">
        <f>+'_Flujo con Glosa 08'!CL92</f>
        <v>169261</v>
      </c>
      <c r="O87" s="80">
        <f>+'_Flujo con Glosa 08'!CM92</f>
        <v>193576</v>
      </c>
      <c r="P87" s="80">
        <f>+'_Flujo con Glosa 08'!CN92</f>
        <v>320926</v>
      </c>
      <c r="Q87" s="80">
        <f>+'_Flujo con Glosa 08'!CO92</f>
        <v>169261</v>
      </c>
      <c r="R87" s="80">
        <f>+'_Flujo con Glosa 08'!CP92</f>
        <v>302603</v>
      </c>
      <c r="S87" s="80">
        <f t="shared" si="2"/>
        <v>2783196</v>
      </c>
      <c r="T87" s="80">
        <v>0</v>
      </c>
      <c r="U87" s="80">
        <v>0</v>
      </c>
      <c r="V87" s="80">
        <v>0</v>
      </c>
      <c r="W87" s="80">
        <v>0</v>
      </c>
      <c r="X87" s="80">
        <v>0</v>
      </c>
      <c r="Y87" s="80">
        <v>0</v>
      </c>
      <c r="Z87" s="80">
        <v>0</v>
      </c>
      <c r="AA87" s="80">
        <v>0</v>
      </c>
      <c r="AB87" s="80">
        <v>0</v>
      </c>
      <c r="AC87" s="80">
        <v>0</v>
      </c>
      <c r="AD87" s="80">
        <v>0</v>
      </c>
      <c r="AE87" s="80">
        <v>0</v>
      </c>
      <c r="AF87" s="80">
        <f t="shared" si="3"/>
        <v>0</v>
      </c>
      <c r="AG87" s="80">
        <f>+COEF_FCM!AM94</f>
        <v>553430</v>
      </c>
      <c r="AH87" s="80">
        <f>+COEF_FCM!AR94</f>
        <v>76391</v>
      </c>
      <c r="AI87" s="80">
        <f>+COEF_FCM!AN94</f>
        <v>385454</v>
      </c>
      <c r="AJ87" s="80">
        <f>+COEF_FCM!AS94</f>
        <v>34525</v>
      </c>
      <c r="AK87" s="80">
        <f>+COEF_FCM!AO94</f>
        <v>444936</v>
      </c>
      <c r="AL87" s="80">
        <f>+COEF_FCM!AT94</f>
        <v>45232.642999999996</v>
      </c>
      <c r="AM87" s="80">
        <f>+COEF_FCM!AP94</f>
        <v>375188</v>
      </c>
      <c r="AN87" s="80">
        <f>+COEF_FCM!AU94</f>
        <v>33141</v>
      </c>
      <c r="AO87" s="80">
        <f>+COEF_FCM!AQ94</f>
        <v>1759008</v>
      </c>
      <c r="AP87" s="80">
        <f>+COEF_FCM!AV94</f>
        <v>189289.64299999998</v>
      </c>
      <c r="AQ87" s="80">
        <f>+_CIERRE!O87+_CIERRE!P87</f>
        <v>2602009.5970000001</v>
      </c>
      <c r="AR87" s="80">
        <f>+_CIERRE!Q87+_CIERRE!R87</f>
        <v>2998131.5010000002</v>
      </c>
      <c r="AS87" s="80">
        <f>+_CIERRE!S87+_CIERRE!T87</f>
        <v>3358081.4339999999</v>
      </c>
      <c r="AT87" s="80">
        <f>+_CIERRE!U87+_CIERRE!V87</f>
        <v>3484787.068</v>
      </c>
      <c r="AU87" s="80">
        <f>+'CALC MEC ESTAB Y ESTIM M FINAL'!T92</f>
        <v>3640438</v>
      </c>
      <c r="AV87" s="560">
        <v>0</v>
      </c>
      <c r="AW87" s="551">
        <v>1928163.4609999999</v>
      </c>
      <c r="AX87" s="551">
        <v>1491038.7039999999</v>
      </c>
      <c r="AY87" s="551">
        <v>0</v>
      </c>
      <c r="AZ87" s="551">
        <v>391204.80699999997</v>
      </c>
      <c r="BA87" s="551">
        <v>404075.533</v>
      </c>
    </row>
    <row r="88" spans="1:53" ht="3" customHeight="1" x14ac:dyDescent="0.2">
      <c r="A88" s="68" t="str">
        <f>IF(LEN(+'_DATA STT PAGOS_'!M93)=4,"0"&amp;+'_DATA STT PAGOS_'!M93,+'_DATA STT PAGOS_'!M93)</f>
        <v>06109</v>
      </c>
      <c r="B88" s="68" t="str">
        <f>IF(LEN(+'_DATA STT PAGOS_'!N93)=4,"0"&amp;+'_DATA STT PAGOS_'!N93,+'_DATA STT PAGOS_'!N93)</f>
        <v>06115</v>
      </c>
      <c r="C88" s="76" t="str">
        <f>+'_DATA STT PAGOS_'!O93</f>
        <v>MALLOA</v>
      </c>
      <c r="D88" s="80">
        <f>+'CALC MEC ESTAB Y ESTIM M FINAL'!U93</f>
        <v>4267444</v>
      </c>
      <c r="E88" s="77">
        <f>+'CALC MEC ESTAB Y ESTIM M FINAL'!Q93</f>
        <v>1.6197581979999999E-3</v>
      </c>
      <c r="F88" s="77">
        <f>+'CALC MEC ESTAB Y ESTIM M FINAL'!R93</f>
        <v>-1.162695558E-4</v>
      </c>
      <c r="G88" s="80">
        <f>+'_Flujo con Glosa 08'!CE93</f>
        <v>193606</v>
      </c>
      <c r="H88" s="80">
        <f>+'_Flujo con Glosa 08'!CF93</f>
        <v>193606</v>
      </c>
      <c r="I88" s="80">
        <f>+'_Flujo con Glosa 08'!CG93</f>
        <v>188057</v>
      </c>
      <c r="J88" s="80">
        <f>+'_Flujo con Glosa 08'!CH93</f>
        <v>193606</v>
      </c>
      <c r="K88" s="80">
        <f>+'_Flujo con Glosa 08'!CI93</f>
        <v>585875</v>
      </c>
      <c r="L88" s="80">
        <f>+'_Flujo con Glosa 08'!CJ93</f>
        <v>199290</v>
      </c>
      <c r="M88" s="80">
        <f>+'_Flujo con Glosa 08'!CK93</f>
        <v>353852</v>
      </c>
      <c r="N88" s="80">
        <f>+'_Flujo con Glosa 08'!CL93</f>
        <v>193606</v>
      </c>
      <c r="O88" s="80">
        <f>+'_Flujo con Glosa 08'!CM93</f>
        <v>226917</v>
      </c>
      <c r="P88" s="80">
        <f>+'_Flujo con Glosa 08'!CN93</f>
        <v>381008</v>
      </c>
      <c r="Q88" s="80">
        <f>+'_Flujo con Glosa 08'!CO93</f>
        <v>193606</v>
      </c>
      <c r="R88" s="80">
        <f>+'_Flujo con Glosa 08'!CP93</f>
        <v>359529</v>
      </c>
      <c r="S88" s="80">
        <f t="shared" si="2"/>
        <v>3262558</v>
      </c>
      <c r="T88" s="80">
        <v>0</v>
      </c>
      <c r="U88" s="80">
        <v>0</v>
      </c>
      <c r="V88" s="80">
        <v>0</v>
      </c>
      <c r="W88" s="80">
        <v>0</v>
      </c>
      <c r="X88" s="80">
        <v>0</v>
      </c>
      <c r="Y88" s="80">
        <v>0</v>
      </c>
      <c r="Z88" s="80">
        <v>0</v>
      </c>
      <c r="AA88" s="80">
        <v>0</v>
      </c>
      <c r="AB88" s="80">
        <v>0</v>
      </c>
      <c r="AC88" s="80">
        <v>0</v>
      </c>
      <c r="AD88" s="80">
        <v>0</v>
      </c>
      <c r="AE88" s="80">
        <v>0</v>
      </c>
      <c r="AF88" s="80">
        <f t="shared" si="3"/>
        <v>0</v>
      </c>
      <c r="AG88" s="80">
        <f>+COEF_FCM!AM95</f>
        <v>45960</v>
      </c>
      <c r="AH88" s="80">
        <f>+COEF_FCM!AR95</f>
        <v>1114</v>
      </c>
      <c r="AI88" s="80">
        <f>+COEF_FCM!AN95</f>
        <v>39771</v>
      </c>
      <c r="AJ88" s="80">
        <f>+COEF_FCM!AS95</f>
        <v>489</v>
      </c>
      <c r="AK88" s="80">
        <f>+COEF_FCM!AO95</f>
        <v>30797</v>
      </c>
      <c r="AL88" s="80">
        <f>+COEF_FCM!AT95</f>
        <v>692.83100000000002</v>
      </c>
      <c r="AM88" s="80">
        <f>+COEF_FCM!AP95</f>
        <v>30986</v>
      </c>
      <c r="AN88" s="80">
        <f>+COEF_FCM!AU95</f>
        <v>388</v>
      </c>
      <c r="AO88" s="80">
        <f>+COEF_FCM!AQ95</f>
        <v>147514</v>
      </c>
      <c r="AP88" s="80">
        <f>+COEF_FCM!AV95</f>
        <v>2683.8310000000001</v>
      </c>
      <c r="AQ88" s="80">
        <f>+_CIERRE!O88+_CIERRE!P88</f>
        <v>2875719.7239999999</v>
      </c>
      <c r="AR88" s="80">
        <f>+_CIERRE!Q88+_CIERRE!R88</f>
        <v>3361721.1669999999</v>
      </c>
      <c r="AS88" s="80">
        <f>+_CIERRE!S88+_CIERRE!T88</f>
        <v>3733020.54</v>
      </c>
      <c r="AT88" s="80">
        <f>+_CIERRE!U88+_CIERRE!V88</f>
        <v>3992191.9249999998</v>
      </c>
      <c r="AU88" s="80">
        <f>+'CALC MEC ESTAB Y ESTIM M FINAL'!T93</f>
        <v>4267444</v>
      </c>
      <c r="AV88" s="560">
        <v>0</v>
      </c>
      <c r="AW88" s="551">
        <v>0</v>
      </c>
      <c r="AX88" s="551">
        <v>0</v>
      </c>
      <c r="AY88" s="551">
        <v>0</v>
      </c>
      <c r="AZ88" s="551">
        <v>356284.42099999997</v>
      </c>
      <c r="BA88" s="551">
        <v>381593.06099999999</v>
      </c>
    </row>
    <row r="89" spans="1:53" ht="3" customHeight="1" x14ac:dyDescent="0.2">
      <c r="A89" s="68" t="str">
        <f>IF(LEN(+'_DATA STT PAGOS_'!M94)=4,"0"&amp;+'_DATA STT PAGOS_'!M94,+'_DATA STT PAGOS_'!M94)</f>
        <v>06110</v>
      </c>
      <c r="B89" s="68" t="str">
        <f>IF(LEN(+'_DATA STT PAGOS_'!N94)=4,"0"&amp;+'_DATA STT PAGOS_'!N94,+'_DATA STT PAGOS_'!N94)</f>
        <v>06104</v>
      </c>
      <c r="C89" s="76" t="str">
        <f>+'_DATA STT PAGOS_'!O94</f>
        <v>MOSTAZAL</v>
      </c>
      <c r="D89" s="80">
        <f>+'CALC MEC ESTAB Y ESTIM M FINAL'!U94</f>
        <v>3472673</v>
      </c>
      <c r="E89" s="77">
        <f>+'CALC MEC ESTAB Y ESTIM M FINAL'!Q94</f>
        <v>1.2792245402E-3</v>
      </c>
      <c r="F89" s="77">
        <f>+'CALC MEC ESTAB Y ESTIM M FINAL'!R94</f>
        <v>-5.5746251799999997E-5</v>
      </c>
      <c r="G89" s="80">
        <f>+'_Flujo con Glosa 08'!CE94</f>
        <v>162106</v>
      </c>
      <c r="H89" s="80">
        <f>+'_Flujo con Glosa 08'!CF94</f>
        <v>162106</v>
      </c>
      <c r="I89" s="80">
        <f>+'_Flujo con Glosa 08'!CG94</f>
        <v>153034</v>
      </c>
      <c r="J89" s="80">
        <f>+'_Flujo con Glosa 08'!CH94</f>
        <v>162106</v>
      </c>
      <c r="K89" s="80">
        <f>+'_Flujo con Glosa 08'!CI94</f>
        <v>463088</v>
      </c>
      <c r="L89" s="80">
        <f>+'_Flujo con Glosa 08'!CJ94</f>
        <v>166731</v>
      </c>
      <c r="M89" s="80">
        <f>+'_Flujo con Glosa 08'!CK94</f>
        <v>283392</v>
      </c>
      <c r="N89" s="80">
        <f>+'_Flujo con Glosa 08'!CL94</f>
        <v>162106</v>
      </c>
      <c r="O89" s="80">
        <f>+'_Flujo con Glosa 08'!CM94</f>
        <v>184655</v>
      </c>
      <c r="P89" s="80">
        <f>+'_Flujo con Glosa 08'!CN94</f>
        <v>305492</v>
      </c>
      <c r="Q89" s="80">
        <f>+'_Flujo con Glosa 08'!CO94</f>
        <v>162106</v>
      </c>
      <c r="R89" s="80">
        <f>+'_Flujo con Glosa 08'!CP94</f>
        <v>288012</v>
      </c>
      <c r="S89" s="80">
        <f t="shared" si="2"/>
        <v>2654934</v>
      </c>
      <c r="T89" s="80">
        <v>0</v>
      </c>
      <c r="U89" s="80">
        <v>0</v>
      </c>
      <c r="V89" s="80">
        <v>0</v>
      </c>
      <c r="W89" s="80">
        <v>0</v>
      </c>
      <c r="X89" s="80">
        <v>0</v>
      </c>
      <c r="Y89" s="80">
        <v>0</v>
      </c>
      <c r="Z89" s="80">
        <v>0</v>
      </c>
      <c r="AA89" s="80">
        <v>0</v>
      </c>
      <c r="AB89" s="80">
        <v>0</v>
      </c>
      <c r="AC89" s="80">
        <v>0</v>
      </c>
      <c r="AD89" s="80">
        <v>0</v>
      </c>
      <c r="AE89" s="80">
        <v>0</v>
      </c>
      <c r="AF89" s="80">
        <f t="shared" si="3"/>
        <v>0</v>
      </c>
      <c r="AG89" s="80">
        <f>+COEF_FCM!AM96</f>
        <v>184511</v>
      </c>
      <c r="AH89" s="80">
        <f>+COEF_FCM!AR96</f>
        <v>0</v>
      </c>
      <c r="AI89" s="80">
        <f>+COEF_FCM!AN96</f>
        <v>149206</v>
      </c>
      <c r="AJ89" s="80">
        <f>+COEF_FCM!AS96</f>
        <v>0</v>
      </c>
      <c r="AK89" s="80">
        <f>+COEF_FCM!AO96</f>
        <v>160855</v>
      </c>
      <c r="AL89" s="80">
        <f>+COEF_FCM!AT96</f>
        <v>0</v>
      </c>
      <c r="AM89" s="80">
        <f>+COEF_FCM!AP96</f>
        <v>152100</v>
      </c>
      <c r="AN89" s="80">
        <f>+COEF_FCM!AU96</f>
        <v>0</v>
      </c>
      <c r="AO89" s="80">
        <f>+COEF_FCM!AQ96</f>
        <v>646672</v>
      </c>
      <c r="AP89" s="80">
        <f>+COEF_FCM!AV96</f>
        <v>0</v>
      </c>
      <c r="AQ89" s="80">
        <f>+_CIERRE!O89+_CIERRE!P89</f>
        <v>2780905.5150000001</v>
      </c>
      <c r="AR89" s="80">
        <f>+_CIERRE!Q89+_CIERRE!R89</f>
        <v>3032761.219</v>
      </c>
      <c r="AS89" s="80">
        <f>+_CIERRE!S89+_CIERRE!T89</f>
        <v>3227871.952</v>
      </c>
      <c r="AT89" s="80">
        <f>+_CIERRE!U89+_CIERRE!V89</f>
        <v>3340700.585</v>
      </c>
      <c r="AU89" s="80">
        <f>+'CALC MEC ESTAB Y ESTIM M FINAL'!T94</f>
        <v>3472673</v>
      </c>
      <c r="AV89" s="560">
        <v>0</v>
      </c>
      <c r="AW89" s="551">
        <v>0</v>
      </c>
      <c r="AX89" s="551">
        <v>0</v>
      </c>
      <c r="AY89" s="551">
        <v>0</v>
      </c>
      <c r="AZ89" s="551">
        <v>382409.05800000002</v>
      </c>
      <c r="BA89" s="551">
        <v>393527.35700000002</v>
      </c>
    </row>
    <row r="90" spans="1:53" ht="3" customHeight="1" x14ac:dyDescent="0.2">
      <c r="A90" s="68" t="str">
        <f>IF(LEN(+'_DATA STT PAGOS_'!M95)=4,"0"&amp;+'_DATA STT PAGOS_'!M95,+'_DATA STT PAGOS_'!M95)</f>
        <v>06111</v>
      </c>
      <c r="B90" s="68" t="str">
        <f>IF(LEN(+'_DATA STT PAGOS_'!N95)=4,"0"&amp;+'_DATA STT PAGOS_'!N95,+'_DATA STT PAGOS_'!N95)</f>
        <v>06114</v>
      </c>
      <c r="C90" s="76" t="str">
        <f>+'_DATA STT PAGOS_'!O95</f>
        <v>OLIVAR</v>
      </c>
      <c r="D90" s="80">
        <f>+'CALC MEC ESTAB Y ESTIM M FINAL'!U95</f>
        <v>2633767</v>
      </c>
      <c r="E90" s="77">
        <f>+'CALC MEC ESTAB Y ESTIM M FINAL'!Q95</f>
        <v>9.6531806979999993E-4</v>
      </c>
      <c r="F90" s="77">
        <f>+'CALC MEC ESTAB Y ESTIM M FINAL'!R95</f>
        <v>-3.7399749800000001E-5</v>
      </c>
      <c r="G90" s="80">
        <f>+'_Flujo con Glosa 08'!CE95</f>
        <v>123432</v>
      </c>
      <c r="H90" s="80">
        <f>+'_Flujo con Glosa 08'!CF95</f>
        <v>123432</v>
      </c>
      <c r="I90" s="80">
        <f>+'_Flujo con Glosa 08'!CG95</f>
        <v>116065</v>
      </c>
      <c r="J90" s="80">
        <f>+'_Flujo con Glosa 08'!CH95</f>
        <v>123432</v>
      </c>
      <c r="K90" s="80">
        <f>+'_Flujo con Glosa 08'!CI95</f>
        <v>349761</v>
      </c>
      <c r="L90" s="80">
        <f>+'_Flujo con Glosa 08'!CJ95</f>
        <v>126940</v>
      </c>
      <c r="M90" s="80">
        <f>+'_Flujo con Glosa 08'!CK95</f>
        <v>214446</v>
      </c>
      <c r="N90" s="80">
        <f>+'_Flujo con Glosa 08'!CL95</f>
        <v>123432</v>
      </c>
      <c r="O90" s="80">
        <f>+'_Flujo con Glosa 08'!CM95</f>
        <v>140047</v>
      </c>
      <c r="P90" s="80">
        <f>+'_Flujo con Glosa 08'!CN95</f>
        <v>231207</v>
      </c>
      <c r="Q90" s="80">
        <f>+'_Flujo con Glosa 08'!CO95</f>
        <v>123432</v>
      </c>
      <c r="R90" s="80">
        <f>+'_Flujo con Glosa 08'!CP95</f>
        <v>217950</v>
      </c>
      <c r="S90" s="80">
        <f t="shared" si="2"/>
        <v>2013576</v>
      </c>
      <c r="T90" s="80">
        <v>0</v>
      </c>
      <c r="U90" s="80">
        <v>0</v>
      </c>
      <c r="V90" s="80">
        <v>0</v>
      </c>
      <c r="W90" s="80">
        <v>0</v>
      </c>
      <c r="X90" s="80">
        <v>0</v>
      </c>
      <c r="Y90" s="80">
        <v>0</v>
      </c>
      <c r="Z90" s="80">
        <v>0</v>
      </c>
      <c r="AA90" s="80">
        <v>0</v>
      </c>
      <c r="AB90" s="80">
        <v>0</v>
      </c>
      <c r="AC90" s="80">
        <v>0</v>
      </c>
      <c r="AD90" s="80">
        <v>0</v>
      </c>
      <c r="AE90" s="80">
        <v>0</v>
      </c>
      <c r="AF90" s="80">
        <f t="shared" si="3"/>
        <v>0</v>
      </c>
      <c r="AG90" s="80">
        <f>+COEF_FCM!AM97</f>
        <v>76784</v>
      </c>
      <c r="AH90" s="80">
        <f>+COEF_FCM!AR97</f>
        <v>0</v>
      </c>
      <c r="AI90" s="80">
        <f>+COEF_FCM!AN97</f>
        <v>41353</v>
      </c>
      <c r="AJ90" s="80">
        <f>+COEF_FCM!AS97</f>
        <v>0</v>
      </c>
      <c r="AK90" s="80">
        <f>+COEF_FCM!AO97</f>
        <v>61401</v>
      </c>
      <c r="AL90" s="80">
        <f>+COEF_FCM!AT97</f>
        <v>0</v>
      </c>
      <c r="AM90" s="80">
        <f>+COEF_FCM!AP97</f>
        <v>54052</v>
      </c>
      <c r="AN90" s="80">
        <f>+COEF_FCM!AU97</f>
        <v>0</v>
      </c>
      <c r="AO90" s="80">
        <f>+COEF_FCM!AQ97</f>
        <v>233590</v>
      </c>
      <c r="AP90" s="80">
        <f>+COEF_FCM!AV97</f>
        <v>0</v>
      </c>
      <c r="AQ90" s="80">
        <f>+_CIERRE!O90+_CIERRE!P90</f>
        <v>2016261.2290000001</v>
      </c>
      <c r="AR90" s="80">
        <f>+_CIERRE!Q90+_CIERRE!R90</f>
        <v>2346662.071</v>
      </c>
      <c r="AS90" s="80">
        <f>+_CIERRE!S90+_CIERRE!T90</f>
        <v>2469516.7119999998</v>
      </c>
      <c r="AT90" s="80">
        <f>+_CIERRE!U90+_CIERRE!V90</f>
        <v>2545227.8160000001</v>
      </c>
      <c r="AU90" s="80">
        <f>+'CALC MEC ESTAB Y ESTIM M FINAL'!T95</f>
        <v>2633767</v>
      </c>
      <c r="AV90" s="560">
        <v>0</v>
      </c>
      <c r="AW90" s="551">
        <v>0</v>
      </c>
      <c r="AX90" s="551">
        <v>0</v>
      </c>
      <c r="AY90" s="551">
        <v>0</v>
      </c>
      <c r="AZ90" s="551">
        <v>325039.85600000003</v>
      </c>
      <c r="BA90" s="551">
        <v>334128.26400000002</v>
      </c>
    </row>
    <row r="91" spans="1:53" ht="3" customHeight="1" x14ac:dyDescent="0.2">
      <c r="A91" s="68" t="str">
        <f>IF(LEN(+'_DATA STT PAGOS_'!M96)=4,"0"&amp;+'_DATA STT PAGOS_'!M96,+'_DATA STT PAGOS_'!M96)</f>
        <v>06112</v>
      </c>
      <c r="B91" s="68" t="str">
        <f>IF(LEN(+'_DATA STT PAGOS_'!N96)=4,"0"&amp;+'_DATA STT PAGOS_'!N96,+'_DATA STT PAGOS_'!N96)</f>
        <v>06108</v>
      </c>
      <c r="C91" s="76" t="str">
        <f>+'_DATA STT PAGOS_'!O96</f>
        <v>PEUMO</v>
      </c>
      <c r="D91" s="80">
        <f>+'CALC MEC ESTAB Y ESTIM M FINAL'!U96</f>
        <v>4000306</v>
      </c>
      <c r="E91" s="77">
        <f>+'CALC MEC ESTAB Y ESTIM M FINAL'!Q96</f>
        <v>1.5856656995999999E-3</v>
      </c>
      <c r="F91" s="77">
        <f>+'CALC MEC ESTAB Y ESTIM M FINAL'!R96</f>
        <v>-1.7629398040000001E-4</v>
      </c>
      <c r="G91" s="80">
        <f>+'_Flujo con Glosa 08'!CE96</f>
        <v>173787</v>
      </c>
      <c r="H91" s="80">
        <f>+'_Flujo con Glosa 08'!CF96</f>
        <v>173787</v>
      </c>
      <c r="I91" s="80">
        <f>+'_Flujo con Glosa 08'!CG96</f>
        <v>176285</v>
      </c>
      <c r="J91" s="80">
        <f>+'_Flujo con Glosa 08'!CH96</f>
        <v>173787</v>
      </c>
      <c r="K91" s="80">
        <f>+'_Flujo con Glosa 08'!CI96</f>
        <v>572298</v>
      </c>
      <c r="L91" s="80">
        <f>+'_Flujo con Glosa 08'!CJ96</f>
        <v>179115</v>
      </c>
      <c r="M91" s="80">
        <f>+'_Flujo con Glosa 08'!CK96</f>
        <v>339400</v>
      </c>
      <c r="N91" s="80">
        <f>+'_Flujo con Glosa 08'!CL96</f>
        <v>173787</v>
      </c>
      <c r="O91" s="80">
        <f>+'_Flujo con Glosa 08'!CM96</f>
        <v>212712</v>
      </c>
      <c r="P91" s="80">
        <f>+'_Flujo con Glosa 08'!CN96</f>
        <v>364856</v>
      </c>
      <c r="Q91" s="80">
        <f>+'_Flujo con Glosa 08'!CO96</f>
        <v>173787</v>
      </c>
      <c r="R91" s="80">
        <f>+'_Flujo con Glosa 08'!CP96</f>
        <v>344722</v>
      </c>
      <c r="S91" s="80">
        <f t="shared" si="2"/>
        <v>3058323</v>
      </c>
      <c r="T91" s="80">
        <v>0</v>
      </c>
      <c r="U91" s="80">
        <v>0</v>
      </c>
      <c r="V91" s="80">
        <v>0</v>
      </c>
      <c r="W91" s="80">
        <v>0</v>
      </c>
      <c r="X91" s="80">
        <v>0</v>
      </c>
      <c r="Y91" s="80">
        <v>0</v>
      </c>
      <c r="Z91" s="80">
        <v>0</v>
      </c>
      <c r="AA91" s="80">
        <v>0</v>
      </c>
      <c r="AB91" s="80">
        <v>0</v>
      </c>
      <c r="AC91" s="80">
        <v>0</v>
      </c>
      <c r="AD91" s="80">
        <v>0</v>
      </c>
      <c r="AE91" s="80">
        <v>0</v>
      </c>
      <c r="AF91" s="80">
        <f t="shared" si="3"/>
        <v>0</v>
      </c>
      <c r="AG91" s="80">
        <f>+COEF_FCM!AM98</f>
        <v>54108</v>
      </c>
      <c r="AH91" s="80">
        <f>+COEF_FCM!AR98</f>
        <v>1205</v>
      </c>
      <c r="AI91" s="80">
        <f>+COEF_FCM!AN98</f>
        <v>34335</v>
      </c>
      <c r="AJ91" s="80">
        <f>+COEF_FCM!AS98</f>
        <v>704</v>
      </c>
      <c r="AK91" s="80">
        <f>+COEF_FCM!AO98</f>
        <v>37199</v>
      </c>
      <c r="AL91" s="80">
        <f>+COEF_FCM!AT98</f>
        <v>893.197</v>
      </c>
      <c r="AM91" s="80">
        <f>+COEF_FCM!AP98</f>
        <v>37276</v>
      </c>
      <c r="AN91" s="80">
        <f>+COEF_FCM!AU98</f>
        <v>1006</v>
      </c>
      <c r="AO91" s="80">
        <f>+COEF_FCM!AQ98</f>
        <v>162918</v>
      </c>
      <c r="AP91" s="80">
        <f>+COEF_FCM!AV98</f>
        <v>3808.1970000000001</v>
      </c>
      <c r="AQ91" s="80">
        <f>+_CIERRE!O91+_CIERRE!P91</f>
        <v>2511469.673</v>
      </c>
      <c r="AR91" s="80">
        <f>+_CIERRE!Q91+_CIERRE!R91</f>
        <v>2913446.7420000001</v>
      </c>
      <c r="AS91" s="80">
        <f>+_CIERRE!S91+_CIERRE!T91</f>
        <v>3174526.7740000002</v>
      </c>
      <c r="AT91" s="80">
        <f>+_CIERRE!U91+_CIERRE!V91</f>
        <v>3582954.0890000002</v>
      </c>
      <c r="AU91" s="80">
        <f>+'CALC MEC ESTAB Y ESTIM M FINAL'!T96</f>
        <v>4000306</v>
      </c>
      <c r="AV91" s="560">
        <v>0</v>
      </c>
      <c r="AW91" s="551">
        <v>0</v>
      </c>
      <c r="AX91" s="551">
        <v>0</v>
      </c>
      <c r="AY91" s="551">
        <v>0</v>
      </c>
      <c r="AZ91" s="551">
        <v>384881.902</v>
      </c>
      <c r="BA91" s="551">
        <v>423447.21799999999</v>
      </c>
    </row>
    <row r="92" spans="1:53" ht="3" customHeight="1" x14ac:dyDescent="0.2">
      <c r="A92" s="68" t="str">
        <f>IF(LEN(+'_DATA STT PAGOS_'!M97)=4,"0"&amp;+'_DATA STT PAGOS_'!M97,+'_DATA STT PAGOS_'!M97)</f>
        <v>06113</v>
      </c>
      <c r="B92" s="68" t="str">
        <f>IF(LEN(+'_DATA STT PAGOS_'!N97)=4,"0"&amp;+'_DATA STT PAGOS_'!N97,+'_DATA STT PAGOS_'!N97)</f>
        <v>06111</v>
      </c>
      <c r="C92" s="76" t="str">
        <f>+'_DATA STT PAGOS_'!O97</f>
        <v>PICHIDEGUA</v>
      </c>
      <c r="D92" s="80">
        <f>+'CALC MEC ESTAB Y ESTIM M FINAL'!U97</f>
        <v>5617773</v>
      </c>
      <c r="E92" s="77">
        <f>+'CALC MEC ESTAB Y ESTIM M FINAL'!Q97</f>
        <v>2.2538442124E-3</v>
      </c>
      <c r="F92" s="77">
        <f>+'CALC MEC ESTAB Y ESTIM M FINAL'!R97</f>
        <v>-2.7461303739999998E-4</v>
      </c>
      <c r="G92" s="80">
        <f>+'_Flujo con Glosa 08'!CE97</f>
        <v>240900</v>
      </c>
      <c r="H92" s="80">
        <f>+'_Flujo con Glosa 08'!CF97</f>
        <v>240900</v>
      </c>
      <c r="I92" s="80">
        <f>+'_Flujo con Glosa 08'!CG97</f>
        <v>247564</v>
      </c>
      <c r="J92" s="80">
        <f>+'_Flujo con Glosa 08'!CH97</f>
        <v>240900</v>
      </c>
      <c r="K92" s="80">
        <f>+'_Flujo con Glosa 08'!CI97</f>
        <v>813164</v>
      </c>
      <c r="L92" s="80">
        <f>+'_Flujo con Glosa 08'!CJ97</f>
        <v>248382</v>
      </c>
      <c r="M92" s="80">
        <f>+'_Flujo con Glosa 08'!CK97</f>
        <v>479787</v>
      </c>
      <c r="N92" s="80">
        <f>+'_Flujo con Glosa 08'!CL97</f>
        <v>240900</v>
      </c>
      <c r="O92" s="80">
        <f>+'_Flujo con Glosa 08'!CM97</f>
        <v>298718</v>
      </c>
      <c r="P92" s="80">
        <f>+'_Flujo con Glosa 08'!CN97</f>
        <v>515536</v>
      </c>
      <c r="Q92" s="80">
        <f>+'_Flujo con Glosa 08'!CO97</f>
        <v>240900</v>
      </c>
      <c r="R92" s="80">
        <f>+'_Flujo con Glosa 08'!CP97</f>
        <v>487261</v>
      </c>
      <c r="S92" s="80">
        <f t="shared" si="2"/>
        <v>4294912</v>
      </c>
      <c r="T92" s="80">
        <v>0</v>
      </c>
      <c r="U92" s="80">
        <v>0</v>
      </c>
      <c r="V92" s="80">
        <v>0</v>
      </c>
      <c r="W92" s="80">
        <v>0</v>
      </c>
      <c r="X92" s="80">
        <v>0</v>
      </c>
      <c r="Y92" s="80">
        <v>0</v>
      </c>
      <c r="Z92" s="80">
        <v>0</v>
      </c>
      <c r="AA92" s="80">
        <v>0</v>
      </c>
      <c r="AB92" s="80">
        <v>0</v>
      </c>
      <c r="AC92" s="80">
        <v>0</v>
      </c>
      <c r="AD92" s="80">
        <v>0</v>
      </c>
      <c r="AE92" s="80">
        <v>0</v>
      </c>
      <c r="AF92" s="80">
        <f t="shared" si="3"/>
        <v>0</v>
      </c>
      <c r="AG92" s="80">
        <f>+COEF_FCM!AM99</f>
        <v>68156</v>
      </c>
      <c r="AH92" s="80">
        <f>+COEF_FCM!AR99</f>
        <v>2837</v>
      </c>
      <c r="AI92" s="80">
        <f>+COEF_FCM!AN99</f>
        <v>44047</v>
      </c>
      <c r="AJ92" s="80">
        <f>+COEF_FCM!AS99</f>
        <v>1766</v>
      </c>
      <c r="AK92" s="80">
        <f>+COEF_FCM!AO99</f>
        <v>46436</v>
      </c>
      <c r="AL92" s="80">
        <f>+COEF_FCM!AT99</f>
        <v>2467.6709999999998</v>
      </c>
      <c r="AM92" s="80">
        <f>+COEF_FCM!AP99</f>
        <v>40112</v>
      </c>
      <c r="AN92" s="80">
        <f>+COEF_FCM!AU99</f>
        <v>1630</v>
      </c>
      <c r="AO92" s="80">
        <f>+COEF_FCM!AQ99</f>
        <v>198751</v>
      </c>
      <c r="AP92" s="80">
        <f>+COEF_FCM!AV99</f>
        <v>8700.6710000000003</v>
      </c>
      <c r="AQ92" s="80">
        <f>+_CIERRE!O92+_CIERRE!P92</f>
        <v>3416453.5040000002</v>
      </c>
      <c r="AR92" s="80">
        <f>+_CIERRE!Q92+_CIERRE!R92</f>
        <v>3848980.9950000001</v>
      </c>
      <c r="AS92" s="80">
        <f>+_CIERRE!S92+_CIERRE!T92</f>
        <v>4049753.0260000001</v>
      </c>
      <c r="AT92" s="80">
        <f>+_CIERRE!U92+_CIERRE!V92</f>
        <v>4967663.58</v>
      </c>
      <c r="AU92" s="80">
        <f>+'CALC MEC ESTAB Y ESTIM M FINAL'!T97</f>
        <v>5617773</v>
      </c>
      <c r="AV92" s="560">
        <v>0</v>
      </c>
      <c r="AW92" s="551">
        <v>0</v>
      </c>
      <c r="AX92" s="551">
        <v>0</v>
      </c>
      <c r="AY92" s="551">
        <v>0</v>
      </c>
      <c r="AZ92" s="551">
        <v>450816.06900000002</v>
      </c>
      <c r="BA92" s="551">
        <v>474879.24900000001</v>
      </c>
    </row>
    <row r="93" spans="1:53" ht="3" customHeight="1" x14ac:dyDescent="0.2">
      <c r="A93" s="68" t="str">
        <f>IF(LEN(+'_DATA STT PAGOS_'!M98)=4,"0"&amp;+'_DATA STT PAGOS_'!M98,+'_DATA STT PAGOS_'!M98)</f>
        <v>06114</v>
      </c>
      <c r="B93" s="68" t="str">
        <f>IF(LEN(+'_DATA STT PAGOS_'!N98)=4,"0"&amp;+'_DATA STT PAGOS_'!N98,+'_DATA STT PAGOS_'!N98)</f>
        <v>06117</v>
      </c>
      <c r="C93" s="76" t="str">
        <f>+'_DATA STT PAGOS_'!O98</f>
        <v>QUINTA DE TILCOCO</v>
      </c>
      <c r="D93" s="80">
        <f>+'CALC MEC ESTAB Y ESTIM M FINAL'!U98</f>
        <v>3701785</v>
      </c>
      <c r="E93" s="77">
        <f>+'CALC MEC ESTAB Y ESTIM M FINAL'!Q98</f>
        <v>1.3709855323E-3</v>
      </c>
      <c r="F93" s="77">
        <f>+'CALC MEC ESTAB Y ESTIM M FINAL'!R98</f>
        <v>-6.6787481999999994E-5</v>
      </c>
      <c r="G93" s="80">
        <f>+'_Flujo con Glosa 08'!CE98</f>
        <v>171904</v>
      </c>
      <c r="H93" s="80">
        <f>+'_Flujo con Glosa 08'!CF98</f>
        <v>171904</v>
      </c>
      <c r="I93" s="80">
        <f>+'_Flujo con Glosa 08'!CG98</f>
        <v>163130</v>
      </c>
      <c r="J93" s="80">
        <f>+'_Flujo con Glosa 08'!CH98</f>
        <v>171904</v>
      </c>
      <c r="K93" s="80">
        <f>+'_Flujo con Glosa 08'!CI98</f>
        <v>496333</v>
      </c>
      <c r="L93" s="80">
        <f>+'_Flujo con Glosa 08'!CJ98</f>
        <v>176834</v>
      </c>
      <c r="M93" s="80">
        <f>+'_Flujo con Glosa 08'!CK98</f>
        <v>302987</v>
      </c>
      <c r="N93" s="80">
        <f>+'_Flujo con Glosa 08'!CL98</f>
        <v>171904</v>
      </c>
      <c r="O93" s="80">
        <f>+'_Flujo con Glosa 08'!CM98</f>
        <v>196838</v>
      </c>
      <c r="P93" s="80">
        <f>+'_Flujo con Glosa 08'!CN98</f>
        <v>326544</v>
      </c>
      <c r="Q93" s="80">
        <f>+'_Flujo con Glosa 08'!CO98</f>
        <v>171904</v>
      </c>
      <c r="R93" s="80">
        <f>+'_Flujo con Glosa 08'!CP98</f>
        <v>307911</v>
      </c>
      <c r="S93" s="80">
        <f t="shared" si="2"/>
        <v>2830097</v>
      </c>
      <c r="T93" s="80">
        <v>0</v>
      </c>
      <c r="U93" s="80">
        <v>0</v>
      </c>
      <c r="V93" s="80">
        <v>0</v>
      </c>
      <c r="W93" s="80">
        <v>0</v>
      </c>
      <c r="X93" s="80">
        <v>0</v>
      </c>
      <c r="Y93" s="80">
        <v>0</v>
      </c>
      <c r="Z93" s="80">
        <v>0</v>
      </c>
      <c r="AA93" s="80">
        <v>0</v>
      </c>
      <c r="AB93" s="80">
        <v>0</v>
      </c>
      <c r="AC93" s="80">
        <v>0</v>
      </c>
      <c r="AD93" s="80">
        <v>0</v>
      </c>
      <c r="AE93" s="80">
        <v>0</v>
      </c>
      <c r="AF93" s="80">
        <f t="shared" si="3"/>
        <v>0</v>
      </c>
      <c r="AG93" s="80">
        <f>+COEF_FCM!AM100</f>
        <v>49798</v>
      </c>
      <c r="AH93" s="80">
        <f>+COEF_FCM!AR100</f>
        <v>1111</v>
      </c>
      <c r="AI93" s="80">
        <f>+COEF_FCM!AN100</f>
        <v>25396</v>
      </c>
      <c r="AJ93" s="80">
        <f>+COEF_FCM!AS100</f>
        <v>900</v>
      </c>
      <c r="AK93" s="80">
        <f>+COEF_FCM!AO100</f>
        <v>32279</v>
      </c>
      <c r="AL93" s="80">
        <f>+COEF_FCM!AT100</f>
        <v>656.3</v>
      </c>
      <c r="AM93" s="80">
        <f>+COEF_FCM!AP100</f>
        <v>25850</v>
      </c>
      <c r="AN93" s="80">
        <f>+COEF_FCM!AU100</f>
        <v>518</v>
      </c>
      <c r="AO93" s="80">
        <f>+COEF_FCM!AQ100</f>
        <v>133323</v>
      </c>
      <c r="AP93" s="80">
        <f>+COEF_FCM!AV100</f>
        <v>3185.3</v>
      </c>
      <c r="AQ93" s="80">
        <f>+_CIERRE!O93+_CIERRE!P93</f>
        <v>2558187.5980000002</v>
      </c>
      <c r="AR93" s="80">
        <f>+_CIERRE!Q93+_CIERRE!R93</f>
        <v>3038247.2949999999</v>
      </c>
      <c r="AS93" s="80">
        <f>+_CIERRE!S93+_CIERRE!T93</f>
        <v>3274724.5410000002</v>
      </c>
      <c r="AT93" s="80">
        <f>+_CIERRE!U93+_CIERRE!V93</f>
        <v>3543673.557</v>
      </c>
      <c r="AU93" s="80">
        <f>+'CALC MEC ESTAB Y ESTIM M FINAL'!T98</f>
        <v>3701785</v>
      </c>
      <c r="AV93" s="560">
        <v>0</v>
      </c>
      <c r="AW93" s="551">
        <v>0</v>
      </c>
      <c r="AX93" s="551">
        <v>0</v>
      </c>
      <c r="AY93" s="551">
        <v>0</v>
      </c>
      <c r="AZ93" s="551">
        <v>376350.39600000001</v>
      </c>
      <c r="BA93" s="551">
        <v>373894.71100000001</v>
      </c>
    </row>
    <row r="94" spans="1:53" ht="3" customHeight="1" x14ac:dyDescent="0.2">
      <c r="A94" s="68" t="str">
        <f>IF(LEN(+'_DATA STT PAGOS_'!M99)=4,"0"&amp;+'_DATA STT PAGOS_'!M99,+'_DATA STT PAGOS_'!M99)</f>
        <v>06115</v>
      </c>
      <c r="B94" s="68" t="str">
        <f>IF(LEN(+'_DATA STT PAGOS_'!N99)=4,"0"&amp;+'_DATA STT PAGOS_'!N99,+'_DATA STT PAGOS_'!N99)</f>
        <v>06112</v>
      </c>
      <c r="C94" s="76" t="str">
        <f>+'_DATA STT PAGOS_'!O99</f>
        <v>RENGO</v>
      </c>
      <c r="D94" s="80">
        <f>+'CALC MEC ESTAB Y ESTIM M FINAL'!U99</f>
        <v>10764419</v>
      </c>
      <c r="E94" s="77">
        <f>+'CALC MEC ESTAB Y ESTIM M FINAL'!Q99</f>
        <v>4.0675989789999995E-3</v>
      </c>
      <c r="F94" s="77">
        <f>+'CALC MEC ESTAB Y ESTIM M FINAL'!R99</f>
        <v>-2.7512213399999999E-4</v>
      </c>
      <c r="G94" s="80">
        <f>+'_Flujo con Glosa 08'!CE99</f>
        <v>490824</v>
      </c>
      <c r="H94" s="80">
        <f>+'_Flujo con Glosa 08'!CF99</f>
        <v>490824</v>
      </c>
      <c r="I94" s="80">
        <f>+'_Flujo con Glosa 08'!CG99</f>
        <v>474366</v>
      </c>
      <c r="J94" s="80">
        <f>+'_Flujo con Glosa 08'!CH99</f>
        <v>490824</v>
      </c>
      <c r="K94" s="80">
        <f>+'_Flujo con Glosa 08'!CI99</f>
        <v>1470453</v>
      </c>
      <c r="L94" s="80">
        <f>+'_Flujo con Glosa 08'!CJ99</f>
        <v>505161</v>
      </c>
      <c r="M94" s="80">
        <f>+'_Flujo con Glosa 08'!CK99</f>
        <v>890110</v>
      </c>
      <c r="N94" s="80">
        <f>+'_Flujo con Glosa 08'!CL99</f>
        <v>490824</v>
      </c>
      <c r="O94" s="80">
        <f>+'_Flujo con Glosa 08'!CM99</f>
        <v>572385</v>
      </c>
      <c r="P94" s="80">
        <f>+'_Flujo con Glosa 08'!CN99</f>
        <v>958611</v>
      </c>
      <c r="Q94" s="80">
        <f>+'_Flujo con Glosa 08'!CO99</f>
        <v>490824</v>
      </c>
      <c r="R94" s="80">
        <f>+'_Flujo con Glosa 08'!CP99</f>
        <v>904430</v>
      </c>
      <c r="S94" s="80">
        <f t="shared" si="2"/>
        <v>8229636</v>
      </c>
      <c r="T94" s="80">
        <v>0</v>
      </c>
      <c r="U94" s="80">
        <v>0</v>
      </c>
      <c r="V94" s="80">
        <v>0</v>
      </c>
      <c r="W94" s="80">
        <v>0</v>
      </c>
      <c r="X94" s="80">
        <v>0</v>
      </c>
      <c r="Y94" s="80">
        <v>0</v>
      </c>
      <c r="Z94" s="80">
        <v>0</v>
      </c>
      <c r="AA94" s="80">
        <v>0</v>
      </c>
      <c r="AB94" s="80">
        <v>0</v>
      </c>
      <c r="AC94" s="80">
        <v>0</v>
      </c>
      <c r="AD94" s="80">
        <v>0</v>
      </c>
      <c r="AE94" s="80">
        <v>0</v>
      </c>
      <c r="AF94" s="80">
        <f t="shared" si="3"/>
        <v>0</v>
      </c>
      <c r="AG94" s="80">
        <f>+COEF_FCM!AM101</f>
        <v>305994</v>
      </c>
      <c r="AH94" s="80">
        <f>+COEF_FCM!AR101</f>
        <v>3623</v>
      </c>
      <c r="AI94" s="80">
        <f>+COEF_FCM!AN101</f>
        <v>179981</v>
      </c>
      <c r="AJ94" s="80">
        <f>+COEF_FCM!AS101</f>
        <v>1664</v>
      </c>
      <c r="AK94" s="80">
        <f>+COEF_FCM!AO101</f>
        <v>272806</v>
      </c>
      <c r="AL94" s="80">
        <f>+COEF_FCM!AT101</f>
        <v>2267.4690000000001</v>
      </c>
      <c r="AM94" s="80">
        <f>+COEF_FCM!AP101</f>
        <v>227552</v>
      </c>
      <c r="AN94" s="80">
        <f>+COEF_FCM!AU101</f>
        <v>1904</v>
      </c>
      <c r="AO94" s="80">
        <f>+COEF_FCM!AQ101</f>
        <v>986333</v>
      </c>
      <c r="AP94" s="80">
        <f>+COEF_FCM!AV101</f>
        <v>9458.469000000001</v>
      </c>
      <c r="AQ94" s="80">
        <f>+_CIERRE!O94+_CIERRE!P94</f>
        <v>7327890.8210000005</v>
      </c>
      <c r="AR94" s="80">
        <f>+_CIERRE!Q94+_CIERRE!R94</f>
        <v>8773906.9930000007</v>
      </c>
      <c r="AS94" s="80">
        <f>+_CIERRE!S94+_CIERRE!T94</f>
        <v>9633603.1559999995</v>
      </c>
      <c r="AT94" s="80">
        <f>+_CIERRE!U94+_CIERRE!V94</f>
        <v>10113103.675000001</v>
      </c>
      <c r="AU94" s="80">
        <f>+'CALC MEC ESTAB Y ESTIM M FINAL'!T99</f>
        <v>10764419</v>
      </c>
      <c r="AV94" s="560">
        <v>0</v>
      </c>
      <c r="AW94" s="551">
        <v>0</v>
      </c>
      <c r="AX94" s="551">
        <v>0</v>
      </c>
      <c r="AY94" s="551">
        <v>0</v>
      </c>
      <c r="AZ94" s="551">
        <v>657896.74800000002</v>
      </c>
      <c r="BA94" s="551">
        <v>709829.87100000004</v>
      </c>
    </row>
    <row r="95" spans="1:53" ht="3" customHeight="1" x14ac:dyDescent="0.2">
      <c r="A95" s="68" t="str">
        <f>IF(LEN(+'_DATA STT PAGOS_'!M100)=4,"0"&amp;+'_DATA STT PAGOS_'!M100,+'_DATA STT PAGOS_'!M100)</f>
        <v>06116</v>
      </c>
      <c r="B95" s="68" t="str">
        <f>IF(LEN(+'_DATA STT PAGOS_'!N100)=4,"0"&amp;+'_DATA STT PAGOS_'!N100,+'_DATA STT PAGOS_'!N100)</f>
        <v>06113</v>
      </c>
      <c r="C95" s="76" t="str">
        <f>+'_DATA STT PAGOS_'!O100</f>
        <v>REQUÍNOA</v>
      </c>
      <c r="D95" s="80">
        <f>+'CALC MEC ESTAB Y ESTIM M FINAL'!U100</f>
        <v>3197306</v>
      </c>
      <c r="E95" s="77">
        <f>+'CALC MEC ESTAB Y ESTIM M FINAL'!Q100</f>
        <v>1.1739041094999999E-3</v>
      </c>
      <c r="F95" s="77">
        <f>+'CALC MEC ESTAB Y ESTIM M FINAL'!R100</f>
        <v>-4.7442164300000001E-5</v>
      </c>
      <c r="G95" s="80">
        <f>+'_Flujo con Glosa 08'!CE100</f>
        <v>149938</v>
      </c>
      <c r="H95" s="80">
        <f>+'_Flujo con Glosa 08'!CF100</f>
        <v>149938</v>
      </c>
      <c r="I95" s="80">
        <f>+'_Flujo con Glosa 08'!CG100</f>
        <v>140899</v>
      </c>
      <c r="J95" s="80">
        <f>+'_Flujo con Glosa 08'!CH100</f>
        <v>149938</v>
      </c>
      <c r="K95" s="80">
        <f>+'_Flujo con Glosa 08'!CI100</f>
        <v>424309</v>
      </c>
      <c r="L95" s="80">
        <f>+'_Flujo con Glosa 08'!CJ100</f>
        <v>154197</v>
      </c>
      <c r="M95" s="80">
        <f>+'_Flujo con Glosa 08'!CK100</f>
        <v>260234</v>
      </c>
      <c r="N95" s="80">
        <f>+'_Flujo con Glosa 08'!CL100</f>
        <v>149938</v>
      </c>
      <c r="O95" s="80">
        <f>+'_Flujo con Glosa 08'!CM100</f>
        <v>170013</v>
      </c>
      <c r="P95" s="80">
        <f>+'_Flujo con Glosa 08'!CN100</f>
        <v>280581</v>
      </c>
      <c r="Q95" s="80">
        <f>+'_Flujo con Glosa 08'!CO100</f>
        <v>149938</v>
      </c>
      <c r="R95" s="80">
        <f>+'_Flujo con Glosa 08'!CP100</f>
        <v>264488</v>
      </c>
      <c r="S95" s="80">
        <f t="shared" si="2"/>
        <v>2444411</v>
      </c>
      <c r="T95" s="80">
        <v>0</v>
      </c>
      <c r="U95" s="80">
        <v>0</v>
      </c>
      <c r="V95" s="80">
        <v>0</v>
      </c>
      <c r="W95" s="80">
        <v>0</v>
      </c>
      <c r="X95" s="80">
        <v>0</v>
      </c>
      <c r="Y95" s="80">
        <v>0</v>
      </c>
      <c r="Z95" s="80">
        <v>0</v>
      </c>
      <c r="AA95" s="80">
        <v>0</v>
      </c>
      <c r="AB95" s="80">
        <v>0</v>
      </c>
      <c r="AC95" s="80">
        <v>0</v>
      </c>
      <c r="AD95" s="80">
        <v>0</v>
      </c>
      <c r="AE95" s="80">
        <v>0</v>
      </c>
      <c r="AF95" s="80">
        <f t="shared" si="3"/>
        <v>0</v>
      </c>
      <c r="AG95" s="80">
        <f>+COEF_FCM!AM102</f>
        <v>307237</v>
      </c>
      <c r="AH95" s="80">
        <f>+COEF_FCM!AR102</f>
        <v>10297</v>
      </c>
      <c r="AI95" s="80">
        <f>+COEF_FCM!AN102</f>
        <v>218357</v>
      </c>
      <c r="AJ95" s="80">
        <f>+COEF_FCM!AS102</f>
        <v>6774</v>
      </c>
      <c r="AK95" s="80">
        <f>+COEF_FCM!AO102</f>
        <v>241117</v>
      </c>
      <c r="AL95" s="80">
        <f>+COEF_FCM!AT102</f>
        <v>8603.3619999999992</v>
      </c>
      <c r="AM95" s="80">
        <f>+COEF_FCM!AP102</f>
        <v>242474</v>
      </c>
      <c r="AN95" s="80">
        <f>+COEF_FCM!AU102</f>
        <v>7630</v>
      </c>
      <c r="AO95" s="80">
        <f>+COEF_FCM!AQ102</f>
        <v>1009185</v>
      </c>
      <c r="AP95" s="80">
        <f>+COEF_FCM!AV102</f>
        <v>33304.362000000001</v>
      </c>
      <c r="AQ95" s="80">
        <f>+_CIERRE!O95+_CIERRE!P95</f>
        <v>2366959.35</v>
      </c>
      <c r="AR95" s="80">
        <f>+_CIERRE!Q95+_CIERRE!R95</f>
        <v>2749441.2069999999</v>
      </c>
      <c r="AS95" s="80">
        <f>+_CIERRE!S95+_CIERRE!T95</f>
        <v>3022901.5970000001</v>
      </c>
      <c r="AT95" s="80">
        <f>+_CIERRE!U95+_CIERRE!V95</f>
        <v>3084993.6209999998</v>
      </c>
      <c r="AU95" s="80">
        <f>+'CALC MEC ESTAB Y ESTIM M FINAL'!T100</f>
        <v>3197306</v>
      </c>
      <c r="AV95" s="560">
        <v>0</v>
      </c>
      <c r="AW95" s="551">
        <v>768449.33100000001</v>
      </c>
      <c r="AX95" s="551">
        <v>766296.17700000003</v>
      </c>
      <c r="AY95" s="551">
        <v>0</v>
      </c>
      <c r="AZ95" s="551">
        <v>353701.62300000002</v>
      </c>
      <c r="BA95" s="551">
        <v>366818.64399999997</v>
      </c>
    </row>
    <row r="96" spans="1:53" ht="3" customHeight="1" x14ac:dyDescent="0.2">
      <c r="A96" s="68" t="str">
        <f>IF(LEN(+'_DATA STT PAGOS_'!M101)=4,"0"&amp;+'_DATA STT PAGOS_'!M101,+'_DATA STT PAGOS_'!M101)</f>
        <v>06117</v>
      </c>
      <c r="B96" s="68" t="str">
        <f>IF(LEN(+'_DATA STT PAGOS_'!N101)=4,"0"&amp;+'_DATA STT PAGOS_'!N101,+'_DATA STT PAGOS_'!N101)</f>
        <v>06110</v>
      </c>
      <c r="C96" s="76" t="str">
        <f>+'_DATA STT PAGOS_'!O101</f>
        <v>SAN VICENTE</v>
      </c>
      <c r="D96" s="80">
        <f>+'CALC MEC ESTAB Y ESTIM M FINAL'!U101</f>
        <v>10173055</v>
      </c>
      <c r="E96" s="77">
        <f>+'CALC MEC ESTAB Y ESTIM M FINAL'!Q101</f>
        <v>3.8095670810999998E-3</v>
      </c>
      <c r="F96" s="77">
        <f>+'CALC MEC ESTAB Y ESTIM M FINAL'!R101</f>
        <v>-2.2543712620000001E-4</v>
      </c>
      <c r="G96" s="80">
        <f>+'_Flujo con Glosa 08'!CE101</f>
        <v>467190</v>
      </c>
      <c r="H96" s="80">
        <f>+'_Flujo con Glosa 08'!CF101</f>
        <v>467190</v>
      </c>
      <c r="I96" s="80">
        <f>+'_Flujo con Glosa 08'!CG101</f>
        <v>448305</v>
      </c>
      <c r="J96" s="80">
        <f>+'_Flujo con Glosa 08'!CH101</f>
        <v>467190</v>
      </c>
      <c r="K96" s="80">
        <f>+'_Flujo con Glosa 08'!CI101</f>
        <v>1379680</v>
      </c>
      <c r="L96" s="80">
        <f>+'_Flujo con Glosa 08'!CJ101</f>
        <v>480740</v>
      </c>
      <c r="M96" s="80">
        <f>+'_Flujo con Glosa 08'!CK101</f>
        <v>837880</v>
      </c>
      <c r="N96" s="80">
        <f>+'_Flujo con Glosa 08'!CL101</f>
        <v>467190</v>
      </c>
      <c r="O96" s="80">
        <f>+'_Flujo con Glosa 08'!CM101</f>
        <v>540940</v>
      </c>
      <c r="P96" s="80">
        <f>+'_Flujo con Glosa 08'!CN101</f>
        <v>902617</v>
      </c>
      <c r="Q96" s="80">
        <f>+'_Flujo con Glosa 08'!CO101</f>
        <v>467190</v>
      </c>
      <c r="R96" s="80">
        <f>+'_Flujo con Glosa 08'!CP101</f>
        <v>851413</v>
      </c>
      <c r="S96" s="80">
        <f t="shared" si="2"/>
        <v>7777525</v>
      </c>
      <c r="T96" s="80">
        <v>0</v>
      </c>
      <c r="U96" s="80">
        <v>0</v>
      </c>
      <c r="V96" s="80">
        <v>0</v>
      </c>
      <c r="W96" s="80">
        <v>0</v>
      </c>
      <c r="X96" s="80">
        <v>0</v>
      </c>
      <c r="Y96" s="80">
        <v>0</v>
      </c>
      <c r="Z96" s="80">
        <v>0</v>
      </c>
      <c r="AA96" s="80">
        <v>0</v>
      </c>
      <c r="AB96" s="80">
        <v>0</v>
      </c>
      <c r="AC96" s="80">
        <v>0</v>
      </c>
      <c r="AD96" s="80">
        <v>0</v>
      </c>
      <c r="AE96" s="80">
        <v>0</v>
      </c>
      <c r="AF96" s="80">
        <f t="shared" si="3"/>
        <v>0</v>
      </c>
      <c r="AG96" s="80">
        <f>+COEF_FCM!AM103</f>
        <v>218953</v>
      </c>
      <c r="AH96" s="80">
        <f>+COEF_FCM!AR103</f>
        <v>18789</v>
      </c>
      <c r="AI96" s="80">
        <f>+COEF_FCM!AN103</f>
        <v>148065</v>
      </c>
      <c r="AJ96" s="80">
        <f>+COEF_FCM!AS103</f>
        <v>8976</v>
      </c>
      <c r="AK96" s="80">
        <f>+COEF_FCM!AO103</f>
        <v>167856</v>
      </c>
      <c r="AL96" s="80">
        <f>+COEF_FCM!AT103</f>
        <v>14152.141</v>
      </c>
      <c r="AM96" s="80">
        <f>+COEF_FCM!AP103</f>
        <v>139326</v>
      </c>
      <c r="AN96" s="80">
        <f>+COEF_FCM!AU103</f>
        <v>9310</v>
      </c>
      <c r="AO96" s="80">
        <f>+COEF_FCM!AQ103</f>
        <v>674200</v>
      </c>
      <c r="AP96" s="80">
        <f>+COEF_FCM!AV103</f>
        <v>51227.141000000003</v>
      </c>
      <c r="AQ96" s="80">
        <f>+_CIERRE!O96+_CIERRE!P96</f>
        <v>6752846.9950000001</v>
      </c>
      <c r="AR96" s="80">
        <f>+_CIERRE!Q96+_CIERRE!R96</f>
        <v>8154696.2199999997</v>
      </c>
      <c r="AS96" s="80">
        <f>+_CIERRE!S96+_CIERRE!T96</f>
        <v>9152729.1329999994</v>
      </c>
      <c r="AT96" s="80">
        <f>+_CIERRE!U96+_CIERRE!V96</f>
        <v>9639361.6850000005</v>
      </c>
      <c r="AU96" s="80">
        <f>+'CALC MEC ESTAB Y ESTIM M FINAL'!T101</f>
        <v>10173055</v>
      </c>
      <c r="AV96" s="560">
        <v>0</v>
      </c>
      <c r="AW96" s="551">
        <v>0</v>
      </c>
      <c r="AX96" s="551">
        <v>0</v>
      </c>
      <c r="AY96" s="551">
        <v>0</v>
      </c>
      <c r="AZ96" s="551">
        <v>666258.353</v>
      </c>
      <c r="BA96" s="551">
        <v>696014.20400000003</v>
      </c>
    </row>
    <row r="97" spans="1:53" ht="3" customHeight="1" x14ac:dyDescent="0.2">
      <c r="A97" s="68" t="str">
        <f>IF(LEN(+'_DATA STT PAGOS_'!M102)=4,"0"&amp;+'_DATA STT PAGOS_'!M102,+'_DATA STT PAGOS_'!M102)</f>
        <v>06201</v>
      </c>
      <c r="B97" s="68" t="str">
        <f>IF(LEN(+'_DATA STT PAGOS_'!N102)=4,"0"&amp;+'_DATA STT PAGOS_'!N102,+'_DATA STT PAGOS_'!N102)</f>
        <v>06301</v>
      </c>
      <c r="C97" s="76" t="str">
        <f>+'_DATA STT PAGOS_'!O102</f>
        <v>PICHILEMU</v>
      </c>
      <c r="D97" s="80">
        <f>+'CALC MEC ESTAB Y ESTIM M FINAL'!U102</f>
        <v>12334850</v>
      </c>
      <c r="E97" s="77">
        <f>+'CALC MEC ESTAB Y ESTIM M FINAL'!Q102</f>
        <v>1.2854716422999999E-3</v>
      </c>
      <c r="F97" s="77">
        <f>+'CALC MEC ESTAB Y ESTIM M FINAL'!R102</f>
        <v>3.0602929933E-3</v>
      </c>
      <c r="G97" s="80">
        <f>+'_Flujo con Glosa 08'!CE102</f>
        <v>598401</v>
      </c>
      <c r="H97" s="80">
        <f>+'_Flujo con Glosa 08'!CF102</f>
        <v>598401</v>
      </c>
      <c r="I97" s="80">
        <f>+'_Flujo con Glosa 08'!CG102</f>
        <v>543571</v>
      </c>
      <c r="J97" s="80">
        <f>+'_Flujo con Glosa 08'!CH102</f>
        <v>598401</v>
      </c>
      <c r="K97" s="80">
        <f>+'_Flujo con Glosa 08'!CI102</f>
        <v>1577068</v>
      </c>
      <c r="L97" s="80">
        <f>+'_Flujo con Glosa 08'!CJ102</f>
        <v>614830</v>
      </c>
      <c r="M97" s="80">
        <f>+'_Flujo con Glosa 08'!CK102</f>
        <v>1004969</v>
      </c>
      <c r="N97" s="80">
        <f>+'_Flujo con Glosa 08'!CL102</f>
        <v>598401</v>
      </c>
      <c r="O97" s="80">
        <f>+'_Flujo con Glosa 08'!CM102</f>
        <v>655891</v>
      </c>
      <c r="P97" s="80">
        <f>+'_Flujo con Glosa 08'!CN102</f>
        <v>1041522</v>
      </c>
      <c r="Q97" s="80">
        <f>+'_Flujo con Glosa 08'!CO102</f>
        <v>598401</v>
      </c>
      <c r="R97" s="80">
        <f>+'_Flujo con Glosa 08'!CP102</f>
        <v>1000407</v>
      </c>
      <c r="S97" s="80">
        <f t="shared" si="2"/>
        <v>9430263</v>
      </c>
      <c r="T97" s="80">
        <v>0</v>
      </c>
      <c r="U97" s="80">
        <v>0</v>
      </c>
      <c r="V97" s="80">
        <v>0</v>
      </c>
      <c r="W97" s="80">
        <v>0</v>
      </c>
      <c r="X97" s="80">
        <v>0</v>
      </c>
      <c r="Y97" s="80">
        <v>0</v>
      </c>
      <c r="Z97" s="80">
        <v>0</v>
      </c>
      <c r="AA97" s="80">
        <v>0</v>
      </c>
      <c r="AB97" s="80">
        <v>0</v>
      </c>
      <c r="AC97" s="80">
        <v>0</v>
      </c>
      <c r="AD97" s="80">
        <v>0</v>
      </c>
      <c r="AE97" s="80">
        <v>0</v>
      </c>
      <c r="AF97" s="80">
        <f t="shared" si="3"/>
        <v>0</v>
      </c>
      <c r="AG97" s="80">
        <f>+COEF_FCM!AM104</f>
        <v>278786</v>
      </c>
      <c r="AH97" s="80">
        <f>+COEF_FCM!AR104</f>
        <v>24622</v>
      </c>
      <c r="AI97" s="80">
        <f>+COEF_FCM!AN104</f>
        <v>135175</v>
      </c>
      <c r="AJ97" s="80">
        <f>+COEF_FCM!AS104</f>
        <v>10726</v>
      </c>
      <c r="AK97" s="80">
        <f>+COEF_FCM!AO104</f>
        <v>182618</v>
      </c>
      <c r="AL97" s="80">
        <f>+COEF_FCM!AT104</f>
        <v>15610.062</v>
      </c>
      <c r="AM97" s="80">
        <f>+COEF_FCM!AP104</f>
        <v>163675</v>
      </c>
      <c r="AN97" s="80">
        <f>+COEF_FCM!AU104</f>
        <v>12339</v>
      </c>
      <c r="AO97" s="80">
        <f>+COEF_FCM!AQ104</f>
        <v>760254</v>
      </c>
      <c r="AP97" s="80">
        <f>+COEF_FCM!AV104</f>
        <v>63297.061999999998</v>
      </c>
      <c r="AQ97" s="80">
        <f>+_CIERRE!O97+_CIERRE!P97</f>
        <v>10552860.606000001</v>
      </c>
      <c r="AR97" s="80">
        <f>+_CIERRE!Q97+_CIERRE!R97</f>
        <v>11818760.880000001</v>
      </c>
      <c r="AS97" s="80">
        <f>+_CIERRE!S97+_CIERRE!T97</f>
        <v>12220532.187000001</v>
      </c>
      <c r="AT97" s="80">
        <f>+_CIERRE!U97+_CIERRE!V97</f>
        <v>12334849.559</v>
      </c>
      <c r="AU97" s="80">
        <f>+'CALC MEC ESTAB Y ESTIM M FINAL'!T102</f>
        <v>12334850</v>
      </c>
      <c r="AV97" s="560">
        <v>0</v>
      </c>
      <c r="AW97" s="551">
        <v>0</v>
      </c>
      <c r="AX97" s="551">
        <v>0</v>
      </c>
      <c r="AY97" s="551">
        <v>0</v>
      </c>
      <c r="AZ97" s="551">
        <v>375100.47100000002</v>
      </c>
      <c r="BA97" s="551">
        <v>388168.1</v>
      </c>
    </row>
    <row r="98" spans="1:53" ht="3" customHeight="1" x14ac:dyDescent="0.2">
      <c r="A98" s="68" t="str">
        <f>IF(LEN(+'_DATA STT PAGOS_'!M103)=4,"0"&amp;+'_DATA STT PAGOS_'!M103,+'_DATA STT PAGOS_'!M103)</f>
        <v>06202</v>
      </c>
      <c r="B98" s="68" t="str">
        <f>IF(LEN(+'_DATA STT PAGOS_'!N103)=4,"0"&amp;+'_DATA STT PAGOS_'!N103,+'_DATA STT PAGOS_'!N103)</f>
        <v>06304</v>
      </c>
      <c r="C98" s="76" t="str">
        <f>+'_DATA STT PAGOS_'!O103</f>
        <v>LA ESTRELLA</v>
      </c>
      <c r="D98" s="80">
        <f>+'CALC MEC ESTAB Y ESTIM M FINAL'!U103</f>
        <v>2153745</v>
      </c>
      <c r="E98" s="77">
        <f>+'CALC MEC ESTAB Y ESTIM M FINAL'!Q103</f>
        <v>8.0153208889999997E-4</v>
      </c>
      <c r="F98" s="77">
        <f>+'CALC MEC ESTAB Y ESTIM M FINAL'!R103</f>
        <v>-4.2733461300000002E-5</v>
      </c>
      <c r="G98" s="80">
        <f>+'_Flujo con Glosa 08'!CE103</f>
        <v>99545</v>
      </c>
      <c r="H98" s="80">
        <f>+'_Flujo con Glosa 08'!CF103</f>
        <v>99545</v>
      </c>
      <c r="I98" s="80">
        <f>+'_Flujo con Glosa 08'!CG103</f>
        <v>94911</v>
      </c>
      <c r="J98" s="80">
        <f>+'_Flujo con Glosa 08'!CH103</f>
        <v>99545</v>
      </c>
      <c r="K98" s="80">
        <f>+'_Flujo con Glosa 08'!CI103</f>
        <v>290186</v>
      </c>
      <c r="L98" s="80">
        <f>+'_Flujo con Glosa 08'!CJ103</f>
        <v>102414</v>
      </c>
      <c r="M98" s="80">
        <f>+'_Flujo con Glosa 08'!CK103</f>
        <v>176752</v>
      </c>
      <c r="N98" s="80">
        <f>+'_Flujo con Glosa 08'!CL103</f>
        <v>99545</v>
      </c>
      <c r="O98" s="80">
        <f>+'_Flujo con Glosa 08'!CM103</f>
        <v>114522</v>
      </c>
      <c r="P98" s="80">
        <f>+'_Flujo con Glosa 08'!CN103</f>
        <v>190458</v>
      </c>
      <c r="Q98" s="80">
        <f>+'_Flujo con Glosa 08'!CO103</f>
        <v>99545</v>
      </c>
      <c r="R98" s="80">
        <f>+'_Flujo con Glosa 08'!CP103</f>
        <v>179617</v>
      </c>
      <c r="S98" s="80">
        <f t="shared" si="2"/>
        <v>1646585</v>
      </c>
      <c r="T98" s="80">
        <v>0</v>
      </c>
      <c r="U98" s="80">
        <v>0</v>
      </c>
      <c r="V98" s="80">
        <v>0</v>
      </c>
      <c r="W98" s="80">
        <v>0</v>
      </c>
      <c r="X98" s="80">
        <v>0</v>
      </c>
      <c r="Y98" s="80">
        <v>0</v>
      </c>
      <c r="Z98" s="80">
        <v>0</v>
      </c>
      <c r="AA98" s="80">
        <v>0</v>
      </c>
      <c r="AB98" s="80">
        <v>0</v>
      </c>
      <c r="AC98" s="80">
        <v>0</v>
      </c>
      <c r="AD98" s="80">
        <v>0</v>
      </c>
      <c r="AE98" s="80">
        <v>0</v>
      </c>
      <c r="AF98" s="80">
        <f t="shared" si="3"/>
        <v>0</v>
      </c>
      <c r="AG98" s="80">
        <f>+COEF_FCM!AM105</f>
        <v>51972</v>
      </c>
      <c r="AH98" s="80">
        <f>+COEF_FCM!AR105</f>
        <v>16047</v>
      </c>
      <c r="AI98" s="80">
        <f>+COEF_FCM!AN105</f>
        <v>30626</v>
      </c>
      <c r="AJ98" s="80">
        <f>+COEF_FCM!AS105</f>
        <v>8813</v>
      </c>
      <c r="AK98" s="80">
        <f>+COEF_FCM!AO105</f>
        <v>43351</v>
      </c>
      <c r="AL98" s="80">
        <f>+COEF_FCM!AT105</f>
        <v>11915.153</v>
      </c>
      <c r="AM98" s="80">
        <f>+COEF_FCM!AP105</f>
        <v>35447</v>
      </c>
      <c r="AN98" s="80">
        <f>+COEF_FCM!AU105</f>
        <v>8078</v>
      </c>
      <c r="AO98" s="80">
        <f>+COEF_FCM!AQ105</f>
        <v>161396</v>
      </c>
      <c r="AP98" s="80">
        <f>+COEF_FCM!AV105</f>
        <v>44853.152999999998</v>
      </c>
      <c r="AQ98" s="80">
        <f>+_CIERRE!O98+_CIERRE!P98</f>
        <v>1621426.216</v>
      </c>
      <c r="AR98" s="80">
        <f>+_CIERRE!Q98+_CIERRE!R98</f>
        <v>1826860.4539999999</v>
      </c>
      <c r="AS98" s="80">
        <f>+_CIERRE!S98+_CIERRE!T98</f>
        <v>1961592.7039999999</v>
      </c>
      <c r="AT98" s="80">
        <f>+_CIERRE!U98+_CIERRE!V98</f>
        <v>2052578.4040000001</v>
      </c>
      <c r="AU98" s="80">
        <f>+'CALC MEC ESTAB Y ESTIM M FINAL'!T103</f>
        <v>2153745</v>
      </c>
      <c r="AV98" s="560">
        <v>0</v>
      </c>
      <c r="AW98" s="551">
        <v>0</v>
      </c>
      <c r="AX98" s="551">
        <v>0</v>
      </c>
      <c r="AY98" s="551">
        <v>0</v>
      </c>
      <c r="AZ98" s="551">
        <v>290509.42300000001</v>
      </c>
      <c r="BA98" s="551">
        <v>299694.88199999998</v>
      </c>
    </row>
    <row r="99" spans="1:53" ht="3" customHeight="1" x14ac:dyDescent="0.2">
      <c r="A99" s="68" t="str">
        <f>IF(LEN(+'_DATA STT PAGOS_'!M104)=4,"0"&amp;+'_DATA STT PAGOS_'!M104,+'_DATA STT PAGOS_'!M104)</f>
        <v>06203</v>
      </c>
      <c r="B99" s="68" t="str">
        <f>IF(LEN(+'_DATA STT PAGOS_'!N104)=4,"0"&amp;+'_DATA STT PAGOS_'!N104,+'_DATA STT PAGOS_'!N104)</f>
        <v>06303</v>
      </c>
      <c r="C99" s="76" t="str">
        <f>+'_DATA STT PAGOS_'!O104</f>
        <v>LITUECHE</v>
      </c>
      <c r="D99" s="80">
        <f>+'CALC MEC ESTAB Y ESTIM M FINAL'!U104</f>
        <v>2305955</v>
      </c>
      <c r="E99" s="77">
        <f>+'CALC MEC ESTAB Y ESTIM M FINAL'!Q104</f>
        <v>8.5458872600000001E-4</v>
      </c>
      <c r="F99" s="77">
        <f>+'CALC MEC ESTAB Y ESTIM M FINAL'!R104</f>
        <v>-4.2164118700000002E-5</v>
      </c>
      <c r="G99" s="80">
        <f>+'_Flujo con Glosa 08'!CE104</f>
        <v>106999</v>
      </c>
      <c r="H99" s="80">
        <f>+'_Flujo con Glosa 08'!CF104</f>
        <v>106999</v>
      </c>
      <c r="I99" s="80">
        <f>+'_Flujo con Glosa 08'!CG104</f>
        <v>101619</v>
      </c>
      <c r="J99" s="80">
        <f>+'_Flujo con Glosa 08'!CH104</f>
        <v>106999</v>
      </c>
      <c r="K99" s="80">
        <f>+'_Flujo con Glosa 08'!CI104</f>
        <v>309437</v>
      </c>
      <c r="L99" s="80">
        <f>+'_Flujo con Glosa 08'!CJ104</f>
        <v>110070</v>
      </c>
      <c r="M99" s="80">
        <f>+'_Flujo con Glosa 08'!CK104</f>
        <v>188825</v>
      </c>
      <c r="N99" s="80">
        <f>+'_Flujo con Glosa 08'!CL104</f>
        <v>106999</v>
      </c>
      <c r="O99" s="80">
        <f>+'_Flujo con Glosa 08'!CM104</f>
        <v>122616</v>
      </c>
      <c r="P99" s="80">
        <f>+'_Flujo con Glosa 08'!CN104</f>
        <v>203499</v>
      </c>
      <c r="Q99" s="80">
        <f>+'_Flujo con Glosa 08'!CO104</f>
        <v>106999</v>
      </c>
      <c r="R99" s="80">
        <f>+'_Flujo con Glosa 08'!CP104</f>
        <v>191893</v>
      </c>
      <c r="S99" s="80">
        <f t="shared" si="2"/>
        <v>1762954</v>
      </c>
      <c r="T99" s="80">
        <v>0</v>
      </c>
      <c r="U99" s="80">
        <v>0</v>
      </c>
      <c r="V99" s="80">
        <v>0</v>
      </c>
      <c r="W99" s="80">
        <v>0</v>
      </c>
      <c r="X99" s="80">
        <v>0</v>
      </c>
      <c r="Y99" s="80">
        <v>0</v>
      </c>
      <c r="Z99" s="80">
        <v>0</v>
      </c>
      <c r="AA99" s="80">
        <v>0</v>
      </c>
      <c r="AB99" s="80">
        <v>0</v>
      </c>
      <c r="AC99" s="80">
        <v>0</v>
      </c>
      <c r="AD99" s="80">
        <v>0</v>
      </c>
      <c r="AE99" s="80">
        <v>0</v>
      </c>
      <c r="AF99" s="80">
        <f t="shared" si="3"/>
        <v>0</v>
      </c>
      <c r="AG99" s="80">
        <f>+COEF_FCM!AM106</f>
        <v>115642</v>
      </c>
      <c r="AH99" s="80">
        <f>+COEF_FCM!AR106</f>
        <v>2226</v>
      </c>
      <c r="AI99" s="80">
        <f>+COEF_FCM!AN106</f>
        <v>66396</v>
      </c>
      <c r="AJ99" s="80">
        <f>+COEF_FCM!AS106</f>
        <v>2504</v>
      </c>
      <c r="AK99" s="80">
        <f>+COEF_FCM!AO106</f>
        <v>75920</v>
      </c>
      <c r="AL99" s="80">
        <f>+COEF_FCM!AT106</f>
        <v>1420.2380000000001</v>
      </c>
      <c r="AM99" s="80">
        <f>+COEF_FCM!AP106</f>
        <v>59318</v>
      </c>
      <c r="AN99" s="80">
        <f>+COEF_FCM!AU106</f>
        <v>773</v>
      </c>
      <c r="AO99" s="80">
        <f>+COEF_FCM!AQ106</f>
        <v>317276</v>
      </c>
      <c r="AP99" s="80">
        <f>+COEF_FCM!AV106</f>
        <v>6923.2380000000003</v>
      </c>
      <c r="AQ99" s="80">
        <f>+_CIERRE!O99+_CIERRE!P99</f>
        <v>1734776.6939999999</v>
      </c>
      <c r="AR99" s="80">
        <f>+_CIERRE!Q99+_CIERRE!R99</f>
        <v>1980691.764</v>
      </c>
      <c r="AS99" s="80">
        <f>+_CIERRE!S99+_CIERRE!T99</f>
        <v>2117657.821</v>
      </c>
      <c r="AT99" s="80">
        <f>+_CIERRE!U99+_CIERRE!V99</f>
        <v>2206136.0970000001</v>
      </c>
      <c r="AU99" s="80">
        <f>+'CALC MEC ESTAB Y ESTIM M FINAL'!T104</f>
        <v>2305955</v>
      </c>
      <c r="AV99" s="560">
        <v>0</v>
      </c>
      <c r="AW99" s="551">
        <v>502463.255</v>
      </c>
      <c r="AX99" s="551">
        <v>512340.07199999999</v>
      </c>
      <c r="AY99" s="551">
        <v>0</v>
      </c>
      <c r="AZ99" s="551">
        <v>302026.86599999998</v>
      </c>
      <c r="BA99" s="551">
        <v>311334.696</v>
      </c>
    </row>
    <row r="100" spans="1:53" ht="3" customHeight="1" x14ac:dyDescent="0.2">
      <c r="A100" s="68" t="str">
        <f>IF(LEN(+'_DATA STT PAGOS_'!M105)=4,"0"&amp;+'_DATA STT PAGOS_'!M105,+'_DATA STT PAGOS_'!M105)</f>
        <v>06204</v>
      </c>
      <c r="B100" s="68" t="str">
        <f>IF(LEN(+'_DATA STT PAGOS_'!N105)=4,"0"&amp;+'_DATA STT PAGOS_'!N105,+'_DATA STT PAGOS_'!N105)</f>
        <v>06305</v>
      </c>
      <c r="C100" s="76" t="str">
        <f>+'_DATA STT PAGOS_'!O105</f>
        <v>MARCHIHUE</v>
      </c>
      <c r="D100" s="80">
        <f>+'CALC MEC ESTAB Y ESTIM M FINAL'!U105</f>
        <v>2450750</v>
      </c>
      <c r="E100" s="77">
        <f>+'CALC MEC ESTAB Y ESTIM M FINAL'!Q105</f>
        <v>9.0775546249999989E-4</v>
      </c>
      <c r="F100" s="77">
        <f>+'CALC MEC ESTAB Y ESTIM M FINAL'!R105</f>
        <v>-4.4317121599999997E-5</v>
      </c>
      <c r="G100" s="80">
        <f>+'_Flujo con Glosa 08'!CE105</f>
        <v>113762</v>
      </c>
      <c r="H100" s="80">
        <f>+'_Flujo con Glosa 08'!CF105</f>
        <v>113762</v>
      </c>
      <c r="I100" s="80">
        <f>+'_Flujo con Glosa 08'!CG105</f>
        <v>107999</v>
      </c>
      <c r="J100" s="80">
        <f>+'_Flujo con Glosa 08'!CH105</f>
        <v>113762</v>
      </c>
      <c r="K100" s="80">
        <f>+'_Flujo con Glosa 08'!CI105</f>
        <v>328734</v>
      </c>
      <c r="L100" s="80">
        <f>+'_Flujo con Glosa 08'!CJ105</f>
        <v>117026</v>
      </c>
      <c r="M100" s="80">
        <f>+'_Flujo con Glosa 08'!CK105</f>
        <v>200638</v>
      </c>
      <c r="N100" s="80">
        <f>+'_Flujo con Glosa 08'!CL105</f>
        <v>113762</v>
      </c>
      <c r="O100" s="80">
        <f>+'_Flujo con Glosa 08'!CM105</f>
        <v>130316</v>
      </c>
      <c r="P100" s="80">
        <f>+'_Flujo con Glosa 08'!CN105</f>
        <v>216233</v>
      </c>
      <c r="Q100" s="80">
        <f>+'_Flujo con Glosa 08'!CO105</f>
        <v>113762</v>
      </c>
      <c r="R100" s="80">
        <f>+'_Flujo con Glosa 08'!CP105</f>
        <v>203898</v>
      </c>
      <c r="S100" s="80">
        <f t="shared" si="2"/>
        <v>1873654</v>
      </c>
      <c r="T100" s="80">
        <v>0</v>
      </c>
      <c r="U100" s="80">
        <v>0</v>
      </c>
      <c r="V100" s="80">
        <v>0</v>
      </c>
      <c r="W100" s="80">
        <v>0</v>
      </c>
      <c r="X100" s="80">
        <v>0</v>
      </c>
      <c r="Y100" s="80">
        <v>0</v>
      </c>
      <c r="Z100" s="80">
        <v>0</v>
      </c>
      <c r="AA100" s="80">
        <v>0</v>
      </c>
      <c r="AB100" s="80">
        <v>0</v>
      </c>
      <c r="AC100" s="80">
        <v>0</v>
      </c>
      <c r="AD100" s="80">
        <v>0</v>
      </c>
      <c r="AE100" s="80">
        <v>0</v>
      </c>
      <c r="AF100" s="80">
        <f t="shared" si="3"/>
        <v>0</v>
      </c>
      <c r="AG100" s="80">
        <f>+COEF_FCM!AM107</f>
        <v>46234</v>
      </c>
      <c r="AH100" s="80">
        <f>+COEF_FCM!AR107</f>
        <v>959</v>
      </c>
      <c r="AI100" s="80">
        <f>+COEF_FCM!AN107</f>
        <v>31992</v>
      </c>
      <c r="AJ100" s="80">
        <f>+COEF_FCM!AS107</f>
        <v>424</v>
      </c>
      <c r="AK100" s="80">
        <f>+COEF_FCM!AO107</f>
        <v>36833</v>
      </c>
      <c r="AL100" s="80">
        <f>+COEF_FCM!AT107</f>
        <v>509.83699999999999</v>
      </c>
      <c r="AM100" s="80">
        <f>+COEF_FCM!AP107</f>
        <v>32305</v>
      </c>
      <c r="AN100" s="80">
        <f>+COEF_FCM!AU107</f>
        <v>466</v>
      </c>
      <c r="AO100" s="80">
        <f>+COEF_FCM!AQ107</f>
        <v>147364</v>
      </c>
      <c r="AP100" s="80">
        <f>+COEF_FCM!AV107</f>
        <v>2358.837</v>
      </c>
      <c r="AQ100" s="80">
        <f>+_CIERRE!O100+_CIERRE!P100</f>
        <v>1874007.656</v>
      </c>
      <c r="AR100" s="80">
        <f>+_CIERRE!Q100+_CIERRE!R100</f>
        <v>2102602.5120000001</v>
      </c>
      <c r="AS100" s="80">
        <f>+_CIERRE!S100+_CIERRE!T100</f>
        <v>2246527.7220000001</v>
      </c>
      <c r="AT100" s="80">
        <f>+_CIERRE!U100+_CIERRE!V100</f>
        <v>2345834.4920000001</v>
      </c>
      <c r="AU100" s="80">
        <f>+'CALC MEC ESTAB Y ESTIM M FINAL'!T105</f>
        <v>2450750</v>
      </c>
      <c r="AV100" s="560">
        <v>0</v>
      </c>
      <c r="AW100" s="551">
        <v>0</v>
      </c>
      <c r="AX100" s="551">
        <v>0</v>
      </c>
      <c r="AY100" s="551">
        <v>0</v>
      </c>
      <c r="AZ100" s="551">
        <v>311752.86099999998</v>
      </c>
      <c r="BA100" s="551">
        <v>320621.51799999998</v>
      </c>
    </row>
    <row r="101" spans="1:53" ht="3" customHeight="1" x14ac:dyDescent="0.2">
      <c r="A101" s="68" t="str">
        <f>IF(LEN(+'_DATA STT PAGOS_'!M106)=4,"0"&amp;+'_DATA STT PAGOS_'!M106,+'_DATA STT PAGOS_'!M106)</f>
        <v>06205</v>
      </c>
      <c r="B101" s="68" t="str">
        <f>IF(LEN(+'_DATA STT PAGOS_'!N106)=4,"0"&amp;+'_DATA STT PAGOS_'!N106,+'_DATA STT PAGOS_'!N106)</f>
        <v>06302</v>
      </c>
      <c r="C101" s="76" t="str">
        <f>+'_DATA STT PAGOS_'!O106</f>
        <v>NAVIDAD</v>
      </c>
      <c r="D101" s="80">
        <f>+'CALC MEC ESTAB Y ESTIM M FINAL'!U106</f>
        <v>7256151</v>
      </c>
      <c r="E101" s="77">
        <f>+'CALC MEC ESTAB Y ESTIM M FINAL'!Q106</f>
        <v>1.0376677706999998E-3</v>
      </c>
      <c r="F101" s="77">
        <f>+'CALC MEC ESTAB Y ESTIM M FINAL'!R106</f>
        <v>1.5187901197999999E-3</v>
      </c>
      <c r="G101" s="80">
        <f>+'_Flujo con Glosa 08'!CE106</f>
        <v>352018</v>
      </c>
      <c r="H101" s="80">
        <f>+'_Flujo con Glosa 08'!CF106</f>
        <v>352018</v>
      </c>
      <c r="I101" s="80">
        <f>+'_Flujo con Glosa 08'!CG106</f>
        <v>319764</v>
      </c>
      <c r="J101" s="80">
        <f>+'_Flujo con Glosa 08'!CH106</f>
        <v>352018</v>
      </c>
      <c r="K101" s="80">
        <f>+'_Flujo con Glosa 08'!CI106</f>
        <v>927732</v>
      </c>
      <c r="L101" s="80">
        <f>+'_Flujo con Glosa 08'!CJ106</f>
        <v>361683</v>
      </c>
      <c r="M101" s="80">
        <f>+'_Flujo con Glosa 08'!CK106</f>
        <v>591187</v>
      </c>
      <c r="N101" s="80">
        <f>+'_Flujo con Glosa 08'!CL106</f>
        <v>352018</v>
      </c>
      <c r="O101" s="80">
        <f>+'_Flujo con Glosa 08'!CM106</f>
        <v>385837</v>
      </c>
      <c r="P101" s="80">
        <f>+'_Flujo con Glosa 08'!CN106</f>
        <v>612691</v>
      </c>
      <c r="Q101" s="80">
        <f>+'_Flujo con Glosa 08'!CO106</f>
        <v>352018</v>
      </c>
      <c r="R101" s="80">
        <f>+'_Flujo con Glosa 08'!CP106</f>
        <v>588504</v>
      </c>
      <c r="S101" s="80">
        <f t="shared" si="2"/>
        <v>5547488</v>
      </c>
      <c r="T101" s="80">
        <v>0</v>
      </c>
      <c r="U101" s="80">
        <v>0</v>
      </c>
      <c r="V101" s="80">
        <v>0</v>
      </c>
      <c r="W101" s="80">
        <v>0</v>
      </c>
      <c r="X101" s="80">
        <v>0</v>
      </c>
      <c r="Y101" s="80">
        <v>0</v>
      </c>
      <c r="Z101" s="80">
        <v>0</v>
      </c>
      <c r="AA101" s="80">
        <v>0</v>
      </c>
      <c r="AB101" s="80">
        <v>0</v>
      </c>
      <c r="AC101" s="80">
        <v>0</v>
      </c>
      <c r="AD101" s="80">
        <v>0</v>
      </c>
      <c r="AE101" s="80">
        <v>0</v>
      </c>
      <c r="AF101" s="80">
        <f t="shared" si="3"/>
        <v>0</v>
      </c>
      <c r="AG101" s="80">
        <f>+COEF_FCM!AM108</f>
        <v>58710</v>
      </c>
      <c r="AH101" s="80">
        <f>+COEF_FCM!AR108</f>
        <v>4823</v>
      </c>
      <c r="AI101" s="80">
        <f>+COEF_FCM!AN108</f>
        <v>28810</v>
      </c>
      <c r="AJ101" s="80">
        <f>+COEF_FCM!AS108</f>
        <v>1755</v>
      </c>
      <c r="AK101" s="80">
        <f>+COEF_FCM!AO108</f>
        <v>35619</v>
      </c>
      <c r="AL101" s="80">
        <f>+COEF_FCM!AT108</f>
        <v>2726.056</v>
      </c>
      <c r="AM101" s="80">
        <f>+COEF_FCM!AP108</f>
        <v>26234</v>
      </c>
      <c r="AN101" s="80">
        <f>+COEF_FCM!AU108</f>
        <v>2011</v>
      </c>
      <c r="AO101" s="80">
        <f>+COEF_FCM!AQ108</f>
        <v>149373</v>
      </c>
      <c r="AP101" s="80">
        <f>+COEF_FCM!AV108</f>
        <v>11315.056</v>
      </c>
      <c r="AQ101" s="80">
        <f>+_CIERRE!O101+_CIERRE!P101</f>
        <v>6412725.1279999996</v>
      </c>
      <c r="AR101" s="80">
        <f>+_CIERRE!Q101+_CIERRE!R101</f>
        <v>6952554.4919999996</v>
      </c>
      <c r="AS101" s="80">
        <f>+_CIERRE!S101+_CIERRE!T101</f>
        <v>7188901.8729999997</v>
      </c>
      <c r="AT101" s="80">
        <f>+_CIERRE!U101+_CIERRE!V101</f>
        <v>7256150.5420000004</v>
      </c>
      <c r="AU101" s="80">
        <f>+'CALC MEC ESTAB Y ESTIM M FINAL'!T106</f>
        <v>7256151</v>
      </c>
      <c r="AV101" s="560">
        <v>0</v>
      </c>
      <c r="AW101" s="551">
        <v>0</v>
      </c>
      <c r="AX101" s="551">
        <v>0</v>
      </c>
      <c r="AY101" s="551">
        <v>0</v>
      </c>
      <c r="AZ101" s="551">
        <v>334199.79100000003</v>
      </c>
      <c r="BA101" s="551">
        <v>343624.10499999998</v>
      </c>
    </row>
    <row r="102" spans="1:53" ht="3" customHeight="1" x14ac:dyDescent="0.2">
      <c r="A102" s="68" t="str">
        <f>IF(LEN(+'_DATA STT PAGOS_'!M107)=4,"0"&amp;+'_DATA STT PAGOS_'!M107,+'_DATA STT PAGOS_'!M107)</f>
        <v>06206</v>
      </c>
      <c r="B102" s="68" t="str">
        <f>IF(LEN(+'_DATA STT PAGOS_'!N107)=4,"0"&amp;+'_DATA STT PAGOS_'!N107,+'_DATA STT PAGOS_'!N107)</f>
        <v>06306</v>
      </c>
      <c r="C102" s="76" t="str">
        <f>+'_DATA STT PAGOS_'!O107</f>
        <v>PAREDONES</v>
      </c>
      <c r="D102" s="80">
        <f>+'CALC MEC ESTAB Y ESTIM M FINAL'!U107</f>
        <v>3909213</v>
      </c>
      <c r="E102" s="77">
        <f>+'CALC MEC ESTAB Y ESTIM M FINAL'!Q107</f>
        <v>9.7232352999999992E-4</v>
      </c>
      <c r="F102" s="77">
        <f>+'CALC MEC ESTAB Y ESTIM M FINAL'!R107</f>
        <v>4.0495479780000001E-4</v>
      </c>
      <c r="G102" s="80">
        <f>+'_Flujo con Glosa 08'!CE107</f>
        <v>189648</v>
      </c>
      <c r="H102" s="80">
        <f>+'_Flujo con Glosa 08'!CF107</f>
        <v>189648</v>
      </c>
      <c r="I102" s="80">
        <f>+'_Flujo con Glosa 08'!CG107</f>
        <v>172271</v>
      </c>
      <c r="J102" s="80">
        <f>+'_Flujo con Glosa 08'!CH107</f>
        <v>189648</v>
      </c>
      <c r="K102" s="80">
        <f>+'_Flujo con Glosa 08'!CI107</f>
        <v>499811</v>
      </c>
      <c r="L102" s="80">
        <f>+'_Flujo con Glosa 08'!CJ107</f>
        <v>194855</v>
      </c>
      <c r="M102" s="80">
        <f>+'_Flujo con Glosa 08'!CK107</f>
        <v>318499</v>
      </c>
      <c r="N102" s="80">
        <f>+'_Flujo con Glosa 08'!CL107</f>
        <v>189648</v>
      </c>
      <c r="O102" s="80">
        <f>+'_Flujo con Glosa 08'!CM107</f>
        <v>207868</v>
      </c>
      <c r="P102" s="80">
        <f>+'_Flujo con Glosa 08'!CN107</f>
        <v>330084</v>
      </c>
      <c r="Q102" s="80">
        <f>+'_Flujo con Glosa 08'!CO107</f>
        <v>189648</v>
      </c>
      <c r="R102" s="80">
        <f>+'_Flujo con Glosa 08'!CP107</f>
        <v>317054</v>
      </c>
      <c r="S102" s="80">
        <f t="shared" si="2"/>
        <v>2988682</v>
      </c>
      <c r="T102" s="80">
        <v>0</v>
      </c>
      <c r="U102" s="80">
        <v>0</v>
      </c>
      <c r="V102" s="80">
        <v>0</v>
      </c>
      <c r="W102" s="80">
        <v>0</v>
      </c>
      <c r="X102" s="80">
        <v>0</v>
      </c>
      <c r="Y102" s="80">
        <v>0</v>
      </c>
      <c r="Z102" s="80">
        <v>0</v>
      </c>
      <c r="AA102" s="80">
        <v>0</v>
      </c>
      <c r="AB102" s="80">
        <v>0</v>
      </c>
      <c r="AC102" s="80">
        <v>0</v>
      </c>
      <c r="AD102" s="80">
        <v>0</v>
      </c>
      <c r="AE102" s="80">
        <v>0</v>
      </c>
      <c r="AF102" s="80">
        <f t="shared" si="3"/>
        <v>0</v>
      </c>
      <c r="AG102" s="80">
        <f>+COEF_FCM!AM109</f>
        <v>42166</v>
      </c>
      <c r="AH102" s="80">
        <f>+COEF_FCM!AR109</f>
        <v>1925</v>
      </c>
      <c r="AI102" s="80">
        <f>+COEF_FCM!AN109</f>
        <v>17569</v>
      </c>
      <c r="AJ102" s="80">
        <f>+COEF_FCM!AS109</f>
        <v>604</v>
      </c>
      <c r="AK102" s="80">
        <f>+COEF_FCM!AO109</f>
        <v>22903</v>
      </c>
      <c r="AL102" s="80">
        <f>+COEF_FCM!AT109</f>
        <v>952.54499999999996</v>
      </c>
      <c r="AM102" s="80">
        <f>+COEF_FCM!AP109</f>
        <v>17747</v>
      </c>
      <c r="AN102" s="80">
        <f>+COEF_FCM!AU109</f>
        <v>560</v>
      </c>
      <c r="AO102" s="80">
        <f>+COEF_FCM!AQ109</f>
        <v>100385</v>
      </c>
      <c r="AP102" s="80">
        <f>+COEF_FCM!AV109</f>
        <v>4041.5450000000001</v>
      </c>
      <c r="AQ102" s="80">
        <f>+_CIERRE!O102+_CIERRE!P102</f>
        <v>3346785.7540000002</v>
      </c>
      <c r="AR102" s="80">
        <f>+_CIERRE!Q102+_CIERRE!R102</f>
        <v>3745652.3620000002</v>
      </c>
      <c r="AS102" s="80">
        <f>+_CIERRE!S102+_CIERRE!T102</f>
        <v>3872983.0210000002</v>
      </c>
      <c r="AT102" s="80">
        <f>+_CIERRE!U102+_CIERRE!V102</f>
        <v>3909213.236</v>
      </c>
      <c r="AU102" s="80">
        <f>+'CALC MEC ESTAB Y ESTIM M FINAL'!T107</f>
        <v>3909213</v>
      </c>
      <c r="AV102" s="560">
        <v>0</v>
      </c>
      <c r="AW102" s="551">
        <v>0</v>
      </c>
      <c r="AX102" s="551">
        <v>0</v>
      </c>
      <c r="AY102" s="551">
        <v>0</v>
      </c>
      <c r="AZ102" s="551">
        <v>331100.272</v>
      </c>
      <c r="BA102" s="551">
        <v>337734.603</v>
      </c>
    </row>
    <row r="103" spans="1:53" ht="3" customHeight="1" x14ac:dyDescent="0.2">
      <c r="A103" s="68" t="str">
        <f>IF(LEN(+'_DATA STT PAGOS_'!M108)=4,"0"&amp;+'_DATA STT PAGOS_'!M108,+'_DATA STT PAGOS_'!M108)</f>
        <v>06301</v>
      </c>
      <c r="B103" s="68" t="str">
        <f>IF(LEN(+'_DATA STT PAGOS_'!N108)=4,"0"&amp;+'_DATA STT PAGOS_'!N108,+'_DATA STT PAGOS_'!N108)</f>
        <v>06201</v>
      </c>
      <c r="C103" s="76" t="str">
        <f>+'_DATA STT PAGOS_'!O108</f>
        <v>SAN FERNANDO</v>
      </c>
      <c r="D103" s="80">
        <f>+'CALC MEC ESTAB Y ESTIM M FINAL'!U108</f>
        <v>10683755</v>
      </c>
      <c r="E103" s="77">
        <f>+'CALC MEC ESTAB Y ESTIM M FINAL'!Q108</f>
        <v>4.0257945061999995E-3</v>
      </c>
      <c r="F103" s="77">
        <f>+'CALC MEC ESTAB Y ESTIM M FINAL'!R108</f>
        <v>-2.6173694550000001E-4</v>
      </c>
      <c r="G103" s="80">
        <f>+'_Flujo con Glosa 08'!CE108</f>
        <v>488058</v>
      </c>
      <c r="H103" s="80">
        <f>+'_Flujo con Glosa 08'!CF108</f>
        <v>488058</v>
      </c>
      <c r="I103" s="80">
        <f>+'_Flujo con Glosa 08'!CG108</f>
        <v>470811</v>
      </c>
      <c r="J103" s="80">
        <f>+'_Flujo con Glosa 08'!CH108</f>
        <v>488058</v>
      </c>
      <c r="K103" s="80">
        <f>+'_Flujo con Glosa 08'!CI108</f>
        <v>1456697</v>
      </c>
      <c r="L103" s="80">
        <f>+'_Flujo con Glosa 08'!CJ108</f>
        <v>502288</v>
      </c>
      <c r="M103" s="80">
        <f>+'_Flujo con Glosa 08'!CK108</f>
        <v>882528</v>
      </c>
      <c r="N103" s="80">
        <f>+'_Flujo con Glosa 08'!CL108</f>
        <v>488058</v>
      </c>
      <c r="O103" s="80">
        <f>+'_Flujo con Glosa 08'!CM108</f>
        <v>568096</v>
      </c>
      <c r="P103" s="80">
        <f>+'_Flujo con Glosa 08'!CN108</f>
        <v>950516</v>
      </c>
      <c r="Q103" s="80">
        <f>+'_Flujo con Glosa 08'!CO108</f>
        <v>488058</v>
      </c>
      <c r="R103" s="80">
        <f>+'_Flujo con Glosa 08'!CP108</f>
        <v>896741</v>
      </c>
      <c r="S103" s="80">
        <f t="shared" si="2"/>
        <v>8167967</v>
      </c>
      <c r="T103" s="80">
        <v>0</v>
      </c>
      <c r="U103" s="80">
        <v>0</v>
      </c>
      <c r="V103" s="80">
        <v>0</v>
      </c>
      <c r="W103" s="80">
        <v>0</v>
      </c>
      <c r="X103" s="80">
        <v>0</v>
      </c>
      <c r="Y103" s="80">
        <v>0</v>
      </c>
      <c r="Z103" s="80">
        <v>0</v>
      </c>
      <c r="AA103" s="80">
        <v>0</v>
      </c>
      <c r="AB103" s="80">
        <v>0</v>
      </c>
      <c r="AC103" s="80">
        <v>0</v>
      </c>
      <c r="AD103" s="80">
        <v>0</v>
      </c>
      <c r="AE103" s="80">
        <v>0</v>
      </c>
      <c r="AF103" s="80">
        <f t="shared" si="3"/>
        <v>0</v>
      </c>
      <c r="AG103" s="80">
        <f>+COEF_FCM!AM110</f>
        <v>536257</v>
      </c>
      <c r="AH103" s="80">
        <f>+COEF_FCM!AR110</f>
        <v>34493</v>
      </c>
      <c r="AI103" s="80">
        <f>+COEF_FCM!AN110</f>
        <v>405788</v>
      </c>
      <c r="AJ103" s="80">
        <f>+COEF_FCM!AS110</f>
        <v>18254</v>
      </c>
      <c r="AK103" s="80">
        <f>+COEF_FCM!AO110</f>
        <v>452204</v>
      </c>
      <c r="AL103" s="80">
        <f>+COEF_FCM!AT110</f>
        <v>24195.530999999999</v>
      </c>
      <c r="AM103" s="80">
        <f>+COEF_FCM!AP110</f>
        <v>388546</v>
      </c>
      <c r="AN103" s="80">
        <f>+COEF_FCM!AU110</f>
        <v>17682</v>
      </c>
      <c r="AO103" s="80">
        <f>+COEF_FCM!AQ110</f>
        <v>1782795</v>
      </c>
      <c r="AP103" s="80">
        <f>+COEF_FCM!AV110</f>
        <v>94624.531000000003</v>
      </c>
      <c r="AQ103" s="80">
        <f>+_CIERRE!O103+_CIERRE!P103</f>
        <v>7176967.5269999998</v>
      </c>
      <c r="AR103" s="80">
        <f>+_CIERRE!Q103+_CIERRE!R103</f>
        <v>8009958.8710000003</v>
      </c>
      <c r="AS103" s="80">
        <f>+_CIERRE!S103+_CIERRE!T103</f>
        <v>9128861.0999999996</v>
      </c>
      <c r="AT103" s="80">
        <f>+_CIERRE!U103+_CIERRE!V103</f>
        <v>10064127.697000001</v>
      </c>
      <c r="AU103" s="80">
        <f>+'CALC MEC ESTAB Y ESTIM M FINAL'!T108</f>
        <v>10683755</v>
      </c>
      <c r="AV103" s="560">
        <v>0</v>
      </c>
      <c r="AW103" s="551">
        <v>0</v>
      </c>
      <c r="AX103" s="551">
        <v>0</v>
      </c>
      <c r="AY103" s="551">
        <v>0</v>
      </c>
      <c r="AZ103" s="551">
        <v>647818.84100000001</v>
      </c>
      <c r="BA103" s="551">
        <v>663757.21100000001</v>
      </c>
    </row>
    <row r="104" spans="1:53" ht="3" customHeight="1" x14ac:dyDescent="0.2">
      <c r="A104" s="68" t="str">
        <f>IF(LEN(+'_DATA STT PAGOS_'!M109)=4,"0"&amp;+'_DATA STT PAGOS_'!M109,+'_DATA STT PAGOS_'!M109)</f>
        <v>06302</v>
      </c>
      <c r="B104" s="68" t="str">
        <f>IF(LEN(+'_DATA STT PAGOS_'!N109)=4,"0"&amp;+'_DATA STT PAGOS_'!N109,+'_DATA STT PAGOS_'!N109)</f>
        <v>06209</v>
      </c>
      <c r="C104" s="76" t="str">
        <f>+'_DATA STT PAGOS_'!O109</f>
        <v>CHÉPICA</v>
      </c>
      <c r="D104" s="80">
        <f>+'CALC MEC ESTAB Y ESTIM M FINAL'!U109</f>
        <v>4720241</v>
      </c>
      <c r="E104" s="77">
        <f>+'CALC MEC ESTAB Y ESTIM M FINAL'!Q109</f>
        <v>1.8415178653E-3</v>
      </c>
      <c r="F104" s="77">
        <f>+'CALC MEC ESTAB Y ESTIM M FINAL'!R109</f>
        <v>-1.785015923E-4</v>
      </c>
      <c r="G104" s="80">
        <f>+'_Flujo con Glosa 08'!CE109</f>
        <v>208506</v>
      </c>
      <c r="H104" s="80">
        <f>+'_Flujo con Glosa 08'!CF109</f>
        <v>208506</v>
      </c>
      <c r="I104" s="80">
        <f>+'_Flujo con Glosa 08'!CG109</f>
        <v>208011</v>
      </c>
      <c r="J104" s="80">
        <f>+'_Flujo con Glosa 08'!CH109</f>
        <v>208506</v>
      </c>
      <c r="K104" s="80">
        <f>+'_Flujo con Glosa 08'!CI109</f>
        <v>664966</v>
      </c>
      <c r="L104" s="80">
        <f>+'_Flujo con Glosa 08'!CJ109</f>
        <v>214793</v>
      </c>
      <c r="M104" s="80">
        <f>+'_Flujo con Glosa 08'!CK109</f>
        <v>397039</v>
      </c>
      <c r="N104" s="80">
        <f>+'_Flujo con Glosa 08'!CL109</f>
        <v>208506</v>
      </c>
      <c r="O104" s="80">
        <f>+'_Flujo con Glosa 08'!CM109</f>
        <v>250994</v>
      </c>
      <c r="P104" s="80">
        <f>+'_Flujo con Glosa 08'!CN109</f>
        <v>427077</v>
      </c>
      <c r="Q104" s="80">
        <f>+'_Flujo con Glosa 08'!CO109</f>
        <v>208506</v>
      </c>
      <c r="R104" s="80">
        <f>+'_Flujo con Glosa 08'!CP109</f>
        <v>403319</v>
      </c>
      <c r="S104" s="80">
        <f t="shared" si="2"/>
        <v>3608729</v>
      </c>
      <c r="T104" s="80">
        <v>0</v>
      </c>
      <c r="U104" s="80">
        <v>0</v>
      </c>
      <c r="V104" s="80">
        <v>0</v>
      </c>
      <c r="W104" s="80">
        <v>0</v>
      </c>
      <c r="X104" s="80">
        <v>0</v>
      </c>
      <c r="Y104" s="80">
        <v>0</v>
      </c>
      <c r="Z104" s="80">
        <v>0</v>
      </c>
      <c r="AA104" s="80">
        <v>0</v>
      </c>
      <c r="AB104" s="80">
        <v>0</v>
      </c>
      <c r="AC104" s="80">
        <v>0</v>
      </c>
      <c r="AD104" s="80">
        <v>0</v>
      </c>
      <c r="AE104" s="80">
        <v>0</v>
      </c>
      <c r="AF104" s="80">
        <f t="shared" si="3"/>
        <v>0</v>
      </c>
      <c r="AG104" s="80">
        <f>+COEF_FCM!AM111</f>
        <v>61225</v>
      </c>
      <c r="AH104" s="80">
        <f>+COEF_FCM!AR111</f>
        <v>1285</v>
      </c>
      <c r="AI104" s="80">
        <f>+COEF_FCM!AN111</f>
        <v>38254</v>
      </c>
      <c r="AJ104" s="80">
        <f>+COEF_FCM!AS111</f>
        <v>424</v>
      </c>
      <c r="AK104" s="80">
        <f>+COEF_FCM!AO111</f>
        <v>42310</v>
      </c>
      <c r="AL104" s="80">
        <f>+COEF_FCM!AT111</f>
        <v>692.60400000000004</v>
      </c>
      <c r="AM104" s="80">
        <f>+COEF_FCM!AP111</f>
        <v>33494</v>
      </c>
      <c r="AN104" s="80">
        <f>+COEF_FCM!AU111</f>
        <v>1094</v>
      </c>
      <c r="AO104" s="80">
        <f>+COEF_FCM!AQ111</f>
        <v>175283</v>
      </c>
      <c r="AP104" s="80">
        <f>+COEF_FCM!AV111</f>
        <v>3495.6040000000003</v>
      </c>
      <c r="AQ104" s="80">
        <f>+_CIERRE!O104+_CIERRE!P104</f>
        <v>3147105.5279999999</v>
      </c>
      <c r="AR104" s="80">
        <f>+_CIERRE!Q104+_CIERRE!R104</f>
        <v>3714251.7170000002</v>
      </c>
      <c r="AS104" s="80">
        <f>+_CIERRE!S104+_CIERRE!T104</f>
        <v>4018881.9750000001</v>
      </c>
      <c r="AT104" s="80">
        <f>+_CIERRE!U104+_CIERRE!V104</f>
        <v>4297661.9950000001</v>
      </c>
      <c r="AU104" s="80">
        <f>+'CALC MEC ESTAB Y ESTIM M FINAL'!T109</f>
        <v>4720241</v>
      </c>
      <c r="AV104" s="560">
        <v>0</v>
      </c>
      <c r="AW104" s="551">
        <v>0</v>
      </c>
      <c r="AX104" s="551">
        <v>0</v>
      </c>
      <c r="AY104" s="551">
        <v>0</v>
      </c>
      <c r="AZ104" s="551">
        <v>402241.79100000003</v>
      </c>
      <c r="BA104" s="551">
        <v>465080.59499999997</v>
      </c>
    </row>
    <row r="105" spans="1:53" ht="3" customHeight="1" x14ac:dyDescent="0.2">
      <c r="A105" s="68" t="str">
        <f>IF(LEN(+'_DATA STT PAGOS_'!M110)=4,"0"&amp;+'_DATA STT PAGOS_'!M110,+'_DATA STT PAGOS_'!M110)</f>
        <v>06303</v>
      </c>
      <c r="B105" s="68" t="str">
        <f>IF(LEN(+'_DATA STT PAGOS_'!N110)=4,"0"&amp;+'_DATA STT PAGOS_'!N110,+'_DATA STT PAGOS_'!N110)</f>
        <v>06202</v>
      </c>
      <c r="C105" s="76" t="str">
        <f>+'_DATA STT PAGOS_'!O110</f>
        <v>CHIMBARONGO</v>
      </c>
      <c r="D105" s="80">
        <f>+'CALC MEC ESTAB Y ESTIM M FINAL'!U110</f>
        <v>8561850</v>
      </c>
      <c r="E105" s="77">
        <f>+'CALC MEC ESTAB Y ESTIM M FINAL'!Q110</f>
        <v>3.2989639376000001E-3</v>
      </c>
      <c r="F105" s="77">
        <f>+'CALC MEC ESTAB Y ESTIM M FINAL'!R110</f>
        <v>-2.8248729940000001E-4</v>
      </c>
      <c r="G105" s="80">
        <f>+'_Flujo con Glosa 08'!CE110</f>
        <v>382844</v>
      </c>
      <c r="H105" s="80">
        <f>+'_Flujo con Glosa 08'!CF110</f>
        <v>382844</v>
      </c>
      <c r="I105" s="80">
        <f>+'_Flujo con Glosa 08'!CG110</f>
        <v>377303</v>
      </c>
      <c r="J105" s="80">
        <f>+'_Flujo con Glosa 08'!CH110</f>
        <v>382844</v>
      </c>
      <c r="K105" s="80">
        <f>+'_Flujo con Glosa 08'!CI110</f>
        <v>1192224</v>
      </c>
      <c r="L105" s="80">
        <f>+'_Flujo con Glosa 08'!CJ110</f>
        <v>394248</v>
      </c>
      <c r="M105" s="80">
        <f>+'_Flujo con Glosa 08'!CK110</f>
        <v>715529</v>
      </c>
      <c r="N105" s="80">
        <f>+'_Flujo con Glosa 08'!CL110</f>
        <v>382844</v>
      </c>
      <c r="O105" s="80">
        <f>+'_Flujo con Glosa 08'!CM110</f>
        <v>455267</v>
      </c>
      <c r="P105" s="80">
        <f>+'_Flujo con Glosa 08'!CN110</f>
        <v>770014</v>
      </c>
      <c r="Q105" s="80">
        <f>+'_Flujo con Glosa 08'!CO110</f>
        <v>382844</v>
      </c>
      <c r="R105" s="80">
        <f>+'_Flujo con Glosa 08'!CP110</f>
        <v>726920</v>
      </c>
      <c r="S105" s="80">
        <f t="shared" si="2"/>
        <v>6545725</v>
      </c>
      <c r="T105" s="80">
        <v>0</v>
      </c>
      <c r="U105" s="80">
        <v>0</v>
      </c>
      <c r="V105" s="80">
        <v>0</v>
      </c>
      <c r="W105" s="80">
        <v>0</v>
      </c>
      <c r="X105" s="80">
        <v>0</v>
      </c>
      <c r="Y105" s="80">
        <v>0</v>
      </c>
      <c r="Z105" s="80">
        <v>0</v>
      </c>
      <c r="AA105" s="80">
        <v>0</v>
      </c>
      <c r="AB105" s="80">
        <v>0</v>
      </c>
      <c r="AC105" s="80">
        <v>0</v>
      </c>
      <c r="AD105" s="80">
        <v>0</v>
      </c>
      <c r="AE105" s="80">
        <v>0</v>
      </c>
      <c r="AF105" s="80">
        <f t="shared" si="3"/>
        <v>0</v>
      </c>
      <c r="AG105" s="80">
        <f>+COEF_FCM!AM112</f>
        <v>153474</v>
      </c>
      <c r="AH105" s="80">
        <f>+COEF_FCM!AR112</f>
        <v>1627</v>
      </c>
      <c r="AI105" s="80">
        <f>+COEF_FCM!AN112</f>
        <v>124600</v>
      </c>
      <c r="AJ105" s="80">
        <f>+COEF_FCM!AS112</f>
        <v>966</v>
      </c>
      <c r="AK105" s="80">
        <f>+COEF_FCM!AO112</f>
        <v>120471</v>
      </c>
      <c r="AL105" s="80">
        <f>+COEF_FCM!AT112</f>
        <v>1650.0039999999999</v>
      </c>
      <c r="AM105" s="80">
        <f>+COEF_FCM!AP112</f>
        <v>104108</v>
      </c>
      <c r="AN105" s="80">
        <f>+COEF_FCM!AU112</f>
        <v>962</v>
      </c>
      <c r="AO105" s="80">
        <f>+COEF_FCM!AQ112</f>
        <v>502653</v>
      </c>
      <c r="AP105" s="80">
        <f>+COEF_FCM!AV112</f>
        <v>5205.0039999999999</v>
      </c>
      <c r="AQ105" s="80">
        <f>+_CIERRE!O105+_CIERRE!P105</f>
        <v>5505863.8320000004</v>
      </c>
      <c r="AR105" s="80">
        <f>+_CIERRE!Q105+_CIERRE!R105</f>
        <v>6308107.5410000002</v>
      </c>
      <c r="AS105" s="80">
        <f>+_CIERRE!S105+_CIERRE!T105</f>
        <v>6843141.5209999997</v>
      </c>
      <c r="AT105" s="80">
        <f>+_CIERRE!U105+_CIERRE!V105</f>
        <v>7893098.1909999996</v>
      </c>
      <c r="AU105" s="80">
        <f>+'CALC MEC ESTAB Y ESTIM M FINAL'!T110</f>
        <v>8561850</v>
      </c>
      <c r="AV105" s="560">
        <v>0</v>
      </c>
      <c r="AW105" s="551">
        <v>0</v>
      </c>
      <c r="AX105" s="551">
        <v>0</v>
      </c>
      <c r="AY105" s="551">
        <v>0</v>
      </c>
      <c r="AZ105" s="551">
        <v>616187.924</v>
      </c>
      <c r="BA105" s="551">
        <v>594815.72</v>
      </c>
    </row>
    <row r="106" spans="1:53" ht="3" customHeight="1" x14ac:dyDescent="0.2">
      <c r="A106" s="68" t="str">
        <f>IF(LEN(+'_DATA STT PAGOS_'!M111)=4,"0"&amp;+'_DATA STT PAGOS_'!M111,+'_DATA STT PAGOS_'!M111)</f>
        <v>06304</v>
      </c>
      <c r="B106" s="68" t="str">
        <f>IF(LEN(+'_DATA STT PAGOS_'!N111)=4,"0"&amp;+'_DATA STT PAGOS_'!N111,+'_DATA STT PAGOS_'!N111)</f>
        <v>06206</v>
      </c>
      <c r="C106" s="76" t="str">
        <f>+'_DATA STT PAGOS_'!O111</f>
        <v>LOLOL</v>
      </c>
      <c r="D106" s="80">
        <f>+'CALC MEC ESTAB Y ESTIM M FINAL'!U111</f>
        <v>2652506</v>
      </c>
      <c r="E106" s="77">
        <f>+'CALC MEC ESTAB Y ESTIM M FINAL'!Q111</f>
        <v>9.8639088509999999E-4</v>
      </c>
      <c r="F106" s="77">
        <f>+'CALC MEC ESTAB Y ESTIM M FINAL'!R111</f>
        <v>-5.1870776099999997E-5</v>
      </c>
      <c r="G106" s="80">
        <f>+'_Flujo con Glosa 08'!CE111</f>
        <v>122683</v>
      </c>
      <c r="H106" s="80">
        <f>+'_Flujo con Glosa 08'!CF111</f>
        <v>122683</v>
      </c>
      <c r="I106" s="80">
        <f>+'_Flujo con Glosa 08'!CG111</f>
        <v>116890</v>
      </c>
      <c r="J106" s="80">
        <f>+'_Flujo con Glosa 08'!CH111</f>
        <v>122683</v>
      </c>
      <c r="K106" s="80">
        <f>+'_Flujo con Glosa 08'!CI111</f>
        <v>357129</v>
      </c>
      <c r="L106" s="80">
        <f>+'_Flujo con Glosa 08'!CJ111</f>
        <v>126216</v>
      </c>
      <c r="M106" s="80">
        <f>+'_Flujo con Glosa 08'!CK111</f>
        <v>217599</v>
      </c>
      <c r="N106" s="80">
        <f>+'_Flujo con Glosa 08'!CL111</f>
        <v>122683</v>
      </c>
      <c r="O106" s="80">
        <f>+'_Flujo con Glosa 08'!CM111</f>
        <v>141044</v>
      </c>
      <c r="P106" s="80">
        <f>+'_Flujo con Glosa 08'!CN111</f>
        <v>234479</v>
      </c>
      <c r="Q106" s="80">
        <f>+'_Flujo con Glosa 08'!CO111</f>
        <v>122683</v>
      </c>
      <c r="R106" s="80">
        <f>+'_Flujo con Glosa 08'!CP111</f>
        <v>221127</v>
      </c>
      <c r="S106" s="80">
        <f t="shared" si="2"/>
        <v>2027899</v>
      </c>
      <c r="T106" s="80">
        <v>0</v>
      </c>
      <c r="U106" s="80">
        <v>0</v>
      </c>
      <c r="V106" s="80">
        <v>0</v>
      </c>
      <c r="W106" s="80">
        <v>0</v>
      </c>
      <c r="X106" s="80">
        <v>0</v>
      </c>
      <c r="Y106" s="80">
        <v>0</v>
      </c>
      <c r="Z106" s="80">
        <v>0</v>
      </c>
      <c r="AA106" s="80">
        <v>0</v>
      </c>
      <c r="AB106" s="80">
        <v>0</v>
      </c>
      <c r="AC106" s="80">
        <v>0</v>
      </c>
      <c r="AD106" s="80">
        <v>0</v>
      </c>
      <c r="AE106" s="80">
        <v>0</v>
      </c>
      <c r="AF106" s="80">
        <f t="shared" si="3"/>
        <v>0</v>
      </c>
      <c r="AG106" s="80">
        <f>+COEF_FCM!AM113</f>
        <v>32727</v>
      </c>
      <c r="AH106" s="80">
        <f>+COEF_FCM!AR113</f>
        <v>229</v>
      </c>
      <c r="AI106" s="80">
        <f>+COEF_FCM!AN113</f>
        <v>17472</v>
      </c>
      <c r="AJ106" s="80">
        <f>+COEF_FCM!AS113</f>
        <v>98</v>
      </c>
      <c r="AK106" s="80">
        <f>+COEF_FCM!AO113</f>
        <v>22697</v>
      </c>
      <c r="AL106" s="80">
        <f>+COEF_FCM!AT113</f>
        <v>286.827</v>
      </c>
      <c r="AM106" s="80">
        <f>+COEF_FCM!AP113</f>
        <v>23945</v>
      </c>
      <c r="AN106" s="80">
        <f>+COEF_FCM!AU113</f>
        <v>201</v>
      </c>
      <c r="AO106" s="80">
        <f>+COEF_FCM!AQ113</f>
        <v>96841</v>
      </c>
      <c r="AP106" s="80">
        <f>+COEF_FCM!AV113</f>
        <v>814.827</v>
      </c>
      <c r="AQ106" s="80">
        <f>+_CIERRE!O106+_CIERRE!P106</f>
        <v>1992260.5560000001</v>
      </c>
      <c r="AR106" s="80">
        <f>+_CIERRE!Q106+_CIERRE!R106</f>
        <v>2247020.1770000001</v>
      </c>
      <c r="AS106" s="80">
        <f>+_CIERRE!S106+_CIERRE!T106</f>
        <v>2415744.5469999998</v>
      </c>
      <c r="AT106" s="80">
        <f>+_CIERRE!U106+_CIERRE!V106</f>
        <v>2529708.2179999999</v>
      </c>
      <c r="AU106" s="80">
        <f>+'CALC MEC ESTAB Y ESTIM M FINAL'!T111</f>
        <v>2652506</v>
      </c>
      <c r="AV106" s="560">
        <v>0</v>
      </c>
      <c r="AW106" s="551">
        <v>0</v>
      </c>
      <c r="AX106" s="551">
        <v>0</v>
      </c>
      <c r="AY106" s="551">
        <v>0</v>
      </c>
      <c r="AZ106" s="551">
        <v>325134.19</v>
      </c>
      <c r="BA106" s="551">
        <v>334892.82500000001</v>
      </c>
    </row>
    <row r="107" spans="1:53" ht="3" customHeight="1" x14ac:dyDescent="0.2">
      <c r="A107" s="68" t="str">
        <f>IF(LEN(+'_DATA STT PAGOS_'!M112)=4,"0"&amp;+'_DATA STT PAGOS_'!M112,+'_DATA STT PAGOS_'!M112)</f>
        <v>06305</v>
      </c>
      <c r="B107" s="68" t="str">
        <f>IF(LEN(+'_DATA STT PAGOS_'!N112)=4,"0"&amp;+'_DATA STT PAGOS_'!N112,+'_DATA STT PAGOS_'!N112)</f>
        <v>06203</v>
      </c>
      <c r="C107" s="76" t="str">
        <f>+'_DATA STT PAGOS_'!O112</f>
        <v>NANCAGUA</v>
      </c>
      <c r="D107" s="80">
        <f>+'CALC MEC ESTAB Y ESTIM M FINAL'!U112</f>
        <v>4415588</v>
      </c>
      <c r="E107" s="77">
        <f>+'CALC MEC ESTAB Y ESTIM M FINAL'!Q112</f>
        <v>1.6886186238E-3</v>
      </c>
      <c r="F107" s="77">
        <f>+'CALC MEC ESTAB Y ESTIM M FINAL'!R112</f>
        <v>-1.3293656750000001E-4</v>
      </c>
      <c r="G107" s="80">
        <f>+'_Flujo con Glosa 08'!CE112</f>
        <v>198918</v>
      </c>
      <c r="H107" s="80">
        <f>+'_Flujo con Glosa 08'!CF112</f>
        <v>198918</v>
      </c>
      <c r="I107" s="80">
        <f>+'_Flujo con Glosa 08'!CG112</f>
        <v>194586</v>
      </c>
      <c r="J107" s="80">
        <f>+'_Flujo con Glosa 08'!CH112</f>
        <v>198918</v>
      </c>
      <c r="K107" s="80">
        <f>+'_Flujo con Glosa 08'!CI112</f>
        <v>610439</v>
      </c>
      <c r="L107" s="80">
        <f>+'_Flujo con Glosa 08'!CJ112</f>
        <v>204799</v>
      </c>
      <c r="M107" s="80">
        <f>+'_Flujo con Glosa 08'!CK112</f>
        <v>367545</v>
      </c>
      <c r="N107" s="80">
        <f>+'_Flujo con Glosa 08'!CL112</f>
        <v>198918</v>
      </c>
      <c r="O107" s="80">
        <f>+'_Flujo con Glosa 08'!CM112</f>
        <v>234793</v>
      </c>
      <c r="P107" s="80">
        <f>+'_Flujo con Glosa 08'!CN112</f>
        <v>395644</v>
      </c>
      <c r="Q107" s="80">
        <f>+'_Flujo con Glosa 08'!CO112</f>
        <v>198918</v>
      </c>
      <c r="R107" s="80">
        <f>+'_Flujo con Glosa 08'!CP112</f>
        <v>373419</v>
      </c>
      <c r="S107" s="80">
        <f t="shared" si="2"/>
        <v>3375815</v>
      </c>
      <c r="T107" s="80">
        <v>0</v>
      </c>
      <c r="U107" s="80">
        <v>0</v>
      </c>
      <c r="V107" s="80">
        <v>0</v>
      </c>
      <c r="W107" s="80">
        <v>0</v>
      </c>
      <c r="X107" s="80">
        <v>0</v>
      </c>
      <c r="Y107" s="80">
        <v>0</v>
      </c>
      <c r="Z107" s="80">
        <v>0</v>
      </c>
      <c r="AA107" s="80">
        <v>0</v>
      </c>
      <c r="AB107" s="80">
        <v>0</v>
      </c>
      <c r="AC107" s="80">
        <v>0</v>
      </c>
      <c r="AD107" s="80">
        <v>0</v>
      </c>
      <c r="AE107" s="80">
        <v>0</v>
      </c>
      <c r="AF107" s="80">
        <f t="shared" si="3"/>
        <v>0</v>
      </c>
      <c r="AG107" s="80">
        <f>+COEF_FCM!AM114</f>
        <v>46372</v>
      </c>
      <c r="AH107" s="80">
        <f>+COEF_FCM!AR114</f>
        <v>522</v>
      </c>
      <c r="AI107" s="80">
        <f>+COEF_FCM!AN114</f>
        <v>33830</v>
      </c>
      <c r="AJ107" s="80">
        <f>+COEF_FCM!AS114</f>
        <v>272</v>
      </c>
      <c r="AK107" s="80">
        <f>+COEF_FCM!AO114</f>
        <v>34828</v>
      </c>
      <c r="AL107" s="80">
        <f>+COEF_FCM!AT114</f>
        <v>433.83800000000002</v>
      </c>
      <c r="AM107" s="80">
        <f>+COEF_FCM!AP114</f>
        <v>45145</v>
      </c>
      <c r="AN107" s="80">
        <f>+COEF_FCM!AU114</f>
        <v>259</v>
      </c>
      <c r="AO107" s="80">
        <f>+COEF_FCM!AQ114</f>
        <v>160175</v>
      </c>
      <c r="AP107" s="80">
        <f>+COEF_FCM!AV114</f>
        <v>1486.838</v>
      </c>
      <c r="AQ107" s="80">
        <f>+_CIERRE!O107+_CIERRE!P107</f>
        <v>2678969.801</v>
      </c>
      <c r="AR107" s="80">
        <f>+_CIERRE!Q107+_CIERRE!R107</f>
        <v>3422629.7560000001</v>
      </c>
      <c r="AS107" s="80">
        <f>+_CIERRE!S107+_CIERRE!T107</f>
        <v>3804168.7620000001</v>
      </c>
      <c r="AT107" s="80">
        <f>+_CIERRE!U107+_CIERRE!V107</f>
        <v>4100878.8909999998</v>
      </c>
      <c r="AU107" s="80">
        <f>+'CALC MEC ESTAB Y ESTIM M FINAL'!T112</f>
        <v>4415588</v>
      </c>
      <c r="AV107" s="560">
        <v>0</v>
      </c>
      <c r="AW107" s="551">
        <v>0</v>
      </c>
      <c r="AX107" s="551">
        <v>0</v>
      </c>
      <c r="AY107" s="551">
        <v>0</v>
      </c>
      <c r="AZ107" s="551">
        <v>373703.16399999999</v>
      </c>
      <c r="BA107" s="551">
        <v>386841.44400000002</v>
      </c>
    </row>
    <row r="108" spans="1:53" ht="3" customHeight="1" x14ac:dyDescent="0.2">
      <c r="A108" s="68" t="str">
        <f>IF(LEN(+'_DATA STT PAGOS_'!M113)=4,"0"&amp;+'_DATA STT PAGOS_'!M113,+'_DATA STT PAGOS_'!M113)</f>
        <v>06306</v>
      </c>
      <c r="B108" s="68" t="str">
        <f>IF(LEN(+'_DATA STT PAGOS_'!N113)=4,"0"&amp;+'_DATA STT PAGOS_'!N113,+'_DATA STT PAGOS_'!N113)</f>
        <v>06207</v>
      </c>
      <c r="C108" s="76" t="str">
        <f>+'_DATA STT PAGOS_'!O113</f>
        <v>PALMILLA</v>
      </c>
      <c r="D108" s="80">
        <f>+'CALC MEC ESTAB Y ESTIM M FINAL'!U113</f>
        <v>2761594</v>
      </c>
      <c r="E108" s="77">
        <f>+'CALC MEC ESTAB Y ESTIM M FINAL'!Q113</f>
        <v>1.0309553058999998E-3</v>
      </c>
      <c r="F108" s="77">
        <f>+'CALC MEC ESTAB Y ESTIM M FINAL'!R113</f>
        <v>-5.80017786E-5</v>
      </c>
      <c r="G108" s="80">
        <f>+'_Flujo con Glosa 08'!CE113</f>
        <v>127255</v>
      </c>
      <c r="H108" s="80">
        <f>+'_Flujo con Glosa 08'!CF113</f>
        <v>127255</v>
      </c>
      <c r="I108" s="80">
        <f>+'_Flujo con Glosa 08'!CG113</f>
        <v>121698</v>
      </c>
      <c r="J108" s="80">
        <f>+'_Flujo con Glosa 08'!CH113</f>
        <v>127255</v>
      </c>
      <c r="K108" s="80">
        <f>+'_Flujo con Glosa 08'!CI113</f>
        <v>373237</v>
      </c>
      <c r="L108" s="80">
        <f>+'_Flujo con Glosa 08'!CJ113</f>
        <v>130933</v>
      </c>
      <c r="M108" s="80">
        <f>+'_Flujo con Glosa 08'!CK113</f>
        <v>227022</v>
      </c>
      <c r="N108" s="80">
        <f>+'_Flujo con Glosa 08'!CL113</f>
        <v>127255</v>
      </c>
      <c r="O108" s="80">
        <f>+'_Flujo con Glosa 08'!CM113</f>
        <v>146844</v>
      </c>
      <c r="P108" s="80">
        <f>+'_Flujo con Glosa 08'!CN113</f>
        <v>244595</v>
      </c>
      <c r="Q108" s="80">
        <f>+'_Flujo con Glosa 08'!CO113</f>
        <v>127255</v>
      </c>
      <c r="R108" s="80">
        <f>+'_Flujo con Glosa 08'!CP113</f>
        <v>230696</v>
      </c>
      <c r="S108" s="80">
        <f t="shared" si="2"/>
        <v>2111300</v>
      </c>
      <c r="T108" s="80">
        <v>0</v>
      </c>
      <c r="U108" s="80">
        <v>0</v>
      </c>
      <c r="V108" s="80">
        <v>0</v>
      </c>
      <c r="W108" s="80">
        <v>0</v>
      </c>
      <c r="X108" s="80">
        <v>0</v>
      </c>
      <c r="Y108" s="80">
        <v>0</v>
      </c>
      <c r="Z108" s="80">
        <v>0</v>
      </c>
      <c r="AA108" s="80">
        <v>0</v>
      </c>
      <c r="AB108" s="80">
        <v>0</v>
      </c>
      <c r="AC108" s="80">
        <v>0</v>
      </c>
      <c r="AD108" s="80">
        <v>0</v>
      </c>
      <c r="AE108" s="80">
        <v>0</v>
      </c>
      <c r="AF108" s="80">
        <f t="shared" si="3"/>
        <v>0</v>
      </c>
      <c r="AG108" s="80">
        <f>+COEF_FCM!AM115</f>
        <v>72367</v>
      </c>
      <c r="AH108" s="80">
        <f>+COEF_FCM!AR115</f>
        <v>307</v>
      </c>
      <c r="AI108" s="80">
        <f>+COEF_FCM!AN115</f>
        <v>47883</v>
      </c>
      <c r="AJ108" s="80">
        <f>+COEF_FCM!AS115</f>
        <v>130</v>
      </c>
      <c r="AK108" s="80">
        <f>+COEF_FCM!AO115</f>
        <v>62849</v>
      </c>
      <c r="AL108" s="80">
        <f>+COEF_FCM!AT115</f>
        <v>167.61199999999999</v>
      </c>
      <c r="AM108" s="80">
        <f>+COEF_FCM!AP115</f>
        <v>51463</v>
      </c>
      <c r="AN108" s="80">
        <f>+COEF_FCM!AU115</f>
        <v>112</v>
      </c>
      <c r="AO108" s="80">
        <f>+COEF_FCM!AQ115</f>
        <v>234562</v>
      </c>
      <c r="AP108" s="80">
        <f>+COEF_FCM!AV115</f>
        <v>716.61199999999997</v>
      </c>
      <c r="AQ108" s="80">
        <f>+_CIERRE!O108+_CIERRE!P108</f>
        <v>2042996.618</v>
      </c>
      <c r="AR108" s="80">
        <f>+_CIERRE!Q108+_CIERRE!R108</f>
        <v>2308414.8640000001</v>
      </c>
      <c r="AS108" s="80">
        <f>+_CIERRE!S108+_CIERRE!T108</f>
        <v>2496268.9989999998</v>
      </c>
      <c r="AT108" s="80">
        <f>+_CIERRE!U108+_CIERRE!V108</f>
        <v>2624282.352</v>
      </c>
      <c r="AU108" s="80">
        <f>+'CALC MEC ESTAB Y ESTIM M FINAL'!T113</f>
        <v>2761594</v>
      </c>
      <c r="AV108" s="560">
        <v>0</v>
      </c>
      <c r="AW108" s="551">
        <v>0</v>
      </c>
      <c r="AX108" s="551">
        <v>0</v>
      </c>
      <c r="AY108" s="551">
        <v>0</v>
      </c>
      <c r="AZ108" s="551">
        <v>333985.15299999999</v>
      </c>
      <c r="BA108" s="551">
        <v>344316.05699999997</v>
      </c>
    </row>
    <row r="109" spans="1:53" ht="3" customHeight="1" x14ac:dyDescent="0.2">
      <c r="A109" s="68" t="str">
        <f>IF(LEN(+'_DATA STT PAGOS_'!M114)=4,"0"&amp;+'_DATA STT PAGOS_'!M114,+'_DATA STT PAGOS_'!M114)</f>
        <v>06307</v>
      </c>
      <c r="B109" s="68" t="str">
        <f>IF(LEN(+'_DATA STT PAGOS_'!N114)=4,"0"&amp;+'_DATA STT PAGOS_'!N114,+'_DATA STT PAGOS_'!N114)</f>
        <v>06208</v>
      </c>
      <c r="C109" s="76" t="str">
        <f>+'_DATA STT PAGOS_'!O114</f>
        <v>PERALILLO</v>
      </c>
      <c r="D109" s="80">
        <f>+'CALC MEC ESTAB Y ESTIM M FINAL'!U114</f>
        <v>2751798</v>
      </c>
      <c r="E109" s="77">
        <f>+'CALC MEC ESTAB Y ESTIM M FINAL'!Q114</f>
        <v>9.9508797219999994E-4</v>
      </c>
      <c r="F109" s="77">
        <f>+'CALC MEC ESTAB Y ESTIM M FINAL'!R114</f>
        <v>-2.55855383E-5</v>
      </c>
      <c r="G109" s="80">
        <f>+'_Flujo con Glosa 08'!CE114</f>
        <v>130551</v>
      </c>
      <c r="H109" s="80">
        <f>+'_Flujo con Glosa 08'!CF114</f>
        <v>130551</v>
      </c>
      <c r="I109" s="80">
        <f>+'_Flujo con Glosa 08'!CG114</f>
        <v>121266</v>
      </c>
      <c r="J109" s="80">
        <f>+'_Flujo con Glosa 08'!CH114</f>
        <v>130551</v>
      </c>
      <c r="K109" s="80">
        <f>+'_Flujo con Glosa 08'!CI114</f>
        <v>360672</v>
      </c>
      <c r="L109" s="80">
        <f>+'_Flujo con Glosa 08'!CJ114</f>
        <v>134216</v>
      </c>
      <c r="M109" s="80">
        <f>+'_Flujo con Glosa 08'!CK114</f>
        <v>222468</v>
      </c>
      <c r="N109" s="80">
        <f>+'_Flujo con Glosa 08'!CL114</f>
        <v>130551</v>
      </c>
      <c r="O109" s="80">
        <f>+'_Flujo con Glosa 08'!CM114</f>
        <v>146324</v>
      </c>
      <c r="P109" s="80">
        <f>+'_Flujo con Glosa 08'!CN114</f>
        <v>239980</v>
      </c>
      <c r="Q109" s="80">
        <f>+'_Flujo con Glosa 08'!CO114</f>
        <v>130551</v>
      </c>
      <c r="R109" s="80">
        <f>+'_Flujo con Glosa 08'!CP114</f>
        <v>226130</v>
      </c>
      <c r="S109" s="80">
        <f t="shared" si="2"/>
        <v>2103811</v>
      </c>
      <c r="T109" s="80">
        <v>0</v>
      </c>
      <c r="U109" s="80">
        <v>0</v>
      </c>
      <c r="V109" s="80">
        <v>0</v>
      </c>
      <c r="W109" s="80">
        <v>0</v>
      </c>
      <c r="X109" s="80">
        <v>0</v>
      </c>
      <c r="Y109" s="80">
        <v>0</v>
      </c>
      <c r="Z109" s="80">
        <v>0</v>
      </c>
      <c r="AA109" s="80">
        <v>0</v>
      </c>
      <c r="AB109" s="80">
        <v>0</v>
      </c>
      <c r="AC109" s="80">
        <v>0</v>
      </c>
      <c r="AD109" s="80">
        <v>0</v>
      </c>
      <c r="AE109" s="80">
        <v>0</v>
      </c>
      <c r="AF109" s="80">
        <f t="shared" si="3"/>
        <v>0</v>
      </c>
      <c r="AG109" s="80">
        <f>+COEF_FCM!AM116</f>
        <v>44838</v>
      </c>
      <c r="AH109" s="80">
        <f>+COEF_FCM!AR116</f>
        <v>766</v>
      </c>
      <c r="AI109" s="80">
        <f>+COEF_FCM!AN116</f>
        <v>27549</v>
      </c>
      <c r="AJ109" s="80">
        <f>+COEF_FCM!AS116</f>
        <v>362</v>
      </c>
      <c r="AK109" s="80">
        <f>+COEF_FCM!AO116</f>
        <v>40759</v>
      </c>
      <c r="AL109" s="80">
        <f>+COEF_FCM!AT116</f>
        <v>835.85</v>
      </c>
      <c r="AM109" s="80">
        <f>+COEF_FCM!AP116</f>
        <v>32132</v>
      </c>
      <c r="AN109" s="80">
        <f>+COEF_FCM!AU116</f>
        <v>506</v>
      </c>
      <c r="AO109" s="80">
        <f>+COEF_FCM!AQ116</f>
        <v>145278</v>
      </c>
      <c r="AP109" s="80">
        <f>+COEF_FCM!AV116</f>
        <v>2469.85</v>
      </c>
      <c r="AQ109" s="80">
        <f>+_CIERRE!O109+_CIERRE!P109</f>
        <v>2097752.1120000002</v>
      </c>
      <c r="AR109" s="80">
        <f>+_CIERRE!Q109+_CIERRE!R109</f>
        <v>2324113.3629999999</v>
      </c>
      <c r="AS109" s="80">
        <f>+_CIERRE!S109+_CIERRE!T109</f>
        <v>2659884.9330000002</v>
      </c>
      <c r="AT109" s="80">
        <f>+_CIERRE!U109+_CIERRE!V109</f>
        <v>2691227.3939999999</v>
      </c>
      <c r="AU109" s="80">
        <f>+'CALC MEC ESTAB Y ESTIM M FINAL'!T114</f>
        <v>2751798</v>
      </c>
      <c r="AV109" s="560">
        <v>0</v>
      </c>
      <c r="AW109" s="551">
        <v>0</v>
      </c>
      <c r="AX109" s="551">
        <v>0</v>
      </c>
      <c r="AY109" s="551">
        <v>0</v>
      </c>
      <c r="AZ109" s="551">
        <v>326990.77899999998</v>
      </c>
      <c r="BA109" s="551">
        <v>336500.42200000002</v>
      </c>
    </row>
    <row r="110" spans="1:53" ht="3" customHeight="1" x14ac:dyDescent="0.2">
      <c r="A110" s="68" t="str">
        <f>IF(LEN(+'_DATA STT PAGOS_'!M115)=4,"0"&amp;+'_DATA STT PAGOS_'!M115,+'_DATA STT PAGOS_'!M115)</f>
        <v>06308</v>
      </c>
      <c r="B110" s="68" t="str">
        <f>IF(LEN(+'_DATA STT PAGOS_'!N115)=4,"0"&amp;+'_DATA STT PAGOS_'!N115,+'_DATA STT PAGOS_'!N115)</f>
        <v>06204</v>
      </c>
      <c r="C110" s="76" t="str">
        <f>+'_DATA STT PAGOS_'!O115</f>
        <v>PLACILLA</v>
      </c>
      <c r="D110" s="80">
        <f>+'CALC MEC ESTAB Y ESTIM M FINAL'!U115</f>
        <v>3142686</v>
      </c>
      <c r="E110" s="77">
        <f>+'CALC MEC ESTAB Y ESTIM M FINAL'!Q115</f>
        <v>1.2180609219999998E-3</v>
      </c>
      <c r="F110" s="77">
        <f>+'CALC MEC ESTAB Y ESTIM M FINAL'!R115</f>
        <v>-1.108424806E-4</v>
      </c>
      <c r="G110" s="80">
        <f>+'_Flujo con Glosa 08'!CE115</f>
        <v>139728</v>
      </c>
      <c r="H110" s="80">
        <f>+'_Flujo con Glosa 08'!CF115</f>
        <v>139728</v>
      </c>
      <c r="I110" s="80">
        <f>+'_Flujo con Glosa 08'!CG115</f>
        <v>138492</v>
      </c>
      <c r="J110" s="80">
        <f>+'_Flujo con Glosa 08'!CH115</f>
        <v>139728</v>
      </c>
      <c r="K110" s="80">
        <f>+'_Flujo con Glosa 08'!CI115</f>
        <v>440007</v>
      </c>
      <c r="L110" s="80">
        <f>+'_Flujo con Glosa 08'!CJ115</f>
        <v>143914</v>
      </c>
      <c r="M110" s="80">
        <f>+'_Flujo con Glosa 08'!CK115</f>
        <v>263438</v>
      </c>
      <c r="N110" s="80">
        <f>+'_Flujo con Glosa 08'!CL115</f>
        <v>139728</v>
      </c>
      <c r="O110" s="80">
        <f>+'_Flujo con Glosa 08'!CM115</f>
        <v>167108</v>
      </c>
      <c r="P110" s="80">
        <f>+'_Flujo con Glosa 08'!CN115</f>
        <v>283437</v>
      </c>
      <c r="Q110" s="80">
        <f>+'_Flujo con Glosa 08'!CO115</f>
        <v>139728</v>
      </c>
      <c r="R110" s="80">
        <f>+'_Flujo con Glosa 08'!CP115</f>
        <v>267618</v>
      </c>
      <c r="S110" s="80">
        <f t="shared" si="2"/>
        <v>2402654</v>
      </c>
      <c r="T110" s="80">
        <v>0</v>
      </c>
      <c r="U110" s="80">
        <v>0</v>
      </c>
      <c r="V110" s="80">
        <v>0</v>
      </c>
      <c r="W110" s="80">
        <v>0</v>
      </c>
      <c r="X110" s="80">
        <v>0</v>
      </c>
      <c r="Y110" s="80">
        <v>0</v>
      </c>
      <c r="Z110" s="80">
        <v>0</v>
      </c>
      <c r="AA110" s="80">
        <v>0</v>
      </c>
      <c r="AB110" s="80">
        <v>0</v>
      </c>
      <c r="AC110" s="80">
        <v>0</v>
      </c>
      <c r="AD110" s="80">
        <v>0</v>
      </c>
      <c r="AE110" s="80">
        <v>0</v>
      </c>
      <c r="AF110" s="80">
        <f t="shared" si="3"/>
        <v>0</v>
      </c>
      <c r="AG110" s="80">
        <f>+COEF_FCM!AM117</f>
        <v>39611</v>
      </c>
      <c r="AH110" s="80">
        <f>+COEF_FCM!AR117</f>
        <v>623</v>
      </c>
      <c r="AI110" s="80">
        <f>+COEF_FCM!AN117</f>
        <v>21715</v>
      </c>
      <c r="AJ110" s="80">
        <f>+COEF_FCM!AS117</f>
        <v>409</v>
      </c>
      <c r="AK110" s="80">
        <f>+COEF_FCM!AO117</f>
        <v>26900</v>
      </c>
      <c r="AL110" s="80">
        <f>+COEF_FCM!AT117</f>
        <v>304.154</v>
      </c>
      <c r="AM110" s="80">
        <f>+COEF_FCM!AP117</f>
        <v>19271</v>
      </c>
      <c r="AN110" s="80">
        <f>+COEF_FCM!AU117</f>
        <v>515</v>
      </c>
      <c r="AO110" s="80">
        <f>+COEF_FCM!AQ117</f>
        <v>107497</v>
      </c>
      <c r="AP110" s="80">
        <f>+COEF_FCM!AV117</f>
        <v>1851.154</v>
      </c>
      <c r="AQ110" s="80">
        <f>+_CIERRE!O110+_CIERRE!P110</f>
        <v>2067484.1040000001</v>
      </c>
      <c r="AR110" s="80">
        <f>+_CIERRE!Q110+_CIERRE!R110</f>
        <v>2337844.9339999999</v>
      </c>
      <c r="AS110" s="80">
        <f>+_CIERRE!S110+_CIERRE!T110</f>
        <v>2526988.264</v>
      </c>
      <c r="AT110" s="80">
        <f>+_CIERRE!U110+_CIERRE!V110</f>
        <v>2880280.781</v>
      </c>
      <c r="AU110" s="80">
        <f>+'CALC MEC ESTAB Y ESTIM M FINAL'!T115</f>
        <v>3142686</v>
      </c>
      <c r="AV110" s="560">
        <v>0</v>
      </c>
      <c r="AW110" s="551">
        <v>0</v>
      </c>
      <c r="AX110" s="551">
        <v>0</v>
      </c>
      <c r="AY110" s="551">
        <v>0</v>
      </c>
      <c r="AZ110" s="551">
        <v>328798.20500000002</v>
      </c>
      <c r="BA110" s="551">
        <v>338024.10600000003</v>
      </c>
    </row>
    <row r="111" spans="1:53" ht="3" customHeight="1" x14ac:dyDescent="0.2">
      <c r="A111" s="68" t="str">
        <f>IF(LEN(+'_DATA STT PAGOS_'!M116)=4,"0"&amp;+'_DATA STT PAGOS_'!M116,+'_DATA STT PAGOS_'!M116)</f>
        <v>06309</v>
      </c>
      <c r="B111" s="68" t="str">
        <f>IF(LEN(+'_DATA STT PAGOS_'!N116)=4,"0"&amp;+'_DATA STT PAGOS_'!N116,+'_DATA STT PAGOS_'!N116)</f>
        <v>06214</v>
      </c>
      <c r="C111" s="76" t="str">
        <f>+'_DATA STT PAGOS_'!O116</f>
        <v>PUMANQUE</v>
      </c>
      <c r="D111" s="80">
        <f>+'CALC MEC ESTAB Y ESTIM M FINAL'!U116</f>
        <v>2239465</v>
      </c>
      <c r="E111" s="77">
        <f>+'CALC MEC ESTAB Y ESTIM M FINAL'!Q116</f>
        <v>8.3034264169999997E-4</v>
      </c>
      <c r="F111" s="77">
        <f>+'CALC MEC ESTAB Y ESTIM M FINAL'!R116</f>
        <v>-4.1343222499999999E-5</v>
      </c>
      <c r="G111" s="80">
        <f>+'_Flujo con Glosa 08'!CE116</f>
        <v>103863</v>
      </c>
      <c r="H111" s="80">
        <f>+'_Flujo con Glosa 08'!CF116</f>
        <v>103863</v>
      </c>
      <c r="I111" s="80">
        <f>+'_Flujo con Glosa 08'!CG116</f>
        <v>98689</v>
      </c>
      <c r="J111" s="80">
        <f>+'_Flujo con Glosa 08'!CH116</f>
        <v>103863</v>
      </c>
      <c r="K111" s="80">
        <f>+'_Flujo con Glosa 08'!CI116</f>
        <v>300667</v>
      </c>
      <c r="L111" s="80">
        <f>+'_Flujo con Glosa 08'!CJ116</f>
        <v>106846</v>
      </c>
      <c r="M111" s="80">
        <f>+'_Flujo con Glosa 08'!CK116</f>
        <v>183431</v>
      </c>
      <c r="N111" s="80">
        <f>+'_Flujo con Glosa 08'!CL116</f>
        <v>103863</v>
      </c>
      <c r="O111" s="80">
        <f>+'_Flujo con Glosa 08'!CM116</f>
        <v>119081</v>
      </c>
      <c r="P111" s="80">
        <f>+'_Flujo con Glosa 08'!CN116</f>
        <v>197683</v>
      </c>
      <c r="Q111" s="80">
        <f>+'_Flujo con Glosa 08'!CO116</f>
        <v>103863</v>
      </c>
      <c r="R111" s="80">
        <f>+'_Flujo con Glosa 08'!CP116</f>
        <v>186410</v>
      </c>
      <c r="S111" s="80">
        <f t="shared" si="2"/>
        <v>1712122</v>
      </c>
      <c r="T111" s="80">
        <v>0</v>
      </c>
      <c r="U111" s="80">
        <v>0</v>
      </c>
      <c r="V111" s="80">
        <v>0</v>
      </c>
      <c r="W111" s="80">
        <v>0</v>
      </c>
      <c r="X111" s="80">
        <v>0</v>
      </c>
      <c r="Y111" s="80">
        <v>0</v>
      </c>
      <c r="Z111" s="80">
        <v>0</v>
      </c>
      <c r="AA111" s="80">
        <v>0</v>
      </c>
      <c r="AB111" s="80">
        <v>0</v>
      </c>
      <c r="AC111" s="80">
        <v>0</v>
      </c>
      <c r="AD111" s="80">
        <v>0</v>
      </c>
      <c r="AE111" s="80">
        <v>0</v>
      </c>
      <c r="AF111" s="80">
        <f t="shared" si="3"/>
        <v>0</v>
      </c>
      <c r="AG111" s="80">
        <f>+COEF_FCM!AM118</f>
        <v>30040</v>
      </c>
      <c r="AH111" s="80">
        <f>+COEF_FCM!AR118</f>
        <v>389</v>
      </c>
      <c r="AI111" s="80">
        <f>+COEF_FCM!AN118</f>
        <v>17502</v>
      </c>
      <c r="AJ111" s="80">
        <f>+COEF_FCM!AS118</f>
        <v>152</v>
      </c>
      <c r="AK111" s="80">
        <f>+COEF_FCM!AO118</f>
        <v>19026</v>
      </c>
      <c r="AL111" s="80">
        <f>+COEF_FCM!AT118</f>
        <v>312.89299999999997</v>
      </c>
      <c r="AM111" s="80">
        <f>+COEF_FCM!AP118</f>
        <v>18611</v>
      </c>
      <c r="AN111" s="80">
        <f>+COEF_FCM!AU118</f>
        <v>135</v>
      </c>
      <c r="AO111" s="80">
        <f>+COEF_FCM!AQ118</f>
        <v>85179</v>
      </c>
      <c r="AP111" s="80">
        <f>+COEF_FCM!AV118</f>
        <v>988.89300000000003</v>
      </c>
      <c r="AQ111" s="80">
        <f>+_CIERRE!O111+_CIERRE!P111</f>
        <v>1668253.7930000001</v>
      </c>
      <c r="AR111" s="80">
        <f>+_CIERRE!Q111+_CIERRE!R111</f>
        <v>1913581.7490000001</v>
      </c>
      <c r="AS111" s="80">
        <f>+_CIERRE!S111+_CIERRE!T111</f>
        <v>2056046.824</v>
      </c>
      <c r="AT111" s="80">
        <f>+_CIERRE!U111+_CIERRE!V111</f>
        <v>2141591.088</v>
      </c>
      <c r="AU111" s="80">
        <f>+'CALC MEC ESTAB Y ESTIM M FINAL'!T116</f>
        <v>2239465</v>
      </c>
      <c r="AV111" s="560">
        <v>0</v>
      </c>
      <c r="AW111" s="551">
        <v>0</v>
      </c>
      <c r="AX111" s="551">
        <v>0</v>
      </c>
      <c r="AY111" s="551">
        <v>0</v>
      </c>
      <c r="AZ111" s="551">
        <v>296284.37099999998</v>
      </c>
      <c r="BA111" s="551">
        <v>305564.886</v>
      </c>
    </row>
    <row r="112" spans="1:53" ht="3" customHeight="1" x14ac:dyDescent="0.2">
      <c r="A112" s="68" t="str">
        <f>IF(LEN(+'_DATA STT PAGOS_'!M117)=4,"0"&amp;+'_DATA STT PAGOS_'!M117,+'_DATA STT PAGOS_'!M117)</f>
        <v>06310</v>
      </c>
      <c r="B112" s="68" t="str">
        <f>IF(LEN(+'_DATA STT PAGOS_'!N117)=4,"0"&amp;+'_DATA STT PAGOS_'!N117,+'_DATA STT PAGOS_'!N117)</f>
        <v>06205</v>
      </c>
      <c r="C112" s="76" t="str">
        <f>+'_DATA STT PAGOS_'!O117</f>
        <v>SANTA CRUZ</v>
      </c>
      <c r="D112" s="80">
        <f>+'CALC MEC ESTAB Y ESTIM M FINAL'!U117</f>
        <v>6509436</v>
      </c>
      <c r="E112" s="77">
        <f>+'CALC MEC ESTAB Y ESTIM M FINAL'!Q117</f>
        <v>2.4258128340999999E-3</v>
      </c>
      <c r="F112" s="77">
        <f>+'CALC MEC ESTAB Y ESTIM M FINAL'!R117</f>
        <v>-1.324345173E-4</v>
      </c>
      <c r="G112" s="80">
        <f>+'_Flujo con Glosa 08'!CE117</f>
        <v>300467</v>
      </c>
      <c r="H112" s="80">
        <f>+'_Flujo con Glosa 08'!CF117</f>
        <v>300467</v>
      </c>
      <c r="I112" s="80">
        <f>+'_Flujo con Glosa 08'!CG117</f>
        <v>286857</v>
      </c>
      <c r="J112" s="80">
        <f>+'_Flujo con Glosa 08'!CH117</f>
        <v>300467</v>
      </c>
      <c r="K112" s="80">
        <f>+'_Flujo con Glosa 08'!CI117</f>
        <v>878238</v>
      </c>
      <c r="L112" s="80">
        <f>+'_Flujo con Glosa 08'!CJ117</f>
        <v>309137</v>
      </c>
      <c r="M112" s="80">
        <f>+'_Flujo con Glosa 08'!CK117</f>
        <v>534609</v>
      </c>
      <c r="N112" s="80">
        <f>+'_Flujo con Glosa 08'!CL117</f>
        <v>300467</v>
      </c>
      <c r="O112" s="80">
        <f>+'_Flujo con Glosa 08'!CM117</f>
        <v>346131</v>
      </c>
      <c r="P112" s="80">
        <f>+'_Flujo con Glosa 08'!CN117</f>
        <v>576032</v>
      </c>
      <c r="Q112" s="80">
        <f>+'_Flujo con Glosa 08'!CO117</f>
        <v>300467</v>
      </c>
      <c r="R112" s="80">
        <f>+'_Flujo con Glosa 08'!CP117</f>
        <v>543269</v>
      </c>
      <c r="S112" s="80">
        <f t="shared" si="2"/>
        <v>4976608</v>
      </c>
      <c r="T112" s="80">
        <v>0</v>
      </c>
      <c r="U112" s="80">
        <v>0</v>
      </c>
      <c r="V112" s="80">
        <v>0</v>
      </c>
      <c r="W112" s="80">
        <v>0</v>
      </c>
      <c r="X112" s="80">
        <v>0</v>
      </c>
      <c r="Y112" s="80">
        <v>0</v>
      </c>
      <c r="Z112" s="80">
        <v>0</v>
      </c>
      <c r="AA112" s="80">
        <v>0</v>
      </c>
      <c r="AB112" s="80">
        <v>0</v>
      </c>
      <c r="AC112" s="80">
        <v>0</v>
      </c>
      <c r="AD112" s="80">
        <v>0</v>
      </c>
      <c r="AE112" s="80">
        <v>0</v>
      </c>
      <c r="AF112" s="80">
        <f t="shared" si="3"/>
        <v>0</v>
      </c>
      <c r="AG112" s="80">
        <f>+COEF_FCM!AM119</f>
        <v>216493</v>
      </c>
      <c r="AH112" s="80">
        <f>+COEF_FCM!AR119</f>
        <v>14683</v>
      </c>
      <c r="AI112" s="80">
        <f>+COEF_FCM!AN119</f>
        <v>157938</v>
      </c>
      <c r="AJ112" s="80">
        <f>+COEF_FCM!AS119</f>
        <v>6772</v>
      </c>
      <c r="AK112" s="80">
        <f>+COEF_FCM!AO119</f>
        <v>200340</v>
      </c>
      <c r="AL112" s="80">
        <f>+COEF_FCM!AT119</f>
        <v>9085.6419999999998</v>
      </c>
      <c r="AM112" s="80">
        <f>+COEF_FCM!AP119</f>
        <v>150185</v>
      </c>
      <c r="AN112" s="80">
        <f>+COEF_FCM!AU119</f>
        <v>6065</v>
      </c>
      <c r="AO112" s="80">
        <f>+COEF_FCM!AQ119</f>
        <v>724956</v>
      </c>
      <c r="AP112" s="80">
        <f>+COEF_FCM!AV119</f>
        <v>36605.642</v>
      </c>
      <c r="AQ112" s="80">
        <f>+_CIERRE!O112+_CIERRE!P112</f>
        <v>4208707.68</v>
      </c>
      <c r="AR112" s="80">
        <f>+_CIERRE!Q112+_CIERRE!R112</f>
        <v>5134547.51</v>
      </c>
      <c r="AS112" s="80">
        <f>+_CIERRE!S112+_CIERRE!T112</f>
        <v>5309093.426</v>
      </c>
      <c r="AT112" s="80">
        <f>+_CIERRE!U112+_CIERRE!V112</f>
        <v>6195913.8899999997</v>
      </c>
      <c r="AU112" s="80">
        <f>+'CALC MEC ESTAB Y ESTIM M FINAL'!T117</f>
        <v>6509436</v>
      </c>
      <c r="AV112" s="560">
        <v>0</v>
      </c>
      <c r="AW112" s="551">
        <v>0</v>
      </c>
      <c r="AX112" s="551">
        <v>0</v>
      </c>
      <c r="AY112" s="551">
        <v>0</v>
      </c>
      <c r="AZ112" s="551">
        <v>463780.723</v>
      </c>
      <c r="BA112" s="551">
        <v>477258.04200000002</v>
      </c>
    </row>
    <row r="113" spans="1:53" ht="3" customHeight="1" x14ac:dyDescent="0.2">
      <c r="A113" s="68" t="str">
        <f>IF(LEN(+'_DATA STT PAGOS_'!M118)=4,"0"&amp;+'_DATA STT PAGOS_'!M118,+'_DATA STT PAGOS_'!M118)</f>
        <v>07101</v>
      </c>
      <c r="B113" s="68" t="str">
        <f>IF(LEN(+'_DATA STT PAGOS_'!N118)=4,"0"&amp;+'_DATA STT PAGOS_'!N118,+'_DATA STT PAGOS_'!N118)</f>
        <v>07201</v>
      </c>
      <c r="C113" s="76" t="str">
        <f>+'_DATA STT PAGOS_'!O118</f>
        <v>TALCA</v>
      </c>
      <c r="D113" s="80">
        <f>+'CALC MEC ESTAB Y ESTIM M FINAL'!U118</f>
        <v>27383464</v>
      </c>
      <c r="E113" s="77">
        <f>+'CALC MEC ESTAB Y ESTIM M FINAL'!Q118</f>
        <v>1.04558091619E-2</v>
      </c>
      <c r="F113" s="77">
        <f>+'CALC MEC ESTAB Y ESTIM M FINAL'!R118</f>
        <v>-8.0817725800000004E-4</v>
      </c>
      <c r="G113" s="80">
        <f>+'_Flujo con Glosa 08'!CE118</f>
        <v>1236232</v>
      </c>
      <c r="H113" s="80">
        <f>+'_Flujo con Glosa 08'!CF118</f>
        <v>1236232</v>
      </c>
      <c r="I113" s="80">
        <f>+'_Flujo con Glosa 08'!CG118</f>
        <v>1206733</v>
      </c>
      <c r="J113" s="80">
        <f>+'_Flujo con Glosa 08'!CH118</f>
        <v>1236232</v>
      </c>
      <c r="K113" s="80">
        <f>+'_Flujo con Glosa 08'!CI118</f>
        <v>3777772</v>
      </c>
      <c r="L113" s="80">
        <f>+'_Flujo con Glosa 08'!CJ118</f>
        <v>1272704</v>
      </c>
      <c r="M113" s="80">
        <f>+'_Flujo con Glosa 08'!CK118</f>
        <v>2276708</v>
      </c>
      <c r="N113" s="80">
        <f>+'_Flujo con Glosa 08'!CL118</f>
        <v>1236232</v>
      </c>
      <c r="O113" s="80">
        <f>+'_Flujo con Glosa 08'!CM118</f>
        <v>1456083</v>
      </c>
      <c r="P113" s="80">
        <f>+'_Flujo con Glosa 08'!CN118</f>
        <v>2450967</v>
      </c>
      <c r="Q113" s="80">
        <f>+'_Flujo con Glosa 08'!CO118</f>
        <v>1236232</v>
      </c>
      <c r="R113" s="80">
        <f>+'_Flujo con Glosa 08'!CP118</f>
        <v>2313137</v>
      </c>
      <c r="S113" s="80">
        <f t="shared" si="2"/>
        <v>20935264</v>
      </c>
      <c r="T113" s="80">
        <v>0</v>
      </c>
      <c r="U113" s="80">
        <v>0</v>
      </c>
      <c r="V113" s="80">
        <v>0</v>
      </c>
      <c r="W113" s="80">
        <v>0</v>
      </c>
      <c r="X113" s="80">
        <v>0</v>
      </c>
      <c r="Y113" s="80">
        <v>0</v>
      </c>
      <c r="Z113" s="80">
        <v>0</v>
      </c>
      <c r="AA113" s="80">
        <v>0</v>
      </c>
      <c r="AB113" s="80">
        <v>0</v>
      </c>
      <c r="AC113" s="80">
        <v>0</v>
      </c>
      <c r="AD113" s="80">
        <v>0</v>
      </c>
      <c r="AE113" s="80">
        <v>0</v>
      </c>
      <c r="AF113" s="80">
        <f t="shared" si="3"/>
        <v>0</v>
      </c>
      <c r="AG113" s="80">
        <f>+COEF_FCM!AM120</f>
        <v>1542233</v>
      </c>
      <c r="AH113" s="80">
        <f>+COEF_FCM!AR120</f>
        <v>90648</v>
      </c>
      <c r="AI113" s="80">
        <f>+COEF_FCM!AN120</f>
        <v>1067280</v>
      </c>
      <c r="AJ113" s="80">
        <f>+COEF_FCM!AS120</f>
        <v>39767</v>
      </c>
      <c r="AK113" s="80">
        <f>+COEF_FCM!AO120</f>
        <v>1228775</v>
      </c>
      <c r="AL113" s="80">
        <f>+COEF_FCM!AT120</f>
        <v>53494.889000000003</v>
      </c>
      <c r="AM113" s="80">
        <f>+COEF_FCM!AP120</f>
        <v>888625</v>
      </c>
      <c r="AN113" s="80">
        <f>+COEF_FCM!AU120</f>
        <v>37521</v>
      </c>
      <c r="AO113" s="80">
        <f>+COEF_FCM!AQ120</f>
        <v>4726913</v>
      </c>
      <c r="AP113" s="80">
        <f>+COEF_FCM!AV120</f>
        <v>221430.889</v>
      </c>
      <c r="AQ113" s="80">
        <f>+_CIERRE!O113+_CIERRE!P113</f>
        <v>19319640.991999999</v>
      </c>
      <c r="AR113" s="80">
        <f>+_CIERRE!Q113+_CIERRE!R113</f>
        <v>22216891.219999999</v>
      </c>
      <c r="AS113" s="80">
        <f>+_CIERRE!S113+_CIERRE!T113</f>
        <v>24292871.550000001</v>
      </c>
      <c r="AT113" s="80">
        <f>+_CIERRE!U113+_CIERRE!V113</f>
        <v>25470210.201000001</v>
      </c>
      <c r="AU113" s="80">
        <f>+'CALC MEC ESTAB Y ESTIM M FINAL'!T118</f>
        <v>27383464</v>
      </c>
      <c r="AV113" s="560">
        <v>0</v>
      </c>
      <c r="AW113" s="551">
        <v>0</v>
      </c>
      <c r="AX113" s="551">
        <v>0</v>
      </c>
      <c r="AY113" s="551">
        <v>0</v>
      </c>
      <c r="AZ113" s="551">
        <v>0</v>
      </c>
      <c r="BA113" s="551">
        <v>0</v>
      </c>
    </row>
    <row r="114" spans="1:53" ht="3" customHeight="1" x14ac:dyDescent="0.2">
      <c r="A114" s="68" t="str">
        <f>IF(LEN(+'_DATA STT PAGOS_'!M119)=4,"0"&amp;+'_DATA STT PAGOS_'!M119,+'_DATA STT PAGOS_'!M119)</f>
        <v>07102</v>
      </c>
      <c r="B114" s="68" t="str">
        <f>IF(LEN(+'_DATA STT PAGOS_'!N119)=4,"0"&amp;+'_DATA STT PAGOS_'!N119,+'_DATA STT PAGOS_'!N119)</f>
        <v>07208</v>
      </c>
      <c r="C114" s="76" t="str">
        <f>+'_DATA STT PAGOS_'!O119</f>
        <v>CONSTITUCIÓN</v>
      </c>
      <c r="D114" s="80">
        <f>+'CALC MEC ESTAB Y ESTIM M FINAL'!U119</f>
        <v>14124719</v>
      </c>
      <c r="E114" s="77">
        <f>+'CALC MEC ESTAB Y ESTIM M FINAL'!Q119</f>
        <v>5.4013265379000003E-3</v>
      </c>
      <c r="F114" s="77">
        <f>+'CALC MEC ESTAB Y ESTIM M FINAL'!R119</f>
        <v>-4.2496246959999997E-4</v>
      </c>
      <c r="G114" s="80">
        <f>+'_Flujo con Glosa 08'!CE119</f>
        <v>635952</v>
      </c>
      <c r="H114" s="80">
        <f>+'_Flujo con Glosa 08'!CF119</f>
        <v>635952</v>
      </c>
      <c r="I114" s="80">
        <f>+'_Flujo con Glosa 08'!CG119</f>
        <v>622447</v>
      </c>
      <c r="J114" s="80">
        <f>+'_Flujo con Glosa 08'!CH119</f>
        <v>635952</v>
      </c>
      <c r="K114" s="80">
        <f>+'_Flujo con Glosa 08'!CI119</f>
        <v>1953754</v>
      </c>
      <c r="L114" s="80">
        <f>+'_Flujo con Glosa 08'!CJ119</f>
        <v>654765</v>
      </c>
      <c r="M114" s="80">
        <f>+'_Flujo con Glosa 08'!CK119</f>
        <v>1176065</v>
      </c>
      <c r="N114" s="80">
        <f>+'_Flujo con Glosa 08'!CL119</f>
        <v>635952</v>
      </c>
      <c r="O114" s="80">
        <f>+'_Flujo con Glosa 08'!CM119</f>
        <v>751065</v>
      </c>
      <c r="P114" s="80">
        <f>+'_Flujo con Glosa 08'!CN119</f>
        <v>1265950</v>
      </c>
      <c r="Q114" s="80">
        <f>+'_Flujo con Glosa 08'!CO119</f>
        <v>635952</v>
      </c>
      <c r="R114" s="80">
        <f>+'_Flujo con Glosa 08'!CP119</f>
        <v>1194854</v>
      </c>
      <c r="S114" s="80">
        <f t="shared" si="2"/>
        <v>10798660</v>
      </c>
      <c r="T114" s="80">
        <v>0</v>
      </c>
      <c r="U114" s="80">
        <v>0</v>
      </c>
      <c r="V114" s="80">
        <v>0</v>
      </c>
      <c r="W114" s="80">
        <v>0</v>
      </c>
      <c r="X114" s="80">
        <v>0</v>
      </c>
      <c r="Y114" s="80">
        <v>0</v>
      </c>
      <c r="Z114" s="80">
        <v>0</v>
      </c>
      <c r="AA114" s="80">
        <v>0</v>
      </c>
      <c r="AB114" s="80">
        <v>0</v>
      </c>
      <c r="AC114" s="80">
        <v>0</v>
      </c>
      <c r="AD114" s="80">
        <v>0</v>
      </c>
      <c r="AE114" s="80">
        <v>0</v>
      </c>
      <c r="AF114" s="80">
        <f t="shared" si="3"/>
        <v>0</v>
      </c>
      <c r="AG114" s="80">
        <f>+COEF_FCM!AM121</f>
        <v>211913</v>
      </c>
      <c r="AH114" s="80">
        <f>+COEF_FCM!AR121</f>
        <v>9017</v>
      </c>
      <c r="AI114" s="80">
        <f>+COEF_FCM!AN121</f>
        <v>166219</v>
      </c>
      <c r="AJ114" s="80">
        <f>+COEF_FCM!AS121</f>
        <v>5202</v>
      </c>
      <c r="AK114" s="80">
        <f>+COEF_FCM!AO121</f>
        <v>196590</v>
      </c>
      <c r="AL114" s="80">
        <f>+COEF_FCM!AT121</f>
        <v>6950.5839999999998</v>
      </c>
      <c r="AM114" s="80">
        <f>+COEF_FCM!AP121</f>
        <v>106357</v>
      </c>
      <c r="AN114" s="80">
        <f>+COEF_FCM!AU121</f>
        <v>4751</v>
      </c>
      <c r="AO114" s="80">
        <f>+COEF_FCM!AQ121</f>
        <v>681079</v>
      </c>
      <c r="AP114" s="80">
        <f>+COEF_FCM!AV121</f>
        <v>25920.583999999999</v>
      </c>
      <c r="AQ114" s="80">
        <f>+_CIERRE!O114+_CIERRE!P114</f>
        <v>10450050.085999999</v>
      </c>
      <c r="AR114" s="80">
        <f>+_CIERRE!Q114+_CIERRE!R114</f>
        <v>11476386.733999999</v>
      </c>
      <c r="AS114" s="80">
        <f>+_CIERRE!S114+_CIERRE!T114</f>
        <v>12490067.284</v>
      </c>
      <c r="AT114" s="80">
        <f>+_CIERRE!U114+_CIERRE!V114</f>
        <v>13118675.992000001</v>
      </c>
      <c r="AU114" s="80">
        <f>+'CALC MEC ESTAB Y ESTIM M FINAL'!T119</f>
        <v>14124719</v>
      </c>
      <c r="AV114" s="560">
        <v>0</v>
      </c>
      <c r="AW114" s="551">
        <v>0</v>
      </c>
      <c r="AX114" s="551">
        <v>0</v>
      </c>
      <c r="AY114" s="551">
        <v>0</v>
      </c>
      <c r="AZ114" s="551">
        <v>647111.55900000001</v>
      </c>
      <c r="BA114" s="551">
        <v>731320.37899999996</v>
      </c>
    </row>
    <row r="115" spans="1:53" ht="3" customHeight="1" x14ac:dyDescent="0.2">
      <c r="A115" s="68" t="str">
        <f>IF(LEN(+'_DATA STT PAGOS_'!M120)=4,"0"&amp;+'_DATA STT PAGOS_'!M120,+'_DATA STT PAGOS_'!M120)</f>
        <v>07103</v>
      </c>
      <c r="B115" s="68" t="str">
        <f>IF(LEN(+'_DATA STT PAGOS_'!N120)=4,"0"&amp;+'_DATA STT PAGOS_'!N120,+'_DATA STT PAGOS_'!N120)</f>
        <v>07207</v>
      </c>
      <c r="C115" s="76" t="str">
        <f>+'_DATA STT PAGOS_'!O120</f>
        <v>CUREPTO</v>
      </c>
      <c r="D115" s="80">
        <f>+'CALC MEC ESTAB Y ESTIM M FINAL'!U120</f>
        <v>5475111</v>
      </c>
      <c r="E115" s="77">
        <f>+'CALC MEC ESTAB Y ESTIM M FINAL'!Q120</f>
        <v>2.2029037592000002E-3</v>
      </c>
      <c r="F115" s="77">
        <f>+'CALC MEC ESTAB Y ESTIM M FINAL'!R120</f>
        <v>-2.7393482919999999E-4</v>
      </c>
      <c r="G115" s="80">
        <f>+'_Flujo con Glosa 08'!CE120</f>
        <v>234112</v>
      </c>
      <c r="H115" s="80">
        <f>+'_Flujo con Glosa 08'!CF120</f>
        <v>234112</v>
      </c>
      <c r="I115" s="80">
        <f>+'_Flujo con Glosa 08'!CG120</f>
        <v>241277</v>
      </c>
      <c r="J115" s="80">
        <f>+'_Flujo con Glosa 08'!CH120</f>
        <v>234112</v>
      </c>
      <c r="K115" s="80">
        <f>+'_Flujo con Glosa 08'!CI120</f>
        <v>794525</v>
      </c>
      <c r="L115" s="80">
        <f>+'_Flujo con Glosa 08'!CJ120</f>
        <v>241404</v>
      </c>
      <c r="M115" s="80">
        <f>+'_Flujo con Glosa 08'!CK120</f>
        <v>468273</v>
      </c>
      <c r="N115" s="80">
        <f>+'_Flujo con Glosa 08'!CL120</f>
        <v>234112</v>
      </c>
      <c r="O115" s="80">
        <f>+'_Flujo con Glosa 08'!CM120</f>
        <v>291133</v>
      </c>
      <c r="P115" s="80">
        <f>+'_Flujo con Glosa 08'!CN120</f>
        <v>503115</v>
      </c>
      <c r="Q115" s="80">
        <f>+'_Flujo con Glosa 08'!CO120</f>
        <v>234112</v>
      </c>
      <c r="R115" s="80">
        <f>+'_Flujo con Glosa 08'!CP120</f>
        <v>475557</v>
      </c>
      <c r="S115" s="80">
        <f t="shared" si="2"/>
        <v>4185844</v>
      </c>
      <c r="T115" s="80">
        <v>0</v>
      </c>
      <c r="U115" s="80">
        <v>0</v>
      </c>
      <c r="V115" s="80">
        <v>0</v>
      </c>
      <c r="W115" s="80">
        <v>0</v>
      </c>
      <c r="X115" s="80">
        <v>0</v>
      </c>
      <c r="Y115" s="80">
        <v>0</v>
      </c>
      <c r="Z115" s="80">
        <v>0</v>
      </c>
      <c r="AA115" s="80">
        <v>0</v>
      </c>
      <c r="AB115" s="80">
        <v>0</v>
      </c>
      <c r="AC115" s="80">
        <v>0</v>
      </c>
      <c r="AD115" s="80">
        <v>0</v>
      </c>
      <c r="AE115" s="80">
        <v>0</v>
      </c>
      <c r="AF115" s="80">
        <f t="shared" si="3"/>
        <v>0</v>
      </c>
      <c r="AG115" s="80">
        <f>+COEF_FCM!AM122</f>
        <v>32489</v>
      </c>
      <c r="AH115" s="80">
        <f>+COEF_FCM!AR122</f>
        <v>1658</v>
      </c>
      <c r="AI115" s="80">
        <f>+COEF_FCM!AN122</f>
        <v>20951</v>
      </c>
      <c r="AJ115" s="80">
        <f>+COEF_FCM!AS122</f>
        <v>701</v>
      </c>
      <c r="AK115" s="80">
        <f>+COEF_FCM!AO122</f>
        <v>22393</v>
      </c>
      <c r="AL115" s="80">
        <f>+COEF_FCM!AT122</f>
        <v>1193.527</v>
      </c>
      <c r="AM115" s="80">
        <f>+COEF_FCM!AP122</f>
        <v>12348</v>
      </c>
      <c r="AN115" s="80">
        <f>+COEF_FCM!AU122</f>
        <v>1136</v>
      </c>
      <c r="AO115" s="80">
        <f>+COEF_FCM!AQ122</f>
        <v>88181</v>
      </c>
      <c r="AP115" s="80">
        <f>+COEF_FCM!AV122</f>
        <v>4688.527</v>
      </c>
      <c r="AQ115" s="80">
        <f>+_CIERRE!O115+_CIERRE!P115</f>
        <v>3418792.7289999998</v>
      </c>
      <c r="AR115" s="80">
        <f>+_CIERRE!Q115+_CIERRE!R115</f>
        <v>3768112.5839999998</v>
      </c>
      <c r="AS115" s="80">
        <f>+_CIERRE!S115+_CIERRE!T115</f>
        <v>3952526.99</v>
      </c>
      <c r="AT115" s="80">
        <f>+_CIERRE!U115+_CIERRE!V115</f>
        <v>4826605.5010000002</v>
      </c>
      <c r="AU115" s="80">
        <f>+'CALC MEC ESTAB Y ESTIM M FINAL'!T120</f>
        <v>5475111</v>
      </c>
      <c r="AV115" s="560">
        <v>0</v>
      </c>
      <c r="AW115" s="551">
        <v>0</v>
      </c>
      <c r="AX115" s="551">
        <v>0</v>
      </c>
      <c r="AY115" s="551">
        <v>0</v>
      </c>
      <c r="AZ115" s="551">
        <v>423926.61499999999</v>
      </c>
      <c r="BA115" s="551">
        <v>433043.69199999998</v>
      </c>
    </row>
    <row r="116" spans="1:53" ht="3" customHeight="1" x14ac:dyDescent="0.2">
      <c r="A116" s="68" t="str">
        <f>IF(LEN(+'_DATA STT PAGOS_'!M121)=4,"0"&amp;+'_DATA STT PAGOS_'!M121,+'_DATA STT PAGOS_'!M121)</f>
        <v>07104</v>
      </c>
      <c r="B116" s="68" t="str">
        <f>IF(LEN(+'_DATA STT PAGOS_'!N121)=4,"0"&amp;+'_DATA STT PAGOS_'!N121,+'_DATA STT PAGOS_'!N121)</f>
        <v>07209</v>
      </c>
      <c r="C116" s="76" t="str">
        <f>+'_DATA STT PAGOS_'!O121</f>
        <v>EMPEDRADO</v>
      </c>
      <c r="D116" s="80">
        <f>+'CALC MEC ESTAB Y ESTIM M FINAL'!U121</f>
        <v>3729728</v>
      </c>
      <c r="E116" s="77">
        <f>+'CALC MEC ESTAB Y ESTIM M FINAL'!Q121</f>
        <v>1.4472452520999999E-3</v>
      </c>
      <c r="F116" s="77">
        <f>+'CALC MEC ESTAB Y ESTIM M FINAL'!R121</f>
        <v>-1.3320256610000001E-4</v>
      </c>
      <c r="G116" s="80">
        <f>+'_Flujo con Glosa 08'!CE121</f>
        <v>165666</v>
      </c>
      <c r="H116" s="80">
        <f>+'_Flujo con Glosa 08'!CF121</f>
        <v>165666</v>
      </c>
      <c r="I116" s="80">
        <f>+'_Flujo con Glosa 08'!CG121</f>
        <v>164361</v>
      </c>
      <c r="J116" s="80">
        <f>+'_Flujo con Glosa 08'!CH121</f>
        <v>165666</v>
      </c>
      <c r="K116" s="80">
        <f>+'_Flujo con Glosa 08'!CI121</f>
        <v>522686</v>
      </c>
      <c r="L116" s="80">
        <f>+'_Flujo con Glosa 08'!CJ121</f>
        <v>170634</v>
      </c>
      <c r="M116" s="80">
        <f>+'_Flujo con Glosa 08'!CK121</f>
        <v>312809</v>
      </c>
      <c r="N116" s="80">
        <f>+'_Flujo con Glosa 08'!CL121</f>
        <v>165666</v>
      </c>
      <c r="O116" s="80">
        <f>+'_Flujo con Glosa 08'!CM121</f>
        <v>198324</v>
      </c>
      <c r="P116" s="80">
        <f>+'_Flujo con Glosa 08'!CN121</f>
        <v>336544</v>
      </c>
      <c r="Q116" s="80">
        <f>+'_Flujo con Glosa 08'!CO121</f>
        <v>165666</v>
      </c>
      <c r="R116" s="80">
        <f>+'_Flujo con Glosa 08'!CP121</f>
        <v>317772</v>
      </c>
      <c r="S116" s="80">
        <f t="shared" si="2"/>
        <v>2851460</v>
      </c>
      <c r="T116" s="80">
        <v>0</v>
      </c>
      <c r="U116" s="80">
        <v>0</v>
      </c>
      <c r="V116" s="80">
        <v>0</v>
      </c>
      <c r="W116" s="80">
        <v>0</v>
      </c>
      <c r="X116" s="80">
        <v>0</v>
      </c>
      <c r="Y116" s="80">
        <v>0</v>
      </c>
      <c r="Z116" s="80">
        <v>0</v>
      </c>
      <c r="AA116" s="80">
        <v>0</v>
      </c>
      <c r="AB116" s="80">
        <v>0</v>
      </c>
      <c r="AC116" s="80">
        <v>0</v>
      </c>
      <c r="AD116" s="80">
        <v>0</v>
      </c>
      <c r="AE116" s="80">
        <v>0</v>
      </c>
      <c r="AF116" s="80">
        <f t="shared" si="3"/>
        <v>0</v>
      </c>
      <c r="AG116" s="80">
        <f>+COEF_FCM!AM123</f>
        <v>11668</v>
      </c>
      <c r="AH116" s="80">
        <f>+COEF_FCM!AR123</f>
        <v>0</v>
      </c>
      <c r="AI116" s="80">
        <f>+COEF_FCM!AN123</f>
        <v>9529</v>
      </c>
      <c r="AJ116" s="80">
        <f>+COEF_FCM!AS123</f>
        <v>0</v>
      </c>
      <c r="AK116" s="80">
        <f>+COEF_FCM!AO123</f>
        <v>9542</v>
      </c>
      <c r="AL116" s="80">
        <f>+COEF_FCM!AT123</f>
        <v>0</v>
      </c>
      <c r="AM116" s="80">
        <f>+COEF_FCM!AP123</f>
        <v>5033</v>
      </c>
      <c r="AN116" s="80">
        <f>+COEF_FCM!AU123</f>
        <v>0</v>
      </c>
      <c r="AO116" s="80">
        <f>+COEF_FCM!AQ123</f>
        <v>35772</v>
      </c>
      <c r="AP116" s="80">
        <f>+COEF_FCM!AV123</f>
        <v>0</v>
      </c>
      <c r="AQ116" s="80">
        <f>+_CIERRE!O116+_CIERRE!P116</f>
        <v>2337930.6310000001</v>
      </c>
      <c r="AR116" s="80">
        <f>+_CIERRE!Q116+_CIERRE!R116</f>
        <v>2617114.8450000002</v>
      </c>
      <c r="AS116" s="80">
        <f>+_CIERRE!S116+_CIERRE!T116</f>
        <v>2992244.6609999998</v>
      </c>
      <c r="AT116" s="80">
        <f>+_CIERRE!U116+_CIERRE!V116</f>
        <v>3414387.8169999998</v>
      </c>
      <c r="AU116" s="80">
        <f>+'CALC MEC ESTAB Y ESTIM M FINAL'!T121</f>
        <v>3729728</v>
      </c>
      <c r="AV116" s="560">
        <v>0</v>
      </c>
      <c r="AW116" s="551">
        <v>0</v>
      </c>
      <c r="AX116" s="551">
        <v>0</v>
      </c>
      <c r="AY116" s="551">
        <v>0</v>
      </c>
      <c r="AZ116" s="551">
        <v>368128.299</v>
      </c>
      <c r="BA116" s="551">
        <v>375127.86599999998</v>
      </c>
    </row>
    <row r="117" spans="1:53" ht="3" customHeight="1" x14ac:dyDescent="0.2">
      <c r="A117" s="68" t="str">
        <f>IF(LEN(+'_DATA STT PAGOS_'!M122)=4,"0"&amp;+'_DATA STT PAGOS_'!M122,+'_DATA STT PAGOS_'!M122)</f>
        <v>07105</v>
      </c>
      <c r="B117" s="68" t="str">
        <f>IF(LEN(+'_DATA STT PAGOS_'!N122)=4,"0"&amp;+'_DATA STT PAGOS_'!N122,+'_DATA STT PAGOS_'!N122)</f>
        <v>07206</v>
      </c>
      <c r="C117" s="76" t="str">
        <f>+'_DATA STT PAGOS_'!O122</f>
        <v>MAULE</v>
      </c>
      <c r="D117" s="80">
        <f>+'CALC MEC ESTAB Y ESTIM M FINAL'!U122</f>
        <v>12485809</v>
      </c>
      <c r="E117" s="77">
        <f>+'CALC MEC ESTAB Y ESTIM M FINAL'!Q122</f>
        <v>4.8413198428000001E-3</v>
      </c>
      <c r="F117" s="77">
        <f>+'CALC MEC ESTAB Y ESTIM M FINAL'!R122</f>
        <v>-4.423700495E-4</v>
      </c>
      <c r="G117" s="80">
        <f>+'_Flujo con Glosa 08'!CE122</f>
        <v>554784</v>
      </c>
      <c r="H117" s="80">
        <f>+'_Flujo con Glosa 08'!CF122</f>
        <v>554784</v>
      </c>
      <c r="I117" s="80">
        <f>+'_Flujo con Glosa 08'!CG122</f>
        <v>550224</v>
      </c>
      <c r="J117" s="80">
        <f>+'_Flujo con Glosa 08'!CH122</f>
        <v>554784</v>
      </c>
      <c r="K117" s="80">
        <f>+'_Flujo con Glosa 08'!CI122</f>
        <v>1749190</v>
      </c>
      <c r="L117" s="80">
        <f>+'_Flujo con Glosa 08'!CJ122</f>
        <v>571414</v>
      </c>
      <c r="M117" s="80">
        <f>+'_Flujo con Glosa 08'!CK122</f>
        <v>1046982</v>
      </c>
      <c r="N117" s="80">
        <f>+'_Flujo con Glosa 08'!CL122</f>
        <v>554784</v>
      </c>
      <c r="O117" s="80">
        <f>+'_Flujo con Glosa 08'!CM122</f>
        <v>663918</v>
      </c>
      <c r="P117" s="80">
        <f>+'_Flujo con Glosa 08'!CN122</f>
        <v>1126437</v>
      </c>
      <c r="Q117" s="80">
        <f>+'_Flujo con Glosa 08'!CO122</f>
        <v>554784</v>
      </c>
      <c r="R117" s="80">
        <f>+'_Flujo con Glosa 08'!CP122</f>
        <v>1063592</v>
      </c>
      <c r="S117" s="80">
        <f t="shared" si="2"/>
        <v>9545677</v>
      </c>
      <c r="T117" s="80">
        <v>0</v>
      </c>
      <c r="U117" s="80">
        <v>0</v>
      </c>
      <c r="V117" s="80">
        <v>0</v>
      </c>
      <c r="W117" s="80">
        <v>0</v>
      </c>
      <c r="X117" s="80">
        <v>0</v>
      </c>
      <c r="Y117" s="80">
        <v>0</v>
      </c>
      <c r="Z117" s="80">
        <v>0</v>
      </c>
      <c r="AA117" s="80">
        <v>0</v>
      </c>
      <c r="AB117" s="80">
        <v>0</v>
      </c>
      <c r="AC117" s="80">
        <v>0</v>
      </c>
      <c r="AD117" s="80">
        <v>0</v>
      </c>
      <c r="AE117" s="80">
        <v>0</v>
      </c>
      <c r="AF117" s="80">
        <f t="shared" si="3"/>
        <v>0</v>
      </c>
      <c r="AG117" s="80">
        <f>+COEF_FCM!AM124</f>
        <v>100577</v>
      </c>
      <c r="AH117" s="80">
        <f>+COEF_FCM!AR124</f>
        <v>1699</v>
      </c>
      <c r="AI117" s="80">
        <f>+COEF_FCM!AN124</f>
        <v>71398</v>
      </c>
      <c r="AJ117" s="80">
        <f>+COEF_FCM!AS124</f>
        <v>840</v>
      </c>
      <c r="AK117" s="80">
        <f>+COEF_FCM!AO124</f>
        <v>118746</v>
      </c>
      <c r="AL117" s="80">
        <f>+COEF_FCM!AT124</f>
        <v>787.50400000000002</v>
      </c>
      <c r="AM117" s="80">
        <f>+COEF_FCM!AP124</f>
        <v>77332</v>
      </c>
      <c r="AN117" s="80">
        <f>+COEF_FCM!AU124</f>
        <v>561</v>
      </c>
      <c r="AO117" s="80">
        <f>+COEF_FCM!AQ124</f>
        <v>368053</v>
      </c>
      <c r="AP117" s="80">
        <f>+COEF_FCM!AV124</f>
        <v>3887.5039999999999</v>
      </c>
      <c r="AQ117" s="80">
        <f>+_CIERRE!O117+_CIERRE!P117</f>
        <v>7273654.2400000002</v>
      </c>
      <c r="AR117" s="80">
        <f>+_CIERRE!Q117+_CIERRE!R117</f>
        <v>9463151.2809999995</v>
      </c>
      <c r="AS117" s="80">
        <f>+_CIERRE!S117+_CIERRE!T117</f>
        <v>10520719.58</v>
      </c>
      <c r="AT117" s="80">
        <f>+_CIERRE!U117+_CIERRE!V117</f>
        <v>11438556.956</v>
      </c>
      <c r="AU117" s="80">
        <f>+'CALC MEC ESTAB Y ESTIM M FINAL'!T122</f>
        <v>12485809</v>
      </c>
      <c r="AV117" s="560">
        <v>0</v>
      </c>
      <c r="AW117" s="551">
        <v>0</v>
      </c>
      <c r="AX117" s="551">
        <v>0</v>
      </c>
      <c r="AY117" s="551">
        <v>0</v>
      </c>
      <c r="AZ117" s="551">
        <v>1138092.3629999999</v>
      </c>
      <c r="BA117" s="551">
        <v>1181857.629</v>
      </c>
    </row>
    <row r="118" spans="1:53" ht="3" customHeight="1" x14ac:dyDescent="0.2">
      <c r="A118" s="68" t="str">
        <f>IF(LEN(+'_DATA STT PAGOS_'!M123)=4,"0"&amp;+'_DATA STT PAGOS_'!M123,+'_DATA STT PAGOS_'!M123)</f>
        <v>07106</v>
      </c>
      <c r="B118" s="68" t="str">
        <f>IF(LEN(+'_DATA STT PAGOS_'!N123)=4,"0"&amp;+'_DATA STT PAGOS_'!N123,+'_DATA STT PAGOS_'!N123)</f>
        <v>07203</v>
      </c>
      <c r="C118" s="76" t="str">
        <f>+'_DATA STT PAGOS_'!O123</f>
        <v>PELARCO</v>
      </c>
      <c r="D118" s="80">
        <f>+'CALC MEC ESTAB Y ESTIM M FINAL'!U123</f>
        <v>2757372</v>
      </c>
      <c r="E118" s="77">
        <f>+'CALC MEC ESTAB Y ESTIM M FINAL'!Q123</f>
        <v>1.0246384169999999E-3</v>
      </c>
      <c r="F118" s="77">
        <f>+'CALC MEC ESTAB Y ESTIM M FINAL'!R123</f>
        <v>-5.3172231299999999E-5</v>
      </c>
      <c r="G118" s="80">
        <f>+'_Flujo con Glosa 08'!CE123</f>
        <v>127599</v>
      </c>
      <c r="H118" s="80">
        <f>+'_Flujo con Glosa 08'!CF123</f>
        <v>127599</v>
      </c>
      <c r="I118" s="80">
        <f>+'_Flujo con Glosa 08'!CG123</f>
        <v>121512</v>
      </c>
      <c r="J118" s="80">
        <f>+'_Flujo con Glosa 08'!CH123</f>
        <v>127599</v>
      </c>
      <c r="K118" s="80">
        <f>+'_Flujo con Glosa 08'!CI123</f>
        <v>371051</v>
      </c>
      <c r="L118" s="80">
        <f>+'_Flujo con Glosa 08'!CJ123</f>
        <v>131272</v>
      </c>
      <c r="M118" s="80">
        <f>+'_Flujo con Glosa 08'!CK123</f>
        <v>226135</v>
      </c>
      <c r="N118" s="80">
        <f>+'_Flujo con Glosa 08'!CL123</f>
        <v>127599</v>
      </c>
      <c r="O118" s="80">
        <f>+'_Flujo con Glosa 08'!CM123</f>
        <v>146620</v>
      </c>
      <c r="P118" s="80">
        <f>+'_Flujo con Glosa 08'!CN123</f>
        <v>243683</v>
      </c>
      <c r="Q118" s="80">
        <f>+'_Flujo con Glosa 08'!CO123</f>
        <v>127599</v>
      </c>
      <c r="R118" s="80">
        <f>+'_Flujo con Glosa 08'!CP123</f>
        <v>229804</v>
      </c>
      <c r="S118" s="80">
        <f t="shared" si="2"/>
        <v>2108072</v>
      </c>
      <c r="T118" s="80">
        <v>0</v>
      </c>
      <c r="U118" s="80">
        <v>0</v>
      </c>
      <c r="V118" s="80">
        <v>0</v>
      </c>
      <c r="W118" s="80">
        <v>0</v>
      </c>
      <c r="X118" s="80">
        <v>0</v>
      </c>
      <c r="Y118" s="80">
        <v>0</v>
      </c>
      <c r="Z118" s="80">
        <v>0</v>
      </c>
      <c r="AA118" s="80">
        <v>0</v>
      </c>
      <c r="AB118" s="80">
        <v>0</v>
      </c>
      <c r="AC118" s="80">
        <v>0</v>
      </c>
      <c r="AD118" s="80">
        <v>0</v>
      </c>
      <c r="AE118" s="80">
        <v>0</v>
      </c>
      <c r="AF118" s="80">
        <f t="shared" si="3"/>
        <v>0</v>
      </c>
      <c r="AG118" s="80">
        <f>+COEF_FCM!AM125</f>
        <v>46902</v>
      </c>
      <c r="AH118" s="80">
        <f>+COEF_FCM!AR125</f>
        <v>64</v>
      </c>
      <c r="AI118" s="80">
        <f>+COEF_FCM!AN125</f>
        <v>27965</v>
      </c>
      <c r="AJ118" s="80">
        <f>+COEF_FCM!AS125</f>
        <v>0</v>
      </c>
      <c r="AK118" s="80">
        <f>+COEF_FCM!AO125</f>
        <v>32628</v>
      </c>
      <c r="AL118" s="80">
        <f>+COEF_FCM!AT125</f>
        <v>0</v>
      </c>
      <c r="AM118" s="80">
        <f>+COEF_FCM!AP125</f>
        <v>22542</v>
      </c>
      <c r="AN118" s="80">
        <f>+COEF_FCM!AU125</f>
        <v>0</v>
      </c>
      <c r="AO118" s="80">
        <f>+COEF_FCM!AQ125</f>
        <v>130037</v>
      </c>
      <c r="AP118" s="80">
        <f>+COEF_FCM!AV125</f>
        <v>64</v>
      </c>
      <c r="AQ118" s="80">
        <f>+_CIERRE!O118+_CIERRE!P118</f>
        <v>1983157.8049999999</v>
      </c>
      <c r="AR118" s="80">
        <f>+_CIERRE!Q118+_CIERRE!R118</f>
        <v>2309545.446</v>
      </c>
      <c r="AS118" s="80">
        <f>+_CIERRE!S118+_CIERRE!T118</f>
        <v>2502024.3689999999</v>
      </c>
      <c r="AT118" s="80">
        <f>+_CIERRE!U118+_CIERRE!V118</f>
        <v>2631492.8450000002</v>
      </c>
      <c r="AU118" s="80">
        <f>+'CALC MEC ESTAB Y ESTIM M FINAL'!T123</f>
        <v>2757372</v>
      </c>
      <c r="AV118" s="560">
        <v>0</v>
      </c>
      <c r="AW118" s="551">
        <v>0</v>
      </c>
      <c r="AX118" s="551">
        <v>0</v>
      </c>
      <c r="AY118" s="551">
        <v>0</v>
      </c>
      <c r="AZ118" s="551">
        <v>334549.18800000002</v>
      </c>
      <c r="BA118" s="551">
        <v>343297.34499999997</v>
      </c>
    </row>
    <row r="119" spans="1:53" ht="3" customHeight="1" x14ac:dyDescent="0.2">
      <c r="A119" s="68" t="str">
        <f>IF(LEN(+'_DATA STT PAGOS_'!M124)=4,"0"&amp;+'_DATA STT PAGOS_'!M124,+'_DATA STT PAGOS_'!M124)</f>
        <v>07107</v>
      </c>
      <c r="B119" s="68" t="str">
        <f>IF(LEN(+'_DATA STT PAGOS_'!N124)=4,"0"&amp;+'_DATA STT PAGOS_'!N124,+'_DATA STT PAGOS_'!N124)</f>
        <v>07205</v>
      </c>
      <c r="C119" s="76" t="str">
        <f>+'_DATA STT PAGOS_'!O124</f>
        <v>PENCAHUE</v>
      </c>
      <c r="D119" s="80">
        <f>+'CALC MEC ESTAB Y ESTIM M FINAL'!U124</f>
        <v>2874585</v>
      </c>
      <c r="E119" s="77">
        <f>+'CALC MEC ESTAB Y ESTIM M FINAL'!Q124</f>
        <v>1.0735078122E-3</v>
      </c>
      <c r="F119" s="77">
        <f>+'CALC MEC ESTAB Y ESTIM M FINAL'!R124</f>
        <v>-6.0745615399999997E-5</v>
      </c>
      <c r="G119" s="80">
        <f>+'_Flujo con Glosa 08'!CE124</f>
        <v>132402</v>
      </c>
      <c r="H119" s="80">
        <f>+'_Flujo con Glosa 08'!CF124</f>
        <v>132402</v>
      </c>
      <c r="I119" s="80">
        <f>+'_Flujo con Glosa 08'!CG124</f>
        <v>126677</v>
      </c>
      <c r="J119" s="80">
        <f>+'_Flujo con Glosa 08'!CH124</f>
        <v>132402</v>
      </c>
      <c r="K119" s="80">
        <f>+'_Flujo con Glosa 08'!CI124</f>
        <v>388687</v>
      </c>
      <c r="L119" s="80">
        <f>+'_Flujo con Glosa 08'!CJ124</f>
        <v>136231</v>
      </c>
      <c r="M119" s="80">
        <f>+'_Flujo con Glosa 08'!CK124</f>
        <v>236370</v>
      </c>
      <c r="N119" s="80">
        <f>+'_Flujo con Glosa 08'!CL124</f>
        <v>132402</v>
      </c>
      <c r="O119" s="80">
        <f>+'_Flujo con Glosa 08'!CM124</f>
        <v>152853</v>
      </c>
      <c r="P119" s="80">
        <f>+'_Flujo con Glosa 08'!CN124</f>
        <v>254663</v>
      </c>
      <c r="Q119" s="80">
        <f>+'_Flujo con Glosa 08'!CO124</f>
        <v>132402</v>
      </c>
      <c r="R119" s="80">
        <f>+'_Flujo con Glosa 08'!CP124</f>
        <v>240194</v>
      </c>
      <c r="S119" s="80">
        <f t="shared" si="2"/>
        <v>2197685</v>
      </c>
      <c r="T119" s="80">
        <v>0</v>
      </c>
      <c r="U119" s="80">
        <v>0</v>
      </c>
      <c r="V119" s="80">
        <v>0</v>
      </c>
      <c r="W119" s="80">
        <v>0</v>
      </c>
      <c r="X119" s="80">
        <v>0</v>
      </c>
      <c r="Y119" s="80">
        <v>0</v>
      </c>
      <c r="Z119" s="80">
        <v>0</v>
      </c>
      <c r="AA119" s="80">
        <v>0</v>
      </c>
      <c r="AB119" s="80">
        <v>0</v>
      </c>
      <c r="AC119" s="80">
        <v>0</v>
      </c>
      <c r="AD119" s="80">
        <v>0</v>
      </c>
      <c r="AE119" s="80">
        <v>0</v>
      </c>
      <c r="AF119" s="80">
        <f t="shared" si="3"/>
        <v>0</v>
      </c>
      <c r="AG119" s="80">
        <f>+COEF_FCM!AM126</f>
        <v>53123</v>
      </c>
      <c r="AH119" s="80">
        <f>+COEF_FCM!AR126</f>
        <v>286</v>
      </c>
      <c r="AI119" s="80">
        <f>+COEF_FCM!AN126</f>
        <v>35736</v>
      </c>
      <c r="AJ119" s="80">
        <f>+COEF_FCM!AS126</f>
        <v>227</v>
      </c>
      <c r="AK119" s="80">
        <f>+COEF_FCM!AO126</f>
        <v>39750</v>
      </c>
      <c r="AL119" s="80">
        <f>+COEF_FCM!AT126</f>
        <v>230.041</v>
      </c>
      <c r="AM119" s="80">
        <f>+COEF_FCM!AP126</f>
        <v>37128</v>
      </c>
      <c r="AN119" s="80">
        <f>+COEF_FCM!AU126</f>
        <v>142</v>
      </c>
      <c r="AO119" s="80">
        <f>+COEF_FCM!AQ126</f>
        <v>165737</v>
      </c>
      <c r="AP119" s="80">
        <f>+COEF_FCM!AV126</f>
        <v>885.04099999999994</v>
      </c>
      <c r="AQ119" s="80">
        <f>+_CIERRE!O119+_CIERRE!P119</f>
        <v>2064313.6259999999</v>
      </c>
      <c r="AR119" s="80">
        <f>+_CIERRE!Q119+_CIERRE!R119</f>
        <v>2375530.6120000002</v>
      </c>
      <c r="AS119" s="80">
        <f>+_CIERRE!S119+_CIERRE!T119</f>
        <v>2572041.1549999998</v>
      </c>
      <c r="AT119" s="80">
        <f>+_CIERRE!U119+_CIERRE!V119</f>
        <v>2730778.4010000001</v>
      </c>
      <c r="AU119" s="80">
        <f>+'CALC MEC ESTAB Y ESTIM M FINAL'!T124</f>
        <v>2874585</v>
      </c>
      <c r="AV119" s="560">
        <v>0</v>
      </c>
      <c r="AW119" s="551">
        <v>0</v>
      </c>
      <c r="AX119" s="551">
        <v>0</v>
      </c>
      <c r="AY119" s="551">
        <v>0</v>
      </c>
      <c r="AZ119" s="551">
        <v>342490.08899999998</v>
      </c>
      <c r="BA119" s="551">
        <v>350623.32799999998</v>
      </c>
    </row>
    <row r="120" spans="1:53" ht="3" customHeight="1" x14ac:dyDescent="0.2">
      <c r="A120" s="68" t="str">
        <f>IF(LEN(+'_DATA STT PAGOS_'!M125)=4,"0"&amp;+'_DATA STT PAGOS_'!M125,+'_DATA STT PAGOS_'!M125)</f>
        <v>07108</v>
      </c>
      <c r="B120" s="68" t="str">
        <f>IF(LEN(+'_DATA STT PAGOS_'!N125)=4,"0"&amp;+'_DATA STT PAGOS_'!N125,+'_DATA STT PAGOS_'!N125)</f>
        <v>07204</v>
      </c>
      <c r="C120" s="76" t="str">
        <f>+'_DATA STT PAGOS_'!O125</f>
        <v>RÍO CLARO</v>
      </c>
      <c r="D120" s="80">
        <f>+'CALC MEC ESTAB Y ESTIM M FINAL'!U125</f>
        <v>3106673</v>
      </c>
      <c r="E120" s="77">
        <f>+'CALC MEC ESTAB Y ESTIM M FINAL'!Q125</f>
        <v>1.1591268333000001E-3</v>
      </c>
      <c r="F120" s="77">
        <f>+'CALC MEC ESTAB Y ESTIM M FINAL'!R125</f>
        <v>-6.4596428999999996E-5</v>
      </c>
      <c r="G120" s="80">
        <f>+'_Flujo con Glosa 08'!CE125</f>
        <v>143243</v>
      </c>
      <c r="H120" s="80">
        <f>+'_Flujo con Glosa 08'!CF125</f>
        <v>143243</v>
      </c>
      <c r="I120" s="80">
        <f>+'_Flujo con Glosa 08'!CG125</f>
        <v>136905</v>
      </c>
      <c r="J120" s="80">
        <f>+'_Flujo con Glosa 08'!CH125</f>
        <v>143243</v>
      </c>
      <c r="K120" s="80">
        <f>+'_Flujo con Glosa 08'!CI125</f>
        <v>419616</v>
      </c>
      <c r="L120" s="80">
        <f>+'_Flujo con Glosa 08'!CJ125</f>
        <v>147381</v>
      </c>
      <c r="M120" s="80">
        <f>+'_Flujo con Glosa 08'!CK125</f>
        <v>255302</v>
      </c>
      <c r="N120" s="80">
        <f>+'_Flujo con Glosa 08'!CL125</f>
        <v>143243</v>
      </c>
      <c r="O120" s="80">
        <f>+'_Flujo con Glosa 08'!CM125</f>
        <v>165194</v>
      </c>
      <c r="P120" s="80">
        <f>+'_Flujo con Glosa 08'!CN125</f>
        <v>275072</v>
      </c>
      <c r="Q120" s="80">
        <f>+'_Flujo con Glosa 08'!CO125</f>
        <v>143243</v>
      </c>
      <c r="R120" s="80">
        <f>+'_Flujo con Glosa 08'!CP125</f>
        <v>259435</v>
      </c>
      <c r="S120" s="80">
        <f t="shared" si="2"/>
        <v>2375120</v>
      </c>
      <c r="T120" s="80">
        <v>0</v>
      </c>
      <c r="U120" s="80">
        <v>0</v>
      </c>
      <c r="V120" s="80">
        <v>0</v>
      </c>
      <c r="W120" s="80">
        <v>0</v>
      </c>
      <c r="X120" s="80">
        <v>0</v>
      </c>
      <c r="Y120" s="80">
        <v>0</v>
      </c>
      <c r="Z120" s="80">
        <v>0</v>
      </c>
      <c r="AA120" s="80">
        <v>0</v>
      </c>
      <c r="AB120" s="80">
        <v>0</v>
      </c>
      <c r="AC120" s="80">
        <v>0</v>
      </c>
      <c r="AD120" s="80">
        <v>0</v>
      </c>
      <c r="AE120" s="80">
        <v>0</v>
      </c>
      <c r="AF120" s="80">
        <f t="shared" si="3"/>
        <v>0</v>
      </c>
      <c r="AG120" s="80">
        <f>+COEF_FCM!AM127</f>
        <v>73050</v>
      </c>
      <c r="AH120" s="80">
        <f>+COEF_FCM!AR127</f>
        <v>62</v>
      </c>
      <c r="AI120" s="80">
        <f>+COEF_FCM!AN127</f>
        <v>46306</v>
      </c>
      <c r="AJ120" s="80">
        <f>+COEF_FCM!AS127</f>
        <v>0</v>
      </c>
      <c r="AK120" s="80">
        <f>+COEF_FCM!AO127</f>
        <v>54108</v>
      </c>
      <c r="AL120" s="80">
        <f>+COEF_FCM!AT127</f>
        <v>0</v>
      </c>
      <c r="AM120" s="80">
        <f>+COEF_FCM!AP127</f>
        <v>47478</v>
      </c>
      <c r="AN120" s="80">
        <f>+COEF_FCM!AU127</f>
        <v>55</v>
      </c>
      <c r="AO120" s="80">
        <f>+COEF_FCM!AQ127</f>
        <v>220942</v>
      </c>
      <c r="AP120" s="80">
        <f>+COEF_FCM!AV127</f>
        <v>117</v>
      </c>
      <c r="AQ120" s="80">
        <f>+_CIERRE!O120+_CIERRE!P120</f>
        <v>2240174.9569999999</v>
      </c>
      <c r="AR120" s="80">
        <f>+_CIERRE!Q120+_CIERRE!R120</f>
        <v>2575743.7949999999</v>
      </c>
      <c r="AS120" s="80">
        <f>+_CIERRE!S120+_CIERRE!T120</f>
        <v>2801855.071</v>
      </c>
      <c r="AT120" s="80">
        <f>+_CIERRE!U120+_CIERRE!V120</f>
        <v>2953748.8969999999</v>
      </c>
      <c r="AU120" s="80">
        <f>+'CALC MEC ESTAB Y ESTIM M FINAL'!T125</f>
        <v>3106673</v>
      </c>
      <c r="AV120" s="560">
        <v>0</v>
      </c>
      <c r="AW120" s="551">
        <v>0</v>
      </c>
      <c r="AX120" s="551">
        <v>0</v>
      </c>
      <c r="AY120" s="551">
        <v>0</v>
      </c>
      <c r="AZ120" s="551">
        <v>358163.85</v>
      </c>
      <c r="BA120" s="551">
        <v>368202.64799999999</v>
      </c>
    </row>
    <row r="121" spans="1:53" ht="3" customHeight="1" x14ac:dyDescent="0.2">
      <c r="A121" s="68" t="str">
        <f>IF(LEN(+'_DATA STT PAGOS_'!M126)=4,"0"&amp;+'_DATA STT PAGOS_'!M126,+'_DATA STT PAGOS_'!M126)</f>
        <v>07109</v>
      </c>
      <c r="B121" s="68" t="str">
        <f>IF(LEN(+'_DATA STT PAGOS_'!N126)=4,"0"&amp;+'_DATA STT PAGOS_'!N126,+'_DATA STT PAGOS_'!N126)</f>
        <v>07202</v>
      </c>
      <c r="C121" s="76" t="str">
        <f>+'_DATA STT PAGOS_'!O126</f>
        <v>SAN CLEMENTE</v>
      </c>
      <c r="D121" s="80">
        <f>+'CALC MEC ESTAB Y ESTIM M FINAL'!U126</f>
        <v>11450029</v>
      </c>
      <c r="E121" s="77">
        <f>+'CALC MEC ESTAB Y ESTIM M FINAL'!Q126</f>
        <v>4.3620063973999999E-3</v>
      </c>
      <c r="F121" s="77">
        <f>+'CALC MEC ESTAB Y ESTIM M FINAL'!R126</f>
        <v>-3.2797833779999998E-4</v>
      </c>
      <c r="G121" s="80">
        <f>+'_Flujo con Glosa 08'!CE126</f>
        <v>517725</v>
      </c>
      <c r="H121" s="80">
        <f>+'_Flujo con Glosa 08'!CF126</f>
        <v>517725</v>
      </c>
      <c r="I121" s="80">
        <f>+'_Flujo con Glosa 08'!CG126</f>
        <v>504579</v>
      </c>
      <c r="J121" s="80">
        <f>+'_Flujo con Glosa 08'!CH126</f>
        <v>517725</v>
      </c>
      <c r="K121" s="80">
        <f>+'_Flujo con Glosa 08'!CI126</f>
        <v>1577192</v>
      </c>
      <c r="L121" s="80">
        <f>+'_Flujo con Glosa 08'!CJ126</f>
        <v>532975</v>
      </c>
      <c r="M121" s="80">
        <f>+'_Flujo con Glosa 08'!CK126</f>
        <v>951163</v>
      </c>
      <c r="N121" s="80">
        <f>+'_Flujo con Glosa 08'!CL126</f>
        <v>517725</v>
      </c>
      <c r="O121" s="80">
        <f>+'_Flujo con Glosa 08'!CM126</f>
        <v>608841</v>
      </c>
      <c r="P121" s="80">
        <f>+'_Flujo con Glosa 08'!CN126</f>
        <v>1024028</v>
      </c>
      <c r="Q121" s="80">
        <f>+'_Flujo con Glosa 08'!CO126</f>
        <v>517725</v>
      </c>
      <c r="R121" s="80">
        <f>+'_Flujo con Glosa 08'!CP126</f>
        <v>966395</v>
      </c>
      <c r="S121" s="80">
        <f t="shared" si="2"/>
        <v>8753798</v>
      </c>
      <c r="T121" s="80">
        <v>0</v>
      </c>
      <c r="U121" s="80">
        <v>0</v>
      </c>
      <c r="V121" s="80">
        <v>0</v>
      </c>
      <c r="W121" s="80">
        <v>0</v>
      </c>
      <c r="X121" s="80">
        <v>0</v>
      </c>
      <c r="Y121" s="80">
        <v>0</v>
      </c>
      <c r="Z121" s="80">
        <v>0</v>
      </c>
      <c r="AA121" s="80">
        <v>0</v>
      </c>
      <c r="AB121" s="80">
        <v>0</v>
      </c>
      <c r="AC121" s="80">
        <v>0</v>
      </c>
      <c r="AD121" s="80">
        <v>0</v>
      </c>
      <c r="AE121" s="80">
        <v>0</v>
      </c>
      <c r="AF121" s="80">
        <f t="shared" si="3"/>
        <v>0</v>
      </c>
      <c r="AG121" s="80">
        <f>+COEF_FCM!AM128</f>
        <v>174852</v>
      </c>
      <c r="AH121" s="80">
        <f>+COEF_FCM!AR128</f>
        <v>1726</v>
      </c>
      <c r="AI121" s="80">
        <f>+COEF_FCM!AN128</f>
        <v>103284</v>
      </c>
      <c r="AJ121" s="80">
        <f>+COEF_FCM!AS128</f>
        <v>1131</v>
      </c>
      <c r="AK121" s="80">
        <f>+COEF_FCM!AO128</f>
        <v>129208</v>
      </c>
      <c r="AL121" s="80">
        <f>+COEF_FCM!AT128</f>
        <v>1404.0830000000001</v>
      </c>
      <c r="AM121" s="80">
        <f>+COEF_FCM!AP128</f>
        <v>94190</v>
      </c>
      <c r="AN121" s="80">
        <f>+COEF_FCM!AU128</f>
        <v>897</v>
      </c>
      <c r="AO121" s="80">
        <f>+COEF_FCM!AQ128</f>
        <v>501534</v>
      </c>
      <c r="AP121" s="80">
        <f>+COEF_FCM!AV128</f>
        <v>5158.0830000000005</v>
      </c>
      <c r="AQ121" s="80">
        <f>+_CIERRE!O121+_CIERRE!P121</f>
        <v>7401970.6409999998</v>
      </c>
      <c r="AR121" s="80">
        <f>+_CIERRE!Q121+_CIERRE!R121</f>
        <v>8795918.8560000006</v>
      </c>
      <c r="AS121" s="80">
        <f>+_CIERRE!S121+_CIERRE!T121</f>
        <v>9812201.3579999991</v>
      </c>
      <c r="AT121" s="80">
        <f>+_CIERRE!U121+_CIERRE!V121</f>
        <v>10673583.765000001</v>
      </c>
      <c r="AU121" s="80">
        <f>+'CALC MEC ESTAB Y ESTIM M FINAL'!T126</f>
        <v>11450029</v>
      </c>
      <c r="AV121" s="560">
        <v>0</v>
      </c>
      <c r="AW121" s="551">
        <v>0</v>
      </c>
      <c r="AX121" s="551">
        <v>0</v>
      </c>
      <c r="AY121" s="551">
        <v>0</v>
      </c>
      <c r="AZ121" s="551">
        <v>737577.49</v>
      </c>
      <c r="BA121" s="551">
        <v>783929.18200000003</v>
      </c>
    </row>
    <row r="122" spans="1:53" ht="3" customHeight="1" x14ac:dyDescent="0.2">
      <c r="A122" s="68" t="str">
        <f>IF(LEN(+'_DATA STT PAGOS_'!M127)=4,"0"&amp;+'_DATA STT PAGOS_'!M127,+'_DATA STT PAGOS_'!M127)</f>
        <v>07110</v>
      </c>
      <c r="B122" s="68" t="str">
        <f>IF(LEN(+'_DATA STT PAGOS_'!N127)=4,"0"&amp;+'_DATA STT PAGOS_'!N127,+'_DATA STT PAGOS_'!N127)</f>
        <v>07210</v>
      </c>
      <c r="C122" s="76" t="str">
        <f>+'_DATA STT PAGOS_'!O127</f>
        <v>SAN RAFAEL</v>
      </c>
      <c r="D122" s="80">
        <f>+'CALC MEC ESTAB Y ESTIM M FINAL'!U127</f>
        <v>3806318</v>
      </c>
      <c r="E122" s="77">
        <f>+'CALC MEC ESTAB Y ESTIM M FINAL'!Q127</f>
        <v>1.5138876982E-3</v>
      </c>
      <c r="F122" s="77">
        <f>+'CALC MEC ESTAB Y ESTIM M FINAL'!R127</f>
        <v>-1.7286101359999999E-4</v>
      </c>
      <c r="G122" s="80">
        <f>+'_Flujo con Glosa 08'!CE127</f>
        <v>164784</v>
      </c>
      <c r="H122" s="80">
        <f>+'_Flujo con Glosa 08'!CF127</f>
        <v>164784</v>
      </c>
      <c r="I122" s="80">
        <f>+'_Flujo con Glosa 08'!CG127</f>
        <v>167737</v>
      </c>
      <c r="J122" s="80">
        <f>+'_Flujo con Glosa 08'!CH127</f>
        <v>164784</v>
      </c>
      <c r="K122" s="80">
        <f>+'_Flujo con Glosa 08'!CI127</f>
        <v>546272</v>
      </c>
      <c r="L122" s="80">
        <f>+'_Flujo con Glosa 08'!CJ127</f>
        <v>169854</v>
      </c>
      <c r="M122" s="80">
        <f>+'_Flujo con Glosa 08'!CK127</f>
        <v>323517</v>
      </c>
      <c r="N122" s="80">
        <f>+'_Flujo con Glosa 08'!CL127</f>
        <v>164784</v>
      </c>
      <c r="O122" s="80">
        <f>+'_Flujo con Glosa 08'!CM127</f>
        <v>202397</v>
      </c>
      <c r="P122" s="80">
        <f>+'_Flujo con Glosa 08'!CN127</f>
        <v>347739</v>
      </c>
      <c r="Q122" s="80">
        <f>+'_Flujo con Glosa 08'!CO127</f>
        <v>164784</v>
      </c>
      <c r="R122" s="80">
        <f>+'_Flujo con Glosa 08'!CP127</f>
        <v>328580</v>
      </c>
      <c r="S122" s="80">
        <f t="shared" si="2"/>
        <v>2910016</v>
      </c>
      <c r="T122" s="80">
        <v>0</v>
      </c>
      <c r="U122" s="80">
        <v>0</v>
      </c>
      <c r="V122" s="80">
        <v>0</v>
      </c>
      <c r="W122" s="80">
        <v>0</v>
      </c>
      <c r="X122" s="80">
        <v>0</v>
      </c>
      <c r="Y122" s="80">
        <v>0</v>
      </c>
      <c r="Z122" s="80">
        <v>0</v>
      </c>
      <c r="AA122" s="80">
        <v>0</v>
      </c>
      <c r="AB122" s="80">
        <v>0</v>
      </c>
      <c r="AC122" s="80">
        <v>0</v>
      </c>
      <c r="AD122" s="80">
        <v>0</v>
      </c>
      <c r="AE122" s="80">
        <v>0</v>
      </c>
      <c r="AF122" s="80">
        <f t="shared" si="3"/>
        <v>0</v>
      </c>
      <c r="AG122" s="80">
        <f>+COEF_FCM!AM129</f>
        <v>34599</v>
      </c>
      <c r="AH122" s="80">
        <f>+COEF_FCM!AR129</f>
        <v>66</v>
      </c>
      <c r="AI122" s="80">
        <f>+COEF_FCM!AN129</f>
        <v>25207</v>
      </c>
      <c r="AJ122" s="80">
        <f>+COEF_FCM!AS129</f>
        <v>0</v>
      </c>
      <c r="AK122" s="80">
        <f>+COEF_FCM!AO129</f>
        <v>25159</v>
      </c>
      <c r="AL122" s="80">
        <f>+COEF_FCM!AT129</f>
        <v>0</v>
      </c>
      <c r="AM122" s="80">
        <f>+COEF_FCM!AP129</f>
        <v>26757</v>
      </c>
      <c r="AN122" s="80">
        <f>+COEF_FCM!AU129</f>
        <v>65</v>
      </c>
      <c r="AO122" s="80">
        <f>+COEF_FCM!AQ129</f>
        <v>111722</v>
      </c>
      <c r="AP122" s="80">
        <f>+COEF_FCM!AV129</f>
        <v>131</v>
      </c>
      <c r="AQ122" s="80">
        <f>+_CIERRE!O122+_CIERRE!P122</f>
        <v>2198112.7990000001</v>
      </c>
      <c r="AR122" s="80">
        <f>+_CIERRE!Q122+_CIERRE!R122</f>
        <v>2615935.2310000001</v>
      </c>
      <c r="AS122" s="80">
        <f>+_CIERRE!S122+_CIERRE!T122</f>
        <v>2836684.5559999999</v>
      </c>
      <c r="AT122" s="80">
        <f>+_CIERRE!U122+_CIERRE!V122</f>
        <v>3397092.4180000001</v>
      </c>
      <c r="AU122" s="80">
        <f>+'CALC MEC ESTAB Y ESTIM M FINAL'!T127</f>
        <v>3806318</v>
      </c>
      <c r="AV122" s="560">
        <v>0</v>
      </c>
      <c r="AW122" s="551">
        <v>0</v>
      </c>
      <c r="AX122" s="551">
        <v>0</v>
      </c>
      <c r="AY122" s="551">
        <v>0</v>
      </c>
      <c r="AZ122" s="551">
        <v>346288.06400000001</v>
      </c>
      <c r="BA122" s="551">
        <v>357638.30200000003</v>
      </c>
    </row>
    <row r="123" spans="1:53" ht="3" customHeight="1" x14ac:dyDescent="0.2">
      <c r="A123" s="68" t="str">
        <f>IF(LEN(+'_DATA STT PAGOS_'!M128)=4,"0"&amp;+'_DATA STT PAGOS_'!M128,+'_DATA STT PAGOS_'!M128)</f>
        <v>07201</v>
      </c>
      <c r="B123" s="68" t="str">
        <f>IF(LEN(+'_DATA STT PAGOS_'!N128)=4,"0"&amp;+'_DATA STT PAGOS_'!N128,+'_DATA STT PAGOS_'!N128)</f>
        <v>07401</v>
      </c>
      <c r="C123" s="76" t="str">
        <f>+'_DATA STT PAGOS_'!O128</f>
        <v>CAUQUENES</v>
      </c>
      <c r="D123" s="80">
        <f>+'CALC MEC ESTAB Y ESTIM M FINAL'!U128</f>
        <v>12233075</v>
      </c>
      <c r="E123" s="77">
        <f>+'CALC MEC ESTAB Y ESTIM M FINAL'!Q128</f>
        <v>4.6867938209000006E-3</v>
      </c>
      <c r="F123" s="77">
        <f>+'CALC MEC ESTAB Y ESTIM M FINAL'!R128</f>
        <v>-3.7688613660000002E-4</v>
      </c>
      <c r="G123" s="80">
        <f>+'_Flujo con Glosa 08'!CE128</f>
        <v>549908</v>
      </c>
      <c r="H123" s="80">
        <f>+'_Flujo con Glosa 08'!CF128</f>
        <v>549908</v>
      </c>
      <c r="I123" s="80">
        <f>+'_Flujo con Glosa 08'!CG128</f>
        <v>539086</v>
      </c>
      <c r="J123" s="80">
        <f>+'_Flujo con Glosa 08'!CH128</f>
        <v>549908</v>
      </c>
      <c r="K123" s="80">
        <f>+'_Flujo con Glosa 08'!CI128</f>
        <v>1694721</v>
      </c>
      <c r="L123" s="80">
        <f>+'_Flujo con Glosa 08'!CJ128</f>
        <v>566201</v>
      </c>
      <c r="M123" s="80">
        <f>+'_Flujo con Glosa 08'!CK128</f>
        <v>1019436</v>
      </c>
      <c r="N123" s="80">
        <f>+'_Flujo con Glosa 08'!CL128</f>
        <v>549908</v>
      </c>
      <c r="O123" s="80">
        <f>+'_Flujo con Glosa 08'!CM128</f>
        <v>650479</v>
      </c>
      <c r="P123" s="80">
        <f>+'_Flujo con Glosa 08'!CN128</f>
        <v>1097283</v>
      </c>
      <c r="Q123" s="80">
        <f>+'_Flujo con Glosa 08'!CO128</f>
        <v>549908</v>
      </c>
      <c r="R123" s="80">
        <f>+'_Flujo con Glosa 08'!CP128</f>
        <v>1035710</v>
      </c>
      <c r="S123" s="80">
        <f t="shared" si="2"/>
        <v>9352456</v>
      </c>
      <c r="T123" s="80">
        <v>0</v>
      </c>
      <c r="U123" s="80">
        <v>0</v>
      </c>
      <c r="V123" s="80">
        <v>0</v>
      </c>
      <c r="W123" s="80">
        <v>0</v>
      </c>
      <c r="X123" s="80">
        <v>0</v>
      </c>
      <c r="Y123" s="80">
        <v>0</v>
      </c>
      <c r="Z123" s="80">
        <v>0</v>
      </c>
      <c r="AA123" s="80">
        <v>0</v>
      </c>
      <c r="AB123" s="80">
        <v>0</v>
      </c>
      <c r="AC123" s="80">
        <v>0</v>
      </c>
      <c r="AD123" s="80">
        <v>0</v>
      </c>
      <c r="AE123" s="80">
        <v>0</v>
      </c>
      <c r="AF123" s="80">
        <f t="shared" si="3"/>
        <v>0</v>
      </c>
      <c r="AG123" s="80">
        <f>+COEF_FCM!AM130</f>
        <v>144199</v>
      </c>
      <c r="AH123" s="80">
        <f>+COEF_FCM!AR130</f>
        <v>9885</v>
      </c>
      <c r="AI123" s="80">
        <f>+COEF_FCM!AN130</f>
        <v>99163</v>
      </c>
      <c r="AJ123" s="80">
        <f>+COEF_FCM!AS130</f>
        <v>5755</v>
      </c>
      <c r="AK123" s="80">
        <f>+COEF_FCM!AO130</f>
        <v>110939</v>
      </c>
      <c r="AL123" s="80">
        <f>+COEF_FCM!AT130</f>
        <v>7004.6469999999999</v>
      </c>
      <c r="AM123" s="80">
        <f>+COEF_FCM!AP130</f>
        <v>81816</v>
      </c>
      <c r="AN123" s="80">
        <f>+COEF_FCM!AU130</f>
        <v>4798</v>
      </c>
      <c r="AO123" s="80">
        <f>+COEF_FCM!AQ130</f>
        <v>436117</v>
      </c>
      <c r="AP123" s="80">
        <f>+COEF_FCM!AV130</f>
        <v>27442.647000000001</v>
      </c>
      <c r="AQ123" s="80">
        <f>+_CIERRE!O123+_CIERRE!P123</f>
        <v>8141458.9800000004</v>
      </c>
      <c r="AR123" s="80">
        <f>+_CIERRE!Q123+_CIERRE!R123</f>
        <v>9521483.6919999998</v>
      </c>
      <c r="AS123" s="80">
        <f>+_CIERRE!S123+_CIERRE!T123</f>
        <v>10120016.499</v>
      </c>
      <c r="AT123" s="80">
        <f>+_CIERRE!U123+_CIERRE!V123</f>
        <v>11340846.132999999</v>
      </c>
      <c r="AU123" s="80">
        <f>+'CALC MEC ESTAB Y ESTIM M FINAL'!T128</f>
        <v>12233075</v>
      </c>
      <c r="AV123" s="560">
        <v>0</v>
      </c>
      <c r="AW123" s="551">
        <v>0</v>
      </c>
      <c r="AX123" s="551">
        <v>0</v>
      </c>
      <c r="AY123" s="551">
        <v>0</v>
      </c>
      <c r="AZ123" s="551">
        <v>829173.47499999998</v>
      </c>
      <c r="BA123" s="551">
        <v>820823.37600000005</v>
      </c>
    </row>
    <row r="124" spans="1:53" ht="3" customHeight="1" x14ac:dyDescent="0.2">
      <c r="A124" s="68" t="str">
        <f>IF(LEN(+'_DATA STT PAGOS_'!M129)=4,"0"&amp;+'_DATA STT PAGOS_'!M129,+'_DATA STT PAGOS_'!M129)</f>
        <v>07202</v>
      </c>
      <c r="B124" s="68" t="str">
        <f>IF(LEN(+'_DATA STT PAGOS_'!N129)=4,"0"&amp;+'_DATA STT PAGOS_'!N129,+'_DATA STT PAGOS_'!N129)</f>
        <v>07403</v>
      </c>
      <c r="C124" s="76" t="str">
        <f>+'_DATA STT PAGOS_'!O129</f>
        <v>CHANCO</v>
      </c>
      <c r="D124" s="80">
        <f>+'CALC MEC ESTAB Y ESTIM M FINAL'!U129</f>
        <v>5008635</v>
      </c>
      <c r="E124" s="77">
        <f>+'CALC MEC ESTAB Y ESTIM M FINAL'!Q129</f>
        <v>2.0052715777000001E-3</v>
      </c>
      <c r="F124" s="77">
        <f>+'CALC MEC ESTAB Y ESTIM M FINAL'!R129</f>
        <v>-2.406494253E-4</v>
      </c>
      <c r="G124" s="80">
        <f>+'_Flujo con Glosa 08'!CE129</f>
        <v>215307</v>
      </c>
      <c r="H124" s="80">
        <f>+'_Flujo con Glosa 08'!CF129</f>
        <v>215307</v>
      </c>
      <c r="I124" s="80">
        <f>+'_Flujo con Glosa 08'!CG129</f>
        <v>220720</v>
      </c>
      <c r="J124" s="80">
        <f>+'_Flujo con Glosa 08'!CH129</f>
        <v>215307</v>
      </c>
      <c r="K124" s="80">
        <f>+'_Flujo con Glosa 08'!CI129</f>
        <v>723408</v>
      </c>
      <c r="L124" s="80">
        <f>+'_Flujo con Glosa 08'!CJ129</f>
        <v>221978</v>
      </c>
      <c r="M124" s="80">
        <f>+'_Flujo con Glosa 08'!CK129</f>
        <v>427235</v>
      </c>
      <c r="N124" s="80">
        <f>+'_Flujo con Glosa 08'!CL129</f>
        <v>215307</v>
      </c>
      <c r="O124" s="80">
        <f>+'_Flujo con Glosa 08'!CM129</f>
        <v>266328</v>
      </c>
      <c r="P124" s="80">
        <f>+'_Flujo con Glosa 08'!CN129</f>
        <v>459109</v>
      </c>
      <c r="Q124" s="80">
        <f>+'_Flujo con Glosa 08'!CO129</f>
        <v>215307</v>
      </c>
      <c r="R124" s="80">
        <f>+'_Flujo con Glosa 08'!CP129</f>
        <v>433898</v>
      </c>
      <c r="S124" s="80">
        <f t="shared" si="2"/>
        <v>3829211</v>
      </c>
      <c r="T124" s="80">
        <v>0</v>
      </c>
      <c r="U124" s="80">
        <v>0</v>
      </c>
      <c r="V124" s="80">
        <v>0</v>
      </c>
      <c r="W124" s="80">
        <v>0</v>
      </c>
      <c r="X124" s="80">
        <v>0</v>
      </c>
      <c r="Y124" s="80">
        <v>0</v>
      </c>
      <c r="Z124" s="80">
        <v>0</v>
      </c>
      <c r="AA124" s="80">
        <v>0</v>
      </c>
      <c r="AB124" s="80">
        <v>0</v>
      </c>
      <c r="AC124" s="80">
        <v>0</v>
      </c>
      <c r="AD124" s="80">
        <v>0</v>
      </c>
      <c r="AE124" s="80">
        <v>0</v>
      </c>
      <c r="AF124" s="80">
        <f t="shared" si="3"/>
        <v>0</v>
      </c>
      <c r="AG124" s="80">
        <f>+COEF_FCM!AM131</f>
        <v>18184</v>
      </c>
      <c r="AH124" s="80">
        <f>+COEF_FCM!AR131</f>
        <v>0</v>
      </c>
      <c r="AI124" s="80">
        <f>+COEF_FCM!AN131</f>
        <v>11161</v>
      </c>
      <c r="AJ124" s="80">
        <f>+COEF_FCM!AS131</f>
        <v>0</v>
      </c>
      <c r="AK124" s="80">
        <f>+COEF_FCM!AO131</f>
        <v>16183</v>
      </c>
      <c r="AL124" s="80">
        <f>+COEF_FCM!AT131</f>
        <v>0</v>
      </c>
      <c r="AM124" s="80">
        <f>+COEF_FCM!AP131</f>
        <v>6856</v>
      </c>
      <c r="AN124" s="80">
        <f>+COEF_FCM!AU131</f>
        <v>0</v>
      </c>
      <c r="AO124" s="80">
        <f>+COEF_FCM!AQ131</f>
        <v>52384</v>
      </c>
      <c r="AP124" s="80">
        <f>+COEF_FCM!AV131</f>
        <v>0</v>
      </c>
      <c r="AQ124" s="80">
        <f>+_CIERRE!O124+_CIERRE!P124</f>
        <v>3019546.8829999999</v>
      </c>
      <c r="AR124" s="80">
        <f>+_CIERRE!Q124+_CIERRE!R124</f>
        <v>3528068.375</v>
      </c>
      <c r="AS124" s="80">
        <f>+_CIERRE!S124+_CIERRE!T124</f>
        <v>3826907.0060000001</v>
      </c>
      <c r="AT124" s="80">
        <f>+_CIERRE!U124+_CIERRE!V124</f>
        <v>4438929.1940000001</v>
      </c>
      <c r="AU124" s="80">
        <f>+'CALC MEC ESTAB Y ESTIM M FINAL'!T129</f>
        <v>5008635</v>
      </c>
      <c r="AV124" s="560">
        <v>0</v>
      </c>
      <c r="AW124" s="551">
        <v>0</v>
      </c>
      <c r="AX124" s="551">
        <v>0</v>
      </c>
      <c r="AY124" s="551">
        <v>0</v>
      </c>
      <c r="AZ124" s="551">
        <v>422515.924</v>
      </c>
      <c r="BA124" s="551">
        <v>422624.745</v>
      </c>
    </row>
    <row r="125" spans="1:53" ht="3" customHeight="1" x14ac:dyDescent="0.2">
      <c r="A125" s="68" t="str">
        <f>IF(LEN(+'_DATA STT PAGOS_'!M130)=4,"0"&amp;+'_DATA STT PAGOS_'!M130,+'_DATA STT PAGOS_'!M130)</f>
        <v>07203</v>
      </c>
      <c r="B125" s="68" t="str">
        <f>IF(LEN(+'_DATA STT PAGOS_'!N130)=4,"0"&amp;+'_DATA STT PAGOS_'!N130,+'_DATA STT PAGOS_'!N130)</f>
        <v>07402</v>
      </c>
      <c r="C125" s="76" t="str">
        <f>+'_DATA STT PAGOS_'!O130</f>
        <v>PELLUHUE</v>
      </c>
      <c r="D125" s="80">
        <f>+'CALC MEC ESTAB Y ESTIM M FINAL'!U130</f>
        <v>9661302</v>
      </c>
      <c r="E125" s="77">
        <f>+'CALC MEC ESTAB Y ESTIM M FINAL'!Q130</f>
        <v>3.5421451146999999E-3</v>
      </c>
      <c r="F125" s="77">
        <f>+'CALC MEC ESTAB Y ESTIM M FINAL'!R130</f>
        <v>-1.3831396619999999E-4</v>
      </c>
      <c r="G125" s="80">
        <f>+'_Flujo con Glosa 08'!CE130</f>
        <v>452781</v>
      </c>
      <c r="H125" s="80">
        <f>+'_Flujo con Glosa 08'!CF130</f>
        <v>452781</v>
      </c>
      <c r="I125" s="80">
        <f>+'_Flujo con Glosa 08'!CG130</f>
        <v>425754</v>
      </c>
      <c r="J125" s="80">
        <f>+'_Flujo con Glosa 08'!CH130</f>
        <v>452781</v>
      </c>
      <c r="K125" s="80">
        <f>+'_Flujo con Glosa 08'!CI130</f>
        <v>1282997</v>
      </c>
      <c r="L125" s="80">
        <f>+'_Flujo con Glosa 08'!CJ130</f>
        <v>465649</v>
      </c>
      <c r="M125" s="80">
        <f>+'_Flujo con Glosa 08'!CK130</f>
        <v>786637</v>
      </c>
      <c r="N125" s="80">
        <f>+'_Flujo con Glosa 08'!CL130</f>
        <v>452781</v>
      </c>
      <c r="O125" s="80">
        <f>+'_Flujo con Glosa 08'!CM130</f>
        <v>513728</v>
      </c>
      <c r="P125" s="80">
        <f>+'_Flujo con Glosa 08'!CN130</f>
        <v>848119</v>
      </c>
      <c r="Q125" s="80">
        <f>+'_Flujo con Glosa 08'!CO130</f>
        <v>452781</v>
      </c>
      <c r="R125" s="80">
        <f>+'_Flujo con Glosa 08'!CP130</f>
        <v>799490</v>
      </c>
      <c r="S125" s="80">
        <f t="shared" si="2"/>
        <v>7386279</v>
      </c>
      <c r="T125" s="80">
        <v>0</v>
      </c>
      <c r="U125" s="80">
        <v>0</v>
      </c>
      <c r="V125" s="80">
        <v>0</v>
      </c>
      <c r="W125" s="80">
        <v>0</v>
      </c>
      <c r="X125" s="80">
        <v>0</v>
      </c>
      <c r="Y125" s="80">
        <v>0</v>
      </c>
      <c r="Z125" s="80">
        <v>0</v>
      </c>
      <c r="AA125" s="80">
        <v>0</v>
      </c>
      <c r="AB125" s="80">
        <v>0</v>
      </c>
      <c r="AC125" s="80">
        <v>0</v>
      </c>
      <c r="AD125" s="80">
        <v>0</v>
      </c>
      <c r="AE125" s="80">
        <v>0</v>
      </c>
      <c r="AF125" s="80">
        <f t="shared" si="3"/>
        <v>0</v>
      </c>
      <c r="AG125" s="80">
        <f>+COEF_FCM!AM132</f>
        <v>51785</v>
      </c>
      <c r="AH125" s="80">
        <f>+COEF_FCM!AR132</f>
        <v>0</v>
      </c>
      <c r="AI125" s="80">
        <f>+COEF_FCM!AN132</f>
        <v>27389</v>
      </c>
      <c r="AJ125" s="80">
        <f>+COEF_FCM!AS132</f>
        <v>0</v>
      </c>
      <c r="AK125" s="80">
        <f>+COEF_FCM!AO132</f>
        <v>33892</v>
      </c>
      <c r="AL125" s="80">
        <f>+COEF_FCM!AT132</f>
        <v>0</v>
      </c>
      <c r="AM125" s="80">
        <f>+COEF_FCM!AP132</f>
        <v>22481</v>
      </c>
      <c r="AN125" s="80">
        <f>+COEF_FCM!AU132</f>
        <v>0</v>
      </c>
      <c r="AO125" s="80">
        <f>+COEF_FCM!AQ132</f>
        <v>135547</v>
      </c>
      <c r="AP125" s="80">
        <f>+COEF_FCM!AV132</f>
        <v>0</v>
      </c>
      <c r="AQ125" s="80">
        <f>+_CIERRE!O125+_CIERRE!P125</f>
        <v>6499144.3389999997</v>
      </c>
      <c r="AR125" s="80">
        <f>+_CIERRE!Q125+_CIERRE!R125</f>
        <v>7615015.7879999997</v>
      </c>
      <c r="AS125" s="80">
        <f>+_CIERRE!S125+_CIERRE!T125</f>
        <v>8965051.2819999997</v>
      </c>
      <c r="AT125" s="80">
        <f>+_CIERRE!U125+_CIERRE!V125</f>
        <v>9333862.682</v>
      </c>
      <c r="AU125" s="80">
        <f>+'CALC MEC ESTAB Y ESTIM M FINAL'!T130</f>
        <v>9661302</v>
      </c>
      <c r="AV125" s="560">
        <v>0</v>
      </c>
      <c r="AW125" s="551">
        <v>0</v>
      </c>
      <c r="AX125" s="551">
        <v>0</v>
      </c>
      <c r="AY125" s="551">
        <v>0</v>
      </c>
      <c r="AZ125" s="551">
        <v>382854.82799999998</v>
      </c>
      <c r="BA125" s="551">
        <v>394082.59299999999</v>
      </c>
    </row>
    <row r="126" spans="1:53" ht="3" customHeight="1" x14ac:dyDescent="0.2">
      <c r="A126" s="68" t="str">
        <f>IF(LEN(+'_DATA STT PAGOS_'!M131)=4,"0"&amp;+'_DATA STT PAGOS_'!M131,+'_DATA STT PAGOS_'!M131)</f>
        <v>07301</v>
      </c>
      <c r="B126" s="68" t="str">
        <f>IF(LEN(+'_DATA STT PAGOS_'!N131)=4,"0"&amp;+'_DATA STT PAGOS_'!N131,+'_DATA STT PAGOS_'!N131)</f>
        <v>07101</v>
      </c>
      <c r="C126" s="76" t="str">
        <f>+'_DATA STT PAGOS_'!O131</f>
        <v>CURICÓ</v>
      </c>
      <c r="D126" s="80">
        <f>+'CALC MEC ESTAB Y ESTIM M FINAL'!U131</f>
        <v>20179930</v>
      </c>
      <c r="E126" s="77">
        <f>+'CALC MEC ESTAB Y ESTIM M FINAL'!Q131</f>
        <v>7.5967165720999992E-3</v>
      </c>
      <c r="F126" s="77">
        <f>+'CALC MEC ESTAB Y ESTIM M FINAL'!R131</f>
        <v>-4.8700496010000002E-4</v>
      </c>
      <c r="G126" s="80">
        <f>+'_Flujo con Glosa 08'!CE131</f>
        <v>922700</v>
      </c>
      <c r="H126" s="80">
        <f>+'_Flujo con Glosa 08'!CF131</f>
        <v>922700</v>
      </c>
      <c r="I126" s="80">
        <f>+'_Flujo con Glosa 08'!CG131</f>
        <v>889288</v>
      </c>
      <c r="J126" s="80">
        <f>+'_Flujo con Glosa 08'!CH131</f>
        <v>922700</v>
      </c>
      <c r="K126" s="80">
        <f>+'_Flujo con Glosa 08'!CI131</f>
        <v>2748966</v>
      </c>
      <c r="L126" s="80">
        <f>+'_Flujo con Glosa 08'!CJ131</f>
        <v>949578</v>
      </c>
      <c r="M126" s="80">
        <f>+'_Flujo con Glosa 08'!CK131</f>
        <v>1666120</v>
      </c>
      <c r="N126" s="80">
        <f>+'_Flujo con Glosa 08'!CL131</f>
        <v>922700</v>
      </c>
      <c r="O126" s="80">
        <f>+'_Flujo con Glosa 08'!CM131</f>
        <v>1073044</v>
      </c>
      <c r="P126" s="80">
        <f>+'_Flujo con Glosa 08'!CN131</f>
        <v>1794539</v>
      </c>
      <c r="Q126" s="80">
        <f>+'_Flujo con Glosa 08'!CO131</f>
        <v>922700</v>
      </c>
      <c r="R126" s="80">
        <f>+'_Flujo con Glosa 08'!CP131</f>
        <v>1692967</v>
      </c>
      <c r="S126" s="80">
        <f t="shared" si="2"/>
        <v>15428002</v>
      </c>
      <c r="T126" s="80">
        <v>0</v>
      </c>
      <c r="U126" s="80">
        <v>0</v>
      </c>
      <c r="V126" s="80">
        <v>0</v>
      </c>
      <c r="W126" s="80">
        <v>0</v>
      </c>
      <c r="X126" s="80">
        <v>0</v>
      </c>
      <c r="Y126" s="80">
        <v>0</v>
      </c>
      <c r="Z126" s="80">
        <v>0</v>
      </c>
      <c r="AA126" s="80">
        <v>0</v>
      </c>
      <c r="AB126" s="80">
        <v>0</v>
      </c>
      <c r="AC126" s="80">
        <v>0</v>
      </c>
      <c r="AD126" s="80">
        <v>0</v>
      </c>
      <c r="AE126" s="80">
        <v>0</v>
      </c>
      <c r="AF126" s="80">
        <f t="shared" si="3"/>
        <v>0</v>
      </c>
      <c r="AG126" s="80">
        <f>+COEF_FCM!AM133</f>
        <v>1026161</v>
      </c>
      <c r="AH126" s="80">
        <f>+COEF_FCM!AR133</f>
        <v>72105</v>
      </c>
      <c r="AI126" s="80">
        <f>+COEF_FCM!AN133</f>
        <v>790134</v>
      </c>
      <c r="AJ126" s="80">
        <f>+COEF_FCM!AS133</f>
        <v>39049</v>
      </c>
      <c r="AK126" s="80">
        <f>+COEF_FCM!AO133</f>
        <v>893501</v>
      </c>
      <c r="AL126" s="80">
        <f>+COEF_FCM!AT133</f>
        <v>50661.525999999998</v>
      </c>
      <c r="AM126" s="80">
        <f>+COEF_FCM!AP133</f>
        <v>733324</v>
      </c>
      <c r="AN126" s="80">
        <f>+COEF_FCM!AU133</f>
        <v>36802</v>
      </c>
      <c r="AO126" s="80">
        <f>+COEF_FCM!AQ133</f>
        <v>3443120</v>
      </c>
      <c r="AP126" s="80">
        <f>+COEF_FCM!AV133</f>
        <v>198617.52600000001</v>
      </c>
      <c r="AQ126" s="80">
        <f>+_CIERRE!O126+_CIERRE!P126</f>
        <v>14177629.306</v>
      </c>
      <c r="AR126" s="80">
        <f>+_CIERRE!Q126+_CIERRE!R126</f>
        <v>15371115.051000001</v>
      </c>
      <c r="AS126" s="80">
        <f>+_CIERRE!S126+_CIERRE!T126</f>
        <v>17583083.122000001</v>
      </c>
      <c r="AT126" s="80">
        <f>+_CIERRE!U126+_CIERRE!V126</f>
        <v>19027009.155000001</v>
      </c>
      <c r="AU126" s="80">
        <f>+'CALC MEC ESTAB Y ESTIM M FINAL'!T131</f>
        <v>20179930</v>
      </c>
      <c r="AV126" s="560">
        <v>0</v>
      </c>
      <c r="AW126" s="551">
        <v>0</v>
      </c>
      <c r="AX126" s="551">
        <v>0</v>
      </c>
      <c r="AY126" s="551">
        <v>0</v>
      </c>
      <c r="AZ126" s="551">
        <v>0</v>
      </c>
      <c r="BA126" s="551">
        <v>0</v>
      </c>
    </row>
    <row r="127" spans="1:53" ht="3" customHeight="1" x14ac:dyDescent="0.2">
      <c r="A127" s="68" t="str">
        <f>IF(LEN(+'_DATA STT PAGOS_'!M132)=4,"0"&amp;+'_DATA STT PAGOS_'!M132,+'_DATA STT PAGOS_'!M132)</f>
        <v>07302</v>
      </c>
      <c r="B127" s="68" t="str">
        <f>IF(LEN(+'_DATA STT PAGOS_'!N132)=4,"0"&amp;+'_DATA STT PAGOS_'!N132,+'_DATA STT PAGOS_'!N132)</f>
        <v>07107</v>
      </c>
      <c r="C127" s="76" t="str">
        <f>+'_DATA STT PAGOS_'!O132</f>
        <v>HUALAÑÉ</v>
      </c>
      <c r="D127" s="80">
        <f>+'CALC MEC ESTAB Y ESTIM M FINAL'!U132</f>
        <v>3976515</v>
      </c>
      <c r="E127" s="77">
        <f>+'CALC MEC ESTAB Y ESTIM M FINAL'!Q132</f>
        <v>1.6096853984999999E-3</v>
      </c>
      <c r="F127" s="77">
        <f>+'CALC MEC ESTAB Y ESTIM M FINAL'!R132</f>
        <v>-2.0869577580000001E-4</v>
      </c>
      <c r="G127" s="80">
        <f>+'_Flujo con Glosa 08'!CE132</f>
        <v>168982</v>
      </c>
      <c r="H127" s="80">
        <f>+'_Flujo con Glosa 08'!CF132</f>
        <v>168982</v>
      </c>
      <c r="I127" s="80">
        <f>+'_Flujo con Glosa 08'!CG132</f>
        <v>175237</v>
      </c>
      <c r="J127" s="80">
        <f>+'_Flujo con Glosa 08'!CH132</f>
        <v>168982</v>
      </c>
      <c r="K127" s="80">
        <f>+'_Flujo con Glosa 08'!CI132</f>
        <v>580209</v>
      </c>
      <c r="L127" s="80">
        <f>+'_Flujo con Glosa 08'!CJ132</f>
        <v>174278</v>
      </c>
      <c r="M127" s="80">
        <f>+'_Flujo con Glosa 08'!CK132</f>
        <v>341152</v>
      </c>
      <c r="N127" s="80">
        <f>+'_Flujo con Glosa 08'!CL132</f>
        <v>168982</v>
      </c>
      <c r="O127" s="80">
        <f>+'_Flujo con Glosa 08'!CM132</f>
        <v>211446</v>
      </c>
      <c r="P127" s="80">
        <f>+'_Flujo con Glosa 08'!CN132</f>
        <v>366458</v>
      </c>
      <c r="Q127" s="80">
        <f>+'_Flujo con Glosa 08'!CO132</f>
        <v>168982</v>
      </c>
      <c r="R127" s="80">
        <f>+'_Flujo con Glosa 08'!CP132</f>
        <v>346443</v>
      </c>
      <c r="S127" s="80">
        <f t="shared" si="2"/>
        <v>3040133</v>
      </c>
      <c r="T127" s="80">
        <v>0</v>
      </c>
      <c r="U127" s="80">
        <v>0</v>
      </c>
      <c r="V127" s="80">
        <v>0</v>
      </c>
      <c r="W127" s="80">
        <v>0</v>
      </c>
      <c r="X127" s="80">
        <v>0</v>
      </c>
      <c r="Y127" s="80">
        <v>0</v>
      </c>
      <c r="Z127" s="80">
        <v>0</v>
      </c>
      <c r="AA127" s="80">
        <v>0</v>
      </c>
      <c r="AB127" s="80">
        <v>0</v>
      </c>
      <c r="AC127" s="80">
        <v>0</v>
      </c>
      <c r="AD127" s="80">
        <v>0</v>
      </c>
      <c r="AE127" s="80">
        <v>0</v>
      </c>
      <c r="AF127" s="80">
        <f t="shared" si="3"/>
        <v>0</v>
      </c>
      <c r="AG127" s="80">
        <f>+COEF_FCM!AM134</f>
        <v>36031</v>
      </c>
      <c r="AH127" s="80">
        <f>+COEF_FCM!AR134</f>
        <v>1239</v>
      </c>
      <c r="AI127" s="80">
        <f>+COEF_FCM!AN134</f>
        <v>29260</v>
      </c>
      <c r="AJ127" s="80">
        <f>+COEF_FCM!AS134</f>
        <v>1165</v>
      </c>
      <c r="AK127" s="80">
        <f>+COEF_FCM!AO134</f>
        <v>31369</v>
      </c>
      <c r="AL127" s="80">
        <f>+COEF_FCM!AT134</f>
        <v>1028.692</v>
      </c>
      <c r="AM127" s="80">
        <f>+COEF_FCM!AP134</f>
        <v>27121</v>
      </c>
      <c r="AN127" s="80">
        <f>+COEF_FCM!AU134</f>
        <v>804</v>
      </c>
      <c r="AO127" s="80">
        <f>+COEF_FCM!AQ134</f>
        <v>123781</v>
      </c>
      <c r="AP127" s="80">
        <f>+COEF_FCM!AV134</f>
        <v>4236.692</v>
      </c>
      <c r="AQ127" s="80">
        <f>+_CIERRE!O127+_CIERRE!P127</f>
        <v>2435386.1260000002</v>
      </c>
      <c r="AR127" s="80">
        <f>+_CIERRE!Q127+_CIERRE!R127</f>
        <v>2652756.7259999998</v>
      </c>
      <c r="AS127" s="80">
        <f>+_CIERRE!S127+_CIERRE!T127</f>
        <v>2872052.9279999998</v>
      </c>
      <c r="AT127" s="80">
        <f>+_CIERRE!U127+_CIERRE!V127</f>
        <v>3482455.838</v>
      </c>
      <c r="AU127" s="80">
        <f>+'CALC MEC ESTAB Y ESTIM M FINAL'!T132</f>
        <v>3976515</v>
      </c>
      <c r="AV127" s="560">
        <v>0</v>
      </c>
      <c r="AW127" s="551">
        <v>0</v>
      </c>
      <c r="AX127" s="551">
        <v>0</v>
      </c>
      <c r="AY127" s="551">
        <v>0</v>
      </c>
      <c r="AZ127" s="551">
        <v>353923.94300000003</v>
      </c>
      <c r="BA127" s="551">
        <v>359161.16200000001</v>
      </c>
    </row>
    <row r="128" spans="1:53" ht="3" customHeight="1" x14ac:dyDescent="0.2">
      <c r="A128" s="68" t="str">
        <f>IF(LEN(+'_DATA STT PAGOS_'!M133)=4,"0"&amp;+'_DATA STT PAGOS_'!M133,+'_DATA STT PAGOS_'!M133)</f>
        <v>07303</v>
      </c>
      <c r="B128" s="68" t="str">
        <f>IF(LEN(+'_DATA STT PAGOS_'!N133)=4,"0"&amp;+'_DATA STT PAGOS_'!N133,+'_DATA STT PAGOS_'!N133)</f>
        <v>07105</v>
      </c>
      <c r="C128" s="76" t="str">
        <f>+'_DATA STT PAGOS_'!O133</f>
        <v>LICANTÉN</v>
      </c>
      <c r="D128" s="80">
        <f>+'CALC MEC ESTAB Y ESTIM M FINAL'!U133</f>
        <v>6790524</v>
      </c>
      <c r="E128" s="77">
        <f>+'CALC MEC ESTAB Y ESTIM M FINAL'!Q133</f>
        <v>2.6870040972E-3</v>
      </c>
      <c r="F128" s="77">
        <f>+'CALC MEC ESTAB Y ESTIM M FINAL'!R133</f>
        <v>-2.9459393320000003E-4</v>
      </c>
      <c r="G128" s="80">
        <f>+'_Flujo con Glosa 08'!CE133</f>
        <v>295690</v>
      </c>
      <c r="H128" s="80">
        <f>+'_Flujo con Glosa 08'!CF133</f>
        <v>295690</v>
      </c>
      <c r="I128" s="80">
        <f>+'_Flujo con Glosa 08'!CG133</f>
        <v>299244</v>
      </c>
      <c r="J128" s="80">
        <f>+'_Flujo con Glosa 08'!CH133</f>
        <v>295690</v>
      </c>
      <c r="K128" s="80">
        <f>+'_Flujo con Glosa 08'!CI133</f>
        <v>969417</v>
      </c>
      <c r="L128" s="80">
        <f>+'_Flujo con Glosa 08'!CJ133</f>
        <v>304734</v>
      </c>
      <c r="M128" s="80">
        <f>+'_Flujo con Glosa 08'!CK133</f>
        <v>575445</v>
      </c>
      <c r="N128" s="80">
        <f>+'_Flujo con Glosa 08'!CL133</f>
        <v>295690</v>
      </c>
      <c r="O128" s="80">
        <f>+'_Flujo con Glosa 08'!CM133</f>
        <v>361078</v>
      </c>
      <c r="P128" s="80">
        <f>+'_Flujo con Glosa 08'!CN133</f>
        <v>618658</v>
      </c>
      <c r="Q128" s="80">
        <f>+'_Flujo con Glosa 08'!CO133</f>
        <v>295690</v>
      </c>
      <c r="R128" s="80">
        <f>+'_Flujo con Glosa 08'!CP133</f>
        <v>584479</v>
      </c>
      <c r="S128" s="80">
        <f t="shared" si="2"/>
        <v>5191505</v>
      </c>
      <c r="T128" s="80">
        <v>0</v>
      </c>
      <c r="U128" s="80">
        <v>0</v>
      </c>
      <c r="V128" s="80">
        <v>0</v>
      </c>
      <c r="W128" s="80">
        <v>0</v>
      </c>
      <c r="X128" s="80">
        <v>0</v>
      </c>
      <c r="Y128" s="80">
        <v>0</v>
      </c>
      <c r="Z128" s="80">
        <v>0</v>
      </c>
      <c r="AA128" s="80">
        <v>0</v>
      </c>
      <c r="AB128" s="80">
        <v>0</v>
      </c>
      <c r="AC128" s="80">
        <v>0</v>
      </c>
      <c r="AD128" s="80">
        <v>0</v>
      </c>
      <c r="AE128" s="80">
        <v>0</v>
      </c>
      <c r="AF128" s="80">
        <f t="shared" si="3"/>
        <v>0</v>
      </c>
      <c r="AG128" s="80">
        <f>+COEF_FCM!AM135</f>
        <v>40234</v>
      </c>
      <c r="AH128" s="80">
        <f>+COEF_FCM!AR135</f>
        <v>2283</v>
      </c>
      <c r="AI128" s="80">
        <f>+COEF_FCM!AN135</f>
        <v>25486</v>
      </c>
      <c r="AJ128" s="80">
        <f>+COEF_FCM!AS135</f>
        <v>893</v>
      </c>
      <c r="AK128" s="80">
        <f>+COEF_FCM!AO135</f>
        <v>25834</v>
      </c>
      <c r="AL128" s="80">
        <f>+COEF_FCM!AT135</f>
        <v>2067.902</v>
      </c>
      <c r="AM128" s="80">
        <f>+COEF_FCM!AP135</f>
        <v>13432</v>
      </c>
      <c r="AN128" s="80">
        <f>+COEF_FCM!AU135</f>
        <v>1069</v>
      </c>
      <c r="AO128" s="80">
        <f>+COEF_FCM!AQ135</f>
        <v>104986</v>
      </c>
      <c r="AP128" s="80">
        <f>+COEF_FCM!AV135</f>
        <v>6312.902</v>
      </c>
      <c r="AQ128" s="80">
        <f>+_CIERRE!O128+_CIERRE!P128</f>
        <v>3933148.3220000002</v>
      </c>
      <c r="AR128" s="80">
        <f>+_CIERRE!Q128+_CIERRE!R128</f>
        <v>4629425.2340000002</v>
      </c>
      <c r="AS128" s="80">
        <f>+_CIERRE!S128+_CIERRE!T128</f>
        <v>5403307.9409999996</v>
      </c>
      <c r="AT128" s="80">
        <f>+_CIERRE!U128+_CIERRE!V128</f>
        <v>6093110.7259999998</v>
      </c>
      <c r="AU128" s="80">
        <f>+'CALC MEC ESTAB Y ESTIM M FINAL'!T133</f>
        <v>6790524</v>
      </c>
      <c r="AV128" s="560">
        <v>0</v>
      </c>
      <c r="AW128" s="551">
        <v>0</v>
      </c>
      <c r="AX128" s="551">
        <v>0</v>
      </c>
      <c r="AY128" s="551">
        <v>0</v>
      </c>
      <c r="AZ128" s="551">
        <v>320599.56</v>
      </c>
      <c r="BA128" s="551">
        <v>330261.022</v>
      </c>
    </row>
    <row r="129" spans="1:53" ht="3" customHeight="1" x14ac:dyDescent="0.2">
      <c r="A129" s="68" t="str">
        <f>IF(LEN(+'_DATA STT PAGOS_'!M134)=4,"0"&amp;+'_DATA STT PAGOS_'!M134,+'_DATA STT PAGOS_'!M134)</f>
        <v>07304</v>
      </c>
      <c r="B129" s="68" t="str">
        <f>IF(LEN(+'_DATA STT PAGOS_'!N134)=4,"0"&amp;+'_DATA STT PAGOS_'!N134,+'_DATA STT PAGOS_'!N134)</f>
        <v>07108</v>
      </c>
      <c r="C129" s="76" t="str">
        <f>+'_DATA STT PAGOS_'!O134</f>
        <v>MOLINA</v>
      </c>
      <c r="D129" s="80">
        <f>+'CALC MEC ESTAB Y ESTIM M FINAL'!U134</f>
        <v>11017745</v>
      </c>
      <c r="E129" s="77">
        <f>+'CALC MEC ESTAB Y ESTIM M FINAL'!Q134</f>
        <v>4.0427139414000004E-3</v>
      </c>
      <c r="F129" s="77">
        <f>+'CALC MEC ESTAB Y ESTIM M FINAL'!R134</f>
        <v>-1.6098655600000001E-4</v>
      </c>
      <c r="G129" s="80">
        <f>+'_Flujo con Glosa 08'!CE134</f>
        <v>516026</v>
      </c>
      <c r="H129" s="80">
        <f>+'_Flujo con Glosa 08'!CF134</f>
        <v>516026</v>
      </c>
      <c r="I129" s="80">
        <f>+'_Flujo con Glosa 08'!CG134</f>
        <v>485529</v>
      </c>
      <c r="J129" s="80">
        <f>+'_Flujo con Glosa 08'!CH134</f>
        <v>516026</v>
      </c>
      <c r="K129" s="80">
        <f>+'_Flujo con Glosa 08'!CI134</f>
        <v>1464104</v>
      </c>
      <c r="L129" s="80">
        <f>+'_Flujo con Glosa 08'!CJ134</f>
        <v>530701</v>
      </c>
      <c r="M129" s="80">
        <f>+'_Flujo con Glosa 08'!CK134</f>
        <v>897406</v>
      </c>
      <c r="N129" s="80">
        <f>+'_Flujo con Glosa 08'!CL134</f>
        <v>516026</v>
      </c>
      <c r="O129" s="80">
        <f>+'_Flujo con Glosa 08'!CM134</f>
        <v>585856</v>
      </c>
      <c r="P129" s="80">
        <f>+'_Flujo con Glosa 08'!CN134</f>
        <v>967520</v>
      </c>
      <c r="Q129" s="80">
        <f>+'_Flujo con Glosa 08'!CO134</f>
        <v>516026</v>
      </c>
      <c r="R129" s="80">
        <f>+'_Flujo con Glosa 08'!CP134</f>
        <v>912063</v>
      </c>
      <c r="S129" s="80">
        <f t="shared" si="2"/>
        <v>8423309</v>
      </c>
      <c r="T129" s="80">
        <v>0</v>
      </c>
      <c r="U129" s="80">
        <v>0</v>
      </c>
      <c r="V129" s="80">
        <v>0</v>
      </c>
      <c r="W129" s="80">
        <v>0</v>
      </c>
      <c r="X129" s="80">
        <v>0</v>
      </c>
      <c r="Y129" s="80">
        <v>0</v>
      </c>
      <c r="Z129" s="80">
        <v>0</v>
      </c>
      <c r="AA129" s="80">
        <v>0</v>
      </c>
      <c r="AB129" s="80">
        <v>0</v>
      </c>
      <c r="AC129" s="80">
        <v>0</v>
      </c>
      <c r="AD129" s="80">
        <v>0</v>
      </c>
      <c r="AE129" s="80">
        <v>0</v>
      </c>
      <c r="AF129" s="80">
        <f t="shared" si="3"/>
        <v>0</v>
      </c>
      <c r="AG129" s="80">
        <f>+COEF_FCM!AM136</f>
        <v>259535</v>
      </c>
      <c r="AH129" s="80">
        <f>+COEF_FCM!AR136</f>
        <v>3133</v>
      </c>
      <c r="AI129" s="80">
        <f>+COEF_FCM!AN136</f>
        <v>161756</v>
      </c>
      <c r="AJ129" s="80">
        <f>+COEF_FCM!AS136</f>
        <v>1391</v>
      </c>
      <c r="AK129" s="80">
        <f>+COEF_FCM!AO136</f>
        <v>195282</v>
      </c>
      <c r="AL129" s="80">
        <f>+COEF_FCM!AT136</f>
        <v>1836.2739999999999</v>
      </c>
      <c r="AM129" s="80">
        <f>+COEF_FCM!AP136</f>
        <v>156233</v>
      </c>
      <c r="AN129" s="80">
        <f>+COEF_FCM!AU136</f>
        <v>1616</v>
      </c>
      <c r="AO129" s="80">
        <f>+COEF_FCM!AQ136</f>
        <v>772806</v>
      </c>
      <c r="AP129" s="80">
        <f>+COEF_FCM!AV136</f>
        <v>7976.2739999999994</v>
      </c>
      <c r="AQ129" s="80">
        <f>+_CIERRE!O129+_CIERRE!P129</f>
        <v>7427777.8329999996</v>
      </c>
      <c r="AR129" s="80">
        <f>+_CIERRE!Q129+_CIERRE!R129</f>
        <v>9193506.1429999992</v>
      </c>
      <c r="AS129" s="80">
        <f>+_CIERRE!S129+_CIERRE!T129</f>
        <v>10419197.372</v>
      </c>
      <c r="AT129" s="80">
        <f>+_CIERRE!U129+_CIERRE!V129</f>
        <v>10636629.773</v>
      </c>
      <c r="AU129" s="80">
        <f>+'CALC MEC ESTAB Y ESTIM M FINAL'!T134</f>
        <v>11017745</v>
      </c>
      <c r="AV129" s="560">
        <v>0</v>
      </c>
      <c r="AW129" s="551">
        <v>0</v>
      </c>
      <c r="AX129" s="551">
        <v>0</v>
      </c>
      <c r="AY129" s="551">
        <v>0</v>
      </c>
      <c r="AZ129" s="551">
        <v>720331.19200000004</v>
      </c>
      <c r="BA129" s="551">
        <v>743100.97400000005</v>
      </c>
    </row>
    <row r="130" spans="1:53" ht="3" customHeight="1" x14ac:dyDescent="0.2">
      <c r="A130" s="68" t="str">
        <f>IF(LEN(+'_DATA STT PAGOS_'!M135)=4,"0"&amp;+'_DATA STT PAGOS_'!M135,+'_DATA STT PAGOS_'!M135)</f>
        <v>07305</v>
      </c>
      <c r="B130" s="68" t="str">
        <f>IF(LEN(+'_DATA STT PAGOS_'!N135)=4,"0"&amp;+'_DATA STT PAGOS_'!N135,+'_DATA STT PAGOS_'!N135)</f>
        <v>07104</v>
      </c>
      <c r="C130" s="76" t="str">
        <f>+'_DATA STT PAGOS_'!O135</f>
        <v>RAUCO</v>
      </c>
      <c r="D130" s="80">
        <f>+'CALC MEC ESTAB Y ESTIM M FINAL'!U135</f>
        <v>3496543</v>
      </c>
      <c r="E130" s="77">
        <f>+'CALC MEC ESTAB Y ESTIM M FINAL'!Q135</f>
        <v>1.3537412263000001E-3</v>
      </c>
      <c r="F130" s="77">
        <f>+'CALC MEC ESTAB Y ESTIM M FINAL'!R135</f>
        <v>-1.2185341170000001E-4</v>
      </c>
      <c r="G130" s="80">
        <f>+'_Flujo con Glosa 08'!CE135</f>
        <v>155610</v>
      </c>
      <c r="H130" s="80">
        <f>+'_Flujo con Glosa 08'!CF135</f>
        <v>155610</v>
      </c>
      <c r="I130" s="80">
        <f>+'_Flujo con Glosa 08'!CG135</f>
        <v>154085</v>
      </c>
      <c r="J130" s="80">
        <f>+'_Flujo con Glosa 08'!CH135</f>
        <v>155610</v>
      </c>
      <c r="K130" s="80">
        <f>+'_Flujo con Glosa 08'!CI135</f>
        <v>489102</v>
      </c>
      <c r="L130" s="80">
        <f>+'_Flujo con Glosa 08'!CJ135</f>
        <v>160267</v>
      </c>
      <c r="M130" s="80">
        <f>+'_Flujo con Glosa 08'!CK135</f>
        <v>292950</v>
      </c>
      <c r="N130" s="80">
        <f>+'_Flujo con Glosa 08'!CL135</f>
        <v>155610</v>
      </c>
      <c r="O130" s="80">
        <f>+'_Flujo con Glosa 08'!CM135</f>
        <v>185925</v>
      </c>
      <c r="P130" s="80">
        <f>+'_Flujo con Glosa 08'!CN135</f>
        <v>315202</v>
      </c>
      <c r="Q130" s="80">
        <f>+'_Flujo con Glosa 08'!CO135</f>
        <v>155610</v>
      </c>
      <c r="R130" s="80">
        <f>+'_Flujo con Glosa 08'!CP135</f>
        <v>297602</v>
      </c>
      <c r="S130" s="80">
        <f t="shared" si="2"/>
        <v>2673183</v>
      </c>
      <c r="T130" s="80">
        <v>0</v>
      </c>
      <c r="U130" s="80">
        <v>0</v>
      </c>
      <c r="V130" s="80">
        <v>0</v>
      </c>
      <c r="W130" s="80">
        <v>0</v>
      </c>
      <c r="X130" s="80">
        <v>0</v>
      </c>
      <c r="Y130" s="80">
        <v>0</v>
      </c>
      <c r="Z130" s="80">
        <v>0</v>
      </c>
      <c r="AA130" s="80">
        <v>0</v>
      </c>
      <c r="AB130" s="80">
        <v>0</v>
      </c>
      <c r="AC130" s="80">
        <v>0</v>
      </c>
      <c r="AD130" s="80">
        <v>0</v>
      </c>
      <c r="AE130" s="80">
        <v>0</v>
      </c>
      <c r="AF130" s="80">
        <f t="shared" si="3"/>
        <v>0</v>
      </c>
      <c r="AG130" s="80">
        <f>+COEF_FCM!AM137</f>
        <v>34011</v>
      </c>
      <c r="AH130" s="80">
        <f>+COEF_FCM!AR137</f>
        <v>256</v>
      </c>
      <c r="AI130" s="80">
        <f>+COEF_FCM!AN137</f>
        <v>24431</v>
      </c>
      <c r="AJ130" s="80">
        <f>+COEF_FCM!AS137</f>
        <v>100</v>
      </c>
      <c r="AK130" s="80">
        <f>+COEF_FCM!AO137</f>
        <v>28558</v>
      </c>
      <c r="AL130" s="80">
        <f>+COEF_FCM!AT137</f>
        <v>214.19</v>
      </c>
      <c r="AM130" s="80">
        <f>+COEF_FCM!AP137</f>
        <v>20191</v>
      </c>
      <c r="AN130" s="80">
        <f>+COEF_FCM!AU137</f>
        <v>64</v>
      </c>
      <c r="AO130" s="80">
        <f>+COEF_FCM!AQ137</f>
        <v>107191</v>
      </c>
      <c r="AP130" s="80">
        <f>+COEF_FCM!AV137</f>
        <v>634.19000000000005</v>
      </c>
      <c r="AQ130" s="80">
        <f>+_CIERRE!O130+_CIERRE!P130</f>
        <v>2342452.0729999999</v>
      </c>
      <c r="AR130" s="80">
        <f>+_CIERRE!Q130+_CIERRE!R130</f>
        <v>2689319.03</v>
      </c>
      <c r="AS130" s="80">
        <f>+_CIERRE!S130+_CIERRE!T130</f>
        <v>2892288.2370000002</v>
      </c>
      <c r="AT130" s="80">
        <f>+_CIERRE!U130+_CIERRE!V130</f>
        <v>3208070.4870000002</v>
      </c>
      <c r="AU130" s="80">
        <f>+'CALC MEC ESTAB Y ESTIM M FINAL'!T135</f>
        <v>3496543</v>
      </c>
      <c r="AV130" s="560">
        <v>0</v>
      </c>
      <c r="AW130" s="551">
        <v>0</v>
      </c>
      <c r="AX130" s="551">
        <v>0</v>
      </c>
      <c r="AY130" s="551">
        <v>0</v>
      </c>
      <c r="AZ130" s="551">
        <v>351241.90100000001</v>
      </c>
      <c r="BA130" s="551">
        <v>365923.02399999998</v>
      </c>
    </row>
    <row r="131" spans="1:53" ht="3" customHeight="1" x14ac:dyDescent="0.2">
      <c r="A131" s="68" t="str">
        <f>IF(LEN(+'_DATA STT PAGOS_'!M136)=4,"0"&amp;+'_DATA STT PAGOS_'!M136,+'_DATA STT PAGOS_'!M136)</f>
        <v>07306</v>
      </c>
      <c r="B131" s="68" t="str">
        <f>IF(LEN(+'_DATA STT PAGOS_'!N136)=4,"0"&amp;+'_DATA STT PAGOS_'!N136,+'_DATA STT PAGOS_'!N136)</f>
        <v>07103</v>
      </c>
      <c r="C131" s="76" t="str">
        <f>+'_DATA STT PAGOS_'!O136</f>
        <v>ROMERAL</v>
      </c>
      <c r="D131" s="80">
        <f>+'CALC MEC ESTAB Y ESTIM M FINAL'!U136</f>
        <v>3145633</v>
      </c>
      <c r="E131" s="77">
        <f>+'CALC MEC ESTAB Y ESTIM M FINAL'!Q136</f>
        <v>1.1743211574999999E-3</v>
      </c>
      <c r="F131" s="77">
        <f>+'CALC MEC ESTAB Y ESTIM M FINAL'!R136</f>
        <v>-6.6064529700000005E-5</v>
      </c>
      <c r="G131" s="80">
        <f>+'_Flujo con Glosa 08'!CE136</f>
        <v>145015</v>
      </c>
      <c r="H131" s="80">
        <f>+'_Flujo con Glosa 08'!CF136</f>
        <v>145015</v>
      </c>
      <c r="I131" s="80">
        <f>+'_Flujo con Glosa 08'!CG136</f>
        <v>138622</v>
      </c>
      <c r="J131" s="80">
        <f>+'_Flujo con Glosa 08'!CH136</f>
        <v>145015</v>
      </c>
      <c r="K131" s="80">
        <f>+'_Flujo con Glosa 08'!CI136</f>
        <v>424952</v>
      </c>
      <c r="L131" s="80">
        <f>+'_Flujo con Glosa 08'!CJ136</f>
        <v>149205</v>
      </c>
      <c r="M131" s="80">
        <f>+'_Flujo con Glosa 08'!CK136</f>
        <v>258528</v>
      </c>
      <c r="N131" s="80">
        <f>+'_Flujo con Glosa 08'!CL136</f>
        <v>145015</v>
      </c>
      <c r="O131" s="80">
        <f>+'_Flujo con Glosa 08'!CM136</f>
        <v>167265</v>
      </c>
      <c r="P131" s="80">
        <f>+'_Flujo con Glosa 08'!CN136</f>
        <v>278546</v>
      </c>
      <c r="Q131" s="80">
        <f>+'_Flujo con Glosa 08'!CO136</f>
        <v>145015</v>
      </c>
      <c r="R131" s="80">
        <f>+'_Flujo con Glosa 08'!CP136</f>
        <v>262713</v>
      </c>
      <c r="S131" s="80">
        <f t="shared" ref="S131:S194" si="4">SUM(G131:R131)</f>
        <v>2404906</v>
      </c>
      <c r="T131" s="80">
        <v>0</v>
      </c>
      <c r="U131" s="80">
        <v>0</v>
      </c>
      <c r="V131" s="80">
        <v>0</v>
      </c>
      <c r="W131" s="80">
        <v>0</v>
      </c>
      <c r="X131" s="80">
        <v>0</v>
      </c>
      <c r="Y131" s="80">
        <v>0</v>
      </c>
      <c r="Z131" s="80">
        <v>0</v>
      </c>
      <c r="AA131" s="80">
        <v>0</v>
      </c>
      <c r="AB131" s="80">
        <v>0</v>
      </c>
      <c r="AC131" s="80">
        <v>0</v>
      </c>
      <c r="AD131" s="80">
        <v>0</v>
      </c>
      <c r="AE131" s="80">
        <v>0</v>
      </c>
      <c r="AF131" s="80">
        <f t="shared" ref="AF131:AF194" si="5">SUM(T131:AE131)</f>
        <v>0</v>
      </c>
      <c r="AG131" s="80">
        <f>+COEF_FCM!AM138</f>
        <v>138468</v>
      </c>
      <c r="AH131" s="80">
        <f>+COEF_FCM!AR138</f>
        <v>1151</v>
      </c>
      <c r="AI131" s="80">
        <f>+COEF_FCM!AN138</f>
        <v>115014</v>
      </c>
      <c r="AJ131" s="80">
        <f>+COEF_FCM!AS138</f>
        <v>595</v>
      </c>
      <c r="AK131" s="80">
        <f>+COEF_FCM!AO138</f>
        <v>113209</v>
      </c>
      <c r="AL131" s="80">
        <f>+COEF_FCM!AT138</f>
        <v>874.31700000000001</v>
      </c>
      <c r="AM131" s="80">
        <f>+COEF_FCM!AP138</f>
        <v>99234</v>
      </c>
      <c r="AN131" s="80">
        <f>+COEF_FCM!AU138</f>
        <v>789</v>
      </c>
      <c r="AO131" s="80">
        <f>+COEF_FCM!AQ138</f>
        <v>465925</v>
      </c>
      <c r="AP131" s="80">
        <f>+COEF_FCM!AV138</f>
        <v>3409.317</v>
      </c>
      <c r="AQ131" s="80">
        <f>+_CIERRE!O131+_CIERRE!P131</f>
        <v>2159680.827</v>
      </c>
      <c r="AR131" s="80">
        <f>+_CIERRE!Q131+_CIERRE!R131</f>
        <v>2555254.1910000001</v>
      </c>
      <c r="AS131" s="80">
        <f>+_CIERRE!S131+_CIERRE!T131</f>
        <v>2837629.2420000001</v>
      </c>
      <c r="AT131" s="80">
        <f>+_CIERRE!U131+_CIERRE!V131</f>
        <v>2989233.0830000001</v>
      </c>
      <c r="AU131" s="80">
        <f>+'CALC MEC ESTAB Y ESTIM M FINAL'!T136</f>
        <v>3145633</v>
      </c>
      <c r="AV131" s="560">
        <v>0</v>
      </c>
      <c r="AW131" s="551">
        <v>0</v>
      </c>
      <c r="AX131" s="551">
        <v>0</v>
      </c>
      <c r="AY131" s="551">
        <v>0</v>
      </c>
      <c r="AZ131" s="551">
        <v>359203.96299999999</v>
      </c>
      <c r="BA131" s="551">
        <v>369701.43900000001</v>
      </c>
    </row>
    <row r="132" spans="1:53" ht="3" customHeight="1" x14ac:dyDescent="0.2">
      <c r="A132" s="68" t="str">
        <f>IF(LEN(+'_DATA STT PAGOS_'!M137)=4,"0"&amp;+'_DATA STT PAGOS_'!M137,+'_DATA STT PAGOS_'!M137)</f>
        <v>07307</v>
      </c>
      <c r="B132" s="68" t="str">
        <f>IF(LEN(+'_DATA STT PAGOS_'!N137)=4,"0"&amp;+'_DATA STT PAGOS_'!N137,+'_DATA STT PAGOS_'!N137)</f>
        <v>07109</v>
      </c>
      <c r="C132" s="76" t="str">
        <f>+'_DATA STT PAGOS_'!O137</f>
        <v>SAGRADA FAMILIA</v>
      </c>
      <c r="D132" s="80">
        <f>+'CALC MEC ESTAB Y ESTIM M FINAL'!U137</f>
        <v>3384557</v>
      </c>
      <c r="E132" s="77">
        <f>+'CALC MEC ESTAB Y ESTIM M FINAL'!Q137</f>
        <v>1.2380469707999999E-3</v>
      </c>
      <c r="F132" s="77">
        <f>+'CALC MEC ESTAB Y ESTIM M FINAL'!R137</f>
        <v>-4.56136444E-5</v>
      </c>
      <c r="G132" s="80">
        <f>+'_Flujo con Glosa 08'!CE137</f>
        <v>158861</v>
      </c>
      <c r="H132" s="80">
        <f>+'_Flujo con Glosa 08'!CF137</f>
        <v>158861</v>
      </c>
      <c r="I132" s="80">
        <f>+'_Flujo con Glosa 08'!CG137</f>
        <v>149150</v>
      </c>
      <c r="J132" s="80">
        <f>+'_Flujo con Glosa 08'!CH137</f>
        <v>158861</v>
      </c>
      <c r="K132" s="80">
        <f>+'_Flujo con Glosa 08'!CI137</f>
        <v>448735</v>
      </c>
      <c r="L132" s="80">
        <f>+'_Flujo con Glosa 08'!CJ137</f>
        <v>163369</v>
      </c>
      <c r="M132" s="80">
        <f>+'_Flujo con Glosa 08'!CK137</f>
        <v>275334</v>
      </c>
      <c r="N132" s="80">
        <f>+'_Flujo con Glosa 08'!CL137</f>
        <v>158861</v>
      </c>
      <c r="O132" s="80">
        <f>+'_Flujo con Glosa 08'!CM137</f>
        <v>179970</v>
      </c>
      <c r="P132" s="80">
        <f>+'_Flujo con Glosa 08'!CN137</f>
        <v>296871</v>
      </c>
      <c r="Q132" s="80">
        <f>+'_Flujo con Glosa 08'!CO137</f>
        <v>158861</v>
      </c>
      <c r="R132" s="80">
        <f>+'_Flujo con Glosa 08'!CP137</f>
        <v>279836</v>
      </c>
      <c r="S132" s="80">
        <f t="shared" si="4"/>
        <v>2587570</v>
      </c>
      <c r="T132" s="80">
        <v>0</v>
      </c>
      <c r="U132" s="80">
        <v>0</v>
      </c>
      <c r="V132" s="80">
        <v>0</v>
      </c>
      <c r="W132" s="80">
        <v>0</v>
      </c>
      <c r="X132" s="80">
        <v>0</v>
      </c>
      <c r="Y132" s="80">
        <v>0</v>
      </c>
      <c r="Z132" s="80">
        <v>0</v>
      </c>
      <c r="AA132" s="80">
        <v>0</v>
      </c>
      <c r="AB132" s="80">
        <v>0</v>
      </c>
      <c r="AC132" s="80">
        <v>0</v>
      </c>
      <c r="AD132" s="80">
        <v>0</v>
      </c>
      <c r="AE132" s="80">
        <v>0</v>
      </c>
      <c r="AF132" s="80">
        <f t="shared" si="5"/>
        <v>0</v>
      </c>
      <c r="AG132" s="80">
        <f>+COEF_FCM!AM139</f>
        <v>111465</v>
      </c>
      <c r="AH132" s="80">
        <f>+COEF_FCM!AR139</f>
        <v>0</v>
      </c>
      <c r="AI132" s="80">
        <f>+COEF_FCM!AN139</f>
        <v>95333</v>
      </c>
      <c r="AJ132" s="80">
        <f>+COEF_FCM!AS139</f>
        <v>0</v>
      </c>
      <c r="AK132" s="80">
        <f>+COEF_FCM!AO139</f>
        <v>93680</v>
      </c>
      <c r="AL132" s="80">
        <f>+COEF_FCM!AT139</f>
        <v>0</v>
      </c>
      <c r="AM132" s="80">
        <f>+COEF_FCM!AP139</f>
        <v>79756</v>
      </c>
      <c r="AN132" s="80">
        <f>+COEF_FCM!AU139</f>
        <v>0</v>
      </c>
      <c r="AO132" s="80">
        <f>+COEF_FCM!AQ139</f>
        <v>380234</v>
      </c>
      <c r="AP132" s="80">
        <f>+COEF_FCM!AV139</f>
        <v>0</v>
      </c>
      <c r="AQ132" s="80">
        <f>+_CIERRE!O132+_CIERRE!P132</f>
        <v>2860765.5589999999</v>
      </c>
      <c r="AR132" s="80">
        <f>+_CIERRE!Q132+_CIERRE!R132</f>
        <v>3101587.6529999999</v>
      </c>
      <c r="AS132" s="80">
        <f>+_CIERRE!S132+_CIERRE!T132</f>
        <v>3207024.625</v>
      </c>
      <c r="AT132" s="80">
        <f>+_CIERRE!U132+_CIERRE!V132</f>
        <v>3276572.969</v>
      </c>
      <c r="AU132" s="80">
        <f>+'CALC MEC ESTAB Y ESTIM M FINAL'!T137</f>
        <v>3384557</v>
      </c>
      <c r="AV132" s="560">
        <v>0</v>
      </c>
      <c r="AW132" s="551">
        <v>0</v>
      </c>
      <c r="AX132" s="551">
        <v>0</v>
      </c>
      <c r="AY132" s="551">
        <v>0</v>
      </c>
      <c r="AZ132" s="551">
        <v>371841.51400000002</v>
      </c>
      <c r="BA132" s="551">
        <v>383807.45299999998</v>
      </c>
    </row>
    <row r="133" spans="1:53" ht="3" customHeight="1" x14ac:dyDescent="0.2">
      <c r="A133" s="68" t="str">
        <f>IF(LEN(+'_DATA STT PAGOS_'!M138)=4,"0"&amp;+'_DATA STT PAGOS_'!M138,+'_DATA STT PAGOS_'!M138)</f>
        <v>07308</v>
      </c>
      <c r="B133" s="68" t="str">
        <f>IF(LEN(+'_DATA STT PAGOS_'!N138)=4,"0"&amp;+'_DATA STT PAGOS_'!N138,+'_DATA STT PAGOS_'!N138)</f>
        <v>07102</v>
      </c>
      <c r="C133" s="76" t="str">
        <f>+'_DATA STT PAGOS_'!O138</f>
        <v>TENO</v>
      </c>
      <c r="D133" s="80">
        <f>+'CALC MEC ESTAB Y ESTIM M FINAL'!U138</f>
        <v>4342797</v>
      </c>
      <c r="E133" s="77">
        <f>+'CALC MEC ESTAB Y ESTIM M FINAL'!Q138</f>
        <v>1.5149075508999999E-3</v>
      </c>
      <c r="F133" s="77">
        <f>+'CALC MEC ESTAB Y ESTIM M FINAL'!R138</f>
        <v>1.5129152500000001E-5</v>
      </c>
      <c r="G133" s="80">
        <f>+'_Flujo con Glosa 08'!CE138</f>
        <v>210682</v>
      </c>
      <c r="H133" s="80">
        <f>+'_Flujo con Glosa 08'!CF138</f>
        <v>210682</v>
      </c>
      <c r="I133" s="80">
        <f>+'_Flujo con Glosa 08'!CG138</f>
        <v>191378</v>
      </c>
      <c r="J133" s="80">
        <f>+'_Flujo con Glosa 08'!CH138</f>
        <v>210682</v>
      </c>
      <c r="K133" s="80">
        <f>+'_Flujo con Glosa 08'!CI138</f>
        <v>555248</v>
      </c>
      <c r="L133" s="80">
        <f>+'_Flujo con Glosa 08'!CJ138</f>
        <v>216466</v>
      </c>
      <c r="M133" s="80">
        <f>+'_Flujo con Glosa 08'!CK138</f>
        <v>353825</v>
      </c>
      <c r="N133" s="80">
        <f>+'_Flujo con Glosa 08'!CL138</f>
        <v>210682</v>
      </c>
      <c r="O133" s="80">
        <f>+'_Flujo con Glosa 08'!CM138</f>
        <v>230923</v>
      </c>
      <c r="P133" s="80">
        <f>+'_Flujo con Glosa 08'!CN138</f>
        <v>366695</v>
      </c>
      <c r="Q133" s="80">
        <f>+'_Flujo con Glosa 08'!CO138</f>
        <v>210682</v>
      </c>
      <c r="R133" s="80">
        <f>+'_Flujo con Glosa 08'!CP138</f>
        <v>352220</v>
      </c>
      <c r="S133" s="80">
        <f t="shared" si="4"/>
        <v>3320165</v>
      </c>
      <c r="T133" s="80">
        <v>0</v>
      </c>
      <c r="U133" s="80">
        <v>0</v>
      </c>
      <c r="V133" s="80">
        <v>0</v>
      </c>
      <c r="W133" s="80">
        <v>0</v>
      </c>
      <c r="X133" s="80">
        <v>0</v>
      </c>
      <c r="Y133" s="80">
        <v>0</v>
      </c>
      <c r="Z133" s="80">
        <v>0</v>
      </c>
      <c r="AA133" s="80">
        <v>0</v>
      </c>
      <c r="AB133" s="80">
        <v>0</v>
      </c>
      <c r="AC133" s="80">
        <v>0</v>
      </c>
      <c r="AD133" s="80">
        <v>0</v>
      </c>
      <c r="AE133" s="80">
        <v>0</v>
      </c>
      <c r="AF133" s="80">
        <f t="shared" si="5"/>
        <v>0</v>
      </c>
      <c r="AG133" s="80">
        <f>+COEF_FCM!AM140</f>
        <v>279751</v>
      </c>
      <c r="AH133" s="80">
        <f>+COEF_FCM!AR140</f>
        <v>446</v>
      </c>
      <c r="AI133" s="80">
        <f>+COEF_FCM!AN140</f>
        <v>277858</v>
      </c>
      <c r="AJ133" s="80">
        <f>+COEF_FCM!AS140</f>
        <v>152</v>
      </c>
      <c r="AK133" s="80">
        <f>+COEF_FCM!AO140</f>
        <v>207402</v>
      </c>
      <c r="AL133" s="80">
        <f>+COEF_FCM!AT140</f>
        <v>339.47699999999998</v>
      </c>
      <c r="AM133" s="80">
        <f>+COEF_FCM!AP140</f>
        <v>148178</v>
      </c>
      <c r="AN133" s="80">
        <f>+COEF_FCM!AU140</f>
        <v>211</v>
      </c>
      <c r="AO133" s="80">
        <f>+COEF_FCM!AQ140</f>
        <v>913189</v>
      </c>
      <c r="AP133" s="80">
        <f>+COEF_FCM!AV140</f>
        <v>1148.4769999999999</v>
      </c>
      <c r="AQ133" s="80">
        <f>+_CIERRE!O133+_CIERRE!P133</f>
        <v>3442451.08</v>
      </c>
      <c r="AR133" s="80">
        <f>+_CIERRE!Q133+_CIERRE!R133</f>
        <v>4045726.6230000001</v>
      </c>
      <c r="AS133" s="80">
        <f>+_CIERRE!S133+_CIERRE!T133</f>
        <v>4302549.2</v>
      </c>
      <c r="AT133" s="80">
        <f>+_CIERRE!U133+_CIERRE!V133</f>
        <v>4342797.3770000003</v>
      </c>
      <c r="AU133" s="80">
        <f>+'CALC MEC ESTAB Y ESTIM M FINAL'!T138</f>
        <v>4342797</v>
      </c>
      <c r="AV133" s="560">
        <v>0</v>
      </c>
      <c r="AW133" s="551">
        <v>0</v>
      </c>
      <c r="AX133" s="551">
        <v>0</v>
      </c>
      <c r="AY133" s="551">
        <v>0</v>
      </c>
      <c r="AZ133" s="551">
        <v>426225.21100000001</v>
      </c>
      <c r="BA133" s="551">
        <v>435275.23100000003</v>
      </c>
    </row>
    <row r="134" spans="1:53" ht="3" customHeight="1" x14ac:dyDescent="0.2">
      <c r="A134" s="68" t="str">
        <f>IF(LEN(+'_DATA STT PAGOS_'!M139)=4,"0"&amp;+'_DATA STT PAGOS_'!M139,+'_DATA STT PAGOS_'!M139)</f>
        <v>07309</v>
      </c>
      <c r="B134" s="68" t="str">
        <f>IF(LEN(+'_DATA STT PAGOS_'!N139)=4,"0"&amp;+'_DATA STT PAGOS_'!N139,+'_DATA STT PAGOS_'!N139)</f>
        <v>07106</v>
      </c>
      <c r="C134" s="76" t="str">
        <f>+'_DATA STT PAGOS_'!O139</f>
        <v>VICHUQUÉN</v>
      </c>
      <c r="D134" s="80">
        <f>+'CALC MEC ESTAB Y ESTIM M FINAL'!U139</f>
        <v>2370866</v>
      </c>
      <c r="E134" s="77">
        <f>+'CALC MEC ESTAB Y ESTIM M FINAL'!Q139</f>
        <v>8.7353440619999999E-4</v>
      </c>
      <c r="F134" s="77">
        <f>+'CALC MEC ESTAB Y ESTIM M FINAL'!R139</f>
        <v>-3.82403757E-5</v>
      </c>
      <c r="G134" s="80">
        <f>+'_Flujo con Glosa 08'!CE139</f>
        <v>110631</v>
      </c>
      <c r="H134" s="80">
        <f>+'_Flujo con Glosa 08'!CF139</f>
        <v>110631</v>
      </c>
      <c r="I134" s="80">
        <f>+'_Flujo con Glosa 08'!CG139</f>
        <v>104479</v>
      </c>
      <c r="J134" s="80">
        <f>+'_Flujo con Glosa 08'!CH139</f>
        <v>110631</v>
      </c>
      <c r="K134" s="80">
        <f>+'_Flujo con Glosa 08'!CI139</f>
        <v>316288</v>
      </c>
      <c r="L134" s="80">
        <f>+'_Flujo con Glosa 08'!CJ139</f>
        <v>113789</v>
      </c>
      <c r="M134" s="80">
        <f>+'_Flujo con Glosa 08'!CK139</f>
        <v>193520</v>
      </c>
      <c r="N134" s="80">
        <f>+'_Flujo con Glosa 08'!CL139</f>
        <v>110631</v>
      </c>
      <c r="O134" s="80">
        <f>+'_Flujo con Glosa 08'!CM139</f>
        <v>126068</v>
      </c>
      <c r="P134" s="80">
        <f>+'_Flujo con Glosa 08'!CN139</f>
        <v>208607</v>
      </c>
      <c r="Q134" s="80">
        <f>+'_Flujo con Glosa 08'!CO139</f>
        <v>110631</v>
      </c>
      <c r="R134" s="80">
        <f>+'_Flujo con Glosa 08'!CP139</f>
        <v>196675</v>
      </c>
      <c r="S134" s="80">
        <f t="shared" si="4"/>
        <v>1812581</v>
      </c>
      <c r="T134" s="80">
        <v>0</v>
      </c>
      <c r="U134" s="80">
        <v>0</v>
      </c>
      <c r="V134" s="80">
        <v>0</v>
      </c>
      <c r="W134" s="80">
        <v>0</v>
      </c>
      <c r="X134" s="80">
        <v>0</v>
      </c>
      <c r="Y134" s="80">
        <v>0</v>
      </c>
      <c r="Z134" s="80">
        <v>0</v>
      </c>
      <c r="AA134" s="80">
        <v>0</v>
      </c>
      <c r="AB134" s="80">
        <v>0</v>
      </c>
      <c r="AC134" s="80">
        <v>0</v>
      </c>
      <c r="AD134" s="80">
        <v>0</v>
      </c>
      <c r="AE134" s="80">
        <v>0</v>
      </c>
      <c r="AF134" s="80">
        <f t="shared" si="5"/>
        <v>0</v>
      </c>
      <c r="AG134" s="80">
        <f>+COEF_FCM!AM141</f>
        <v>146248</v>
      </c>
      <c r="AH134" s="80">
        <f>+COEF_FCM!AR141</f>
        <v>19384</v>
      </c>
      <c r="AI134" s="80">
        <f>+COEF_FCM!AN141</f>
        <v>81671</v>
      </c>
      <c r="AJ134" s="80">
        <f>+COEF_FCM!AS141</f>
        <v>9432</v>
      </c>
      <c r="AK134" s="80">
        <f>+COEF_FCM!AO141</f>
        <v>97428</v>
      </c>
      <c r="AL134" s="80">
        <f>+COEF_FCM!AT141</f>
        <v>13031.557000000001</v>
      </c>
      <c r="AM134" s="80">
        <f>+COEF_FCM!AP141</f>
        <v>85451</v>
      </c>
      <c r="AN134" s="80">
        <f>+COEF_FCM!AU141</f>
        <v>10068</v>
      </c>
      <c r="AO134" s="80">
        <f>+COEF_FCM!AQ141</f>
        <v>410798</v>
      </c>
      <c r="AP134" s="80">
        <f>+COEF_FCM!AV141</f>
        <v>51915.557000000001</v>
      </c>
      <c r="AQ134" s="80">
        <f>+_CIERRE!O134+_CIERRE!P134</f>
        <v>1789441.9310000001</v>
      </c>
      <c r="AR134" s="80">
        <f>+_CIERRE!Q134+_CIERRE!R134</f>
        <v>2037434.4650000001</v>
      </c>
      <c r="AS134" s="80">
        <f>+_CIERRE!S134+_CIERRE!T134</f>
        <v>2198479.5729999999</v>
      </c>
      <c r="AT134" s="80">
        <f>+_CIERRE!U134+_CIERRE!V134</f>
        <v>2280336.4720000001</v>
      </c>
      <c r="AU134" s="80">
        <f>+'CALC MEC ESTAB Y ESTIM M FINAL'!T139</f>
        <v>2370866</v>
      </c>
      <c r="AV134" s="560">
        <v>0</v>
      </c>
      <c r="AW134" s="551">
        <v>0</v>
      </c>
      <c r="AX134" s="551">
        <v>0</v>
      </c>
      <c r="AY134" s="551">
        <v>0</v>
      </c>
      <c r="AZ134" s="551">
        <v>303694.36800000002</v>
      </c>
      <c r="BA134" s="551">
        <v>312275.92099999997</v>
      </c>
    </row>
    <row r="135" spans="1:53" ht="3" customHeight="1" x14ac:dyDescent="0.2">
      <c r="A135" s="68" t="str">
        <f>IF(LEN(+'_DATA STT PAGOS_'!M140)=4,"0"&amp;+'_DATA STT PAGOS_'!M140,+'_DATA STT PAGOS_'!M140)</f>
        <v>07401</v>
      </c>
      <c r="B135" s="68" t="str">
        <f>IF(LEN(+'_DATA STT PAGOS_'!N140)=4,"0"&amp;+'_DATA STT PAGOS_'!N140,+'_DATA STT PAGOS_'!N140)</f>
        <v>07301</v>
      </c>
      <c r="C135" s="76" t="str">
        <f>+'_DATA STT PAGOS_'!O140</f>
        <v>LINARES</v>
      </c>
      <c r="D135" s="80">
        <f>+'CALC MEC ESTAB Y ESTIM M FINAL'!U140</f>
        <v>20018367</v>
      </c>
      <c r="E135" s="77">
        <f>+'CALC MEC ESTAB Y ESTIM M FINAL'!Q140</f>
        <v>7.6644937901000007E-3</v>
      </c>
      <c r="F135" s="77">
        <f>+'CALC MEC ESTAB Y ESTIM M FINAL'!R140</f>
        <v>-6.1170332319999997E-4</v>
      </c>
      <c r="G135" s="80">
        <f>+'_Flujo con Glosa 08'!CE140</f>
        <v>900509</v>
      </c>
      <c r="H135" s="80">
        <f>+'_Flujo con Glosa 08'!CF140</f>
        <v>900509</v>
      </c>
      <c r="I135" s="80">
        <f>+'_Flujo con Glosa 08'!CG140</f>
        <v>882168</v>
      </c>
      <c r="J135" s="80">
        <f>+'_Flujo con Glosa 08'!CH140</f>
        <v>900509</v>
      </c>
      <c r="K135" s="80">
        <f>+'_Flujo con Glosa 08'!CI140</f>
        <v>2771369</v>
      </c>
      <c r="L135" s="80">
        <f>+'_Flujo con Glosa 08'!CJ140</f>
        <v>927172</v>
      </c>
      <c r="M135" s="80">
        <f>+'_Flujo con Glosa 08'!CK140</f>
        <v>1667586</v>
      </c>
      <c r="N135" s="80">
        <f>+'_Flujo con Glosa 08'!CL140</f>
        <v>900509</v>
      </c>
      <c r="O135" s="80">
        <f>+'_Flujo con Glosa 08'!CM140</f>
        <v>1064453</v>
      </c>
      <c r="P135" s="80">
        <f>+'_Flujo con Glosa 08'!CN140</f>
        <v>1794975</v>
      </c>
      <c r="Q135" s="80">
        <f>+'_Flujo con Glosa 08'!CO140</f>
        <v>900509</v>
      </c>
      <c r="R135" s="80">
        <f>+'_Flujo con Glosa 08'!CP140</f>
        <v>1694217</v>
      </c>
      <c r="S135" s="80">
        <f t="shared" si="4"/>
        <v>15304485</v>
      </c>
      <c r="T135" s="80">
        <v>0</v>
      </c>
      <c r="U135" s="80">
        <v>0</v>
      </c>
      <c r="V135" s="80">
        <v>0</v>
      </c>
      <c r="W135" s="80">
        <v>0</v>
      </c>
      <c r="X135" s="80">
        <v>0</v>
      </c>
      <c r="Y135" s="80">
        <v>0</v>
      </c>
      <c r="Z135" s="80">
        <v>0</v>
      </c>
      <c r="AA135" s="80">
        <v>0</v>
      </c>
      <c r="AB135" s="80">
        <v>0</v>
      </c>
      <c r="AC135" s="80">
        <v>0</v>
      </c>
      <c r="AD135" s="80">
        <v>0</v>
      </c>
      <c r="AE135" s="80">
        <v>0</v>
      </c>
      <c r="AF135" s="80">
        <f t="shared" si="5"/>
        <v>0</v>
      </c>
      <c r="AG135" s="80">
        <f>+COEF_FCM!AM142</f>
        <v>433308</v>
      </c>
      <c r="AH135" s="80">
        <f>+COEF_FCM!AR142</f>
        <v>20223</v>
      </c>
      <c r="AI135" s="80">
        <f>+COEF_FCM!AN142</f>
        <v>298217</v>
      </c>
      <c r="AJ135" s="80">
        <f>+COEF_FCM!AS142</f>
        <v>8695</v>
      </c>
      <c r="AK135" s="80">
        <f>+COEF_FCM!AO142</f>
        <v>339501</v>
      </c>
      <c r="AL135" s="80">
        <f>+COEF_FCM!AT142</f>
        <v>11140.669</v>
      </c>
      <c r="AM135" s="80">
        <f>+COEF_FCM!AP142</f>
        <v>284761</v>
      </c>
      <c r="AN135" s="80">
        <f>+COEF_FCM!AU142</f>
        <v>7532</v>
      </c>
      <c r="AO135" s="80">
        <f>+COEF_FCM!AQ142</f>
        <v>1355787</v>
      </c>
      <c r="AP135" s="80">
        <f>+COEF_FCM!AV142</f>
        <v>47590.669000000002</v>
      </c>
      <c r="AQ135" s="80">
        <f>+_CIERRE!O135+_CIERRE!P135</f>
        <v>12931000.251</v>
      </c>
      <c r="AR135" s="80">
        <f>+_CIERRE!Q135+_CIERRE!R135</f>
        <v>15245861.434</v>
      </c>
      <c r="AS135" s="80">
        <f>+_CIERRE!S135+_CIERRE!T135</f>
        <v>16757754.732999999</v>
      </c>
      <c r="AT135" s="80">
        <f>+_CIERRE!U135+_CIERRE!V135</f>
        <v>18570239.379000001</v>
      </c>
      <c r="AU135" s="80">
        <f>+'CALC MEC ESTAB Y ESTIM M FINAL'!T140</f>
        <v>20018367</v>
      </c>
      <c r="AV135" s="560">
        <v>0</v>
      </c>
      <c r="AW135" s="551">
        <v>0</v>
      </c>
      <c r="AX135" s="551">
        <v>0</v>
      </c>
      <c r="AY135" s="551">
        <v>0</v>
      </c>
      <c r="AZ135" s="551">
        <v>1251682.781</v>
      </c>
      <c r="BA135" s="551">
        <v>1289831.8799999999</v>
      </c>
    </row>
    <row r="136" spans="1:53" ht="3" customHeight="1" x14ac:dyDescent="0.2">
      <c r="A136" s="68" t="str">
        <f>IF(LEN(+'_DATA STT PAGOS_'!M141)=4,"0"&amp;+'_DATA STT PAGOS_'!M141,+'_DATA STT PAGOS_'!M141)</f>
        <v>07402</v>
      </c>
      <c r="B136" s="68" t="str">
        <f>IF(LEN(+'_DATA STT PAGOS_'!N141)=4,"0"&amp;+'_DATA STT PAGOS_'!N141,+'_DATA STT PAGOS_'!N141)</f>
        <v>07303</v>
      </c>
      <c r="C136" s="76" t="str">
        <f>+'_DATA STT PAGOS_'!O141</f>
        <v>COLBÚN</v>
      </c>
      <c r="D136" s="80">
        <f>+'CALC MEC ESTAB Y ESTIM M FINAL'!U141</f>
        <v>4840259</v>
      </c>
      <c r="E136" s="77">
        <f>+'CALC MEC ESTAB Y ESTIM M FINAL'!Q141</f>
        <v>1.5009283708E-3</v>
      </c>
      <c r="F136" s="77">
        <f>+'CALC MEC ESTAB Y ESTIM M FINAL'!R141</f>
        <v>2.0437215419999999E-4</v>
      </c>
      <c r="G136" s="80">
        <f>+'_Flujo con Glosa 08'!CE141</f>
        <v>234816</v>
      </c>
      <c r="H136" s="80">
        <f>+'_Flujo con Glosa 08'!CF141</f>
        <v>234816</v>
      </c>
      <c r="I136" s="80">
        <f>+'_Flujo con Glosa 08'!CG141</f>
        <v>213300</v>
      </c>
      <c r="J136" s="80">
        <f>+'_Flujo con Glosa 08'!CH141</f>
        <v>234816</v>
      </c>
      <c r="K136" s="80">
        <f>+'_Flujo con Glosa 08'!CI141</f>
        <v>618849</v>
      </c>
      <c r="L136" s="80">
        <f>+'_Flujo con Glosa 08'!CJ141</f>
        <v>241263</v>
      </c>
      <c r="M136" s="80">
        <f>+'_Flujo con Glosa 08'!CK141</f>
        <v>394355</v>
      </c>
      <c r="N136" s="80">
        <f>+'_Flujo con Glosa 08'!CL141</f>
        <v>234816</v>
      </c>
      <c r="O136" s="80">
        <f>+'_Flujo con Glosa 08'!CM141</f>
        <v>257375</v>
      </c>
      <c r="P136" s="80">
        <f>+'_Flujo con Glosa 08'!CN141</f>
        <v>408699</v>
      </c>
      <c r="Q136" s="80">
        <f>+'_Flujo con Glosa 08'!CO141</f>
        <v>234816</v>
      </c>
      <c r="R136" s="80">
        <f>+'_Flujo con Glosa 08'!CP141</f>
        <v>392565</v>
      </c>
      <c r="S136" s="80">
        <f t="shared" si="4"/>
        <v>3700486</v>
      </c>
      <c r="T136" s="80">
        <v>0</v>
      </c>
      <c r="U136" s="80">
        <v>0</v>
      </c>
      <c r="V136" s="80">
        <v>0</v>
      </c>
      <c r="W136" s="80">
        <v>0</v>
      </c>
      <c r="X136" s="80">
        <v>0</v>
      </c>
      <c r="Y136" s="80">
        <v>0</v>
      </c>
      <c r="Z136" s="80">
        <v>0</v>
      </c>
      <c r="AA136" s="80">
        <v>0</v>
      </c>
      <c r="AB136" s="80">
        <v>0</v>
      </c>
      <c r="AC136" s="80">
        <v>0</v>
      </c>
      <c r="AD136" s="80">
        <v>0</v>
      </c>
      <c r="AE136" s="80">
        <v>0</v>
      </c>
      <c r="AF136" s="80">
        <f t="shared" si="5"/>
        <v>0</v>
      </c>
      <c r="AG136" s="80">
        <f>+COEF_FCM!AM143</f>
        <v>105732</v>
      </c>
      <c r="AH136" s="80">
        <f>+COEF_FCM!AR143</f>
        <v>6209</v>
      </c>
      <c r="AI136" s="80">
        <f>+COEF_FCM!AN143</f>
        <v>27039</v>
      </c>
      <c r="AJ136" s="80">
        <f>+COEF_FCM!AS143</f>
        <v>2901</v>
      </c>
      <c r="AK136" s="80">
        <f>+COEF_FCM!AO143</f>
        <v>75791</v>
      </c>
      <c r="AL136" s="80">
        <f>+COEF_FCM!AT143</f>
        <v>4010.5839999999998</v>
      </c>
      <c r="AM136" s="80">
        <f>+COEF_FCM!AP143</f>
        <v>65294</v>
      </c>
      <c r="AN136" s="80">
        <f>+COEF_FCM!AU143</f>
        <v>3235</v>
      </c>
      <c r="AO136" s="80">
        <f>+COEF_FCM!AQ143</f>
        <v>273856</v>
      </c>
      <c r="AP136" s="80">
        <f>+COEF_FCM!AV143</f>
        <v>16355.583999999999</v>
      </c>
      <c r="AQ136" s="80">
        <f>+_CIERRE!O136+_CIERRE!P136</f>
        <v>4277646.5180000002</v>
      </c>
      <c r="AR136" s="80">
        <f>+_CIERRE!Q136+_CIERRE!R136</f>
        <v>4637743.4009999996</v>
      </c>
      <c r="AS136" s="80">
        <f>+_CIERRE!S136+_CIERRE!T136</f>
        <v>4795399.983</v>
      </c>
      <c r="AT136" s="80">
        <f>+_CIERRE!U136+_CIERRE!V136</f>
        <v>4840258.8590000002</v>
      </c>
      <c r="AU136" s="80">
        <f>+'CALC MEC ESTAB Y ESTIM M FINAL'!T141</f>
        <v>4840259</v>
      </c>
      <c r="AV136" s="560">
        <v>0</v>
      </c>
      <c r="AW136" s="551">
        <v>0</v>
      </c>
      <c r="AX136" s="551">
        <v>0</v>
      </c>
      <c r="AY136" s="551">
        <v>0</v>
      </c>
      <c r="AZ136" s="551">
        <v>424324.34499999997</v>
      </c>
      <c r="BA136" s="551">
        <v>435915.82699999999</v>
      </c>
    </row>
    <row r="137" spans="1:53" ht="3" customHeight="1" x14ac:dyDescent="0.2">
      <c r="A137" s="68" t="str">
        <f>IF(LEN(+'_DATA STT PAGOS_'!M142)=4,"0"&amp;+'_DATA STT PAGOS_'!M142,+'_DATA STT PAGOS_'!M142)</f>
        <v>07403</v>
      </c>
      <c r="B137" s="68" t="str">
        <f>IF(LEN(+'_DATA STT PAGOS_'!N142)=4,"0"&amp;+'_DATA STT PAGOS_'!N142,+'_DATA STT PAGOS_'!N142)</f>
        <v>07304</v>
      </c>
      <c r="C137" s="76" t="str">
        <f>+'_DATA STT PAGOS_'!O142</f>
        <v>LONGAVÍ</v>
      </c>
      <c r="D137" s="80">
        <f>+'CALC MEC ESTAB Y ESTIM M FINAL'!U142</f>
        <v>9983729</v>
      </c>
      <c r="E137" s="77">
        <f>+'CALC MEC ESTAB Y ESTIM M FINAL'!Q142</f>
        <v>3.9041869848999997E-3</v>
      </c>
      <c r="F137" s="77">
        <f>+'CALC MEC ESTAB Y ESTIM M FINAL'!R142</f>
        <v>-3.8675979170000002E-4</v>
      </c>
      <c r="G137" s="80">
        <f>+'_Flujo con Glosa 08'!CE142</f>
        <v>439943</v>
      </c>
      <c r="H137" s="80">
        <f>+'_Flujo con Glosa 08'!CF142</f>
        <v>439943</v>
      </c>
      <c r="I137" s="80">
        <f>+'_Flujo con Glosa 08'!CG142</f>
        <v>439962</v>
      </c>
      <c r="J137" s="80">
        <f>+'_Flujo con Glosa 08'!CH142</f>
        <v>439943</v>
      </c>
      <c r="K137" s="80">
        <f>+'_Flujo con Glosa 08'!CI142</f>
        <v>1409660</v>
      </c>
      <c r="L137" s="80">
        <f>+'_Flujo con Glosa 08'!CJ142</f>
        <v>453240</v>
      </c>
      <c r="M137" s="80">
        <f>+'_Flujo con Glosa 08'!CK142</f>
        <v>840839</v>
      </c>
      <c r="N137" s="80">
        <f>+'_Flujo con Glosa 08'!CL142</f>
        <v>439943</v>
      </c>
      <c r="O137" s="80">
        <f>+'_Flujo con Glosa 08'!CM142</f>
        <v>530873</v>
      </c>
      <c r="P137" s="80">
        <f>+'_Flujo con Glosa 08'!CN142</f>
        <v>904372</v>
      </c>
      <c r="Q137" s="80">
        <f>+'_Flujo con Glosa 08'!CO142</f>
        <v>439943</v>
      </c>
      <c r="R137" s="80">
        <f>+'_Flujo con Glosa 08'!CP142</f>
        <v>854120</v>
      </c>
      <c r="S137" s="80">
        <f t="shared" si="4"/>
        <v>7632781</v>
      </c>
      <c r="T137" s="80">
        <v>0</v>
      </c>
      <c r="U137" s="80">
        <v>0</v>
      </c>
      <c r="V137" s="80">
        <v>0</v>
      </c>
      <c r="W137" s="80">
        <v>0</v>
      </c>
      <c r="X137" s="80">
        <v>0</v>
      </c>
      <c r="Y137" s="80">
        <v>0</v>
      </c>
      <c r="Z137" s="80">
        <v>0</v>
      </c>
      <c r="AA137" s="80">
        <v>0</v>
      </c>
      <c r="AB137" s="80">
        <v>0</v>
      </c>
      <c r="AC137" s="80">
        <v>0</v>
      </c>
      <c r="AD137" s="80">
        <v>0</v>
      </c>
      <c r="AE137" s="80">
        <v>0</v>
      </c>
      <c r="AF137" s="80">
        <f t="shared" si="5"/>
        <v>0</v>
      </c>
      <c r="AG137" s="80">
        <f>+COEF_FCM!AM144</f>
        <v>86439</v>
      </c>
      <c r="AH137" s="80">
        <f>+COEF_FCM!AR144</f>
        <v>215</v>
      </c>
      <c r="AI137" s="80">
        <f>+COEF_FCM!AN144</f>
        <v>52749</v>
      </c>
      <c r="AJ137" s="80">
        <f>+COEF_FCM!AS144</f>
        <v>90</v>
      </c>
      <c r="AK137" s="80">
        <f>+COEF_FCM!AO144</f>
        <v>69652</v>
      </c>
      <c r="AL137" s="80">
        <f>+COEF_FCM!AT144</f>
        <v>107.03400000000001</v>
      </c>
      <c r="AM137" s="80">
        <f>+COEF_FCM!AP144</f>
        <v>50093</v>
      </c>
      <c r="AN137" s="80">
        <f>+COEF_FCM!AU144</f>
        <v>200</v>
      </c>
      <c r="AO137" s="80">
        <f>+COEF_FCM!AQ144</f>
        <v>258933</v>
      </c>
      <c r="AP137" s="80">
        <f>+COEF_FCM!AV144</f>
        <v>612.03399999999999</v>
      </c>
      <c r="AQ137" s="80">
        <f>+_CIERRE!O137+_CIERRE!P137</f>
        <v>5829544.3219999997</v>
      </c>
      <c r="AR137" s="80">
        <f>+_CIERRE!Q137+_CIERRE!R137</f>
        <v>7040777.1900000004</v>
      </c>
      <c r="AS137" s="80">
        <f>+_CIERRE!S137+_CIERRE!T137</f>
        <v>7720346.0760000004</v>
      </c>
      <c r="AT137" s="80">
        <f>+_CIERRE!U137+_CIERRE!V137</f>
        <v>9068126.807</v>
      </c>
      <c r="AU137" s="80">
        <f>+'CALC MEC ESTAB Y ESTIM M FINAL'!T142</f>
        <v>9983729</v>
      </c>
      <c r="AV137" s="560">
        <v>0</v>
      </c>
      <c r="AW137" s="551">
        <v>0</v>
      </c>
      <c r="AX137" s="551">
        <v>0</v>
      </c>
      <c r="AY137" s="551">
        <v>0</v>
      </c>
      <c r="AZ137" s="551">
        <v>738684.37899999996</v>
      </c>
      <c r="BA137" s="551">
        <v>756500.79500000004</v>
      </c>
    </row>
    <row r="138" spans="1:53" ht="3" customHeight="1" x14ac:dyDescent="0.2">
      <c r="A138" s="68" t="str">
        <f>IF(LEN(+'_DATA STT PAGOS_'!M143)=4,"0"&amp;+'_DATA STT PAGOS_'!M143,+'_DATA STT PAGOS_'!M143)</f>
        <v>07404</v>
      </c>
      <c r="B138" s="68" t="str">
        <f>IF(LEN(+'_DATA STT PAGOS_'!N143)=4,"0"&amp;+'_DATA STT PAGOS_'!N143,+'_DATA STT PAGOS_'!N143)</f>
        <v>07305</v>
      </c>
      <c r="C138" s="76" t="str">
        <f>+'_DATA STT PAGOS_'!O143</f>
        <v>PARRAL</v>
      </c>
      <c r="D138" s="80">
        <f>+'CALC MEC ESTAB Y ESTIM M FINAL'!U143</f>
        <v>11909456</v>
      </c>
      <c r="E138" s="77">
        <f>+'CALC MEC ESTAB Y ESTIM M FINAL'!Q143</f>
        <v>4.6730238431999995E-3</v>
      </c>
      <c r="F138" s="77">
        <f>+'CALC MEC ESTAB Y ESTIM M FINAL'!R143</f>
        <v>-4.771323619E-4</v>
      </c>
      <c r="G138" s="80">
        <f>+'_Flujo con Glosa 08'!CE143</f>
        <v>523044</v>
      </c>
      <c r="H138" s="80">
        <f>+'_Flujo con Glosa 08'!CF143</f>
        <v>523044</v>
      </c>
      <c r="I138" s="80">
        <f>+'_Flujo con Glosa 08'!CG143</f>
        <v>524825</v>
      </c>
      <c r="J138" s="80">
        <f>+'_Flujo con Glosa 08'!CH143</f>
        <v>523044</v>
      </c>
      <c r="K138" s="80">
        <f>+'_Flujo con Glosa 08'!CI143</f>
        <v>1686839</v>
      </c>
      <c r="L138" s="80">
        <f>+'_Flujo con Glosa 08'!CJ143</f>
        <v>538906</v>
      </c>
      <c r="M138" s="80">
        <f>+'_Flujo con Glosa 08'!CK143</f>
        <v>1004783</v>
      </c>
      <c r="N138" s="80">
        <f>+'_Flujo con Glosa 08'!CL143</f>
        <v>523044</v>
      </c>
      <c r="O138" s="80">
        <f>+'_Flujo con Glosa 08'!CM143</f>
        <v>633271</v>
      </c>
      <c r="P138" s="80">
        <f>+'_Flujo con Glosa 08'!CN143</f>
        <v>1080571</v>
      </c>
      <c r="Q138" s="80">
        <f>+'_Flujo con Glosa 08'!CO143</f>
        <v>523044</v>
      </c>
      <c r="R138" s="80">
        <f>+'_Flujo con Glosa 08'!CP143</f>
        <v>1020628</v>
      </c>
      <c r="S138" s="80">
        <f t="shared" si="4"/>
        <v>9105043</v>
      </c>
      <c r="T138" s="80">
        <v>0</v>
      </c>
      <c r="U138" s="80">
        <v>0</v>
      </c>
      <c r="V138" s="80">
        <v>0</v>
      </c>
      <c r="W138" s="80">
        <v>0</v>
      </c>
      <c r="X138" s="80">
        <v>0</v>
      </c>
      <c r="Y138" s="80">
        <v>0</v>
      </c>
      <c r="Z138" s="80">
        <v>0</v>
      </c>
      <c r="AA138" s="80">
        <v>0</v>
      </c>
      <c r="AB138" s="80">
        <v>0</v>
      </c>
      <c r="AC138" s="80">
        <v>0</v>
      </c>
      <c r="AD138" s="80">
        <v>0</v>
      </c>
      <c r="AE138" s="80">
        <v>0</v>
      </c>
      <c r="AF138" s="80">
        <f t="shared" si="5"/>
        <v>0</v>
      </c>
      <c r="AG138" s="80">
        <f>+COEF_FCM!AM145</f>
        <v>174439</v>
      </c>
      <c r="AH138" s="80">
        <f>+COEF_FCM!AR145</f>
        <v>7234</v>
      </c>
      <c r="AI138" s="80">
        <f>+COEF_FCM!AN145</f>
        <v>119514</v>
      </c>
      <c r="AJ138" s="80">
        <f>+COEF_FCM!AS145</f>
        <v>2584</v>
      </c>
      <c r="AK138" s="80">
        <f>+COEF_FCM!AO145</f>
        <v>135987</v>
      </c>
      <c r="AL138" s="80">
        <f>+COEF_FCM!AT145</f>
        <v>3797.172</v>
      </c>
      <c r="AM138" s="80">
        <f>+COEF_FCM!AP145</f>
        <v>104329</v>
      </c>
      <c r="AN138" s="80">
        <f>+COEF_FCM!AU145</f>
        <v>2876</v>
      </c>
      <c r="AO138" s="80">
        <f>+COEF_FCM!AQ145</f>
        <v>534269</v>
      </c>
      <c r="AP138" s="80">
        <f>+COEF_FCM!AV145</f>
        <v>16491.171999999999</v>
      </c>
      <c r="AQ138" s="80">
        <f>+_CIERRE!O138+_CIERRE!P138</f>
        <v>7126720.9139999999</v>
      </c>
      <c r="AR138" s="80">
        <f>+_CIERRE!Q138+_CIERRE!R138</f>
        <v>8501839.2129999995</v>
      </c>
      <c r="AS138" s="80">
        <f>+_CIERRE!S138+_CIERRE!T138</f>
        <v>9378802.1740000006</v>
      </c>
      <c r="AT138" s="80">
        <f>+_CIERRE!U138+_CIERRE!V138</f>
        <v>10779907.026000001</v>
      </c>
      <c r="AU138" s="80">
        <f>+'CALC MEC ESTAB Y ESTIM M FINAL'!T143</f>
        <v>11909456</v>
      </c>
      <c r="AV138" s="560">
        <v>0</v>
      </c>
      <c r="AW138" s="551">
        <v>0</v>
      </c>
      <c r="AX138" s="551">
        <v>0</v>
      </c>
      <c r="AY138" s="551">
        <v>0</v>
      </c>
      <c r="AZ138" s="551">
        <v>715229.13600000006</v>
      </c>
      <c r="BA138" s="551">
        <v>740944.147</v>
      </c>
    </row>
    <row r="139" spans="1:53" ht="3" customHeight="1" x14ac:dyDescent="0.2">
      <c r="A139" s="68" t="str">
        <f>IF(LEN(+'_DATA STT PAGOS_'!M144)=4,"0"&amp;+'_DATA STT PAGOS_'!M144,+'_DATA STT PAGOS_'!M144)</f>
        <v>07405</v>
      </c>
      <c r="B139" s="68" t="str">
        <f>IF(LEN(+'_DATA STT PAGOS_'!N144)=4,"0"&amp;+'_DATA STT PAGOS_'!N144,+'_DATA STT PAGOS_'!N144)</f>
        <v>07306</v>
      </c>
      <c r="C139" s="76" t="str">
        <f>+'_DATA STT PAGOS_'!O144</f>
        <v>RETIRO</v>
      </c>
      <c r="D139" s="80">
        <f>+'CALC MEC ESTAB Y ESTIM M FINAL'!U144</f>
        <v>6929577</v>
      </c>
      <c r="E139" s="77">
        <f>+'CALC MEC ESTAB Y ESTIM M FINAL'!Q144</f>
        <v>2.8021869564999998E-3</v>
      </c>
      <c r="F139" s="77">
        <f>+'CALC MEC ESTAB Y ESTIM M FINAL'!R144</f>
        <v>-3.6078635349999998E-4</v>
      </c>
      <c r="G139" s="80">
        <f>+'_Flujo con Glosa 08'!CE144</f>
        <v>294778</v>
      </c>
      <c r="H139" s="80">
        <f>+'_Flujo con Glosa 08'!CF144</f>
        <v>294778</v>
      </c>
      <c r="I139" s="80">
        <f>+'_Flujo con Glosa 08'!CG144</f>
        <v>305372</v>
      </c>
      <c r="J139" s="80">
        <f>+'_Flujo con Glosa 08'!CH144</f>
        <v>294778</v>
      </c>
      <c r="K139" s="80">
        <f>+'_Flujo con Glosa 08'!CI144</f>
        <v>1010169</v>
      </c>
      <c r="L139" s="80">
        <f>+'_Flujo con Glosa 08'!CJ144</f>
        <v>304008</v>
      </c>
      <c r="M139" s="80">
        <f>+'_Flujo con Glosa 08'!CK144</f>
        <v>594196</v>
      </c>
      <c r="N139" s="80">
        <f>+'_Flujo con Glosa 08'!CL144</f>
        <v>294778</v>
      </c>
      <c r="O139" s="80">
        <f>+'_Flujo con Glosa 08'!CM144</f>
        <v>368472</v>
      </c>
      <c r="P139" s="80">
        <f>+'_Flujo con Glosa 08'!CN144</f>
        <v>638293</v>
      </c>
      <c r="Q139" s="80">
        <f>+'_Flujo con Glosa 08'!CO144</f>
        <v>294778</v>
      </c>
      <c r="R139" s="80">
        <f>+'_Flujo con Glosa 08'!CP144</f>
        <v>603415</v>
      </c>
      <c r="S139" s="80">
        <f t="shared" si="4"/>
        <v>5297815</v>
      </c>
      <c r="T139" s="80">
        <v>0</v>
      </c>
      <c r="U139" s="80">
        <v>0</v>
      </c>
      <c r="V139" s="80">
        <v>0</v>
      </c>
      <c r="W139" s="80">
        <v>0</v>
      </c>
      <c r="X139" s="80">
        <v>0</v>
      </c>
      <c r="Y139" s="80">
        <v>0</v>
      </c>
      <c r="Z139" s="80">
        <v>0</v>
      </c>
      <c r="AA139" s="80">
        <v>0</v>
      </c>
      <c r="AB139" s="80">
        <v>0</v>
      </c>
      <c r="AC139" s="80">
        <v>0</v>
      </c>
      <c r="AD139" s="80">
        <v>0</v>
      </c>
      <c r="AE139" s="80">
        <v>0</v>
      </c>
      <c r="AF139" s="80">
        <f t="shared" si="5"/>
        <v>0</v>
      </c>
      <c r="AG139" s="80">
        <f>+COEF_FCM!AM146</f>
        <v>85354</v>
      </c>
      <c r="AH139" s="80">
        <f>+COEF_FCM!AR146</f>
        <v>0</v>
      </c>
      <c r="AI139" s="80">
        <f>+COEF_FCM!AN146</f>
        <v>53318</v>
      </c>
      <c r="AJ139" s="80">
        <f>+COEF_FCM!AS146</f>
        <v>0</v>
      </c>
      <c r="AK139" s="80">
        <f>+COEF_FCM!AO146</f>
        <v>67907</v>
      </c>
      <c r="AL139" s="80">
        <f>+COEF_FCM!AT146</f>
        <v>0</v>
      </c>
      <c r="AM139" s="80">
        <f>+COEF_FCM!AP146</f>
        <v>54640</v>
      </c>
      <c r="AN139" s="80">
        <f>+COEF_FCM!AU146</f>
        <v>0</v>
      </c>
      <c r="AO139" s="80">
        <f>+COEF_FCM!AQ146</f>
        <v>261219</v>
      </c>
      <c r="AP139" s="80">
        <f>+COEF_FCM!AV146</f>
        <v>0</v>
      </c>
      <c r="AQ139" s="80">
        <f>+_CIERRE!O139+_CIERRE!P139</f>
        <v>3844165.2620000001</v>
      </c>
      <c r="AR139" s="80">
        <f>+_CIERRE!Q139+_CIERRE!R139</f>
        <v>4520725.0719999997</v>
      </c>
      <c r="AS139" s="80">
        <f>+_CIERRE!S139+_CIERRE!T139</f>
        <v>4946553.2079999996</v>
      </c>
      <c r="AT139" s="80">
        <f>+_CIERRE!U139+_CIERRE!V139</f>
        <v>6075462.1529999999</v>
      </c>
      <c r="AU139" s="80">
        <f>+'CALC MEC ESTAB Y ESTIM M FINAL'!T144</f>
        <v>6929577</v>
      </c>
      <c r="AV139" s="560">
        <v>0</v>
      </c>
      <c r="AW139" s="551">
        <v>0</v>
      </c>
      <c r="AX139" s="551">
        <v>0</v>
      </c>
      <c r="AY139" s="551">
        <v>0</v>
      </c>
      <c r="AZ139" s="551">
        <v>534059.01699999999</v>
      </c>
      <c r="BA139" s="551">
        <v>545027.59100000001</v>
      </c>
    </row>
    <row r="140" spans="1:53" ht="3" customHeight="1" x14ac:dyDescent="0.2">
      <c r="A140" s="68" t="str">
        <f>IF(LEN(+'_DATA STT PAGOS_'!M145)=4,"0"&amp;+'_DATA STT PAGOS_'!M145,+'_DATA STT PAGOS_'!M145)</f>
        <v>07406</v>
      </c>
      <c r="B140" s="68" t="str">
        <f>IF(LEN(+'_DATA STT PAGOS_'!N145)=4,"0"&amp;+'_DATA STT PAGOS_'!N145,+'_DATA STT PAGOS_'!N145)</f>
        <v>07310</v>
      </c>
      <c r="C140" s="76" t="str">
        <f>+'_DATA STT PAGOS_'!O145</f>
        <v>SAN JAVIER</v>
      </c>
      <c r="D140" s="80">
        <f>+'CALC MEC ESTAB Y ESTIM M FINAL'!U145</f>
        <v>12004240</v>
      </c>
      <c r="E140" s="77">
        <f>+'CALC MEC ESTAB Y ESTIM M FINAL'!Q145</f>
        <v>4.5767027183999994E-3</v>
      </c>
      <c r="F140" s="77">
        <f>+'CALC MEC ESTAB Y ESTIM M FINAL'!R145</f>
        <v>-3.474173716E-4</v>
      </c>
      <c r="G140" s="80">
        <f>+'_Flujo con Glosa 08'!CE145</f>
        <v>542318</v>
      </c>
      <c r="H140" s="80">
        <f>+'_Flujo con Glosa 08'!CF145</f>
        <v>542318</v>
      </c>
      <c r="I140" s="80">
        <f>+'_Flujo con Glosa 08'!CG145</f>
        <v>529002</v>
      </c>
      <c r="J140" s="80">
        <f>+'_Flujo con Glosa 08'!CH145</f>
        <v>542318</v>
      </c>
      <c r="K140" s="80">
        <f>+'_Flujo con Glosa 08'!CI145</f>
        <v>1654930</v>
      </c>
      <c r="L140" s="80">
        <f>+'_Flujo con Glosa 08'!CJ145</f>
        <v>558307</v>
      </c>
      <c r="M140" s="80">
        <f>+'_Flujo con Glosa 08'!CK145</f>
        <v>997669</v>
      </c>
      <c r="N140" s="80">
        <f>+'_Flujo con Glosa 08'!CL145</f>
        <v>542318</v>
      </c>
      <c r="O140" s="80">
        <f>+'_Flujo con Glosa 08'!CM145</f>
        <v>638311</v>
      </c>
      <c r="P140" s="80">
        <f>+'_Flujo con Glosa 08'!CN145</f>
        <v>1074060</v>
      </c>
      <c r="Q140" s="80">
        <f>+'_Flujo con Glosa 08'!CO145</f>
        <v>542318</v>
      </c>
      <c r="R140" s="80">
        <f>+'_Flujo con Glosa 08'!CP145</f>
        <v>1013638</v>
      </c>
      <c r="S140" s="80">
        <f t="shared" si="4"/>
        <v>9177507</v>
      </c>
      <c r="T140" s="80">
        <v>0</v>
      </c>
      <c r="U140" s="80">
        <v>0</v>
      </c>
      <c r="V140" s="80">
        <v>0</v>
      </c>
      <c r="W140" s="80">
        <v>0</v>
      </c>
      <c r="X140" s="80">
        <v>0</v>
      </c>
      <c r="Y140" s="80">
        <v>0</v>
      </c>
      <c r="Z140" s="80">
        <v>0</v>
      </c>
      <c r="AA140" s="80">
        <v>0</v>
      </c>
      <c r="AB140" s="80">
        <v>0</v>
      </c>
      <c r="AC140" s="80">
        <v>0</v>
      </c>
      <c r="AD140" s="80">
        <v>0</v>
      </c>
      <c r="AE140" s="80">
        <v>0</v>
      </c>
      <c r="AF140" s="80">
        <f t="shared" si="5"/>
        <v>0</v>
      </c>
      <c r="AG140" s="80">
        <f>+COEF_FCM!AM147</f>
        <v>134428</v>
      </c>
      <c r="AH140" s="80">
        <f>+COEF_FCM!AR147</f>
        <v>3230</v>
      </c>
      <c r="AI140" s="80">
        <f>+COEF_FCM!AN147</f>
        <v>113214</v>
      </c>
      <c r="AJ140" s="80">
        <f>+COEF_FCM!AS147</f>
        <v>3105</v>
      </c>
      <c r="AK140" s="80">
        <f>+COEF_FCM!AO147</f>
        <v>113435</v>
      </c>
      <c r="AL140" s="80">
        <f>+COEF_FCM!AT147</f>
        <v>2665.7829999999999</v>
      </c>
      <c r="AM140" s="80">
        <f>+COEF_FCM!AP147</f>
        <v>106048</v>
      </c>
      <c r="AN140" s="80">
        <f>+COEF_FCM!AU147</f>
        <v>1455</v>
      </c>
      <c r="AO140" s="80">
        <f>+COEF_FCM!AQ147</f>
        <v>467125</v>
      </c>
      <c r="AP140" s="80">
        <f>+COEF_FCM!AV147</f>
        <v>10455.782999999999</v>
      </c>
      <c r="AQ140" s="80">
        <f>+_CIERRE!O140+_CIERRE!P140</f>
        <v>7840590.0939999996</v>
      </c>
      <c r="AR140" s="80">
        <f>+_CIERRE!Q140+_CIERRE!R140</f>
        <v>9192510.8670000006</v>
      </c>
      <c r="AS140" s="80">
        <f>+_CIERRE!S140+_CIERRE!T140</f>
        <v>10246786.530999999</v>
      </c>
      <c r="AT140" s="80">
        <f>+_CIERRE!U140+_CIERRE!V140</f>
        <v>11181774.929</v>
      </c>
      <c r="AU140" s="80">
        <f>+'CALC MEC ESTAB Y ESTIM M FINAL'!T145</f>
        <v>12004240</v>
      </c>
      <c r="AV140" s="560">
        <v>0</v>
      </c>
      <c r="AW140" s="551">
        <v>0</v>
      </c>
      <c r="AX140" s="551">
        <v>0</v>
      </c>
      <c r="AY140" s="551">
        <v>0</v>
      </c>
      <c r="AZ140" s="551">
        <v>852056.88399999996</v>
      </c>
      <c r="BA140" s="551">
        <v>864035.25100000005</v>
      </c>
    </row>
    <row r="141" spans="1:53" ht="3" customHeight="1" x14ac:dyDescent="0.2">
      <c r="A141" s="68" t="str">
        <f>IF(LEN(+'_DATA STT PAGOS_'!M146)=4,"0"&amp;+'_DATA STT PAGOS_'!M146,+'_DATA STT PAGOS_'!M146)</f>
        <v>07407</v>
      </c>
      <c r="B141" s="68" t="str">
        <f>IF(LEN(+'_DATA STT PAGOS_'!N146)=4,"0"&amp;+'_DATA STT PAGOS_'!N146,+'_DATA STT PAGOS_'!N146)</f>
        <v>07309</v>
      </c>
      <c r="C141" s="76" t="str">
        <f>+'_DATA STT PAGOS_'!O146</f>
        <v>VILLA ALEGRE</v>
      </c>
      <c r="D141" s="80">
        <f>+'CALC MEC ESTAB Y ESTIM M FINAL'!U146</f>
        <v>5644535</v>
      </c>
      <c r="E141" s="77">
        <f>+'CALC MEC ESTAB Y ESTIM M FINAL'!Q146</f>
        <v>2.2303250383999998E-3</v>
      </c>
      <c r="F141" s="77">
        <f>+'CALC MEC ESTAB Y ESTIM M FINAL'!R146</f>
        <v>-2.4166515229999999E-4</v>
      </c>
      <c r="G141" s="80">
        <f>+'_Flujo con Glosa 08'!CE146</f>
        <v>246165</v>
      </c>
      <c r="H141" s="80">
        <f>+'_Flujo con Glosa 08'!CF146</f>
        <v>246165</v>
      </c>
      <c r="I141" s="80">
        <f>+'_Flujo con Glosa 08'!CG146</f>
        <v>248743</v>
      </c>
      <c r="J141" s="80">
        <f>+'_Flujo con Glosa 08'!CH146</f>
        <v>246165</v>
      </c>
      <c r="K141" s="80">
        <f>+'_Flujo con Glosa 08'!CI146</f>
        <v>804685</v>
      </c>
      <c r="L141" s="80">
        <f>+'_Flujo con Glosa 08'!CJ146</f>
        <v>253683</v>
      </c>
      <c r="M141" s="80">
        <f>+'_Flujo con Glosa 08'!CK146</f>
        <v>477955</v>
      </c>
      <c r="N141" s="80">
        <f>+'_Flujo con Glosa 08'!CL146</f>
        <v>246165</v>
      </c>
      <c r="O141" s="80">
        <f>+'_Flujo con Glosa 08'!CM146</f>
        <v>300141</v>
      </c>
      <c r="P141" s="80">
        <f>+'_Flujo con Glosa 08'!CN146</f>
        <v>513875</v>
      </c>
      <c r="Q141" s="80">
        <f>+'_Flujo con Glosa 08'!CO146</f>
        <v>246165</v>
      </c>
      <c r="R141" s="80">
        <f>+'_Flujo con Glosa 08'!CP146</f>
        <v>485463</v>
      </c>
      <c r="S141" s="80">
        <f t="shared" si="4"/>
        <v>4315370</v>
      </c>
      <c r="T141" s="80">
        <v>0</v>
      </c>
      <c r="U141" s="80">
        <v>0</v>
      </c>
      <c r="V141" s="80">
        <v>0</v>
      </c>
      <c r="W141" s="80">
        <v>0</v>
      </c>
      <c r="X141" s="80">
        <v>0</v>
      </c>
      <c r="Y141" s="80">
        <v>0</v>
      </c>
      <c r="Z141" s="80">
        <v>0</v>
      </c>
      <c r="AA141" s="80">
        <v>0</v>
      </c>
      <c r="AB141" s="80">
        <v>0</v>
      </c>
      <c r="AC141" s="80">
        <v>0</v>
      </c>
      <c r="AD141" s="80">
        <v>0</v>
      </c>
      <c r="AE141" s="80">
        <v>0</v>
      </c>
      <c r="AF141" s="80">
        <f t="shared" si="5"/>
        <v>0</v>
      </c>
      <c r="AG141" s="80">
        <f>+COEF_FCM!AM148</f>
        <v>59661</v>
      </c>
      <c r="AH141" s="80">
        <f>+COEF_FCM!AR148</f>
        <v>858</v>
      </c>
      <c r="AI141" s="80">
        <f>+COEF_FCM!AN148</f>
        <v>28353</v>
      </c>
      <c r="AJ141" s="80">
        <f>+COEF_FCM!AS148</f>
        <v>0</v>
      </c>
      <c r="AK141" s="80">
        <f>+COEF_FCM!AO148</f>
        <v>36290</v>
      </c>
      <c r="AL141" s="80">
        <f>+COEF_FCM!AT148</f>
        <v>656.11599999999999</v>
      </c>
      <c r="AM141" s="80">
        <f>+COEF_FCM!AP148</f>
        <v>27021</v>
      </c>
      <c r="AN141" s="80">
        <f>+COEF_FCM!AU148</f>
        <v>449</v>
      </c>
      <c r="AO141" s="80">
        <f>+COEF_FCM!AQ148</f>
        <v>151325</v>
      </c>
      <c r="AP141" s="80">
        <f>+COEF_FCM!AV148</f>
        <v>1963.116</v>
      </c>
      <c r="AQ141" s="80">
        <f>+_CIERRE!O141+_CIERRE!P141</f>
        <v>3402399.7579999999</v>
      </c>
      <c r="AR141" s="80">
        <f>+_CIERRE!Q141+_CIERRE!R141</f>
        <v>4002581.52</v>
      </c>
      <c r="AS141" s="80">
        <f>+_CIERRE!S141+_CIERRE!T141</f>
        <v>4386926.9179999996</v>
      </c>
      <c r="AT141" s="80">
        <f>+_CIERRE!U141+_CIERRE!V141</f>
        <v>5072423.6579999998</v>
      </c>
      <c r="AU141" s="80">
        <f>+'CALC MEC ESTAB Y ESTIM M FINAL'!T146</f>
        <v>5644535</v>
      </c>
      <c r="AV141" s="560">
        <v>0</v>
      </c>
      <c r="AW141" s="551">
        <v>0</v>
      </c>
      <c r="AX141" s="551">
        <v>0</v>
      </c>
      <c r="AY141" s="551">
        <v>0</v>
      </c>
      <c r="AZ141" s="551">
        <v>497831.96600000001</v>
      </c>
      <c r="BA141" s="551">
        <v>504032.53499999997</v>
      </c>
    </row>
    <row r="142" spans="1:53" ht="3" customHeight="1" x14ac:dyDescent="0.2">
      <c r="A142" s="68" t="str">
        <f>IF(LEN(+'_DATA STT PAGOS_'!M147)=4,"0"&amp;+'_DATA STT PAGOS_'!M147,+'_DATA STT PAGOS_'!M147)</f>
        <v>07408</v>
      </c>
      <c r="B142" s="68" t="str">
        <f>IF(LEN(+'_DATA STT PAGOS_'!N147)=4,"0"&amp;+'_DATA STT PAGOS_'!N147,+'_DATA STT PAGOS_'!N147)</f>
        <v>07302</v>
      </c>
      <c r="C142" s="76" t="str">
        <f>+'_DATA STT PAGOS_'!O147</f>
        <v>YERBAS BUENAS</v>
      </c>
      <c r="D142" s="80">
        <f>+'CALC MEC ESTAB Y ESTIM M FINAL'!U147</f>
        <v>5076754</v>
      </c>
      <c r="E142" s="77">
        <f>+'CALC MEC ESTAB Y ESTIM M FINAL'!Q147</f>
        <v>2.0152649739999997E-3</v>
      </c>
      <c r="F142" s="77">
        <f>+'CALC MEC ESTAB Y ESTIM M FINAL'!R147</f>
        <v>-2.266434561E-4</v>
      </c>
      <c r="G142" s="80">
        <f>+'_Flujo con Glosa 08'!CE147</f>
        <v>220266</v>
      </c>
      <c r="H142" s="80">
        <f>+'_Flujo con Glosa 08'!CF147</f>
        <v>220266</v>
      </c>
      <c r="I142" s="80">
        <f>+'_Flujo con Glosa 08'!CG147</f>
        <v>223722</v>
      </c>
      <c r="J142" s="80">
        <f>+'_Flujo con Glosa 08'!CH147</f>
        <v>220266</v>
      </c>
      <c r="K142" s="80">
        <f>+'_Flujo con Glosa 08'!CI147</f>
        <v>727156</v>
      </c>
      <c r="L142" s="80">
        <f>+'_Flujo con Glosa 08'!CJ147</f>
        <v>227028</v>
      </c>
      <c r="M142" s="80">
        <f>+'_Flujo con Glosa 08'!CK147</f>
        <v>431016</v>
      </c>
      <c r="N142" s="80">
        <f>+'_Flujo con Glosa 08'!CL147</f>
        <v>220266</v>
      </c>
      <c r="O142" s="80">
        <f>+'_Flujo con Glosa 08'!CM147</f>
        <v>269951</v>
      </c>
      <c r="P142" s="80">
        <f>+'_Flujo con Glosa 08'!CN147</f>
        <v>463322</v>
      </c>
      <c r="Q142" s="80">
        <f>+'_Flujo con Glosa 08'!CO147</f>
        <v>220266</v>
      </c>
      <c r="R142" s="80">
        <f>+'_Flujo con Glosa 08'!CP147</f>
        <v>437769</v>
      </c>
      <c r="S142" s="80">
        <f t="shared" si="4"/>
        <v>3881294</v>
      </c>
      <c r="T142" s="80">
        <v>0</v>
      </c>
      <c r="U142" s="80">
        <v>0</v>
      </c>
      <c r="V142" s="80">
        <v>0</v>
      </c>
      <c r="W142" s="80">
        <v>0</v>
      </c>
      <c r="X142" s="80">
        <v>0</v>
      </c>
      <c r="Y142" s="80">
        <v>0</v>
      </c>
      <c r="Z142" s="80">
        <v>0</v>
      </c>
      <c r="AA142" s="80">
        <v>0</v>
      </c>
      <c r="AB142" s="80">
        <v>0</v>
      </c>
      <c r="AC142" s="80">
        <v>0</v>
      </c>
      <c r="AD142" s="80">
        <v>0</v>
      </c>
      <c r="AE142" s="80">
        <v>0</v>
      </c>
      <c r="AF142" s="80">
        <f t="shared" si="5"/>
        <v>0</v>
      </c>
      <c r="AG142" s="80">
        <f>+COEF_FCM!AM149</f>
        <v>75114</v>
      </c>
      <c r="AH142" s="80">
        <f>+COEF_FCM!AR149</f>
        <v>89</v>
      </c>
      <c r="AI142" s="80">
        <f>+COEF_FCM!AN149</f>
        <v>61507</v>
      </c>
      <c r="AJ142" s="80">
        <f>+COEF_FCM!AS149</f>
        <v>0</v>
      </c>
      <c r="AK142" s="80">
        <f>+COEF_FCM!AO149</f>
        <v>65623</v>
      </c>
      <c r="AL142" s="80">
        <f>+COEF_FCM!AT149</f>
        <v>56.561</v>
      </c>
      <c r="AM142" s="80">
        <f>+COEF_FCM!AP149</f>
        <v>55366</v>
      </c>
      <c r="AN142" s="80">
        <f>+COEF_FCM!AU149</f>
        <v>60</v>
      </c>
      <c r="AO142" s="80">
        <f>+COEF_FCM!AQ149</f>
        <v>257610</v>
      </c>
      <c r="AP142" s="80">
        <f>+COEF_FCM!AV149</f>
        <v>205.56100000000001</v>
      </c>
      <c r="AQ142" s="80">
        <f>+_CIERRE!O142+_CIERRE!P142</f>
        <v>3159265.56</v>
      </c>
      <c r="AR142" s="80">
        <f>+_CIERRE!Q142+_CIERRE!R142</f>
        <v>3627989.432</v>
      </c>
      <c r="AS142" s="80">
        <f>+_CIERRE!S142+_CIERRE!T142</f>
        <v>3872731.4219999998</v>
      </c>
      <c r="AT142" s="80">
        <f>+_CIERRE!U142+_CIERRE!V142</f>
        <v>4540206.3380000005</v>
      </c>
      <c r="AU142" s="80">
        <f>+'CALC MEC ESTAB Y ESTIM M FINAL'!T147</f>
        <v>5076754</v>
      </c>
      <c r="AV142" s="560">
        <v>0</v>
      </c>
      <c r="AW142" s="551">
        <v>0</v>
      </c>
      <c r="AX142" s="551">
        <v>0</v>
      </c>
      <c r="AY142" s="551">
        <v>0</v>
      </c>
      <c r="AZ142" s="551">
        <v>432474.71100000001</v>
      </c>
      <c r="BA142" s="551">
        <v>456146.565</v>
      </c>
    </row>
    <row r="143" spans="1:53" ht="3" customHeight="1" x14ac:dyDescent="0.2">
      <c r="A143" s="68" t="str">
        <f>IF(LEN(+'_DATA STT PAGOS_'!M148)=4,"0"&amp;+'_DATA STT PAGOS_'!M148,+'_DATA STT PAGOS_'!M148)</f>
        <v>08101</v>
      </c>
      <c r="B143" s="68" t="str">
        <f>IF(LEN(+'_DATA STT PAGOS_'!N148)=4,"0"&amp;+'_DATA STT PAGOS_'!N148,+'_DATA STT PAGOS_'!N148)</f>
        <v>08201</v>
      </c>
      <c r="C143" s="76" t="str">
        <f>+'_DATA STT PAGOS_'!O148</f>
        <v>CONCEPCIÓN</v>
      </c>
      <c r="D143" s="80">
        <f>+'CALC MEC ESTAB Y ESTIM M FINAL'!U148</f>
        <v>11658051</v>
      </c>
      <c r="E143" s="77">
        <f>+'CALC MEC ESTAB Y ESTIM M FINAL'!Q148</f>
        <v>4.3736955486E-3</v>
      </c>
      <c r="F143" s="77">
        <f>+'CALC MEC ESTAB Y ESTIM M FINAL'!R148</f>
        <v>-2.6637800390000001E-4</v>
      </c>
      <c r="G143" s="80">
        <f>+'_Flujo con Glosa 08'!CE148</f>
        <v>535768</v>
      </c>
      <c r="H143" s="80">
        <f>+'_Flujo con Glosa 08'!CF148</f>
        <v>535768</v>
      </c>
      <c r="I143" s="80">
        <f>+'_Flujo con Glosa 08'!CG148</f>
        <v>513746</v>
      </c>
      <c r="J143" s="80">
        <f>+'_Flujo con Glosa 08'!CH148</f>
        <v>535768</v>
      </c>
      <c r="K143" s="80">
        <f>+'_Flujo con Glosa 08'!CI148</f>
        <v>1579934</v>
      </c>
      <c r="L143" s="80">
        <f>+'_Flujo con Glosa 08'!CJ148</f>
        <v>551295</v>
      </c>
      <c r="M143" s="80">
        <f>+'_Flujo con Glosa 08'!CK148</f>
        <v>959808</v>
      </c>
      <c r="N143" s="80">
        <f>+'_Flujo con Glosa 08'!CL148</f>
        <v>535768</v>
      </c>
      <c r="O143" s="80">
        <f>+'_Flujo con Glosa 08'!CM148</f>
        <v>619903</v>
      </c>
      <c r="P143" s="80">
        <f>+'_Flujo con Glosa 08'!CN148</f>
        <v>1033995</v>
      </c>
      <c r="Q143" s="80">
        <f>+'_Flujo con Glosa 08'!CO148</f>
        <v>535768</v>
      </c>
      <c r="R143" s="80">
        <f>+'_Flujo con Glosa 08'!CP148</f>
        <v>975317</v>
      </c>
      <c r="S143" s="80">
        <f t="shared" si="4"/>
        <v>8912838</v>
      </c>
      <c r="T143" s="80">
        <v>0</v>
      </c>
      <c r="U143" s="80">
        <v>0</v>
      </c>
      <c r="V143" s="80">
        <v>0</v>
      </c>
      <c r="W143" s="80">
        <v>0</v>
      </c>
      <c r="X143" s="80">
        <v>0</v>
      </c>
      <c r="Y143" s="80">
        <v>0</v>
      </c>
      <c r="Z143" s="80">
        <v>0</v>
      </c>
      <c r="AA143" s="80">
        <v>0</v>
      </c>
      <c r="AB143" s="80">
        <v>0</v>
      </c>
      <c r="AC143" s="80">
        <v>0</v>
      </c>
      <c r="AD143" s="80">
        <v>0</v>
      </c>
      <c r="AE143" s="80">
        <v>0</v>
      </c>
      <c r="AF143" s="80">
        <f t="shared" si="5"/>
        <v>0</v>
      </c>
      <c r="AG143" s="80">
        <f>+COEF_FCM!AM150</f>
        <v>2602022</v>
      </c>
      <c r="AH143" s="80">
        <f>+COEF_FCM!AR150</f>
        <v>296816</v>
      </c>
      <c r="AI143" s="80">
        <f>+COEF_FCM!AN150</f>
        <v>1791648</v>
      </c>
      <c r="AJ143" s="80">
        <f>+COEF_FCM!AS150</f>
        <v>126006</v>
      </c>
      <c r="AK143" s="80">
        <f>+COEF_FCM!AO150</f>
        <v>2129706</v>
      </c>
      <c r="AL143" s="80">
        <f>+COEF_FCM!AT150</f>
        <v>178992.995</v>
      </c>
      <c r="AM143" s="80">
        <f>+COEF_FCM!AP150</f>
        <v>1728037</v>
      </c>
      <c r="AN143" s="80">
        <f>+COEF_FCM!AU150</f>
        <v>115084</v>
      </c>
      <c r="AO143" s="80">
        <f>+COEF_FCM!AQ150</f>
        <v>8251413</v>
      </c>
      <c r="AP143" s="80">
        <f>+COEF_FCM!AV150</f>
        <v>716898.995</v>
      </c>
      <c r="AQ143" s="80">
        <f>+_CIERRE!O143+_CIERRE!P143</f>
        <v>7502554.9400000004</v>
      </c>
      <c r="AR143" s="80">
        <f>+_CIERRE!Q143+_CIERRE!R143</f>
        <v>9166103.2080000006</v>
      </c>
      <c r="AS143" s="80">
        <f>+_CIERRE!S143+_CIERRE!T143</f>
        <v>10483327.197000001</v>
      </c>
      <c r="AT143" s="80">
        <f>+_CIERRE!U143+_CIERRE!V143</f>
        <v>11027436.348999999</v>
      </c>
      <c r="AU143" s="80">
        <f>+'CALC MEC ESTAB Y ESTIM M FINAL'!T148</f>
        <v>11658051</v>
      </c>
      <c r="AV143" s="560">
        <v>0</v>
      </c>
      <c r="AW143" s="551">
        <v>0</v>
      </c>
      <c r="AX143" s="551">
        <v>0</v>
      </c>
      <c r="AY143" s="551">
        <v>0</v>
      </c>
      <c r="AZ143" s="551">
        <v>0</v>
      </c>
      <c r="BA143" s="551">
        <v>0</v>
      </c>
    </row>
    <row r="144" spans="1:53" ht="3" customHeight="1" x14ac:dyDescent="0.2">
      <c r="A144" s="68" t="str">
        <f>IF(LEN(+'_DATA STT PAGOS_'!M149)=4,"0"&amp;+'_DATA STT PAGOS_'!M149,+'_DATA STT PAGOS_'!M149)</f>
        <v>08102</v>
      </c>
      <c r="B144" s="68" t="str">
        <f>IF(LEN(+'_DATA STT PAGOS_'!N149)=4,"0"&amp;+'_DATA STT PAGOS_'!N149,+'_DATA STT PAGOS_'!N149)</f>
        <v>08207</v>
      </c>
      <c r="C144" s="76" t="str">
        <f>+'_DATA STT PAGOS_'!O149</f>
        <v>CORONEL</v>
      </c>
      <c r="D144" s="80">
        <f>+'CALC MEC ESTAB Y ESTIM M FINAL'!U149</f>
        <v>17615868</v>
      </c>
      <c r="E144" s="77">
        <f>+'CALC MEC ESTAB Y ESTIM M FINAL'!Q149</f>
        <v>4.7426669317999996E-3</v>
      </c>
      <c r="F144" s="77">
        <f>+'CALC MEC ESTAB Y ESTIM M FINAL'!R149</f>
        <v>1.4636847307000001E-3</v>
      </c>
      <c r="G144" s="80">
        <f>+'_Flujo con Glosa 08'!CE149</f>
        <v>854600</v>
      </c>
      <c r="H144" s="80">
        <f>+'_Flujo con Glosa 08'!CF149</f>
        <v>854600</v>
      </c>
      <c r="I144" s="80">
        <f>+'_Flujo con Glosa 08'!CG149</f>
        <v>776295</v>
      </c>
      <c r="J144" s="80">
        <f>+'_Flujo con Glosa 08'!CH149</f>
        <v>854600</v>
      </c>
      <c r="K144" s="80">
        <f>+'_Flujo con Glosa 08'!CI149</f>
        <v>2252267</v>
      </c>
      <c r="L144" s="80">
        <f>+'_Flujo con Glosa 08'!CJ149</f>
        <v>878063</v>
      </c>
      <c r="M144" s="80">
        <f>+'_Flujo con Glosa 08'!CK149</f>
        <v>1435235</v>
      </c>
      <c r="N144" s="80">
        <f>+'_Flujo con Glosa 08'!CL149</f>
        <v>854600</v>
      </c>
      <c r="O144" s="80">
        <f>+'_Flujo con Glosa 08'!CM149</f>
        <v>936703</v>
      </c>
      <c r="P144" s="80">
        <f>+'_Flujo con Glosa 08'!CN149</f>
        <v>1487436</v>
      </c>
      <c r="Q144" s="80">
        <f>+'_Flujo con Glosa 08'!CO149</f>
        <v>854600</v>
      </c>
      <c r="R144" s="80">
        <f>+'_Flujo con Glosa 08'!CP149</f>
        <v>1428720</v>
      </c>
      <c r="S144" s="80">
        <f t="shared" si="4"/>
        <v>13467719</v>
      </c>
      <c r="T144" s="80">
        <v>0</v>
      </c>
      <c r="U144" s="80">
        <v>0</v>
      </c>
      <c r="V144" s="80">
        <v>0</v>
      </c>
      <c r="W144" s="80">
        <v>0</v>
      </c>
      <c r="X144" s="80">
        <v>0</v>
      </c>
      <c r="Y144" s="80">
        <v>0</v>
      </c>
      <c r="Z144" s="80">
        <v>0</v>
      </c>
      <c r="AA144" s="80">
        <v>0</v>
      </c>
      <c r="AB144" s="80">
        <v>0</v>
      </c>
      <c r="AC144" s="80">
        <v>0</v>
      </c>
      <c r="AD144" s="80">
        <v>0</v>
      </c>
      <c r="AE144" s="80">
        <v>0</v>
      </c>
      <c r="AF144" s="80">
        <f t="shared" si="5"/>
        <v>0</v>
      </c>
      <c r="AG144" s="80">
        <f>+COEF_FCM!AM151</f>
        <v>704133</v>
      </c>
      <c r="AH144" s="80">
        <f>+COEF_FCM!AR151</f>
        <v>29691</v>
      </c>
      <c r="AI144" s="80">
        <f>+COEF_FCM!AN151</f>
        <v>644441</v>
      </c>
      <c r="AJ144" s="80">
        <f>+COEF_FCM!AS151</f>
        <v>20899</v>
      </c>
      <c r="AK144" s="80">
        <f>+COEF_FCM!AO151</f>
        <v>638700</v>
      </c>
      <c r="AL144" s="80">
        <f>+COEF_FCM!AT151</f>
        <v>24405.51</v>
      </c>
      <c r="AM144" s="80">
        <f>+COEF_FCM!AP151</f>
        <v>608376</v>
      </c>
      <c r="AN144" s="80">
        <f>+COEF_FCM!AU151</f>
        <v>21542</v>
      </c>
      <c r="AO144" s="80">
        <f>+COEF_FCM!AQ151</f>
        <v>2595650</v>
      </c>
      <c r="AP144" s="80">
        <f>+COEF_FCM!AV151</f>
        <v>96537.51</v>
      </c>
      <c r="AQ144" s="80">
        <f>+_CIERRE!O144+_CIERRE!P144</f>
        <v>14431821.914999999</v>
      </c>
      <c r="AR144" s="80">
        <f>+_CIERRE!Q144+_CIERRE!R144</f>
        <v>16391407.744000001</v>
      </c>
      <c r="AS144" s="80">
        <f>+_CIERRE!S144+_CIERRE!T144</f>
        <v>17452607.429000001</v>
      </c>
      <c r="AT144" s="80">
        <f>+_CIERRE!U144+_CIERRE!V144</f>
        <v>17615868.076000001</v>
      </c>
      <c r="AU144" s="80">
        <f>+'CALC MEC ESTAB Y ESTIM M FINAL'!T149</f>
        <v>17615868</v>
      </c>
      <c r="AV144" s="560">
        <v>0</v>
      </c>
      <c r="AW144" s="551">
        <v>0</v>
      </c>
      <c r="AX144" s="551">
        <v>0</v>
      </c>
      <c r="AY144" s="551">
        <v>0</v>
      </c>
      <c r="AZ144" s="551">
        <v>950475.72400000005</v>
      </c>
      <c r="BA144" s="551">
        <v>973407.58799999999</v>
      </c>
    </row>
    <row r="145" spans="1:53" ht="3" customHeight="1" x14ac:dyDescent="0.2">
      <c r="A145" s="68" t="str">
        <f>IF(LEN(+'_DATA STT PAGOS_'!M150)=4,"0"&amp;+'_DATA STT PAGOS_'!M150,+'_DATA STT PAGOS_'!M150)</f>
        <v>08103</v>
      </c>
      <c r="B145" s="68" t="str">
        <f>IF(LEN(+'_DATA STT PAGOS_'!N150)=4,"0"&amp;+'_DATA STT PAGOS_'!N150,+'_DATA STT PAGOS_'!N150)</f>
        <v>08211</v>
      </c>
      <c r="C145" s="76" t="str">
        <f>+'_DATA STT PAGOS_'!O150</f>
        <v>CHIGUAYANTE</v>
      </c>
      <c r="D145" s="80">
        <f>+'CALC MEC ESTAB Y ESTIM M FINAL'!U150</f>
        <v>12606217</v>
      </c>
      <c r="E145" s="77">
        <f>+'CALC MEC ESTAB Y ESTIM M FINAL'!Q150</f>
        <v>3.8164753161999999E-3</v>
      </c>
      <c r="F145" s="77">
        <f>+'CALC MEC ESTAB Y ESTIM M FINAL'!R150</f>
        <v>6.2489614720000002E-4</v>
      </c>
      <c r="G145" s="80">
        <f>+'_Flujo con Glosa 08'!CE150</f>
        <v>611566</v>
      </c>
      <c r="H145" s="80">
        <f>+'_Flujo con Glosa 08'!CF150</f>
        <v>611566</v>
      </c>
      <c r="I145" s="80">
        <f>+'_Flujo con Glosa 08'!CG150</f>
        <v>555530</v>
      </c>
      <c r="J145" s="80">
        <f>+'_Flujo con Glosa 08'!CH150</f>
        <v>611566</v>
      </c>
      <c r="K145" s="80">
        <f>+'_Flujo con Glosa 08'!CI150</f>
        <v>1611763</v>
      </c>
      <c r="L145" s="80">
        <f>+'_Flujo con Glosa 08'!CJ150</f>
        <v>628356</v>
      </c>
      <c r="M145" s="80">
        <f>+'_Flujo con Glosa 08'!CK150</f>
        <v>1027078</v>
      </c>
      <c r="N145" s="80">
        <f>+'_Flujo con Glosa 08'!CL150</f>
        <v>611566</v>
      </c>
      <c r="O145" s="80">
        <f>+'_Flujo con Glosa 08'!CM150</f>
        <v>670320</v>
      </c>
      <c r="P145" s="80">
        <f>+'_Flujo con Glosa 08'!CN150</f>
        <v>1064437</v>
      </c>
      <c r="Q145" s="80">
        <f>+'_Flujo con Glosa 08'!CO150</f>
        <v>611566</v>
      </c>
      <c r="R145" s="80">
        <f>+'_Flujo con Glosa 08'!CP150</f>
        <v>1022417</v>
      </c>
      <c r="S145" s="80">
        <f t="shared" si="4"/>
        <v>9637731</v>
      </c>
      <c r="T145" s="80">
        <v>0</v>
      </c>
      <c r="U145" s="80">
        <v>0</v>
      </c>
      <c r="V145" s="80">
        <v>0</v>
      </c>
      <c r="W145" s="80">
        <v>0</v>
      </c>
      <c r="X145" s="80">
        <v>0</v>
      </c>
      <c r="Y145" s="80">
        <v>0</v>
      </c>
      <c r="Z145" s="80">
        <v>0</v>
      </c>
      <c r="AA145" s="80">
        <v>0</v>
      </c>
      <c r="AB145" s="80">
        <v>0</v>
      </c>
      <c r="AC145" s="80">
        <v>0</v>
      </c>
      <c r="AD145" s="80">
        <v>0</v>
      </c>
      <c r="AE145" s="80">
        <v>0</v>
      </c>
      <c r="AF145" s="80">
        <f t="shared" si="5"/>
        <v>0</v>
      </c>
      <c r="AG145" s="80">
        <f>+COEF_FCM!AM152</f>
        <v>359038</v>
      </c>
      <c r="AH145" s="80">
        <f>+COEF_FCM!AR152</f>
        <v>54429</v>
      </c>
      <c r="AI145" s="80">
        <f>+COEF_FCM!AN152</f>
        <v>229411</v>
      </c>
      <c r="AJ145" s="80">
        <f>+COEF_FCM!AS152</f>
        <v>27354</v>
      </c>
      <c r="AK145" s="80">
        <f>+COEF_FCM!AO152</f>
        <v>264462</v>
      </c>
      <c r="AL145" s="80">
        <f>+COEF_FCM!AT152</f>
        <v>33568.438000000002</v>
      </c>
      <c r="AM145" s="80">
        <f>+COEF_FCM!AP152</f>
        <v>222993</v>
      </c>
      <c r="AN145" s="80">
        <f>+COEF_FCM!AU152</f>
        <v>26134</v>
      </c>
      <c r="AO145" s="80">
        <f>+COEF_FCM!AQ152</f>
        <v>1075904</v>
      </c>
      <c r="AP145" s="80">
        <f>+COEF_FCM!AV152</f>
        <v>141485.43799999999</v>
      </c>
      <c r="AQ145" s="80">
        <f>+_CIERRE!O145+_CIERRE!P145</f>
        <v>11140922.495999999</v>
      </c>
      <c r="AR145" s="80">
        <f>+_CIERRE!Q145+_CIERRE!R145</f>
        <v>12078775.331</v>
      </c>
      <c r="AS145" s="80">
        <f>+_CIERRE!S145+_CIERRE!T145</f>
        <v>12489385.465</v>
      </c>
      <c r="AT145" s="80">
        <f>+_CIERRE!U145+_CIERRE!V145</f>
        <v>12606216.755999999</v>
      </c>
      <c r="AU145" s="80">
        <f>+'CALC MEC ESTAB Y ESTIM M FINAL'!T150</f>
        <v>12606217</v>
      </c>
      <c r="AV145" s="560">
        <v>0</v>
      </c>
      <c r="AW145" s="551">
        <v>0</v>
      </c>
      <c r="AX145" s="551">
        <v>0</v>
      </c>
      <c r="AY145" s="551">
        <v>0</v>
      </c>
      <c r="AZ145" s="551">
        <v>823179.80900000001</v>
      </c>
      <c r="BA145" s="551">
        <v>827583.92</v>
      </c>
    </row>
    <row r="146" spans="1:53" ht="3" customHeight="1" x14ac:dyDescent="0.2">
      <c r="A146" s="68" t="str">
        <f>IF(LEN(+'_DATA STT PAGOS_'!M151)=4,"0"&amp;+'_DATA STT PAGOS_'!M151,+'_DATA STT PAGOS_'!M151)</f>
        <v>08104</v>
      </c>
      <c r="B146" s="68" t="str">
        <f>IF(LEN(+'_DATA STT PAGOS_'!N151)=4,"0"&amp;+'_DATA STT PAGOS_'!N151,+'_DATA STT PAGOS_'!N151)</f>
        <v>08204</v>
      </c>
      <c r="C146" s="76" t="str">
        <f>+'_DATA STT PAGOS_'!O151</f>
        <v>FLORIDA</v>
      </c>
      <c r="D146" s="80">
        <f>+'CALC MEC ESTAB Y ESTIM M FINAL'!U151</f>
        <v>5077747</v>
      </c>
      <c r="E146" s="77">
        <f>+'CALC MEC ESTAB Y ESTIM M FINAL'!Q151</f>
        <v>2.0428292539999998E-3</v>
      </c>
      <c r="F146" s="77">
        <f>+'CALC MEC ESTAB Y ESTIM M FINAL'!R151</f>
        <v>-2.5385775109999998E-4</v>
      </c>
      <c r="G146" s="80">
        <f>+'_Flujo con Glosa 08'!CE151</f>
        <v>217182</v>
      </c>
      <c r="H146" s="80">
        <f>+'_Flujo con Glosa 08'!CF151</f>
        <v>217182</v>
      </c>
      <c r="I146" s="80">
        <f>+'_Flujo con Glosa 08'!CG151</f>
        <v>223766</v>
      </c>
      <c r="J146" s="80">
        <f>+'_Flujo con Glosa 08'!CH151</f>
        <v>217182</v>
      </c>
      <c r="K146" s="80">
        <f>+'_Flujo con Glosa 08'!CI151</f>
        <v>736679</v>
      </c>
      <c r="L146" s="80">
        <f>+'_Flujo con Glosa 08'!CJ151</f>
        <v>223945</v>
      </c>
      <c r="M146" s="80">
        <f>+'_Flujo con Glosa 08'!CK151</f>
        <v>434226</v>
      </c>
      <c r="N146" s="80">
        <f>+'_Flujo con Glosa 08'!CL151</f>
        <v>217182</v>
      </c>
      <c r="O146" s="80">
        <f>+'_Flujo con Glosa 08'!CM151</f>
        <v>270004</v>
      </c>
      <c r="P146" s="80">
        <f>+'_Flujo con Glosa 08'!CN151</f>
        <v>466539</v>
      </c>
      <c r="Q146" s="80">
        <f>+'_Flujo con Glosa 08'!CO151</f>
        <v>217182</v>
      </c>
      <c r="R146" s="80">
        <f>+'_Flujo con Glosa 08'!CP151</f>
        <v>440982</v>
      </c>
      <c r="S146" s="80">
        <f t="shared" si="4"/>
        <v>3882051</v>
      </c>
      <c r="T146" s="80">
        <v>0</v>
      </c>
      <c r="U146" s="80">
        <v>0</v>
      </c>
      <c r="V146" s="80">
        <v>0</v>
      </c>
      <c r="W146" s="80">
        <v>0</v>
      </c>
      <c r="X146" s="80">
        <v>0</v>
      </c>
      <c r="Y146" s="80">
        <v>0</v>
      </c>
      <c r="Z146" s="80">
        <v>0</v>
      </c>
      <c r="AA146" s="80">
        <v>0</v>
      </c>
      <c r="AB146" s="80">
        <v>0</v>
      </c>
      <c r="AC146" s="80">
        <v>0</v>
      </c>
      <c r="AD146" s="80">
        <v>0</v>
      </c>
      <c r="AE146" s="80">
        <v>0</v>
      </c>
      <c r="AF146" s="80">
        <f t="shared" si="5"/>
        <v>0</v>
      </c>
      <c r="AG146" s="80">
        <f>+COEF_FCM!AM153</f>
        <v>41639</v>
      </c>
      <c r="AH146" s="80">
        <f>+COEF_FCM!AR153</f>
        <v>2732</v>
      </c>
      <c r="AI146" s="80">
        <f>+COEF_FCM!AN153</f>
        <v>23812</v>
      </c>
      <c r="AJ146" s="80">
        <f>+COEF_FCM!AS153</f>
        <v>800</v>
      </c>
      <c r="AK146" s="80">
        <f>+COEF_FCM!AO153</f>
        <v>33778</v>
      </c>
      <c r="AL146" s="80">
        <f>+COEF_FCM!AT153</f>
        <v>1854.52</v>
      </c>
      <c r="AM146" s="80">
        <f>+COEF_FCM!AP153</f>
        <v>15854</v>
      </c>
      <c r="AN146" s="80">
        <f>+COEF_FCM!AU153</f>
        <v>1165</v>
      </c>
      <c r="AO146" s="80">
        <f>+COEF_FCM!AQ153</f>
        <v>115083</v>
      </c>
      <c r="AP146" s="80">
        <f>+COEF_FCM!AV153</f>
        <v>6551.52</v>
      </c>
      <c r="AQ146" s="80">
        <f>+_CIERRE!O146+_CIERRE!P146</f>
        <v>3457393.67</v>
      </c>
      <c r="AR146" s="80">
        <f>+_CIERRE!Q146+_CIERRE!R146</f>
        <v>4073396.406</v>
      </c>
      <c r="AS146" s="80">
        <f>+_CIERRE!S146+_CIERRE!T146</f>
        <v>4435282.1849999996</v>
      </c>
      <c r="AT146" s="80">
        <f>+_CIERRE!U146+_CIERRE!V146</f>
        <v>4476772.3229999999</v>
      </c>
      <c r="AU146" s="80">
        <f>+'CALC MEC ESTAB Y ESTIM M FINAL'!T151</f>
        <v>5077747</v>
      </c>
      <c r="AV146" s="560">
        <v>0</v>
      </c>
      <c r="AW146" s="551">
        <v>0</v>
      </c>
      <c r="AX146" s="551">
        <v>0</v>
      </c>
      <c r="AY146" s="551">
        <v>0</v>
      </c>
      <c r="AZ146" s="551">
        <v>436248.26</v>
      </c>
      <c r="BA146" s="551">
        <v>442675.57</v>
      </c>
    </row>
    <row r="147" spans="1:53" ht="3" customHeight="1" x14ac:dyDescent="0.2">
      <c r="A147" s="68" t="str">
        <f>IF(LEN(+'_DATA STT PAGOS_'!M152)=4,"0"&amp;+'_DATA STT PAGOS_'!M152,+'_DATA STT PAGOS_'!M152)</f>
        <v>08105</v>
      </c>
      <c r="B147" s="68" t="str">
        <f>IF(LEN(+'_DATA STT PAGOS_'!N152)=4,"0"&amp;+'_DATA STT PAGOS_'!N152,+'_DATA STT PAGOS_'!N152)</f>
        <v>08203</v>
      </c>
      <c r="C147" s="76" t="str">
        <f>+'_DATA STT PAGOS_'!O152</f>
        <v>HUALQUI</v>
      </c>
      <c r="D147" s="80">
        <f>+'CALC MEC ESTAB Y ESTIM M FINAL'!U152</f>
        <v>7276590</v>
      </c>
      <c r="E147" s="77">
        <f>+'CALC MEC ESTAB Y ESTIM M FINAL'!Q152</f>
        <v>2.7543084669E-3</v>
      </c>
      <c r="F147" s="77">
        <f>+'CALC MEC ESTAB Y ESTIM M FINAL'!R152</f>
        <v>-1.9064944709999999E-4</v>
      </c>
      <c r="G147" s="80">
        <f>+'_Flujo con Glosa 08'!CE152</f>
        <v>331123</v>
      </c>
      <c r="H147" s="80">
        <f>+'_Flujo con Glosa 08'!CF152</f>
        <v>331123</v>
      </c>
      <c r="I147" s="80">
        <f>+'_Flujo con Glosa 08'!CG152</f>
        <v>320664</v>
      </c>
      <c r="J147" s="80">
        <f>+'_Flujo con Glosa 08'!CH152</f>
        <v>331123</v>
      </c>
      <c r="K147" s="80">
        <f>+'_Flujo con Glosa 08'!CI152</f>
        <v>996005</v>
      </c>
      <c r="L147" s="80">
        <f>+'_Flujo con Glosa 08'!CJ152</f>
        <v>340815</v>
      </c>
      <c r="M147" s="80">
        <f>+'_Flujo con Glosa 08'!CK152</f>
        <v>602369</v>
      </c>
      <c r="N147" s="80">
        <f>+'_Flujo con Glosa 08'!CL152</f>
        <v>331123</v>
      </c>
      <c r="O147" s="80">
        <f>+'_Flujo con Glosa 08'!CM152</f>
        <v>386924</v>
      </c>
      <c r="P147" s="80">
        <f>+'_Flujo con Glosa 08'!CN152</f>
        <v>648674</v>
      </c>
      <c r="Q147" s="80">
        <f>+'_Flujo con Glosa 08'!CO152</f>
        <v>331123</v>
      </c>
      <c r="R147" s="80">
        <f>+'_Flujo con Glosa 08'!CP152</f>
        <v>612049</v>
      </c>
      <c r="S147" s="80">
        <f t="shared" si="4"/>
        <v>5563115</v>
      </c>
      <c r="T147" s="80">
        <v>0</v>
      </c>
      <c r="U147" s="80">
        <v>0</v>
      </c>
      <c r="V147" s="80">
        <v>0</v>
      </c>
      <c r="W147" s="80">
        <v>0</v>
      </c>
      <c r="X147" s="80">
        <v>0</v>
      </c>
      <c r="Y147" s="80">
        <v>0</v>
      </c>
      <c r="Z147" s="80">
        <v>0</v>
      </c>
      <c r="AA147" s="80">
        <v>0</v>
      </c>
      <c r="AB147" s="80">
        <v>0</v>
      </c>
      <c r="AC147" s="80">
        <v>0</v>
      </c>
      <c r="AD147" s="80">
        <v>0</v>
      </c>
      <c r="AE147" s="80">
        <v>0</v>
      </c>
      <c r="AF147" s="80">
        <f t="shared" si="5"/>
        <v>0</v>
      </c>
      <c r="AG147" s="80">
        <f>+COEF_FCM!AM154</f>
        <v>42088</v>
      </c>
      <c r="AH147" s="80">
        <f>+COEF_FCM!AR154</f>
        <v>8565</v>
      </c>
      <c r="AI147" s="80">
        <f>+COEF_FCM!AN154</f>
        <v>28862</v>
      </c>
      <c r="AJ147" s="80">
        <f>+COEF_FCM!AS154</f>
        <v>4162</v>
      </c>
      <c r="AK147" s="80">
        <f>+COEF_FCM!AO154</f>
        <v>35918</v>
      </c>
      <c r="AL147" s="80">
        <f>+COEF_FCM!AT154</f>
        <v>6111.7610000000004</v>
      </c>
      <c r="AM147" s="80">
        <f>+COEF_FCM!AP154</f>
        <v>23358</v>
      </c>
      <c r="AN147" s="80">
        <f>+COEF_FCM!AU154</f>
        <v>4213</v>
      </c>
      <c r="AO147" s="80">
        <f>+COEF_FCM!AQ154</f>
        <v>130226</v>
      </c>
      <c r="AP147" s="80">
        <f>+COEF_FCM!AV154</f>
        <v>23051.760999999999</v>
      </c>
      <c r="AQ147" s="80">
        <f>+_CIERRE!O147+_CIERRE!P147</f>
        <v>5389309.3260000004</v>
      </c>
      <c r="AR147" s="80">
        <f>+_CIERRE!Q147+_CIERRE!R147</f>
        <v>6184185.1909999996</v>
      </c>
      <c r="AS147" s="80">
        <f>+_CIERRE!S147+_CIERRE!T147</f>
        <v>6736689.8660000004</v>
      </c>
      <c r="AT147" s="80">
        <f>+_CIERRE!U147+_CIERRE!V147</f>
        <v>6825252.3320000004</v>
      </c>
      <c r="AU147" s="80">
        <f>+'CALC MEC ESTAB Y ESTIM M FINAL'!T152</f>
        <v>7276590</v>
      </c>
      <c r="AV147" s="560">
        <v>0</v>
      </c>
      <c r="AW147" s="551">
        <v>0</v>
      </c>
      <c r="AX147" s="551">
        <v>0</v>
      </c>
      <c r="AY147" s="551">
        <v>0</v>
      </c>
      <c r="AZ147" s="551">
        <v>618240.28</v>
      </c>
      <c r="BA147" s="551">
        <v>648915.23300000001</v>
      </c>
    </row>
    <row r="148" spans="1:53" ht="3" customHeight="1" x14ac:dyDescent="0.2">
      <c r="A148" s="68" t="str">
        <f>IF(LEN(+'_DATA STT PAGOS_'!M153)=4,"0"&amp;+'_DATA STT PAGOS_'!M153,+'_DATA STT PAGOS_'!M153)</f>
        <v>08106</v>
      </c>
      <c r="B148" s="68" t="str">
        <f>IF(LEN(+'_DATA STT PAGOS_'!N153)=4,"0"&amp;+'_DATA STT PAGOS_'!N153,+'_DATA STT PAGOS_'!N153)</f>
        <v>08208</v>
      </c>
      <c r="C148" s="76" t="str">
        <f>+'_DATA STT PAGOS_'!O153</f>
        <v>LOTA</v>
      </c>
      <c r="D148" s="80">
        <f>+'CALC MEC ESTAB Y ESTIM M FINAL'!U153</f>
        <v>11425335</v>
      </c>
      <c r="E148" s="77">
        <f>+'CALC MEC ESTAB Y ESTIM M FINAL'!Q153</f>
        <v>3.5619149424000003E-3</v>
      </c>
      <c r="F148" s="77">
        <f>+'CALC MEC ESTAB Y ESTIM M FINAL'!R153</f>
        <v>4.6341317789999999E-4</v>
      </c>
      <c r="G148" s="80">
        <f>+'_Flujo con Glosa 08'!CE153</f>
        <v>554278</v>
      </c>
      <c r="H148" s="80">
        <f>+'_Flujo con Glosa 08'!CF153</f>
        <v>554278</v>
      </c>
      <c r="I148" s="80">
        <f>+'_Flujo con Glosa 08'!CG153</f>
        <v>503491</v>
      </c>
      <c r="J148" s="80">
        <f>+'_Flujo con Glosa 08'!CH153</f>
        <v>554278</v>
      </c>
      <c r="K148" s="80">
        <f>+'_Flujo con Glosa 08'!CI153</f>
        <v>1460782</v>
      </c>
      <c r="L148" s="80">
        <f>+'_Flujo con Glosa 08'!CJ153</f>
        <v>569495</v>
      </c>
      <c r="M148" s="80">
        <f>+'_Flujo con Glosa 08'!CK153</f>
        <v>930867</v>
      </c>
      <c r="N148" s="80">
        <f>+'_Flujo con Glosa 08'!CL153</f>
        <v>554278</v>
      </c>
      <c r="O148" s="80">
        <f>+'_Flujo con Glosa 08'!CM153</f>
        <v>607528</v>
      </c>
      <c r="P148" s="80">
        <f>+'_Flujo con Glosa 08'!CN153</f>
        <v>964726</v>
      </c>
      <c r="Q148" s="80">
        <f>+'_Flujo con Glosa 08'!CO153</f>
        <v>554278</v>
      </c>
      <c r="R148" s="80">
        <f>+'_Flujo con Glosa 08'!CP153</f>
        <v>926643</v>
      </c>
      <c r="S148" s="80">
        <f t="shared" si="4"/>
        <v>8734922</v>
      </c>
      <c r="T148" s="80">
        <v>0</v>
      </c>
      <c r="U148" s="80">
        <v>0</v>
      </c>
      <c r="V148" s="80">
        <v>0</v>
      </c>
      <c r="W148" s="80">
        <v>0</v>
      </c>
      <c r="X148" s="80">
        <v>0</v>
      </c>
      <c r="Y148" s="80">
        <v>0</v>
      </c>
      <c r="Z148" s="80">
        <v>0</v>
      </c>
      <c r="AA148" s="80">
        <v>0</v>
      </c>
      <c r="AB148" s="80">
        <v>0</v>
      </c>
      <c r="AC148" s="80">
        <v>0</v>
      </c>
      <c r="AD148" s="80">
        <v>0</v>
      </c>
      <c r="AE148" s="80">
        <v>0</v>
      </c>
      <c r="AF148" s="80">
        <f t="shared" si="5"/>
        <v>0</v>
      </c>
      <c r="AG148" s="80">
        <f>+COEF_FCM!AM155</f>
        <v>56244</v>
      </c>
      <c r="AH148" s="80">
        <f>+COEF_FCM!AR155</f>
        <v>2996</v>
      </c>
      <c r="AI148" s="80">
        <f>+COEF_FCM!AN155</f>
        <v>38939</v>
      </c>
      <c r="AJ148" s="80">
        <f>+COEF_FCM!AS155</f>
        <v>1574</v>
      </c>
      <c r="AK148" s="80">
        <f>+COEF_FCM!AO155</f>
        <v>44641</v>
      </c>
      <c r="AL148" s="80">
        <f>+COEF_FCM!AT155</f>
        <v>1932.7570000000001</v>
      </c>
      <c r="AM148" s="80">
        <f>+COEF_FCM!AP155</f>
        <v>15930</v>
      </c>
      <c r="AN148" s="80">
        <f>+COEF_FCM!AU155</f>
        <v>1426</v>
      </c>
      <c r="AO148" s="80">
        <f>+COEF_FCM!AQ155</f>
        <v>155754</v>
      </c>
      <c r="AP148" s="80">
        <f>+COEF_FCM!AV155</f>
        <v>7928.7569999999996</v>
      </c>
      <c r="AQ148" s="80">
        <f>+_CIERRE!O148+_CIERRE!P148</f>
        <v>9250607.2760000005</v>
      </c>
      <c r="AR148" s="80">
        <f>+_CIERRE!Q148+_CIERRE!R148</f>
        <v>10334652.812000001</v>
      </c>
      <c r="AS148" s="80">
        <f>+_CIERRE!S148+_CIERRE!T148</f>
        <v>11319447.148</v>
      </c>
      <c r="AT148" s="80">
        <f>+_CIERRE!U148+_CIERRE!V148</f>
        <v>11425335.446</v>
      </c>
      <c r="AU148" s="80">
        <f>+'CALC MEC ESTAB Y ESTIM M FINAL'!T153</f>
        <v>11425335</v>
      </c>
      <c r="AV148" s="560">
        <v>0</v>
      </c>
      <c r="AW148" s="551">
        <v>0</v>
      </c>
      <c r="AX148" s="551">
        <v>0</v>
      </c>
      <c r="AY148" s="551">
        <v>0</v>
      </c>
      <c r="AZ148" s="551">
        <v>839703.62600000005</v>
      </c>
      <c r="BA148" s="551">
        <v>827547.82200000004</v>
      </c>
    </row>
    <row r="149" spans="1:53" ht="3" customHeight="1" x14ac:dyDescent="0.2">
      <c r="A149" s="68" t="str">
        <f>IF(LEN(+'_DATA STT PAGOS_'!M154)=4,"0"&amp;+'_DATA STT PAGOS_'!M154,+'_DATA STT PAGOS_'!M154)</f>
        <v>08107</v>
      </c>
      <c r="B149" s="68" t="str">
        <f>IF(LEN(+'_DATA STT PAGOS_'!N154)=4,"0"&amp;+'_DATA STT PAGOS_'!N154,+'_DATA STT PAGOS_'!N154)</f>
        <v>08202</v>
      </c>
      <c r="C149" s="76" t="str">
        <f>+'_DATA STT PAGOS_'!O154</f>
        <v>PENCO</v>
      </c>
      <c r="D149" s="80">
        <f>+'CALC MEC ESTAB Y ESTIM M FINAL'!U154</f>
        <v>9084713</v>
      </c>
      <c r="E149" s="77">
        <f>+'CALC MEC ESTAB Y ESTIM M FINAL'!Q154</f>
        <v>3.4427829025000002E-3</v>
      </c>
      <c r="F149" s="77">
        <f>+'CALC MEC ESTAB Y ESTIM M FINAL'!R154</f>
        <v>-2.4209356850000001E-4</v>
      </c>
      <c r="G149" s="80">
        <f>+'_Flujo con Glosa 08'!CE154</f>
        <v>413082</v>
      </c>
      <c r="H149" s="80">
        <f>+'_Flujo con Glosa 08'!CF154</f>
        <v>413082</v>
      </c>
      <c r="I149" s="80">
        <f>+'_Flujo con Glosa 08'!CG154</f>
        <v>400344</v>
      </c>
      <c r="J149" s="80">
        <f>+'_Flujo con Glosa 08'!CH154</f>
        <v>413082</v>
      </c>
      <c r="K149" s="80">
        <f>+'_Flujo con Glosa 08'!CI154</f>
        <v>1244458</v>
      </c>
      <c r="L149" s="80">
        <f>+'_Flujo con Glosa 08'!CJ154</f>
        <v>425182</v>
      </c>
      <c r="M149" s="80">
        <f>+'_Flujo con Glosa 08'!CK154</f>
        <v>752368</v>
      </c>
      <c r="N149" s="80">
        <f>+'_Flujo con Glosa 08'!CL154</f>
        <v>413082</v>
      </c>
      <c r="O149" s="80">
        <f>+'_Flujo con Glosa 08'!CM154</f>
        <v>483069</v>
      </c>
      <c r="P149" s="80">
        <f>+'_Flujo con Glosa 08'!CN154</f>
        <v>810180</v>
      </c>
      <c r="Q149" s="80">
        <f>+'_Flujo con Glosa 08'!CO154</f>
        <v>413082</v>
      </c>
      <c r="R149" s="80">
        <f>+'_Flujo con Glosa 08'!CP154</f>
        <v>764454</v>
      </c>
      <c r="S149" s="80">
        <f t="shared" si="4"/>
        <v>6945465</v>
      </c>
      <c r="T149" s="80">
        <v>0</v>
      </c>
      <c r="U149" s="80">
        <v>0</v>
      </c>
      <c r="V149" s="80">
        <v>0</v>
      </c>
      <c r="W149" s="80">
        <v>0</v>
      </c>
      <c r="X149" s="80">
        <v>0</v>
      </c>
      <c r="Y149" s="80">
        <v>0</v>
      </c>
      <c r="Z149" s="80">
        <v>0</v>
      </c>
      <c r="AA149" s="80">
        <v>0</v>
      </c>
      <c r="AB149" s="80">
        <v>0</v>
      </c>
      <c r="AC149" s="80">
        <v>0</v>
      </c>
      <c r="AD149" s="80">
        <v>0</v>
      </c>
      <c r="AE149" s="80">
        <v>0</v>
      </c>
      <c r="AF149" s="80">
        <f t="shared" si="5"/>
        <v>0</v>
      </c>
      <c r="AG149" s="80">
        <f>+COEF_FCM!AM156</f>
        <v>204519</v>
      </c>
      <c r="AH149" s="80">
        <f>+COEF_FCM!AR156</f>
        <v>4629</v>
      </c>
      <c r="AI149" s="80">
        <f>+COEF_FCM!AN156</f>
        <v>187405</v>
      </c>
      <c r="AJ149" s="80">
        <f>+COEF_FCM!AS156</f>
        <v>2979</v>
      </c>
      <c r="AK149" s="80">
        <f>+COEF_FCM!AO156</f>
        <v>182042</v>
      </c>
      <c r="AL149" s="80">
        <f>+COEF_FCM!AT156</f>
        <v>3262.2080000000001</v>
      </c>
      <c r="AM149" s="80">
        <f>+COEF_FCM!AP156</f>
        <v>171506</v>
      </c>
      <c r="AN149" s="80">
        <f>+COEF_FCM!AU156</f>
        <v>2405</v>
      </c>
      <c r="AO149" s="80">
        <f>+COEF_FCM!AQ156</f>
        <v>745472</v>
      </c>
      <c r="AP149" s="80">
        <f>+COEF_FCM!AV156</f>
        <v>13275.208000000001</v>
      </c>
      <c r="AQ149" s="80">
        <f>+_CIERRE!O149+_CIERRE!P149</f>
        <v>6533319.3279999997</v>
      </c>
      <c r="AR149" s="80">
        <f>+_CIERRE!Q149+_CIERRE!R149</f>
        <v>7578624.9919999996</v>
      </c>
      <c r="AS149" s="80">
        <f>+_CIERRE!S149+_CIERRE!T149</f>
        <v>8432705.9399999995</v>
      </c>
      <c r="AT149" s="80">
        <f>+_CIERRE!U149+_CIERRE!V149</f>
        <v>8511589.2300000004</v>
      </c>
      <c r="AU149" s="80">
        <f>+'CALC MEC ESTAB Y ESTIM M FINAL'!T154</f>
        <v>9084713</v>
      </c>
      <c r="AV149" s="560">
        <v>0</v>
      </c>
      <c r="AW149" s="551">
        <v>0</v>
      </c>
      <c r="AX149" s="551">
        <v>0</v>
      </c>
      <c r="AY149" s="551">
        <v>0</v>
      </c>
      <c r="AZ149" s="551">
        <v>612765.46299999999</v>
      </c>
      <c r="BA149" s="551">
        <v>666484.11600000004</v>
      </c>
    </row>
    <row r="150" spans="1:53" ht="3" customHeight="1" x14ac:dyDescent="0.2">
      <c r="A150" s="68" t="str">
        <f>IF(LEN(+'_DATA STT PAGOS_'!M155)=4,"0"&amp;+'_DATA STT PAGOS_'!M155,+'_DATA STT PAGOS_'!M155)</f>
        <v>08108</v>
      </c>
      <c r="B150" s="68" t="str">
        <f>IF(LEN(+'_DATA STT PAGOS_'!N155)=4,"0"&amp;+'_DATA STT PAGOS_'!N155,+'_DATA STT PAGOS_'!N155)</f>
        <v>08210</v>
      </c>
      <c r="C150" s="76" t="str">
        <f>+'_DATA STT PAGOS_'!O155</f>
        <v>SAN PEDRO DE LA PAZ</v>
      </c>
      <c r="D150" s="80">
        <f>+'CALC MEC ESTAB Y ESTIM M FINAL'!U155</f>
        <v>12832876</v>
      </c>
      <c r="E150" s="77">
        <f>+'CALC MEC ESTAB Y ESTIM M FINAL'!Q155</f>
        <v>4.9137246795999999E-3</v>
      </c>
      <c r="F150" s="77">
        <f>+'CALC MEC ESTAB Y ESTIM M FINAL'!R155</f>
        <v>-3.9249760959999999E-4</v>
      </c>
      <c r="G150" s="80">
        <f>+'_Flujo con Glosa 08'!CE155</f>
        <v>578452</v>
      </c>
      <c r="H150" s="80">
        <f>+'_Flujo con Glosa 08'!CF155</f>
        <v>578452</v>
      </c>
      <c r="I150" s="80">
        <f>+'_Flujo con Glosa 08'!CG155</f>
        <v>565518</v>
      </c>
      <c r="J150" s="80">
        <f>+'_Flujo con Glosa 08'!CH155</f>
        <v>578452</v>
      </c>
      <c r="K150" s="80">
        <f>+'_Flujo con Glosa 08'!CI155</f>
        <v>1773071</v>
      </c>
      <c r="L150" s="80">
        <f>+'_Flujo con Glosa 08'!CJ155</f>
        <v>595544</v>
      </c>
      <c r="M150" s="80">
        <f>+'_Flujo con Glosa 08'!CK155</f>
        <v>1067838</v>
      </c>
      <c r="N150" s="80">
        <f>+'_Flujo con Glosa 08'!CL155</f>
        <v>578452</v>
      </c>
      <c r="O150" s="80">
        <f>+'_Flujo con Glosa 08'!CM155</f>
        <v>682373</v>
      </c>
      <c r="P150" s="80">
        <f>+'_Flujo con Glosa 08'!CN155</f>
        <v>1149502</v>
      </c>
      <c r="Q150" s="80">
        <f>+'_Flujo con Glosa 08'!CO155</f>
        <v>578452</v>
      </c>
      <c r="R150" s="80">
        <f>+'_Flujo con Glosa 08'!CP155</f>
        <v>1084910</v>
      </c>
      <c r="S150" s="80">
        <f t="shared" si="4"/>
        <v>9811016</v>
      </c>
      <c r="T150" s="80">
        <v>0</v>
      </c>
      <c r="U150" s="80">
        <v>0</v>
      </c>
      <c r="V150" s="80">
        <v>0</v>
      </c>
      <c r="W150" s="80">
        <v>0</v>
      </c>
      <c r="X150" s="80">
        <v>0</v>
      </c>
      <c r="Y150" s="80">
        <v>0</v>
      </c>
      <c r="Z150" s="80">
        <v>0</v>
      </c>
      <c r="AA150" s="80">
        <v>0</v>
      </c>
      <c r="AB150" s="80">
        <v>0</v>
      </c>
      <c r="AC150" s="80">
        <v>0</v>
      </c>
      <c r="AD150" s="80">
        <v>0</v>
      </c>
      <c r="AE150" s="80">
        <v>0</v>
      </c>
      <c r="AF150" s="80">
        <f t="shared" si="5"/>
        <v>0</v>
      </c>
      <c r="AG150" s="80">
        <f>+COEF_FCM!AM157</f>
        <v>1302836</v>
      </c>
      <c r="AH150" s="80">
        <f>+COEF_FCM!AR157</f>
        <v>142314</v>
      </c>
      <c r="AI150" s="80">
        <f>+COEF_FCM!AN157</f>
        <v>949415</v>
      </c>
      <c r="AJ150" s="80">
        <f>+COEF_FCM!AS157</f>
        <v>65134</v>
      </c>
      <c r="AK150" s="80">
        <f>+COEF_FCM!AO157</f>
        <v>1150918</v>
      </c>
      <c r="AL150" s="80">
        <f>+COEF_FCM!AT157</f>
        <v>99915.736000000004</v>
      </c>
      <c r="AM150" s="80">
        <f>+COEF_FCM!AP157</f>
        <v>916536</v>
      </c>
      <c r="AN150" s="80">
        <f>+COEF_FCM!AU157</f>
        <v>62663</v>
      </c>
      <c r="AO150" s="80">
        <f>+COEF_FCM!AQ157</f>
        <v>4319705</v>
      </c>
      <c r="AP150" s="80">
        <f>+COEF_FCM!AV157</f>
        <v>370026.73600000003</v>
      </c>
      <c r="AQ150" s="80">
        <f>+_CIERRE!O150+_CIERRE!P150</f>
        <v>7648246.2340000002</v>
      </c>
      <c r="AR150" s="80">
        <f>+_CIERRE!Q150+_CIERRE!R150</f>
        <v>9003615.6860000007</v>
      </c>
      <c r="AS150" s="80">
        <f>+_CIERRE!S150+_CIERRE!T150</f>
        <v>10314776.454</v>
      </c>
      <c r="AT150" s="80">
        <f>+_CIERRE!U150+_CIERRE!V150</f>
        <v>11903690.157</v>
      </c>
      <c r="AU150" s="80">
        <f>+'CALC MEC ESTAB Y ESTIM M FINAL'!T155</f>
        <v>12832876</v>
      </c>
      <c r="AV150" s="560">
        <v>0</v>
      </c>
      <c r="AW150" s="551">
        <v>0</v>
      </c>
      <c r="AX150" s="551">
        <v>0</v>
      </c>
      <c r="AY150" s="551">
        <v>0</v>
      </c>
      <c r="AZ150" s="551">
        <v>0</v>
      </c>
      <c r="BA150" s="551">
        <v>0</v>
      </c>
    </row>
    <row r="151" spans="1:53" ht="3" customHeight="1" x14ac:dyDescent="0.2">
      <c r="A151" s="68" t="str">
        <f>IF(LEN(+'_DATA STT PAGOS_'!M156)=4,"0"&amp;+'_DATA STT PAGOS_'!M156,+'_DATA STT PAGOS_'!M156)</f>
        <v>08109</v>
      </c>
      <c r="B151" s="68" t="str">
        <f>IF(LEN(+'_DATA STT PAGOS_'!N156)=4,"0"&amp;+'_DATA STT PAGOS_'!N156,+'_DATA STT PAGOS_'!N156)</f>
        <v>08209</v>
      </c>
      <c r="C151" s="76" t="str">
        <f>+'_DATA STT PAGOS_'!O156</f>
        <v>SANTA JUANA</v>
      </c>
      <c r="D151" s="80">
        <f>+'CALC MEC ESTAB Y ESTIM M FINAL'!U156</f>
        <v>5852640</v>
      </c>
      <c r="E151" s="77">
        <f>+'CALC MEC ESTAB Y ESTIM M FINAL'!Q156</f>
        <v>2.1955347509999999E-3</v>
      </c>
      <c r="F151" s="77">
        <f>+'CALC MEC ESTAB Y ESTIM M FINAL'!R156</f>
        <v>-1.335562913E-4</v>
      </c>
      <c r="G151" s="80">
        <f>+'_Flujo con Glosa 08'!CE156</f>
        <v>268446</v>
      </c>
      <c r="H151" s="80">
        <f>+'_Flujo con Glosa 08'!CF156</f>
        <v>268446</v>
      </c>
      <c r="I151" s="80">
        <f>+'_Flujo con Glosa 08'!CG156</f>
        <v>257914</v>
      </c>
      <c r="J151" s="80">
        <f>+'_Flujo con Glosa 08'!CH156</f>
        <v>268446</v>
      </c>
      <c r="K151" s="80">
        <f>+'_Flujo con Glosa 08'!CI156</f>
        <v>794737</v>
      </c>
      <c r="L151" s="80">
        <f>+'_Flujo con Glosa 08'!CJ156</f>
        <v>276241</v>
      </c>
      <c r="M151" s="80">
        <f>+'_Flujo con Glosa 08'!CK156</f>
        <v>482371</v>
      </c>
      <c r="N151" s="80">
        <f>+'_Flujo con Glosa 08'!CL156</f>
        <v>268446</v>
      </c>
      <c r="O151" s="80">
        <f>+'_Flujo con Glosa 08'!CM156</f>
        <v>311207</v>
      </c>
      <c r="P151" s="80">
        <f>+'_Flujo con Glosa 08'!CN156</f>
        <v>519615</v>
      </c>
      <c r="Q151" s="80">
        <f>+'_Flujo con Glosa 08'!CO156</f>
        <v>268446</v>
      </c>
      <c r="R151" s="80">
        <f>+'_Flujo con Glosa 08'!CP156</f>
        <v>490157</v>
      </c>
      <c r="S151" s="80">
        <f t="shared" si="4"/>
        <v>4474472</v>
      </c>
      <c r="T151" s="80">
        <v>0</v>
      </c>
      <c r="U151" s="80">
        <v>0</v>
      </c>
      <c r="V151" s="80">
        <v>0</v>
      </c>
      <c r="W151" s="80">
        <v>0</v>
      </c>
      <c r="X151" s="80">
        <v>0</v>
      </c>
      <c r="Y151" s="80">
        <v>0</v>
      </c>
      <c r="Z151" s="80">
        <v>0</v>
      </c>
      <c r="AA151" s="80">
        <v>0</v>
      </c>
      <c r="AB151" s="80">
        <v>0</v>
      </c>
      <c r="AC151" s="80">
        <v>0</v>
      </c>
      <c r="AD151" s="80">
        <v>0</v>
      </c>
      <c r="AE151" s="80">
        <v>0</v>
      </c>
      <c r="AF151" s="80">
        <f t="shared" si="5"/>
        <v>0</v>
      </c>
      <c r="AG151" s="80">
        <f>+COEF_FCM!AM158</f>
        <v>51346</v>
      </c>
      <c r="AH151" s="80">
        <f>+COEF_FCM!AR158</f>
        <v>5338</v>
      </c>
      <c r="AI151" s="80">
        <f>+COEF_FCM!AN158</f>
        <v>34350</v>
      </c>
      <c r="AJ151" s="80">
        <f>+COEF_FCM!AS158</f>
        <v>2988</v>
      </c>
      <c r="AK151" s="80">
        <f>+COEF_FCM!AO158</f>
        <v>41419</v>
      </c>
      <c r="AL151" s="80">
        <f>+COEF_FCM!AT158</f>
        <v>2995.6610000000001</v>
      </c>
      <c r="AM151" s="80">
        <f>+COEF_FCM!AP158</f>
        <v>24619</v>
      </c>
      <c r="AN151" s="80">
        <f>+COEF_FCM!AU158</f>
        <v>2976</v>
      </c>
      <c r="AO151" s="80">
        <f>+COEF_FCM!AQ158</f>
        <v>151734</v>
      </c>
      <c r="AP151" s="80">
        <f>+COEF_FCM!AV158</f>
        <v>14297.661</v>
      </c>
      <c r="AQ151" s="80">
        <f>+_CIERRE!O151+_CIERRE!P151</f>
        <v>4308853.09</v>
      </c>
      <c r="AR151" s="80">
        <f>+_CIERRE!Q151+_CIERRE!R151</f>
        <v>4909037.9110000003</v>
      </c>
      <c r="AS151" s="80">
        <f>+_CIERRE!S151+_CIERRE!T151</f>
        <v>5292730.3640000001</v>
      </c>
      <c r="AT151" s="80">
        <f>+_CIERRE!U151+_CIERRE!V151</f>
        <v>5536463.5829999996</v>
      </c>
      <c r="AU151" s="80">
        <f>+'CALC MEC ESTAB Y ESTIM M FINAL'!T156</f>
        <v>5852640</v>
      </c>
      <c r="AV151" s="560">
        <v>0</v>
      </c>
      <c r="AW151" s="551">
        <v>0</v>
      </c>
      <c r="AX151" s="551">
        <v>0</v>
      </c>
      <c r="AY151" s="551">
        <v>0</v>
      </c>
      <c r="AZ151" s="551">
        <v>423138.00900000002</v>
      </c>
      <c r="BA151" s="551">
        <v>434097.16600000003</v>
      </c>
    </row>
    <row r="152" spans="1:53" ht="3" customHeight="1" x14ac:dyDescent="0.2">
      <c r="A152" s="68" t="str">
        <f>IF(LEN(+'_DATA STT PAGOS_'!M157)=4,"0"&amp;+'_DATA STT PAGOS_'!M157,+'_DATA STT PAGOS_'!M157)</f>
        <v>08110</v>
      </c>
      <c r="B152" s="68" t="str">
        <f>IF(LEN(+'_DATA STT PAGOS_'!N157)=4,"0"&amp;+'_DATA STT PAGOS_'!N157,+'_DATA STT PAGOS_'!N157)</f>
        <v>08206</v>
      </c>
      <c r="C152" s="76" t="str">
        <f>+'_DATA STT PAGOS_'!O157</f>
        <v>TALCAHUANO</v>
      </c>
      <c r="D152" s="80">
        <f>+'CALC MEC ESTAB Y ESTIM M FINAL'!U157</f>
        <v>11343645</v>
      </c>
      <c r="E152" s="77">
        <f>+'CALC MEC ESTAB Y ESTIM M FINAL'!Q157</f>
        <v>4.0761487618999996E-3</v>
      </c>
      <c r="F152" s="77">
        <f>+'CALC MEC ESTAB Y ESTIM M FINAL'!R157</f>
        <v>-7.9601566300000002E-5</v>
      </c>
      <c r="G152" s="80">
        <f>+'_Flujo con Glosa 08'!CE157</f>
        <v>541837</v>
      </c>
      <c r="H152" s="80">
        <f>+'_Flujo con Glosa 08'!CF157</f>
        <v>541837</v>
      </c>
      <c r="I152" s="80">
        <f>+'_Flujo con Glosa 08'!CG157</f>
        <v>499891</v>
      </c>
      <c r="J152" s="80">
        <f>+'_Flujo con Glosa 08'!CH157</f>
        <v>541837</v>
      </c>
      <c r="K152" s="80">
        <f>+'_Flujo con Glosa 08'!CI157</f>
        <v>1475771</v>
      </c>
      <c r="L152" s="80">
        <f>+'_Flujo con Glosa 08'!CJ157</f>
        <v>556946</v>
      </c>
      <c r="M152" s="80">
        <f>+'_Flujo con Glosa 08'!CK157</f>
        <v>913403</v>
      </c>
      <c r="N152" s="80">
        <f>+'_Flujo con Glosa 08'!CL157</f>
        <v>541837</v>
      </c>
      <c r="O152" s="80">
        <f>+'_Flujo con Glosa 08'!CM157</f>
        <v>603184</v>
      </c>
      <c r="P152" s="80">
        <f>+'_Flujo con Glosa 08'!CN157</f>
        <v>985591</v>
      </c>
      <c r="Q152" s="80">
        <f>+'_Flujo con Glosa 08'!CO157</f>
        <v>541837</v>
      </c>
      <c r="R152" s="80">
        <f>+'_Flujo con Glosa 08'!CP157</f>
        <v>928495</v>
      </c>
      <c r="S152" s="80">
        <f t="shared" si="4"/>
        <v>8672466</v>
      </c>
      <c r="T152" s="80">
        <v>0</v>
      </c>
      <c r="U152" s="80">
        <v>0</v>
      </c>
      <c r="V152" s="80">
        <v>0</v>
      </c>
      <c r="W152" s="80">
        <v>0</v>
      </c>
      <c r="X152" s="80">
        <v>0</v>
      </c>
      <c r="Y152" s="80">
        <v>0</v>
      </c>
      <c r="Z152" s="80">
        <v>0</v>
      </c>
      <c r="AA152" s="80">
        <v>0</v>
      </c>
      <c r="AB152" s="80">
        <v>0</v>
      </c>
      <c r="AC152" s="80">
        <v>0</v>
      </c>
      <c r="AD152" s="80">
        <v>0</v>
      </c>
      <c r="AE152" s="80">
        <v>0</v>
      </c>
      <c r="AF152" s="80">
        <f t="shared" si="5"/>
        <v>0</v>
      </c>
      <c r="AG152" s="80">
        <f>+COEF_FCM!AM159</f>
        <v>1488123</v>
      </c>
      <c r="AH152" s="80">
        <f>+COEF_FCM!AR159</f>
        <v>87248</v>
      </c>
      <c r="AI152" s="80">
        <f>+COEF_FCM!AN159</f>
        <v>1346321</v>
      </c>
      <c r="AJ152" s="80">
        <f>+COEF_FCM!AS159</f>
        <v>44202</v>
      </c>
      <c r="AK152" s="80">
        <f>+COEF_FCM!AO159</f>
        <v>1413287</v>
      </c>
      <c r="AL152" s="80">
        <f>+COEF_FCM!AT159</f>
        <v>70140.434999999998</v>
      </c>
      <c r="AM152" s="80">
        <f>+COEF_FCM!AP159</f>
        <v>1386652</v>
      </c>
      <c r="AN152" s="80">
        <f>+COEF_FCM!AU159</f>
        <v>42559</v>
      </c>
      <c r="AO152" s="80">
        <f>+COEF_FCM!AQ159</f>
        <v>5634383</v>
      </c>
      <c r="AP152" s="80">
        <f>+COEF_FCM!AV159</f>
        <v>244149.435</v>
      </c>
      <c r="AQ152" s="80">
        <f>+_CIERRE!O152+_CIERRE!P152</f>
        <v>9198832.4759999998</v>
      </c>
      <c r="AR152" s="80">
        <f>+_CIERRE!Q152+_CIERRE!R152</f>
        <v>10550285.817</v>
      </c>
      <c r="AS152" s="80">
        <f>+_CIERRE!S152+_CIERRE!T152</f>
        <v>11051814.308</v>
      </c>
      <c r="AT152" s="80">
        <f>+_CIERRE!U152+_CIERRE!V152</f>
        <v>11155197.869000001</v>
      </c>
      <c r="AU152" s="80">
        <f>+'CALC MEC ESTAB Y ESTIM M FINAL'!T157</f>
        <v>11343645</v>
      </c>
      <c r="AV152" s="560">
        <v>0</v>
      </c>
      <c r="AW152" s="551">
        <v>0</v>
      </c>
      <c r="AX152" s="551">
        <v>0</v>
      </c>
      <c r="AY152" s="551">
        <v>0</v>
      </c>
      <c r="AZ152" s="551">
        <v>0</v>
      </c>
      <c r="BA152" s="551">
        <v>0</v>
      </c>
    </row>
    <row r="153" spans="1:53" ht="3" customHeight="1" x14ac:dyDescent="0.2">
      <c r="A153" s="68" t="str">
        <f>IF(LEN(+'_DATA STT PAGOS_'!M158)=4,"0"&amp;+'_DATA STT PAGOS_'!M158,+'_DATA STT PAGOS_'!M158)</f>
        <v>08111</v>
      </c>
      <c r="B153" s="68" t="str">
        <f>IF(LEN(+'_DATA STT PAGOS_'!N158)=4,"0"&amp;+'_DATA STT PAGOS_'!N158,+'_DATA STT PAGOS_'!N158)</f>
        <v>08205</v>
      </c>
      <c r="C153" s="76" t="str">
        <f>+'_DATA STT PAGOS_'!O158</f>
        <v>TOMÉ</v>
      </c>
      <c r="D153" s="80">
        <f>+'CALC MEC ESTAB Y ESTIM M FINAL'!U158</f>
        <v>19055421</v>
      </c>
      <c r="E153" s="77">
        <f>+'CALC MEC ESTAB Y ESTIM M FINAL'!Q158</f>
        <v>7.4373609294000002E-3</v>
      </c>
      <c r="F153" s="77">
        <f>+'CALC MEC ESTAB Y ESTIM M FINAL'!R158</f>
        <v>-7.2383175709999996E-4</v>
      </c>
      <c r="G153" s="80">
        <f>+'_Flujo con Glosa 08'!CE158</f>
        <v>841389</v>
      </c>
      <c r="H153" s="80">
        <f>+'_Flujo con Glosa 08'!CF158</f>
        <v>841389</v>
      </c>
      <c r="I153" s="80">
        <f>+'_Flujo con Glosa 08'!CG158</f>
        <v>839733</v>
      </c>
      <c r="J153" s="80">
        <f>+'_Flujo con Glosa 08'!CH158</f>
        <v>841389</v>
      </c>
      <c r="K153" s="80">
        <f>+'_Flujo con Glosa 08'!CI158</f>
        <v>2685467</v>
      </c>
      <c r="L153" s="80">
        <f>+'_Flujo con Glosa 08'!CJ158</f>
        <v>866769</v>
      </c>
      <c r="M153" s="80">
        <f>+'_Flujo con Glosa 08'!CK158</f>
        <v>1603172</v>
      </c>
      <c r="N153" s="80">
        <f>+'_Flujo con Glosa 08'!CL158</f>
        <v>841389</v>
      </c>
      <c r="O153" s="80">
        <f>+'_Flujo con Glosa 08'!CM158</f>
        <v>1013249</v>
      </c>
      <c r="P153" s="80">
        <f>+'_Flujo con Glosa 08'!CN158</f>
        <v>1724435</v>
      </c>
      <c r="Q153" s="80">
        <f>+'_Flujo con Glosa 08'!CO158</f>
        <v>841389</v>
      </c>
      <c r="R153" s="80">
        <f>+'_Flujo con Glosa 08'!CP158</f>
        <v>1628522</v>
      </c>
      <c r="S153" s="80">
        <f t="shared" si="4"/>
        <v>14568292</v>
      </c>
      <c r="T153" s="80">
        <v>0</v>
      </c>
      <c r="U153" s="80">
        <v>0</v>
      </c>
      <c r="V153" s="80">
        <v>0</v>
      </c>
      <c r="W153" s="80">
        <v>0</v>
      </c>
      <c r="X153" s="80">
        <v>0</v>
      </c>
      <c r="Y153" s="80">
        <v>0</v>
      </c>
      <c r="Z153" s="80">
        <v>0</v>
      </c>
      <c r="AA153" s="80">
        <v>0</v>
      </c>
      <c r="AB153" s="80">
        <v>0</v>
      </c>
      <c r="AC153" s="80">
        <v>0</v>
      </c>
      <c r="AD153" s="80">
        <v>0</v>
      </c>
      <c r="AE153" s="80">
        <v>0</v>
      </c>
      <c r="AF153" s="80">
        <f t="shared" si="5"/>
        <v>0</v>
      </c>
      <c r="AG153" s="80">
        <f>+COEF_FCM!AM160</f>
        <v>194080</v>
      </c>
      <c r="AH153" s="80">
        <f>+COEF_FCM!AR160</f>
        <v>22804</v>
      </c>
      <c r="AI153" s="80">
        <f>+COEF_FCM!AN160</f>
        <v>143730</v>
      </c>
      <c r="AJ153" s="80">
        <f>+COEF_FCM!AS160</f>
        <v>11804</v>
      </c>
      <c r="AK153" s="80">
        <f>+COEF_FCM!AO160</f>
        <v>148909</v>
      </c>
      <c r="AL153" s="80">
        <f>+COEF_FCM!AT160</f>
        <v>16116.630999999999</v>
      </c>
      <c r="AM153" s="80">
        <f>+COEF_FCM!AP160</f>
        <v>143243</v>
      </c>
      <c r="AN153" s="80">
        <f>+COEF_FCM!AU160</f>
        <v>11845</v>
      </c>
      <c r="AO153" s="80">
        <f>+COEF_FCM!AQ160</f>
        <v>629962</v>
      </c>
      <c r="AP153" s="80">
        <f>+COEF_FCM!AV160</f>
        <v>62569.631000000001</v>
      </c>
      <c r="AQ153" s="80">
        <f>+_CIERRE!O153+_CIERRE!P153</f>
        <v>12399449.126</v>
      </c>
      <c r="AR153" s="80">
        <f>+_CIERRE!Q153+_CIERRE!R153</f>
        <v>14707640.267999999</v>
      </c>
      <c r="AS153" s="80">
        <f>+_CIERRE!S153+_CIERRE!T153</f>
        <v>16957986.750999998</v>
      </c>
      <c r="AT153" s="80">
        <f>+_CIERRE!U153+_CIERRE!V153</f>
        <v>17341843.793000001</v>
      </c>
      <c r="AU153" s="80">
        <f>+'CALC MEC ESTAB Y ESTIM M FINAL'!T158</f>
        <v>19055421</v>
      </c>
      <c r="AV153" s="560">
        <v>0</v>
      </c>
      <c r="AW153" s="551">
        <v>0</v>
      </c>
      <c r="AX153" s="551">
        <v>0</v>
      </c>
      <c r="AY153" s="551">
        <v>0</v>
      </c>
      <c r="AZ153" s="551">
        <v>848660.33900000004</v>
      </c>
      <c r="BA153" s="551">
        <v>884514.35</v>
      </c>
    </row>
    <row r="154" spans="1:53" ht="3" customHeight="1" x14ac:dyDescent="0.2">
      <c r="A154" s="68" t="str">
        <f>IF(LEN(+'_DATA STT PAGOS_'!M159)=4,"0"&amp;+'_DATA STT PAGOS_'!M159,+'_DATA STT PAGOS_'!M159)</f>
        <v>08112</v>
      </c>
      <c r="B154" s="68" t="str">
        <f>IF(LEN(+'_DATA STT PAGOS_'!N159)=4,"0"&amp;+'_DATA STT PAGOS_'!N159,+'_DATA STT PAGOS_'!N159)</f>
        <v>08212</v>
      </c>
      <c r="C154" s="76" t="str">
        <f>+'_DATA STT PAGOS_'!O159</f>
        <v>HUALPÉN</v>
      </c>
      <c r="D154" s="80">
        <f>+'CALC MEC ESTAB Y ESTIM M FINAL'!U159</f>
        <v>11154080</v>
      </c>
      <c r="E154" s="77">
        <f>+'CALC MEC ESTAB Y ESTIM M FINAL'!Q159</f>
        <v>4.0182093655999999E-3</v>
      </c>
      <c r="F154" s="77">
        <f>+'CALC MEC ESTAB Y ESTIM M FINAL'!R159</f>
        <v>-8.8448924999999994E-5</v>
      </c>
      <c r="G154" s="80">
        <f>+'_Flujo con Glosa 08'!CE159</f>
        <v>530960</v>
      </c>
      <c r="H154" s="80">
        <f>+'_Flujo con Glosa 08'!CF159</f>
        <v>530960</v>
      </c>
      <c r="I154" s="80">
        <f>+'_Flujo con Glosa 08'!CG159</f>
        <v>491537</v>
      </c>
      <c r="J154" s="80">
        <f>+'_Flujo con Glosa 08'!CH159</f>
        <v>530960</v>
      </c>
      <c r="K154" s="80">
        <f>+'_Flujo con Glosa 08'!CI159</f>
        <v>1456575</v>
      </c>
      <c r="L154" s="80">
        <f>+'_Flujo con Glosa 08'!CJ159</f>
        <v>545816</v>
      </c>
      <c r="M154" s="80">
        <f>+'_Flujo con Glosa 08'!CK159</f>
        <v>899963</v>
      </c>
      <c r="N154" s="80">
        <f>+'_Flujo con Glosa 08'!CL159</f>
        <v>530960</v>
      </c>
      <c r="O154" s="80">
        <f>+'_Flujo con Glosa 08'!CM159</f>
        <v>593105</v>
      </c>
      <c r="P154" s="80">
        <f>+'_Flujo con Glosa 08'!CN159</f>
        <v>970943</v>
      </c>
      <c r="Q154" s="80">
        <f>+'_Flujo con Glosa 08'!CO159</f>
        <v>530960</v>
      </c>
      <c r="R154" s="80">
        <f>+'_Flujo con Glosa 08'!CP159</f>
        <v>914801</v>
      </c>
      <c r="S154" s="80">
        <f t="shared" si="4"/>
        <v>8527540</v>
      </c>
      <c r="T154" s="80">
        <v>0</v>
      </c>
      <c r="U154" s="80">
        <v>0</v>
      </c>
      <c r="V154" s="80">
        <v>0</v>
      </c>
      <c r="W154" s="80">
        <v>0</v>
      </c>
      <c r="X154" s="80">
        <v>0</v>
      </c>
      <c r="Y154" s="80">
        <v>0</v>
      </c>
      <c r="Z154" s="80">
        <v>0</v>
      </c>
      <c r="AA154" s="80">
        <v>0</v>
      </c>
      <c r="AB154" s="80">
        <v>0</v>
      </c>
      <c r="AC154" s="80">
        <v>0</v>
      </c>
      <c r="AD154" s="80">
        <v>0</v>
      </c>
      <c r="AE154" s="80">
        <v>0</v>
      </c>
      <c r="AF154" s="80">
        <f t="shared" si="5"/>
        <v>0</v>
      </c>
      <c r="AG154" s="80">
        <f>+COEF_FCM!AM161</f>
        <v>579654</v>
      </c>
      <c r="AH154" s="80">
        <f>+COEF_FCM!AR161</f>
        <v>14521</v>
      </c>
      <c r="AI154" s="80">
        <f>+COEF_FCM!AN161</f>
        <v>541525</v>
      </c>
      <c r="AJ154" s="80">
        <f>+COEF_FCM!AS161</f>
        <v>6126</v>
      </c>
      <c r="AK154" s="80">
        <f>+COEF_FCM!AO161</f>
        <v>537366</v>
      </c>
      <c r="AL154" s="80">
        <f>+COEF_FCM!AT161</f>
        <v>10072.397999999999</v>
      </c>
      <c r="AM154" s="80">
        <f>+COEF_FCM!AP161</f>
        <v>452701</v>
      </c>
      <c r="AN154" s="80">
        <f>+COEF_FCM!AU161</f>
        <v>6215</v>
      </c>
      <c r="AO154" s="80">
        <f>+COEF_FCM!AQ161</f>
        <v>2111246</v>
      </c>
      <c r="AP154" s="80">
        <f>+COEF_FCM!AV161</f>
        <v>36934.398000000001</v>
      </c>
      <c r="AQ154" s="80">
        <f>+_CIERRE!O154+_CIERRE!P154</f>
        <v>9194578.6140000001</v>
      </c>
      <c r="AR154" s="80">
        <f>+_CIERRE!Q154+_CIERRE!R154</f>
        <v>10444705.374</v>
      </c>
      <c r="AS154" s="80">
        <f>+_CIERRE!S154+_CIERRE!T154</f>
        <v>10843255.887</v>
      </c>
      <c r="AT154" s="80">
        <f>+_CIERRE!U154+_CIERRE!V154</f>
        <v>10944689.143999999</v>
      </c>
      <c r="AU154" s="80">
        <f>+'CALC MEC ESTAB Y ESTIM M FINAL'!T159</f>
        <v>11154080</v>
      </c>
      <c r="AV154" s="560">
        <v>0</v>
      </c>
      <c r="AW154" s="551">
        <v>0</v>
      </c>
      <c r="AX154" s="551">
        <v>0</v>
      </c>
      <c r="AY154" s="551">
        <v>0</v>
      </c>
      <c r="AZ154" s="551">
        <v>0</v>
      </c>
      <c r="BA154" s="551">
        <v>721936.19900000002</v>
      </c>
    </row>
    <row r="155" spans="1:53" ht="3" customHeight="1" x14ac:dyDescent="0.2">
      <c r="A155" s="68" t="str">
        <f>IF(LEN(+'_DATA STT PAGOS_'!M160)=4,"0"&amp;+'_DATA STT PAGOS_'!M160,+'_DATA STT PAGOS_'!M160)</f>
        <v>08201</v>
      </c>
      <c r="B155" s="68" t="str">
        <f>IF(LEN(+'_DATA STT PAGOS_'!N160)=4,"0"&amp;+'_DATA STT PAGOS_'!N160,+'_DATA STT PAGOS_'!N160)</f>
        <v>08303</v>
      </c>
      <c r="C155" s="76" t="str">
        <f>+'_DATA STT PAGOS_'!O160</f>
        <v>LEBU</v>
      </c>
      <c r="D155" s="80">
        <f>+'CALC MEC ESTAB Y ESTIM M FINAL'!U160</f>
        <v>7480701</v>
      </c>
      <c r="E155" s="77">
        <f>+'CALC MEC ESTAB Y ESTIM M FINAL'!Q160</f>
        <v>2.7736417827999996E-3</v>
      </c>
      <c r="F155" s="77">
        <f>+'CALC MEC ESTAB Y ESTIM M FINAL'!R160</f>
        <v>-1.3807122050000001E-4</v>
      </c>
      <c r="G155" s="80">
        <f>+'_Flujo con Glosa 08'!CE160</f>
        <v>347068</v>
      </c>
      <c r="H155" s="80">
        <f>+'_Flujo con Glosa 08'!CF160</f>
        <v>347068</v>
      </c>
      <c r="I155" s="80">
        <f>+'_Flujo con Glosa 08'!CG160</f>
        <v>329659</v>
      </c>
      <c r="J155" s="80">
        <f>+'_Flujo con Glosa 08'!CH160</f>
        <v>347068</v>
      </c>
      <c r="K155" s="80">
        <f>+'_Flujo con Glosa 08'!CI160</f>
        <v>1003973</v>
      </c>
      <c r="L155" s="80">
        <f>+'_Flujo con Glosa 08'!CJ160</f>
        <v>357032</v>
      </c>
      <c r="M155" s="80">
        <f>+'_Flujo con Glosa 08'!CK160</f>
        <v>612608</v>
      </c>
      <c r="N155" s="80">
        <f>+'_Flujo con Glosa 08'!CL160</f>
        <v>347068</v>
      </c>
      <c r="O155" s="80">
        <f>+'_Flujo con Glosa 08'!CM160</f>
        <v>397778</v>
      </c>
      <c r="P155" s="80">
        <f>+'_Flujo con Glosa 08'!CN160</f>
        <v>660212</v>
      </c>
      <c r="Q155" s="80">
        <f>+'_Flujo con Glosa 08'!CO160</f>
        <v>347068</v>
      </c>
      <c r="R155" s="80">
        <f>+'_Flujo con Glosa 08'!CP160</f>
        <v>622560</v>
      </c>
      <c r="S155" s="80">
        <f t="shared" si="4"/>
        <v>5719162</v>
      </c>
      <c r="T155" s="80">
        <v>0</v>
      </c>
      <c r="U155" s="80">
        <v>0</v>
      </c>
      <c r="V155" s="80">
        <v>0</v>
      </c>
      <c r="W155" s="80">
        <v>0</v>
      </c>
      <c r="X155" s="80">
        <v>0</v>
      </c>
      <c r="Y155" s="80">
        <v>0</v>
      </c>
      <c r="Z155" s="80">
        <v>0</v>
      </c>
      <c r="AA155" s="80">
        <v>0</v>
      </c>
      <c r="AB155" s="80">
        <v>0</v>
      </c>
      <c r="AC155" s="80">
        <v>0</v>
      </c>
      <c r="AD155" s="80">
        <v>0</v>
      </c>
      <c r="AE155" s="80">
        <v>0</v>
      </c>
      <c r="AF155" s="80">
        <f t="shared" si="5"/>
        <v>0</v>
      </c>
      <c r="AG155" s="80">
        <f>+COEF_FCM!AM162</f>
        <v>40247</v>
      </c>
      <c r="AH155" s="80">
        <f>+COEF_FCM!AR162</f>
        <v>450</v>
      </c>
      <c r="AI155" s="80">
        <f>+COEF_FCM!AN162</f>
        <v>34065</v>
      </c>
      <c r="AJ155" s="80">
        <f>+COEF_FCM!AS162</f>
        <v>206</v>
      </c>
      <c r="AK155" s="80">
        <f>+COEF_FCM!AO162</f>
        <v>39759</v>
      </c>
      <c r="AL155" s="80">
        <f>+COEF_FCM!AT162</f>
        <v>249.376</v>
      </c>
      <c r="AM155" s="80">
        <f>+COEF_FCM!AP162</f>
        <v>20068</v>
      </c>
      <c r="AN155" s="80">
        <f>+COEF_FCM!AU162</f>
        <v>312</v>
      </c>
      <c r="AO155" s="80">
        <f>+COEF_FCM!AQ162</f>
        <v>134139</v>
      </c>
      <c r="AP155" s="80">
        <f>+COEF_FCM!AV162</f>
        <v>1217.376</v>
      </c>
      <c r="AQ155" s="80">
        <f>+_CIERRE!O155+_CIERRE!P155</f>
        <v>5488436.5700000003</v>
      </c>
      <c r="AR155" s="80">
        <f>+_CIERRE!Q155+_CIERRE!R155</f>
        <v>6343144.2630000003</v>
      </c>
      <c r="AS155" s="80">
        <f>+_CIERRE!S155+_CIERRE!T155</f>
        <v>6933308.2620000001</v>
      </c>
      <c r="AT155" s="80">
        <f>+_CIERRE!U155+_CIERRE!V155</f>
        <v>7153835.1859999998</v>
      </c>
      <c r="AU155" s="80">
        <f>+'CALC MEC ESTAB Y ESTIM M FINAL'!T160</f>
        <v>7480701</v>
      </c>
      <c r="AV155" s="560">
        <v>0</v>
      </c>
      <c r="AW155" s="551">
        <v>0</v>
      </c>
      <c r="AX155" s="551">
        <v>0</v>
      </c>
      <c r="AY155" s="551">
        <v>0</v>
      </c>
      <c r="AZ155" s="551">
        <v>646078.49899999995</v>
      </c>
      <c r="BA155" s="551">
        <v>675922.79700000002</v>
      </c>
    </row>
    <row r="156" spans="1:53" ht="3" customHeight="1" x14ac:dyDescent="0.2">
      <c r="A156" s="68" t="str">
        <f>IF(LEN(+'_DATA STT PAGOS_'!M161)=4,"0"&amp;+'_DATA STT PAGOS_'!M161,+'_DATA STT PAGOS_'!M161)</f>
        <v>08202</v>
      </c>
      <c r="B156" s="68" t="str">
        <f>IF(LEN(+'_DATA STT PAGOS_'!N161)=4,"0"&amp;+'_DATA STT PAGOS_'!N161,+'_DATA STT PAGOS_'!N161)</f>
        <v>08301</v>
      </c>
      <c r="C156" s="76" t="str">
        <f>+'_DATA STT PAGOS_'!O161</f>
        <v>ARAUCO</v>
      </c>
      <c r="D156" s="80">
        <f>+'CALC MEC ESTAB Y ESTIM M FINAL'!U161</f>
        <v>9506707</v>
      </c>
      <c r="E156" s="77">
        <f>+'CALC MEC ESTAB Y ESTIM M FINAL'!Q161</f>
        <v>3.2963600729000002E-3</v>
      </c>
      <c r="F156" s="77">
        <f>+'CALC MEC ESTAB Y ESTIM M FINAL'!R161</f>
        <v>5.3004528899999998E-5</v>
      </c>
      <c r="G156" s="80">
        <f>+'_Flujo con Glosa 08'!CE161</f>
        <v>461199</v>
      </c>
      <c r="H156" s="80">
        <f>+'_Flujo con Glosa 08'!CF161</f>
        <v>461199</v>
      </c>
      <c r="I156" s="80">
        <f>+'_Flujo con Glosa 08'!CG161</f>
        <v>418941</v>
      </c>
      <c r="J156" s="80">
        <f>+'_Flujo con Glosa 08'!CH161</f>
        <v>461199</v>
      </c>
      <c r="K156" s="80">
        <f>+'_Flujo con Glosa 08'!CI161</f>
        <v>1215477</v>
      </c>
      <c r="L156" s="80">
        <f>+'_Flujo con Glosa 08'!CJ161</f>
        <v>473861</v>
      </c>
      <c r="M156" s="80">
        <f>+'_Flujo con Glosa 08'!CK161</f>
        <v>774549</v>
      </c>
      <c r="N156" s="80">
        <f>+'_Flujo con Glosa 08'!CL161</f>
        <v>461199</v>
      </c>
      <c r="O156" s="80">
        <f>+'_Flujo con Glosa 08'!CM161</f>
        <v>505507</v>
      </c>
      <c r="P156" s="80">
        <f>+'_Flujo con Glosa 08'!CN161</f>
        <v>802722</v>
      </c>
      <c r="Q156" s="80">
        <f>+'_Flujo con Glosa 08'!CO161</f>
        <v>461199</v>
      </c>
      <c r="R156" s="80">
        <f>+'_Flujo con Glosa 08'!CP161</f>
        <v>771034</v>
      </c>
      <c r="S156" s="80">
        <f t="shared" si="4"/>
        <v>7268086</v>
      </c>
      <c r="T156" s="80">
        <v>0</v>
      </c>
      <c r="U156" s="80">
        <v>0</v>
      </c>
      <c r="V156" s="80">
        <v>0</v>
      </c>
      <c r="W156" s="80">
        <v>0</v>
      </c>
      <c r="X156" s="80">
        <v>0</v>
      </c>
      <c r="Y156" s="80">
        <v>0</v>
      </c>
      <c r="Z156" s="80">
        <v>0</v>
      </c>
      <c r="AA156" s="80">
        <v>0</v>
      </c>
      <c r="AB156" s="80">
        <v>0</v>
      </c>
      <c r="AC156" s="80">
        <v>0</v>
      </c>
      <c r="AD156" s="80">
        <v>0</v>
      </c>
      <c r="AE156" s="80">
        <v>0</v>
      </c>
      <c r="AF156" s="80">
        <f t="shared" si="5"/>
        <v>0</v>
      </c>
      <c r="AG156" s="80">
        <f>+COEF_FCM!AM163</f>
        <v>283929</v>
      </c>
      <c r="AH156" s="80">
        <f>+COEF_FCM!AR163</f>
        <v>4533</v>
      </c>
      <c r="AI156" s="80">
        <f>+COEF_FCM!AN163</f>
        <v>200308</v>
      </c>
      <c r="AJ156" s="80">
        <f>+COEF_FCM!AS163</f>
        <v>2440</v>
      </c>
      <c r="AK156" s="80">
        <f>+COEF_FCM!AO163</f>
        <v>285137</v>
      </c>
      <c r="AL156" s="80">
        <f>+COEF_FCM!AT163</f>
        <v>3643.41</v>
      </c>
      <c r="AM156" s="80">
        <f>+COEF_FCM!AP163</f>
        <v>34891</v>
      </c>
      <c r="AN156" s="80">
        <f>+COEF_FCM!AU163</f>
        <v>1814</v>
      </c>
      <c r="AO156" s="80">
        <f>+COEF_FCM!AQ163</f>
        <v>804265</v>
      </c>
      <c r="AP156" s="80">
        <f>+COEF_FCM!AV163</f>
        <v>12430.41</v>
      </c>
      <c r="AQ156" s="80">
        <f>+_CIERRE!O156+_CIERRE!P156</f>
        <v>7049750.6789999995</v>
      </c>
      <c r="AR156" s="80">
        <f>+_CIERRE!Q156+_CIERRE!R156</f>
        <v>8474564.5989999995</v>
      </c>
      <c r="AS156" s="80">
        <f>+_CIERRE!S156+_CIERRE!T156</f>
        <v>9418600.9340000004</v>
      </c>
      <c r="AT156" s="80">
        <f>+_CIERRE!U156+_CIERRE!V156</f>
        <v>9506707.1879999992</v>
      </c>
      <c r="AU156" s="80">
        <f>+'CALC MEC ESTAB Y ESTIM M FINAL'!T161</f>
        <v>9506707</v>
      </c>
      <c r="AV156" s="560">
        <v>0</v>
      </c>
      <c r="AW156" s="551">
        <v>0</v>
      </c>
      <c r="AX156" s="551">
        <v>0</v>
      </c>
      <c r="AY156" s="551">
        <v>0</v>
      </c>
      <c r="AZ156" s="551">
        <v>497523.951</v>
      </c>
      <c r="BA156" s="551">
        <v>564466.70299999998</v>
      </c>
    </row>
    <row r="157" spans="1:53" ht="3" customHeight="1" x14ac:dyDescent="0.2">
      <c r="A157" s="68" t="str">
        <f>IF(LEN(+'_DATA STT PAGOS_'!M162)=4,"0"&amp;+'_DATA STT PAGOS_'!M162,+'_DATA STT PAGOS_'!M162)</f>
        <v>08203</v>
      </c>
      <c r="B157" s="68" t="str">
        <f>IF(LEN(+'_DATA STT PAGOS_'!N162)=4,"0"&amp;+'_DATA STT PAGOS_'!N162,+'_DATA STT PAGOS_'!N162)</f>
        <v>08305</v>
      </c>
      <c r="C157" s="76" t="str">
        <f>+'_DATA STT PAGOS_'!O162</f>
        <v>CAÑETE</v>
      </c>
      <c r="D157" s="80">
        <f>+'CALC MEC ESTAB Y ESTIM M FINAL'!U162</f>
        <v>10540836</v>
      </c>
      <c r="E157" s="77">
        <f>+'CALC MEC ESTAB Y ESTIM M FINAL'!Q162</f>
        <v>3.954477128E-3</v>
      </c>
      <c r="F157" s="77">
        <f>+'CALC MEC ESTAB Y ESTIM M FINAL'!R162</f>
        <v>-2.4077238360000001E-4</v>
      </c>
      <c r="G157" s="80">
        <f>+'_Flujo con Glosa 08'!CE162</f>
        <v>483557</v>
      </c>
      <c r="H157" s="80">
        <f>+'_Flujo con Glosa 08'!CF162</f>
        <v>483557</v>
      </c>
      <c r="I157" s="80">
        <f>+'_Flujo con Glosa 08'!CG162</f>
        <v>464513</v>
      </c>
      <c r="J157" s="80">
        <f>+'_Flujo con Glosa 08'!CH162</f>
        <v>483557</v>
      </c>
      <c r="K157" s="80">
        <f>+'_Flujo con Glosa 08'!CI162</f>
        <v>1431127</v>
      </c>
      <c r="L157" s="80">
        <f>+'_Flujo con Glosa 08'!CJ162</f>
        <v>497596</v>
      </c>
      <c r="M157" s="80">
        <f>+'_Flujo con Glosa 08'!CK162</f>
        <v>868694</v>
      </c>
      <c r="N157" s="80">
        <f>+'_Flujo con Glosa 08'!CL162</f>
        <v>483557</v>
      </c>
      <c r="O157" s="80">
        <f>+'_Flujo con Glosa 08'!CM162</f>
        <v>560497</v>
      </c>
      <c r="P157" s="80">
        <f>+'_Flujo con Glosa 08'!CN162</f>
        <v>935773</v>
      </c>
      <c r="Q157" s="80">
        <f>+'_Flujo con Glosa 08'!CO162</f>
        <v>483557</v>
      </c>
      <c r="R157" s="80">
        <f>+'_Flujo con Glosa 08'!CP162</f>
        <v>882717</v>
      </c>
      <c r="S157" s="80">
        <f t="shared" si="4"/>
        <v>8058702</v>
      </c>
      <c r="T157" s="80">
        <v>0</v>
      </c>
      <c r="U157" s="80">
        <v>0</v>
      </c>
      <c r="V157" s="80">
        <v>0</v>
      </c>
      <c r="W157" s="80">
        <v>0</v>
      </c>
      <c r="X157" s="80">
        <v>0</v>
      </c>
      <c r="Y157" s="80">
        <v>0</v>
      </c>
      <c r="Z157" s="80">
        <v>0</v>
      </c>
      <c r="AA157" s="80">
        <v>0</v>
      </c>
      <c r="AB157" s="80">
        <v>0</v>
      </c>
      <c r="AC157" s="80">
        <v>0</v>
      </c>
      <c r="AD157" s="80">
        <v>0</v>
      </c>
      <c r="AE157" s="80">
        <v>0</v>
      </c>
      <c r="AF157" s="80">
        <f t="shared" si="5"/>
        <v>0</v>
      </c>
      <c r="AG157" s="80">
        <f>+COEF_FCM!AM164</f>
        <v>55716</v>
      </c>
      <c r="AH157" s="80">
        <f>+COEF_FCM!AR164</f>
        <v>1245</v>
      </c>
      <c r="AI157" s="80">
        <f>+COEF_FCM!AN164</f>
        <v>42322</v>
      </c>
      <c r="AJ157" s="80">
        <f>+COEF_FCM!AS164</f>
        <v>725</v>
      </c>
      <c r="AK157" s="80">
        <f>+COEF_FCM!AO164</f>
        <v>46454</v>
      </c>
      <c r="AL157" s="80">
        <f>+COEF_FCM!AT164</f>
        <v>694.31500000000005</v>
      </c>
      <c r="AM157" s="80">
        <f>+COEF_FCM!AP164</f>
        <v>30555</v>
      </c>
      <c r="AN157" s="80">
        <f>+COEF_FCM!AU164</f>
        <v>563</v>
      </c>
      <c r="AO157" s="80">
        <f>+COEF_FCM!AQ164</f>
        <v>175047</v>
      </c>
      <c r="AP157" s="80">
        <f>+COEF_FCM!AV164</f>
        <v>3227.3150000000001</v>
      </c>
      <c r="AQ157" s="80">
        <f>+_CIERRE!O157+_CIERRE!P157</f>
        <v>7457865.0760000004</v>
      </c>
      <c r="AR157" s="80">
        <f>+_CIERRE!Q157+_CIERRE!R157</f>
        <v>8671253.8629999999</v>
      </c>
      <c r="AS157" s="80">
        <f>+_CIERRE!S157+_CIERRE!T157</f>
        <v>9593301.7449999992</v>
      </c>
      <c r="AT157" s="80">
        <f>+_CIERRE!U157+_CIERRE!V157</f>
        <v>9970838.7630000003</v>
      </c>
      <c r="AU157" s="80">
        <f>+'CALC MEC ESTAB Y ESTIM M FINAL'!T162</f>
        <v>10540836</v>
      </c>
      <c r="AV157" s="560">
        <v>0</v>
      </c>
      <c r="AW157" s="551">
        <v>0</v>
      </c>
      <c r="AX157" s="551">
        <v>0</v>
      </c>
      <c r="AY157" s="551">
        <v>0</v>
      </c>
      <c r="AZ157" s="551">
        <v>828508.10800000001</v>
      </c>
      <c r="BA157" s="551">
        <v>857122.71200000006</v>
      </c>
    </row>
    <row r="158" spans="1:53" ht="3" customHeight="1" x14ac:dyDescent="0.2">
      <c r="A158" s="68" t="str">
        <f>IF(LEN(+'_DATA STT PAGOS_'!M163)=4,"0"&amp;+'_DATA STT PAGOS_'!M163,+'_DATA STT PAGOS_'!M163)</f>
        <v>08204</v>
      </c>
      <c r="B158" s="68" t="str">
        <f>IF(LEN(+'_DATA STT PAGOS_'!N163)=4,"0"&amp;+'_DATA STT PAGOS_'!N163,+'_DATA STT PAGOS_'!N163)</f>
        <v>08306</v>
      </c>
      <c r="C158" s="76" t="str">
        <f>+'_DATA STT PAGOS_'!O163</f>
        <v>CONTULMO</v>
      </c>
      <c r="D158" s="80">
        <f>+'CALC MEC ESTAB Y ESTIM M FINAL'!U163</f>
        <v>4663834</v>
      </c>
      <c r="E158" s="77">
        <f>+'CALC MEC ESTAB Y ESTIM M FINAL'!Q163</f>
        <v>1.6586089373999999E-3</v>
      </c>
      <c r="F158" s="77">
        <f>+'CALC MEC ESTAB Y ESTIM M FINAL'!R163</f>
        <v>-1.54656143E-5</v>
      </c>
      <c r="G158" s="80">
        <f>+'_Flujo con Glosa 08'!CE163</f>
        <v>224481</v>
      </c>
      <c r="H158" s="80">
        <f>+'_Flujo con Glosa 08'!CF163</f>
        <v>224481</v>
      </c>
      <c r="I158" s="80">
        <f>+'_Flujo con Glosa 08'!CG163</f>
        <v>205526</v>
      </c>
      <c r="J158" s="80">
        <f>+'_Flujo con Glosa 08'!CH163</f>
        <v>224481</v>
      </c>
      <c r="K158" s="80">
        <f>+'_Flujo con Glosa 08'!CI163</f>
        <v>601621</v>
      </c>
      <c r="L158" s="80">
        <f>+'_Flujo con Glosa 08'!CJ163</f>
        <v>230693</v>
      </c>
      <c r="M158" s="80">
        <f>+'_Flujo con Glosa 08'!CK163</f>
        <v>377283</v>
      </c>
      <c r="N158" s="80">
        <f>+'_Flujo con Glosa 08'!CL163</f>
        <v>224481</v>
      </c>
      <c r="O158" s="80">
        <f>+'_Flujo con Glosa 08'!CM163</f>
        <v>247994</v>
      </c>
      <c r="P158" s="80">
        <f>+'_Flujo con Glosa 08'!CN163</f>
        <v>400052</v>
      </c>
      <c r="Q158" s="80">
        <f>+'_Flujo con Glosa 08'!CO163</f>
        <v>224481</v>
      </c>
      <c r="R158" s="80">
        <f>+'_Flujo con Glosa 08'!CP163</f>
        <v>380032</v>
      </c>
      <c r="S158" s="80">
        <f t="shared" si="4"/>
        <v>3565606</v>
      </c>
      <c r="T158" s="80">
        <v>0</v>
      </c>
      <c r="U158" s="80">
        <v>0</v>
      </c>
      <c r="V158" s="80">
        <v>0</v>
      </c>
      <c r="W158" s="80">
        <v>0</v>
      </c>
      <c r="X158" s="80">
        <v>0</v>
      </c>
      <c r="Y158" s="80">
        <v>0</v>
      </c>
      <c r="Z158" s="80">
        <v>0</v>
      </c>
      <c r="AA158" s="80">
        <v>0</v>
      </c>
      <c r="AB158" s="80">
        <v>0</v>
      </c>
      <c r="AC158" s="80">
        <v>0</v>
      </c>
      <c r="AD158" s="80">
        <v>0</v>
      </c>
      <c r="AE158" s="80">
        <v>0</v>
      </c>
      <c r="AF158" s="80">
        <f t="shared" si="5"/>
        <v>0</v>
      </c>
      <c r="AG158" s="80">
        <f>+COEF_FCM!AM165</f>
        <v>16409</v>
      </c>
      <c r="AH158" s="80">
        <f>+COEF_FCM!AR165</f>
        <v>2049</v>
      </c>
      <c r="AI158" s="80">
        <f>+COEF_FCM!AN165</f>
        <v>10204</v>
      </c>
      <c r="AJ158" s="80">
        <f>+COEF_FCM!AS165</f>
        <v>683</v>
      </c>
      <c r="AK158" s="80">
        <f>+COEF_FCM!AO165</f>
        <v>12186</v>
      </c>
      <c r="AL158" s="80">
        <f>+COEF_FCM!AT165</f>
        <v>874.59100000000001</v>
      </c>
      <c r="AM158" s="80">
        <f>+COEF_FCM!AP165</f>
        <v>11021</v>
      </c>
      <c r="AN158" s="80">
        <f>+COEF_FCM!AU165</f>
        <v>1281</v>
      </c>
      <c r="AO158" s="80">
        <f>+COEF_FCM!AQ165</f>
        <v>49820</v>
      </c>
      <c r="AP158" s="80">
        <f>+COEF_FCM!AV165</f>
        <v>4887.5910000000003</v>
      </c>
      <c r="AQ158" s="80">
        <f>+_CIERRE!O158+_CIERRE!P158</f>
        <v>3297452.503</v>
      </c>
      <c r="AR158" s="80">
        <f>+_CIERRE!Q158+_CIERRE!R158</f>
        <v>3950596.7489999998</v>
      </c>
      <c r="AS158" s="80">
        <f>+_CIERRE!S158+_CIERRE!T158</f>
        <v>4584336.9460000005</v>
      </c>
      <c r="AT158" s="80">
        <f>+_CIERRE!U158+_CIERRE!V158</f>
        <v>4627220.9220000003</v>
      </c>
      <c r="AU158" s="80">
        <f>+'CALC MEC ESTAB Y ESTIM M FINAL'!T163</f>
        <v>4663834</v>
      </c>
      <c r="AV158" s="560">
        <v>0</v>
      </c>
      <c r="AW158" s="551">
        <v>0</v>
      </c>
      <c r="AX158" s="551">
        <v>0</v>
      </c>
      <c r="AY158" s="551">
        <v>0</v>
      </c>
      <c r="AZ158" s="551">
        <v>363943.96299999999</v>
      </c>
      <c r="BA158" s="551">
        <v>373115.38699999999</v>
      </c>
    </row>
    <row r="159" spans="1:53" ht="3" customHeight="1" x14ac:dyDescent="0.2">
      <c r="A159" s="68" t="str">
        <f>IF(LEN(+'_DATA STT PAGOS_'!M164)=4,"0"&amp;+'_DATA STT PAGOS_'!M164,+'_DATA STT PAGOS_'!M164)</f>
        <v>08205</v>
      </c>
      <c r="B159" s="68" t="str">
        <f>IF(LEN(+'_DATA STT PAGOS_'!N164)=4,"0"&amp;+'_DATA STT PAGOS_'!N164,+'_DATA STT PAGOS_'!N164)</f>
        <v>08302</v>
      </c>
      <c r="C159" s="76" t="str">
        <f>+'_DATA STT PAGOS_'!O164</f>
        <v>CURANILAHUE</v>
      </c>
      <c r="D159" s="80">
        <f>+'CALC MEC ESTAB Y ESTIM M FINAL'!U164</f>
        <v>7936479</v>
      </c>
      <c r="E159" s="77">
        <f>+'CALC MEC ESTAB Y ESTIM M FINAL'!Q164</f>
        <v>2.9532465244999995E-3</v>
      </c>
      <c r="F159" s="77">
        <f>+'CALC MEC ESTAB Y ESTIM M FINAL'!R164</f>
        <v>-1.5709804460000001E-4</v>
      </c>
      <c r="G159" s="80">
        <f>+'_Flujo con Glosa 08'!CE164</f>
        <v>366960</v>
      </c>
      <c r="H159" s="80">
        <f>+'_Flujo con Glosa 08'!CF164</f>
        <v>366960</v>
      </c>
      <c r="I159" s="80">
        <f>+'_Flujo con Glosa 08'!CG164</f>
        <v>349744</v>
      </c>
      <c r="J159" s="80">
        <f>+'_Flujo con Glosa 08'!CH164</f>
        <v>366960</v>
      </c>
      <c r="K159" s="80">
        <f>+'_Flujo con Glosa 08'!CI164</f>
        <v>1068903</v>
      </c>
      <c r="L159" s="80">
        <f>+'_Flujo con Glosa 08'!CJ164</f>
        <v>377531</v>
      </c>
      <c r="M159" s="80">
        <f>+'_Flujo con Glosa 08'!CK164</f>
        <v>651187</v>
      </c>
      <c r="N159" s="80">
        <f>+'_Flujo con Glosa 08'!CL164</f>
        <v>366960</v>
      </c>
      <c r="O159" s="80">
        <f>+'_Flujo con Glosa 08'!CM164</f>
        <v>422013</v>
      </c>
      <c r="P159" s="80">
        <f>+'_Flujo con Glosa 08'!CN164</f>
        <v>701691</v>
      </c>
      <c r="Q159" s="80">
        <f>+'_Flujo con Glosa 08'!CO164</f>
        <v>366960</v>
      </c>
      <c r="R159" s="80">
        <f>+'_Flujo con Glosa 08'!CP164</f>
        <v>661744</v>
      </c>
      <c r="S159" s="80">
        <f t="shared" si="4"/>
        <v>6067613</v>
      </c>
      <c r="T159" s="80">
        <v>0</v>
      </c>
      <c r="U159" s="80">
        <v>0</v>
      </c>
      <c r="V159" s="80">
        <v>0</v>
      </c>
      <c r="W159" s="80">
        <v>0</v>
      </c>
      <c r="X159" s="80">
        <v>0</v>
      </c>
      <c r="Y159" s="80">
        <v>0</v>
      </c>
      <c r="Z159" s="80">
        <v>0</v>
      </c>
      <c r="AA159" s="80">
        <v>0</v>
      </c>
      <c r="AB159" s="80">
        <v>0</v>
      </c>
      <c r="AC159" s="80">
        <v>0</v>
      </c>
      <c r="AD159" s="80">
        <v>0</v>
      </c>
      <c r="AE159" s="80">
        <v>0</v>
      </c>
      <c r="AF159" s="80">
        <f t="shared" si="5"/>
        <v>0</v>
      </c>
      <c r="AG159" s="80">
        <f>+COEF_FCM!AM166</f>
        <v>77877</v>
      </c>
      <c r="AH159" s="80">
        <f>+COEF_FCM!AR166</f>
        <v>822</v>
      </c>
      <c r="AI159" s="80">
        <f>+COEF_FCM!AN166</f>
        <v>84406</v>
      </c>
      <c r="AJ159" s="80">
        <f>+COEF_FCM!AS166</f>
        <v>1262</v>
      </c>
      <c r="AK159" s="80">
        <f>+COEF_FCM!AO166</f>
        <v>83679</v>
      </c>
      <c r="AL159" s="80">
        <f>+COEF_FCM!AT166</f>
        <v>615.32600000000002</v>
      </c>
      <c r="AM159" s="80">
        <f>+COEF_FCM!AP166</f>
        <v>25388</v>
      </c>
      <c r="AN159" s="80">
        <f>+COEF_FCM!AU166</f>
        <v>621</v>
      </c>
      <c r="AO159" s="80">
        <f>+COEF_FCM!AQ166</f>
        <v>271350</v>
      </c>
      <c r="AP159" s="80">
        <f>+COEF_FCM!AV166</f>
        <v>3320.326</v>
      </c>
      <c r="AQ159" s="80">
        <f>+_CIERRE!O159+_CIERRE!P159</f>
        <v>5767258.7350000003</v>
      </c>
      <c r="AR159" s="80">
        <f>+_CIERRE!Q159+_CIERRE!R159</f>
        <v>6722512.5499999998</v>
      </c>
      <c r="AS159" s="80">
        <f>+_CIERRE!S159+_CIERRE!T159</f>
        <v>7482860.4720000001</v>
      </c>
      <c r="AT159" s="80">
        <f>+_CIERRE!U159+_CIERRE!V159</f>
        <v>7564569.165</v>
      </c>
      <c r="AU159" s="80">
        <f>+'CALC MEC ESTAB Y ESTIM M FINAL'!T164</f>
        <v>7936479</v>
      </c>
      <c r="AV159" s="560">
        <v>0</v>
      </c>
      <c r="AW159" s="551">
        <v>0</v>
      </c>
      <c r="AX159" s="551">
        <v>0</v>
      </c>
      <c r="AY159" s="551">
        <v>0</v>
      </c>
      <c r="AZ159" s="551">
        <v>637440.679</v>
      </c>
      <c r="BA159" s="551">
        <v>654096.85199999996</v>
      </c>
    </row>
    <row r="160" spans="1:53" ht="3" customHeight="1" x14ac:dyDescent="0.2">
      <c r="A160" s="68" t="str">
        <f>IF(LEN(+'_DATA STT PAGOS_'!M165)=4,"0"&amp;+'_DATA STT PAGOS_'!M165,+'_DATA STT PAGOS_'!M165)</f>
        <v>08206</v>
      </c>
      <c r="B160" s="68" t="str">
        <f>IF(LEN(+'_DATA STT PAGOS_'!N165)=4,"0"&amp;+'_DATA STT PAGOS_'!N165,+'_DATA STT PAGOS_'!N165)</f>
        <v>08304</v>
      </c>
      <c r="C160" s="76" t="str">
        <f>+'_DATA STT PAGOS_'!O165</f>
        <v>LOS ÁLAMOS</v>
      </c>
      <c r="D160" s="80">
        <f>+'CALC MEC ESTAB Y ESTIM M FINAL'!U165</f>
        <v>6249944</v>
      </c>
      <c r="E160" s="77">
        <f>+'CALC MEC ESTAB Y ESTIM M FINAL'!Q165</f>
        <v>2.3911340834999999E-3</v>
      </c>
      <c r="F160" s="77">
        <f>+'CALC MEC ESTAB Y ESTIM M FINAL'!R165</f>
        <v>-1.8917888019999999E-4</v>
      </c>
      <c r="G160" s="80">
        <f>+'_Flujo con Glosa 08'!CE165</f>
        <v>281475</v>
      </c>
      <c r="H160" s="80">
        <f>+'_Flujo con Glosa 08'!CF165</f>
        <v>281475</v>
      </c>
      <c r="I160" s="80">
        <f>+'_Flujo con Glosa 08'!CG165</f>
        <v>275422</v>
      </c>
      <c r="J160" s="80">
        <f>+'_Flujo con Glosa 08'!CH165</f>
        <v>281475</v>
      </c>
      <c r="K160" s="80">
        <f>+'_Flujo con Glosa 08'!CI165</f>
        <v>864271</v>
      </c>
      <c r="L160" s="80">
        <f>+'_Flujo con Glosa 08'!CJ165</f>
        <v>289799</v>
      </c>
      <c r="M160" s="80">
        <f>+'_Flujo con Glosa 08'!CK165</f>
        <v>520311</v>
      </c>
      <c r="N160" s="80">
        <f>+'_Flujo con Glosa 08'!CL165</f>
        <v>281475</v>
      </c>
      <c r="O160" s="80">
        <f>+'_Flujo con Glosa 08'!CM165</f>
        <v>332333</v>
      </c>
      <c r="P160" s="80">
        <f>+'_Flujo con Glosa 08'!CN165</f>
        <v>560083</v>
      </c>
      <c r="Q160" s="80">
        <f>+'_Flujo con Glosa 08'!CO165</f>
        <v>281475</v>
      </c>
      <c r="R160" s="80">
        <f>+'_Flujo con Glosa 08'!CP165</f>
        <v>528625</v>
      </c>
      <c r="S160" s="80">
        <f t="shared" si="4"/>
        <v>4778219</v>
      </c>
      <c r="T160" s="80">
        <v>0</v>
      </c>
      <c r="U160" s="80">
        <v>0</v>
      </c>
      <c r="V160" s="80">
        <v>0</v>
      </c>
      <c r="W160" s="80">
        <v>0</v>
      </c>
      <c r="X160" s="80">
        <v>0</v>
      </c>
      <c r="Y160" s="80">
        <v>0</v>
      </c>
      <c r="Z160" s="80">
        <v>0</v>
      </c>
      <c r="AA160" s="80">
        <v>0</v>
      </c>
      <c r="AB160" s="80">
        <v>0</v>
      </c>
      <c r="AC160" s="80">
        <v>0</v>
      </c>
      <c r="AD160" s="80">
        <v>0</v>
      </c>
      <c r="AE160" s="80">
        <v>0</v>
      </c>
      <c r="AF160" s="80">
        <f t="shared" si="5"/>
        <v>0</v>
      </c>
      <c r="AG160" s="80">
        <f>+COEF_FCM!AM167</f>
        <v>45613</v>
      </c>
      <c r="AH160" s="80">
        <f>+COEF_FCM!AR167</f>
        <v>0</v>
      </c>
      <c r="AI160" s="80">
        <f>+COEF_FCM!AN167</f>
        <v>42521</v>
      </c>
      <c r="AJ160" s="80">
        <f>+COEF_FCM!AS167</f>
        <v>0</v>
      </c>
      <c r="AK160" s="80">
        <f>+COEF_FCM!AO167</f>
        <v>50642</v>
      </c>
      <c r="AL160" s="80">
        <f>+COEF_FCM!AT167</f>
        <v>0</v>
      </c>
      <c r="AM160" s="80">
        <f>+COEF_FCM!AP167</f>
        <v>13528</v>
      </c>
      <c r="AN160" s="80">
        <f>+COEF_FCM!AU167</f>
        <v>0</v>
      </c>
      <c r="AO160" s="80">
        <f>+COEF_FCM!AQ167</f>
        <v>152304</v>
      </c>
      <c r="AP160" s="80">
        <f>+COEF_FCM!AV167</f>
        <v>0</v>
      </c>
      <c r="AQ160" s="80">
        <f>+_CIERRE!O160+_CIERRE!P160</f>
        <v>4308297.74</v>
      </c>
      <c r="AR160" s="80">
        <f>+_CIERRE!Q160+_CIERRE!R160</f>
        <v>4978937.0140000004</v>
      </c>
      <c r="AS160" s="80">
        <f>+_CIERRE!S160+_CIERRE!T160</f>
        <v>5379666.6890000002</v>
      </c>
      <c r="AT160" s="80">
        <f>+_CIERRE!U160+_CIERRE!V160</f>
        <v>5802088.1220000004</v>
      </c>
      <c r="AU160" s="80">
        <f>+'CALC MEC ESTAB Y ESTIM M FINAL'!T165</f>
        <v>6249944</v>
      </c>
      <c r="AV160" s="560">
        <v>0</v>
      </c>
      <c r="AW160" s="551">
        <v>0</v>
      </c>
      <c r="AX160" s="551">
        <v>0</v>
      </c>
      <c r="AY160" s="551">
        <v>0</v>
      </c>
      <c r="AZ160" s="551">
        <v>577626.82200000004</v>
      </c>
      <c r="BA160" s="551">
        <v>594583.63</v>
      </c>
    </row>
    <row r="161" spans="1:53" ht="3" customHeight="1" x14ac:dyDescent="0.2">
      <c r="A161" s="68" t="str">
        <f>IF(LEN(+'_DATA STT PAGOS_'!M166)=4,"0"&amp;+'_DATA STT PAGOS_'!M166,+'_DATA STT PAGOS_'!M166)</f>
        <v>08207</v>
      </c>
      <c r="B161" s="68" t="str">
        <f>IF(LEN(+'_DATA STT PAGOS_'!N166)=4,"0"&amp;+'_DATA STT PAGOS_'!N166,+'_DATA STT PAGOS_'!N166)</f>
        <v>08307</v>
      </c>
      <c r="C161" s="76" t="str">
        <f>+'_DATA STT PAGOS_'!O166</f>
        <v>TIRÚA</v>
      </c>
      <c r="D161" s="80">
        <f>+'CALC MEC ESTAB Y ESTIM M FINAL'!U166</f>
        <v>5353052</v>
      </c>
      <c r="E161" s="77">
        <f>+'CALC MEC ESTAB Y ESTIM M FINAL'!Q166</f>
        <v>2.1010341002000001E-3</v>
      </c>
      <c r="F161" s="77">
        <f>+'CALC MEC ESTAB Y ESTIM M FINAL'!R166</f>
        <v>-2.1506846709999999E-4</v>
      </c>
      <c r="G161" s="80">
        <f>+'_Flujo con Glosa 08'!CE166</f>
        <v>234993</v>
      </c>
      <c r="H161" s="80">
        <f>+'_Flujo con Glosa 08'!CF166</f>
        <v>234993</v>
      </c>
      <c r="I161" s="80">
        <f>+'_Flujo con Glosa 08'!CG166</f>
        <v>235898</v>
      </c>
      <c r="J161" s="80">
        <f>+'_Flujo con Glosa 08'!CH166</f>
        <v>234993</v>
      </c>
      <c r="K161" s="80">
        <f>+'_Flujo con Glosa 08'!CI166</f>
        <v>758512</v>
      </c>
      <c r="L161" s="80">
        <f>+'_Flujo con Glosa 08'!CJ166</f>
        <v>242123</v>
      </c>
      <c r="M161" s="80">
        <f>+'_Flujo con Glosa 08'!CK166</f>
        <v>451733</v>
      </c>
      <c r="N161" s="80">
        <f>+'_Flujo con Glosa 08'!CL166</f>
        <v>234993</v>
      </c>
      <c r="O161" s="80">
        <f>+'_Flujo con Glosa 08'!CM166</f>
        <v>284642</v>
      </c>
      <c r="P161" s="80">
        <f>+'_Flujo con Glosa 08'!CN166</f>
        <v>485799</v>
      </c>
      <c r="Q161" s="80">
        <f>+'_Flujo con Glosa 08'!CO166</f>
        <v>234993</v>
      </c>
      <c r="R161" s="80">
        <f>+'_Flujo con Glosa 08'!CP166</f>
        <v>458854</v>
      </c>
      <c r="S161" s="80">
        <f t="shared" si="4"/>
        <v>4092526</v>
      </c>
      <c r="T161" s="80">
        <v>0</v>
      </c>
      <c r="U161" s="80">
        <v>0</v>
      </c>
      <c r="V161" s="80">
        <v>0</v>
      </c>
      <c r="W161" s="80">
        <v>0</v>
      </c>
      <c r="X161" s="80">
        <v>0</v>
      </c>
      <c r="Y161" s="80">
        <v>0</v>
      </c>
      <c r="Z161" s="80">
        <v>0</v>
      </c>
      <c r="AA161" s="80">
        <v>0</v>
      </c>
      <c r="AB161" s="80">
        <v>0</v>
      </c>
      <c r="AC161" s="80">
        <v>0</v>
      </c>
      <c r="AD161" s="80">
        <v>0</v>
      </c>
      <c r="AE161" s="80">
        <v>0</v>
      </c>
      <c r="AF161" s="80">
        <f t="shared" si="5"/>
        <v>0</v>
      </c>
      <c r="AG161" s="80">
        <f>+COEF_FCM!AM168</f>
        <v>12392</v>
      </c>
      <c r="AH161" s="80">
        <f>+COEF_FCM!AR168</f>
        <v>320</v>
      </c>
      <c r="AI161" s="80">
        <f>+COEF_FCM!AN168</f>
        <v>9864</v>
      </c>
      <c r="AJ161" s="80">
        <f>+COEF_FCM!AS168</f>
        <v>0</v>
      </c>
      <c r="AK161" s="80">
        <f>+COEF_FCM!AO168</f>
        <v>11079</v>
      </c>
      <c r="AL161" s="80">
        <f>+COEF_FCM!AT168</f>
        <v>210.74</v>
      </c>
      <c r="AM161" s="80">
        <f>+COEF_FCM!AP168</f>
        <v>12914</v>
      </c>
      <c r="AN161" s="80">
        <f>+COEF_FCM!AU168</f>
        <v>296</v>
      </c>
      <c r="AO161" s="80">
        <f>+COEF_FCM!AQ168</f>
        <v>46249</v>
      </c>
      <c r="AP161" s="80">
        <f>+COEF_FCM!AV168</f>
        <v>826.74</v>
      </c>
      <c r="AQ161" s="80">
        <f>+_CIERRE!O161+_CIERRE!P161</f>
        <v>3727669.412</v>
      </c>
      <c r="AR161" s="80">
        <f>+_CIERRE!Q161+_CIERRE!R161</f>
        <v>4334693.0650000004</v>
      </c>
      <c r="AS161" s="80">
        <f>+_CIERRE!S161+_CIERRE!T161</f>
        <v>4799012.7539999997</v>
      </c>
      <c r="AT161" s="80">
        <f>+_CIERRE!U161+_CIERRE!V161</f>
        <v>4843905.6670000004</v>
      </c>
      <c r="AU161" s="80">
        <f>+'CALC MEC ESTAB Y ESTIM M FINAL'!T166</f>
        <v>5353052</v>
      </c>
      <c r="AV161" s="560">
        <v>0</v>
      </c>
      <c r="AW161" s="551">
        <v>0</v>
      </c>
      <c r="AX161" s="551">
        <v>0</v>
      </c>
      <c r="AY161" s="551">
        <v>0</v>
      </c>
      <c r="AZ161" s="551">
        <v>468634.01400000002</v>
      </c>
      <c r="BA161" s="551">
        <v>470109.34399999998</v>
      </c>
    </row>
    <row r="162" spans="1:53" ht="3" customHeight="1" x14ac:dyDescent="0.2">
      <c r="A162" s="68" t="str">
        <f>IF(LEN(+'_DATA STT PAGOS_'!M167)=4,"0"&amp;+'_DATA STT PAGOS_'!M167,+'_DATA STT PAGOS_'!M167)</f>
        <v>08301</v>
      </c>
      <c r="B162" s="68" t="str">
        <f>IF(LEN(+'_DATA STT PAGOS_'!N167)=4,"0"&amp;+'_DATA STT PAGOS_'!N167,+'_DATA STT PAGOS_'!N167)</f>
        <v>08401</v>
      </c>
      <c r="C162" s="76" t="str">
        <f>+'_DATA STT PAGOS_'!O167</f>
        <v>LOS ÁNGELES</v>
      </c>
      <c r="D162" s="80">
        <f>+'CALC MEC ESTAB Y ESTIM M FINAL'!U167</f>
        <v>32575691</v>
      </c>
      <c r="E162" s="77">
        <f>+'CALC MEC ESTAB Y ESTIM M FINAL'!Q167</f>
        <v>1.25853502273E-2</v>
      </c>
      <c r="F162" s="77">
        <f>+'CALC MEC ESTAB Y ESTIM M FINAL'!R167</f>
        <v>-1.1084138837999999E-3</v>
      </c>
      <c r="G162" s="80">
        <f>+'_Flujo con Glosa 08'!CE167</f>
        <v>1453173</v>
      </c>
      <c r="H162" s="80">
        <f>+'_Flujo con Glosa 08'!CF167</f>
        <v>1453173</v>
      </c>
      <c r="I162" s="80">
        <f>+'_Flujo con Glosa 08'!CG167</f>
        <v>1435543</v>
      </c>
      <c r="J162" s="80">
        <f>+'_Flujo con Glosa 08'!CH167</f>
        <v>1453173</v>
      </c>
      <c r="K162" s="80">
        <f>+'_Flujo con Glosa 08'!CI167</f>
        <v>4546471</v>
      </c>
      <c r="L162" s="80">
        <f>+'_Flujo con Glosa 08'!CJ167</f>
        <v>1496561</v>
      </c>
      <c r="M162" s="80">
        <f>+'_Flujo con Glosa 08'!CK167</f>
        <v>2725862</v>
      </c>
      <c r="N162" s="80">
        <f>+'_Flujo con Glosa 08'!CL167</f>
        <v>1453173</v>
      </c>
      <c r="O162" s="80">
        <f>+'_Flujo con Glosa 08'!CM167</f>
        <v>1732173</v>
      </c>
      <c r="P162" s="80">
        <f>+'_Flujo con Glosa 08'!CN167</f>
        <v>2933162</v>
      </c>
      <c r="Q162" s="80">
        <f>+'_Flujo con Glosa 08'!CO167</f>
        <v>1453173</v>
      </c>
      <c r="R162" s="80">
        <f>+'_Flujo con Glosa 08'!CP167</f>
        <v>2769198</v>
      </c>
      <c r="S162" s="80">
        <f t="shared" si="4"/>
        <v>24904835</v>
      </c>
      <c r="T162" s="80">
        <v>0</v>
      </c>
      <c r="U162" s="80">
        <v>0</v>
      </c>
      <c r="V162" s="80">
        <v>0</v>
      </c>
      <c r="W162" s="80">
        <v>0</v>
      </c>
      <c r="X162" s="80">
        <v>0</v>
      </c>
      <c r="Y162" s="80">
        <v>0</v>
      </c>
      <c r="Z162" s="80">
        <v>0</v>
      </c>
      <c r="AA162" s="80">
        <v>0</v>
      </c>
      <c r="AB162" s="80">
        <v>0</v>
      </c>
      <c r="AC162" s="80">
        <v>0</v>
      </c>
      <c r="AD162" s="80">
        <v>0</v>
      </c>
      <c r="AE162" s="80">
        <v>0</v>
      </c>
      <c r="AF162" s="80">
        <f t="shared" si="5"/>
        <v>0</v>
      </c>
      <c r="AG162" s="80">
        <f>+COEF_FCM!AM169</f>
        <v>1134892</v>
      </c>
      <c r="AH162" s="80">
        <f>+COEF_FCM!AR169</f>
        <v>65117</v>
      </c>
      <c r="AI162" s="80">
        <f>+COEF_FCM!AN169</f>
        <v>832808</v>
      </c>
      <c r="AJ162" s="80">
        <f>+COEF_FCM!AS169</f>
        <v>32979</v>
      </c>
      <c r="AK162" s="80">
        <f>+COEF_FCM!AO169</f>
        <v>987327</v>
      </c>
      <c r="AL162" s="80">
        <f>+COEF_FCM!AT169</f>
        <v>43002.595000000001</v>
      </c>
      <c r="AM162" s="80">
        <f>+COEF_FCM!AP169</f>
        <v>815164</v>
      </c>
      <c r="AN162" s="80">
        <f>+COEF_FCM!AU169</f>
        <v>30978</v>
      </c>
      <c r="AO162" s="80">
        <f>+COEF_FCM!AQ169</f>
        <v>3770191</v>
      </c>
      <c r="AP162" s="80">
        <f>+COEF_FCM!AV169</f>
        <v>172076.595</v>
      </c>
      <c r="AQ162" s="80">
        <f>+_CIERRE!O162+_CIERRE!P162</f>
        <v>21606348.138</v>
      </c>
      <c r="AR162" s="80">
        <f>+_CIERRE!Q162+_CIERRE!R162</f>
        <v>25077347.315000001</v>
      </c>
      <c r="AS162" s="80">
        <f>+_CIERRE!S162+_CIERRE!T162</f>
        <v>27293486.070999999</v>
      </c>
      <c r="AT162" s="80">
        <f>+_CIERRE!U162+_CIERRE!V162</f>
        <v>29951667.397999998</v>
      </c>
      <c r="AU162" s="80">
        <f>+'CALC MEC ESTAB Y ESTIM M FINAL'!T167</f>
        <v>32575691</v>
      </c>
      <c r="AV162" s="560">
        <v>0</v>
      </c>
      <c r="AW162" s="551">
        <v>0</v>
      </c>
      <c r="AX162" s="551">
        <v>0</v>
      </c>
      <c r="AY162" s="551">
        <v>0</v>
      </c>
      <c r="AZ162" s="551">
        <v>1330408.52</v>
      </c>
      <c r="BA162" s="551">
        <v>1450358.7709999999</v>
      </c>
    </row>
    <row r="163" spans="1:53" ht="3" customHeight="1" x14ac:dyDescent="0.2">
      <c r="A163" s="68" t="str">
        <f>IF(LEN(+'_DATA STT PAGOS_'!M168)=4,"0"&amp;+'_DATA STT PAGOS_'!M168,+'_DATA STT PAGOS_'!M168)</f>
        <v>08302</v>
      </c>
      <c r="B163" s="68" t="str">
        <f>IF(LEN(+'_DATA STT PAGOS_'!N168)=4,"0"&amp;+'_DATA STT PAGOS_'!N168,+'_DATA STT PAGOS_'!N168)</f>
        <v>08413</v>
      </c>
      <c r="C163" s="76" t="str">
        <f>+'_DATA STT PAGOS_'!O168</f>
        <v>ANTUCO</v>
      </c>
      <c r="D163" s="80">
        <f>+'CALC MEC ESTAB Y ESTIM M FINAL'!U168</f>
        <v>4561603</v>
      </c>
      <c r="E163" s="77">
        <f>+'CALC MEC ESTAB Y ESTIM M FINAL'!Q168</f>
        <v>1.3668074751E-3</v>
      </c>
      <c r="F163" s="77">
        <f>+'CALC MEC ESTAB Y ESTIM M FINAL'!R168</f>
        <v>2.403182483E-4</v>
      </c>
      <c r="G163" s="80">
        <f>+'_Flujo con Glosa 08'!CE168</f>
        <v>221297</v>
      </c>
      <c r="H163" s="80">
        <f>+'_Flujo con Glosa 08'!CF168</f>
        <v>221297</v>
      </c>
      <c r="I163" s="80">
        <f>+'_Flujo con Glosa 08'!CG168</f>
        <v>201020</v>
      </c>
      <c r="J163" s="80">
        <f>+'_Flujo con Glosa 08'!CH168</f>
        <v>221297</v>
      </c>
      <c r="K163" s="80">
        <f>+'_Flujo con Glosa 08'!CI168</f>
        <v>583223</v>
      </c>
      <c r="L163" s="80">
        <f>+'_Flujo con Glosa 08'!CJ168</f>
        <v>227373</v>
      </c>
      <c r="M163" s="80">
        <f>+'_Flujo con Glosa 08'!CK168</f>
        <v>371652</v>
      </c>
      <c r="N163" s="80">
        <f>+'_Flujo con Glosa 08'!CL168</f>
        <v>221297</v>
      </c>
      <c r="O163" s="80">
        <f>+'_Flujo con Glosa 08'!CM168</f>
        <v>242558</v>
      </c>
      <c r="P163" s="80">
        <f>+'_Flujo con Glosa 08'!CN168</f>
        <v>385171</v>
      </c>
      <c r="Q163" s="80">
        <f>+'_Flujo con Glosa 08'!CO168</f>
        <v>221297</v>
      </c>
      <c r="R163" s="80">
        <f>+'_Flujo con Glosa 08'!CP168</f>
        <v>369966</v>
      </c>
      <c r="S163" s="80">
        <f t="shared" si="4"/>
        <v>3487448</v>
      </c>
      <c r="T163" s="80">
        <v>0</v>
      </c>
      <c r="U163" s="80">
        <v>0</v>
      </c>
      <c r="V163" s="80">
        <v>0</v>
      </c>
      <c r="W163" s="80">
        <v>0</v>
      </c>
      <c r="X163" s="80">
        <v>0</v>
      </c>
      <c r="Y163" s="80">
        <v>0</v>
      </c>
      <c r="Z163" s="80">
        <v>0</v>
      </c>
      <c r="AA163" s="80">
        <v>0</v>
      </c>
      <c r="AB163" s="80">
        <v>0</v>
      </c>
      <c r="AC163" s="80">
        <v>0</v>
      </c>
      <c r="AD163" s="80">
        <v>0</v>
      </c>
      <c r="AE163" s="80">
        <v>0</v>
      </c>
      <c r="AF163" s="80">
        <f t="shared" si="5"/>
        <v>0</v>
      </c>
      <c r="AG163" s="80">
        <f>+COEF_FCM!AM170</f>
        <v>15688</v>
      </c>
      <c r="AH163" s="80">
        <f>+COEF_FCM!AR170</f>
        <v>787</v>
      </c>
      <c r="AI163" s="80">
        <f>+COEF_FCM!AN170</f>
        <v>11543</v>
      </c>
      <c r="AJ163" s="80">
        <f>+COEF_FCM!AS170</f>
        <v>292</v>
      </c>
      <c r="AK163" s="80">
        <f>+COEF_FCM!AO170</f>
        <v>13745</v>
      </c>
      <c r="AL163" s="80">
        <f>+COEF_FCM!AT170</f>
        <v>458.90600000000001</v>
      </c>
      <c r="AM163" s="80">
        <f>+COEF_FCM!AP170</f>
        <v>12425</v>
      </c>
      <c r="AN163" s="80">
        <f>+COEF_FCM!AU170</f>
        <v>313</v>
      </c>
      <c r="AO163" s="80">
        <f>+COEF_FCM!AQ170</f>
        <v>53401</v>
      </c>
      <c r="AP163" s="80">
        <f>+COEF_FCM!AV170</f>
        <v>1850.9059999999999</v>
      </c>
      <c r="AQ163" s="80">
        <f>+_CIERRE!O163+_CIERRE!P163</f>
        <v>3063020.13</v>
      </c>
      <c r="AR163" s="80">
        <f>+_CIERRE!Q163+_CIERRE!R163</f>
        <v>3923884.1740000001</v>
      </c>
      <c r="AS163" s="80">
        <f>+_CIERRE!S163+_CIERRE!T163</f>
        <v>4519326.0999999996</v>
      </c>
      <c r="AT163" s="80">
        <f>+_CIERRE!U163+_CIERRE!V163</f>
        <v>4561602.5259999996</v>
      </c>
      <c r="AU163" s="80">
        <f>+'CALC MEC ESTAB Y ESTIM M FINAL'!T168</f>
        <v>4561603</v>
      </c>
      <c r="AV163" s="560">
        <v>0</v>
      </c>
      <c r="AW163" s="551">
        <v>0</v>
      </c>
      <c r="AX163" s="551">
        <v>0</v>
      </c>
      <c r="AY163" s="551">
        <v>0</v>
      </c>
      <c r="AZ163" s="551">
        <v>312294.76299999998</v>
      </c>
      <c r="BA163" s="551">
        <v>321343.554</v>
      </c>
    </row>
    <row r="164" spans="1:53" ht="3" customHeight="1" x14ac:dyDescent="0.2">
      <c r="A164" s="68" t="str">
        <f>IF(LEN(+'_DATA STT PAGOS_'!M169)=4,"0"&amp;+'_DATA STT PAGOS_'!M169,+'_DATA STT PAGOS_'!M169)</f>
        <v>08303</v>
      </c>
      <c r="B164" s="68" t="str">
        <f>IF(LEN(+'_DATA STT PAGOS_'!N169)=4,"0"&amp;+'_DATA STT PAGOS_'!N169,+'_DATA STT PAGOS_'!N169)</f>
        <v>08410</v>
      </c>
      <c r="C164" s="76" t="str">
        <f>+'_DATA STT PAGOS_'!O169</f>
        <v>CABRERO</v>
      </c>
      <c r="D164" s="80">
        <f>+'CALC MEC ESTAB Y ESTIM M FINAL'!U169</f>
        <v>10249473</v>
      </c>
      <c r="E164" s="77">
        <f>+'CALC MEC ESTAB Y ESTIM M FINAL'!Q169</f>
        <v>3.7180747424E-3</v>
      </c>
      <c r="F164" s="77">
        <f>+'CALC MEC ESTAB Y ESTIM M FINAL'!R169</f>
        <v>-1.0702161379999999E-4</v>
      </c>
      <c r="G164" s="80">
        <f>+'_Flujo con Glosa 08'!CE169</f>
        <v>484942</v>
      </c>
      <c r="H164" s="80">
        <f>+'_Flujo con Glosa 08'!CF169</f>
        <v>484942</v>
      </c>
      <c r="I164" s="80">
        <f>+'_Flujo con Glosa 08'!CG169</f>
        <v>451673</v>
      </c>
      <c r="J164" s="80">
        <f>+'_Flujo con Glosa 08'!CH169</f>
        <v>484942</v>
      </c>
      <c r="K164" s="80">
        <f>+'_Flujo con Glosa 08'!CI169</f>
        <v>1347316</v>
      </c>
      <c r="L164" s="80">
        <f>+'_Flujo con Glosa 08'!CJ169</f>
        <v>498593</v>
      </c>
      <c r="M164" s="80">
        <f>+'_Flujo con Glosa 08'!CK169</f>
        <v>829931</v>
      </c>
      <c r="N164" s="80">
        <f>+'_Flujo con Glosa 08'!CL169</f>
        <v>484942</v>
      </c>
      <c r="O164" s="80">
        <f>+'_Flujo con Glosa 08'!CM169</f>
        <v>545004</v>
      </c>
      <c r="P164" s="80">
        <f>+'_Flujo con Glosa 08'!CN169</f>
        <v>895155</v>
      </c>
      <c r="Q164" s="80">
        <f>+'_Flujo con Glosa 08'!CO169</f>
        <v>484942</v>
      </c>
      <c r="R164" s="80">
        <f>+'_Flujo con Glosa 08'!CP169</f>
        <v>843567</v>
      </c>
      <c r="S164" s="80">
        <f t="shared" si="4"/>
        <v>7835949</v>
      </c>
      <c r="T164" s="80">
        <v>0</v>
      </c>
      <c r="U164" s="80">
        <v>0</v>
      </c>
      <c r="V164" s="80">
        <v>0</v>
      </c>
      <c r="W164" s="80">
        <v>0</v>
      </c>
      <c r="X164" s="80">
        <v>0</v>
      </c>
      <c r="Y164" s="80">
        <v>0</v>
      </c>
      <c r="Z164" s="80">
        <v>0</v>
      </c>
      <c r="AA164" s="80">
        <v>0</v>
      </c>
      <c r="AB164" s="80">
        <v>0</v>
      </c>
      <c r="AC164" s="80">
        <v>0</v>
      </c>
      <c r="AD164" s="80">
        <v>0</v>
      </c>
      <c r="AE164" s="80">
        <v>0</v>
      </c>
      <c r="AF164" s="80">
        <f t="shared" si="5"/>
        <v>0</v>
      </c>
      <c r="AG164" s="80">
        <f>+COEF_FCM!AM171</f>
        <v>132968</v>
      </c>
      <c r="AH164" s="80">
        <f>+COEF_FCM!AR171</f>
        <v>2436</v>
      </c>
      <c r="AI164" s="80">
        <f>+COEF_FCM!AN171</f>
        <v>110291</v>
      </c>
      <c r="AJ164" s="80">
        <f>+COEF_FCM!AS171</f>
        <v>712</v>
      </c>
      <c r="AK164" s="80">
        <f>+COEF_FCM!AO171</f>
        <v>121221</v>
      </c>
      <c r="AL164" s="80">
        <f>+COEF_FCM!AT171</f>
        <v>1260.028</v>
      </c>
      <c r="AM164" s="80">
        <f>+COEF_FCM!AP171</f>
        <v>122013</v>
      </c>
      <c r="AN164" s="80">
        <f>+COEF_FCM!AU171</f>
        <v>1475</v>
      </c>
      <c r="AO164" s="80">
        <f>+COEF_FCM!AQ171</f>
        <v>486493</v>
      </c>
      <c r="AP164" s="80">
        <f>+COEF_FCM!AV171</f>
        <v>5883.0280000000002</v>
      </c>
      <c r="AQ164" s="80">
        <f>+_CIERRE!O164+_CIERRE!P164</f>
        <v>7055392.0810000002</v>
      </c>
      <c r="AR164" s="80">
        <f>+_CIERRE!Q164+_CIERRE!R164</f>
        <v>8486021.2290000003</v>
      </c>
      <c r="AS164" s="80">
        <f>+_CIERRE!S164+_CIERRE!T164</f>
        <v>9903470.9649999999</v>
      </c>
      <c r="AT164" s="80">
        <f>+_CIERRE!U164+_CIERRE!V164</f>
        <v>9996113.5669999998</v>
      </c>
      <c r="AU164" s="80">
        <f>+'CALC MEC ESTAB Y ESTIM M FINAL'!T169</f>
        <v>10249473</v>
      </c>
      <c r="AV164" s="560">
        <v>0</v>
      </c>
      <c r="AW164" s="551">
        <v>0</v>
      </c>
      <c r="AX164" s="551">
        <v>0</v>
      </c>
      <c r="AY164" s="551">
        <v>0</v>
      </c>
      <c r="AZ164" s="551">
        <v>510784.37199999997</v>
      </c>
      <c r="BA164" s="551">
        <v>533895.85900000005</v>
      </c>
    </row>
    <row r="165" spans="1:53" ht="3" customHeight="1" x14ac:dyDescent="0.2">
      <c r="A165" s="68" t="str">
        <f>IF(LEN(+'_DATA STT PAGOS_'!M170)=4,"0"&amp;+'_DATA STT PAGOS_'!M170,+'_DATA STT PAGOS_'!M170)</f>
        <v>08304</v>
      </c>
      <c r="B165" s="68" t="str">
        <f>IF(LEN(+'_DATA STT PAGOS_'!N170)=4,"0"&amp;+'_DATA STT PAGOS_'!N170,+'_DATA STT PAGOS_'!N170)</f>
        <v>08403</v>
      </c>
      <c r="C165" s="76" t="str">
        <f>+'_DATA STT PAGOS_'!O170</f>
        <v>LAJA</v>
      </c>
      <c r="D165" s="80">
        <f>+'CALC MEC ESTAB Y ESTIM M FINAL'!U170</f>
        <v>7010067</v>
      </c>
      <c r="E165" s="77">
        <f>+'CALC MEC ESTAB Y ESTIM M FINAL'!Q170</f>
        <v>2.6795338677E-3</v>
      </c>
      <c r="F165" s="77">
        <f>+'CALC MEC ESTAB Y ESTIM M FINAL'!R170</f>
        <v>-2.0977527199999999E-4</v>
      </c>
      <c r="G165" s="80">
        <f>+'_Flujo con Glosa 08'!CE170</f>
        <v>315831</v>
      </c>
      <c r="H165" s="80">
        <f>+'_Flujo con Glosa 08'!CF170</f>
        <v>315831</v>
      </c>
      <c r="I165" s="80">
        <f>+'_Flujo con Glosa 08'!CG170</f>
        <v>308919</v>
      </c>
      <c r="J165" s="80">
        <f>+'_Flujo con Glosa 08'!CH170</f>
        <v>315831</v>
      </c>
      <c r="K165" s="80">
        <f>+'_Flujo con Glosa 08'!CI170</f>
        <v>969015</v>
      </c>
      <c r="L165" s="80">
        <f>+'_Flujo con Glosa 08'!CJ170</f>
        <v>325168</v>
      </c>
      <c r="M165" s="80">
        <f>+'_Flujo con Glosa 08'!CK170</f>
        <v>583468</v>
      </c>
      <c r="N165" s="80">
        <f>+'_Flujo con Glosa 08'!CL170</f>
        <v>315831</v>
      </c>
      <c r="O165" s="80">
        <f>+'_Flujo con Glosa 08'!CM170</f>
        <v>372752</v>
      </c>
      <c r="P165" s="80">
        <f>+'_Flujo con Glosa 08'!CN170</f>
        <v>628079</v>
      </c>
      <c r="Q165" s="80">
        <f>+'_Flujo con Glosa 08'!CO170</f>
        <v>315831</v>
      </c>
      <c r="R165" s="80">
        <f>+'_Flujo con Glosa 08'!CP170</f>
        <v>592795</v>
      </c>
      <c r="S165" s="80">
        <f t="shared" si="4"/>
        <v>5359351</v>
      </c>
      <c r="T165" s="80">
        <v>0</v>
      </c>
      <c r="U165" s="80">
        <v>0</v>
      </c>
      <c r="V165" s="80">
        <v>0</v>
      </c>
      <c r="W165" s="80">
        <v>0</v>
      </c>
      <c r="X165" s="80">
        <v>0</v>
      </c>
      <c r="Y165" s="80">
        <v>0</v>
      </c>
      <c r="Z165" s="80">
        <v>0</v>
      </c>
      <c r="AA165" s="80">
        <v>0</v>
      </c>
      <c r="AB165" s="80">
        <v>0</v>
      </c>
      <c r="AC165" s="80">
        <v>0</v>
      </c>
      <c r="AD165" s="80">
        <v>0</v>
      </c>
      <c r="AE165" s="80">
        <v>0</v>
      </c>
      <c r="AF165" s="80">
        <f t="shared" si="5"/>
        <v>0</v>
      </c>
      <c r="AG165" s="80">
        <f>+COEF_FCM!AM172</f>
        <v>70293</v>
      </c>
      <c r="AH165" s="80">
        <f>+COEF_FCM!AR172</f>
        <v>1081</v>
      </c>
      <c r="AI165" s="80">
        <f>+COEF_FCM!AN172</f>
        <v>57182</v>
      </c>
      <c r="AJ165" s="80">
        <f>+COEF_FCM!AS172</f>
        <v>652</v>
      </c>
      <c r="AK165" s="80">
        <f>+COEF_FCM!AO172</f>
        <v>62116</v>
      </c>
      <c r="AL165" s="80">
        <f>+COEF_FCM!AT172</f>
        <v>626.73099999999999</v>
      </c>
      <c r="AM165" s="80">
        <f>+COEF_FCM!AP172</f>
        <v>57782</v>
      </c>
      <c r="AN165" s="80">
        <f>+COEF_FCM!AU172</f>
        <v>594</v>
      </c>
      <c r="AO165" s="80">
        <f>+COEF_FCM!AQ172</f>
        <v>247373</v>
      </c>
      <c r="AP165" s="80">
        <f>+COEF_FCM!AV172</f>
        <v>2953.7309999999998</v>
      </c>
      <c r="AQ165" s="80">
        <f>+_CIERRE!O165+_CIERRE!P165</f>
        <v>4849958.1220000004</v>
      </c>
      <c r="AR165" s="80">
        <f>+_CIERRE!Q165+_CIERRE!R165</f>
        <v>5562117.3870000001</v>
      </c>
      <c r="AS165" s="80">
        <f>+_CIERRE!S165+_CIERRE!T165</f>
        <v>6186522.2850000001</v>
      </c>
      <c r="AT165" s="80">
        <f>+_CIERRE!U165+_CIERRE!V165</f>
        <v>6513451.2690000003</v>
      </c>
      <c r="AU165" s="80">
        <f>+'CALC MEC ESTAB Y ESTIM M FINAL'!T170</f>
        <v>7010067</v>
      </c>
      <c r="AV165" s="560">
        <v>0</v>
      </c>
      <c r="AW165" s="551">
        <v>0</v>
      </c>
      <c r="AX165" s="551">
        <v>0</v>
      </c>
      <c r="AY165" s="551">
        <v>0</v>
      </c>
      <c r="AZ165" s="551">
        <v>456671.57400000002</v>
      </c>
      <c r="BA165" s="551">
        <v>480892.06400000001</v>
      </c>
    </row>
    <row r="166" spans="1:53" ht="3" customHeight="1" x14ac:dyDescent="0.2">
      <c r="A166" s="68" t="str">
        <f>IF(LEN(+'_DATA STT PAGOS_'!M171)=4,"0"&amp;+'_DATA STT PAGOS_'!M171,+'_DATA STT PAGOS_'!M171)</f>
        <v>08305</v>
      </c>
      <c r="B166" s="68" t="str">
        <f>IF(LEN(+'_DATA STT PAGOS_'!N171)=4,"0"&amp;+'_DATA STT PAGOS_'!N171,+'_DATA STT PAGOS_'!N171)</f>
        <v>08407</v>
      </c>
      <c r="C166" s="76" t="str">
        <f>+'_DATA STT PAGOS_'!O171</f>
        <v>MULCHÉN</v>
      </c>
      <c r="D166" s="80">
        <f>+'CALC MEC ESTAB Y ESTIM M FINAL'!U171</f>
        <v>5491840</v>
      </c>
      <c r="E166" s="77">
        <f>+'CALC MEC ESTAB Y ESTIM M FINAL'!Q171</f>
        <v>1.9041084119999999E-3</v>
      </c>
      <c r="F166" s="77">
        <f>+'CALC MEC ESTAB Y ESTIM M FINAL'!R171</f>
        <v>3.0754718199999998E-5</v>
      </c>
      <c r="G166" s="80">
        <f>+'_Flujo con Glosa 08'!CE171</f>
        <v>266426</v>
      </c>
      <c r="H166" s="80">
        <f>+'_Flujo con Glosa 08'!CF171</f>
        <v>266426</v>
      </c>
      <c r="I166" s="80">
        <f>+'_Flujo con Glosa 08'!CG171</f>
        <v>242014</v>
      </c>
      <c r="J166" s="80">
        <f>+'_Flujo con Glosa 08'!CH171</f>
        <v>266426</v>
      </c>
      <c r="K166" s="80">
        <f>+'_Flujo con Glosa 08'!CI171</f>
        <v>702158</v>
      </c>
      <c r="L166" s="80">
        <f>+'_Flujo con Glosa 08'!CJ171</f>
        <v>273741</v>
      </c>
      <c r="M166" s="80">
        <f>+'_Flujo con Glosa 08'!CK171</f>
        <v>447442</v>
      </c>
      <c r="N166" s="80">
        <f>+'_Flujo con Glosa 08'!CL171</f>
        <v>266426</v>
      </c>
      <c r="O166" s="80">
        <f>+'_Flujo con Glosa 08'!CM171</f>
        <v>292022</v>
      </c>
      <c r="P166" s="80">
        <f>+'_Flujo con Glosa 08'!CN171</f>
        <v>463716</v>
      </c>
      <c r="Q166" s="80">
        <f>+'_Flujo con Glosa 08'!CO171</f>
        <v>266426</v>
      </c>
      <c r="R166" s="80">
        <f>+'_Flujo con Glosa 08'!CP171</f>
        <v>445410</v>
      </c>
      <c r="S166" s="80">
        <f t="shared" si="4"/>
        <v>4198633</v>
      </c>
      <c r="T166" s="80">
        <v>0</v>
      </c>
      <c r="U166" s="80">
        <v>0</v>
      </c>
      <c r="V166" s="80">
        <v>0</v>
      </c>
      <c r="W166" s="80">
        <v>0</v>
      </c>
      <c r="X166" s="80">
        <v>0</v>
      </c>
      <c r="Y166" s="80">
        <v>0</v>
      </c>
      <c r="Z166" s="80">
        <v>0</v>
      </c>
      <c r="AA166" s="80">
        <v>0</v>
      </c>
      <c r="AB166" s="80">
        <v>0</v>
      </c>
      <c r="AC166" s="80">
        <v>0</v>
      </c>
      <c r="AD166" s="80">
        <v>0</v>
      </c>
      <c r="AE166" s="80">
        <v>0</v>
      </c>
      <c r="AF166" s="80">
        <f t="shared" si="5"/>
        <v>0</v>
      </c>
      <c r="AG166" s="80">
        <f>+COEF_FCM!AM173</f>
        <v>164914</v>
      </c>
      <c r="AH166" s="80">
        <f>+COEF_FCM!AR173</f>
        <v>998</v>
      </c>
      <c r="AI166" s="80">
        <f>+COEF_FCM!AN173</f>
        <v>156458</v>
      </c>
      <c r="AJ166" s="80">
        <f>+COEF_FCM!AS173</f>
        <v>845</v>
      </c>
      <c r="AK166" s="80">
        <f>+COEF_FCM!AO173</f>
        <v>168296</v>
      </c>
      <c r="AL166" s="80">
        <f>+COEF_FCM!AT173</f>
        <v>1612.3219999999999</v>
      </c>
      <c r="AM166" s="80">
        <f>+COEF_FCM!AP173</f>
        <v>152319</v>
      </c>
      <c r="AN166" s="80">
        <f>+COEF_FCM!AU173</f>
        <v>1453</v>
      </c>
      <c r="AO166" s="80">
        <f>+COEF_FCM!AQ173</f>
        <v>641987</v>
      </c>
      <c r="AP166" s="80">
        <f>+COEF_FCM!AV173</f>
        <v>4908.3220000000001</v>
      </c>
      <c r="AQ166" s="80">
        <f>+_CIERRE!O166+_CIERRE!P166</f>
        <v>4852039.7319999998</v>
      </c>
      <c r="AR166" s="80">
        <f>+_CIERRE!Q166+_CIERRE!R166</f>
        <v>5260489.7779999999</v>
      </c>
      <c r="AS166" s="80">
        <f>+_CIERRE!S166+_CIERRE!T166</f>
        <v>5440942.4040000001</v>
      </c>
      <c r="AT166" s="80">
        <f>+_CIERRE!U166+_CIERRE!V166</f>
        <v>5491839.6009999998</v>
      </c>
      <c r="AU166" s="80">
        <f>+'CALC MEC ESTAB Y ESTIM M FINAL'!T171</f>
        <v>5491840</v>
      </c>
      <c r="AV166" s="560">
        <v>0</v>
      </c>
      <c r="AW166" s="551">
        <v>0</v>
      </c>
      <c r="AX166" s="551">
        <v>0</v>
      </c>
      <c r="AY166" s="551">
        <v>0</v>
      </c>
      <c r="AZ166" s="551">
        <v>556098.06000000006</v>
      </c>
      <c r="BA166" s="551">
        <v>571603.19400000002</v>
      </c>
    </row>
    <row r="167" spans="1:53" ht="3" customHeight="1" x14ac:dyDescent="0.2">
      <c r="A167" s="68" t="str">
        <f>IF(LEN(+'_DATA STT PAGOS_'!M172)=4,"0"&amp;+'_DATA STT PAGOS_'!M172,+'_DATA STT PAGOS_'!M172)</f>
        <v>08306</v>
      </c>
      <c r="B167" s="68" t="str">
        <f>IF(LEN(+'_DATA STT PAGOS_'!N172)=4,"0"&amp;+'_DATA STT PAGOS_'!N172,+'_DATA STT PAGOS_'!N172)</f>
        <v>08405</v>
      </c>
      <c r="C167" s="76" t="str">
        <f>+'_DATA STT PAGOS_'!O172</f>
        <v>NACIMIENTO</v>
      </c>
      <c r="D167" s="80">
        <f>+'CALC MEC ESTAB Y ESTIM M FINAL'!U172</f>
        <v>6723911</v>
      </c>
      <c r="E167" s="77">
        <f>+'CALC MEC ESTAB Y ESTIM M FINAL'!Q172</f>
        <v>2.6372971153999997E-3</v>
      </c>
      <c r="F167" s="77">
        <f>+'CALC MEC ESTAB Y ESTIM M FINAL'!R172</f>
        <v>-2.6835590569999998E-4</v>
      </c>
      <c r="G167" s="80">
        <f>+'_Flujo con Glosa 08'!CE172</f>
        <v>295311</v>
      </c>
      <c r="H167" s="80">
        <f>+'_Flujo con Glosa 08'!CF172</f>
        <v>295311</v>
      </c>
      <c r="I167" s="80">
        <f>+'_Flujo con Glosa 08'!CG172</f>
        <v>296309</v>
      </c>
      <c r="J167" s="80">
        <f>+'_Flujo con Glosa 08'!CH172</f>
        <v>295311</v>
      </c>
      <c r="K167" s="80">
        <f>+'_Flujo con Glosa 08'!CI172</f>
        <v>952342</v>
      </c>
      <c r="L167" s="80">
        <f>+'_Flujo con Glosa 08'!CJ172</f>
        <v>304267</v>
      </c>
      <c r="M167" s="80">
        <f>+'_Flujo con Glosa 08'!CK172</f>
        <v>567279</v>
      </c>
      <c r="N167" s="80">
        <f>+'_Flujo con Glosa 08'!CL172</f>
        <v>295311</v>
      </c>
      <c r="O167" s="80">
        <f>+'_Flujo con Glosa 08'!CM172</f>
        <v>357536</v>
      </c>
      <c r="P167" s="80">
        <f>+'_Flujo con Glosa 08'!CN172</f>
        <v>610067</v>
      </c>
      <c r="Q167" s="80">
        <f>+'_Flujo con Glosa 08'!CO172</f>
        <v>295311</v>
      </c>
      <c r="R167" s="80">
        <f>+'_Flujo con Glosa 08'!CP172</f>
        <v>576224</v>
      </c>
      <c r="S167" s="80">
        <f t="shared" si="4"/>
        <v>5140579</v>
      </c>
      <c r="T167" s="80">
        <v>0</v>
      </c>
      <c r="U167" s="80">
        <v>0</v>
      </c>
      <c r="V167" s="80">
        <v>0</v>
      </c>
      <c r="W167" s="80">
        <v>0</v>
      </c>
      <c r="X167" s="80">
        <v>0</v>
      </c>
      <c r="Y167" s="80">
        <v>0</v>
      </c>
      <c r="Z167" s="80">
        <v>0</v>
      </c>
      <c r="AA167" s="80">
        <v>0</v>
      </c>
      <c r="AB167" s="80">
        <v>0</v>
      </c>
      <c r="AC167" s="80">
        <v>0</v>
      </c>
      <c r="AD167" s="80">
        <v>0</v>
      </c>
      <c r="AE167" s="80">
        <v>0</v>
      </c>
      <c r="AF167" s="80">
        <f t="shared" si="5"/>
        <v>0</v>
      </c>
      <c r="AG167" s="80">
        <f>+COEF_FCM!AM174</f>
        <v>183565</v>
      </c>
      <c r="AH167" s="80">
        <f>+COEF_FCM!AR174</f>
        <v>2974</v>
      </c>
      <c r="AI167" s="80">
        <f>+COEF_FCM!AN174</f>
        <v>141737</v>
      </c>
      <c r="AJ167" s="80">
        <f>+COEF_FCM!AS174</f>
        <v>1693</v>
      </c>
      <c r="AK167" s="80">
        <f>+COEF_FCM!AO174</f>
        <v>150984</v>
      </c>
      <c r="AL167" s="80">
        <f>+COEF_FCM!AT174</f>
        <v>2235.8850000000002</v>
      </c>
      <c r="AM167" s="80">
        <f>+COEF_FCM!AP174</f>
        <v>102578</v>
      </c>
      <c r="AN167" s="80">
        <f>+COEF_FCM!AU174</f>
        <v>2291</v>
      </c>
      <c r="AO167" s="80">
        <f>+COEF_FCM!AQ174</f>
        <v>578864</v>
      </c>
      <c r="AP167" s="80">
        <f>+COEF_FCM!AV174</f>
        <v>9193.8850000000002</v>
      </c>
      <c r="AQ167" s="80">
        <f>+_CIERRE!O167+_CIERRE!P167</f>
        <v>4350690.1689999998</v>
      </c>
      <c r="AR167" s="80">
        <f>+_CIERRE!Q167+_CIERRE!R167</f>
        <v>4915734.75</v>
      </c>
      <c r="AS167" s="80">
        <f>+_CIERRE!S167+_CIERRE!T167</f>
        <v>5340493.1629999997</v>
      </c>
      <c r="AT167" s="80">
        <f>+_CIERRE!U167+_CIERRE!V167</f>
        <v>6088613.6359999999</v>
      </c>
      <c r="AU167" s="80">
        <f>+'CALC MEC ESTAB Y ESTIM M FINAL'!T172</f>
        <v>6723911</v>
      </c>
      <c r="AV167" s="560">
        <v>0</v>
      </c>
      <c r="AW167" s="551">
        <v>0</v>
      </c>
      <c r="AX167" s="551">
        <v>0</v>
      </c>
      <c r="AY167" s="551">
        <v>0</v>
      </c>
      <c r="AZ167" s="551">
        <v>491383.23599999998</v>
      </c>
      <c r="BA167" s="551">
        <v>494098.65299999999</v>
      </c>
    </row>
    <row r="168" spans="1:53" ht="3" customHeight="1" x14ac:dyDescent="0.2">
      <c r="A168" s="68" t="str">
        <f>IF(LEN(+'_DATA STT PAGOS_'!M173)=4,"0"&amp;+'_DATA STT PAGOS_'!M173,+'_DATA STT PAGOS_'!M173)</f>
        <v>08307</v>
      </c>
      <c r="B168" s="68" t="str">
        <f>IF(LEN(+'_DATA STT PAGOS_'!N173)=4,"0"&amp;+'_DATA STT PAGOS_'!N173,+'_DATA STT PAGOS_'!N173)</f>
        <v>08406</v>
      </c>
      <c r="C168" s="76" t="str">
        <f>+'_DATA STT PAGOS_'!O173</f>
        <v>NEGRETE</v>
      </c>
      <c r="D168" s="80">
        <f>+'CALC MEC ESTAB Y ESTIM M FINAL'!U173</f>
        <v>3650423</v>
      </c>
      <c r="E168" s="77">
        <f>+'CALC MEC ESTAB Y ESTIM M FINAL'!Q173</f>
        <v>1.4121244970999999E-3</v>
      </c>
      <c r="F168" s="77">
        <f>+'CALC MEC ESTAB Y ESTIM M FINAL'!R173</f>
        <v>-1.260220142E-4</v>
      </c>
      <c r="G168" s="80">
        <f>+'_Flujo con Glosa 08'!CE173</f>
        <v>162633</v>
      </c>
      <c r="H168" s="80">
        <f>+'_Flujo con Glosa 08'!CF173</f>
        <v>162633</v>
      </c>
      <c r="I168" s="80">
        <f>+'_Flujo con Glosa 08'!CG173</f>
        <v>160867</v>
      </c>
      <c r="J168" s="80">
        <f>+'_Flujo con Glosa 08'!CH173</f>
        <v>162633</v>
      </c>
      <c r="K168" s="80">
        <f>+'_Flujo con Glosa 08'!CI173</f>
        <v>510104</v>
      </c>
      <c r="L168" s="80">
        <f>+'_Flujo con Glosa 08'!CJ173</f>
        <v>167495</v>
      </c>
      <c r="M168" s="80">
        <f>+'_Flujo con Glosa 08'!CK173</f>
        <v>305668</v>
      </c>
      <c r="N168" s="80">
        <f>+'_Flujo con Glosa 08'!CL173</f>
        <v>162633</v>
      </c>
      <c r="O168" s="80">
        <f>+'_Flujo con Glosa 08'!CM173</f>
        <v>194107</v>
      </c>
      <c r="P168" s="80">
        <f>+'_Flujo con Glosa 08'!CN173</f>
        <v>328899</v>
      </c>
      <c r="Q168" s="80">
        <f>+'_Flujo con Glosa 08'!CO173</f>
        <v>162633</v>
      </c>
      <c r="R168" s="80">
        <f>+'_Flujo con Glosa 08'!CP173</f>
        <v>310525</v>
      </c>
      <c r="S168" s="80">
        <f t="shared" si="4"/>
        <v>2790830</v>
      </c>
      <c r="T168" s="80">
        <v>0</v>
      </c>
      <c r="U168" s="80">
        <v>0</v>
      </c>
      <c r="V168" s="80">
        <v>0</v>
      </c>
      <c r="W168" s="80">
        <v>0</v>
      </c>
      <c r="X168" s="80">
        <v>0</v>
      </c>
      <c r="Y168" s="80">
        <v>0</v>
      </c>
      <c r="Z168" s="80">
        <v>0</v>
      </c>
      <c r="AA168" s="80">
        <v>0</v>
      </c>
      <c r="AB168" s="80">
        <v>0</v>
      </c>
      <c r="AC168" s="80">
        <v>0</v>
      </c>
      <c r="AD168" s="80">
        <v>0</v>
      </c>
      <c r="AE168" s="80">
        <v>0</v>
      </c>
      <c r="AF168" s="80">
        <f t="shared" si="5"/>
        <v>0</v>
      </c>
      <c r="AG168" s="80">
        <f>+COEF_FCM!AM175</f>
        <v>20750</v>
      </c>
      <c r="AH168" s="80">
        <f>+COEF_FCM!AR175</f>
        <v>289</v>
      </c>
      <c r="AI168" s="80">
        <f>+COEF_FCM!AN175</f>
        <v>18844</v>
      </c>
      <c r="AJ168" s="80">
        <f>+COEF_FCM!AS175</f>
        <v>289</v>
      </c>
      <c r="AK168" s="80">
        <f>+COEF_FCM!AO175</f>
        <v>18779</v>
      </c>
      <c r="AL168" s="80">
        <f>+COEF_FCM!AT175</f>
        <v>329.97199999999998</v>
      </c>
      <c r="AM168" s="80">
        <f>+COEF_FCM!AP175</f>
        <v>16382</v>
      </c>
      <c r="AN168" s="80">
        <f>+COEF_FCM!AU175</f>
        <v>289</v>
      </c>
      <c r="AO168" s="80">
        <f>+COEF_FCM!AQ175</f>
        <v>74755</v>
      </c>
      <c r="AP168" s="80">
        <f>+COEF_FCM!AV175</f>
        <v>1196.972</v>
      </c>
      <c r="AQ168" s="80">
        <f>+_CIERRE!O168+_CIERRE!P168</f>
        <v>2538845.861</v>
      </c>
      <c r="AR168" s="80">
        <f>+_CIERRE!Q168+_CIERRE!R168</f>
        <v>2889259.077</v>
      </c>
      <c r="AS168" s="80">
        <f>+_CIERRE!S168+_CIERRE!T168</f>
        <v>3069321.588</v>
      </c>
      <c r="AT168" s="80">
        <f>+_CIERRE!U168+_CIERRE!V168</f>
        <v>3352083.1129999999</v>
      </c>
      <c r="AU168" s="80">
        <f>+'CALC MEC ESTAB Y ESTIM M FINAL'!T173</f>
        <v>3650423</v>
      </c>
      <c r="AV168" s="560">
        <v>0</v>
      </c>
      <c r="AW168" s="551">
        <v>0</v>
      </c>
      <c r="AX168" s="551">
        <v>0</v>
      </c>
      <c r="AY168" s="551">
        <v>0</v>
      </c>
      <c r="AZ168" s="551">
        <v>355558.13400000002</v>
      </c>
      <c r="BA168" s="551">
        <v>369962.34</v>
      </c>
    </row>
    <row r="169" spans="1:53" ht="3" customHeight="1" x14ac:dyDescent="0.2">
      <c r="A169" s="68" t="str">
        <f>IF(LEN(+'_DATA STT PAGOS_'!M174)=4,"0"&amp;+'_DATA STT PAGOS_'!M174,+'_DATA STT PAGOS_'!M174)</f>
        <v>08308</v>
      </c>
      <c r="B169" s="68" t="str">
        <f>IF(LEN(+'_DATA STT PAGOS_'!N174)=4,"0"&amp;+'_DATA STT PAGOS_'!N174,+'_DATA STT PAGOS_'!N174)</f>
        <v>08408</v>
      </c>
      <c r="C169" s="76" t="str">
        <f>+'_DATA STT PAGOS_'!O174</f>
        <v>QUILACO</v>
      </c>
      <c r="D169" s="80">
        <f>+'CALC MEC ESTAB Y ESTIM M FINAL'!U174</f>
        <v>2449516</v>
      </c>
      <c r="E169" s="77">
        <f>+'CALC MEC ESTAB Y ESTIM M FINAL'!Q174</f>
        <v>9.058392305999999E-4</v>
      </c>
      <c r="F169" s="77">
        <f>+'CALC MEC ESTAB Y ESTIM M FINAL'!R174</f>
        <v>-4.2835632899999999E-5</v>
      </c>
      <c r="G169" s="80">
        <f>+'_Flujo con Glosa 08'!CE174</f>
        <v>113911</v>
      </c>
      <c r="H169" s="80">
        <f>+'_Flujo con Glosa 08'!CF174</f>
        <v>113911</v>
      </c>
      <c r="I169" s="80">
        <f>+'_Flujo con Glosa 08'!CG174</f>
        <v>107945</v>
      </c>
      <c r="J169" s="80">
        <f>+'_Flujo con Glosa 08'!CH174</f>
        <v>113911</v>
      </c>
      <c r="K169" s="80">
        <f>+'_Flujo con Glosa 08'!CI174</f>
        <v>327950</v>
      </c>
      <c r="L169" s="80">
        <f>+'_Flujo con Glosa 08'!CJ174</f>
        <v>117174</v>
      </c>
      <c r="M169" s="80">
        <f>+'_Flujo con Glosa 08'!CK174</f>
        <v>200330</v>
      </c>
      <c r="N169" s="80">
        <f>+'_Flujo con Glosa 08'!CL174</f>
        <v>113911</v>
      </c>
      <c r="O169" s="80">
        <f>+'_Flujo con Glosa 08'!CM174</f>
        <v>130250</v>
      </c>
      <c r="P169" s="80">
        <f>+'_Flujo con Glosa 08'!CN174</f>
        <v>215917</v>
      </c>
      <c r="Q169" s="80">
        <f>+'_Flujo con Glosa 08'!CO174</f>
        <v>113911</v>
      </c>
      <c r="R169" s="80">
        <f>+'_Flujo con Glosa 08'!CP174</f>
        <v>203588</v>
      </c>
      <c r="S169" s="80">
        <f t="shared" si="4"/>
        <v>1872709</v>
      </c>
      <c r="T169" s="80">
        <v>0</v>
      </c>
      <c r="U169" s="80">
        <v>0</v>
      </c>
      <c r="V169" s="80">
        <v>0</v>
      </c>
      <c r="W169" s="80">
        <v>0</v>
      </c>
      <c r="X169" s="80">
        <v>0</v>
      </c>
      <c r="Y169" s="80">
        <v>0</v>
      </c>
      <c r="Z169" s="80">
        <v>0</v>
      </c>
      <c r="AA169" s="80">
        <v>0</v>
      </c>
      <c r="AB169" s="80">
        <v>0</v>
      </c>
      <c r="AC169" s="80">
        <v>0</v>
      </c>
      <c r="AD169" s="80">
        <v>0</v>
      </c>
      <c r="AE169" s="80">
        <v>0</v>
      </c>
      <c r="AF169" s="80">
        <f t="shared" si="5"/>
        <v>0</v>
      </c>
      <c r="AG169" s="80">
        <f>+COEF_FCM!AM176</f>
        <v>30447</v>
      </c>
      <c r="AH169" s="80">
        <f>+COEF_FCM!AR176</f>
        <v>1184</v>
      </c>
      <c r="AI169" s="80">
        <f>+COEF_FCM!AN176</f>
        <v>28163</v>
      </c>
      <c r="AJ169" s="80">
        <f>+COEF_FCM!AS176</f>
        <v>548</v>
      </c>
      <c r="AK169" s="80">
        <f>+COEF_FCM!AO176</f>
        <v>33932</v>
      </c>
      <c r="AL169" s="80">
        <f>+COEF_FCM!AT176</f>
        <v>821.05600000000004</v>
      </c>
      <c r="AM169" s="80">
        <f>+COEF_FCM!AP176</f>
        <v>26969</v>
      </c>
      <c r="AN169" s="80">
        <f>+COEF_FCM!AU176</f>
        <v>438</v>
      </c>
      <c r="AO169" s="80">
        <f>+COEF_FCM!AQ176</f>
        <v>119511</v>
      </c>
      <c r="AP169" s="80">
        <f>+COEF_FCM!AV176</f>
        <v>2991.056</v>
      </c>
      <c r="AQ169" s="80">
        <f>+_CIERRE!O169+_CIERRE!P169</f>
        <v>1786948.09</v>
      </c>
      <c r="AR169" s="80">
        <f>+_CIERRE!Q169+_CIERRE!R169</f>
        <v>2061782.818</v>
      </c>
      <c r="AS169" s="80">
        <f>+_CIERRE!S169+_CIERRE!T169</f>
        <v>2259662.0520000001</v>
      </c>
      <c r="AT169" s="80">
        <f>+_CIERRE!U169+_CIERRE!V169</f>
        <v>2348109.1690000002</v>
      </c>
      <c r="AU169" s="80">
        <f>+'CALC MEC ESTAB Y ESTIM M FINAL'!T174</f>
        <v>2449516</v>
      </c>
      <c r="AV169" s="560">
        <v>0</v>
      </c>
      <c r="AW169" s="551">
        <v>0</v>
      </c>
      <c r="AX169" s="551">
        <v>0</v>
      </c>
      <c r="AY169" s="551">
        <v>0</v>
      </c>
      <c r="AZ169" s="551">
        <v>309618.49300000002</v>
      </c>
      <c r="BA169" s="551">
        <v>319008.56599999999</v>
      </c>
    </row>
    <row r="170" spans="1:53" ht="3" customHeight="1" x14ac:dyDescent="0.2">
      <c r="A170" s="68" t="str">
        <f>IF(LEN(+'_DATA STT PAGOS_'!M175)=4,"0"&amp;+'_DATA STT PAGOS_'!M175,+'_DATA STT PAGOS_'!M175)</f>
        <v>08309</v>
      </c>
      <c r="B170" s="68" t="str">
        <f>IF(LEN(+'_DATA STT PAGOS_'!N175)=4,"0"&amp;+'_DATA STT PAGOS_'!N175,+'_DATA STT PAGOS_'!N175)</f>
        <v>08404</v>
      </c>
      <c r="C170" s="76" t="str">
        <f>+'_DATA STT PAGOS_'!O175</f>
        <v>QUILLECO</v>
      </c>
      <c r="D170" s="80">
        <f>+'CALC MEC ESTAB Y ESTIM M FINAL'!U175</f>
        <v>3332175</v>
      </c>
      <c r="E170" s="77">
        <f>+'CALC MEC ESTAB Y ESTIM M FINAL'!Q175</f>
        <v>1.1970073828E-3</v>
      </c>
      <c r="F170" s="77">
        <f>+'CALC MEC ESTAB Y ESTIM M FINAL'!R175</f>
        <v>-2.3028781300000002E-5</v>
      </c>
      <c r="G170" s="80">
        <f>+'_Flujo con Glosa 08'!CE175</f>
        <v>158952</v>
      </c>
      <c r="H170" s="80">
        <f>+'_Flujo con Glosa 08'!CF175</f>
        <v>158952</v>
      </c>
      <c r="I170" s="80">
        <f>+'_Flujo con Glosa 08'!CG175</f>
        <v>146842</v>
      </c>
      <c r="J170" s="80">
        <f>+'_Flujo con Glosa 08'!CH175</f>
        <v>158952</v>
      </c>
      <c r="K170" s="80">
        <f>+'_Flujo con Glosa 08'!CI175</f>
        <v>434139</v>
      </c>
      <c r="L170" s="80">
        <f>+'_Flujo con Glosa 08'!CJ175</f>
        <v>163390</v>
      </c>
      <c r="M170" s="80">
        <f>+'_Flujo con Glosa 08'!CK175</f>
        <v>268522</v>
      </c>
      <c r="N170" s="80">
        <f>+'_Flujo con Glosa 08'!CL175</f>
        <v>158952</v>
      </c>
      <c r="O170" s="80">
        <f>+'_Flujo con Glosa 08'!CM175</f>
        <v>177184</v>
      </c>
      <c r="P170" s="80">
        <f>+'_Flujo con Glosa 08'!CN175</f>
        <v>289727</v>
      </c>
      <c r="Q170" s="80">
        <f>+'_Flujo con Glosa 08'!CO175</f>
        <v>158952</v>
      </c>
      <c r="R170" s="80">
        <f>+'_Flujo con Glosa 08'!CP175</f>
        <v>272955</v>
      </c>
      <c r="S170" s="80">
        <f t="shared" si="4"/>
        <v>2547519</v>
      </c>
      <c r="T170" s="80">
        <v>0</v>
      </c>
      <c r="U170" s="80">
        <v>0</v>
      </c>
      <c r="V170" s="80">
        <v>0</v>
      </c>
      <c r="W170" s="80">
        <v>0</v>
      </c>
      <c r="X170" s="80">
        <v>0</v>
      </c>
      <c r="Y170" s="80">
        <v>0</v>
      </c>
      <c r="Z170" s="80">
        <v>0</v>
      </c>
      <c r="AA170" s="80">
        <v>0</v>
      </c>
      <c r="AB170" s="80">
        <v>0</v>
      </c>
      <c r="AC170" s="80">
        <v>0</v>
      </c>
      <c r="AD170" s="80">
        <v>0</v>
      </c>
      <c r="AE170" s="80">
        <v>0</v>
      </c>
      <c r="AF170" s="80">
        <f t="shared" si="5"/>
        <v>0</v>
      </c>
      <c r="AG170" s="80">
        <f>+COEF_FCM!AM177</f>
        <v>61655</v>
      </c>
      <c r="AH170" s="80">
        <f>+COEF_FCM!AR177</f>
        <v>121</v>
      </c>
      <c r="AI170" s="80">
        <f>+COEF_FCM!AN177</f>
        <v>60767</v>
      </c>
      <c r="AJ170" s="80">
        <f>+COEF_FCM!AS177</f>
        <v>132</v>
      </c>
      <c r="AK170" s="80">
        <f>+COEF_FCM!AO177</f>
        <v>64876</v>
      </c>
      <c r="AL170" s="80">
        <f>+COEF_FCM!AT177</f>
        <v>105.51900000000001</v>
      </c>
      <c r="AM170" s="80">
        <f>+COEF_FCM!AP177</f>
        <v>47296</v>
      </c>
      <c r="AN170" s="80">
        <f>+COEF_FCM!AU177</f>
        <v>100</v>
      </c>
      <c r="AO170" s="80">
        <f>+COEF_FCM!AQ177</f>
        <v>234594</v>
      </c>
      <c r="AP170" s="80">
        <f>+COEF_FCM!AV177</f>
        <v>458.51900000000001</v>
      </c>
      <c r="AQ170" s="80">
        <f>+_CIERRE!O170+_CIERRE!P170</f>
        <v>2599169.1460000002</v>
      </c>
      <c r="AR170" s="80">
        <f>+_CIERRE!Q170+_CIERRE!R170</f>
        <v>2999090.4389999998</v>
      </c>
      <c r="AS170" s="80">
        <f>+_CIERRE!S170+_CIERRE!T170</f>
        <v>3209085.9380000001</v>
      </c>
      <c r="AT170" s="80">
        <f>+_CIERRE!U170+_CIERRE!V170</f>
        <v>3277657.3369999998</v>
      </c>
      <c r="AU170" s="80">
        <f>+'CALC MEC ESTAB Y ESTIM M FINAL'!T175</f>
        <v>3332175</v>
      </c>
      <c r="AV170" s="560">
        <v>0</v>
      </c>
      <c r="AW170" s="551">
        <v>0</v>
      </c>
      <c r="AX170" s="551">
        <v>0</v>
      </c>
      <c r="AY170" s="551">
        <v>0</v>
      </c>
      <c r="AZ170" s="551">
        <v>392260.65899999999</v>
      </c>
      <c r="BA170" s="551">
        <v>388214.67599999998</v>
      </c>
    </row>
    <row r="171" spans="1:53" ht="3" customHeight="1" x14ac:dyDescent="0.2">
      <c r="A171" s="68" t="str">
        <f>IF(LEN(+'_DATA STT PAGOS_'!M176)=4,"0"&amp;+'_DATA STT PAGOS_'!M176,+'_DATA STT PAGOS_'!M176)</f>
        <v>08310</v>
      </c>
      <c r="B171" s="68" t="str">
        <f>IF(LEN(+'_DATA STT PAGOS_'!N176)=4,"0"&amp;+'_DATA STT PAGOS_'!N176,+'_DATA STT PAGOS_'!N176)</f>
        <v>08411</v>
      </c>
      <c r="C171" s="76" t="str">
        <f>+'_DATA STT PAGOS_'!O176</f>
        <v>SAN ROSENDO</v>
      </c>
      <c r="D171" s="80">
        <f>+'CALC MEC ESTAB Y ESTIM M FINAL'!U176</f>
        <v>2965078</v>
      </c>
      <c r="E171" s="77">
        <f>+'CALC MEC ESTAB Y ESTIM M FINAL'!Q176</f>
        <v>1.0484229606E-3</v>
      </c>
      <c r="F171" s="77">
        <f>+'CALC MEC ESTAB Y ESTIM M FINAL'!R176</f>
        <v>-3.7785888000000002E-6</v>
      </c>
      <c r="G171" s="80">
        <f>+'_Flujo con Glosa 08'!CE176</f>
        <v>143411</v>
      </c>
      <c r="H171" s="80">
        <f>+'_Flujo con Glosa 08'!CF176</f>
        <v>143411</v>
      </c>
      <c r="I171" s="80">
        <f>+'_Flujo con Glosa 08'!CG176</f>
        <v>130665</v>
      </c>
      <c r="J171" s="80">
        <f>+'_Flujo con Glosa 08'!CH176</f>
        <v>143411</v>
      </c>
      <c r="K171" s="80">
        <f>+'_Flujo con Glosa 08'!CI176</f>
        <v>380401</v>
      </c>
      <c r="L171" s="80">
        <f>+'_Flujo con Glosa 08'!CJ176</f>
        <v>147360</v>
      </c>
      <c r="M171" s="80">
        <f>+'_Flujo con Glosa 08'!CK176</f>
        <v>240918</v>
      </c>
      <c r="N171" s="80">
        <f>+'_Flujo con Glosa 08'!CL176</f>
        <v>143411</v>
      </c>
      <c r="O171" s="80">
        <f>+'_Flujo con Glosa 08'!CM176</f>
        <v>157665</v>
      </c>
      <c r="P171" s="80">
        <f>+'_Flujo con Glosa 08'!CN176</f>
        <v>251889</v>
      </c>
      <c r="Q171" s="80">
        <f>+'_Flujo con Glosa 08'!CO176</f>
        <v>143411</v>
      </c>
      <c r="R171" s="80">
        <f>+'_Flujo con Glosa 08'!CP176</f>
        <v>240915</v>
      </c>
      <c r="S171" s="80">
        <f t="shared" si="4"/>
        <v>2266868</v>
      </c>
      <c r="T171" s="80">
        <v>0</v>
      </c>
      <c r="U171" s="80">
        <v>0</v>
      </c>
      <c r="V171" s="80">
        <v>0</v>
      </c>
      <c r="W171" s="80">
        <v>0</v>
      </c>
      <c r="X171" s="80">
        <v>0</v>
      </c>
      <c r="Y171" s="80">
        <v>0</v>
      </c>
      <c r="Z171" s="80">
        <v>0</v>
      </c>
      <c r="AA171" s="80">
        <v>0</v>
      </c>
      <c r="AB171" s="80">
        <v>0</v>
      </c>
      <c r="AC171" s="80">
        <v>0</v>
      </c>
      <c r="AD171" s="80">
        <v>0</v>
      </c>
      <c r="AE171" s="80">
        <v>0</v>
      </c>
      <c r="AF171" s="80">
        <f t="shared" si="5"/>
        <v>0</v>
      </c>
      <c r="AG171" s="80">
        <f>+COEF_FCM!AM178</f>
        <v>4759</v>
      </c>
      <c r="AH171" s="80">
        <f>+COEF_FCM!AR178</f>
        <v>368</v>
      </c>
      <c r="AI171" s="80">
        <f>+COEF_FCM!AN178</f>
        <v>3258</v>
      </c>
      <c r="AJ171" s="80">
        <f>+COEF_FCM!AS178</f>
        <v>308</v>
      </c>
      <c r="AK171" s="80">
        <f>+COEF_FCM!AO178</f>
        <v>3973</v>
      </c>
      <c r="AL171" s="80">
        <f>+COEF_FCM!AT178</f>
        <v>177.619</v>
      </c>
      <c r="AM171" s="80">
        <f>+COEF_FCM!AP178</f>
        <v>2780</v>
      </c>
      <c r="AN171" s="80">
        <f>+COEF_FCM!AU178</f>
        <v>347</v>
      </c>
      <c r="AO171" s="80">
        <f>+COEF_FCM!AQ178</f>
        <v>14770</v>
      </c>
      <c r="AP171" s="80">
        <f>+COEF_FCM!AV178</f>
        <v>1200.6190000000001</v>
      </c>
      <c r="AQ171" s="80">
        <f>+_CIERRE!O171+_CIERRE!P171</f>
        <v>2264839.162</v>
      </c>
      <c r="AR171" s="80">
        <f>+_CIERRE!Q171+_CIERRE!R171</f>
        <v>2639627.372</v>
      </c>
      <c r="AS171" s="80">
        <f>+_CIERRE!S171+_CIERRE!T171</f>
        <v>2927465.3220000002</v>
      </c>
      <c r="AT171" s="80">
        <f>+_CIERRE!U171+_CIERRE!V171</f>
        <v>2956133.57</v>
      </c>
      <c r="AU171" s="80">
        <f>+'CALC MEC ESTAB Y ESTIM M FINAL'!T176</f>
        <v>2965078</v>
      </c>
      <c r="AV171" s="560">
        <v>0</v>
      </c>
      <c r="AW171" s="551">
        <v>0</v>
      </c>
      <c r="AX171" s="551">
        <v>0</v>
      </c>
      <c r="AY171" s="551">
        <v>0</v>
      </c>
      <c r="AZ171" s="551">
        <v>329719.43599999999</v>
      </c>
      <c r="BA171" s="551">
        <v>329907.20799999998</v>
      </c>
    </row>
    <row r="172" spans="1:53" ht="3" customHeight="1" x14ac:dyDescent="0.2">
      <c r="A172" s="68" t="str">
        <f>IF(LEN(+'_DATA STT PAGOS_'!M177)=4,"0"&amp;+'_DATA STT PAGOS_'!M177,+'_DATA STT PAGOS_'!M177)</f>
        <v>08311</v>
      </c>
      <c r="B172" s="68" t="str">
        <f>IF(LEN(+'_DATA STT PAGOS_'!N177)=4,"0"&amp;+'_DATA STT PAGOS_'!N177,+'_DATA STT PAGOS_'!N177)</f>
        <v>08402</v>
      </c>
      <c r="C172" s="76" t="str">
        <f>+'_DATA STT PAGOS_'!O177</f>
        <v>SANTA BÁRBARA</v>
      </c>
      <c r="D172" s="80">
        <f>+'CALC MEC ESTAB Y ESTIM M FINAL'!U177</f>
        <v>3674876</v>
      </c>
      <c r="E172" s="77">
        <f>+'CALC MEC ESTAB Y ESTIM M FINAL'!Q177</f>
        <v>1.3357340684E-3</v>
      </c>
      <c r="F172" s="77">
        <f>+'CALC MEC ESTAB Y ESTIM M FINAL'!R177</f>
        <v>-4.1016625600000001E-5</v>
      </c>
      <c r="G172" s="80">
        <f>+'_Flujo con Glosa 08'!CE177</f>
        <v>173467</v>
      </c>
      <c r="H172" s="80">
        <f>+'_Flujo con Glosa 08'!CF177</f>
        <v>173467</v>
      </c>
      <c r="I172" s="80">
        <f>+'_Flujo con Glosa 08'!CG177</f>
        <v>161944</v>
      </c>
      <c r="J172" s="80">
        <f>+'_Flujo con Glosa 08'!CH177</f>
        <v>173467</v>
      </c>
      <c r="K172" s="80">
        <f>+'_Flujo con Glosa 08'!CI177</f>
        <v>484286</v>
      </c>
      <c r="L172" s="80">
        <f>+'_Flujo con Glosa 08'!CJ177</f>
        <v>178362</v>
      </c>
      <c r="M172" s="80">
        <f>+'_Flujo con Glosa 08'!CK177</f>
        <v>297971</v>
      </c>
      <c r="N172" s="80">
        <f>+'_Flujo con Glosa 08'!CL177</f>
        <v>173467</v>
      </c>
      <c r="O172" s="80">
        <f>+'_Flujo con Glosa 08'!CM177</f>
        <v>195407</v>
      </c>
      <c r="P172" s="80">
        <f>+'_Flujo con Glosa 08'!CN177</f>
        <v>321357</v>
      </c>
      <c r="Q172" s="80">
        <f>+'_Flujo con Glosa 08'!CO177</f>
        <v>173467</v>
      </c>
      <c r="R172" s="80">
        <f>+'_Flujo con Glosa 08'!CP177</f>
        <v>302860</v>
      </c>
      <c r="S172" s="80">
        <f t="shared" si="4"/>
        <v>2809522</v>
      </c>
      <c r="T172" s="80">
        <v>0</v>
      </c>
      <c r="U172" s="80">
        <v>0</v>
      </c>
      <c r="V172" s="80">
        <v>0</v>
      </c>
      <c r="W172" s="80">
        <v>0</v>
      </c>
      <c r="X172" s="80">
        <v>0</v>
      </c>
      <c r="Y172" s="80">
        <v>0</v>
      </c>
      <c r="Z172" s="80">
        <v>0</v>
      </c>
      <c r="AA172" s="80">
        <v>0</v>
      </c>
      <c r="AB172" s="80">
        <v>0</v>
      </c>
      <c r="AC172" s="80">
        <v>0</v>
      </c>
      <c r="AD172" s="80">
        <v>0</v>
      </c>
      <c r="AE172" s="80">
        <v>0</v>
      </c>
      <c r="AF172" s="80">
        <f t="shared" si="5"/>
        <v>0</v>
      </c>
      <c r="AG172" s="80">
        <f>+COEF_FCM!AM179</f>
        <v>66433</v>
      </c>
      <c r="AH172" s="80">
        <f>+COEF_FCM!AR179</f>
        <v>475</v>
      </c>
      <c r="AI172" s="80">
        <f>+COEF_FCM!AN179</f>
        <v>58935</v>
      </c>
      <c r="AJ172" s="80">
        <f>+COEF_FCM!AS179</f>
        <v>319</v>
      </c>
      <c r="AK172" s="80">
        <f>+COEF_FCM!AO179</f>
        <v>62464</v>
      </c>
      <c r="AL172" s="80">
        <f>+COEF_FCM!AT179</f>
        <v>377.108</v>
      </c>
      <c r="AM172" s="80">
        <f>+COEF_FCM!AP179</f>
        <v>50922</v>
      </c>
      <c r="AN172" s="80">
        <f>+COEF_FCM!AU179</f>
        <v>335</v>
      </c>
      <c r="AO172" s="80">
        <f>+COEF_FCM!AQ179</f>
        <v>238754</v>
      </c>
      <c r="AP172" s="80">
        <f>+COEF_FCM!AV179</f>
        <v>1506.1079999999999</v>
      </c>
      <c r="AQ172" s="80">
        <f>+_CIERRE!O172+_CIERRE!P172</f>
        <v>2837795.781</v>
      </c>
      <c r="AR172" s="80">
        <f>+_CIERRE!Q172+_CIERRE!R172</f>
        <v>3153561.07</v>
      </c>
      <c r="AS172" s="80">
        <f>+_CIERRE!S172+_CIERRE!T172</f>
        <v>3479306.7949999999</v>
      </c>
      <c r="AT172" s="80">
        <f>+_CIERRE!U172+_CIERRE!V172</f>
        <v>3577774.6529999999</v>
      </c>
      <c r="AU172" s="80">
        <f>+'CALC MEC ESTAB Y ESTIM M FINAL'!T177</f>
        <v>3674876</v>
      </c>
      <c r="AV172" s="560">
        <v>0</v>
      </c>
      <c r="AW172" s="551">
        <v>0</v>
      </c>
      <c r="AX172" s="551">
        <v>0</v>
      </c>
      <c r="AY172" s="551">
        <v>0</v>
      </c>
      <c r="AZ172" s="551">
        <v>423223.95899999997</v>
      </c>
      <c r="BA172" s="551">
        <v>421962.15700000001</v>
      </c>
    </row>
    <row r="173" spans="1:53" ht="3" customHeight="1" x14ac:dyDescent="0.2">
      <c r="A173" s="68" t="str">
        <f>IF(LEN(+'_DATA STT PAGOS_'!M178)=4,"0"&amp;+'_DATA STT PAGOS_'!M178,+'_DATA STT PAGOS_'!M178)</f>
        <v>08312</v>
      </c>
      <c r="B173" s="68" t="str">
        <f>IF(LEN(+'_DATA STT PAGOS_'!N178)=4,"0"&amp;+'_DATA STT PAGOS_'!N178,+'_DATA STT PAGOS_'!N178)</f>
        <v>08412</v>
      </c>
      <c r="C173" s="76" t="str">
        <f>+'_DATA STT PAGOS_'!O178</f>
        <v>TUCAPEL</v>
      </c>
      <c r="D173" s="80">
        <f>+'CALC MEC ESTAB Y ESTIM M FINAL'!U178</f>
        <v>5255898</v>
      </c>
      <c r="E173" s="77">
        <f>+'CALC MEC ESTAB Y ESTIM M FINAL'!Q178</f>
        <v>2.081820409E-3</v>
      </c>
      <c r="F173" s="77">
        <f>+'CALC MEC ESTAB Y ESTIM M FINAL'!R178</f>
        <v>-2.300834693E-4</v>
      </c>
      <c r="G173" s="80">
        <f>+'_Flujo con Glosa 08'!CE178</f>
        <v>228564</v>
      </c>
      <c r="H173" s="80">
        <f>+'_Flujo con Glosa 08'!CF178</f>
        <v>228564</v>
      </c>
      <c r="I173" s="80">
        <f>+'_Flujo con Glosa 08'!CG178</f>
        <v>231617</v>
      </c>
      <c r="J173" s="80">
        <f>+'_Flujo con Glosa 08'!CH178</f>
        <v>228564</v>
      </c>
      <c r="K173" s="80">
        <f>+'_Flujo con Glosa 08'!CI178</f>
        <v>751239</v>
      </c>
      <c r="L173" s="80">
        <f>+'_Flujo con Glosa 08'!CJ178</f>
        <v>235564</v>
      </c>
      <c r="M173" s="80">
        <f>+'_Flujo con Glosa 08'!CK178</f>
        <v>445699</v>
      </c>
      <c r="N173" s="80">
        <f>+'_Flujo con Glosa 08'!CL178</f>
        <v>228564</v>
      </c>
      <c r="O173" s="80">
        <f>+'_Flujo con Glosa 08'!CM178</f>
        <v>279477</v>
      </c>
      <c r="P173" s="80">
        <f>+'_Flujo con Glosa 08'!CN178</f>
        <v>479146</v>
      </c>
      <c r="Q173" s="80">
        <f>+'_Flujo con Glosa 08'!CO178</f>
        <v>228564</v>
      </c>
      <c r="R173" s="80">
        <f>+'_Flujo con Glosa 08'!CP178</f>
        <v>452691</v>
      </c>
      <c r="S173" s="80">
        <f t="shared" si="4"/>
        <v>4018253</v>
      </c>
      <c r="T173" s="80">
        <v>0</v>
      </c>
      <c r="U173" s="80">
        <v>0</v>
      </c>
      <c r="V173" s="80">
        <v>0</v>
      </c>
      <c r="W173" s="80">
        <v>0</v>
      </c>
      <c r="X173" s="80">
        <v>0</v>
      </c>
      <c r="Y173" s="80">
        <v>0</v>
      </c>
      <c r="Z173" s="80">
        <v>0</v>
      </c>
      <c r="AA173" s="80">
        <v>0</v>
      </c>
      <c r="AB173" s="80">
        <v>0</v>
      </c>
      <c r="AC173" s="80">
        <v>0</v>
      </c>
      <c r="AD173" s="80">
        <v>0</v>
      </c>
      <c r="AE173" s="80">
        <v>0</v>
      </c>
      <c r="AF173" s="80">
        <f t="shared" si="5"/>
        <v>0</v>
      </c>
      <c r="AG173" s="80">
        <f>+COEF_FCM!AM180</f>
        <v>47446</v>
      </c>
      <c r="AH173" s="80">
        <f>+COEF_FCM!AR180</f>
        <v>1794</v>
      </c>
      <c r="AI173" s="80">
        <f>+COEF_FCM!AN180</f>
        <v>39616</v>
      </c>
      <c r="AJ173" s="80">
        <f>+COEF_FCM!AS180</f>
        <v>1152</v>
      </c>
      <c r="AK173" s="80">
        <f>+COEF_FCM!AO180</f>
        <v>43340</v>
      </c>
      <c r="AL173" s="80">
        <f>+COEF_FCM!AT180</f>
        <v>1499.723</v>
      </c>
      <c r="AM173" s="80">
        <f>+COEF_FCM!AP180</f>
        <v>40292</v>
      </c>
      <c r="AN173" s="80">
        <f>+COEF_FCM!AU180</f>
        <v>1711</v>
      </c>
      <c r="AO173" s="80">
        <f>+COEF_FCM!AQ180</f>
        <v>170694</v>
      </c>
      <c r="AP173" s="80">
        <f>+COEF_FCM!AV180</f>
        <v>6156.723</v>
      </c>
      <c r="AQ173" s="80">
        <f>+_CIERRE!O173+_CIERRE!P173</f>
        <v>3271661.1889999998</v>
      </c>
      <c r="AR173" s="80">
        <f>+_CIERRE!Q173+_CIERRE!R173</f>
        <v>3653547.6170000001</v>
      </c>
      <c r="AS173" s="80">
        <f>+_CIERRE!S173+_CIERRE!T173</f>
        <v>3926504.1669999999</v>
      </c>
      <c r="AT173" s="80">
        <f>+_CIERRE!U173+_CIERRE!V173</f>
        <v>4711206.0580000002</v>
      </c>
      <c r="AU173" s="80">
        <f>+'CALC MEC ESTAB Y ESTIM M FINAL'!T178</f>
        <v>5255898</v>
      </c>
      <c r="AV173" s="560">
        <v>0</v>
      </c>
      <c r="AW173" s="551">
        <v>0</v>
      </c>
      <c r="AX173" s="551">
        <v>0</v>
      </c>
      <c r="AY173" s="551">
        <v>0</v>
      </c>
      <c r="AZ173" s="551">
        <v>392101.38099999999</v>
      </c>
      <c r="BA173" s="551">
        <v>418408.75799999997</v>
      </c>
    </row>
    <row r="174" spans="1:53" ht="3" customHeight="1" x14ac:dyDescent="0.2">
      <c r="A174" s="68" t="str">
        <f>IF(LEN(+'_DATA STT PAGOS_'!M179)=4,"0"&amp;+'_DATA STT PAGOS_'!M179,+'_DATA STT PAGOS_'!M179)</f>
        <v>08313</v>
      </c>
      <c r="B174" s="68" t="str">
        <f>IF(LEN(+'_DATA STT PAGOS_'!N179)=4,"0"&amp;+'_DATA STT PAGOS_'!N179,+'_DATA STT PAGOS_'!N179)</f>
        <v>08409</v>
      </c>
      <c r="C174" s="76" t="str">
        <f>+'_DATA STT PAGOS_'!O179</f>
        <v>YUMBEL</v>
      </c>
      <c r="D174" s="80">
        <f>+'CALC MEC ESTAB Y ESTIM M FINAL'!U179</f>
        <v>10644908</v>
      </c>
      <c r="E174" s="77">
        <f>+'CALC MEC ESTAB Y ESTIM M FINAL'!Q179</f>
        <v>4.3441790906999997E-3</v>
      </c>
      <c r="F174" s="77">
        <f>+'CALC MEC ESTAB Y ESTIM M FINAL'!R179</f>
        <v>-5.9380778569999998E-4</v>
      </c>
      <c r="G174" s="80">
        <f>+'_Flujo con Glosa 08'!CE179</f>
        <v>448213</v>
      </c>
      <c r="H174" s="80">
        <f>+'_Flujo con Glosa 08'!CF179</f>
        <v>448213</v>
      </c>
      <c r="I174" s="80">
        <f>+'_Flujo con Glosa 08'!CG179</f>
        <v>469099</v>
      </c>
      <c r="J174" s="80">
        <f>+'_Flujo con Glosa 08'!CH179</f>
        <v>448213</v>
      </c>
      <c r="K174" s="80">
        <f>+'_Flujo con Glosa 08'!CI179</f>
        <v>1565611</v>
      </c>
      <c r="L174" s="80">
        <f>+'_Flujo con Glosa 08'!CJ179</f>
        <v>462391</v>
      </c>
      <c r="M174" s="80">
        <f>+'_Flujo con Glosa 08'!CK179</f>
        <v>917389</v>
      </c>
      <c r="N174" s="80">
        <f>+'_Flujo con Glosa 08'!CL179</f>
        <v>448213</v>
      </c>
      <c r="O174" s="80">
        <f>+'_Flujo con Glosa 08'!CM179</f>
        <v>566030</v>
      </c>
      <c r="P174" s="80">
        <f>+'_Flujo con Glosa 08'!CN179</f>
        <v>985130</v>
      </c>
      <c r="Q174" s="80">
        <f>+'_Flujo con Glosa 08'!CO179</f>
        <v>448213</v>
      </c>
      <c r="R174" s="80">
        <f>+'_Flujo con Glosa 08'!CP179</f>
        <v>931551</v>
      </c>
      <c r="S174" s="80">
        <f t="shared" si="4"/>
        <v>8138266</v>
      </c>
      <c r="T174" s="80">
        <v>0</v>
      </c>
      <c r="U174" s="80">
        <v>0</v>
      </c>
      <c r="V174" s="80">
        <v>0</v>
      </c>
      <c r="W174" s="80">
        <v>0</v>
      </c>
      <c r="X174" s="80">
        <v>0</v>
      </c>
      <c r="Y174" s="80">
        <v>0</v>
      </c>
      <c r="Z174" s="80">
        <v>0</v>
      </c>
      <c r="AA174" s="80">
        <v>0</v>
      </c>
      <c r="AB174" s="80">
        <v>0</v>
      </c>
      <c r="AC174" s="80">
        <v>0</v>
      </c>
      <c r="AD174" s="80">
        <v>0</v>
      </c>
      <c r="AE174" s="80">
        <v>0</v>
      </c>
      <c r="AF174" s="80">
        <f t="shared" si="5"/>
        <v>0</v>
      </c>
      <c r="AG174" s="80">
        <f>+COEF_FCM!AM181</f>
        <v>55106</v>
      </c>
      <c r="AH174" s="80">
        <f>+COEF_FCM!AR181</f>
        <v>0</v>
      </c>
      <c r="AI174" s="80">
        <f>+COEF_FCM!AN181</f>
        <v>37943</v>
      </c>
      <c r="AJ174" s="80">
        <f>+COEF_FCM!AS181</f>
        <v>0</v>
      </c>
      <c r="AK174" s="80">
        <f>+COEF_FCM!AO181</f>
        <v>48495</v>
      </c>
      <c r="AL174" s="80">
        <f>+COEF_FCM!AT181</f>
        <v>0</v>
      </c>
      <c r="AM174" s="80">
        <f>+COEF_FCM!AP181</f>
        <v>36043</v>
      </c>
      <c r="AN174" s="80">
        <f>+COEF_FCM!AU181</f>
        <v>0</v>
      </c>
      <c r="AO174" s="80">
        <f>+COEF_FCM!AQ181</f>
        <v>177587</v>
      </c>
      <c r="AP174" s="80">
        <f>+COEF_FCM!AV181</f>
        <v>0</v>
      </c>
      <c r="AQ174" s="80">
        <f>+_CIERRE!O174+_CIERRE!P174</f>
        <v>6516732.4029999999</v>
      </c>
      <c r="AR174" s="80">
        <f>+_CIERRE!Q174+_CIERRE!R174</f>
        <v>7453114.8439999996</v>
      </c>
      <c r="AS174" s="80">
        <f>+_CIERRE!S174+_CIERRE!T174</f>
        <v>8092827.4589999998</v>
      </c>
      <c r="AT174" s="80">
        <f>+_CIERRE!U174+_CIERRE!V174</f>
        <v>9239145.5779999997</v>
      </c>
      <c r="AU174" s="80">
        <f>+'CALC MEC ESTAB Y ESTIM M FINAL'!T179</f>
        <v>10644908</v>
      </c>
      <c r="AV174" s="560">
        <v>0</v>
      </c>
      <c r="AW174" s="551">
        <v>0</v>
      </c>
      <c r="AX174" s="551">
        <v>0</v>
      </c>
      <c r="AY174" s="551">
        <v>0</v>
      </c>
      <c r="AZ174" s="551">
        <v>566151.91200000001</v>
      </c>
      <c r="BA174" s="551">
        <v>578561.08299999998</v>
      </c>
    </row>
    <row r="175" spans="1:53" ht="3" customHeight="1" x14ac:dyDescent="0.2">
      <c r="A175" s="68" t="str">
        <f>IF(LEN(+'_DATA STT PAGOS_'!M180)=4,"0"&amp;+'_DATA STT PAGOS_'!M180,+'_DATA STT PAGOS_'!M180)</f>
        <v>08314</v>
      </c>
      <c r="B175" s="68" t="str">
        <f>IF(LEN(+'_DATA STT PAGOS_'!N180)=4,"0"&amp;+'_DATA STT PAGOS_'!N180,+'_DATA STT PAGOS_'!N180)</f>
        <v>08414</v>
      </c>
      <c r="C175" s="76" t="str">
        <f>+'_DATA STT PAGOS_'!O180</f>
        <v>ALTO BIOBÍO</v>
      </c>
      <c r="D175" s="80">
        <f>+'CALC MEC ESTAB Y ESTIM M FINAL'!U180</f>
        <v>3185691</v>
      </c>
      <c r="E175" s="77">
        <f>+'CALC MEC ESTAB Y ESTIM M FINAL'!Q180</f>
        <v>1.1859718866000001E-3</v>
      </c>
      <c r="F175" s="77">
        <f>+'CALC MEC ESTAB Y ESTIM M FINAL'!R180</f>
        <v>-6.3602193299999995E-5</v>
      </c>
      <c r="G175" s="80">
        <f>+'_Flujo con Glosa 08'!CE180</f>
        <v>147168</v>
      </c>
      <c r="H175" s="80">
        <f>+'_Flujo con Glosa 08'!CF180</f>
        <v>147168</v>
      </c>
      <c r="I175" s="80">
        <f>+'_Flujo con Glosa 08'!CG180</f>
        <v>140387</v>
      </c>
      <c r="J175" s="80">
        <f>+'_Flujo con Glosa 08'!CH180</f>
        <v>147168</v>
      </c>
      <c r="K175" s="80">
        <f>+'_Flujo con Glosa 08'!CI180</f>
        <v>429444</v>
      </c>
      <c r="L175" s="80">
        <f>+'_Flujo con Glosa 08'!CJ180</f>
        <v>151411</v>
      </c>
      <c r="M175" s="80">
        <f>+'_Flujo con Glosa 08'!CK180</f>
        <v>261514</v>
      </c>
      <c r="N175" s="80">
        <f>+'_Flujo con Glosa 08'!CL180</f>
        <v>147168</v>
      </c>
      <c r="O175" s="80">
        <f>+'_Flujo con Glosa 08'!CM180</f>
        <v>169395</v>
      </c>
      <c r="P175" s="80">
        <f>+'_Flujo con Glosa 08'!CN180</f>
        <v>281787</v>
      </c>
      <c r="Q175" s="80">
        <f>+'_Flujo con Glosa 08'!CO180</f>
        <v>147168</v>
      </c>
      <c r="R175" s="80">
        <f>+'_Flujo con Glosa 08'!CP180</f>
        <v>265753</v>
      </c>
      <c r="S175" s="80">
        <f t="shared" si="4"/>
        <v>2435531</v>
      </c>
      <c r="T175" s="80">
        <v>0</v>
      </c>
      <c r="U175" s="80">
        <v>0</v>
      </c>
      <c r="V175" s="80">
        <v>0</v>
      </c>
      <c r="W175" s="80">
        <v>0</v>
      </c>
      <c r="X175" s="80">
        <v>0</v>
      </c>
      <c r="Y175" s="80">
        <v>0</v>
      </c>
      <c r="Z175" s="80">
        <v>0</v>
      </c>
      <c r="AA175" s="80">
        <v>0</v>
      </c>
      <c r="AB175" s="80">
        <v>0</v>
      </c>
      <c r="AC175" s="80">
        <v>0</v>
      </c>
      <c r="AD175" s="80">
        <v>0</v>
      </c>
      <c r="AE175" s="80">
        <v>0</v>
      </c>
      <c r="AF175" s="80">
        <f t="shared" si="5"/>
        <v>0</v>
      </c>
      <c r="AG175" s="80">
        <f>+COEF_FCM!AM182</f>
        <v>18347</v>
      </c>
      <c r="AH175" s="80">
        <f>+COEF_FCM!AR182</f>
        <v>0</v>
      </c>
      <c r="AI175" s="80">
        <f>+COEF_FCM!AN182</f>
        <v>17369</v>
      </c>
      <c r="AJ175" s="80">
        <f>+COEF_FCM!AS182</f>
        <v>0</v>
      </c>
      <c r="AK175" s="80">
        <f>+COEF_FCM!AO182</f>
        <v>20138</v>
      </c>
      <c r="AL175" s="80">
        <f>+COEF_FCM!AT182</f>
        <v>0</v>
      </c>
      <c r="AM175" s="80">
        <f>+COEF_FCM!AP182</f>
        <v>20450</v>
      </c>
      <c r="AN175" s="80">
        <f>+COEF_FCM!AU182</f>
        <v>0</v>
      </c>
      <c r="AO175" s="80">
        <f>+COEF_FCM!AQ182</f>
        <v>76304</v>
      </c>
      <c r="AP175" s="80">
        <f>+COEF_FCM!AV182</f>
        <v>0</v>
      </c>
      <c r="AQ175" s="80">
        <f>+_CIERRE!O175+_CIERRE!P175</f>
        <v>2388131.2489999998</v>
      </c>
      <c r="AR175" s="80">
        <f>+_CIERRE!Q175+_CIERRE!R175</f>
        <v>2677081.9909999999</v>
      </c>
      <c r="AS175" s="80">
        <f>+_CIERRE!S175+_CIERRE!T175</f>
        <v>2959172.767</v>
      </c>
      <c r="AT175" s="80">
        <f>+_CIERRE!U175+_CIERRE!V175</f>
        <v>3035121.3330000001</v>
      </c>
      <c r="AU175" s="80">
        <f>+'CALC MEC ESTAB Y ESTIM M FINAL'!T180</f>
        <v>3185691</v>
      </c>
      <c r="AV175" s="560">
        <v>0</v>
      </c>
      <c r="AW175" s="551">
        <v>0</v>
      </c>
      <c r="AX175" s="551">
        <v>0</v>
      </c>
      <c r="AY175" s="551">
        <v>0</v>
      </c>
      <c r="AZ175" s="551">
        <v>321025.50699999998</v>
      </c>
      <c r="BA175" s="551">
        <v>336984.016</v>
      </c>
    </row>
    <row r="176" spans="1:53" ht="3" customHeight="1" x14ac:dyDescent="0.2">
      <c r="A176" s="68" t="str">
        <f>IF(LEN(+'_DATA STT PAGOS_'!M181)=4,"0"&amp;+'_DATA STT PAGOS_'!M181,+'_DATA STT PAGOS_'!M181)</f>
        <v>09101</v>
      </c>
      <c r="B176" s="68" t="str">
        <f>IF(LEN(+'_DATA STT PAGOS_'!N181)=4,"0"&amp;+'_DATA STT PAGOS_'!N181,+'_DATA STT PAGOS_'!N181)</f>
        <v>09201</v>
      </c>
      <c r="C176" s="76" t="str">
        <f>+'_DATA STT PAGOS_'!O181</f>
        <v>TEMUCO</v>
      </c>
      <c r="D176" s="80">
        <f>+'CALC MEC ESTAB Y ESTIM M FINAL'!U181</f>
        <v>35040142</v>
      </c>
      <c r="E176" s="77">
        <f>+'CALC MEC ESTAB Y ESTIM M FINAL'!Q181</f>
        <v>1.15398987641E-2</v>
      </c>
      <c r="F176" s="77">
        <f>+'CALC MEC ESTAB Y ESTIM M FINAL'!R181</f>
        <v>8.0530306429999995E-4</v>
      </c>
      <c r="G176" s="80">
        <f>+'_Flujo con Glosa 08'!CE181</f>
        <v>1699904</v>
      </c>
      <c r="H176" s="80">
        <f>+'_Flujo con Glosa 08'!CF181</f>
        <v>1699904</v>
      </c>
      <c r="I176" s="80">
        <f>+'_Flujo con Glosa 08'!CG181</f>
        <v>1544147</v>
      </c>
      <c r="J176" s="80">
        <f>+'_Flujo con Glosa 08'!CH181</f>
        <v>1699904</v>
      </c>
      <c r="K176" s="80">
        <f>+'_Flujo con Glosa 08'!CI181</f>
        <v>4480045</v>
      </c>
      <c r="L176" s="80">
        <f>+'_Flujo con Glosa 08'!CJ181</f>
        <v>1746574</v>
      </c>
      <c r="M176" s="80">
        <f>+'_Flujo con Glosa 08'!CK181</f>
        <v>2854859</v>
      </c>
      <c r="N176" s="80">
        <f>+'_Flujo con Glosa 08'!CL181</f>
        <v>1699904</v>
      </c>
      <c r="O176" s="80">
        <f>+'_Flujo con Glosa 08'!CM181</f>
        <v>1863218</v>
      </c>
      <c r="P176" s="80">
        <f>+'_Flujo con Glosa 08'!CN181</f>
        <v>2958699</v>
      </c>
      <c r="Q176" s="80">
        <f>+'_Flujo con Glosa 08'!CO181</f>
        <v>1699904</v>
      </c>
      <c r="R176" s="80">
        <f>+'_Flujo con Glosa 08'!CP181</f>
        <v>2841902</v>
      </c>
      <c r="S176" s="80">
        <f t="shared" si="4"/>
        <v>26788964</v>
      </c>
      <c r="T176" s="80">
        <v>0</v>
      </c>
      <c r="U176" s="80">
        <v>0</v>
      </c>
      <c r="V176" s="80">
        <v>0</v>
      </c>
      <c r="W176" s="80">
        <v>0</v>
      </c>
      <c r="X176" s="80">
        <v>0</v>
      </c>
      <c r="Y176" s="80">
        <v>0</v>
      </c>
      <c r="Z176" s="80">
        <v>0</v>
      </c>
      <c r="AA176" s="80">
        <v>0</v>
      </c>
      <c r="AB176" s="80">
        <v>0</v>
      </c>
      <c r="AC176" s="80">
        <v>0</v>
      </c>
      <c r="AD176" s="80">
        <v>0</v>
      </c>
      <c r="AE176" s="80">
        <v>0</v>
      </c>
      <c r="AF176" s="80">
        <f t="shared" si="5"/>
        <v>0</v>
      </c>
      <c r="AG176" s="80">
        <f>+COEF_FCM!AM183</f>
        <v>2537016</v>
      </c>
      <c r="AH176" s="80">
        <f>+COEF_FCM!AR183</f>
        <v>432497</v>
      </c>
      <c r="AI176" s="80">
        <f>+COEF_FCM!AN183</f>
        <v>1865150</v>
      </c>
      <c r="AJ176" s="80">
        <f>+COEF_FCM!AS183</f>
        <v>222601</v>
      </c>
      <c r="AK176" s="80">
        <f>+COEF_FCM!AO183</f>
        <v>2215558</v>
      </c>
      <c r="AL176" s="80">
        <f>+COEF_FCM!AT183</f>
        <v>298086.641</v>
      </c>
      <c r="AM176" s="80">
        <f>+COEF_FCM!AP183</f>
        <v>1681142</v>
      </c>
      <c r="AN176" s="80">
        <f>+COEF_FCM!AU183</f>
        <v>192422</v>
      </c>
      <c r="AO176" s="80">
        <f>+COEF_FCM!AQ183</f>
        <v>8298866</v>
      </c>
      <c r="AP176" s="80">
        <f>+COEF_FCM!AV183</f>
        <v>1145606.6410000001</v>
      </c>
      <c r="AQ176" s="80">
        <f>+_CIERRE!O176+_CIERRE!P176</f>
        <v>26219442.941</v>
      </c>
      <c r="AR176" s="80">
        <f>+_CIERRE!Q176+_CIERRE!R176</f>
        <v>31487880.614</v>
      </c>
      <c r="AS176" s="80">
        <f>+_CIERRE!S176+_CIERRE!T176</f>
        <v>34715395.973999999</v>
      </c>
      <c r="AT176" s="80">
        <f>+_CIERRE!U176+_CIERRE!V176</f>
        <v>35040141.961000003</v>
      </c>
      <c r="AU176" s="80">
        <f>+'CALC MEC ESTAB Y ESTIM M FINAL'!T181</f>
        <v>35040142</v>
      </c>
      <c r="AV176" s="560">
        <v>0</v>
      </c>
      <c r="AW176" s="551">
        <v>0</v>
      </c>
      <c r="AX176" s="551">
        <v>0</v>
      </c>
      <c r="AY176" s="551">
        <v>0</v>
      </c>
      <c r="AZ176" s="551">
        <v>0</v>
      </c>
      <c r="BA176" s="551">
        <v>0</v>
      </c>
    </row>
    <row r="177" spans="1:53" ht="3" customHeight="1" x14ac:dyDescent="0.2">
      <c r="A177" s="68" t="str">
        <f>IF(LEN(+'_DATA STT PAGOS_'!M182)=4,"0"&amp;+'_DATA STT PAGOS_'!M182,+'_DATA STT PAGOS_'!M182)</f>
        <v>09102</v>
      </c>
      <c r="B177" s="68" t="str">
        <f>IF(LEN(+'_DATA STT PAGOS_'!N182)=4,"0"&amp;+'_DATA STT PAGOS_'!N182,+'_DATA STT PAGOS_'!N182)</f>
        <v>09209</v>
      </c>
      <c r="C177" s="76" t="str">
        <f>+'_DATA STT PAGOS_'!O182</f>
        <v>CARAHUE</v>
      </c>
      <c r="D177" s="80">
        <f>+'CALC MEC ESTAB Y ESTIM M FINAL'!U182</f>
        <v>9363318</v>
      </c>
      <c r="E177" s="77">
        <f>+'CALC MEC ESTAB Y ESTIM M FINAL'!Q182</f>
        <v>3.4926426515000004E-3</v>
      </c>
      <c r="F177" s="77">
        <f>+'CALC MEC ESTAB Y ESTIM M FINAL'!R182</f>
        <v>-1.9379598100000001E-4</v>
      </c>
      <c r="G177" s="80">
        <f>+'_Flujo con Glosa 08'!CE182</f>
        <v>431762</v>
      </c>
      <c r="H177" s="80">
        <f>+'_Flujo con Glosa 08'!CF182</f>
        <v>431762</v>
      </c>
      <c r="I177" s="80">
        <f>+'_Flujo con Glosa 08'!CG182</f>
        <v>412622</v>
      </c>
      <c r="J177" s="80">
        <f>+'_Flujo con Glosa 08'!CH182</f>
        <v>431762</v>
      </c>
      <c r="K177" s="80">
        <f>+'_Flujo con Glosa 08'!CI182</f>
        <v>1264587</v>
      </c>
      <c r="L177" s="80">
        <f>+'_Flujo con Glosa 08'!CJ182</f>
        <v>444233</v>
      </c>
      <c r="M177" s="80">
        <f>+'_Flujo con Glosa 08'!CK182</f>
        <v>769429</v>
      </c>
      <c r="N177" s="80">
        <f>+'_Flujo con Glosa 08'!CL182</f>
        <v>431762</v>
      </c>
      <c r="O177" s="80">
        <f>+'_Flujo con Glosa 08'!CM182</f>
        <v>497884</v>
      </c>
      <c r="P177" s="80">
        <f>+'_Flujo con Glosa 08'!CN182</f>
        <v>829014</v>
      </c>
      <c r="Q177" s="80">
        <f>+'_Flujo con Glosa 08'!CO182</f>
        <v>431762</v>
      </c>
      <c r="R177" s="80">
        <f>+'_Flujo con Glosa 08'!CP182</f>
        <v>781885</v>
      </c>
      <c r="S177" s="80">
        <f t="shared" si="4"/>
        <v>7158464</v>
      </c>
      <c r="T177" s="80">
        <v>0</v>
      </c>
      <c r="U177" s="80">
        <v>0</v>
      </c>
      <c r="V177" s="80">
        <v>0</v>
      </c>
      <c r="W177" s="80">
        <v>0</v>
      </c>
      <c r="X177" s="80">
        <v>0</v>
      </c>
      <c r="Y177" s="80">
        <v>0</v>
      </c>
      <c r="Z177" s="80">
        <v>0</v>
      </c>
      <c r="AA177" s="80">
        <v>0</v>
      </c>
      <c r="AB177" s="80">
        <v>0</v>
      </c>
      <c r="AC177" s="80">
        <v>0</v>
      </c>
      <c r="AD177" s="80">
        <v>0</v>
      </c>
      <c r="AE177" s="80">
        <v>0</v>
      </c>
      <c r="AF177" s="80">
        <f t="shared" si="5"/>
        <v>0</v>
      </c>
      <c r="AG177" s="80">
        <f>+COEF_FCM!AM184</f>
        <v>28024</v>
      </c>
      <c r="AH177" s="80">
        <f>+COEF_FCM!AR184</f>
        <v>814</v>
      </c>
      <c r="AI177" s="80">
        <f>+COEF_FCM!AN184</f>
        <v>20623</v>
      </c>
      <c r="AJ177" s="80">
        <f>+COEF_FCM!AS184</f>
        <v>744</v>
      </c>
      <c r="AK177" s="80">
        <f>+COEF_FCM!AO184</f>
        <v>24996</v>
      </c>
      <c r="AL177" s="80">
        <f>+COEF_FCM!AT184</f>
        <v>587.10199999999998</v>
      </c>
      <c r="AM177" s="80">
        <f>+COEF_FCM!AP184</f>
        <v>18890</v>
      </c>
      <c r="AN177" s="80">
        <f>+COEF_FCM!AU184</f>
        <v>672</v>
      </c>
      <c r="AO177" s="80">
        <f>+COEF_FCM!AQ184</f>
        <v>92533</v>
      </c>
      <c r="AP177" s="80">
        <f>+COEF_FCM!AV184</f>
        <v>2817.1019999999999</v>
      </c>
      <c r="AQ177" s="80">
        <f>+_CIERRE!O177+_CIERRE!P177</f>
        <v>6744711.0990000004</v>
      </c>
      <c r="AR177" s="80">
        <f>+_CIERRE!Q177+_CIERRE!R177</f>
        <v>7701110.909</v>
      </c>
      <c r="AS177" s="80">
        <f>+_CIERRE!S177+_CIERRE!T177</f>
        <v>8475223.8450000007</v>
      </c>
      <c r="AT177" s="80">
        <f>+_CIERRE!U177+_CIERRE!V177</f>
        <v>8904532.2379999999</v>
      </c>
      <c r="AU177" s="80">
        <f>+'CALC MEC ESTAB Y ESTIM M FINAL'!T182</f>
        <v>9363318</v>
      </c>
      <c r="AV177" s="560">
        <v>0</v>
      </c>
      <c r="AW177" s="551">
        <v>0</v>
      </c>
      <c r="AX177" s="551">
        <v>0</v>
      </c>
      <c r="AY177" s="551">
        <v>0</v>
      </c>
      <c r="AZ177" s="551">
        <v>756470.69900000002</v>
      </c>
      <c r="BA177" s="551">
        <v>781078.94900000002</v>
      </c>
    </row>
    <row r="178" spans="1:53" ht="3" customHeight="1" x14ac:dyDescent="0.2">
      <c r="A178" s="68" t="str">
        <f>IF(LEN(+'_DATA STT PAGOS_'!M183)=4,"0"&amp;+'_DATA STT PAGOS_'!M183,+'_DATA STT PAGOS_'!M183)</f>
        <v>09103</v>
      </c>
      <c r="B178" s="68" t="str">
        <f>IF(LEN(+'_DATA STT PAGOS_'!N183)=4,"0"&amp;+'_DATA STT PAGOS_'!N183,+'_DATA STT PAGOS_'!N183)</f>
        <v>09204</v>
      </c>
      <c r="C178" s="76" t="str">
        <f>+'_DATA STT PAGOS_'!O183</f>
        <v>CUNCO</v>
      </c>
      <c r="D178" s="80">
        <f>+'CALC MEC ESTAB Y ESTIM M FINAL'!U183</f>
        <v>6628520</v>
      </c>
      <c r="E178" s="77">
        <f>+'CALC MEC ESTAB Y ESTIM M FINAL'!Q183</f>
        <v>2.7078737123999996E-3</v>
      </c>
      <c r="F178" s="77">
        <f>+'CALC MEC ESTAB Y ESTIM M FINAL'!R183</f>
        <v>-3.7254031900000001E-4</v>
      </c>
      <c r="G178" s="80">
        <f>+'_Flujo con Glosa 08'!CE183</f>
        <v>278786</v>
      </c>
      <c r="H178" s="80">
        <f>+'_Flujo con Glosa 08'!CF183</f>
        <v>278786</v>
      </c>
      <c r="I178" s="80">
        <f>+'_Flujo con Glosa 08'!CG183</f>
        <v>292105</v>
      </c>
      <c r="J178" s="80">
        <f>+'_Flujo con Glosa 08'!CH183</f>
        <v>278786</v>
      </c>
      <c r="K178" s="80">
        <f>+'_Flujo con Glosa 08'!CI183</f>
        <v>975837</v>
      </c>
      <c r="L178" s="80">
        <f>+'_Flujo con Glosa 08'!CJ183</f>
        <v>287615</v>
      </c>
      <c r="M178" s="80">
        <f>+'_Flujo con Glosa 08'!CK183</f>
        <v>571566</v>
      </c>
      <c r="N178" s="80">
        <f>+'_Flujo con Glosa 08'!CL183</f>
        <v>278786</v>
      </c>
      <c r="O178" s="80">
        <f>+'_Flujo con Glosa 08'!CM183</f>
        <v>352464</v>
      </c>
      <c r="P178" s="80">
        <f>+'_Flujo con Glosa 08'!CN183</f>
        <v>613748</v>
      </c>
      <c r="Q178" s="80">
        <f>+'_Flujo con Glosa 08'!CO183</f>
        <v>278786</v>
      </c>
      <c r="R178" s="80">
        <f>+'_Flujo con Glosa 08'!CP183</f>
        <v>580384</v>
      </c>
      <c r="S178" s="80">
        <f t="shared" si="4"/>
        <v>5067649</v>
      </c>
      <c r="T178" s="80">
        <v>0</v>
      </c>
      <c r="U178" s="80">
        <v>0</v>
      </c>
      <c r="V178" s="80">
        <v>0</v>
      </c>
      <c r="W178" s="80">
        <v>0</v>
      </c>
      <c r="X178" s="80">
        <v>0</v>
      </c>
      <c r="Y178" s="80">
        <v>0</v>
      </c>
      <c r="Z178" s="80">
        <v>0</v>
      </c>
      <c r="AA178" s="80">
        <v>0</v>
      </c>
      <c r="AB178" s="80">
        <v>0</v>
      </c>
      <c r="AC178" s="80">
        <v>0</v>
      </c>
      <c r="AD178" s="80">
        <v>0</v>
      </c>
      <c r="AE178" s="80">
        <v>0</v>
      </c>
      <c r="AF178" s="80">
        <f t="shared" si="5"/>
        <v>0</v>
      </c>
      <c r="AG178" s="80">
        <f>+COEF_FCM!AM185</f>
        <v>136846</v>
      </c>
      <c r="AH178" s="80">
        <f>+COEF_FCM!AR185</f>
        <v>1472</v>
      </c>
      <c r="AI178" s="80">
        <f>+COEF_FCM!AN185</f>
        <v>92418</v>
      </c>
      <c r="AJ178" s="80">
        <f>+COEF_FCM!AS185</f>
        <v>613</v>
      </c>
      <c r="AK178" s="80">
        <f>+COEF_FCM!AO185</f>
        <v>105723</v>
      </c>
      <c r="AL178" s="80">
        <f>+COEF_FCM!AT185</f>
        <v>936.024</v>
      </c>
      <c r="AM178" s="80">
        <f>+COEF_FCM!AP185</f>
        <v>96786</v>
      </c>
      <c r="AN178" s="80">
        <f>+COEF_FCM!AU185</f>
        <v>881</v>
      </c>
      <c r="AO178" s="80">
        <f>+COEF_FCM!AQ185</f>
        <v>431773</v>
      </c>
      <c r="AP178" s="80">
        <f>+COEF_FCM!AV185</f>
        <v>3902.0239999999999</v>
      </c>
      <c r="AQ178" s="80">
        <f>+_CIERRE!O178+_CIERRE!P178</f>
        <v>4005165.7829999998</v>
      </c>
      <c r="AR178" s="80">
        <f>+_CIERRE!Q178+_CIERRE!R178</f>
        <v>4503332.9910000004</v>
      </c>
      <c r="AS178" s="80">
        <f>+_CIERRE!S178+_CIERRE!T178</f>
        <v>4886561.432</v>
      </c>
      <c r="AT178" s="80">
        <f>+_CIERRE!U178+_CIERRE!V178</f>
        <v>5746579.7479999997</v>
      </c>
      <c r="AU178" s="80">
        <f>+'CALC MEC ESTAB Y ESTIM M FINAL'!T183</f>
        <v>6628520</v>
      </c>
      <c r="AV178" s="560">
        <v>0</v>
      </c>
      <c r="AW178" s="551">
        <v>0</v>
      </c>
      <c r="AX178" s="551">
        <v>0</v>
      </c>
      <c r="AY178" s="551">
        <v>0</v>
      </c>
      <c r="AZ178" s="551">
        <v>418614.72200000001</v>
      </c>
      <c r="BA178" s="551">
        <v>429838.57699999999</v>
      </c>
    </row>
    <row r="179" spans="1:53" ht="3" customHeight="1" x14ac:dyDescent="0.2">
      <c r="A179" s="68" t="str">
        <f>IF(LEN(+'_DATA STT PAGOS_'!M184)=4,"0"&amp;+'_DATA STT PAGOS_'!M184,+'_DATA STT PAGOS_'!M184)</f>
        <v>09104</v>
      </c>
      <c r="B179" s="68" t="str">
        <f>IF(LEN(+'_DATA STT PAGOS_'!N184)=4,"0"&amp;+'_DATA STT PAGOS_'!N184,+'_DATA STT PAGOS_'!N184)</f>
        <v>09218</v>
      </c>
      <c r="C179" s="76" t="str">
        <f>+'_DATA STT PAGOS_'!O184</f>
        <v>CURARREHUE</v>
      </c>
      <c r="D179" s="80">
        <f>+'CALC MEC ESTAB Y ESTIM M FINAL'!U184</f>
        <v>3615778</v>
      </c>
      <c r="E179" s="77">
        <f>+'CALC MEC ESTAB Y ESTIM M FINAL'!Q184</f>
        <v>1.3686223852999999E-3</v>
      </c>
      <c r="F179" s="77">
        <f>+'CALC MEC ESTAB Y ESTIM M FINAL'!R184</f>
        <v>-9.4726138699999999E-5</v>
      </c>
      <c r="G179" s="80">
        <f>+'_Flujo con Glosa 08'!CE184</f>
        <v>164557</v>
      </c>
      <c r="H179" s="80">
        <f>+'_Flujo con Glosa 08'!CF184</f>
        <v>164557</v>
      </c>
      <c r="I179" s="80">
        <f>+'_Flujo con Glosa 08'!CG184</f>
        <v>159340</v>
      </c>
      <c r="J179" s="80">
        <f>+'_Flujo con Glosa 08'!CH184</f>
        <v>164557</v>
      </c>
      <c r="K179" s="80">
        <f>+'_Flujo con Glosa 08'!CI184</f>
        <v>494859</v>
      </c>
      <c r="L179" s="80">
        <f>+'_Flujo con Glosa 08'!CJ184</f>
        <v>169373</v>
      </c>
      <c r="M179" s="80">
        <f>+'_Flujo con Glosa 08'!CK184</f>
        <v>299300</v>
      </c>
      <c r="N179" s="80">
        <f>+'_Flujo con Glosa 08'!CL184</f>
        <v>164557</v>
      </c>
      <c r="O179" s="80">
        <f>+'_Flujo con Glosa 08'!CM184</f>
        <v>192265</v>
      </c>
      <c r="P179" s="80">
        <f>+'_Flujo con Glosa 08'!CN184</f>
        <v>322309</v>
      </c>
      <c r="Q179" s="80">
        <f>+'_Flujo con Glosa 08'!CO184</f>
        <v>164557</v>
      </c>
      <c r="R179" s="80">
        <f>+'_Flujo con Glosa 08'!CP184</f>
        <v>304111</v>
      </c>
      <c r="S179" s="80">
        <f t="shared" si="4"/>
        <v>2764342</v>
      </c>
      <c r="T179" s="80">
        <v>0</v>
      </c>
      <c r="U179" s="80">
        <v>0</v>
      </c>
      <c r="V179" s="80">
        <v>0</v>
      </c>
      <c r="W179" s="80">
        <v>0</v>
      </c>
      <c r="X179" s="80">
        <v>0</v>
      </c>
      <c r="Y179" s="80">
        <v>0</v>
      </c>
      <c r="Z179" s="80">
        <v>0</v>
      </c>
      <c r="AA179" s="80">
        <v>0</v>
      </c>
      <c r="AB179" s="80">
        <v>0</v>
      </c>
      <c r="AC179" s="80">
        <v>0</v>
      </c>
      <c r="AD179" s="80">
        <v>0</v>
      </c>
      <c r="AE179" s="80">
        <v>0</v>
      </c>
      <c r="AF179" s="80">
        <f t="shared" si="5"/>
        <v>0</v>
      </c>
      <c r="AG179" s="80">
        <f>+COEF_FCM!AM186</f>
        <v>14389</v>
      </c>
      <c r="AH179" s="80">
        <f>+COEF_FCM!AR186</f>
        <v>991</v>
      </c>
      <c r="AI179" s="80">
        <f>+COEF_FCM!AN186</f>
        <v>7648</v>
      </c>
      <c r="AJ179" s="80">
        <f>+COEF_FCM!AS186</f>
        <v>541</v>
      </c>
      <c r="AK179" s="80">
        <f>+COEF_FCM!AO186</f>
        <v>9682</v>
      </c>
      <c r="AL179" s="80">
        <f>+COEF_FCM!AT186</f>
        <v>989.92</v>
      </c>
      <c r="AM179" s="80">
        <f>+COEF_FCM!AP186</f>
        <v>6824</v>
      </c>
      <c r="AN179" s="80">
        <f>+COEF_FCM!AU186</f>
        <v>277</v>
      </c>
      <c r="AO179" s="80">
        <f>+COEF_FCM!AQ186</f>
        <v>38543</v>
      </c>
      <c r="AP179" s="80">
        <f>+COEF_FCM!AV186</f>
        <v>2798.92</v>
      </c>
      <c r="AQ179" s="80">
        <f>+_CIERRE!O179+_CIERRE!P179</f>
        <v>2538559.196</v>
      </c>
      <c r="AR179" s="80">
        <f>+_CIERRE!Q179+_CIERRE!R179</f>
        <v>2912669.6519999998</v>
      </c>
      <c r="AS179" s="80">
        <f>+_CIERRE!S179+_CIERRE!T179</f>
        <v>3144135.6150000002</v>
      </c>
      <c r="AT179" s="80">
        <f>+_CIERRE!U179+_CIERRE!V179</f>
        <v>3391526.2510000002</v>
      </c>
      <c r="AU179" s="80">
        <f>+'CALC MEC ESTAB Y ESTIM M FINAL'!T184</f>
        <v>3615778</v>
      </c>
      <c r="AV179" s="560">
        <v>0</v>
      </c>
      <c r="AW179" s="551">
        <v>0</v>
      </c>
      <c r="AX179" s="551">
        <v>0</v>
      </c>
      <c r="AY179" s="551">
        <v>0</v>
      </c>
      <c r="AZ179" s="551">
        <v>381896.41499999998</v>
      </c>
      <c r="BA179" s="551">
        <v>395531.83399999997</v>
      </c>
    </row>
    <row r="180" spans="1:53" ht="3" customHeight="1" x14ac:dyDescent="0.2">
      <c r="A180" s="68" t="str">
        <f>IF(LEN(+'_DATA STT PAGOS_'!M185)=4,"0"&amp;+'_DATA STT PAGOS_'!M185,+'_DATA STT PAGOS_'!M185)</f>
        <v>09105</v>
      </c>
      <c r="B180" s="68" t="str">
        <f>IF(LEN(+'_DATA STT PAGOS_'!N185)=4,"0"&amp;+'_DATA STT PAGOS_'!N185,+'_DATA STT PAGOS_'!N185)</f>
        <v>09203</v>
      </c>
      <c r="C180" s="76" t="str">
        <f>+'_DATA STT PAGOS_'!O185</f>
        <v>FREIRE</v>
      </c>
      <c r="D180" s="80">
        <f>+'CALC MEC ESTAB Y ESTIM M FINAL'!U185</f>
        <v>7205206</v>
      </c>
      <c r="E180" s="77">
        <f>+'CALC MEC ESTAB Y ESTIM M FINAL'!Q185</f>
        <v>2.7452955138999998E-3</v>
      </c>
      <c r="F180" s="77">
        <f>+'CALC MEC ESTAB Y ESTIM M FINAL'!R185</f>
        <v>-2.0678622319999999E-4</v>
      </c>
      <c r="G180" s="80">
        <f>+'_Flujo con Glosa 08'!CE185</f>
        <v>325640</v>
      </c>
      <c r="H180" s="80">
        <f>+'_Flujo con Glosa 08'!CF185</f>
        <v>325640</v>
      </c>
      <c r="I180" s="80">
        <f>+'_Flujo con Glosa 08'!CG185</f>
        <v>317519</v>
      </c>
      <c r="J180" s="80">
        <f>+'_Flujo con Glosa 08'!CH185</f>
        <v>325640</v>
      </c>
      <c r="K180" s="80">
        <f>+'_Flujo con Glosa 08'!CI185</f>
        <v>992939</v>
      </c>
      <c r="L180" s="80">
        <f>+'_Flujo con Glosa 08'!CJ185</f>
        <v>335237</v>
      </c>
      <c r="M180" s="80">
        <f>+'_Flujo con Glosa 08'!CK185</f>
        <v>598694</v>
      </c>
      <c r="N180" s="80">
        <f>+'_Flujo con Glosa 08'!CL185</f>
        <v>325640</v>
      </c>
      <c r="O180" s="80">
        <f>+'_Flujo con Glosa 08'!CM185</f>
        <v>383128</v>
      </c>
      <c r="P180" s="80">
        <f>+'_Flujo con Glosa 08'!CN185</f>
        <v>644545</v>
      </c>
      <c r="Q180" s="80">
        <f>+'_Flujo con Glosa 08'!CO185</f>
        <v>325640</v>
      </c>
      <c r="R180" s="80">
        <f>+'_Flujo con Glosa 08'!CP185</f>
        <v>608279</v>
      </c>
      <c r="S180" s="80">
        <f t="shared" si="4"/>
        <v>5508541</v>
      </c>
      <c r="T180" s="80">
        <v>0</v>
      </c>
      <c r="U180" s="80">
        <v>0</v>
      </c>
      <c r="V180" s="80">
        <v>0</v>
      </c>
      <c r="W180" s="80">
        <v>0</v>
      </c>
      <c r="X180" s="80">
        <v>0</v>
      </c>
      <c r="Y180" s="80">
        <v>0</v>
      </c>
      <c r="Z180" s="80">
        <v>0</v>
      </c>
      <c r="AA180" s="80">
        <v>0</v>
      </c>
      <c r="AB180" s="80">
        <v>0</v>
      </c>
      <c r="AC180" s="80">
        <v>0</v>
      </c>
      <c r="AD180" s="80">
        <v>0</v>
      </c>
      <c r="AE180" s="80">
        <v>0</v>
      </c>
      <c r="AF180" s="80">
        <f t="shared" si="5"/>
        <v>0</v>
      </c>
      <c r="AG180" s="80">
        <f>+COEF_FCM!AM187</f>
        <v>102318</v>
      </c>
      <c r="AH180" s="80">
        <f>+COEF_FCM!AR187</f>
        <v>394</v>
      </c>
      <c r="AI180" s="80">
        <f>+COEF_FCM!AN187</f>
        <v>81277</v>
      </c>
      <c r="AJ180" s="80">
        <f>+COEF_FCM!AS187</f>
        <v>259</v>
      </c>
      <c r="AK180" s="80">
        <f>+COEF_FCM!AO187</f>
        <v>87132</v>
      </c>
      <c r="AL180" s="80">
        <f>+COEF_FCM!AT187</f>
        <v>244.87700000000001</v>
      </c>
      <c r="AM180" s="80">
        <f>+COEF_FCM!AP187</f>
        <v>67754</v>
      </c>
      <c r="AN180" s="80">
        <f>+COEF_FCM!AU187</f>
        <v>240</v>
      </c>
      <c r="AO180" s="80">
        <f>+COEF_FCM!AQ187</f>
        <v>338481</v>
      </c>
      <c r="AP180" s="80">
        <f>+COEF_FCM!AV187</f>
        <v>1137.877</v>
      </c>
      <c r="AQ180" s="80">
        <f>+_CIERRE!O180+_CIERRE!P180</f>
        <v>5324632.1979999999</v>
      </c>
      <c r="AR180" s="80">
        <f>+_CIERRE!Q180+_CIERRE!R180</f>
        <v>5940142.6140000001</v>
      </c>
      <c r="AS180" s="80">
        <f>+_CIERRE!S180+_CIERRE!T180</f>
        <v>6319236.2570000002</v>
      </c>
      <c r="AT180" s="80">
        <f>+_CIERRE!U180+_CIERRE!V180</f>
        <v>6715666.9890000001</v>
      </c>
      <c r="AU180" s="80">
        <f>+'CALC MEC ESTAB Y ESTIM M FINAL'!T185</f>
        <v>7205206</v>
      </c>
      <c r="AV180" s="560">
        <v>0</v>
      </c>
      <c r="AW180" s="551">
        <v>0</v>
      </c>
      <c r="AX180" s="551">
        <v>0</v>
      </c>
      <c r="AY180" s="551">
        <v>0</v>
      </c>
      <c r="AZ180" s="551">
        <v>585294.5</v>
      </c>
      <c r="BA180" s="551">
        <v>585782.924</v>
      </c>
    </row>
    <row r="181" spans="1:53" ht="3" customHeight="1" x14ac:dyDescent="0.2">
      <c r="A181" s="68" t="str">
        <f>IF(LEN(+'_DATA STT PAGOS_'!M186)=4,"0"&amp;+'_DATA STT PAGOS_'!M186,+'_DATA STT PAGOS_'!M186)</f>
        <v>09106</v>
      </c>
      <c r="B181" s="68" t="str">
        <f>IF(LEN(+'_DATA STT PAGOS_'!N186)=4,"0"&amp;+'_DATA STT PAGOS_'!N186,+'_DATA STT PAGOS_'!N186)</f>
        <v>09207</v>
      </c>
      <c r="C181" s="76" t="str">
        <f>+'_DATA STT PAGOS_'!O186</f>
        <v>GALVARINO</v>
      </c>
      <c r="D181" s="80">
        <f>+'CALC MEC ESTAB Y ESTIM M FINAL'!U186</f>
        <v>5046191</v>
      </c>
      <c r="E181" s="77">
        <f>+'CALC MEC ESTAB Y ESTIM M FINAL'!Q186</f>
        <v>1.9027357841999999E-3</v>
      </c>
      <c r="F181" s="77">
        <f>+'CALC MEC ESTAB Y ESTIM M FINAL'!R186</f>
        <v>-1.248819198E-4</v>
      </c>
      <c r="G181" s="80">
        <f>+'_Flujo con Glosa 08'!CE186</f>
        <v>230413</v>
      </c>
      <c r="H181" s="80">
        <f>+'_Flujo con Glosa 08'!CF186</f>
        <v>230413</v>
      </c>
      <c r="I181" s="80">
        <f>+'_Flujo con Glosa 08'!CG186</f>
        <v>222375</v>
      </c>
      <c r="J181" s="80">
        <f>+'_Flujo con Glosa 08'!CH186</f>
        <v>230413</v>
      </c>
      <c r="K181" s="80">
        <f>+'_Flujo con Glosa 08'!CI186</f>
        <v>688360</v>
      </c>
      <c r="L181" s="80">
        <f>+'_Flujo con Glosa 08'!CJ186</f>
        <v>237134</v>
      </c>
      <c r="M181" s="80">
        <f>+'_Flujo con Glosa 08'!CK186</f>
        <v>416948</v>
      </c>
      <c r="N181" s="80">
        <f>+'_Flujo con Glosa 08'!CL186</f>
        <v>230413</v>
      </c>
      <c r="O181" s="80">
        <f>+'_Flujo con Glosa 08'!CM186</f>
        <v>268325</v>
      </c>
      <c r="P181" s="80">
        <f>+'_Flujo con Glosa 08'!CN186</f>
        <v>449060</v>
      </c>
      <c r="Q181" s="80">
        <f>+'_Flujo con Glosa 08'!CO186</f>
        <v>230413</v>
      </c>
      <c r="R181" s="80">
        <f>+'_Flujo con Glosa 08'!CP186</f>
        <v>423660</v>
      </c>
      <c r="S181" s="80">
        <f t="shared" si="4"/>
        <v>3857927</v>
      </c>
      <c r="T181" s="80">
        <v>0</v>
      </c>
      <c r="U181" s="80">
        <v>0</v>
      </c>
      <c r="V181" s="80">
        <v>0</v>
      </c>
      <c r="W181" s="80">
        <v>0</v>
      </c>
      <c r="X181" s="80">
        <v>0</v>
      </c>
      <c r="Y181" s="80">
        <v>0</v>
      </c>
      <c r="Z181" s="80">
        <v>0</v>
      </c>
      <c r="AA181" s="80">
        <v>0</v>
      </c>
      <c r="AB181" s="80">
        <v>0</v>
      </c>
      <c r="AC181" s="80">
        <v>0</v>
      </c>
      <c r="AD181" s="80">
        <v>0</v>
      </c>
      <c r="AE181" s="80">
        <v>0</v>
      </c>
      <c r="AF181" s="80">
        <f t="shared" si="5"/>
        <v>0</v>
      </c>
      <c r="AG181" s="80">
        <f>+COEF_FCM!AM188</f>
        <v>14985</v>
      </c>
      <c r="AH181" s="80">
        <f>+COEF_FCM!AR188</f>
        <v>1446</v>
      </c>
      <c r="AI181" s="80">
        <f>+COEF_FCM!AN188</f>
        <v>11850</v>
      </c>
      <c r="AJ181" s="80">
        <f>+COEF_FCM!AS188</f>
        <v>797</v>
      </c>
      <c r="AK181" s="80">
        <f>+COEF_FCM!AO188</f>
        <v>11843</v>
      </c>
      <c r="AL181" s="80">
        <f>+COEF_FCM!AT188</f>
        <v>721.49199999999996</v>
      </c>
      <c r="AM181" s="80">
        <f>+COEF_FCM!AP188</f>
        <v>11887</v>
      </c>
      <c r="AN181" s="80">
        <f>+COEF_FCM!AU188</f>
        <v>1431</v>
      </c>
      <c r="AO181" s="80">
        <f>+COEF_FCM!AQ188</f>
        <v>50565</v>
      </c>
      <c r="AP181" s="80">
        <f>+COEF_FCM!AV188</f>
        <v>4395.4920000000002</v>
      </c>
      <c r="AQ181" s="80">
        <f>+_CIERRE!O181+_CIERRE!P181</f>
        <v>3695433.926</v>
      </c>
      <c r="AR181" s="80">
        <f>+_CIERRE!Q181+_CIERRE!R181</f>
        <v>4165666.4679999999</v>
      </c>
      <c r="AS181" s="80">
        <f>+_CIERRE!S181+_CIERRE!T181</f>
        <v>4501405.5650000004</v>
      </c>
      <c r="AT181" s="80">
        <f>+_CIERRE!U181+_CIERRE!V181</f>
        <v>4750550.0719999997</v>
      </c>
      <c r="AU181" s="80">
        <f>+'CALC MEC ESTAB Y ESTIM M FINAL'!T186</f>
        <v>5046191</v>
      </c>
      <c r="AV181" s="560">
        <v>0</v>
      </c>
      <c r="AW181" s="551">
        <v>0</v>
      </c>
      <c r="AX181" s="551">
        <v>0</v>
      </c>
      <c r="AY181" s="551">
        <v>0</v>
      </c>
      <c r="AZ181" s="551">
        <v>486783.136</v>
      </c>
      <c r="BA181" s="551">
        <v>512216.54800000001</v>
      </c>
    </row>
    <row r="182" spans="1:53" ht="3" customHeight="1" x14ac:dyDescent="0.2">
      <c r="A182" s="68" t="str">
        <f>IF(LEN(+'_DATA STT PAGOS_'!M187)=4,"0"&amp;+'_DATA STT PAGOS_'!M187,+'_DATA STT PAGOS_'!M187)</f>
        <v>09107</v>
      </c>
      <c r="B182" s="68" t="str">
        <f>IF(LEN(+'_DATA STT PAGOS_'!N187)=4,"0"&amp;+'_DATA STT PAGOS_'!N187,+'_DATA STT PAGOS_'!N187)</f>
        <v>09212</v>
      </c>
      <c r="C182" s="76" t="str">
        <f>+'_DATA STT PAGOS_'!O187</f>
        <v>GORBEA</v>
      </c>
      <c r="D182" s="80">
        <f>+'CALC MEC ESTAB Y ESTIM M FINAL'!U187</f>
        <v>5601477</v>
      </c>
      <c r="E182" s="77">
        <f>+'CALC MEC ESTAB Y ESTIM M FINAL'!Q187</f>
        <v>2.1380771390000003E-3</v>
      </c>
      <c r="F182" s="77">
        <f>+'CALC MEC ESTAB Y ESTIM M FINAL'!R187</f>
        <v>-1.6458722530000001E-4</v>
      </c>
      <c r="G182" s="80">
        <f>+'_Flujo con Glosa 08'!CE187</f>
        <v>252845</v>
      </c>
      <c r="H182" s="80">
        <f>+'_Flujo con Glosa 08'!CF187</f>
        <v>252845</v>
      </c>
      <c r="I182" s="80">
        <f>+'_Flujo con Glosa 08'!CG187</f>
        <v>246846</v>
      </c>
      <c r="J182" s="80">
        <f>+'_Flujo con Glosa 08'!CH187</f>
        <v>252845</v>
      </c>
      <c r="K182" s="80">
        <f>+'_Flujo con Glosa 08'!CI187</f>
        <v>772874</v>
      </c>
      <c r="L182" s="80">
        <f>+'_Flujo con Glosa 08'!CJ187</f>
        <v>260306</v>
      </c>
      <c r="M182" s="80">
        <f>+'_Flujo con Glosa 08'!CK187</f>
        <v>465752</v>
      </c>
      <c r="N182" s="80">
        <f>+'_Flujo con Glosa 08'!CL187</f>
        <v>252845</v>
      </c>
      <c r="O182" s="80">
        <f>+'_Flujo con Glosa 08'!CM187</f>
        <v>297852</v>
      </c>
      <c r="P182" s="80">
        <f>+'_Flujo con Glosa 08'!CN187</f>
        <v>501397</v>
      </c>
      <c r="Q182" s="80">
        <f>+'_Flujo con Glosa 08'!CO187</f>
        <v>252845</v>
      </c>
      <c r="R182" s="80">
        <f>+'_Flujo con Glosa 08'!CP187</f>
        <v>473203</v>
      </c>
      <c r="S182" s="80">
        <f t="shared" si="4"/>
        <v>4282455</v>
      </c>
      <c r="T182" s="80">
        <v>0</v>
      </c>
      <c r="U182" s="80">
        <v>0</v>
      </c>
      <c r="V182" s="80">
        <v>0</v>
      </c>
      <c r="W182" s="80">
        <v>0</v>
      </c>
      <c r="X182" s="80">
        <v>0</v>
      </c>
      <c r="Y182" s="80">
        <v>0</v>
      </c>
      <c r="Z182" s="80">
        <v>0</v>
      </c>
      <c r="AA182" s="80">
        <v>0</v>
      </c>
      <c r="AB182" s="80">
        <v>0</v>
      </c>
      <c r="AC182" s="80">
        <v>0</v>
      </c>
      <c r="AD182" s="80">
        <v>0</v>
      </c>
      <c r="AE182" s="80">
        <v>0</v>
      </c>
      <c r="AF182" s="80">
        <f t="shared" si="5"/>
        <v>0</v>
      </c>
      <c r="AG182" s="80">
        <f>+COEF_FCM!AM189</f>
        <v>49532</v>
      </c>
      <c r="AH182" s="80">
        <f>+COEF_FCM!AR189</f>
        <v>706</v>
      </c>
      <c r="AI182" s="80">
        <f>+COEF_FCM!AN189</f>
        <v>52460</v>
      </c>
      <c r="AJ182" s="80">
        <f>+COEF_FCM!AS189</f>
        <v>718</v>
      </c>
      <c r="AK182" s="80">
        <f>+COEF_FCM!AO189</f>
        <v>46536</v>
      </c>
      <c r="AL182" s="80">
        <f>+COEF_FCM!AT189</f>
        <v>890.63800000000003</v>
      </c>
      <c r="AM182" s="80">
        <f>+COEF_FCM!AP189</f>
        <v>37785</v>
      </c>
      <c r="AN182" s="80">
        <f>+COEF_FCM!AU189</f>
        <v>1141</v>
      </c>
      <c r="AO182" s="80">
        <f>+COEF_FCM!AQ189</f>
        <v>186313</v>
      </c>
      <c r="AP182" s="80">
        <f>+COEF_FCM!AV189</f>
        <v>3455.6379999999999</v>
      </c>
      <c r="AQ182" s="80">
        <f>+_CIERRE!O182+_CIERRE!P182</f>
        <v>3642790.2620000001</v>
      </c>
      <c r="AR182" s="80">
        <f>+_CIERRE!Q182+_CIERRE!R182</f>
        <v>4323686.12</v>
      </c>
      <c r="AS182" s="80">
        <f>+_CIERRE!S182+_CIERRE!T182</f>
        <v>4790820.5520000001</v>
      </c>
      <c r="AT182" s="80">
        <f>+_CIERRE!U182+_CIERRE!V182</f>
        <v>5211837.5049999999</v>
      </c>
      <c r="AU182" s="80">
        <f>+'CALC MEC ESTAB Y ESTIM M FINAL'!T187</f>
        <v>5601477</v>
      </c>
      <c r="AV182" s="560">
        <v>0</v>
      </c>
      <c r="AW182" s="551">
        <v>0</v>
      </c>
      <c r="AX182" s="551">
        <v>0</v>
      </c>
      <c r="AY182" s="551">
        <v>0</v>
      </c>
      <c r="AZ182" s="551">
        <v>454381.81699999998</v>
      </c>
      <c r="BA182" s="551">
        <v>468567.63699999999</v>
      </c>
    </row>
    <row r="183" spans="1:53" ht="3" customHeight="1" x14ac:dyDescent="0.2">
      <c r="A183" s="68" t="str">
        <f>IF(LEN(+'_DATA STT PAGOS_'!M188)=4,"0"&amp;+'_DATA STT PAGOS_'!M188,+'_DATA STT PAGOS_'!M188)</f>
        <v>09108</v>
      </c>
      <c r="B183" s="68" t="str">
        <f>IF(LEN(+'_DATA STT PAGOS_'!N188)=4,"0"&amp;+'_DATA STT PAGOS_'!N188,+'_DATA STT PAGOS_'!N188)</f>
        <v>09205</v>
      </c>
      <c r="C183" s="76" t="str">
        <f>+'_DATA STT PAGOS_'!O188</f>
        <v>LAUTARO</v>
      </c>
      <c r="D183" s="80">
        <f>+'CALC MEC ESTAB Y ESTIM M FINAL'!U188</f>
        <v>7658721</v>
      </c>
      <c r="E183" s="77">
        <f>+'CALC MEC ESTAB Y ESTIM M FINAL'!Q188</f>
        <v>3.0484550660999999E-3</v>
      </c>
      <c r="F183" s="77">
        <f>+'CALC MEC ESTAB Y ESTIM M FINAL'!R188</f>
        <v>-3.5016543619999999E-4</v>
      </c>
      <c r="G183" s="80">
        <f>+'_Flujo con Glosa 08'!CE188</f>
        <v>331680</v>
      </c>
      <c r="H183" s="80">
        <f>+'_Flujo con Glosa 08'!CF188</f>
        <v>331680</v>
      </c>
      <c r="I183" s="80">
        <f>+'_Flujo con Glosa 08'!CG188</f>
        <v>337504</v>
      </c>
      <c r="J183" s="80">
        <f>+'_Flujo con Glosa 08'!CH188</f>
        <v>331680</v>
      </c>
      <c r="K183" s="80">
        <f>+'_Flujo con Glosa 08'!CI188</f>
        <v>1098806</v>
      </c>
      <c r="L183" s="80">
        <f>+'_Flujo con Glosa 08'!CJ188</f>
        <v>341881</v>
      </c>
      <c r="M183" s="80">
        <f>+'_Flujo con Glosa 08'!CK188</f>
        <v>650834</v>
      </c>
      <c r="N183" s="80">
        <f>+'_Flujo con Glosa 08'!CL188</f>
        <v>331680</v>
      </c>
      <c r="O183" s="80">
        <f>+'_Flujo con Glosa 08'!CM188</f>
        <v>407243</v>
      </c>
      <c r="P183" s="80">
        <f>+'_Flujo con Glosa 08'!CN188</f>
        <v>699571</v>
      </c>
      <c r="Q183" s="80">
        <f>+'_Flujo con Glosa 08'!CO188</f>
        <v>331680</v>
      </c>
      <c r="R183" s="80">
        <f>+'_Flujo con Glosa 08'!CP188</f>
        <v>661022</v>
      </c>
      <c r="S183" s="80">
        <f t="shared" si="4"/>
        <v>5855261</v>
      </c>
      <c r="T183" s="80">
        <v>0</v>
      </c>
      <c r="U183" s="80">
        <v>0</v>
      </c>
      <c r="V183" s="80">
        <v>0</v>
      </c>
      <c r="W183" s="80">
        <v>0</v>
      </c>
      <c r="X183" s="80">
        <v>0</v>
      </c>
      <c r="Y183" s="80">
        <v>0</v>
      </c>
      <c r="Z183" s="80">
        <v>0</v>
      </c>
      <c r="AA183" s="80">
        <v>0</v>
      </c>
      <c r="AB183" s="80">
        <v>0</v>
      </c>
      <c r="AC183" s="80">
        <v>0</v>
      </c>
      <c r="AD183" s="80">
        <v>0</v>
      </c>
      <c r="AE183" s="80">
        <v>0</v>
      </c>
      <c r="AF183" s="80">
        <f t="shared" si="5"/>
        <v>0</v>
      </c>
      <c r="AG183" s="80">
        <f>+COEF_FCM!AM190</f>
        <v>179009</v>
      </c>
      <c r="AH183" s="80">
        <f>+COEF_FCM!AR190</f>
        <v>8320</v>
      </c>
      <c r="AI183" s="80">
        <f>+COEF_FCM!AN190</f>
        <v>125114</v>
      </c>
      <c r="AJ183" s="80">
        <f>+COEF_FCM!AS190</f>
        <v>4329</v>
      </c>
      <c r="AK183" s="80">
        <f>+COEF_FCM!AO190</f>
        <v>156146</v>
      </c>
      <c r="AL183" s="80">
        <f>+COEF_FCM!AT190</f>
        <v>6313.4870000000001</v>
      </c>
      <c r="AM183" s="80">
        <f>+COEF_FCM!AP190</f>
        <v>127054</v>
      </c>
      <c r="AN183" s="80">
        <f>+COEF_FCM!AU190</f>
        <v>3146</v>
      </c>
      <c r="AO183" s="80">
        <f>+COEF_FCM!AQ190</f>
        <v>587323</v>
      </c>
      <c r="AP183" s="80">
        <f>+COEF_FCM!AV190</f>
        <v>22108.487000000001</v>
      </c>
      <c r="AQ183" s="80">
        <f>+_CIERRE!O183+_CIERRE!P183</f>
        <v>5415413.9139999999</v>
      </c>
      <c r="AR183" s="80">
        <f>+_CIERRE!Q183+_CIERRE!R183</f>
        <v>5871289.0319999997</v>
      </c>
      <c r="AS183" s="80">
        <f>+_CIERRE!S183+_CIERRE!T183</f>
        <v>6070880.1679999996</v>
      </c>
      <c r="AT183" s="80">
        <f>+_CIERRE!U183+_CIERRE!V183</f>
        <v>6829749.6059999997</v>
      </c>
      <c r="AU183" s="80">
        <f>+'CALC MEC ESTAB Y ESTIM M FINAL'!T188</f>
        <v>7658721</v>
      </c>
      <c r="AV183" s="560">
        <v>0</v>
      </c>
      <c r="AW183" s="551">
        <v>0</v>
      </c>
      <c r="AX183" s="551">
        <v>0</v>
      </c>
      <c r="AY183" s="551">
        <v>0</v>
      </c>
      <c r="AZ183" s="551">
        <v>530899.93599999999</v>
      </c>
      <c r="BA183" s="551">
        <v>549547.70200000005</v>
      </c>
    </row>
    <row r="184" spans="1:53" ht="3" customHeight="1" x14ac:dyDescent="0.2">
      <c r="A184" s="68" t="str">
        <f>IF(LEN(+'_DATA STT PAGOS_'!M189)=4,"0"&amp;+'_DATA STT PAGOS_'!M189,+'_DATA STT PAGOS_'!M189)</f>
        <v>09109</v>
      </c>
      <c r="B184" s="68" t="str">
        <f>IF(LEN(+'_DATA STT PAGOS_'!N189)=4,"0"&amp;+'_DATA STT PAGOS_'!N189,+'_DATA STT PAGOS_'!N189)</f>
        <v>09214</v>
      </c>
      <c r="C184" s="76" t="str">
        <f>+'_DATA STT PAGOS_'!O189</f>
        <v>LONCOCHE</v>
      </c>
      <c r="D184" s="80">
        <f>+'CALC MEC ESTAB Y ESTIM M FINAL'!U189</f>
        <v>7575026</v>
      </c>
      <c r="E184" s="77">
        <f>+'CALC MEC ESTAB Y ESTIM M FINAL'!Q189</f>
        <v>3.0133857353999999E-3</v>
      </c>
      <c r="F184" s="77">
        <f>+'CALC MEC ESTAB Y ESTIM M FINAL'!R189</f>
        <v>-3.445829896E-4</v>
      </c>
      <c r="G184" s="80">
        <f>+'_Flujo con Glosa 08'!CE189</f>
        <v>327889</v>
      </c>
      <c r="H184" s="80">
        <f>+'_Flujo con Glosa 08'!CF189</f>
        <v>327889</v>
      </c>
      <c r="I184" s="80">
        <f>+'_Flujo con Glosa 08'!CG189</f>
        <v>333816</v>
      </c>
      <c r="J184" s="80">
        <f>+'_Flujo con Glosa 08'!CH189</f>
        <v>327889</v>
      </c>
      <c r="K184" s="80">
        <f>+'_Flujo con Glosa 08'!CI189</f>
        <v>1087298</v>
      </c>
      <c r="L184" s="80">
        <f>+'_Flujo con Glosa 08'!CJ189</f>
        <v>337978</v>
      </c>
      <c r="M184" s="80">
        <f>+'_Flujo con Glosa 08'!CK189</f>
        <v>643887</v>
      </c>
      <c r="N184" s="80">
        <f>+'_Flujo con Glosa 08'!CL189</f>
        <v>327889</v>
      </c>
      <c r="O184" s="80">
        <f>+'_Flujo con Glosa 08'!CM189</f>
        <v>402793</v>
      </c>
      <c r="P184" s="80">
        <f>+'_Flujo con Glosa 08'!CN189</f>
        <v>692092</v>
      </c>
      <c r="Q184" s="80">
        <f>+'_Flujo con Glosa 08'!CO189</f>
        <v>327889</v>
      </c>
      <c r="R184" s="80">
        <f>+'_Flujo con Glosa 08'!CP189</f>
        <v>653966</v>
      </c>
      <c r="S184" s="80">
        <f t="shared" si="4"/>
        <v>5791275</v>
      </c>
      <c r="T184" s="80">
        <v>0</v>
      </c>
      <c r="U184" s="80">
        <v>0</v>
      </c>
      <c r="V184" s="80">
        <v>0</v>
      </c>
      <c r="W184" s="80">
        <v>0</v>
      </c>
      <c r="X184" s="80">
        <v>0</v>
      </c>
      <c r="Y184" s="80">
        <v>0</v>
      </c>
      <c r="Z184" s="80">
        <v>0</v>
      </c>
      <c r="AA184" s="80">
        <v>0</v>
      </c>
      <c r="AB184" s="80">
        <v>0</v>
      </c>
      <c r="AC184" s="80">
        <v>0</v>
      </c>
      <c r="AD184" s="80">
        <v>0</v>
      </c>
      <c r="AE184" s="80">
        <v>0</v>
      </c>
      <c r="AF184" s="80">
        <f t="shared" si="5"/>
        <v>0</v>
      </c>
      <c r="AG184" s="80">
        <f>+COEF_FCM!AM191</f>
        <v>82209</v>
      </c>
      <c r="AH184" s="80">
        <f>+COEF_FCM!AR191</f>
        <v>1564</v>
      </c>
      <c r="AI184" s="80">
        <f>+COEF_FCM!AN191</f>
        <v>42657</v>
      </c>
      <c r="AJ184" s="80">
        <f>+COEF_FCM!AS191</f>
        <v>852</v>
      </c>
      <c r="AK184" s="80">
        <f>+COEF_FCM!AO191</f>
        <v>66410</v>
      </c>
      <c r="AL184" s="80">
        <f>+COEF_FCM!AT191</f>
        <v>1285.7470000000001</v>
      </c>
      <c r="AM184" s="80">
        <f>+COEF_FCM!AP191</f>
        <v>49795</v>
      </c>
      <c r="AN184" s="80">
        <f>+COEF_FCM!AU191</f>
        <v>892</v>
      </c>
      <c r="AO184" s="80">
        <f>+COEF_FCM!AQ191</f>
        <v>241071</v>
      </c>
      <c r="AP184" s="80">
        <f>+COEF_FCM!AV191</f>
        <v>4593.7470000000003</v>
      </c>
      <c r="AQ184" s="80">
        <f>+_CIERRE!O184+_CIERRE!P184</f>
        <v>4974920.67</v>
      </c>
      <c r="AR184" s="80">
        <f>+_CIERRE!Q184+_CIERRE!R184</f>
        <v>5553045.7850000001</v>
      </c>
      <c r="AS184" s="80">
        <f>+_CIERRE!S184+_CIERRE!T184</f>
        <v>5862330.7240000004</v>
      </c>
      <c r="AT184" s="80">
        <f>+_CIERRE!U184+_CIERRE!V184</f>
        <v>6759271.5870000003</v>
      </c>
      <c r="AU184" s="80">
        <f>+'CALC MEC ESTAB Y ESTIM M FINAL'!T189</f>
        <v>7575026</v>
      </c>
      <c r="AV184" s="560">
        <v>0</v>
      </c>
      <c r="AW184" s="551">
        <v>0</v>
      </c>
      <c r="AX184" s="551">
        <v>0</v>
      </c>
      <c r="AY184" s="551">
        <v>0</v>
      </c>
      <c r="AZ184" s="551">
        <v>533961.60400000005</v>
      </c>
      <c r="BA184" s="551">
        <v>554621.39099999995</v>
      </c>
    </row>
    <row r="185" spans="1:53" ht="3" customHeight="1" x14ac:dyDescent="0.2">
      <c r="A185" s="68" t="str">
        <f>IF(LEN(+'_DATA STT PAGOS_'!M190)=4,"0"&amp;+'_DATA STT PAGOS_'!M190,+'_DATA STT PAGOS_'!M190)</f>
        <v>09110</v>
      </c>
      <c r="B185" s="68" t="str">
        <f>IF(LEN(+'_DATA STT PAGOS_'!N190)=4,"0"&amp;+'_DATA STT PAGOS_'!N190,+'_DATA STT PAGOS_'!N190)</f>
        <v>09217</v>
      </c>
      <c r="C185" s="76" t="str">
        <f>+'_DATA STT PAGOS_'!O190</f>
        <v>MELIPEUCO</v>
      </c>
      <c r="D185" s="80">
        <f>+'CALC MEC ESTAB Y ESTIM M FINAL'!U190</f>
        <v>5079166</v>
      </c>
      <c r="E185" s="77">
        <f>+'CALC MEC ESTAB Y ESTIM M FINAL'!Q190</f>
        <v>1.9087254317999998E-3</v>
      </c>
      <c r="F185" s="77">
        <f>+'CALC MEC ESTAB Y ESTIM M FINAL'!R190</f>
        <v>-1.192540244E-4</v>
      </c>
      <c r="G185" s="80">
        <f>+'_Flujo con Glosa 08'!CE190</f>
        <v>232690</v>
      </c>
      <c r="H185" s="80">
        <f>+'_Flujo con Glosa 08'!CF190</f>
        <v>232690</v>
      </c>
      <c r="I185" s="80">
        <f>+'_Flujo con Glosa 08'!CG190</f>
        <v>223828</v>
      </c>
      <c r="J185" s="80">
        <f>+'_Flujo con Glosa 08'!CH190</f>
        <v>232690</v>
      </c>
      <c r="K185" s="80">
        <f>+'_Flujo con Glosa 08'!CI190</f>
        <v>690543</v>
      </c>
      <c r="L185" s="80">
        <f>+'_Flujo con Glosa 08'!CJ190</f>
        <v>239455</v>
      </c>
      <c r="M185" s="80">
        <f>+'_Flujo con Glosa 08'!CK190</f>
        <v>418900</v>
      </c>
      <c r="N185" s="80">
        <f>+'_Flujo con Glosa 08'!CL190</f>
        <v>232690</v>
      </c>
      <c r="O185" s="80">
        <f>+'_Flujo con Glosa 08'!CM190</f>
        <v>270078</v>
      </c>
      <c r="P185" s="80">
        <f>+'_Flujo con Glosa 08'!CN190</f>
        <v>451223</v>
      </c>
      <c r="Q185" s="80">
        <f>+'_Flujo con Glosa 08'!CO190</f>
        <v>232690</v>
      </c>
      <c r="R185" s="80">
        <f>+'_Flujo con Glosa 08'!CP190</f>
        <v>425657</v>
      </c>
      <c r="S185" s="80">
        <f t="shared" si="4"/>
        <v>3883134</v>
      </c>
      <c r="T185" s="80">
        <v>0</v>
      </c>
      <c r="U185" s="80">
        <v>0</v>
      </c>
      <c r="V185" s="80">
        <v>0</v>
      </c>
      <c r="W185" s="80">
        <v>0</v>
      </c>
      <c r="X185" s="80">
        <v>0</v>
      </c>
      <c r="Y185" s="80">
        <v>0</v>
      </c>
      <c r="Z185" s="80">
        <v>0</v>
      </c>
      <c r="AA185" s="80">
        <v>0</v>
      </c>
      <c r="AB185" s="80">
        <v>0</v>
      </c>
      <c r="AC185" s="80">
        <v>0</v>
      </c>
      <c r="AD185" s="80">
        <v>0</v>
      </c>
      <c r="AE185" s="80">
        <v>0</v>
      </c>
      <c r="AF185" s="80">
        <f t="shared" si="5"/>
        <v>0</v>
      </c>
      <c r="AG185" s="80">
        <f>+COEF_FCM!AM192</f>
        <v>15786</v>
      </c>
      <c r="AH185" s="80">
        <f>+COEF_FCM!AR192</f>
        <v>130</v>
      </c>
      <c r="AI185" s="80">
        <f>+COEF_FCM!AN192</f>
        <v>13290</v>
      </c>
      <c r="AJ185" s="80">
        <f>+COEF_FCM!AS192</f>
        <v>139</v>
      </c>
      <c r="AK185" s="80">
        <f>+COEF_FCM!AO192</f>
        <v>10472</v>
      </c>
      <c r="AL185" s="80">
        <f>+COEF_FCM!AT192</f>
        <v>102.93899999999999</v>
      </c>
      <c r="AM185" s="80">
        <f>+COEF_FCM!AP192</f>
        <v>9433</v>
      </c>
      <c r="AN185" s="80">
        <f>+COEF_FCM!AU192</f>
        <v>198</v>
      </c>
      <c r="AO185" s="80">
        <f>+COEF_FCM!AQ192</f>
        <v>48981</v>
      </c>
      <c r="AP185" s="80">
        <f>+COEF_FCM!AV192</f>
        <v>569.93899999999996</v>
      </c>
      <c r="AQ185" s="80">
        <f>+_CIERRE!O185+_CIERRE!P185</f>
        <v>3198762.0580000002</v>
      </c>
      <c r="AR185" s="80">
        <f>+_CIERRE!Q185+_CIERRE!R185</f>
        <v>3912523.602</v>
      </c>
      <c r="AS185" s="80">
        <f>+_CIERRE!S185+_CIERRE!T185</f>
        <v>4338389.9400000004</v>
      </c>
      <c r="AT185" s="80">
        <f>+_CIERRE!U185+_CIERRE!V185</f>
        <v>4796848.4029999999</v>
      </c>
      <c r="AU185" s="80">
        <f>+'CALC MEC ESTAB Y ESTIM M FINAL'!T190</f>
        <v>5079166</v>
      </c>
      <c r="AV185" s="560">
        <v>0</v>
      </c>
      <c r="AW185" s="551">
        <v>0</v>
      </c>
      <c r="AX185" s="551">
        <v>0</v>
      </c>
      <c r="AY185" s="551">
        <v>0</v>
      </c>
      <c r="AZ185" s="551">
        <v>366898.80099999998</v>
      </c>
      <c r="BA185" s="551">
        <v>367760.78200000001</v>
      </c>
    </row>
    <row r="186" spans="1:53" ht="3" customHeight="1" x14ac:dyDescent="0.2">
      <c r="A186" s="68" t="str">
        <f>IF(LEN(+'_DATA STT PAGOS_'!M191)=4,"0"&amp;+'_DATA STT PAGOS_'!M191,+'_DATA STT PAGOS_'!M191)</f>
        <v>09111</v>
      </c>
      <c r="B186" s="68" t="str">
        <f>IF(LEN(+'_DATA STT PAGOS_'!N191)=4,"0"&amp;+'_DATA STT PAGOS_'!N191,+'_DATA STT PAGOS_'!N191)</f>
        <v>09208</v>
      </c>
      <c r="C186" s="76" t="str">
        <f>+'_DATA STT PAGOS_'!O191</f>
        <v>NUEVA IMPERIAL</v>
      </c>
      <c r="D186" s="80">
        <f>+'CALC MEC ESTAB Y ESTIM M FINAL'!U191</f>
        <v>9737435</v>
      </c>
      <c r="E186" s="77">
        <f>+'CALC MEC ESTAB Y ESTIM M FINAL'!Q191</f>
        <v>3.6590878179000004E-3</v>
      </c>
      <c r="F186" s="77">
        <f>+'CALC MEC ESTAB Y ESTIM M FINAL'!R191</f>
        <v>-2.2843392590000001E-4</v>
      </c>
      <c r="G186" s="80">
        <f>+'_Flujo con Glosa 08'!CE191</f>
        <v>446148</v>
      </c>
      <c r="H186" s="80">
        <f>+'_Flujo con Glosa 08'!CF191</f>
        <v>446148</v>
      </c>
      <c r="I186" s="80">
        <f>+'_Flujo con Glosa 08'!CG191</f>
        <v>429109</v>
      </c>
      <c r="J186" s="80">
        <f>+'_Flujo con Glosa 08'!CH191</f>
        <v>446148</v>
      </c>
      <c r="K186" s="80">
        <f>+'_Flujo con Glosa 08'!CI191</f>
        <v>1323710</v>
      </c>
      <c r="L186" s="80">
        <f>+'_Flujo con Glosa 08'!CJ191</f>
        <v>459117</v>
      </c>
      <c r="M186" s="80">
        <f>+'_Flujo con Glosa 08'!CK191</f>
        <v>803037</v>
      </c>
      <c r="N186" s="80">
        <f>+'_Flujo con Glosa 08'!CL191</f>
        <v>446148</v>
      </c>
      <c r="O186" s="80">
        <f>+'_Flujo con Glosa 08'!CM191</f>
        <v>517777</v>
      </c>
      <c r="P186" s="80">
        <f>+'_Flujo con Glosa 08'!CN191</f>
        <v>865003</v>
      </c>
      <c r="Q186" s="80">
        <f>+'_Flujo con Glosa 08'!CO191</f>
        <v>446148</v>
      </c>
      <c r="R186" s="80">
        <f>+'_Flujo con Glosa 08'!CP191</f>
        <v>815991</v>
      </c>
      <c r="S186" s="80">
        <f t="shared" si="4"/>
        <v>7444484</v>
      </c>
      <c r="T186" s="80">
        <v>0</v>
      </c>
      <c r="U186" s="80">
        <v>0</v>
      </c>
      <c r="V186" s="80">
        <v>0</v>
      </c>
      <c r="W186" s="80">
        <v>0</v>
      </c>
      <c r="X186" s="80">
        <v>0</v>
      </c>
      <c r="Y186" s="80">
        <v>0</v>
      </c>
      <c r="Z186" s="80">
        <v>0</v>
      </c>
      <c r="AA186" s="80">
        <v>0</v>
      </c>
      <c r="AB186" s="80">
        <v>0</v>
      </c>
      <c r="AC186" s="80">
        <v>0</v>
      </c>
      <c r="AD186" s="80">
        <v>0</v>
      </c>
      <c r="AE186" s="80">
        <v>0</v>
      </c>
      <c r="AF186" s="80">
        <f t="shared" si="5"/>
        <v>0</v>
      </c>
      <c r="AG186" s="80">
        <f>+COEF_FCM!AM193</f>
        <v>45134</v>
      </c>
      <c r="AH186" s="80">
        <f>+COEF_FCM!AR193</f>
        <v>1962</v>
      </c>
      <c r="AI186" s="80">
        <f>+COEF_FCM!AN193</f>
        <v>39354</v>
      </c>
      <c r="AJ186" s="80">
        <f>+COEF_FCM!AS193</f>
        <v>1217</v>
      </c>
      <c r="AK186" s="80">
        <f>+COEF_FCM!AO193</f>
        <v>38924</v>
      </c>
      <c r="AL186" s="80">
        <f>+COEF_FCM!AT193</f>
        <v>1373.932</v>
      </c>
      <c r="AM186" s="80">
        <f>+COEF_FCM!AP193</f>
        <v>18477</v>
      </c>
      <c r="AN186" s="80">
        <f>+COEF_FCM!AU193</f>
        <v>769</v>
      </c>
      <c r="AO186" s="80">
        <f>+COEF_FCM!AQ193</f>
        <v>141889</v>
      </c>
      <c r="AP186" s="80">
        <f>+COEF_FCM!AV193</f>
        <v>5321.9319999999998</v>
      </c>
      <c r="AQ186" s="80">
        <f>+_CIERRE!O186+_CIERRE!P186</f>
        <v>7375807.6730000004</v>
      </c>
      <c r="AR186" s="80">
        <f>+_CIERRE!Q186+_CIERRE!R186</f>
        <v>8134480.2369999997</v>
      </c>
      <c r="AS186" s="80">
        <f>+_CIERRE!S186+_CIERRE!T186</f>
        <v>8669946.0439999998</v>
      </c>
      <c r="AT186" s="80">
        <f>+_CIERRE!U186+_CIERRE!V186</f>
        <v>9196647.1229999997</v>
      </c>
      <c r="AU186" s="80">
        <f>+'CALC MEC ESTAB Y ESTIM M FINAL'!T191</f>
        <v>9737435</v>
      </c>
      <c r="AV186" s="560">
        <v>0</v>
      </c>
      <c r="AW186" s="551">
        <v>0</v>
      </c>
      <c r="AX186" s="551">
        <v>0</v>
      </c>
      <c r="AY186" s="551">
        <v>0</v>
      </c>
      <c r="AZ186" s="551">
        <v>807547.35699999996</v>
      </c>
      <c r="BA186" s="551">
        <v>855262.72400000005</v>
      </c>
    </row>
    <row r="187" spans="1:53" ht="3" customHeight="1" x14ac:dyDescent="0.2">
      <c r="A187" s="68" t="str">
        <f>IF(LEN(+'_DATA STT PAGOS_'!M192)=4,"0"&amp;+'_DATA STT PAGOS_'!M192,+'_DATA STT PAGOS_'!M192)</f>
        <v>09112</v>
      </c>
      <c r="B187" s="68" t="str">
        <f>IF(LEN(+'_DATA STT PAGOS_'!N192)=4,"0"&amp;+'_DATA STT PAGOS_'!N192,+'_DATA STT PAGOS_'!N192)</f>
        <v>09220</v>
      </c>
      <c r="C187" s="76" t="str">
        <f>+'_DATA STT PAGOS_'!O192</f>
        <v>PADRE LAS CASAS</v>
      </c>
      <c r="D187" s="80">
        <f>+'CALC MEC ESTAB Y ESTIM M FINAL'!U192</f>
        <v>16598874</v>
      </c>
      <c r="E187" s="77">
        <f>+'CALC MEC ESTAB Y ESTIM M FINAL'!Q192</f>
        <v>6.3460495326999999E-3</v>
      </c>
      <c r="F187" s="77">
        <f>+'CALC MEC ESTAB Y ESTIM M FINAL'!R192</f>
        <v>-4.9800109389999995E-4</v>
      </c>
      <c r="G187" s="80">
        <f>+'_Flujo con Glosa 08'!CE192</f>
        <v>747903</v>
      </c>
      <c r="H187" s="80">
        <f>+'_Flujo con Glosa 08'!CF192</f>
        <v>747903</v>
      </c>
      <c r="I187" s="80">
        <f>+'_Flujo con Glosa 08'!CG192</f>
        <v>731478</v>
      </c>
      <c r="J187" s="80">
        <f>+'_Flujo con Glosa 08'!CH192</f>
        <v>747903</v>
      </c>
      <c r="K187" s="80">
        <f>+'_Flujo con Glosa 08'!CI192</f>
        <v>2294319</v>
      </c>
      <c r="L187" s="80">
        <f>+'_Flujo con Glosa 08'!CJ192</f>
        <v>770011</v>
      </c>
      <c r="M187" s="80">
        <f>+'_Flujo con Glosa 08'!CK192</f>
        <v>1381515</v>
      </c>
      <c r="N187" s="80">
        <f>+'_Flujo con Glosa 08'!CL192</f>
        <v>747903</v>
      </c>
      <c r="O187" s="80">
        <f>+'_Flujo con Glosa 08'!CM192</f>
        <v>882626</v>
      </c>
      <c r="P187" s="80">
        <f>+'_Flujo con Glosa 08'!CN192</f>
        <v>1487145</v>
      </c>
      <c r="Q187" s="80">
        <f>+'_Flujo con Glosa 08'!CO192</f>
        <v>747903</v>
      </c>
      <c r="R187" s="80">
        <f>+'_Flujo con Glosa 08'!CP192</f>
        <v>1403597</v>
      </c>
      <c r="S187" s="80">
        <f t="shared" si="4"/>
        <v>12690206</v>
      </c>
      <c r="T187" s="80">
        <v>0</v>
      </c>
      <c r="U187" s="80">
        <v>0</v>
      </c>
      <c r="V187" s="80">
        <v>0</v>
      </c>
      <c r="W187" s="80">
        <v>0</v>
      </c>
      <c r="X187" s="80">
        <v>0</v>
      </c>
      <c r="Y187" s="80">
        <v>0</v>
      </c>
      <c r="Z187" s="80">
        <v>0</v>
      </c>
      <c r="AA187" s="80">
        <v>0</v>
      </c>
      <c r="AB187" s="80">
        <v>0</v>
      </c>
      <c r="AC187" s="80">
        <v>0</v>
      </c>
      <c r="AD187" s="80">
        <v>0</v>
      </c>
      <c r="AE187" s="80">
        <v>0</v>
      </c>
      <c r="AF187" s="80">
        <f t="shared" si="5"/>
        <v>0</v>
      </c>
      <c r="AG187" s="80">
        <f>+COEF_FCM!AM194</f>
        <v>137649</v>
      </c>
      <c r="AH187" s="80">
        <f>+COEF_FCM!AR194</f>
        <v>3653</v>
      </c>
      <c r="AI187" s="80">
        <f>+COEF_FCM!AN194</f>
        <v>106368</v>
      </c>
      <c r="AJ187" s="80">
        <f>+COEF_FCM!AS194</f>
        <v>1547</v>
      </c>
      <c r="AK187" s="80">
        <f>+COEF_FCM!AO194</f>
        <v>110837</v>
      </c>
      <c r="AL187" s="80">
        <f>+COEF_FCM!AT194</f>
        <v>2284.3960000000002</v>
      </c>
      <c r="AM187" s="80">
        <f>+COEF_FCM!AP194</f>
        <v>106829</v>
      </c>
      <c r="AN187" s="80">
        <f>+COEF_FCM!AU194</f>
        <v>1708</v>
      </c>
      <c r="AO187" s="80">
        <f>+COEF_FCM!AQ194</f>
        <v>461683</v>
      </c>
      <c r="AP187" s="80">
        <f>+COEF_FCM!AV194</f>
        <v>9192.3960000000006</v>
      </c>
      <c r="AQ187" s="80">
        <f>+_CIERRE!O187+_CIERRE!P187</f>
        <v>11939761.219000001</v>
      </c>
      <c r="AR187" s="80">
        <f>+_CIERRE!Q187+_CIERRE!R187</f>
        <v>13497667.616</v>
      </c>
      <c r="AS187" s="80">
        <f>+_CIERRE!S187+_CIERRE!T187</f>
        <v>14351633</v>
      </c>
      <c r="AT187" s="80">
        <f>+_CIERRE!U187+_CIERRE!V187</f>
        <v>15419922.08</v>
      </c>
      <c r="AU187" s="80">
        <f>+'CALC MEC ESTAB Y ESTIM M FINAL'!T192</f>
        <v>16598874</v>
      </c>
      <c r="AV187" s="560">
        <v>0</v>
      </c>
      <c r="AW187" s="551">
        <v>0</v>
      </c>
      <c r="AX187" s="551">
        <v>0</v>
      </c>
      <c r="AY187" s="551">
        <v>0</v>
      </c>
      <c r="AZ187" s="551">
        <v>1360172.0970000001</v>
      </c>
      <c r="BA187" s="551">
        <v>1419314.8189999999</v>
      </c>
    </row>
    <row r="188" spans="1:53" ht="3" customHeight="1" x14ac:dyDescent="0.2">
      <c r="A188" s="68" t="str">
        <f>IF(LEN(+'_DATA STT PAGOS_'!M193)=4,"0"&amp;+'_DATA STT PAGOS_'!M193,+'_DATA STT PAGOS_'!M193)</f>
        <v>09113</v>
      </c>
      <c r="B188" s="68" t="str">
        <f>IF(LEN(+'_DATA STT PAGOS_'!N193)=4,"0"&amp;+'_DATA STT PAGOS_'!N193,+'_DATA STT PAGOS_'!N193)</f>
        <v>09206</v>
      </c>
      <c r="C188" s="76" t="str">
        <f>+'_DATA STT PAGOS_'!O193</f>
        <v>PERQUENCO</v>
      </c>
      <c r="D188" s="80">
        <f>+'CALC MEC ESTAB Y ESTIM M FINAL'!U193</f>
        <v>3647898</v>
      </c>
      <c r="E188" s="77">
        <f>+'CALC MEC ESTAB Y ESTIM M FINAL'!Q193</f>
        <v>1.4009704862999999E-3</v>
      </c>
      <c r="F188" s="77">
        <f>+'CALC MEC ESTAB Y ESTIM M FINAL'!R193</f>
        <v>-1.157576407E-4</v>
      </c>
      <c r="G188" s="80">
        <f>+'_Flujo con Glosa 08'!CE193</f>
        <v>163640</v>
      </c>
      <c r="H188" s="80">
        <f>+'_Flujo con Glosa 08'!CF193</f>
        <v>163640</v>
      </c>
      <c r="I188" s="80">
        <f>+'_Flujo con Glosa 08'!CG193</f>
        <v>160755</v>
      </c>
      <c r="J188" s="80">
        <f>+'_Flujo con Glosa 08'!CH193</f>
        <v>163640</v>
      </c>
      <c r="K188" s="80">
        <f>+'_Flujo con Glosa 08'!CI193</f>
        <v>506394</v>
      </c>
      <c r="L188" s="80">
        <f>+'_Flujo con Glosa 08'!CJ193</f>
        <v>168499</v>
      </c>
      <c r="M188" s="80">
        <f>+'_Flujo con Glosa 08'!CK193</f>
        <v>304339</v>
      </c>
      <c r="N188" s="80">
        <f>+'_Flujo con Glosa 08'!CL193</f>
        <v>163640</v>
      </c>
      <c r="O188" s="80">
        <f>+'_Flujo con Glosa 08'!CM193</f>
        <v>193972</v>
      </c>
      <c r="P188" s="80">
        <f>+'_Flujo con Glosa 08'!CN193</f>
        <v>327552</v>
      </c>
      <c r="Q188" s="80">
        <f>+'_Flujo con Glosa 08'!CO193</f>
        <v>163640</v>
      </c>
      <c r="R188" s="80">
        <f>+'_Flujo con Glosa 08'!CP193</f>
        <v>309190</v>
      </c>
      <c r="S188" s="80">
        <f t="shared" si="4"/>
        <v>2788901</v>
      </c>
      <c r="T188" s="80">
        <v>0</v>
      </c>
      <c r="U188" s="80">
        <v>0</v>
      </c>
      <c r="V188" s="80">
        <v>0</v>
      </c>
      <c r="W188" s="80">
        <v>0</v>
      </c>
      <c r="X188" s="80">
        <v>0</v>
      </c>
      <c r="Y188" s="80">
        <v>0</v>
      </c>
      <c r="Z188" s="80">
        <v>0</v>
      </c>
      <c r="AA188" s="80">
        <v>0</v>
      </c>
      <c r="AB188" s="80">
        <v>0</v>
      </c>
      <c r="AC188" s="80">
        <v>0</v>
      </c>
      <c r="AD188" s="80">
        <v>0</v>
      </c>
      <c r="AE188" s="80">
        <v>0</v>
      </c>
      <c r="AF188" s="80">
        <f t="shared" si="5"/>
        <v>0</v>
      </c>
      <c r="AG188" s="80">
        <f>+COEF_FCM!AM195</f>
        <v>34072</v>
      </c>
      <c r="AH188" s="80">
        <f>+COEF_FCM!AR195</f>
        <v>582</v>
      </c>
      <c r="AI188" s="80">
        <f>+COEF_FCM!AN195</f>
        <v>28196</v>
      </c>
      <c r="AJ188" s="80">
        <f>+COEF_FCM!AS195</f>
        <v>193</v>
      </c>
      <c r="AK188" s="80">
        <f>+COEF_FCM!AO195</f>
        <v>30531</v>
      </c>
      <c r="AL188" s="80">
        <f>+COEF_FCM!AT195</f>
        <v>210.59</v>
      </c>
      <c r="AM188" s="80">
        <f>+COEF_FCM!AP195</f>
        <v>22660</v>
      </c>
      <c r="AN188" s="80">
        <f>+COEF_FCM!AU195</f>
        <v>107</v>
      </c>
      <c r="AO188" s="80">
        <f>+COEF_FCM!AQ195</f>
        <v>115459</v>
      </c>
      <c r="AP188" s="80">
        <f>+COEF_FCM!AV195</f>
        <v>1092.5900000000001</v>
      </c>
      <c r="AQ188" s="80">
        <f>+_CIERRE!O188+_CIERRE!P188</f>
        <v>2863440.0419999999</v>
      </c>
      <c r="AR188" s="80">
        <f>+_CIERRE!Q188+_CIERRE!R188</f>
        <v>3104486.8560000001</v>
      </c>
      <c r="AS188" s="80">
        <f>+_CIERRE!S188+_CIERRE!T188</f>
        <v>3210021.8390000002</v>
      </c>
      <c r="AT188" s="80">
        <f>+_CIERRE!U188+_CIERRE!V188</f>
        <v>3373856.6329999999</v>
      </c>
      <c r="AU188" s="80">
        <f>+'CALC MEC ESTAB Y ESTIM M FINAL'!T193</f>
        <v>3647898</v>
      </c>
      <c r="AV188" s="560">
        <v>0</v>
      </c>
      <c r="AW188" s="551">
        <v>0</v>
      </c>
      <c r="AX188" s="551">
        <v>0</v>
      </c>
      <c r="AY188" s="551">
        <v>0</v>
      </c>
      <c r="AZ188" s="551">
        <v>340007.73499999999</v>
      </c>
      <c r="BA188" s="551">
        <v>349959.94</v>
      </c>
    </row>
    <row r="189" spans="1:53" ht="3" customHeight="1" x14ac:dyDescent="0.2">
      <c r="A189" s="68" t="str">
        <f>IF(LEN(+'_DATA STT PAGOS_'!M194)=4,"0"&amp;+'_DATA STT PAGOS_'!M194,+'_DATA STT PAGOS_'!M194)</f>
        <v>09114</v>
      </c>
      <c r="B189" s="68" t="str">
        <f>IF(LEN(+'_DATA STT PAGOS_'!N194)=4,"0"&amp;+'_DATA STT PAGOS_'!N194,+'_DATA STT PAGOS_'!N194)</f>
        <v>09211</v>
      </c>
      <c r="C189" s="76" t="str">
        <f>+'_DATA STT PAGOS_'!O194</f>
        <v>PITRUFQUÉN</v>
      </c>
      <c r="D189" s="80">
        <f>+'CALC MEC ESTAB Y ESTIM M FINAL'!U194</f>
        <v>8123253</v>
      </c>
      <c r="E189" s="77">
        <f>+'CALC MEC ESTAB Y ESTIM M FINAL'!Q194</f>
        <v>3.0795621891999999E-3</v>
      </c>
      <c r="F189" s="77">
        <f>+'CALC MEC ESTAB Y ESTIM M FINAL'!R194</f>
        <v>-2.1761042689999999E-4</v>
      </c>
      <c r="G189" s="80">
        <f>+'_Flujo con Glosa 08'!CE194</f>
        <v>369066</v>
      </c>
      <c r="H189" s="80">
        <f>+'_Flujo con Glosa 08'!CF194</f>
        <v>369066</v>
      </c>
      <c r="I189" s="80">
        <f>+'_Flujo con Glosa 08'!CG194</f>
        <v>357975</v>
      </c>
      <c r="J189" s="80">
        <f>+'_Flujo con Glosa 08'!CH194</f>
        <v>369066</v>
      </c>
      <c r="K189" s="80">
        <f>+'_Flujo con Glosa 08'!CI194</f>
        <v>1113648</v>
      </c>
      <c r="L189" s="80">
        <f>+'_Flujo con Glosa 08'!CJ194</f>
        <v>379885</v>
      </c>
      <c r="M189" s="80">
        <f>+'_Flujo con Glosa 08'!CK194</f>
        <v>673041</v>
      </c>
      <c r="N189" s="80">
        <f>+'_Flujo con Glosa 08'!CL194</f>
        <v>369066</v>
      </c>
      <c r="O189" s="80">
        <f>+'_Flujo con Glosa 08'!CM194</f>
        <v>431945</v>
      </c>
      <c r="P189" s="80">
        <f>+'_Flujo con Glosa 08'!CN194</f>
        <v>724734</v>
      </c>
      <c r="Q189" s="80">
        <f>+'_Flujo con Glosa 08'!CO194</f>
        <v>369066</v>
      </c>
      <c r="R189" s="80">
        <f>+'_Flujo con Glosa 08'!CP194</f>
        <v>683848</v>
      </c>
      <c r="S189" s="80">
        <f t="shared" si="4"/>
        <v>6210406</v>
      </c>
      <c r="T189" s="80">
        <v>0</v>
      </c>
      <c r="U189" s="80">
        <v>0</v>
      </c>
      <c r="V189" s="80">
        <v>0</v>
      </c>
      <c r="W189" s="80">
        <v>0</v>
      </c>
      <c r="X189" s="80">
        <v>0</v>
      </c>
      <c r="Y189" s="80">
        <v>0</v>
      </c>
      <c r="Z189" s="80">
        <v>0</v>
      </c>
      <c r="AA189" s="80">
        <v>0</v>
      </c>
      <c r="AB189" s="80">
        <v>0</v>
      </c>
      <c r="AC189" s="80">
        <v>0</v>
      </c>
      <c r="AD189" s="80">
        <v>0</v>
      </c>
      <c r="AE189" s="80">
        <v>0</v>
      </c>
      <c r="AF189" s="80">
        <f t="shared" si="5"/>
        <v>0</v>
      </c>
      <c r="AG189" s="80">
        <f>+COEF_FCM!AM196</f>
        <v>75480</v>
      </c>
      <c r="AH189" s="80">
        <f>+COEF_FCM!AR196</f>
        <v>3631</v>
      </c>
      <c r="AI189" s="80">
        <f>+COEF_FCM!AN196</f>
        <v>33486</v>
      </c>
      <c r="AJ189" s="80">
        <f>+COEF_FCM!AS196</f>
        <v>2569</v>
      </c>
      <c r="AK189" s="80">
        <f>+COEF_FCM!AO196</f>
        <v>56343</v>
      </c>
      <c r="AL189" s="80">
        <f>+COEF_FCM!AT196</f>
        <v>2176.5369999999998</v>
      </c>
      <c r="AM189" s="80">
        <f>+COEF_FCM!AP196</f>
        <v>26670</v>
      </c>
      <c r="AN189" s="80">
        <f>+COEF_FCM!AU196</f>
        <v>1687</v>
      </c>
      <c r="AO189" s="80">
        <f>+COEF_FCM!AQ196</f>
        <v>191979</v>
      </c>
      <c r="AP189" s="80">
        <f>+COEF_FCM!AV196</f>
        <v>10063.537</v>
      </c>
      <c r="AQ189" s="80">
        <f>+_CIERRE!O189+_CIERRE!P189</f>
        <v>5407540.9579999996</v>
      </c>
      <c r="AR189" s="80">
        <f>+_CIERRE!Q189+_CIERRE!R189</f>
        <v>6434404.8859999999</v>
      </c>
      <c r="AS189" s="80">
        <f>+_CIERRE!S189+_CIERRE!T189</f>
        <v>7185198.142</v>
      </c>
      <c r="AT189" s="80">
        <f>+_CIERRE!U189+_CIERRE!V189</f>
        <v>7608089.0659999996</v>
      </c>
      <c r="AU189" s="80">
        <f>+'CALC MEC ESTAB Y ESTIM M FINAL'!T194</f>
        <v>8123253</v>
      </c>
      <c r="AV189" s="560">
        <v>0</v>
      </c>
      <c r="AW189" s="551">
        <v>0</v>
      </c>
      <c r="AX189" s="551">
        <v>0</v>
      </c>
      <c r="AY189" s="551">
        <v>0</v>
      </c>
      <c r="AZ189" s="551">
        <v>592500.179</v>
      </c>
      <c r="BA189" s="551">
        <v>629415.19999999995</v>
      </c>
    </row>
    <row r="190" spans="1:53" ht="3" customHeight="1" x14ac:dyDescent="0.2">
      <c r="A190" s="68" t="str">
        <f>IF(LEN(+'_DATA STT PAGOS_'!M195)=4,"0"&amp;+'_DATA STT PAGOS_'!M195,+'_DATA STT PAGOS_'!M195)</f>
        <v>09115</v>
      </c>
      <c r="B190" s="68" t="str">
        <f>IF(LEN(+'_DATA STT PAGOS_'!N195)=4,"0"&amp;+'_DATA STT PAGOS_'!N195,+'_DATA STT PAGOS_'!N195)</f>
        <v>09216</v>
      </c>
      <c r="C190" s="76" t="str">
        <f>+'_DATA STT PAGOS_'!O195</f>
        <v>PUCÓN</v>
      </c>
      <c r="D190" s="80">
        <f>+'CALC MEC ESTAB Y ESTIM M FINAL'!U195</f>
        <v>3285905</v>
      </c>
      <c r="E190" s="77">
        <f>+'CALC MEC ESTAB Y ESTIM M FINAL'!Q195</f>
        <v>1.2212778014E-3</v>
      </c>
      <c r="F190" s="77">
        <f>+'CALC MEC ESTAB Y ESTIM M FINAL'!R195</f>
        <v>-6.3601136399999995E-5</v>
      </c>
      <c r="G190" s="80">
        <f>+'_Flujo con Glosa 08'!CE195</f>
        <v>152198</v>
      </c>
      <c r="H190" s="80">
        <f>+'_Flujo con Glosa 08'!CF195</f>
        <v>152198</v>
      </c>
      <c r="I190" s="80">
        <f>+'_Flujo con Glosa 08'!CG195</f>
        <v>144803</v>
      </c>
      <c r="J190" s="80">
        <f>+'_Flujo con Glosa 08'!CH195</f>
        <v>152198</v>
      </c>
      <c r="K190" s="80">
        <f>+'_Flujo con Glosa 08'!CI195</f>
        <v>441752</v>
      </c>
      <c r="L190" s="80">
        <f>+'_Flujo con Glosa 08'!CJ195</f>
        <v>156575</v>
      </c>
      <c r="M190" s="80">
        <f>+'_Flujo con Glosa 08'!CK195</f>
        <v>269341</v>
      </c>
      <c r="N190" s="80">
        <f>+'_Flujo con Glosa 08'!CL195</f>
        <v>152198</v>
      </c>
      <c r="O190" s="80">
        <f>+'_Flujo con Glosa 08'!CM195</f>
        <v>174724</v>
      </c>
      <c r="P190" s="80">
        <f>+'_Flujo con Glosa 08'!CN195</f>
        <v>290251</v>
      </c>
      <c r="Q190" s="80">
        <f>+'_Flujo con Glosa 08'!CO195</f>
        <v>152198</v>
      </c>
      <c r="R190" s="80">
        <f>+'_Flujo con Glosa 08'!CP195</f>
        <v>273712</v>
      </c>
      <c r="S190" s="80">
        <f t="shared" si="4"/>
        <v>2512148</v>
      </c>
      <c r="T190" s="80">
        <v>0</v>
      </c>
      <c r="U190" s="80">
        <v>0</v>
      </c>
      <c r="V190" s="80">
        <v>0</v>
      </c>
      <c r="W190" s="80">
        <v>0</v>
      </c>
      <c r="X190" s="80">
        <v>0</v>
      </c>
      <c r="Y190" s="80">
        <v>0</v>
      </c>
      <c r="Z190" s="80">
        <v>0</v>
      </c>
      <c r="AA190" s="80">
        <v>0</v>
      </c>
      <c r="AB190" s="80">
        <v>0</v>
      </c>
      <c r="AC190" s="80">
        <v>0</v>
      </c>
      <c r="AD190" s="80">
        <v>0</v>
      </c>
      <c r="AE190" s="80">
        <v>0</v>
      </c>
      <c r="AF190" s="80">
        <f t="shared" si="5"/>
        <v>0</v>
      </c>
      <c r="AG190" s="80">
        <f>+COEF_FCM!AM197</f>
        <v>707844</v>
      </c>
      <c r="AH190" s="80">
        <f>+COEF_FCM!AR197</f>
        <v>59177</v>
      </c>
      <c r="AI190" s="80">
        <f>+COEF_FCM!AN197</f>
        <v>412564</v>
      </c>
      <c r="AJ190" s="80">
        <f>+COEF_FCM!AS197</f>
        <v>28938</v>
      </c>
      <c r="AK190" s="80">
        <f>+COEF_FCM!AO197</f>
        <v>524955</v>
      </c>
      <c r="AL190" s="80">
        <f>+COEF_FCM!AT197</f>
        <v>38070.167999999998</v>
      </c>
      <c r="AM190" s="80">
        <f>+COEF_FCM!AP197</f>
        <v>420824</v>
      </c>
      <c r="AN190" s="80">
        <f>+COEF_FCM!AU197</f>
        <v>28605</v>
      </c>
      <c r="AO190" s="80">
        <f>+COEF_FCM!AQ197</f>
        <v>2066187</v>
      </c>
      <c r="AP190" s="80">
        <f>+COEF_FCM!AV197</f>
        <v>154790.16800000001</v>
      </c>
      <c r="AQ190" s="80">
        <f>+_CIERRE!O190+_CIERRE!P190</f>
        <v>2373728.861</v>
      </c>
      <c r="AR190" s="80">
        <f>+_CIERRE!Q190+_CIERRE!R190</f>
        <v>2815851.6290000002</v>
      </c>
      <c r="AS190" s="80">
        <f>+_CIERRE!S190+_CIERRE!T190</f>
        <v>3031366.585</v>
      </c>
      <c r="AT190" s="80">
        <f>+_CIERRE!U190+_CIERRE!V190</f>
        <v>3135337.1340000001</v>
      </c>
      <c r="AU190" s="80">
        <f>+'CALC MEC ESTAB Y ESTIM M FINAL'!T195</f>
        <v>3285905</v>
      </c>
      <c r="AV190" s="560">
        <v>0</v>
      </c>
      <c r="AW190" s="551">
        <v>0</v>
      </c>
      <c r="AX190" s="551">
        <v>0</v>
      </c>
      <c r="AY190" s="551">
        <v>0</v>
      </c>
      <c r="AZ190" s="551">
        <v>372666.03399999999</v>
      </c>
      <c r="BA190" s="551">
        <v>387239.43599999999</v>
      </c>
    </row>
    <row r="191" spans="1:53" ht="3" customHeight="1" x14ac:dyDescent="0.2">
      <c r="A191" s="68" t="str">
        <f>IF(LEN(+'_DATA STT PAGOS_'!M196)=4,"0"&amp;+'_DATA STT PAGOS_'!M196,+'_DATA STT PAGOS_'!M196)</f>
        <v>09116</v>
      </c>
      <c r="B191" s="68" t="str">
        <f>IF(LEN(+'_DATA STT PAGOS_'!N196)=4,"0"&amp;+'_DATA STT PAGOS_'!N196,+'_DATA STT PAGOS_'!N196)</f>
        <v>09210</v>
      </c>
      <c r="C191" s="76" t="str">
        <f>+'_DATA STT PAGOS_'!O196</f>
        <v>SAAVEDRA</v>
      </c>
      <c r="D191" s="80">
        <f>+'CALC MEC ESTAB Y ESTIM M FINAL'!U196</f>
        <v>6864407</v>
      </c>
      <c r="E191" s="77">
        <f>+'CALC MEC ESTAB Y ESTIM M FINAL'!Q196</f>
        <v>2.7115601981999998E-3</v>
      </c>
      <c r="F191" s="77">
        <f>+'CALC MEC ESTAB Y ESTIM M FINAL'!R196</f>
        <v>-2.9311984310000002E-4</v>
      </c>
      <c r="G191" s="80">
        <f>+'_Flujo con Glosa 08'!CE196</f>
        <v>299078</v>
      </c>
      <c r="H191" s="80">
        <f>+'_Flujo con Glosa 08'!CF196</f>
        <v>299078</v>
      </c>
      <c r="I191" s="80">
        <f>+'_Flujo con Glosa 08'!CG196</f>
        <v>302500</v>
      </c>
      <c r="J191" s="80">
        <f>+'_Flujo con Glosa 08'!CH196</f>
        <v>299078</v>
      </c>
      <c r="K191" s="80">
        <f>+'_Flujo con Glosa 08'!CI196</f>
        <v>979453</v>
      </c>
      <c r="L191" s="80">
        <f>+'_Flujo con Glosa 08'!CJ196</f>
        <v>308221</v>
      </c>
      <c r="M191" s="80">
        <f>+'_Flujo con Glosa 08'!CK196</f>
        <v>581536</v>
      </c>
      <c r="N191" s="80">
        <f>+'_Flujo con Glosa 08'!CL196</f>
        <v>299078</v>
      </c>
      <c r="O191" s="80">
        <f>+'_Flujo con Glosa 08'!CM196</f>
        <v>365007</v>
      </c>
      <c r="P191" s="80">
        <f>+'_Flujo con Glosa 08'!CN196</f>
        <v>625219</v>
      </c>
      <c r="Q191" s="80">
        <f>+'_Flujo con Glosa 08'!CO196</f>
        <v>299078</v>
      </c>
      <c r="R191" s="80">
        <f>+'_Flujo con Glosa 08'!CP196</f>
        <v>590667</v>
      </c>
      <c r="S191" s="80">
        <f t="shared" si="4"/>
        <v>5247993</v>
      </c>
      <c r="T191" s="80">
        <v>0</v>
      </c>
      <c r="U191" s="80">
        <v>0</v>
      </c>
      <c r="V191" s="80">
        <v>0</v>
      </c>
      <c r="W191" s="80">
        <v>0</v>
      </c>
      <c r="X191" s="80">
        <v>0</v>
      </c>
      <c r="Y191" s="80">
        <v>0</v>
      </c>
      <c r="Z191" s="80">
        <v>0</v>
      </c>
      <c r="AA191" s="80">
        <v>0</v>
      </c>
      <c r="AB191" s="80">
        <v>0</v>
      </c>
      <c r="AC191" s="80">
        <v>0</v>
      </c>
      <c r="AD191" s="80">
        <v>0</v>
      </c>
      <c r="AE191" s="80">
        <v>0</v>
      </c>
      <c r="AF191" s="80">
        <f t="shared" si="5"/>
        <v>0</v>
      </c>
      <c r="AG191" s="80">
        <f>+COEF_FCM!AM198</f>
        <v>8994</v>
      </c>
      <c r="AH191" s="80">
        <f>+COEF_FCM!AR198</f>
        <v>103</v>
      </c>
      <c r="AI191" s="80">
        <f>+COEF_FCM!AN198</f>
        <v>5160</v>
      </c>
      <c r="AJ191" s="80">
        <f>+COEF_FCM!AS198</f>
        <v>70</v>
      </c>
      <c r="AK191" s="80">
        <f>+COEF_FCM!AO198</f>
        <v>4866</v>
      </c>
      <c r="AL191" s="80">
        <f>+COEF_FCM!AT198</f>
        <v>60.418999999999997</v>
      </c>
      <c r="AM191" s="80">
        <f>+COEF_FCM!AP198</f>
        <v>7098</v>
      </c>
      <c r="AN191" s="80">
        <f>+COEF_FCM!AU198</f>
        <v>170</v>
      </c>
      <c r="AO191" s="80">
        <f>+COEF_FCM!AQ198</f>
        <v>26118</v>
      </c>
      <c r="AP191" s="80">
        <f>+COEF_FCM!AV198</f>
        <v>403.41899999999998</v>
      </c>
      <c r="AQ191" s="80">
        <f>+_CIERRE!O191+_CIERRE!P191</f>
        <v>4661376.3360000001</v>
      </c>
      <c r="AR191" s="80">
        <f>+_CIERRE!Q191+_CIERRE!R191</f>
        <v>5096926.841</v>
      </c>
      <c r="AS191" s="80">
        <f>+_CIERRE!S191+_CIERRE!T191</f>
        <v>5498051.7220000001</v>
      </c>
      <c r="AT191" s="80">
        <f>+_CIERRE!U191+_CIERRE!V191</f>
        <v>6170485.1610000003</v>
      </c>
      <c r="AU191" s="80">
        <f>+'CALC MEC ESTAB Y ESTIM M FINAL'!T196</f>
        <v>6864407</v>
      </c>
      <c r="AV191" s="560">
        <v>0</v>
      </c>
      <c r="AW191" s="551">
        <v>0</v>
      </c>
      <c r="AX191" s="551">
        <v>0</v>
      </c>
      <c r="AY191" s="551">
        <v>0</v>
      </c>
      <c r="AZ191" s="551">
        <v>526959.27800000005</v>
      </c>
      <c r="BA191" s="551">
        <v>544161.95200000005</v>
      </c>
    </row>
    <row r="192" spans="1:53" ht="3" customHeight="1" x14ac:dyDescent="0.2">
      <c r="A192" s="68" t="str">
        <f>IF(LEN(+'_DATA STT PAGOS_'!M197)=4,"0"&amp;+'_DATA STT PAGOS_'!M197,+'_DATA STT PAGOS_'!M197)</f>
        <v>09117</v>
      </c>
      <c r="B192" s="68" t="str">
        <f>IF(LEN(+'_DATA STT PAGOS_'!N197)=4,"0"&amp;+'_DATA STT PAGOS_'!N197,+'_DATA STT PAGOS_'!N197)</f>
        <v>09219</v>
      </c>
      <c r="C192" s="76" t="str">
        <f>+'_DATA STT PAGOS_'!O197</f>
        <v>TEODORO SCHMIDT</v>
      </c>
      <c r="D192" s="80">
        <f>+'CALC MEC ESTAB Y ESTIM M FINAL'!U197</f>
        <v>6744827</v>
      </c>
      <c r="E192" s="77">
        <f>+'CALC MEC ESTAB Y ESTIM M FINAL'!Q197</f>
        <v>2.6638900212E-3</v>
      </c>
      <c r="F192" s="77">
        <f>+'CALC MEC ESTAB Y ESTIM M FINAL'!R197</f>
        <v>-2.8757967450000001E-4</v>
      </c>
      <c r="G192" s="80">
        <f>+'_Flujo con Glosa 08'!CE197</f>
        <v>294012</v>
      </c>
      <c r="H192" s="80">
        <f>+'_Flujo con Glosa 08'!CF197</f>
        <v>294012</v>
      </c>
      <c r="I192" s="80">
        <f>+'_Flujo con Glosa 08'!CG197</f>
        <v>297231</v>
      </c>
      <c r="J192" s="80">
        <f>+'_Flujo con Glosa 08'!CH197</f>
        <v>294012</v>
      </c>
      <c r="K192" s="80">
        <f>+'_Flujo con Glosa 08'!CI197</f>
        <v>961958</v>
      </c>
      <c r="L192" s="80">
        <f>+'_Flujo con Glosa 08'!CJ197</f>
        <v>302995</v>
      </c>
      <c r="M192" s="80">
        <f>+'_Flujo con Glosa 08'!CK197</f>
        <v>571262</v>
      </c>
      <c r="N192" s="80">
        <f>+'_Flujo con Glosa 08'!CL197</f>
        <v>294012</v>
      </c>
      <c r="O192" s="80">
        <f>+'_Flujo con Glosa 08'!CM197</f>
        <v>358649</v>
      </c>
      <c r="P192" s="80">
        <f>+'_Flujo con Glosa 08'!CN197</f>
        <v>614183</v>
      </c>
      <c r="Q192" s="80">
        <f>+'_Flujo con Glosa 08'!CO197</f>
        <v>294012</v>
      </c>
      <c r="R192" s="80">
        <f>+'_Flujo con Glosa 08'!CP197</f>
        <v>580235</v>
      </c>
      <c r="S192" s="80">
        <f t="shared" si="4"/>
        <v>5156573</v>
      </c>
      <c r="T192" s="80">
        <v>0</v>
      </c>
      <c r="U192" s="80">
        <v>0</v>
      </c>
      <c r="V192" s="80">
        <v>0</v>
      </c>
      <c r="W192" s="80">
        <v>0</v>
      </c>
      <c r="X192" s="80">
        <v>0</v>
      </c>
      <c r="Y192" s="80">
        <v>0</v>
      </c>
      <c r="Z192" s="80">
        <v>0</v>
      </c>
      <c r="AA192" s="80">
        <v>0</v>
      </c>
      <c r="AB192" s="80">
        <v>0</v>
      </c>
      <c r="AC192" s="80">
        <v>0</v>
      </c>
      <c r="AD192" s="80">
        <v>0</v>
      </c>
      <c r="AE192" s="80">
        <v>0</v>
      </c>
      <c r="AF192" s="80">
        <f t="shared" si="5"/>
        <v>0</v>
      </c>
      <c r="AG192" s="80">
        <f>+COEF_FCM!AM199</f>
        <v>21641</v>
      </c>
      <c r="AH192" s="80">
        <f>+COEF_FCM!AR199</f>
        <v>1367</v>
      </c>
      <c r="AI192" s="80">
        <f>+COEF_FCM!AN199</f>
        <v>12019</v>
      </c>
      <c r="AJ192" s="80">
        <f>+COEF_FCM!AS199</f>
        <v>1004</v>
      </c>
      <c r="AK192" s="80">
        <f>+COEF_FCM!AO199</f>
        <v>11584</v>
      </c>
      <c r="AL192" s="80">
        <f>+COEF_FCM!AT199</f>
        <v>895.93799999999999</v>
      </c>
      <c r="AM192" s="80">
        <f>+COEF_FCM!AP199</f>
        <v>11988</v>
      </c>
      <c r="AN192" s="80">
        <f>+COEF_FCM!AU199</f>
        <v>2066</v>
      </c>
      <c r="AO192" s="80">
        <f>+COEF_FCM!AQ199</f>
        <v>57232</v>
      </c>
      <c r="AP192" s="80">
        <f>+COEF_FCM!AV199</f>
        <v>5332.9380000000001</v>
      </c>
      <c r="AQ192" s="80">
        <f>+_CIERRE!O192+_CIERRE!P192</f>
        <v>4323067.6550000003</v>
      </c>
      <c r="AR192" s="80">
        <f>+_CIERRE!Q192+_CIERRE!R192</f>
        <v>4884531.3140000002</v>
      </c>
      <c r="AS192" s="80">
        <f>+_CIERRE!S192+_CIERRE!T192</f>
        <v>5252017.68</v>
      </c>
      <c r="AT192" s="80">
        <f>+_CIERRE!U192+_CIERRE!V192</f>
        <v>6064019.227</v>
      </c>
      <c r="AU192" s="80">
        <f>+'CALC MEC ESTAB Y ESTIM M FINAL'!T197</f>
        <v>6744827</v>
      </c>
      <c r="AV192" s="560">
        <v>0</v>
      </c>
      <c r="AW192" s="551">
        <v>0</v>
      </c>
      <c r="AX192" s="551">
        <v>0</v>
      </c>
      <c r="AY192" s="551">
        <v>0</v>
      </c>
      <c r="AZ192" s="551">
        <v>577309.81000000006</v>
      </c>
      <c r="BA192" s="551">
        <v>595852.32700000005</v>
      </c>
    </row>
    <row r="193" spans="1:53" ht="3" customHeight="1" x14ac:dyDescent="0.2">
      <c r="A193" s="68" t="str">
        <f>IF(LEN(+'_DATA STT PAGOS_'!M198)=4,"0"&amp;+'_DATA STT PAGOS_'!M198,+'_DATA STT PAGOS_'!M198)</f>
        <v>09118</v>
      </c>
      <c r="B193" s="68" t="str">
        <f>IF(LEN(+'_DATA STT PAGOS_'!N198)=4,"0"&amp;+'_DATA STT PAGOS_'!N198,+'_DATA STT PAGOS_'!N198)</f>
        <v>09213</v>
      </c>
      <c r="C193" s="76" t="str">
        <f>+'_DATA STT PAGOS_'!O198</f>
        <v>TOLTÉN</v>
      </c>
      <c r="D193" s="80">
        <f>+'CALC MEC ESTAB Y ESTIM M FINAL'!U198</f>
        <v>5391641</v>
      </c>
      <c r="E193" s="77">
        <f>+'CALC MEC ESTAB Y ESTIM M FINAL'!Q198</f>
        <v>2.0478180833E-3</v>
      </c>
      <c r="F193" s="77">
        <f>+'CALC MEC ESTAB Y ESTIM M FINAL'!R198</f>
        <v>-1.4825667530000001E-4</v>
      </c>
      <c r="G193" s="80">
        <f>+'_Flujo con Glosa 08'!CE198</f>
        <v>244439</v>
      </c>
      <c r="H193" s="80">
        <f>+'_Flujo con Glosa 08'!CF198</f>
        <v>244439</v>
      </c>
      <c r="I193" s="80">
        <f>+'_Flujo con Glosa 08'!CG198</f>
        <v>237598</v>
      </c>
      <c r="J193" s="80">
        <f>+'_Flujo con Glosa 08'!CH198</f>
        <v>244439</v>
      </c>
      <c r="K193" s="80">
        <f>+'_Flujo con Glosa 08'!CI198</f>
        <v>740725</v>
      </c>
      <c r="L193" s="80">
        <f>+'_Flujo con Glosa 08'!CJ198</f>
        <v>251620</v>
      </c>
      <c r="M193" s="80">
        <f>+'_Flujo con Glosa 08'!CK198</f>
        <v>447239</v>
      </c>
      <c r="N193" s="80">
        <f>+'_Flujo con Glosa 08'!CL198</f>
        <v>244439</v>
      </c>
      <c r="O193" s="80">
        <f>+'_Flujo con Glosa 08'!CM198</f>
        <v>286695</v>
      </c>
      <c r="P193" s="80">
        <f>+'_Flujo con Glosa 08'!CN198</f>
        <v>481549</v>
      </c>
      <c r="Q193" s="80">
        <f>+'_Flujo con Glosa 08'!CO198</f>
        <v>244439</v>
      </c>
      <c r="R193" s="80">
        <f>+'_Flujo con Glosa 08'!CP198</f>
        <v>454411</v>
      </c>
      <c r="S193" s="80">
        <f t="shared" si="4"/>
        <v>4122032</v>
      </c>
      <c r="T193" s="80">
        <v>0</v>
      </c>
      <c r="U193" s="80">
        <v>0</v>
      </c>
      <c r="V193" s="80">
        <v>0</v>
      </c>
      <c r="W193" s="80">
        <v>0</v>
      </c>
      <c r="X193" s="80">
        <v>0</v>
      </c>
      <c r="Y193" s="80">
        <v>0</v>
      </c>
      <c r="Z193" s="80">
        <v>0</v>
      </c>
      <c r="AA193" s="80">
        <v>0</v>
      </c>
      <c r="AB193" s="80">
        <v>0</v>
      </c>
      <c r="AC193" s="80">
        <v>0</v>
      </c>
      <c r="AD193" s="80">
        <v>0</v>
      </c>
      <c r="AE193" s="80">
        <v>0</v>
      </c>
      <c r="AF193" s="80">
        <f t="shared" si="5"/>
        <v>0</v>
      </c>
      <c r="AG193" s="80">
        <f>+COEF_FCM!AM200</f>
        <v>25568</v>
      </c>
      <c r="AH193" s="80">
        <f>+COEF_FCM!AR200</f>
        <v>182</v>
      </c>
      <c r="AI193" s="80">
        <f>+COEF_FCM!AN200</f>
        <v>15210</v>
      </c>
      <c r="AJ193" s="80">
        <f>+COEF_FCM!AS200</f>
        <v>92</v>
      </c>
      <c r="AK193" s="80">
        <f>+COEF_FCM!AO200</f>
        <v>15956</v>
      </c>
      <c r="AL193" s="80">
        <f>+COEF_FCM!AT200</f>
        <v>96.838999999999999</v>
      </c>
      <c r="AM193" s="80">
        <f>+COEF_FCM!AP200</f>
        <v>12471</v>
      </c>
      <c r="AN193" s="80">
        <f>+COEF_FCM!AU200</f>
        <v>75</v>
      </c>
      <c r="AO193" s="80">
        <f>+COEF_FCM!AQ200</f>
        <v>69205</v>
      </c>
      <c r="AP193" s="80">
        <f>+COEF_FCM!AV200</f>
        <v>445.839</v>
      </c>
      <c r="AQ193" s="80">
        <f>+_CIERRE!O193+_CIERRE!P193</f>
        <v>3715717.3620000002</v>
      </c>
      <c r="AR193" s="80">
        <f>+_CIERRE!Q193+_CIERRE!R193</f>
        <v>4276391.4759999998</v>
      </c>
      <c r="AS193" s="80">
        <f>+_CIERRE!S193+_CIERRE!T193</f>
        <v>4778553.6279999996</v>
      </c>
      <c r="AT193" s="80">
        <f>+_CIERRE!U193+_CIERRE!V193</f>
        <v>5040662.0310000004</v>
      </c>
      <c r="AU193" s="80">
        <f>+'CALC MEC ESTAB Y ESTIM M FINAL'!T198</f>
        <v>5391641</v>
      </c>
      <c r="AV193" s="560">
        <v>0</v>
      </c>
      <c r="AW193" s="551">
        <v>0</v>
      </c>
      <c r="AX193" s="551">
        <v>0</v>
      </c>
      <c r="AY193" s="551">
        <v>0</v>
      </c>
      <c r="AZ193" s="551">
        <v>438903.56</v>
      </c>
      <c r="BA193" s="551">
        <v>454821.12199999997</v>
      </c>
    </row>
    <row r="194" spans="1:53" ht="3" customHeight="1" x14ac:dyDescent="0.2">
      <c r="A194" s="68" t="str">
        <f>IF(LEN(+'_DATA STT PAGOS_'!M199)=4,"0"&amp;+'_DATA STT PAGOS_'!M199,+'_DATA STT PAGOS_'!M199)</f>
        <v>09119</v>
      </c>
      <c r="B194" s="68" t="str">
        <f>IF(LEN(+'_DATA STT PAGOS_'!N199)=4,"0"&amp;+'_DATA STT PAGOS_'!N199,+'_DATA STT PAGOS_'!N199)</f>
        <v>09202</v>
      </c>
      <c r="C194" s="76" t="str">
        <f>+'_DATA STT PAGOS_'!O199</f>
        <v>VILCÚN</v>
      </c>
      <c r="D194" s="80">
        <f>+'CALC MEC ESTAB Y ESTIM M FINAL'!U199</f>
        <v>8817086</v>
      </c>
      <c r="E194" s="77">
        <f>+'CALC MEC ESTAB Y ESTIM M FINAL'!Q199</f>
        <v>3.5019801381000002E-3</v>
      </c>
      <c r="F194" s="77">
        <f>+'CALC MEC ESTAB Y ESTIM M FINAL'!R199</f>
        <v>-3.9558002209999998E-4</v>
      </c>
      <c r="G194" s="80">
        <f>+'_Flujo con Glosa 08'!CE199</f>
        <v>382319</v>
      </c>
      <c r="H194" s="80">
        <f>+'_Flujo con Glosa 08'!CF199</f>
        <v>382319</v>
      </c>
      <c r="I194" s="80">
        <f>+'_Flujo con Glosa 08'!CG199</f>
        <v>388551</v>
      </c>
      <c r="J194" s="80">
        <f>+'_Flujo con Glosa 08'!CH199</f>
        <v>382319</v>
      </c>
      <c r="K194" s="80">
        <f>+'_Flujo con Glosa 08'!CI199</f>
        <v>1263578</v>
      </c>
      <c r="L194" s="80">
        <f>+'_Flujo con Glosa 08'!CJ199</f>
        <v>394063</v>
      </c>
      <c r="M194" s="80">
        <f>+'_Flujo con Glosa 08'!CK199</f>
        <v>748798</v>
      </c>
      <c r="N194" s="80">
        <f>+'_Flujo con Glosa 08'!CL199</f>
        <v>382319</v>
      </c>
      <c r="O194" s="80">
        <f>+'_Flujo con Glosa 08'!CM199</f>
        <v>468838</v>
      </c>
      <c r="P194" s="80">
        <f>+'_Flujo con Glosa 08'!CN199</f>
        <v>804907</v>
      </c>
      <c r="Q194" s="80">
        <f>+'_Flujo con Glosa 08'!CO199</f>
        <v>382319</v>
      </c>
      <c r="R194" s="80">
        <f>+'_Flujo con Glosa 08'!CP199</f>
        <v>760527</v>
      </c>
      <c r="S194" s="80">
        <f t="shared" si="4"/>
        <v>6740857</v>
      </c>
      <c r="T194" s="80">
        <v>0</v>
      </c>
      <c r="U194" s="80">
        <v>0</v>
      </c>
      <c r="V194" s="80">
        <v>0</v>
      </c>
      <c r="W194" s="80">
        <v>0</v>
      </c>
      <c r="X194" s="80">
        <v>0</v>
      </c>
      <c r="Y194" s="80">
        <v>0</v>
      </c>
      <c r="Z194" s="80">
        <v>0</v>
      </c>
      <c r="AA194" s="80">
        <v>0</v>
      </c>
      <c r="AB194" s="80">
        <v>0</v>
      </c>
      <c r="AC194" s="80">
        <v>0</v>
      </c>
      <c r="AD194" s="80">
        <v>0</v>
      </c>
      <c r="AE194" s="80">
        <v>0</v>
      </c>
      <c r="AF194" s="80">
        <f t="shared" si="5"/>
        <v>0</v>
      </c>
      <c r="AG194" s="80">
        <f>+COEF_FCM!AM201</f>
        <v>135376</v>
      </c>
      <c r="AH194" s="80">
        <f>+COEF_FCM!AR201</f>
        <v>719</v>
      </c>
      <c r="AI194" s="80">
        <f>+COEF_FCM!AN201</f>
        <v>90137</v>
      </c>
      <c r="AJ194" s="80">
        <f>+COEF_FCM!AS201</f>
        <v>375</v>
      </c>
      <c r="AK194" s="80">
        <f>+COEF_FCM!AO201</f>
        <v>116279</v>
      </c>
      <c r="AL194" s="80">
        <f>+COEF_FCM!AT201</f>
        <v>408.84899999999999</v>
      </c>
      <c r="AM194" s="80">
        <f>+COEF_FCM!AP201</f>
        <v>91990</v>
      </c>
      <c r="AN194" s="80">
        <f>+COEF_FCM!AU201</f>
        <v>505</v>
      </c>
      <c r="AO194" s="80">
        <f>+COEF_FCM!AQ201</f>
        <v>433782</v>
      </c>
      <c r="AP194" s="80">
        <f>+COEF_FCM!AV201</f>
        <v>2007.8489999999999</v>
      </c>
      <c r="AQ194" s="80">
        <f>+_CIERRE!O194+_CIERRE!P194</f>
        <v>5908532.7680000002</v>
      </c>
      <c r="AR194" s="80">
        <f>+_CIERRE!Q194+_CIERRE!R194</f>
        <v>6593994.7410000004</v>
      </c>
      <c r="AS194" s="80">
        <f>+_CIERRE!S194+_CIERRE!T194</f>
        <v>6955318.1849999996</v>
      </c>
      <c r="AT194" s="80">
        <f>+_CIERRE!U194+_CIERRE!V194</f>
        <v>7880602.0020000003</v>
      </c>
      <c r="AU194" s="80">
        <f>+'CALC MEC ESTAB Y ESTIM M FINAL'!T199</f>
        <v>8817086</v>
      </c>
      <c r="AV194" s="560">
        <v>0</v>
      </c>
      <c r="AW194" s="551">
        <v>0</v>
      </c>
      <c r="AX194" s="551">
        <v>0</v>
      </c>
      <c r="AY194" s="551">
        <v>0</v>
      </c>
      <c r="AZ194" s="551">
        <v>641622.07700000005</v>
      </c>
      <c r="BA194" s="551">
        <v>647926.772</v>
      </c>
    </row>
    <row r="195" spans="1:53" ht="3" customHeight="1" x14ac:dyDescent="0.2">
      <c r="A195" s="68" t="str">
        <f>IF(LEN(+'_DATA STT PAGOS_'!M200)=4,"0"&amp;+'_DATA STT PAGOS_'!M200,+'_DATA STT PAGOS_'!M200)</f>
        <v>09120</v>
      </c>
      <c r="B195" s="68" t="str">
        <f>IF(LEN(+'_DATA STT PAGOS_'!N200)=4,"0"&amp;+'_DATA STT PAGOS_'!N200,+'_DATA STT PAGOS_'!N200)</f>
        <v>09215</v>
      </c>
      <c r="C195" s="76" t="str">
        <f>+'_DATA STT PAGOS_'!O200</f>
        <v>VILLARRICA</v>
      </c>
      <c r="D195" s="80">
        <f>+'CALC MEC ESTAB Y ESTIM M FINAL'!U200</f>
        <v>6257033</v>
      </c>
      <c r="E195" s="77">
        <f>+'CALC MEC ESTAB Y ESTIM M FINAL'!Q200</f>
        <v>2.0876693739999997E-3</v>
      </c>
      <c r="F195" s="77">
        <f>+'CALC MEC ESTAB Y ESTIM M FINAL'!R200</f>
        <v>1.167832325E-4</v>
      </c>
      <c r="G195" s="80">
        <f>+'_Flujo con Glosa 08'!CE200</f>
        <v>303548</v>
      </c>
      <c r="H195" s="80">
        <f>+'_Flujo con Glosa 08'!CF200</f>
        <v>303548</v>
      </c>
      <c r="I195" s="80">
        <f>+'_Flujo con Glosa 08'!CG200</f>
        <v>275734</v>
      </c>
      <c r="J195" s="80">
        <f>+'_Flujo con Glosa 08'!CH200</f>
        <v>303548</v>
      </c>
      <c r="K195" s="80">
        <f>+'_Flujo con Glosa 08'!CI200</f>
        <v>799990</v>
      </c>
      <c r="L195" s="80">
        <f>+'_Flujo con Glosa 08'!CJ200</f>
        <v>311882</v>
      </c>
      <c r="M195" s="80">
        <f>+'_Flujo con Glosa 08'!CK200</f>
        <v>509785</v>
      </c>
      <c r="N195" s="80">
        <f>+'_Flujo con Glosa 08'!CL200</f>
        <v>303548</v>
      </c>
      <c r="O195" s="80">
        <f>+'_Flujo con Glosa 08'!CM200</f>
        <v>332710</v>
      </c>
      <c r="P195" s="80">
        <f>+'_Flujo con Glosa 08'!CN200</f>
        <v>528327</v>
      </c>
      <c r="Q195" s="80">
        <f>+'_Flujo con Glosa 08'!CO200</f>
        <v>303548</v>
      </c>
      <c r="R195" s="80">
        <f>+'_Flujo con Glosa 08'!CP200</f>
        <v>507471</v>
      </c>
      <c r="S195" s="80">
        <f t="shared" ref="S195:S258" si="6">SUM(G195:R195)</f>
        <v>4783639</v>
      </c>
      <c r="T195" s="80">
        <v>0</v>
      </c>
      <c r="U195" s="80">
        <v>0</v>
      </c>
      <c r="V195" s="80">
        <v>0</v>
      </c>
      <c r="W195" s="80">
        <v>0</v>
      </c>
      <c r="X195" s="80">
        <v>0</v>
      </c>
      <c r="Y195" s="80">
        <v>0</v>
      </c>
      <c r="Z195" s="80">
        <v>0</v>
      </c>
      <c r="AA195" s="80">
        <v>0</v>
      </c>
      <c r="AB195" s="80">
        <v>0</v>
      </c>
      <c r="AC195" s="80">
        <v>0</v>
      </c>
      <c r="AD195" s="80">
        <v>0</v>
      </c>
      <c r="AE195" s="80">
        <v>0</v>
      </c>
      <c r="AF195" s="80">
        <f t="shared" ref="AF195:AF258" si="7">SUM(T195:AE195)</f>
        <v>0</v>
      </c>
      <c r="AG195" s="80">
        <f>+COEF_FCM!AM202</f>
        <v>713056</v>
      </c>
      <c r="AH195" s="80">
        <f>+COEF_FCM!AR202</f>
        <v>28463</v>
      </c>
      <c r="AI195" s="80">
        <f>+COEF_FCM!AN202</f>
        <v>422575</v>
      </c>
      <c r="AJ195" s="80">
        <f>+COEF_FCM!AS202</f>
        <v>14585</v>
      </c>
      <c r="AK195" s="80">
        <f>+COEF_FCM!AO202</f>
        <v>535801</v>
      </c>
      <c r="AL195" s="80">
        <f>+COEF_FCM!AT202</f>
        <v>31398.83</v>
      </c>
      <c r="AM195" s="80">
        <f>+COEF_FCM!AP202</f>
        <v>399194</v>
      </c>
      <c r="AN195" s="80">
        <f>+COEF_FCM!AU202</f>
        <v>21199</v>
      </c>
      <c r="AO195" s="80">
        <f>+COEF_FCM!AQ202</f>
        <v>2070626</v>
      </c>
      <c r="AP195" s="80">
        <f>+COEF_FCM!AV202</f>
        <v>95645.83</v>
      </c>
      <c r="AQ195" s="80">
        <f>+_CIERRE!O195+_CIERRE!P195</f>
        <v>5529739.8130000001</v>
      </c>
      <c r="AR195" s="80">
        <f>+_CIERRE!Q195+_CIERRE!R195</f>
        <v>5995239.1629999997</v>
      </c>
      <c r="AS195" s="80">
        <f>+_CIERRE!S195+_CIERRE!T195</f>
        <v>6199043.8190000001</v>
      </c>
      <c r="AT195" s="80">
        <f>+_CIERRE!U195+_CIERRE!V195</f>
        <v>6257033.4950000001</v>
      </c>
      <c r="AU195" s="80">
        <f>+'CALC MEC ESTAB Y ESTIM M FINAL'!T200</f>
        <v>6257033</v>
      </c>
      <c r="AV195" s="560">
        <v>0</v>
      </c>
      <c r="AW195" s="551">
        <v>0</v>
      </c>
      <c r="AX195" s="551">
        <v>0</v>
      </c>
      <c r="AY195" s="551">
        <v>0</v>
      </c>
      <c r="AZ195" s="551">
        <v>529184.87800000003</v>
      </c>
      <c r="BA195" s="551">
        <v>548661.08299999998</v>
      </c>
    </row>
    <row r="196" spans="1:53" ht="3" customHeight="1" x14ac:dyDescent="0.2">
      <c r="A196" s="68" t="str">
        <f>IF(LEN(+'_DATA STT PAGOS_'!M201)=4,"0"&amp;+'_DATA STT PAGOS_'!M201,+'_DATA STT PAGOS_'!M201)</f>
        <v>09121</v>
      </c>
      <c r="B196" s="68" t="str">
        <f>IF(LEN(+'_DATA STT PAGOS_'!N201)=4,"0"&amp;+'_DATA STT PAGOS_'!N201,+'_DATA STT PAGOS_'!N201)</f>
        <v>09221</v>
      </c>
      <c r="C196" s="76" t="str">
        <f>+'_DATA STT PAGOS_'!O201</f>
        <v>CHOLCHOL</v>
      </c>
      <c r="D196" s="80">
        <f>+'CALC MEC ESTAB Y ESTIM M FINAL'!U201</f>
        <v>5118891</v>
      </c>
      <c r="E196" s="77">
        <f>+'CALC MEC ESTAB Y ESTIM M FINAL'!Q201</f>
        <v>1.9580187297999997E-3</v>
      </c>
      <c r="F196" s="77">
        <f>+'CALC MEC ESTAB Y ESTIM M FINAL'!R201</f>
        <v>-1.5455150480000001E-4</v>
      </c>
      <c r="G196" s="80">
        <f>+'_Flujo con Glosa 08'!CE201</f>
        <v>230459</v>
      </c>
      <c r="H196" s="80">
        <f>+'_Flujo con Glosa 08'!CF201</f>
        <v>230459</v>
      </c>
      <c r="I196" s="80">
        <f>+'_Flujo con Glosa 08'!CG201</f>
        <v>225579</v>
      </c>
      <c r="J196" s="80">
        <f>+'_Flujo con Glosa 08'!CH201</f>
        <v>230459</v>
      </c>
      <c r="K196" s="80">
        <f>+'_Flujo con Glosa 08'!CI201</f>
        <v>708097</v>
      </c>
      <c r="L196" s="80">
        <f>+'_Flujo con Glosa 08'!CJ201</f>
        <v>237277</v>
      </c>
      <c r="M196" s="80">
        <f>+'_Flujo con Glosa 08'!CK201</f>
        <v>426228</v>
      </c>
      <c r="N196" s="80">
        <f>+'_Flujo con Glosa 08'!CL201</f>
        <v>230459</v>
      </c>
      <c r="O196" s="80">
        <f>+'_Flujo con Glosa 08'!CM201</f>
        <v>272191</v>
      </c>
      <c r="P196" s="80">
        <f>+'_Flujo con Glosa 08'!CN201</f>
        <v>458803</v>
      </c>
      <c r="Q196" s="80">
        <f>+'_Flujo con Glosa 08'!CO201</f>
        <v>230459</v>
      </c>
      <c r="R196" s="80">
        <f>+'_Flujo con Glosa 08'!CP201</f>
        <v>433038</v>
      </c>
      <c r="S196" s="80">
        <f t="shared" si="6"/>
        <v>3913508</v>
      </c>
      <c r="T196" s="80">
        <v>0</v>
      </c>
      <c r="U196" s="80">
        <v>0</v>
      </c>
      <c r="V196" s="80">
        <v>0</v>
      </c>
      <c r="W196" s="80">
        <v>0</v>
      </c>
      <c r="X196" s="80">
        <v>0</v>
      </c>
      <c r="Y196" s="80">
        <v>0</v>
      </c>
      <c r="Z196" s="80">
        <v>0</v>
      </c>
      <c r="AA196" s="80">
        <v>0</v>
      </c>
      <c r="AB196" s="80">
        <v>0</v>
      </c>
      <c r="AC196" s="80">
        <v>0</v>
      </c>
      <c r="AD196" s="80">
        <v>0</v>
      </c>
      <c r="AE196" s="80">
        <v>0</v>
      </c>
      <c r="AF196" s="80">
        <f t="shared" si="7"/>
        <v>0</v>
      </c>
      <c r="AG196" s="80">
        <f>+COEF_FCM!AM203</f>
        <v>13685</v>
      </c>
      <c r="AH196" s="80">
        <f>+COEF_FCM!AR203</f>
        <v>467</v>
      </c>
      <c r="AI196" s="80">
        <f>+COEF_FCM!AN203</f>
        <v>6495</v>
      </c>
      <c r="AJ196" s="80">
        <f>+COEF_FCM!AS203</f>
        <v>277</v>
      </c>
      <c r="AK196" s="80">
        <f>+COEF_FCM!AO203</f>
        <v>8994</v>
      </c>
      <c r="AL196" s="80">
        <f>+COEF_FCM!AT203</f>
        <v>271.55</v>
      </c>
      <c r="AM196" s="80">
        <f>+COEF_FCM!AP203</f>
        <v>7423</v>
      </c>
      <c r="AN196" s="80">
        <f>+COEF_FCM!AU203</f>
        <v>536</v>
      </c>
      <c r="AO196" s="80">
        <f>+COEF_FCM!AQ203</f>
        <v>36597</v>
      </c>
      <c r="AP196" s="80">
        <f>+COEF_FCM!AV203</f>
        <v>1551.55</v>
      </c>
      <c r="AQ196" s="80">
        <f>+_CIERRE!O196+_CIERRE!P196</f>
        <v>3621658.42</v>
      </c>
      <c r="AR196" s="80">
        <f>+_CIERRE!Q196+_CIERRE!R196</f>
        <v>4036880.2740000002</v>
      </c>
      <c r="AS196" s="80">
        <f>+_CIERRE!S196+_CIERRE!T196</f>
        <v>4272819.62</v>
      </c>
      <c r="AT196" s="80">
        <f>+_CIERRE!U196+_CIERRE!V196</f>
        <v>4753009.7419999996</v>
      </c>
      <c r="AU196" s="80">
        <f>+'CALC MEC ESTAB Y ESTIM M FINAL'!T201</f>
        <v>5118891</v>
      </c>
      <c r="AV196" s="560">
        <v>0</v>
      </c>
      <c r="AW196" s="551">
        <v>0</v>
      </c>
      <c r="AX196" s="551">
        <v>0</v>
      </c>
      <c r="AY196" s="551">
        <v>0</v>
      </c>
      <c r="AZ196" s="551">
        <v>501269.73499999999</v>
      </c>
      <c r="BA196" s="551">
        <v>516068.83199999999</v>
      </c>
    </row>
    <row r="197" spans="1:53" ht="3" customHeight="1" x14ac:dyDescent="0.2">
      <c r="A197" s="68" t="str">
        <f>IF(LEN(+'_DATA STT PAGOS_'!M202)=4,"0"&amp;+'_DATA STT PAGOS_'!M202,+'_DATA STT PAGOS_'!M202)</f>
        <v>09201</v>
      </c>
      <c r="B197" s="68" t="str">
        <f>IF(LEN(+'_DATA STT PAGOS_'!N202)=4,"0"&amp;+'_DATA STT PAGOS_'!N202,+'_DATA STT PAGOS_'!N202)</f>
        <v>09101</v>
      </c>
      <c r="C197" s="76" t="str">
        <f>+'_DATA STT PAGOS_'!O202</f>
        <v>ANGOL</v>
      </c>
      <c r="D197" s="80">
        <f>+'CALC MEC ESTAB Y ESTIM M FINAL'!U202</f>
        <v>12948884</v>
      </c>
      <c r="E197" s="77">
        <f>+'CALC MEC ESTAB Y ESTIM M FINAL'!Q202</f>
        <v>4.7473647202999998E-3</v>
      </c>
      <c r="F197" s="77">
        <f>+'CALC MEC ESTAB Y ESTIM M FINAL'!R202</f>
        <v>-1.8526605899999999E-4</v>
      </c>
      <c r="G197" s="80">
        <f>+'_Flujo con Glosa 08'!CE202</f>
        <v>606953</v>
      </c>
      <c r="H197" s="80">
        <f>+'_Flujo con Glosa 08'!CF202</f>
        <v>606953</v>
      </c>
      <c r="I197" s="80">
        <f>+'_Flujo con Glosa 08'!CG202</f>
        <v>570631</v>
      </c>
      <c r="J197" s="80">
        <f>+'_Flujo con Glosa 08'!CH202</f>
        <v>606953</v>
      </c>
      <c r="K197" s="80">
        <f>+'_Flujo con Glosa 08'!CI202</f>
        <v>1719284</v>
      </c>
      <c r="L197" s="80">
        <f>+'_Flujo con Glosa 08'!CJ202</f>
        <v>624200</v>
      </c>
      <c r="M197" s="80">
        <f>+'_Flujo con Glosa 08'!CK202</f>
        <v>1054219</v>
      </c>
      <c r="N197" s="80">
        <f>+'_Flujo con Glosa 08'!CL202</f>
        <v>606953</v>
      </c>
      <c r="O197" s="80">
        <f>+'_Flujo con Glosa 08'!CM202</f>
        <v>688541</v>
      </c>
      <c r="P197" s="80">
        <f>+'_Flujo con Glosa 08'!CN202</f>
        <v>1136622</v>
      </c>
      <c r="Q197" s="80">
        <f>+'_Flujo con Glosa 08'!CO202</f>
        <v>606953</v>
      </c>
      <c r="R197" s="80">
        <f>+'_Flujo con Glosa 08'!CP202</f>
        <v>1071446</v>
      </c>
      <c r="S197" s="80">
        <f t="shared" si="6"/>
        <v>9899708</v>
      </c>
      <c r="T197" s="80">
        <v>0</v>
      </c>
      <c r="U197" s="80">
        <v>0</v>
      </c>
      <c r="V197" s="80">
        <v>0</v>
      </c>
      <c r="W197" s="80">
        <v>0</v>
      </c>
      <c r="X197" s="80">
        <v>0</v>
      </c>
      <c r="Y197" s="80">
        <v>0</v>
      </c>
      <c r="Z197" s="80">
        <v>0</v>
      </c>
      <c r="AA197" s="80">
        <v>0</v>
      </c>
      <c r="AB197" s="80">
        <v>0</v>
      </c>
      <c r="AC197" s="80">
        <v>0</v>
      </c>
      <c r="AD197" s="80">
        <v>0</v>
      </c>
      <c r="AE197" s="80">
        <v>0</v>
      </c>
      <c r="AF197" s="80">
        <f t="shared" si="7"/>
        <v>0</v>
      </c>
      <c r="AG197" s="80">
        <f>+COEF_FCM!AM204</f>
        <v>196946</v>
      </c>
      <c r="AH197" s="80">
        <f>+COEF_FCM!AR204</f>
        <v>15465</v>
      </c>
      <c r="AI197" s="80">
        <f>+COEF_FCM!AN204</f>
        <v>146245</v>
      </c>
      <c r="AJ197" s="80">
        <f>+COEF_FCM!AS204</f>
        <v>7132</v>
      </c>
      <c r="AK197" s="80">
        <f>+COEF_FCM!AO204</f>
        <v>168520</v>
      </c>
      <c r="AL197" s="80">
        <f>+COEF_FCM!AT204</f>
        <v>9943.33</v>
      </c>
      <c r="AM197" s="80">
        <f>+COEF_FCM!AP204</f>
        <v>133354</v>
      </c>
      <c r="AN197" s="80">
        <f>+COEF_FCM!AU204</f>
        <v>6964</v>
      </c>
      <c r="AO197" s="80">
        <f>+COEF_FCM!AQ204</f>
        <v>645065</v>
      </c>
      <c r="AP197" s="80">
        <f>+COEF_FCM!AV204</f>
        <v>39504.33</v>
      </c>
      <c r="AQ197" s="80">
        <f>+_CIERRE!O197+_CIERRE!P197</f>
        <v>9586446.5559999999</v>
      </c>
      <c r="AR197" s="80">
        <f>+_CIERRE!Q197+_CIERRE!R197</f>
        <v>11048290.291999999</v>
      </c>
      <c r="AS197" s="80">
        <f>+_CIERRE!S197+_CIERRE!T197</f>
        <v>12029534.273</v>
      </c>
      <c r="AT197" s="80">
        <f>+_CIERRE!U197+_CIERRE!V197</f>
        <v>12510291.506999999</v>
      </c>
      <c r="AU197" s="80">
        <f>+'CALC MEC ESTAB Y ESTIM M FINAL'!T202</f>
        <v>12948884</v>
      </c>
      <c r="AV197" s="560">
        <v>0</v>
      </c>
      <c r="AW197" s="551">
        <v>0</v>
      </c>
      <c r="AX197" s="551">
        <v>0</v>
      </c>
      <c r="AY197" s="551">
        <v>0</v>
      </c>
      <c r="AZ197" s="551">
        <v>876374.13199999998</v>
      </c>
      <c r="BA197" s="551">
        <v>902026.54</v>
      </c>
    </row>
    <row r="198" spans="1:53" ht="3" customHeight="1" x14ac:dyDescent="0.2">
      <c r="A198" s="68" t="str">
        <f>IF(LEN(+'_DATA STT PAGOS_'!M203)=4,"0"&amp;+'_DATA STT PAGOS_'!M203,+'_DATA STT PAGOS_'!M203)</f>
        <v>09202</v>
      </c>
      <c r="B198" s="68" t="str">
        <f>IF(LEN(+'_DATA STT PAGOS_'!N203)=4,"0"&amp;+'_DATA STT PAGOS_'!N203,+'_DATA STT PAGOS_'!N203)</f>
        <v>09105</v>
      </c>
      <c r="C198" s="76" t="str">
        <f>+'_DATA STT PAGOS_'!O203</f>
        <v>COLLIPULLI</v>
      </c>
      <c r="D198" s="80">
        <f>+'CALC MEC ESTAB Y ESTIM M FINAL'!U203</f>
        <v>6278760</v>
      </c>
      <c r="E198" s="77">
        <f>+'CALC MEC ESTAB Y ESTIM M FINAL'!Q203</f>
        <v>2.4549750041000002E-3</v>
      </c>
      <c r="F198" s="77">
        <f>+'CALC MEC ESTAB Y ESTIM M FINAL'!R203</f>
        <v>-2.4286760669999999E-4</v>
      </c>
      <c r="G198" s="80">
        <f>+'_Flujo con Glosa 08'!CE203</f>
        <v>276660</v>
      </c>
      <c r="H198" s="80">
        <f>+'_Flujo con Glosa 08'!CF203</f>
        <v>276660</v>
      </c>
      <c r="I198" s="80">
        <f>+'_Flujo con Glosa 08'!CG203</f>
        <v>276692</v>
      </c>
      <c r="J198" s="80">
        <f>+'_Flujo con Glosa 08'!CH203</f>
        <v>276660</v>
      </c>
      <c r="K198" s="80">
        <f>+'_Flujo con Glosa 08'!CI203</f>
        <v>886593</v>
      </c>
      <c r="L198" s="80">
        <f>+'_Flujo con Glosa 08'!CJ203</f>
        <v>285023</v>
      </c>
      <c r="M198" s="80">
        <f>+'_Flujo con Glosa 08'!CK203</f>
        <v>528822</v>
      </c>
      <c r="N198" s="80">
        <f>+'_Flujo con Glosa 08'!CL203</f>
        <v>276660</v>
      </c>
      <c r="O198" s="80">
        <f>+'_Flujo con Glosa 08'!CM203</f>
        <v>333865</v>
      </c>
      <c r="P198" s="80">
        <f>+'_Flujo con Glosa 08'!CN203</f>
        <v>568778</v>
      </c>
      <c r="Q198" s="80">
        <f>+'_Flujo con Glosa 08'!CO203</f>
        <v>276660</v>
      </c>
      <c r="R198" s="80">
        <f>+'_Flujo con Glosa 08'!CP203</f>
        <v>537176</v>
      </c>
      <c r="S198" s="80">
        <f t="shared" si="6"/>
        <v>4800249</v>
      </c>
      <c r="T198" s="80">
        <v>0</v>
      </c>
      <c r="U198" s="80">
        <v>0</v>
      </c>
      <c r="V198" s="80">
        <v>0</v>
      </c>
      <c r="W198" s="80">
        <v>0</v>
      </c>
      <c r="X198" s="80">
        <v>0</v>
      </c>
      <c r="Y198" s="80">
        <v>0</v>
      </c>
      <c r="Z198" s="80">
        <v>0</v>
      </c>
      <c r="AA198" s="80">
        <v>0</v>
      </c>
      <c r="AB198" s="80">
        <v>0</v>
      </c>
      <c r="AC198" s="80">
        <v>0</v>
      </c>
      <c r="AD198" s="80">
        <v>0</v>
      </c>
      <c r="AE198" s="80">
        <v>0</v>
      </c>
      <c r="AF198" s="80">
        <f t="shared" si="7"/>
        <v>0</v>
      </c>
      <c r="AG198" s="80">
        <f>+COEF_FCM!AM205</f>
        <v>139977</v>
      </c>
      <c r="AH198" s="80">
        <f>+COEF_FCM!AR205</f>
        <v>2588</v>
      </c>
      <c r="AI198" s="80">
        <f>+COEF_FCM!AN205</f>
        <v>107534</v>
      </c>
      <c r="AJ198" s="80">
        <f>+COEF_FCM!AS205</f>
        <v>1056</v>
      </c>
      <c r="AK198" s="80">
        <f>+COEF_FCM!AO205</f>
        <v>121017</v>
      </c>
      <c r="AL198" s="80">
        <f>+COEF_FCM!AT205</f>
        <v>1725.354</v>
      </c>
      <c r="AM198" s="80">
        <f>+COEF_FCM!AP205</f>
        <v>101720</v>
      </c>
      <c r="AN198" s="80">
        <f>+COEF_FCM!AU205</f>
        <v>1106</v>
      </c>
      <c r="AO198" s="80">
        <f>+COEF_FCM!AQ205</f>
        <v>470248</v>
      </c>
      <c r="AP198" s="80">
        <f>+COEF_FCM!AV205</f>
        <v>6475.3540000000003</v>
      </c>
      <c r="AQ198" s="80">
        <f>+_CIERRE!O198+_CIERRE!P198</f>
        <v>4497853.1560000004</v>
      </c>
      <c r="AR198" s="80">
        <f>+_CIERRE!Q198+_CIERRE!R198</f>
        <v>4994549.7869999995</v>
      </c>
      <c r="AS198" s="80">
        <f>+_CIERRE!S198+_CIERRE!T198</f>
        <v>5354068.0520000001</v>
      </c>
      <c r="AT198" s="80">
        <f>+_CIERRE!U198+_CIERRE!V198</f>
        <v>5703802.5120000001</v>
      </c>
      <c r="AU198" s="80">
        <f>+'CALC MEC ESTAB Y ESTIM M FINAL'!T203</f>
        <v>6278760</v>
      </c>
      <c r="AV198" s="560">
        <v>0</v>
      </c>
      <c r="AW198" s="551">
        <v>0</v>
      </c>
      <c r="AX198" s="551">
        <v>0</v>
      </c>
      <c r="AY198" s="551">
        <v>0</v>
      </c>
      <c r="AZ198" s="551">
        <v>450518.223</v>
      </c>
      <c r="BA198" s="551">
        <v>465234.95400000003</v>
      </c>
    </row>
    <row r="199" spans="1:53" ht="3" customHeight="1" x14ac:dyDescent="0.2">
      <c r="A199" s="68" t="str">
        <f>IF(LEN(+'_DATA STT PAGOS_'!M204)=4,"0"&amp;+'_DATA STT PAGOS_'!M204,+'_DATA STT PAGOS_'!M204)</f>
        <v>09203</v>
      </c>
      <c r="B199" s="68" t="str">
        <f>IF(LEN(+'_DATA STT PAGOS_'!N204)=4,"0"&amp;+'_DATA STT PAGOS_'!N204,+'_DATA STT PAGOS_'!N204)</f>
        <v>09110</v>
      </c>
      <c r="C199" s="76" t="str">
        <f>+'_DATA STT PAGOS_'!O204</f>
        <v>CURACAUTÍN</v>
      </c>
      <c r="D199" s="80">
        <f>+'CALC MEC ESTAB Y ESTIM M FINAL'!U204</f>
        <v>9022736</v>
      </c>
      <c r="E199" s="77">
        <f>+'CALC MEC ESTAB Y ESTIM M FINAL'!Q204</f>
        <v>3.7299494420000002E-3</v>
      </c>
      <c r="F199" s="77">
        <f>+'CALC MEC ESTAB Y ESTIM M FINAL'!R204</f>
        <v>-5.5109546340000005E-4</v>
      </c>
      <c r="G199" s="80">
        <f>+'_Flujo con Glosa 08'!CE204</f>
        <v>374628</v>
      </c>
      <c r="H199" s="80">
        <f>+'_Flujo con Glosa 08'!CF204</f>
        <v>374628</v>
      </c>
      <c r="I199" s="80">
        <f>+'_Flujo con Glosa 08'!CG204</f>
        <v>397613</v>
      </c>
      <c r="J199" s="80">
        <f>+'_Flujo con Glosa 08'!CH204</f>
        <v>374628</v>
      </c>
      <c r="K199" s="80">
        <f>+'_Flujo con Glosa 08'!CI204</f>
        <v>1342875</v>
      </c>
      <c r="L199" s="80">
        <f>+'_Flujo con Glosa 08'!CJ204</f>
        <v>386645</v>
      </c>
      <c r="M199" s="80">
        <f>+'_Flujo con Glosa 08'!CK204</f>
        <v>782870</v>
      </c>
      <c r="N199" s="80">
        <f>+'_Flujo con Glosa 08'!CL204</f>
        <v>374628</v>
      </c>
      <c r="O199" s="80">
        <f>+'_Flujo con Glosa 08'!CM204</f>
        <v>479773</v>
      </c>
      <c r="P199" s="80">
        <f>+'_Flujo con Glosa 08'!CN204</f>
        <v>840289</v>
      </c>
      <c r="Q199" s="80">
        <f>+'_Flujo con Glosa 08'!CO204</f>
        <v>374628</v>
      </c>
      <c r="R199" s="80">
        <f>+'_Flujo con Glosa 08'!CP204</f>
        <v>794874</v>
      </c>
      <c r="S199" s="80">
        <f t="shared" si="6"/>
        <v>6898079</v>
      </c>
      <c r="T199" s="80">
        <v>0</v>
      </c>
      <c r="U199" s="80">
        <v>0</v>
      </c>
      <c r="V199" s="80">
        <v>0</v>
      </c>
      <c r="W199" s="80">
        <v>0</v>
      </c>
      <c r="X199" s="80">
        <v>0</v>
      </c>
      <c r="Y199" s="80">
        <v>0</v>
      </c>
      <c r="Z199" s="80">
        <v>0</v>
      </c>
      <c r="AA199" s="80">
        <v>0</v>
      </c>
      <c r="AB199" s="80">
        <v>0</v>
      </c>
      <c r="AC199" s="80">
        <v>0</v>
      </c>
      <c r="AD199" s="80">
        <v>0</v>
      </c>
      <c r="AE199" s="80">
        <v>0</v>
      </c>
      <c r="AF199" s="80">
        <f t="shared" si="7"/>
        <v>0</v>
      </c>
      <c r="AG199" s="80">
        <f>+COEF_FCM!AM206</f>
        <v>104687</v>
      </c>
      <c r="AH199" s="80">
        <f>+COEF_FCM!AR206</f>
        <v>2457</v>
      </c>
      <c r="AI199" s="80">
        <f>+COEF_FCM!AN206</f>
        <v>60426</v>
      </c>
      <c r="AJ199" s="80">
        <f>+COEF_FCM!AS206</f>
        <v>1497</v>
      </c>
      <c r="AK199" s="80">
        <f>+COEF_FCM!AO206</f>
        <v>69503</v>
      </c>
      <c r="AL199" s="80">
        <f>+COEF_FCM!AT206</f>
        <v>2067.84</v>
      </c>
      <c r="AM199" s="80">
        <f>+COEF_FCM!AP206</f>
        <v>48808</v>
      </c>
      <c r="AN199" s="80">
        <f>+COEF_FCM!AU206</f>
        <v>1445</v>
      </c>
      <c r="AO199" s="80">
        <f>+COEF_FCM!AQ206</f>
        <v>283424</v>
      </c>
      <c r="AP199" s="80">
        <f>+COEF_FCM!AV206</f>
        <v>7466.84</v>
      </c>
      <c r="AQ199" s="80">
        <f>+_CIERRE!O199+_CIERRE!P199</f>
        <v>4608788.9419999998</v>
      </c>
      <c r="AR199" s="80">
        <f>+_CIERRE!Q199+_CIERRE!R199</f>
        <v>5919885.4390000002</v>
      </c>
      <c r="AS199" s="80">
        <f>+_CIERRE!S199+_CIERRE!T199</f>
        <v>6602246.1670000004</v>
      </c>
      <c r="AT199" s="80">
        <f>+_CIERRE!U199+_CIERRE!V199</f>
        <v>7718090.3119999999</v>
      </c>
      <c r="AU199" s="80">
        <f>+'CALC MEC ESTAB Y ESTIM M FINAL'!T204</f>
        <v>9022736</v>
      </c>
      <c r="AV199" s="560">
        <v>0</v>
      </c>
      <c r="AW199" s="551">
        <v>0</v>
      </c>
      <c r="AX199" s="551">
        <v>0</v>
      </c>
      <c r="AY199" s="551">
        <v>0</v>
      </c>
      <c r="AZ199" s="551">
        <v>468003.43400000001</v>
      </c>
      <c r="BA199" s="551">
        <v>467570.34499999997</v>
      </c>
    </row>
    <row r="200" spans="1:53" ht="3" customHeight="1" x14ac:dyDescent="0.2">
      <c r="A200" s="68" t="str">
        <f>IF(LEN(+'_DATA STT PAGOS_'!M205)=4,"0"&amp;+'_DATA STT PAGOS_'!M205,+'_DATA STT PAGOS_'!M205)</f>
        <v>09204</v>
      </c>
      <c r="B200" s="68" t="str">
        <f>IF(LEN(+'_DATA STT PAGOS_'!N205)=4,"0"&amp;+'_DATA STT PAGOS_'!N205,+'_DATA STT PAGOS_'!N205)</f>
        <v>09106</v>
      </c>
      <c r="C200" s="76" t="str">
        <f>+'_DATA STT PAGOS_'!O205</f>
        <v>ERCILLA</v>
      </c>
      <c r="D200" s="80">
        <f>+'CALC MEC ESTAB Y ESTIM M FINAL'!U205</f>
        <v>4161906</v>
      </c>
      <c r="E200" s="77">
        <f>+'CALC MEC ESTAB Y ESTIM M FINAL'!Q205</f>
        <v>1.6268306062E-3</v>
      </c>
      <c r="F200" s="77">
        <f>+'CALC MEC ESTAB Y ESTIM M FINAL'!R205</f>
        <v>-1.6052466979999999E-4</v>
      </c>
      <c r="G200" s="80">
        <f>+'_Flujo con Glosa 08'!CE205</f>
        <v>183426</v>
      </c>
      <c r="H200" s="80">
        <f>+'_Flujo con Glosa 08'!CF205</f>
        <v>183426</v>
      </c>
      <c r="I200" s="80">
        <f>+'_Flujo con Glosa 08'!CG205</f>
        <v>183407</v>
      </c>
      <c r="J200" s="80">
        <f>+'_Flujo con Glosa 08'!CH205</f>
        <v>183426</v>
      </c>
      <c r="K200" s="80">
        <f>+'_Flujo con Glosa 08'!CI205</f>
        <v>587562</v>
      </c>
      <c r="L200" s="80">
        <f>+'_Flujo con Glosa 08'!CJ205</f>
        <v>188969</v>
      </c>
      <c r="M200" s="80">
        <f>+'_Flujo con Glosa 08'!CK205</f>
        <v>350492</v>
      </c>
      <c r="N200" s="80">
        <f>+'_Flujo con Glosa 08'!CL205</f>
        <v>183426</v>
      </c>
      <c r="O200" s="80">
        <f>+'_Flujo con Glosa 08'!CM205</f>
        <v>221304</v>
      </c>
      <c r="P200" s="80">
        <f>+'_Flujo con Glosa 08'!CN205</f>
        <v>376977</v>
      </c>
      <c r="Q200" s="80">
        <f>+'_Flujo con Glosa 08'!CO205</f>
        <v>183426</v>
      </c>
      <c r="R200" s="80">
        <f>+'_Flujo con Glosa 08'!CP205</f>
        <v>356029</v>
      </c>
      <c r="S200" s="80">
        <f t="shared" si="6"/>
        <v>3181870</v>
      </c>
      <c r="T200" s="80">
        <v>0</v>
      </c>
      <c r="U200" s="80">
        <v>0</v>
      </c>
      <c r="V200" s="80">
        <v>0</v>
      </c>
      <c r="W200" s="80">
        <v>0</v>
      </c>
      <c r="X200" s="80">
        <v>0</v>
      </c>
      <c r="Y200" s="80">
        <v>0</v>
      </c>
      <c r="Z200" s="80">
        <v>0</v>
      </c>
      <c r="AA200" s="80">
        <v>0</v>
      </c>
      <c r="AB200" s="80">
        <v>0</v>
      </c>
      <c r="AC200" s="80">
        <v>0</v>
      </c>
      <c r="AD200" s="80">
        <v>0</v>
      </c>
      <c r="AE200" s="80">
        <v>0</v>
      </c>
      <c r="AF200" s="80">
        <f t="shared" si="7"/>
        <v>0</v>
      </c>
      <c r="AG200" s="80">
        <f>+COEF_FCM!AM207</f>
        <v>31435</v>
      </c>
      <c r="AH200" s="80">
        <f>+COEF_FCM!AR207</f>
        <v>363</v>
      </c>
      <c r="AI200" s="80">
        <f>+COEF_FCM!AN207</f>
        <v>28389</v>
      </c>
      <c r="AJ200" s="80">
        <f>+COEF_FCM!AS207</f>
        <v>230</v>
      </c>
      <c r="AK200" s="80">
        <f>+COEF_FCM!AO207</f>
        <v>24558</v>
      </c>
      <c r="AL200" s="80">
        <f>+COEF_FCM!AT207</f>
        <v>208.24299999999999</v>
      </c>
      <c r="AM200" s="80">
        <f>+COEF_FCM!AP207</f>
        <v>16429</v>
      </c>
      <c r="AN200" s="80">
        <f>+COEF_FCM!AU207</f>
        <v>128</v>
      </c>
      <c r="AO200" s="80">
        <f>+COEF_FCM!AQ207</f>
        <v>100811</v>
      </c>
      <c r="AP200" s="80">
        <f>+COEF_FCM!AV207</f>
        <v>929.24299999999994</v>
      </c>
      <c r="AQ200" s="80">
        <f>+_CIERRE!O200+_CIERRE!P200</f>
        <v>2748033.8769999999</v>
      </c>
      <c r="AR200" s="80">
        <f>+_CIERRE!Q200+_CIERRE!R200</f>
        <v>3188545.65</v>
      </c>
      <c r="AS200" s="80">
        <f>+_CIERRE!S200+_CIERRE!T200</f>
        <v>3509255.9750000001</v>
      </c>
      <c r="AT200" s="80">
        <f>+_CIERRE!U200+_CIERRE!V200</f>
        <v>3781884.4810000001</v>
      </c>
      <c r="AU200" s="80">
        <f>+'CALC MEC ESTAB Y ESTIM M FINAL'!T205</f>
        <v>4161906</v>
      </c>
      <c r="AV200" s="560">
        <v>0</v>
      </c>
      <c r="AW200" s="551">
        <v>0</v>
      </c>
      <c r="AX200" s="551">
        <v>0</v>
      </c>
      <c r="AY200" s="551">
        <v>0</v>
      </c>
      <c r="AZ200" s="551">
        <v>386434.85100000002</v>
      </c>
      <c r="BA200" s="551">
        <v>415226.87199999997</v>
      </c>
    </row>
    <row r="201" spans="1:53" ht="3" customHeight="1" x14ac:dyDescent="0.2">
      <c r="A201" s="68" t="str">
        <f>IF(LEN(+'_DATA STT PAGOS_'!M206)=4,"0"&amp;+'_DATA STT PAGOS_'!M206,+'_DATA STT PAGOS_'!M206)</f>
        <v>09205</v>
      </c>
      <c r="B201" s="68" t="str">
        <f>IF(LEN(+'_DATA STT PAGOS_'!N206)=4,"0"&amp;+'_DATA STT PAGOS_'!N206,+'_DATA STT PAGOS_'!N206)</f>
        <v>09111</v>
      </c>
      <c r="C201" s="76" t="str">
        <f>+'_DATA STT PAGOS_'!O206</f>
        <v>LONQUIMAY</v>
      </c>
      <c r="D201" s="80">
        <f>+'CALC MEC ESTAB Y ESTIM M FINAL'!U206</f>
        <v>5677566</v>
      </c>
      <c r="E201" s="77">
        <f>+'CALC MEC ESTAB Y ESTIM M FINAL'!Q206</f>
        <v>2.1462341981999997E-3</v>
      </c>
      <c r="F201" s="77">
        <f>+'CALC MEC ESTAB Y ESTIM M FINAL'!R206</f>
        <v>-1.459370269E-4</v>
      </c>
      <c r="G201" s="80">
        <f>+'_Flujo con Glosa 08'!CE206</f>
        <v>258583</v>
      </c>
      <c r="H201" s="80">
        <f>+'_Flujo con Glosa 08'!CF206</f>
        <v>258583</v>
      </c>
      <c r="I201" s="80">
        <f>+'_Flujo con Glosa 08'!CG206</f>
        <v>250199</v>
      </c>
      <c r="J201" s="80">
        <f>+'_Flujo con Glosa 08'!CH206</f>
        <v>258583</v>
      </c>
      <c r="K201" s="80">
        <f>+'_Flujo con Glosa 08'!CI206</f>
        <v>776463</v>
      </c>
      <c r="L201" s="80">
        <f>+'_Flujo con Glosa 08'!CJ206</f>
        <v>266145</v>
      </c>
      <c r="M201" s="80">
        <f>+'_Flujo con Glosa 08'!CK206</f>
        <v>469774</v>
      </c>
      <c r="N201" s="80">
        <f>+'_Flujo con Glosa 08'!CL206</f>
        <v>258583</v>
      </c>
      <c r="O201" s="80">
        <f>+'_Flujo con Glosa 08'!CM206</f>
        <v>301898</v>
      </c>
      <c r="P201" s="80">
        <f>+'_Flujo con Glosa 08'!CN206</f>
        <v>505905</v>
      </c>
      <c r="Q201" s="80">
        <f>+'_Flujo con Glosa 08'!CO206</f>
        <v>258583</v>
      </c>
      <c r="R201" s="80">
        <f>+'_Flujo con Glosa 08'!CP206</f>
        <v>477327</v>
      </c>
      <c r="S201" s="80">
        <f t="shared" si="6"/>
        <v>4340626</v>
      </c>
      <c r="T201" s="80">
        <v>0</v>
      </c>
      <c r="U201" s="80">
        <v>0</v>
      </c>
      <c r="V201" s="80">
        <v>0</v>
      </c>
      <c r="W201" s="80">
        <v>0</v>
      </c>
      <c r="X201" s="80">
        <v>0</v>
      </c>
      <c r="Y201" s="80">
        <v>0</v>
      </c>
      <c r="Z201" s="80">
        <v>0</v>
      </c>
      <c r="AA201" s="80">
        <v>0</v>
      </c>
      <c r="AB201" s="80">
        <v>0</v>
      </c>
      <c r="AC201" s="80">
        <v>0</v>
      </c>
      <c r="AD201" s="80">
        <v>0</v>
      </c>
      <c r="AE201" s="80">
        <v>0</v>
      </c>
      <c r="AF201" s="80">
        <f t="shared" si="7"/>
        <v>0</v>
      </c>
      <c r="AG201" s="80">
        <f>+COEF_FCM!AM208</f>
        <v>25134</v>
      </c>
      <c r="AH201" s="80">
        <f>+COEF_FCM!AR208</f>
        <v>756</v>
      </c>
      <c r="AI201" s="80">
        <f>+COEF_FCM!AN208</f>
        <v>20330</v>
      </c>
      <c r="AJ201" s="80">
        <f>+COEF_FCM!AS208</f>
        <v>295</v>
      </c>
      <c r="AK201" s="80">
        <f>+COEF_FCM!AO208</f>
        <v>20807</v>
      </c>
      <c r="AL201" s="80">
        <f>+COEF_FCM!AT208</f>
        <v>305.29300000000001</v>
      </c>
      <c r="AM201" s="80">
        <f>+COEF_FCM!AP208</f>
        <v>15379</v>
      </c>
      <c r="AN201" s="80">
        <f>+COEF_FCM!AU208</f>
        <v>256</v>
      </c>
      <c r="AO201" s="80">
        <f>+COEF_FCM!AQ208</f>
        <v>81650</v>
      </c>
      <c r="AP201" s="80">
        <f>+COEF_FCM!AV208</f>
        <v>1612.2930000000001</v>
      </c>
      <c r="AQ201" s="80">
        <f>+_CIERRE!O201+_CIERRE!P201</f>
        <v>3877963.8149999999</v>
      </c>
      <c r="AR201" s="80">
        <f>+_CIERRE!Q201+_CIERRE!R201</f>
        <v>4463008.0250000004</v>
      </c>
      <c r="AS201" s="80">
        <f>+_CIERRE!S201+_CIERRE!T201</f>
        <v>4951773.5140000004</v>
      </c>
      <c r="AT201" s="80">
        <f>+_CIERRE!U201+_CIERRE!V201</f>
        <v>5332079.7949999999</v>
      </c>
      <c r="AU201" s="80">
        <f>+'CALC MEC ESTAB Y ESTIM M FINAL'!T206</f>
        <v>5677566</v>
      </c>
      <c r="AV201" s="560">
        <v>0</v>
      </c>
      <c r="AW201" s="551">
        <v>0</v>
      </c>
      <c r="AX201" s="551">
        <v>0</v>
      </c>
      <c r="AY201" s="551">
        <v>0</v>
      </c>
      <c r="AZ201" s="551">
        <v>433996.81800000003</v>
      </c>
      <c r="BA201" s="551">
        <v>447094.41</v>
      </c>
    </row>
    <row r="202" spans="1:53" ht="3" customHeight="1" x14ac:dyDescent="0.2">
      <c r="A202" s="68" t="str">
        <f>IF(LEN(+'_DATA STT PAGOS_'!M207)=4,"0"&amp;+'_DATA STT PAGOS_'!M207,+'_DATA STT PAGOS_'!M207)</f>
        <v>09206</v>
      </c>
      <c r="B202" s="68" t="str">
        <f>IF(LEN(+'_DATA STT PAGOS_'!N207)=4,"0"&amp;+'_DATA STT PAGOS_'!N207,+'_DATA STT PAGOS_'!N207)</f>
        <v>09103</v>
      </c>
      <c r="C202" s="76" t="str">
        <f>+'_DATA STT PAGOS_'!O207</f>
        <v>LOS SAUCES</v>
      </c>
      <c r="D202" s="80">
        <f>+'CALC MEC ESTAB Y ESTIM M FINAL'!U207</f>
        <v>3767999</v>
      </c>
      <c r="E202" s="77">
        <f>+'CALC MEC ESTAB Y ESTIM M FINAL'!Q207</f>
        <v>1.4300422417999998E-3</v>
      </c>
      <c r="F202" s="77">
        <f>+'CALC MEC ESTAB Y ESTIM M FINAL'!R207</f>
        <v>-1.025158449E-4</v>
      </c>
      <c r="G202" s="80">
        <f>+'_Flujo con Glosa 08'!CE207</f>
        <v>170895</v>
      </c>
      <c r="H202" s="80">
        <f>+'_Flujo con Glosa 08'!CF207</f>
        <v>170895</v>
      </c>
      <c r="I202" s="80">
        <f>+'_Flujo con Glosa 08'!CG207</f>
        <v>166048</v>
      </c>
      <c r="J202" s="80">
        <f>+'_Flujo con Glosa 08'!CH207</f>
        <v>170895</v>
      </c>
      <c r="K202" s="80">
        <f>+'_Flujo con Glosa 08'!CI207</f>
        <v>517462</v>
      </c>
      <c r="L202" s="80">
        <f>+'_Flujo con Glosa 08'!CJ207</f>
        <v>175914</v>
      </c>
      <c r="M202" s="80">
        <f>+'_Flujo con Glosa 08'!CK207</f>
        <v>312489</v>
      </c>
      <c r="N202" s="80">
        <f>+'_Flujo con Glosa 08'!CL207</f>
        <v>170895</v>
      </c>
      <c r="O202" s="80">
        <f>+'_Flujo con Glosa 08'!CM207</f>
        <v>200359</v>
      </c>
      <c r="P202" s="80">
        <f>+'_Flujo con Glosa 08'!CN207</f>
        <v>336468</v>
      </c>
      <c r="Q202" s="80">
        <f>+'_Flujo con Glosa 08'!CO207</f>
        <v>170895</v>
      </c>
      <c r="R202" s="80">
        <f>+'_Flujo con Glosa 08'!CP207</f>
        <v>317503</v>
      </c>
      <c r="S202" s="80">
        <f t="shared" si="6"/>
        <v>2880718</v>
      </c>
      <c r="T202" s="80">
        <v>0</v>
      </c>
      <c r="U202" s="80">
        <v>0</v>
      </c>
      <c r="V202" s="80">
        <v>0</v>
      </c>
      <c r="W202" s="80">
        <v>0</v>
      </c>
      <c r="X202" s="80">
        <v>0</v>
      </c>
      <c r="Y202" s="80">
        <v>0</v>
      </c>
      <c r="Z202" s="80">
        <v>0</v>
      </c>
      <c r="AA202" s="80">
        <v>0</v>
      </c>
      <c r="AB202" s="80">
        <v>0</v>
      </c>
      <c r="AC202" s="80">
        <v>0</v>
      </c>
      <c r="AD202" s="80">
        <v>0</v>
      </c>
      <c r="AE202" s="80">
        <v>0</v>
      </c>
      <c r="AF202" s="80">
        <f t="shared" si="7"/>
        <v>0</v>
      </c>
      <c r="AG202" s="80">
        <f>+COEF_FCM!AM209</f>
        <v>27600</v>
      </c>
      <c r="AH202" s="80">
        <f>+COEF_FCM!AR209</f>
        <v>607</v>
      </c>
      <c r="AI202" s="80">
        <f>+COEF_FCM!AN209</f>
        <v>19722</v>
      </c>
      <c r="AJ202" s="80">
        <f>+COEF_FCM!AS209</f>
        <v>295</v>
      </c>
      <c r="AK202" s="80">
        <f>+COEF_FCM!AO209</f>
        <v>24620</v>
      </c>
      <c r="AL202" s="80">
        <f>+COEF_FCM!AT209</f>
        <v>639.78599999999994</v>
      </c>
      <c r="AM202" s="80">
        <f>+COEF_FCM!AP209</f>
        <v>17995</v>
      </c>
      <c r="AN202" s="80">
        <f>+COEF_FCM!AU209</f>
        <v>323</v>
      </c>
      <c r="AO202" s="80">
        <f>+COEF_FCM!AQ209</f>
        <v>89937</v>
      </c>
      <c r="AP202" s="80">
        <f>+COEF_FCM!AV209</f>
        <v>1864.7860000000001</v>
      </c>
      <c r="AQ202" s="80">
        <f>+_CIERRE!O202+_CIERRE!P202</f>
        <v>2731729.4369999999</v>
      </c>
      <c r="AR202" s="80">
        <f>+_CIERRE!Q202+_CIERRE!R202</f>
        <v>3032159.9210000001</v>
      </c>
      <c r="AS202" s="80">
        <f>+_CIERRE!S202+_CIERRE!T202</f>
        <v>3301663.824</v>
      </c>
      <c r="AT202" s="80">
        <f>+_CIERRE!U202+_CIERRE!V202</f>
        <v>3525305.3939999999</v>
      </c>
      <c r="AU202" s="80">
        <f>+'CALC MEC ESTAB Y ESTIM M FINAL'!T207</f>
        <v>3767999</v>
      </c>
      <c r="AV202" s="560">
        <v>0</v>
      </c>
      <c r="AW202" s="551">
        <v>0</v>
      </c>
      <c r="AX202" s="551">
        <v>0</v>
      </c>
      <c r="AY202" s="551">
        <v>0</v>
      </c>
      <c r="AZ202" s="551">
        <v>363879.91100000002</v>
      </c>
      <c r="BA202" s="551">
        <v>378977.07699999999</v>
      </c>
    </row>
    <row r="203" spans="1:53" ht="3" customHeight="1" x14ac:dyDescent="0.2">
      <c r="A203" s="68" t="str">
        <f>IF(LEN(+'_DATA STT PAGOS_'!M208)=4,"0"&amp;+'_DATA STT PAGOS_'!M208,+'_DATA STT PAGOS_'!M208)</f>
        <v>09207</v>
      </c>
      <c r="B203" s="68" t="str">
        <f>IF(LEN(+'_DATA STT PAGOS_'!N208)=4,"0"&amp;+'_DATA STT PAGOS_'!N208,+'_DATA STT PAGOS_'!N208)</f>
        <v>09108</v>
      </c>
      <c r="C203" s="76" t="str">
        <f>+'_DATA STT PAGOS_'!O208</f>
        <v>LUMACO</v>
      </c>
      <c r="D203" s="80">
        <f>+'CALC MEC ESTAB Y ESTIM M FINAL'!U208</f>
        <v>4579687</v>
      </c>
      <c r="E203" s="77">
        <f>+'CALC MEC ESTAB Y ESTIM M FINAL'!Q208</f>
        <v>1.7798239346000001E-3</v>
      </c>
      <c r="F203" s="77">
        <f>+'CALC MEC ESTAB Y ESTIM M FINAL'!R208</f>
        <v>-1.6632696159999999E-4</v>
      </c>
      <c r="G203" s="80">
        <f>+'_Flujo con Glosa 08'!CE208</f>
        <v>202903</v>
      </c>
      <c r="H203" s="80">
        <f>+'_Flujo con Glosa 08'!CF208</f>
        <v>202903</v>
      </c>
      <c r="I203" s="80">
        <f>+'_Flujo con Glosa 08'!CG208</f>
        <v>201817</v>
      </c>
      <c r="J203" s="80">
        <f>+'_Flujo con Glosa 08'!CH208</f>
        <v>202903</v>
      </c>
      <c r="K203" s="80">
        <f>+'_Flujo con Glosa 08'!CI208</f>
        <v>643349</v>
      </c>
      <c r="L203" s="80">
        <f>+'_Flujo con Glosa 08'!CJ208</f>
        <v>209003</v>
      </c>
      <c r="M203" s="80">
        <f>+'_Flujo con Glosa 08'!CK208</f>
        <v>384611</v>
      </c>
      <c r="N203" s="80">
        <f>+'_Flujo con Glosa 08'!CL208</f>
        <v>202903</v>
      </c>
      <c r="O203" s="80">
        <f>+'_Flujo con Glosa 08'!CM208</f>
        <v>243519</v>
      </c>
      <c r="P203" s="80">
        <f>+'_Flujo con Glosa 08'!CN208</f>
        <v>413755</v>
      </c>
      <c r="Q203" s="80">
        <f>+'_Flujo con Glosa 08'!CO208</f>
        <v>202903</v>
      </c>
      <c r="R203" s="80">
        <f>+'_Flujo con Glosa 08'!CP208</f>
        <v>390704</v>
      </c>
      <c r="S203" s="80">
        <f t="shared" si="6"/>
        <v>3501273</v>
      </c>
      <c r="T203" s="80">
        <v>0</v>
      </c>
      <c r="U203" s="80">
        <v>0</v>
      </c>
      <c r="V203" s="80">
        <v>0</v>
      </c>
      <c r="W203" s="80">
        <v>0</v>
      </c>
      <c r="X203" s="80">
        <v>0</v>
      </c>
      <c r="Y203" s="80">
        <v>0</v>
      </c>
      <c r="Z203" s="80">
        <v>0</v>
      </c>
      <c r="AA203" s="80">
        <v>0</v>
      </c>
      <c r="AB203" s="80">
        <v>0</v>
      </c>
      <c r="AC203" s="80">
        <v>0</v>
      </c>
      <c r="AD203" s="80">
        <v>0</v>
      </c>
      <c r="AE203" s="80">
        <v>0</v>
      </c>
      <c r="AF203" s="80">
        <f t="shared" si="7"/>
        <v>0</v>
      </c>
      <c r="AG203" s="80">
        <f>+COEF_FCM!AM210</f>
        <v>20051</v>
      </c>
      <c r="AH203" s="80">
        <f>+COEF_FCM!AR210</f>
        <v>1035</v>
      </c>
      <c r="AI203" s="80">
        <f>+COEF_FCM!AN210</f>
        <v>15147</v>
      </c>
      <c r="AJ203" s="80">
        <f>+COEF_FCM!AS210</f>
        <v>553</v>
      </c>
      <c r="AK203" s="80">
        <f>+COEF_FCM!AO210</f>
        <v>19033</v>
      </c>
      <c r="AL203" s="80">
        <f>+COEF_FCM!AT210</f>
        <v>762.37</v>
      </c>
      <c r="AM203" s="80">
        <f>+COEF_FCM!AP210</f>
        <v>12823</v>
      </c>
      <c r="AN203" s="80">
        <f>+COEF_FCM!AU210</f>
        <v>543</v>
      </c>
      <c r="AO203" s="80">
        <f>+COEF_FCM!AQ210</f>
        <v>67054</v>
      </c>
      <c r="AP203" s="80">
        <f>+COEF_FCM!AV210</f>
        <v>2893.37</v>
      </c>
      <c r="AQ203" s="80">
        <f>+_CIERRE!O203+_CIERRE!P203</f>
        <v>3186475.3849999998</v>
      </c>
      <c r="AR203" s="80">
        <f>+_CIERRE!Q203+_CIERRE!R203</f>
        <v>3552660.8029999998</v>
      </c>
      <c r="AS203" s="80">
        <f>+_CIERRE!S203+_CIERRE!T203</f>
        <v>3811424.1880000001</v>
      </c>
      <c r="AT203" s="80">
        <f>+_CIERRE!U203+_CIERRE!V203</f>
        <v>4185930.6340000001</v>
      </c>
      <c r="AU203" s="80">
        <f>+'CALC MEC ESTAB Y ESTIM M FINAL'!T208</f>
        <v>4579687</v>
      </c>
      <c r="AV203" s="560">
        <v>0</v>
      </c>
      <c r="AW203" s="551">
        <v>0</v>
      </c>
      <c r="AX203" s="551">
        <v>0</v>
      </c>
      <c r="AY203" s="551">
        <v>0</v>
      </c>
      <c r="AZ203" s="551">
        <v>450328.55599999998</v>
      </c>
      <c r="BA203" s="551">
        <v>462737.91600000003</v>
      </c>
    </row>
    <row r="204" spans="1:53" ht="3" customHeight="1" x14ac:dyDescent="0.2">
      <c r="A204" s="68" t="str">
        <f>IF(LEN(+'_DATA STT PAGOS_'!M209)=4,"0"&amp;+'_DATA STT PAGOS_'!M209,+'_DATA STT PAGOS_'!M209)</f>
        <v>09208</v>
      </c>
      <c r="B204" s="68" t="str">
        <f>IF(LEN(+'_DATA STT PAGOS_'!N209)=4,"0"&amp;+'_DATA STT PAGOS_'!N209,+'_DATA STT PAGOS_'!N209)</f>
        <v>09102</v>
      </c>
      <c r="C204" s="76" t="str">
        <f>+'_DATA STT PAGOS_'!O209</f>
        <v>PURÉN</v>
      </c>
      <c r="D204" s="80">
        <f>+'CALC MEC ESTAB Y ESTIM M FINAL'!U209</f>
        <v>5096937</v>
      </c>
      <c r="E204" s="77">
        <f>+'CALC MEC ESTAB Y ESTIM M FINAL'!Q209</f>
        <v>1.9433562439000001E-3</v>
      </c>
      <c r="F204" s="77">
        <f>+'CALC MEC ESTAB Y ESTIM M FINAL'!R209</f>
        <v>-1.4762391580000001E-4</v>
      </c>
      <c r="G204" s="80">
        <f>+'_Flujo con Glosa 08'!CE209</f>
        <v>230362</v>
      </c>
      <c r="H204" s="80">
        <f>+'_Flujo con Glosa 08'!CF209</f>
        <v>230362</v>
      </c>
      <c r="I204" s="80">
        <f>+'_Flujo con Glosa 08'!CG209</f>
        <v>224611</v>
      </c>
      <c r="J204" s="80">
        <f>+'_Flujo con Glosa 08'!CH209</f>
        <v>230362</v>
      </c>
      <c r="K204" s="80">
        <f>+'_Flujo con Glosa 08'!CI209</f>
        <v>702384</v>
      </c>
      <c r="L204" s="80">
        <f>+'_Flujo con Glosa 08'!CJ209</f>
        <v>237151</v>
      </c>
      <c r="M204" s="80">
        <f>+'_Flujo con Glosa 08'!CK209</f>
        <v>423509</v>
      </c>
      <c r="N204" s="80">
        <f>+'_Flujo con Glosa 08'!CL209</f>
        <v>230362</v>
      </c>
      <c r="O204" s="80">
        <f>+'_Flujo con Glosa 08'!CM209</f>
        <v>271023</v>
      </c>
      <c r="P204" s="80">
        <f>+'_Flujo con Glosa 08'!CN209</f>
        <v>455943</v>
      </c>
      <c r="Q204" s="80">
        <f>+'_Flujo con Glosa 08'!CO209</f>
        <v>230362</v>
      </c>
      <c r="R204" s="80">
        <f>+'_Flujo con Glosa 08'!CP209</f>
        <v>430288</v>
      </c>
      <c r="S204" s="80">
        <f t="shared" si="6"/>
        <v>3896719</v>
      </c>
      <c r="T204" s="80">
        <v>0</v>
      </c>
      <c r="U204" s="80">
        <v>0</v>
      </c>
      <c r="V204" s="80">
        <v>0</v>
      </c>
      <c r="W204" s="80">
        <v>0</v>
      </c>
      <c r="X204" s="80">
        <v>0</v>
      </c>
      <c r="Y204" s="80">
        <v>0</v>
      </c>
      <c r="Z204" s="80">
        <v>0</v>
      </c>
      <c r="AA204" s="80">
        <v>0</v>
      </c>
      <c r="AB204" s="80">
        <v>0</v>
      </c>
      <c r="AC204" s="80">
        <v>0</v>
      </c>
      <c r="AD204" s="80">
        <v>0</v>
      </c>
      <c r="AE204" s="80">
        <v>0</v>
      </c>
      <c r="AF204" s="80">
        <f t="shared" si="7"/>
        <v>0</v>
      </c>
      <c r="AG204" s="80">
        <f>+COEF_FCM!AM211</f>
        <v>12603</v>
      </c>
      <c r="AH204" s="80">
        <f>+COEF_FCM!AR211</f>
        <v>0</v>
      </c>
      <c r="AI204" s="80">
        <f>+COEF_FCM!AN211</f>
        <v>8356</v>
      </c>
      <c r="AJ204" s="80">
        <f>+COEF_FCM!AS211</f>
        <v>0</v>
      </c>
      <c r="AK204" s="80">
        <f>+COEF_FCM!AO211</f>
        <v>16244</v>
      </c>
      <c r="AL204" s="80">
        <f>+COEF_FCM!AT211</f>
        <v>0</v>
      </c>
      <c r="AM204" s="80">
        <f>+COEF_FCM!AP211</f>
        <v>5997</v>
      </c>
      <c r="AN204" s="80">
        <f>+COEF_FCM!AU211</f>
        <v>0</v>
      </c>
      <c r="AO204" s="80">
        <f>+COEF_FCM!AQ211</f>
        <v>43200</v>
      </c>
      <c r="AP204" s="80">
        <f>+COEF_FCM!AV211</f>
        <v>0</v>
      </c>
      <c r="AQ204" s="80">
        <f>+_CIERRE!O204+_CIERRE!P204</f>
        <v>3615869.841</v>
      </c>
      <c r="AR204" s="80">
        <f>+_CIERRE!Q204+_CIERRE!R204</f>
        <v>4066630.0359999998</v>
      </c>
      <c r="AS204" s="80">
        <f>+_CIERRE!S204+_CIERRE!T204</f>
        <v>4360310.5489999996</v>
      </c>
      <c r="AT204" s="80">
        <f>+_CIERRE!U204+_CIERRE!V204</f>
        <v>4747457.642</v>
      </c>
      <c r="AU204" s="80">
        <f>+'CALC MEC ESTAB Y ESTIM M FINAL'!T209</f>
        <v>5096937</v>
      </c>
      <c r="AV204" s="560">
        <v>0</v>
      </c>
      <c r="AW204" s="551">
        <v>0</v>
      </c>
      <c r="AX204" s="551">
        <v>0</v>
      </c>
      <c r="AY204" s="551">
        <v>0</v>
      </c>
      <c r="AZ204" s="551">
        <v>467528.43199999997</v>
      </c>
      <c r="BA204" s="551">
        <v>483407.02799999999</v>
      </c>
    </row>
    <row r="205" spans="1:53" ht="3" customHeight="1" x14ac:dyDescent="0.2">
      <c r="A205" s="68" t="str">
        <f>IF(LEN(+'_DATA STT PAGOS_'!M210)=4,"0"&amp;+'_DATA STT PAGOS_'!M210,+'_DATA STT PAGOS_'!M210)</f>
        <v>09209</v>
      </c>
      <c r="B205" s="68" t="str">
        <f>IF(LEN(+'_DATA STT PAGOS_'!N210)=4,"0"&amp;+'_DATA STT PAGOS_'!N210,+'_DATA STT PAGOS_'!N210)</f>
        <v>09104</v>
      </c>
      <c r="C205" s="76" t="str">
        <f>+'_DATA STT PAGOS_'!O210</f>
        <v>RENAICO</v>
      </c>
      <c r="D205" s="80">
        <f>+'CALC MEC ESTAB Y ESTIM M FINAL'!U210</f>
        <v>3682541</v>
      </c>
      <c r="E205" s="77">
        <f>+'CALC MEC ESTAB Y ESTIM M FINAL'!Q210</f>
        <v>1.4019406018999999E-3</v>
      </c>
      <c r="F205" s="77">
        <f>+'CALC MEC ESTAB Y ESTIM M FINAL'!R210</f>
        <v>-1.045226366E-4</v>
      </c>
      <c r="G205" s="80">
        <f>+'_Flujo con Glosa 08'!CE210</f>
        <v>166621</v>
      </c>
      <c r="H205" s="80">
        <f>+'_Flujo con Glosa 08'!CF210</f>
        <v>166621</v>
      </c>
      <c r="I205" s="80">
        <f>+'_Flujo con Glosa 08'!CG210</f>
        <v>162282</v>
      </c>
      <c r="J205" s="80">
        <f>+'_Flujo con Glosa 08'!CH210</f>
        <v>166621</v>
      </c>
      <c r="K205" s="80">
        <f>+'_Flujo con Glosa 08'!CI210</f>
        <v>506921</v>
      </c>
      <c r="L205" s="80">
        <f>+'_Flujo con Glosa 08'!CJ210</f>
        <v>171526</v>
      </c>
      <c r="M205" s="80">
        <f>+'_Flujo con Glosa 08'!CK210</f>
        <v>305801</v>
      </c>
      <c r="N205" s="80">
        <f>+'_Flujo con Glosa 08'!CL210</f>
        <v>166621</v>
      </c>
      <c r="O205" s="80">
        <f>+'_Flujo con Glosa 08'!CM210</f>
        <v>195815</v>
      </c>
      <c r="P205" s="80">
        <f>+'_Flujo con Glosa 08'!CN210</f>
        <v>329235</v>
      </c>
      <c r="Q205" s="80">
        <f>+'_Flujo con Glosa 08'!CO210</f>
        <v>166621</v>
      </c>
      <c r="R205" s="80">
        <f>+'_Flujo con Glosa 08'!CP210</f>
        <v>310700</v>
      </c>
      <c r="S205" s="80">
        <f t="shared" si="6"/>
        <v>2815385</v>
      </c>
      <c r="T205" s="80">
        <v>0</v>
      </c>
      <c r="U205" s="80">
        <v>0</v>
      </c>
      <c r="V205" s="80">
        <v>0</v>
      </c>
      <c r="W205" s="80">
        <v>0</v>
      </c>
      <c r="X205" s="80">
        <v>0</v>
      </c>
      <c r="Y205" s="80">
        <v>0</v>
      </c>
      <c r="Z205" s="80">
        <v>0</v>
      </c>
      <c r="AA205" s="80">
        <v>0</v>
      </c>
      <c r="AB205" s="80">
        <v>0</v>
      </c>
      <c r="AC205" s="80">
        <v>0</v>
      </c>
      <c r="AD205" s="80">
        <v>0</v>
      </c>
      <c r="AE205" s="80">
        <v>0</v>
      </c>
      <c r="AF205" s="80">
        <f t="shared" si="7"/>
        <v>0</v>
      </c>
      <c r="AG205" s="80">
        <f>+COEF_FCM!AM212</f>
        <v>39341</v>
      </c>
      <c r="AH205" s="80">
        <f>+COEF_FCM!AR212</f>
        <v>1006</v>
      </c>
      <c r="AI205" s="80">
        <f>+COEF_FCM!AN212</f>
        <v>31381</v>
      </c>
      <c r="AJ205" s="80">
        <f>+COEF_FCM!AS212</f>
        <v>892</v>
      </c>
      <c r="AK205" s="80">
        <f>+COEF_FCM!AO212</f>
        <v>33158</v>
      </c>
      <c r="AL205" s="80">
        <f>+COEF_FCM!AT212</f>
        <v>746.06399999999996</v>
      </c>
      <c r="AM205" s="80">
        <f>+COEF_FCM!AP212</f>
        <v>22491</v>
      </c>
      <c r="AN205" s="80">
        <f>+COEF_FCM!AU212</f>
        <v>412</v>
      </c>
      <c r="AO205" s="80">
        <f>+COEF_FCM!AQ212</f>
        <v>126371</v>
      </c>
      <c r="AP205" s="80">
        <f>+COEF_FCM!AV212</f>
        <v>3056.0639999999999</v>
      </c>
      <c r="AQ205" s="80">
        <f>+_CIERRE!O205+_CIERRE!P205</f>
        <v>2705894.89</v>
      </c>
      <c r="AR205" s="80">
        <f>+_CIERRE!Q205+_CIERRE!R205</f>
        <v>2959664.8930000002</v>
      </c>
      <c r="AS205" s="80">
        <f>+_CIERRE!S205+_CIERRE!T205</f>
        <v>3241527.2629999998</v>
      </c>
      <c r="AT205" s="80">
        <f>+_CIERRE!U205+_CIERRE!V205</f>
        <v>3435098.236</v>
      </c>
      <c r="AU205" s="80">
        <f>+'CALC MEC ESTAB Y ESTIM M FINAL'!T210</f>
        <v>3682541</v>
      </c>
      <c r="AV205" s="560">
        <v>0</v>
      </c>
      <c r="AW205" s="551">
        <v>0</v>
      </c>
      <c r="AX205" s="551">
        <v>0</v>
      </c>
      <c r="AY205" s="551">
        <v>0</v>
      </c>
      <c r="AZ205" s="551">
        <v>353155.52799999999</v>
      </c>
      <c r="BA205" s="551">
        <v>364828.00300000003</v>
      </c>
    </row>
    <row r="206" spans="1:53" ht="3" customHeight="1" x14ac:dyDescent="0.2">
      <c r="A206" s="68" t="str">
        <f>IF(LEN(+'_DATA STT PAGOS_'!M211)=4,"0"&amp;+'_DATA STT PAGOS_'!M211,+'_DATA STT PAGOS_'!M211)</f>
        <v>09210</v>
      </c>
      <c r="B206" s="68" t="str">
        <f>IF(LEN(+'_DATA STT PAGOS_'!N211)=4,"0"&amp;+'_DATA STT PAGOS_'!N211,+'_DATA STT PAGOS_'!N211)</f>
        <v>09107</v>
      </c>
      <c r="C206" s="76" t="str">
        <f>+'_DATA STT PAGOS_'!O211</f>
        <v>TRAIGUÉN</v>
      </c>
      <c r="D206" s="80">
        <f>+'CALC MEC ESTAB Y ESTIM M FINAL'!U211</f>
        <v>6238876</v>
      </c>
      <c r="E206" s="77">
        <f>+'CALC MEC ESTAB Y ESTIM M FINAL'!Q211</f>
        <v>2.2078584959999998E-3</v>
      </c>
      <c r="F206" s="77">
        <f>+'CALC MEC ESTAB Y ESTIM M FINAL'!R211</f>
        <v>-9.8028396000000001E-6</v>
      </c>
      <c r="G206" s="80">
        <f>+'_Flujo con Glosa 08'!CE211</f>
        <v>301541</v>
      </c>
      <c r="H206" s="80">
        <f>+'_Flujo con Glosa 08'!CF211</f>
        <v>301541</v>
      </c>
      <c r="I206" s="80">
        <f>+'_Flujo con Glosa 08'!CG211</f>
        <v>274934</v>
      </c>
      <c r="J206" s="80">
        <f>+'_Flujo con Glosa 08'!CH211</f>
        <v>301541</v>
      </c>
      <c r="K206" s="80">
        <f>+'_Flujo con Glosa 08'!CI211</f>
        <v>801046</v>
      </c>
      <c r="L206" s="80">
        <f>+'_Flujo con Glosa 08'!CJ211</f>
        <v>309851</v>
      </c>
      <c r="M206" s="80">
        <f>+'_Flujo con Glosa 08'!CK211</f>
        <v>506596</v>
      </c>
      <c r="N206" s="80">
        <f>+'_Flujo con Glosa 08'!CL211</f>
        <v>301541</v>
      </c>
      <c r="O206" s="80">
        <f>+'_Flujo con Glosa 08'!CM211</f>
        <v>331745</v>
      </c>
      <c r="P206" s="80">
        <f>+'_Flujo con Glosa 08'!CN211</f>
        <v>530757</v>
      </c>
      <c r="Q206" s="80">
        <f>+'_Flujo con Glosa 08'!CO211</f>
        <v>301541</v>
      </c>
      <c r="R206" s="80">
        <f>+'_Flujo con Glosa 08'!CP211</f>
        <v>507125</v>
      </c>
      <c r="S206" s="80">
        <f t="shared" si="6"/>
        <v>4769759</v>
      </c>
      <c r="T206" s="80">
        <v>0</v>
      </c>
      <c r="U206" s="80">
        <v>0</v>
      </c>
      <c r="V206" s="80">
        <v>0</v>
      </c>
      <c r="W206" s="80">
        <v>0</v>
      </c>
      <c r="X206" s="80">
        <v>0</v>
      </c>
      <c r="Y206" s="80">
        <v>0</v>
      </c>
      <c r="Z206" s="80">
        <v>0</v>
      </c>
      <c r="AA206" s="80">
        <v>0</v>
      </c>
      <c r="AB206" s="80">
        <v>0</v>
      </c>
      <c r="AC206" s="80">
        <v>0</v>
      </c>
      <c r="AD206" s="80">
        <v>0</v>
      </c>
      <c r="AE206" s="80">
        <v>0</v>
      </c>
      <c r="AF206" s="80">
        <f t="shared" si="7"/>
        <v>0</v>
      </c>
      <c r="AG206" s="80">
        <f>+COEF_FCM!AM213</f>
        <v>78670</v>
      </c>
      <c r="AH206" s="80">
        <f>+COEF_FCM!AR213</f>
        <v>2122</v>
      </c>
      <c r="AI206" s="80">
        <f>+COEF_FCM!AN213</f>
        <v>45372</v>
      </c>
      <c r="AJ206" s="80">
        <f>+COEF_FCM!AS213</f>
        <v>1024</v>
      </c>
      <c r="AK206" s="80">
        <f>+COEF_FCM!AO213</f>
        <v>64472</v>
      </c>
      <c r="AL206" s="80">
        <f>+COEF_FCM!AT213</f>
        <v>1572.9970000000001</v>
      </c>
      <c r="AM206" s="80">
        <f>+COEF_FCM!AP213</f>
        <v>41364</v>
      </c>
      <c r="AN206" s="80">
        <f>+COEF_FCM!AU213</f>
        <v>1329</v>
      </c>
      <c r="AO206" s="80">
        <f>+COEF_FCM!AQ213</f>
        <v>229878</v>
      </c>
      <c r="AP206" s="80">
        <f>+COEF_FCM!AV213</f>
        <v>6047.9970000000003</v>
      </c>
      <c r="AQ206" s="80">
        <f>+_CIERRE!O206+_CIERRE!P206</f>
        <v>4667042.0779999997</v>
      </c>
      <c r="AR206" s="80">
        <f>+_CIERRE!Q206+_CIERRE!R206</f>
        <v>5531324.3650000002</v>
      </c>
      <c r="AS206" s="80">
        <f>+_CIERRE!S206+_CIERRE!T206</f>
        <v>6158062.7800000003</v>
      </c>
      <c r="AT206" s="80">
        <f>+_CIERRE!U206+_CIERRE!V206</f>
        <v>6215668.4840000002</v>
      </c>
      <c r="AU206" s="80">
        <f>+'CALC MEC ESTAB Y ESTIM M FINAL'!T211</f>
        <v>6238876</v>
      </c>
      <c r="AV206" s="560">
        <v>0</v>
      </c>
      <c r="AW206" s="551">
        <v>0</v>
      </c>
      <c r="AX206" s="551">
        <v>0</v>
      </c>
      <c r="AY206" s="551">
        <v>0</v>
      </c>
      <c r="AZ206" s="551">
        <v>489006.72</v>
      </c>
      <c r="BA206" s="551">
        <v>501455.02500000002</v>
      </c>
    </row>
    <row r="207" spans="1:53" ht="3" customHeight="1" x14ac:dyDescent="0.2">
      <c r="A207" s="68" t="str">
        <f>IF(LEN(+'_DATA STT PAGOS_'!M212)=4,"0"&amp;+'_DATA STT PAGOS_'!M212,+'_DATA STT PAGOS_'!M212)</f>
        <v>09211</v>
      </c>
      <c r="B207" s="68" t="str">
        <f>IF(LEN(+'_DATA STT PAGOS_'!N212)=4,"0"&amp;+'_DATA STT PAGOS_'!N212,+'_DATA STT PAGOS_'!N212)</f>
        <v>09109</v>
      </c>
      <c r="C207" s="76" t="str">
        <f>+'_DATA STT PAGOS_'!O212</f>
        <v>VICTORIA</v>
      </c>
      <c r="D207" s="80">
        <f>+'CALC MEC ESTAB Y ESTIM M FINAL'!U212</f>
        <v>9332629</v>
      </c>
      <c r="E207" s="77">
        <f>+'CALC MEC ESTAB Y ESTIM M FINAL'!Q212</f>
        <v>3.5992676399999998E-3</v>
      </c>
      <c r="F207" s="77">
        <f>+'CALC MEC ESTAB Y ESTIM M FINAL'!R212</f>
        <v>-3.1123346429999998E-4</v>
      </c>
      <c r="G207" s="80">
        <f>+'_Flujo con Glosa 08'!CE212</f>
        <v>416763</v>
      </c>
      <c r="H207" s="80">
        <f>+'_Flujo con Glosa 08'!CF212</f>
        <v>416763</v>
      </c>
      <c r="I207" s="80">
        <f>+'_Flujo con Glosa 08'!CG212</f>
        <v>411270</v>
      </c>
      <c r="J207" s="80">
        <f>+'_Flujo con Glosa 08'!CH212</f>
        <v>416763</v>
      </c>
      <c r="K207" s="80">
        <f>+'_Flujo con Glosa 08'!CI212</f>
        <v>1301194</v>
      </c>
      <c r="L207" s="80">
        <f>+'_Flujo con Glosa 08'!CJ212</f>
        <v>429193</v>
      </c>
      <c r="M207" s="80">
        <f>+'_Flujo con Glosa 08'!CK212</f>
        <v>780491</v>
      </c>
      <c r="N207" s="80">
        <f>+'_Flujo con Glosa 08'!CL212</f>
        <v>416763</v>
      </c>
      <c r="O207" s="80">
        <f>+'_Flujo con Glosa 08'!CM212</f>
        <v>496251</v>
      </c>
      <c r="P207" s="80">
        <f>+'_Flujo con Glosa 08'!CN212</f>
        <v>839881</v>
      </c>
      <c r="Q207" s="80">
        <f>+'_Flujo con Glosa 08'!CO212</f>
        <v>416763</v>
      </c>
      <c r="R207" s="80">
        <f>+'_Flujo con Glosa 08'!CP212</f>
        <v>792906</v>
      </c>
      <c r="S207" s="80">
        <f t="shared" si="6"/>
        <v>7135001</v>
      </c>
      <c r="T207" s="80">
        <v>0</v>
      </c>
      <c r="U207" s="80">
        <v>0</v>
      </c>
      <c r="V207" s="80">
        <v>0</v>
      </c>
      <c r="W207" s="80">
        <v>0</v>
      </c>
      <c r="X207" s="80">
        <v>0</v>
      </c>
      <c r="Y207" s="80">
        <v>0</v>
      </c>
      <c r="Z207" s="80">
        <v>0</v>
      </c>
      <c r="AA207" s="80">
        <v>0</v>
      </c>
      <c r="AB207" s="80">
        <v>0</v>
      </c>
      <c r="AC207" s="80">
        <v>0</v>
      </c>
      <c r="AD207" s="80">
        <v>0</v>
      </c>
      <c r="AE207" s="80">
        <v>0</v>
      </c>
      <c r="AF207" s="80">
        <f t="shared" si="7"/>
        <v>0</v>
      </c>
      <c r="AG207" s="80">
        <f>+COEF_FCM!AM214</f>
        <v>160381</v>
      </c>
      <c r="AH207" s="80">
        <f>+COEF_FCM!AR214</f>
        <v>8448</v>
      </c>
      <c r="AI207" s="80">
        <f>+COEF_FCM!AN214</f>
        <v>96046</v>
      </c>
      <c r="AJ207" s="80">
        <f>+COEF_FCM!AS214</f>
        <v>3715</v>
      </c>
      <c r="AK207" s="80">
        <f>+COEF_FCM!AO214</f>
        <v>127855</v>
      </c>
      <c r="AL207" s="80">
        <f>+COEF_FCM!AT214</f>
        <v>5652.0739999999996</v>
      </c>
      <c r="AM207" s="80">
        <f>+COEF_FCM!AP214</f>
        <v>95408</v>
      </c>
      <c r="AN207" s="80">
        <f>+COEF_FCM!AU214</f>
        <v>2864</v>
      </c>
      <c r="AO207" s="80">
        <f>+COEF_FCM!AQ214</f>
        <v>479690</v>
      </c>
      <c r="AP207" s="80">
        <f>+COEF_FCM!AV214</f>
        <v>20679.074000000001</v>
      </c>
      <c r="AQ207" s="80">
        <f>+_CIERRE!O207+_CIERRE!P207</f>
        <v>6182383.034</v>
      </c>
      <c r="AR207" s="80">
        <f>+_CIERRE!Q207+_CIERRE!R207</f>
        <v>7172361.2010000004</v>
      </c>
      <c r="AS207" s="80">
        <f>+_CIERRE!S207+_CIERRE!T207</f>
        <v>7927288.7719999999</v>
      </c>
      <c r="AT207" s="80">
        <f>+_CIERRE!U207+_CIERRE!V207</f>
        <v>8595825.6190000009</v>
      </c>
      <c r="AU207" s="80">
        <f>+'CALC MEC ESTAB Y ESTIM M FINAL'!T212</f>
        <v>9332629</v>
      </c>
      <c r="AV207" s="560">
        <v>0</v>
      </c>
      <c r="AW207" s="551">
        <v>0</v>
      </c>
      <c r="AX207" s="551">
        <v>0</v>
      </c>
      <c r="AY207" s="551">
        <v>0</v>
      </c>
      <c r="AZ207" s="551">
        <v>628928.90099999995</v>
      </c>
      <c r="BA207" s="551">
        <v>648119.83200000005</v>
      </c>
    </row>
    <row r="208" spans="1:53" ht="3" customHeight="1" x14ac:dyDescent="0.2">
      <c r="A208" s="68">
        <f>IF(LEN(+'_DATA STT PAGOS_'!M213)=4,"0"&amp;+'_DATA STT PAGOS_'!M213,+'_DATA STT PAGOS_'!M213)</f>
        <v>10101</v>
      </c>
      <c r="B208" s="68">
        <f>IF(LEN(+'_DATA STT PAGOS_'!N213)=4,"0"&amp;+'_DATA STT PAGOS_'!N213,+'_DATA STT PAGOS_'!N213)</f>
        <v>10301</v>
      </c>
      <c r="C208" s="76" t="str">
        <f>+'_DATA STT PAGOS_'!O213</f>
        <v>PUERTO MONTT</v>
      </c>
      <c r="D208" s="80">
        <f>+'CALC MEC ESTAB Y ESTIM M FINAL'!U213</f>
        <v>26404177</v>
      </c>
      <c r="E208" s="77">
        <f>+'CALC MEC ESTAB Y ESTIM M FINAL'!Q213</f>
        <v>9.2874398216000013E-3</v>
      </c>
      <c r="F208" s="77">
        <f>+'CALC MEC ESTAB Y ESTIM M FINAL'!R213</f>
        <v>1.51735443E-5</v>
      </c>
      <c r="G208" s="80">
        <f>+'_Flujo con Glosa 08'!CE213</f>
        <v>1280947</v>
      </c>
      <c r="H208" s="80">
        <f>+'_Flujo con Glosa 08'!CF213</f>
        <v>1280947</v>
      </c>
      <c r="I208" s="80">
        <f>+'_Flujo con Glosa 08'!CG213</f>
        <v>1163577</v>
      </c>
      <c r="J208" s="80">
        <f>+'_Flujo con Glosa 08'!CH213</f>
        <v>1280947</v>
      </c>
      <c r="K208" s="80">
        <f>+'_Flujo con Glosa 08'!CI213</f>
        <v>3375897</v>
      </c>
      <c r="L208" s="80">
        <f>+'_Flujo con Glosa 08'!CJ213</f>
        <v>1316115</v>
      </c>
      <c r="M208" s="80">
        <f>+'_Flujo con Glosa 08'!CK213</f>
        <v>2151253</v>
      </c>
      <c r="N208" s="80">
        <f>+'_Flujo con Glosa 08'!CL213</f>
        <v>1280947</v>
      </c>
      <c r="O208" s="80">
        <f>+'_Flujo con Glosa 08'!CM213</f>
        <v>1404011</v>
      </c>
      <c r="P208" s="80">
        <f>+'_Flujo con Glosa 08'!CN213</f>
        <v>2229501</v>
      </c>
      <c r="Q208" s="80">
        <f>+'_Flujo con Glosa 08'!CO213</f>
        <v>1280947</v>
      </c>
      <c r="R208" s="80">
        <f>+'_Flujo con Glosa 08'!CP213</f>
        <v>2141489</v>
      </c>
      <c r="S208" s="80">
        <f t="shared" si="6"/>
        <v>20186578</v>
      </c>
      <c r="T208" s="80">
        <v>0</v>
      </c>
      <c r="U208" s="80">
        <v>0</v>
      </c>
      <c r="V208" s="80">
        <v>0</v>
      </c>
      <c r="W208" s="80">
        <v>0</v>
      </c>
      <c r="X208" s="80">
        <v>0</v>
      </c>
      <c r="Y208" s="80">
        <v>0</v>
      </c>
      <c r="Z208" s="80">
        <v>0</v>
      </c>
      <c r="AA208" s="80">
        <v>0</v>
      </c>
      <c r="AB208" s="80">
        <v>0</v>
      </c>
      <c r="AC208" s="80">
        <v>0</v>
      </c>
      <c r="AD208" s="80">
        <v>0</v>
      </c>
      <c r="AE208" s="80">
        <v>0</v>
      </c>
      <c r="AF208" s="80">
        <f t="shared" si="7"/>
        <v>0</v>
      </c>
      <c r="AG208" s="80">
        <f>+COEF_FCM!AM215</f>
        <v>2010424</v>
      </c>
      <c r="AH208" s="80">
        <f>+COEF_FCM!AR215</f>
        <v>237547</v>
      </c>
      <c r="AI208" s="80">
        <f>+COEF_FCM!AN215</f>
        <v>1535877</v>
      </c>
      <c r="AJ208" s="80">
        <f>+COEF_FCM!AS215</f>
        <v>115813</v>
      </c>
      <c r="AK208" s="80">
        <f>+COEF_FCM!AO215</f>
        <v>1742458</v>
      </c>
      <c r="AL208" s="80">
        <f>+COEF_FCM!AT215</f>
        <v>156840.17600000001</v>
      </c>
      <c r="AM208" s="80">
        <f>+COEF_FCM!AP215</f>
        <v>1580354</v>
      </c>
      <c r="AN208" s="80">
        <f>+COEF_FCM!AU215</f>
        <v>120390</v>
      </c>
      <c r="AO208" s="80">
        <f>+COEF_FCM!AQ215</f>
        <v>6869113</v>
      </c>
      <c r="AP208" s="80">
        <f>+COEF_FCM!AV215</f>
        <v>630590.17599999998</v>
      </c>
      <c r="AQ208" s="80">
        <f>+_CIERRE!O208+_CIERRE!P208</f>
        <v>22771964.669</v>
      </c>
      <c r="AR208" s="80">
        <f>+_CIERRE!Q208+_CIERRE!R208</f>
        <v>24688931.441</v>
      </c>
      <c r="AS208" s="80">
        <f>+_CIERRE!S208+_CIERRE!T208</f>
        <v>26159468.263999999</v>
      </c>
      <c r="AT208" s="80">
        <f>+_CIERRE!U208+_CIERRE!V208</f>
        <v>26404177.199000001</v>
      </c>
      <c r="AU208" s="80">
        <f>+'CALC MEC ESTAB Y ESTIM M FINAL'!T213</f>
        <v>26404177</v>
      </c>
      <c r="AV208" s="560">
        <v>0</v>
      </c>
      <c r="AW208" s="551">
        <v>0</v>
      </c>
      <c r="AX208" s="551">
        <v>0</v>
      </c>
      <c r="AY208" s="551">
        <v>0</v>
      </c>
      <c r="AZ208" s="551">
        <v>0</v>
      </c>
      <c r="BA208" s="551">
        <v>0</v>
      </c>
    </row>
    <row r="209" spans="1:53" ht="3" customHeight="1" x14ac:dyDescent="0.2">
      <c r="A209" s="68">
        <f>IF(LEN(+'_DATA STT PAGOS_'!M214)=4,"0"&amp;+'_DATA STT PAGOS_'!M214,+'_DATA STT PAGOS_'!M214)</f>
        <v>10102</v>
      </c>
      <c r="B209" s="68">
        <f>IF(LEN(+'_DATA STT PAGOS_'!N214)=4,"0"&amp;+'_DATA STT PAGOS_'!N214,+'_DATA STT PAGOS_'!N214)</f>
        <v>10309</v>
      </c>
      <c r="C209" s="76" t="str">
        <f>+'_DATA STT PAGOS_'!O214</f>
        <v>CALBUCO</v>
      </c>
      <c r="D209" s="80">
        <f>+'CALC MEC ESTAB Y ESTIM M FINAL'!U214</f>
        <v>7092818</v>
      </c>
      <c r="E209" s="77">
        <f>+'CALC MEC ESTAB Y ESTIM M FINAL'!Q214</f>
        <v>2.6456999753000001E-3</v>
      </c>
      <c r="F209" s="77">
        <f>+'CALC MEC ESTAB Y ESTIM M FINAL'!R214</f>
        <v>-1.467868131E-4</v>
      </c>
      <c r="G209" s="80">
        <f>+'_Flujo con Glosa 08'!CE214</f>
        <v>327103</v>
      </c>
      <c r="H209" s="80">
        <f>+'_Flujo con Glosa 08'!CF214</f>
        <v>327103</v>
      </c>
      <c r="I209" s="80">
        <f>+'_Flujo con Glosa 08'!CG214</f>
        <v>312566</v>
      </c>
      <c r="J209" s="80">
        <f>+'_Flujo con Glosa 08'!CH214</f>
        <v>327103</v>
      </c>
      <c r="K209" s="80">
        <f>+'_Flujo con Glosa 08'!CI214</f>
        <v>957824</v>
      </c>
      <c r="L209" s="80">
        <f>+'_Flujo con Glosa 08'!CJ214</f>
        <v>336550</v>
      </c>
      <c r="M209" s="80">
        <f>+'_Flujo con Glosa 08'!CK214</f>
        <v>582813</v>
      </c>
      <c r="N209" s="80">
        <f>+'_Flujo con Glosa 08'!CL214</f>
        <v>327103</v>
      </c>
      <c r="O209" s="80">
        <f>+'_Flujo con Glosa 08'!CM214</f>
        <v>377153</v>
      </c>
      <c r="P209" s="80">
        <f>+'_Flujo con Glosa 08'!CN214</f>
        <v>627949</v>
      </c>
      <c r="Q209" s="80">
        <f>+'_Flujo con Glosa 08'!CO214</f>
        <v>327103</v>
      </c>
      <c r="R209" s="80">
        <f>+'_Flujo con Glosa 08'!CP214</f>
        <v>592249</v>
      </c>
      <c r="S209" s="80">
        <f t="shared" si="6"/>
        <v>5422619</v>
      </c>
      <c r="T209" s="80">
        <v>0</v>
      </c>
      <c r="U209" s="80">
        <v>0</v>
      </c>
      <c r="V209" s="80">
        <v>0</v>
      </c>
      <c r="W209" s="80">
        <v>0</v>
      </c>
      <c r="X209" s="80">
        <v>0</v>
      </c>
      <c r="Y209" s="80">
        <v>0</v>
      </c>
      <c r="Z209" s="80">
        <v>0</v>
      </c>
      <c r="AA209" s="80">
        <v>0</v>
      </c>
      <c r="AB209" s="80">
        <v>0</v>
      </c>
      <c r="AC209" s="80">
        <v>0</v>
      </c>
      <c r="AD209" s="80">
        <v>0</v>
      </c>
      <c r="AE209" s="80">
        <v>0</v>
      </c>
      <c r="AF209" s="80">
        <f t="shared" si="7"/>
        <v>0</v>
      </c>
      <c r="AG209" s="80">
        <f>+COEF_FCM!AM216</f>
        <v>99765</v>
      </c>
      <c r="AH209" s="80">
        <f>+COEF_FCM!AR216</f>
        <v>2314</v>
      </c>
      <c r="AI209" s="80">
        <f>+COEF_FCM!AN216</f>
        <v>55685</v>
      </c>
      <c r="AJ209" s="80">
        <f>+COEF_FCM!AS216</f>
        <v>1200</v>
      </c>
      <c r="AK209" s="80">
        <f>+COEF_FCM!AO216</f>
        <v>74035</v>
      </c>
      <c r="AL209" s="80">
        <f>+COEF_FCM!AT216</f>
        <v>1648.1020000000001</v>
      </c>
      <c r="AM209" s="80">
        <f>+COEF_FCM!AP216</f>
        <v>66891</v>
      </c>
      <c r="AN209" s="80">
        <f>+COEF_FCM!AU216</f>
        <v>1367</v>
      </c>
      <c r="AO209" s="80">
        <f>+COEF_FCM!AQ216</f>
        <v>296376</v>
      </c>
      <c r="AP209" s="80">
        <f>+COEF_FCM!AV216</f>
        <v>6529.1019999999999</v>
      </c>
      <c r="AQ209" s="80">
        <f>+_CIERRE!O209+_CIERRE!P209</f>
        <v>5001322.9069999997</v>
      </c>
      <c r="AR209" s="80">
        <f>+_CIERRE!Q209+_CIERRE!R209</f>
        <v>5798740.0970000001</v>
      </c>
      <c r="AS209" s="80">
        <f>+_CIERRE!S209+_CIERRE!T209</f>
        <v>6453590.0300000003</v>
      </c>
      <c r="AT209" s="80">
        <f>+_CIERRE!U209+_CIERRE!V209</f>
        <v>6745319.517</v>
      </c>
      <c r="AU209" s="80">
        <f>+'CALC MEC ESTAB Y ESTIM M FINAL'!T214</f>
        <v>7092818</v>
      </c>
      <c r="AV209" s="560">
        <v>0</v>
      </c>
      <c r="AW209" s="551">
        <v>0</v>
      </c>
      <c r="AX209" s="551">
        <v>0</v>
      </c>
      <c r="AY209" s="551">
        <v>0</v>
      </c>
      <c r="AZ209" s="551">
        <v>455992.68300000002</v>
      </c>
      <c r="BA209" s="551">
        <v>470886.66200000001</v>
      </c>
    </row>
    <row r="210" spans="1:53" ht="3" customHeight="1" x14ac:dyDescent="0.2">
      <c r="A210" s="68">
        <f>IF(LEN(+'_DATA STT PAGOS_'!M215)=4,"0"&amp;+'_DATA STT PAGOS_'!M215,+'_DATA STT PAGOS_'!M215)</f>
        <v>10103</v>
      </c>
      <c r="B210" s="68">
        <f>IF(LEN(+'_DATA STT PAGOS_'!N215)=4,"0"&amp;+'_DATA STT PAGOS_'!N215,+'_DATA STT PAGOS_'!N215)</f>
        <v>10302</v>
      </c>
      <c r="C210" s="76" t="str">
        <f>+'_DATA STT PAGOS_'!O215</f>
        <v>COCHAMÓ</v>
      </c>
      <c r="D210" s="80">
        <f>+'CALC MEC ESTAB Y ESTIM M FINAL'!U215</f>
        <v>2289303</v>
      </c>
      <c r="E210" s="77">
        <f>+'CALC MEC ESTAB Y ESTIM M FINAL'!Q215</f>
        <v>8.4630116429999997E-4</v>
      </c>
      <c r="F210" s="77">
        <f>+'CALC MEC ESTAB Y ESTIM M FINAL'!R215</f>
        <v>-3.9743003299999998E-5</v>
      </c>
      <c r="G210" s="80">
        <f>+'_Flujo con Glosa 08'!CE215</f>
        <v>106499</v>
      </c>
      <c r="H210" s="80">
        <f>+'_Flujo con Glosa 08'!CF215</f>
        <v>106499</v>
      </c>
      <c r="I210" s="80">
        <f>+'_Flujo con Glosa 08'!CG215</f>
        <v>100885</v>
      </c>
      <c r="J210" s="80">
        <f>+'_Flujo con Glosa 08'!CH215</f>
        <v>106499</v>
      </c>
      <c r="K210" s="80">
        <f>+'_Flujo con Glosa 08'!CI215</f>
        <v>306383</v>
      </c>
      <c r="L210" s="80">
        <f>+'_Flujo con Glosa 08'!CJ215</f>
        <v>109548</v>
      </c>
      <c r="M210" s="80">
        <f>+'_Flujo con Glosa 08'!CK215</f>
        <v>187188</v>
      </c>
      <c r="N210" s="80">
        <f>+'_Flujo con Glosa 08'!CL215</f>
        <v>106499</v>
      </c>
      <c r="O210" s="80">
        <f>+'_Flujo con Glosa 08'!CM215</f>
        <v>121731</v>
      </c>
      <c r="P210" s="80">
        <f>+'_Flujo con Glosa 08'!CN215</f>
        <v>201757</v>
      </c>
      <c r="Q210" s="80">
        <f>+'_Flujo con Glosa 08'!CO215</f>
        <v>106499</v>
      </c>
      <c r="R210" s="80">
        <f>+'_Flujo con Glosa 08'!CP215</f>
        <v>190234</v>
      </c>
      <c r="S210" s="80">
        <f t="shared" si="6"/>
        <v>1750221</v>
      </c>
      <c r="T210" s="80">
        <v>0</v>
      </c>
      <c r="U210" s="80">
        <v>0</v>
      </c>
      <c r="V210" s="80">
        <v>0</v>
      </c>
      <c r="W210" s="80">
        <v>0</v>
      </c>
      <c r="X210" s="80">
        <v>0</v>
      </c>
      <c r="Y210" s="80">
        <v>0</v>
      </c>
      <c r="Z210" s="80">
        <v>0</v>
      </c>
      <c r="AA210" s="80">
        <v>0</v>
      </c>
      <c r="AB210" s="80">
        <v>0</v>
      </c>
      <c r="AC210" s="80">
        <v>0</v>
      </c>
      <c r="AD210" s="80">
        <v>0</v>
      </c>
      <c r="AE210" s="80">
        <v>0</v>
      </c>
      <c r="AF210" s="80">
        <f t="shared" si="7"/>
        <v>0</v>
      </c>
      <c r="AG210" s="80">
        <f>+COEF_FCM!AM217</f>
        <v>39760</v>
      </c>
      <c r="AH210" s="80">
        <f>+COEF_FCM!AR217</f>
        <v>0</v>
      </c>
      <c r="AI210" s="80">
        <f>+COEF_FCM!AN217</f>
        <v>24865</v>
      </c>
      <c r="AJ210" s="80">
        <f>+COEF_FCM!AS217</f>
        <v>0</v>
      </c>
      <c r="AK210" s="80">
        <f>+COEF_FCM!AO217</f>
        <v>26927</v>
      </c>
      <c r="AL210" s="80">
        <f>+COEF_FCM!AT217</f>
        <v>0</v>
      </c>
      <c r="AM210" s="80">
        <f>+COEF_FCM!AP217</f>
        <v>23475</v>
      </c>
      <c r="AN210" s="80">
        <f>+COEF_FCM!AU217</f>
        <v>0</v>
      </c>
      <c r="AO210" s="80">
        <f>+COEF_FCM!AQ217</f>
        <v>115027</v>
      </c>
      <c r="AP210" s="80">
        <f>+COEF_FCM!AV217</f>
        <v>0</v>
      </c>
      <c r="AQ210" s="80">
        <f>+_CIERRE!O210+_CIERRE!P210</f>
        <v>1787406.6470000001</v>
      </c>
      <c r="AR210" s="80">
        <f>+_CIERRE!Q210+_CIERRE!R210</f>
        <v>1987058.3030000001</v>
      </c>
      <c r="AS210" s="80">
        <f>+_CIERRE!S210+_CIERRE!T210</f>
        <v>2119212.1460000002</v>
      </c>
      <c r="AT210" s="80">
        <f>+_CIERRE!U210+_CIERRE!V210</f>
        <v>2195215.764</v>
      </c>
      <c r="AU210" s="80">
        <f>+'CALC MEC ESTAB Y ESTIM M FINAL'!T215</f>
        <v>2289303</v>
      </c>
      <c r="AV210" s="560">
        <v>0</v>
      </c>
      <c r="AW210" s="551">
        <v>0</v>
      </c>
      <c r="AX210" s="551">
        <v>0</v>
      </c>
      <c r="AY210" s="551">
        <v>0</v>
      </c>
      <c r="AZ210" s="551">
        <v>298494.712</v>
      </c>
      <c r="BA210" s="551">
        <v>308147.36900000001</v>
      </c>
    </row>
    <row r="211" spans="1:53" ht="3" customHeight="1" x14ac:dyDescent="0.2">
      <c r="A211" s="68">
        <f>IF(LEN(+'_DATA STT PAGOS_'!M216)=4,"0"&amp;+'_DATA STT PAGOS_'!M216,+'_DATA STT PAGOS_'!M216)</f>
        <v>10104</v>
      </c>
      <c r="B211" s="68">
        <f>IF(LEN(+'_DATA STT PAGOS_'!N216)=4,"0"&amp;+'_DATA STT PAGOS_'!N216,+'_DATA STT PAGOS_'!N216)</f>
        <v>10304</v>
      </c>
      <c r="C211" s="76" t="str">
        <f>+'_DATA STT PAGOS_'!O216</f>
        <v>FRESIA</v>
      </c>
      <c r="D211" s="80">
        <f>+'CALC MEC ESTAB Y ESTIM M FINAL'!U216</f>
        <v>3367159</v>
      </c>
      <c r="E211" s="77">
        <f>+'CALC MEC ESTAB Y ESTIM M FINAL'!Q216</f>
        <v>1.2241028465E-3</v>
      </c>
      <c r="F211" s="77">
        <f>+'CALC MEC ESTAB Y ESTIM M FINAL'!R216</f>
        <v>-3.7798923799999997E-5</v>
      </c>
      <c r="G211" s="80">
        <f>+'_Flujo con Glosa 08'!CE216</f>
        <v>159010</v>
      </c>
      <c r="H211" s="80">
        <f>+'_Flujo con Glosa 08'!CF216</f>
        <v>159010</v>
      </c>
      <c r="I211" s="80">
        <f>+'_Flujo con Glosa 08'!CG216</f>
        <v>148384</v>
      </c>
      <c r="J211" s="80">
        <f>+'_Flujo con Glosa 08'!CH216</f>
        <v>159010</v>
      </c>
      <c r="K211" s="80">
        <f>+'_Flujo con Glosa 08'!CI216</f>
        <v>443530</v>
      </c>
      <c r="L211" s="80">
        <f>+'_Flujo con Glosa 08'!CJ216</f>
        <v>163495</v>
      </c>
      <c r="M211" s="80">
        <f>+'_Flujo con Glosa 08'!CK216</f>
        <v>272952</v>
      </c>
      <c r="N211" s="80">
        <f>+'_Flujo con Glosa 08'!CL216</f>
        <v>159010</v>
      </c>
      <c r="O211" s="80">
        <f>+'_Flujo con Glosa 08'!CM216</f>
        <v>179045</v>
      </c>
      <c r="P211" s="80">
        <f>+'_Flujo con Glosa 08'!CN216</f>
        <v>294380</v>
      </c>
      <c r="Q211" s="80">
        <f>+'_Flujo con Glosa 08'!CO216</f>
        <v>159010</v>
      </c>
      <c r="R211" s="80">
        <f>+'_Flujo con Glosa 08'!CP216</f>
        <v>277432</v>
      </c>
      <c r="S211" s="80">
        <f t="shared" si="6"/>
        <v>2574268</v>
      </c>
      <c r="T211" s="80">
        <v>0</v>
      </c>
      <c r="U211" s="80">
        <v>0</v>
      </c>
      <c r="V211" s="80">
        <v>0</v>
      </c>
      <c r="W211" s="80">
        <v>0</v>
      </c>
      <c r="X211" s="80">
        <v>0</v>
      </c>
      <c r="Y211" s="80">
        <v>0</v>
      </c>
      <c r="Z211" s="80">
        <v>0</v>
      </c>
      <c r="AA211" s="80">
        <v>0</v>
      </c>
      <c r="AB211" s="80">
        <v>0</v>
      </c>
      <c r="AC211" s="80">
        <v>0</v>
      </c>
      <c r="AD211" s="80">
        <v>0</v>
      </c>
      <c r="AE211" s="80">
        <v>0</v>
      </c>
      <c r="AF211" s="80">
        <f t="shared" si="7"/>
        <v>0</v>
      </c>
      <c r="AG211" s="80">
        <f>+COEF_FCM!AM218</f>
        <v>70781</v>
      </c>
      <c r="AH211" s="80">
        <f>+COEF_FCM!AR218</f>
        <v>1424</v>
      </c>
      <c r="AI211" s="80">
        <f>+COEF_FCM!AN218</f>
        <v>38738</v>
      </c>
      <c r="AJ211" s="80">
        <f>+COEF_FCM!AS218</f>
        <v>778</v>
      </c>
      <c r="AK211" s="80">
        <f>+COEF_FCM!AO218</f>
        <v>53315</v>
      </c>
      <c r="AL211" s="80">
        <f>+COEF_FCM!AT218</f>
        <v>785.14700000000005</v>
      </c>
      <c r="AM211" s="80">
        <f>+COEF_FCM!AP218</f>
        <v>29425</v>
      </c>
      <c r="AN211" s="80">
        <f>+COEF_FCM!AU218</f>
        <v>297</v>
      </c>
      <c r="AO211" s="80">
        <f>+COEF_FCM!AQ218</f>
        <v>192259</v>
      </c>
      <c r="AP211" s="80">
        <f>+COEF_FCM!AV218</f>
        <v>3284.1469999999999</v>
      </c>
      <c r="AQ211" s="80">
        <f>+_CIERRE!O211+_CIERRE!P211</f>
        <v>2646198.4360000002</v>
      </c>
      <c r="AR211" s="80">
        <f>+_CIERRE!Q211+_CIERRE!R211</f>
        <v>2997149.4819999998</v>
      </c>
      <c r="AS211" s="80">
        <f>+_CIERRE!S211+_CIERRE!T211</f>
        <v>3247297.2059999998</v>
      </c>
      <c r="AT211" s="80">
        <f>+_CIERRE!U211+_CIERRE!V211</f>
        <v>3277674.219</v>
      </c>
      <c r="AU211" s="80">
        <f>+'CALC MEC ESTAB Y ESTIM M FINAL'!T216</f>
        <v>3367159</v>
      </c>
      <c r="AV211" s="560">
        <v>0</v>
      </c>
      <c r="AW211" s="551">
        <v>0</v>
      </c>
      <c r="AX211" s="551">
        <v>0</v>
      </c>
      <c r="AY211" s="551">
        <v>0</v>
      </c>
      <c r="AZ211" s="551">
        <v>383841.86700000003</v>
      </c>
      <c r="BA211" s="551">
        <v>413590.03899999999</v>
      </c>
    </row>
    <row r="212" spans="1:53" ht="3" customHeight="1" x14ac:dyDescent="0.2">
      <c r="A212" s="68">
        <f>IF(LEN(+'_DATA STT PAGOS_'!M217)=4,"0"&amp;+'_DATA STT PAGOS_'!M217,+'_DATA STT PAGOS_'!M217)</f>
        <v>10105</v>
      </c>
      <c r="B212" s="68">
        <f>IF(LEN(+'_DATA STT PAGOS_'!N217)=4,"0"&amp;+'_DATA STT PAGOS_'!N217,+'_DATA STT PAGOS_'!N217)</f>
        <v>10305</v>
      </c>
      <c r="C212" s="76" t="str">
        <f>+'_DATA STT PAGOS_'!O217</f>
        <v>FRUTILLAR</v>
      </c>
      <c r="D212" s="80">
        <f>+'CALC MEC ESTAB Y ESTIM M FINAL'!U217</f>
        <v>2860310</v>
      </c>
      <c r="E212" s="77">
        <f>+'CALC MEC ESTAB Y ESTIM M FINAL'!Q217</f>
        <v>1.0393933335999998E-3</v>
      </c>
      <c r="F212" s="77">
        <f>+'CALC MEC ESTAB Y ESTIM M FINAL'!R217</f>
        <v>-3.1660522600000003E-5</v>
      </c>
      <c r="G212" s="80">
        <f>+'_Flujo con Glosa 08'!CE217</f>
        <v>135211</v>
      </c>
      <c r="H212" s="80">
        <f>+'_Flujo con Glosa 08'!CF217</f>
        <v>135211</v>
      </c>
      <c r="I212" s="80">
        <f>+'_Flujo con Glosa 08'!CG217</f>
        <v>126048</v>
      </c>
      <c r="J212" s="80">
        <f>+'_Flujo con Glosa 08'!CH217</f>
        <v>135211</v>
      </c>
      <c r="K212" s="80">
        <f>+'_Flujo con Glosa 08'!CI217</f>
        <v>376358</v>
      </c>
      <c r="L212" s="80">
        <f>+'_Flujo con Glosa 08'!CJ217</f>
        <v>139021</v>
      </c>
      <c r="M212" s="80">
        <f>+'_Flujo con Glosa 08'!CK217</f>
        <v>231730</v>
      </c>
      <c r="N212" s="80">
        <f>+'_Flujo con Glosa 08'!CL217</f>
        <v>135211</v>
      </c>
      <c r="O212" s="80">
        <f>+'_Flujo con Glosa 08'!CM217</f>
        <v>152094</v>
      </c>
      <c r="P212" s="80">
        <f>+'_Flujo con Glosa 08'!CN217</f>
        <v>249931</v>
      </c>
      <c r="Q212" s="80">
        <f>+'_Flujo con Glosa 08'!CO217</f>
        <v>135211</v>
      </c>
      <c r="R212" s="80">
        <f>+'_Flujo con Glosa 08'!CP217</f>
        <v>235535</v>
      </c>
      <c r="S212" s="80">
        <f t="shared" si="6"/>
        <v>2186772</v>
      </c>
      <c r="T212" s="80">
        <v>0</v>
      </c>
      <c r="U212" s="80">
        <v>0</v>
      </c>
      <c r="V212" s="80">
        <v>0</v>
      </c>
      <c r="W212" s="80">
        <v>0</v>
      </c>
      <c r="X212" s="80">
        <v>0</v>
      </c>
      <c r="Y212" s="80">
        <v>0</v>
      </c>
      <c r="Z212" s="80">
        <v>0</v>
      </c>
      <c r="AA212" s="80">
        <v>0</v>
      </c>
      <c r="AB212" s="80">
        <v>0</v>
      </c>
      <c r="AC212" s="80">
        <v>0</v>
      </c>
      <c r="AD212" s="80">
        <v>0</v>
      </c>
      <c r="AE212" s="80">
        <v>0</v>
      </c>
      <c r="AF212" s="80">
        <f t="shared" si="7"/>
        <v>0</v>
      </c>
      <c r="AG212" s="80">
        <f>+COEF_FCM!AM219</f>
        <v>269781</v>
      </c>
      <c r="AH212" s="80">
        <f>+COEF_FCM!AR219</f>
        <v>28288</v>
      </c>
      <c r="AI212" s="80">
        <f>+COEF_FCM!AN219</f>
        <v>163099</v>
      </c>
      <c r="AJ212" s="80">
        <f>+COEF_FCM!AS219</f>
        <v>11071</v>
      </c>
      <c r="AK212" s="80">
        <f>+COEF_FCM!AO219</f>
        <v>225595</v>
      </c>
      <c r="AL212" s="80">
        <f>+COEF_FCM!AT219</f>
        <v>16056.998</v>
      </c>
      <c r="AM212" s="80">
        <f>+COEF_FCM!AP219</f>
        <v>172705</v>
      </c>
      <c r="AN212" s="80">
        <f>+COEF_FCM!AU219</f>
        <v>11428</v>
      </c>
      <c r="AO212" s="80">
        <f>+COEF_FCM!AQ219</f>
        <v>831180</v>
      </c>
      <c r="AP212" s="80">
        <f>+COEF_FCM!AV219</f>
        <v>66843.997999999992</v>
      </c>
      <c r="AQ212" s="80">
        <f>+_CIERRE!O212+_CIERRE!P212</f>
        <v>2295139.5809999998</v>
      </c>
      <c r="AR212" s="80">
        <f>+_CIERRE!Q212+_CIERRE!R212</f>
        <v>2549117.676</v>
      </c>
      <c r="AS212" s="80">
        <f>+_CIERRE!S212+_CIERRE!T212</f>
        <v>2718470.5019999999</v>
      </c>
      <c r="AT212" s="80">
        <f>+_CIERRE!U212+_CIERRE!V212</f>
        <v>2785358.7880000002</v>
      </c>
      <c r="AU212" s="80">
        <f>+'CALC MEC ESTAB Y ESTIM M FINAL'!T217</f>
        <v>2860310</v>
      </c>
      <c r="AV212" s="560">
        <v>0</v>
      </c>
      <c r="AW212" s="551">
        <v>0</v>
      </c>
      <c r="AX212" s="551">
        <v>0</v>
      </c>
      <c r="AY212" s="551">
        <v>0</v>
      </c>
      <c r="AZ212" s="551">
        <v>338543.61900000001</v>
      </c>
      <c r="BA212" s="551">
        <v>346612.04599999997</v>
      </c>
    </row>
    <row r="213" spans="1:53" ht="3" customHeight="1" x14ac:dyDescent="0.2">
      <c r="A213" s="68">
        <f>IF(LEN(+'_DATA STT PAGOS_'!M218)=4,"0"&amp;+'_DATA STT PAGOS_'!M218,+'_DATA STT PAGOS_'!M218)</f>
        <v>10106</v>
      </c>
      <c r="B213" s="68">
        <f>IF(LEN(+'_DATA STT PAGOS_'!N218)=4,"0"&amp;+'_DATA STT PAGOS_'!N218,+'_DATA STT PAGOS_'!N218)</f>
        <v>10308</v>
      </c>
      <c r="C213" s="76" t="str">
        <f>+'_DATA STT PAGOS_'!O218</f>
        <v>LOS MUERMOS</v>
      </c>
      <c r="D213" s="80">
        <f>+'CALC MEC ESTAB Y ESTIM M FINAL'!U218</f>
        <v>3919395</v>
      </c>
      <c r="E213" s="77">
        <f>+'CALC MEC ESTAB Y ESTIM M FINAL'!Q218</f>
        <v>1.3342067159E-3</v>
      </c>
      <c r="F213" s="77">
        <f>+'CALC MEC ESTAB Y ESTIM M FINAL'!R218</f>
        <v>4.6658613599999999E-5</v>
      </c>
      <c r="G213" s="80">
        <f>+'_Flujo con Glosa 08'!CE218</f>
        <v>190142</v>
      </c>
      <c r="H213" s="80">
        <f>+'_Flujo con Glosa 08'!CF218</f>
        <v>190142</v>
      </c>
      <c r="I213" s="80">
        <f>+'_Flujo con Glosa 08'!CG218</f>
        <v>172720</v>
      </c>
      <c r="J213" s="80">
        <f>+'_Flujo con Glosa 08'!CH218</f>
        <v>190142</v>
      </c>
      <c r="K213" s="80">
        <f>+'_Flujo con Glosa 08'!CI218</f>
        <v>501111</v>
      </c>
      <c r="L213" s="80">
        <f>+'_Flujo con Glosa 08'!CJ218</f>
        <v>195362</v>
      </c>
      <c r="M213" s="80">
        <f>+'_Flujo con Glosa 08'!CK218</f>
        <v>319329</v>
      </c>
      <c r="N213" s="80">
        <f>+'_Flujo con Glosa 08'!CL218</f>
        <v>190142</v>
      </c>
      <c r="O213" s="80">
        <f>+'_Flujo con Glosa 08'!CM218</f>
        <v>208409</v>
      </c>
      <c r="P213" s="80">
        <f>+'_Flujo con Glosa 08'!CN218</f>
        <v>330943</v>
      </c>
      <c r="Q213" s="80">
        <f>+'_Flujo con Glosa 08'!CO218</f>
        <v>190142</v>
      </c>
      <c r="R213" s="80">
        <f>+'_Flujo con Glosa 08'!CP218</f>
        <v>317879</v>
      </c>
      <c r="S213" s="80">
        <f t="shared" si="6"/>
        <v>2996463</v>
      </c>
      <c r="T213" s="80">
        <v>0</v>
      </c>
      <c r="U213" s="80">
        <v>0</v>
      </c>
      <c r="V213" s="80">
        <v>0</v>
      </c>
      <c r="W213" s="80">
        <v>0</v>
      </c>
      <c r="X213" s="80">
        <v>0</v>
      </c>
      <c r="Y213" s="80">
        <v>0</v>
      </c>
      <c r="Z213" s="80">
        <v>0</v>
      </c>
      <c r="AA213" s="80">
        <v>0</v>
      </c>
      <c r="AB213" s="80">
        <v>0</v>
      </c>
      <c r="AC213" s="80">
        <v>0</v>
      </c>
      <c r="AD213" s="80">
        <v>0</v>
      </c>
      <c r="AE213" s="80">
        <v>0</v>
      </c>
      <c r="AF213" s="80">
        <f t="shared" si="7"/>
        <v>0</v>
      </c>
      <c r="AG213" s="80">
        <f>+COEF_FCM!AM220</f>
        <v>72562</v>
      </c>
      <c r="AH213" s="80">
        <f>+COEF_FCM!AR220</f>
        <v>657</v>
      </c>
      <c r="AI213" s="80">
        <f>+COEF_FCM!AN220</f>
        <v>41081</v>
      </c>
      <c r="AJ213" s="80">
        <f>+COEF_FCM!AS220</f>
        <v>336</v>
      </c>
      <c r="AK213" s="80">
        <f>+COEF_FCM!AO220</f>
        <v>47504</v>
      </c>
      <c r="AL213" s="80">
        <f>+COEF_FCM!AT220</f>
        <v>433.94499999999999</v>
      </c>
      <c r="AM213" s="80">
        <f>+COEF_FCM!AP220</f>
        <v>37063</v>
      </c>
      <c r="AN213" s="80">
        <f>+COEF_FCM!AU220</f>
        <v>363</v>
      </c>
      <c r="AO213" s="80">
        <f>+COEF_FCM!AQ220</f>
        <v>198210</v>
      </c>
      <c r="AP213" s="80">
        <f>+COEF_FCM!AV220</f>
        <v>1789.9449999999999</v>
      </c>
      <c r="AQ213" s="80">
        <f>+_CIERRE!O213+_CIERRE!P213</f>
        <v>3095251.3309999998</v>
      </c>
      <c r="AR213" s="80">
        <f>+_CIERRE!Q213+_CIERRE!R213</f>
        <v>3588500.6919999998</v>
      </c>
      <c r="AS213" s="80">
        <f>+_CIERRE!S213+_CIERRE!T213</f>
        <v>3883070.5159999998</v>
      </c>
      <c r="AT213" s="80">
        <f>+_CIERRE!U213+_CIERRE!V213</f>
        <v>3919395.1979999999</v>
      </c>
      <c r="AU213" s="80">
        <f>+'CALC MEC ESTAB Y ESTIM M FINAL'!T218</f>
        <v>3919395</v>
      </c>
      <c r="AV213" s="560">
        <v>0</v>
      </c>
      <c r="AW213" s="551">
        <v>0</v>
      </c>
      <c r="AX213" s="551">
        <v>0</v>
      </c>
      <c r="AY213" s="551">
        <v>0</v>
      </c>
      <c r="AZ213" s="551">
        <v>434765.23200000002</v>
      </c>
      <c r="BA213" s="551">
        <v>440739.37199999997</v>
      </c>
    </row>
    <row r="214" spans="1:53" ht="3" customHeight="1" x14ac:dyDescent="0.2">
      <c r="A214" s="68">
        <f>IF(LEN(+'_DATA STT PAGOS_'!M219)=4,"0"&amp;+'_DATA STT PAGOS_'!M219,+'_DATA STT PAGOS_'!M219)</f>
        <v>10107</v>
      </c>
      <c r="B214" s="68">
        <f>IF(LEN(+'_DATA STT PAGOS_'!N219)=4,"0"&amp;+'_DATA STT PAGOS_'!N219,+'_DATA STT PAGOS_'!N219)</f>
        <v>10306</v>
      </c>
      <c r="C214" s="76" t="str">
        <f>+'_DATA STT PAGOS_'!O219</f>
        <v>LLANQUIHUE</v>
      </c>
      <c r="D214" s="80">
        <f>+'CALC MEC ESTAB Y ESTIM M FINAL'!U219</f>
        <v>2902136</v>
      </c>
      <c r="E214" s="77">
        <f>+'CALC MEC ESTAB Y ESTIM M FINAL'!Q219</f>
        <v>1.03108395E-3</v>
      </c>
      <c r="F214" s="77">
        <f>+'CALC MEC ESTAB Y ESTIM M FINAL'!R219</f>
        <v>-8.6151825000000006E-6</v>
      </c>
      <c r="G214" s="80">
        <f>+'_Flujo con Glosa 08'!CE219</f>
        <v>139802</v>
      </c>
      <c r="H214" s="80">
        <f>+'_Flujo con Glosa 08'!CF219</f>
        <v>139802</v>
      </c>
      <c r="I214" s="80">
        <f>+'_Flujo con Glosa 08'!CG219</f>
        <v>127891</v>
      </c>
      <c r="J214" s="80">
        <f>+'_Flujo con Glosa 08'!CH219</f>
        <v>139802</v>
      </c>
      <c r="K214" s="80">
        <f>+'_Flujo con Glosa 08'!CI219</f>
        <v>374019</v>
      </c>
      <c r="L214" s="80">
        <f>+'_Flujo con Glosa 08'!CJ219</f>
        <v>143667</v>
      </c>
      <c r="M214" s="80">
        <f>+'_Flujo con Glosa 08'!CK219</f>
        <v>234946</v>
      </c>
      <c r="N214" s="80">
        <f>+'_Flujo con Glosa 08'!CL219</f>
        <v>139802</v>
      </c>
      <c r="O214" s="80">
        <f>+'_Flujo con Glosa 08'!CM219</f>
        <v>154317</v>
      </c>
      <c r="P214" s="80">
        <f>+'_Flujo con Glosa 08'!CN219</f>
        <v>248531</v>
      </c>
      <c r="Q214" s="80">
        <f>+'_Flujo con Glosa 08'!CO219</f>
        <v>139802</v>
      </c>
      <c r="R214" s="80">
        <f>+'_Flujo con Glosa 08'!CP219</f>
        <v>236365</v>
      </c>
      <c r="S214" s="80">
        <f t="shared" si="6"/>
        <v>2218746</v>
      </c>
      <c r="T214" s="80">
        <v>0</v>
      </c>
      <c r="U214" s="80">
        <v>0</v>
      </c>
      <c r="V214" s="80">
        <v>0</v>
      </c>
      <c r="W214" s="80">
        <v>0</v>
      </c>
      <c r="X214" s="80">
        <v>0</v>
      </c>
      <c r="Y214" s="80">
        <v>0</v>
      </c>
      <c r="Z214" s="80">
        <v>0</v>
      </c>
      <c r="AA214" s="80">
        <v>0</v>
      </c>
      <c r="AB214" s="80">
        <v>0</v>
      </c>
      <c r="AC214" s="80">
        <v>0</v>
      </c>
      <c r="AD214" s="80">
        <v>0</v>
      </c>
      <c r="AE214" s="80">
        <v>0</v>
      </c>
      <c r="AF214" s="80">
        <f t="shared" si="7"/>
        <v>0</v>
      </c>
      <c r="AG214" s="80">
        <f>+COEF_FCM!AM221</f>
        <v>142058</v>
      </c>
      <c r="AH214" s="80">
        <f>+COEF_FCM!AR221</f>
        <v>1804</v>
      </c>
      <c r="AI214" s="80">
        <f>+COEF_FCM!AN221</f>
        <v>62287</v>
      </c>
      <c r="AJ214" s="80">
        <f>+COEF_FCM!AS221</f>
        <v>716</v>
      </c>
      <c r="AK214" s="80">
        <f>+COEF_FCM!AO221</f>
        <v>94397</v>
      </c>
      <c r="AL214" s="80">
        <f>+COEF_FCM!AT221</f>
        <v>720.94299999999998</v>
      </c>
      <c r="AM214" s="80">
        <f>+COEF_FCM!AP221</f>
        <v>76485</v>
      </c>
      <c r="AN214" s="80">
        <f>+COEF_FCM!AU221</f>
        <v>666</v>
      </c>
      <c r="AO214" s="80">
        <f>+COEF_FCM!AQ221</f>
        <v>375227</v>
      </c>
      <c r="AP214" s="80">
        <f>+COEF_FCM!AV221</f>
        <v>3906.9430000000002</v>
      </c>
      <c r="AQ214" s="80">
        <f>+_CIERRE!O214+_CIERRE!P214</f>
        <v>2542718.9190000002</v>
      </c>
      <c r="AR214" s="80">
        <f>+_CIERRE!Q214+_CIERRE!R214</f>
        <v>2761169.824</v>
      </c>
      <c r="AS214" s="80">
        <f>+_CIERRE!S214+_CIERRE!T214</f>
        <v>2855034.4410000001</v>
      </c>
      <c r="AT214" s="80">
        <f>+_CIERRE!U214+_CIERRE!V214</f>
        <v>2881741.54</v>
      </c>
      <c r="AU214" s="80">
        <f>+'CALC MEC ESTAB Y ESTIM M FINAL'!T219</f>
        <v>2902136</v>
      </c>
      <c r="AV214" s="560">
        <v>0</v>
      </c>
      <c r="AW214" s="551">
        <v>0</v>
      </c>
      <c r="AX214" s="551">
        <v>0</v>
      </c>
      <c r="AY214" s="551">
        <v>0</v>
      </c>
      <c r="AZ214" s="551">
        <v>335718.924</v>
      </c>
      <c r="BA214" s="551">
        <v>344433.91800000001</v>
      </c>
    </row>
    <row r="215" spans="1:53" ht="3" customHeight="1" x14ac:dyDescent="0.2">
      <c r="A215" s="68">
        <f>IF(LEN(+'_DATA STT PAGOS_'!M220)=4,"0"&amp;+'_DATA STT PAGOS_'!M220,+'_DATA STT PAGOS_'!M220)</f>
        <v>10108</v>
      </c>
      <c r="B215" s="68">
        <f>IF(LEN(+'_DATA STT PAGOS_'!N220)=4,"0"&amp;+'_DATA STT PAGOS_'!N220,+'_DATA STT PAGOS_'!N220)</f>
        <v>10307</v>
      </c>
      <c r="C215" s="76" t="str">
        <f>+'_DATA STT PAGOS_'!O220</f>
        <v>MAULLÍN</v>
      </c>
      <c r="D215" s="80">
        <f>+'CALC MEC ESTAB Y ESTIM M FINAL'!U220</f>
        <v>5089893</v>
      </c>
      <c r="E215" s="77">
        <f>+'CALC MEC ESTAB Y ESTIM M FINAL'!Q220</f>
        <v>2.0462577328999999E-3</v>
      </c>
      <c r="F215" s="77">
        <f>+'CALC MEC ESTAB Y ESTIM M FINAL'!R220</f>
        <v>-2.5300726039999998E-4</v>
      </c>
      <c r="G215" s="80">
        <f>+'_Flujo con Glosa 08'!CE220</f>
        <v>217748</v>
      </c>
      <c r="H215" s="80">
        <f>+'_Flujo con Glosa 08'!CF220</f>
        <v>217748</v>
      </c>
      <c r="I215" s="80">
        <f>+'_Flujo con Glosa 08'!CG220</f>
        <v>224301</v>
      </c>
      <c r="J215" s="80">
        <f>+'_Flujo con Glosa 08'!CH220</f>
        <v>217748</v>
      </c>
      <c r="K215" s="80">
        <f>+'_Flujo con Glosa 08'!CI220</f>
        <v>738301</v>
      </c>
      <c r="L215" s="80">
        <f>+'_Flujo con Glosa 08'!CJ220</f>
        <v>224527</v>
      </c>
      <c r="M215" s="80">
        <f>+'_Flujo con Glosa 08'!CK220</f>
        <v>435219</v>
      </c>
      <c r="N215" s="80">
        <f>+'_Flujo con Glosa 08'!CL220</f>
        <v>217748</v>
      </c>
      <c r="O215" s="80">
        <f>+'_Flujo con Glosa 08'!CM220</f>
        <v>270649</v>
      </c>
      <c r="P215" s="80">
        <f>+'_Flujo con Glosa 08'!CN220</f>
        <v>467609</v>
      </c>
      <c r="Q215" s="80">
        <f>+'_Flujo con Glosa 08'!CO220</f>
        <v>217748</v>
      </c>
      <c r="R215" s="80">
        <f>+'_Flujo con Glosa 08'!CP220</f>
        <v>441990</v>
      </c>
      <c r="S215" s="80">
        <f t="shared" si="6"/>
        <v>3891336</v>
      </c>
      <c r="T215" s="80">
        <v>0</v>
      </c>
      <c r="U215" s="80">
        <v>0</v>
      </c>
      <c r="V215" s="80">
        <v>0</v>
      </c>
      <c r="W215" s="80">
        <v>0</v>
      </c>
      <c r="X215" s="80">
        <v>0</v>
      </c>
      <c r="Y215" s="80">
        <v>0</v>
      </c>
      <c r="Z215" s="80">
        <v>0</v>
      </c>
      <c r="AA215" s="80">
        <v>0</v>
      </c>
      <c r="AB215" s="80">
        <v>0</v>
      </c>
      <c r="AC215" s="80">
        <v>0</v>
      </c>
      <c r="AD215" s="80">
        <v>0</v>
      </c>
      <c r="AE215" s="80">
        <v>0</v>
      </c>
      <c r="AF215" s="80">
        <f t="shared" si="7"/>
        <v>0</v>
      </c>
      <c r="AG215" s="80">
        <f>+COEF_FCM!AM222</f>
        <v>33638</v>
      </c>
      <c r="AH215" s="80">
        <f>+COEF_FCM!AR222</f>
        <v>0</v>
      </c>
      <c r="AI215" s="80">
        <f>+COEF_FCM!AN222</f>
        <v>14482</v>
      </c>
      <c r="AJ215" s="80">
        <f>+COEF_FCM!AS222</f>
        <v>0</v>
      </c>
      <c r="AK215" s="80">
        <f>+COEF_FCM!AO222</f>
        <v>17487</v>
      </c>
      <c r="AL215" s="80">
        <f>+COEF_FCM!AT222</f>
        <v>0</v>
      </c>
      <c r="AM215" s="80">
        <f>+COEF_FCM!AP222</f>
        <v>14141</v>
      </c>
      <c r="AN215" s="80">
        <f>+COEF_FCM!AU222</f>
        <v>0</v>
      </c>
      <c r="AO215" s="80">
        <f>+COEF_FCM!AQ222</f>
        <v>79748</v>
      </c>
      <c r="AP215" s="80">
        <f>+COEF_FCM!AV222</f>
        <v>0</v>
      </c>
      <c r="AQ215" s="80">
        <f>+_CIERRE!O215+_CIERRE!P215</f>
        <v>3372383.2960000001</v>
      </c>
      <c r="AR215" s="80">
        <f>+_CIERRE!Q215+_CIERRE!R215</f>
        <v>3867454.8769999999</v>
      </c>
      <c r="AS215" s="80">
        <f>+_CIERRE!S215+_CIERRE!T215</f>
        <v>3998926.59</v>
      </c>
      <c r="AT215" s="80">
        <f>+_CIERRE!U215+_CIERRE!V215</f>
        <v>4490931.5539999995</v>
      </c>
      <c r="AU215" s="80">
        <f>+'CALC MEC ESTAB Y ESTIM M FINAL'!T220</f>
        <v>5089893</v>
      </c>
      <c r="AV215" s="560">
        <v>0</v>
      </c>
      <c r="AW215" s="551">
        <v>0</v>
      </c>
      <c r="AX215" s="551">
        <v>0</v>
      </c>
      <c r="AY215" s="551">
        <v>0</v>
      </c>
      <c r="AZ215" s="551">
        <v>390861.837</v>
      </c>
      <c r="BA215" s="551">
        <v>396661.10200000001</v>
      </c>
    </row>
    <row r="216" spans="1:53" ht="3" customHeight="1" x14ac:dyDescent="0.2">
      <c r="A216" s="68">
        <f>IF(LEN(+'_DATA STT PAGOS_'!M221)=4,"0"&amp;+'_DATA STT PAGOS_'!M221,+'_DATA STT PAGOS_'!M221)</f>
        <v>10109</v>
      </c>
      <c r="B216" s="68">
        <f>IF(LEN(+'_DATA STT PAGOS_'!N221)=4,"0"&amp;+'_DATA STT PAGOS_'!N221,+'_DATA STT PAGOS_'!N221)</f>
        <v>10303</v>
      </c>
      <c r="C216" s="76" t="str">
        <f>+'_DATA STT PAGOS_'!O221</f>
        <v>PUERTO VARAS</v>
      </c>
      <c r="D216" s="80">
        <f>+'CALC MEC ESTAB Y ESTIM M FINAL'!U221</f>
        <v>2926955</v>
      </c>
      <c r="E216" s="77">
        <f>+'CALC MEC ESTAB Y ESTIM M FINAL'!Q221</f>
        <v>1.0382555286E-3</v>
      </c>
      <c r="F216" s="77">
        <f>+'CALC MEC ESTAB Y ESTIM M FINAL'!R221</f>
        <v>-7.0424440000000001E-6</v>
      </c>
      <c r="G216" s="80">
        <f>+'_Flujo con Glosa 08'!CE221</f>
        <v>141442</v>
      </c>
      <c r="H216" s="80">
        <f>+'_Flujo con Glosa 08'!CF221</f>
        <v>141442</v>
      </c>
      <c r="I216" s="80">
        <f>+'_Flujo con Glosa 08'!CG221</f>
        <v>128985</v>
      </c>
      <c r="J216" s="80">
        <f>+'_Flujo con Glosa 08'!CH221</f>
        <v>141442</v>
      </c>
      <c r="K216" s="80">
        <f>+'_Flujo con Glosa 08'!CI221</f>
        <v>375886</v>
      </c>
      <c r="L216" s="80">
        <f>+'_Flujo con Glosa 08'!CJ221</f>
        <v>145340</v>
      </c>
      <c r="M216" s="80">
        <f>+'_Flujo con Glosa 08'!CK221</f>
        <v>237630</v>
      </c>
      <c r="N216" s="80">
        <f>+'_Flujo con Glosa 08'!CL221</f>
        <v>141442</v>
      </c>
      <c r="O216" s="80">
        <f>+'_Flujo con Glosa 08'!CM221</f>
        <v>155638</v>
      </c>
      <c r="P216" s="80">
        <f>+'_Flujo con Glosa 08'!CN221</f>
        <v>249092</v>
      </c>
      <c r="Q216" s="80">
        <f>+'_Flujo con Glosa 08'!CO221</f>
        <v>141442</v>
      </c>
      <c r="R216" s="80">
        <f>+'_Flujo con Glosa 08'!CP221</f>
        <v>237942</v>
      </c>
      <c r="S216" s="80">
        <f t="shared" si="6"/>
        <v>2237723</v>
      </c>
      <c r="T216" s="80">
        <v>0</v>
      </c>
      <c r="U216" s="80">
        <v>0</v>
      </c>
      <c r="V216" s="80">
        <v>0</v>
      </c>
      <c r="W216" s="80">
        <v>0</v>
      </c>
      <c r="X216" s="80">
        <v>0</v>
      </c>
      <c r="Y216" s="80">
        <v>0</v>
      </c>
      <c r="Z216" s="80">
        <v>0</v>
      </c>
      <c r="AA216" s="80">
        <v>0</v>
      </c>
      <c r="AB216" s="80">
        <v>0</v>
      </c>
      <c r="AC216" s="80">
        <v>0</v>
      </c>
      <c r="AD216" s="80">
        <v>0</v>
      </c>
      <c r="AE216" s="80">
        <v>0</v>
      </c>
      <c r="AF216" s="80">
        <f t="shared" si="7"/>
        <v>0</v>
      </c>
      <c r="AG216" s="80">
        <f>+COEF_FCM!AM223</f>
        <v>991259</v>
      </c>
      <c r="AH216" s="80">
        <f>+COEF_FCM!AR223</f>
        <v>60253</v>
      </c>
      <c r="AI216" s="80">
        <f>+COEF_FCM!AN223</f>
        <v>579723</v>
      </c>
      <c r="AJ216" s="80">
        <f>+COEF_FCM!AS223</f>
        <v>25945</v>
      </c>
      <c r="AK216" s="80">
        <f>+COEF_FCM!AO223</f>
        <v>742427</v>
      </c>
      <c r="AL216" s="80">
        <f>+COEF_FCM!AT223</f>
        <v>33605.107000000004</v>
      </c>
      <c r="AM216" s="80">
        <f>+COEF_FCM!AP223</f>
        <v>590285</v>
      </c>
      <c r="AN216" s="80">
        <f>+COEF_FCM!AU223</f>
        <v>22819</v>
      </c>
      <c r="AO216" s="80">
        <f>+COEF_FCM!AQ223</f>
        <v>2903694</v>
      </c>
      <c r="AP216" s="80">
        <f>+COEF_FCM!AV223</f>
        <v>142622.10700000002</v>
      </c>
      <c r="AQ216" s="80">
        <f>+_CIERRE!O216+_CIERRE!P216</f>
        <v>2227974.5260000001</v>
      </c>
      <c r="AR216" s="80">
        <f>+_CIERRE!Q216+_CIERRE!R216</f>
        <v>2689878.2379999999</v>
      </c>
      <c r="AS216" s="80">
        <f>+_CIERRE!S216+_CIERRE!T216</f>
        <v>2883311.0129999998</v>
      </c>
      <c r="AT216" s="80">
        <f>+_CIERRE!U216+_CIERRE!V216</f>
        <v>2910283.469</v>
      </c>
      <c r="AU216" s="80">
        <f>+'CALC MEC ESTAB Y ESTIM M FINAL'!T221</f>
        <v>2926955</v>
      </c>
      <c r="AV216" s="560">
        <v>0</v>
      </c>
      <c r="AW216" s="551">
        <v>0</v>
      </c>
      <c r="AX216" s="551">
        <v>0</v>
      </c>
      <c r="AY216" s="551">
        <v>0</v>
      </c>
      <c r="AZ216" s="551">
        <v>334552.31900000002</v>
      </c>
      <c r="BA216" s="551">
        <v>345377.78</v>
      </c>
    </row>
    <row r="217" spans="1:53" ht="3" customHeight="1" x14ac:dyDescent="0.2">
      <c r="A217" s="68">
        <f>IF(LEN(+'_DATA STT PAGOS_'!M222)=4,"0"&amp;+'_DATA STT PAGOS_'!M222,+'_DATA STT PAGOS_'!M222)</f>
        <v>10201</v>
      </c>
      <c r="B217" s="68">
        <f>IF(LEN(+'_DATA STT PAGOS_'!N222)=4,"0"&amp;+'_DATA STT PAGOS_'!N222,+'_DATA STT PAGOS_'!N222)</f>
        <v>10401</v>
      </c>
      <c r="C217" s="76" t="str">
        <f>+'_DATA STT PAGOS_'!O222</f>
        <v>CASTRO</v>
      </c>
      <c r="D217" s="80">
        <f>+'CALC MEC ESTAB Y ESTIM M FINAL'!U222</f>
        <v>15463091</v>
      </c>
      <c r="E217" s="77">
        <f>+'CALC MEC ESTAB Y ESTIM M FINAL'!Q222</f>
        <v>3.9677600097000002E-3</v>
      </c>
      <c r="F217" s="77">
        <f>+'CALC MEC ESTAB Y ESTIM M FINAL'!R222</f>
        <v>1.4801340112E-3</v>
      </c>
      <c r="G217" s="80">
        <f>+'_Flujo con Glosa 08'!CE222</f>
        <v>750162</v>
      </c>
      <c r="H217" s="80">
        <f>+'_Flujo con Glosa 08'!CF222</f>
        <v>750162</v>
      </c>
      <c r="I217" s="80">
        <f>+'_Flujo con Glosa 08'!CG222</f>
        <v>681426</v>
      </c>
      <c r="J217" s="80">
        <f>+'_Flujo con Glosa 08'!CH222</f>
        <v>750162</v>
      </c>
      <c r="K217" s="80">
        <f>+'_Flujo con Glosa 08'!CI222</f>
        <v>1977026</v>
      </c>
      <c r="L217" s="80">
        <f>+'_Flujo con Glosa 08'!CJ222</f>
        <v>770757</v>
      </c>
      <c r="M217" s="80">
        <f>+'_Flujo con Glosa 08'!CK222</f>
        <v>1259839</v>
      </c>
      <c r="N217" s="80">
        <f>+'_Flujo con Glosa 08'!CL222</f>
        <v>750162</v>
      </c>
      <c r="O217" s="80">
        <f>+'_Flujo con Glosa 08'!CM222</f>
        <v>822232</v>
      </c>
      <c r="P217" s="80">
        <f>+'_Flujo con Glosa 08'!CN222</f>
        <v>1305663</v>
      </c>
      <c r="Q217" s="80">
        <f>+'_Flujo con Glosa 08'!CO222</f>
        <v>750162</v>
      </c>
      <c r="R217" s="80">
        <f>+'_Flujo con Glosa 08'!CP222</f>
        <v>1254121</v>
      </c>
      <c r="S217" s="80">
        <f t="shared" si="6"/>
        <v>11821874</v>
      </c>
      <c r="T217" s="80">
        <v>0</v>
      </c>
      <c r="U217" s="80">
        <v>0</v>
      </c>
      <c r="V217" s="80">
        <v>0</v>
      </c>
      <c r="W217" s="80">
        <v>0</v>
      </c>
      <c r="X217" s="80">
        <v>0</v>
      </c>
      <c r="Y217" s="80">
        <v>0</v>
      </c>
      <c r="Z217" s="80">
        <v>0</v>
      </c>
      <c r="AA217" s="80">
        <v>0</v>
      </c>
      <c r="AB217" s="80">
        <v>0</v>
      </c>
      <c r="AC217" s="80">
        <v>0</v>
      </c>
      <c r="AD217" s="80">
        <v>0</v>
      </c>
      <c r="AE217" s="80">
        <v>0</v>
      </c>
      <c r="AF217" s="80">
        <f t="shared" si="7"/>
        <v>0</v>
      </c>
      <c r="AG217" s="80">
        <f>+COEF_FCM!AM224</f>
        <v>229646</v>
      </c>
      <c r="AH217" s="80">
        <f>+COEF_FCM!AR224</f>
        <v>7851</v>
      </c>
      <c r="AI217" s="80">
        <f>+COEF_FCM!AN224</f>
        <v>143531</v>
      </c>
      <c r="AJ217" s="80">
        <f>+COEF_FCM!AS224</f>
        <v>4817</v>
      </c>
      <c r="AK217" s="80">
        <f>+COEF_FCM!AO224</f>
        <v>184924</v>
      </c>
      <c r="AL217" s="80">
        <f>+COEF_FCM!AT224</f>
        <v>5594.067</v>
      </c>
      <c r="AM217" s="80">
        <f>+COEF_FCM!AP224</f>
        <v>147965</v>
      </c>
      <c r="AN217" s="80">
        <f>+COEF_FCM!AU224</f>
        <v>4052</v>
      </c>
      <c r="AO217" s="80">
        <f>+COEF_FCM!AQ224</f>
        <v>706066</v>
      </c>
      <c r="AP217" s="80">
        <f>+COEF_FCM!AV224</f>
        <v>22314.066999999999</v>
      </c>
      <c r="AQ217" s="80">
        <f>+_CIERRE!O217+_CIERRE!P217</f>
        <v>11164770.832</v>
      </c>
      <c r="AR217" s="80">
        <f>+_CIERRE!Q217+_CIERRE!R217</f>
        <v>13156511.683</v>
      </c>
      <c r="AS217" s="80">
        <f>+_CIERRE!S217+_CIERRE!T217</f>
        <v>15319781.793</v>
      </c>
      <c r="AT217" s="80">
        <f>+_CIERRE!U217+_CIERRE!V217</f>
        <v>15463091.296</v>
      </c>
      <c r="AU217" s="80">
        <f>+'CALC MEC ESTAB Y ESTIM M FINAL'!T222</f>
        <v>15463091</v>
      </c>
      <c r="AV217" s="560">
        <v>0</v>
      </c>
      <c r="AW217" s="551">
        <v>0</v>
      </c>
      <c r="AX217" s="551">
        <v>0</v>
      </c>
      <c r="AY217" s="551">
        <v>0</v>
      </c>
      <c r="AZ217" s="551">
        <v>476402.87400000001</v>
      </c>
      <c r="BA217" s="551">
        <v>489413.141</v>
      </c>
    </row>
    <row r="218" spans="1:53" ht="3" customHeight="1" x14ac:dyDescent="0.2">
      <c r="A218" s="68">
        <f>IF(LEN(+'_DATA STT PAGOS_'!M223)=4,"0"&amp;+'_DATA STT PAGOS_'!M223,+'_DATA STT PAGOS_'!M223)</f>
        <v>10202</v>
      </c>
      <c r="B218" s="68">
        <f>IF(LEN(+'_DATA STT PAGOS_'!N223)=4,"0"&amp;+'_DATA STT PAGOS_'!N223,+'_DATA STT PAGOS_'!N223)</f>
        <v>10406</v>
      </c>
      <c r="C218" s="76" t="str">
        <f>+'_DATA STT PAGOS_'!O223</f>
        <v>ANCUD</v>
      </c>
      <c r="D218" s="80">
        <f>+'CALC MEC ESTAB Y ESTIM M FINAL'!U223</f>
        <v>10342589</v>
      </c>
      <c r="E218" s="77">
        <f>+'CALC MEC ESTAB Y ESTIM M FINAL'!Q223</f>
        <v>3.8136460450999997E-3</v>
      </c>
      <c r="F218" s="77">
        <f>+'CALC MEC ESTAB Y ESTIM M FINAL'!R223</f>
        <v>-1.697867044E-4</v>
      </c>
      <c r="G218" s="80">
        <f>+'_Flujo con Glosa 08'!CE223</f>
        <v>482536</v>
      </c>
      <c r="H218" s="80">
        <f>+'_Flujo con Glosa 08'!CF223</f>
        <v>482536</v>
      </c>
      <c r="I218" s="80">
        <f>+'_Flujo con Glosa 08'!CG223</f>
        <v>455776</v>
      </c>
      <c r="J218" s="80">
        <f>+'_Flujo con Glosa 08'!CH223</f>
        <v>482536</v>
      </c>
      <c r="K218" s="80">
        <f>+'_Flujo con Glosa 08'!CI223</f>
        <v>1379991</v>
      </c>
      <c r="L218" s="80">
        <f>+'_Flujo con Glosa 08'!CJ223</f>
        <v>496311</v>
      </c>
      <c r="M218" s="80">
        <f>+'_Flujo con Glosa 08'!CK223</f>
        <v>844283</v>
      </c>
      <c r="N218" s="80">
        <f>+'_Flujo con Glosa 08'!CL223</f>
        <v>482536</v>
      </c>
      <c r="O218" s="80">
        <f>+'_Flujo con Glosa 08'!CM223</f>
        <v>549955</v>
      </c>
      <c r="P218" s="80">
        <f>+'_Flujo con Glosa 08'!CN223</f>
        <v>910099</v>
      </c>
      <c r="Q218" s="80">
        <f>+'_Flujo con Glosa 08'!CO223</f>
        <v>482536</v>
      </c>
      <c r="R218" s="80">
        <f>+'_Flujo con Glosa 08'!CP223</f>
        <v>858041</v>
      </c>
      <c r="S218" s="80">
        <f t="shared" si="6"/>
        <v>7907136</v>
      </c>
      <c r="T218" s="80">
        <v>0</v>
      </c>
      <c r="U218" s="80">
        <v>0</v>
      </c>
      <c r="V218" s="80">
        <v>0</v>
      </c>
      <c r="W218" s="80">
        <v>0</v>
      </c>
      <c r="X218" s="80">
        <v>0</v>
      </c>
      <c r="Y218" s="80">
        <v>0</v>
      </c>
      <c r="Z218" s="80">
        <v>0</v>
      </c>
      <c r="AA218" s="80">
        <v>0</v>
      </c>
      <c r="AB218" s="80">
        <v>0</v>
      </c>
      <c r="AC218" s="80">
        <v>0</v>
      </c>
      <c r="AD218" s="80">
        <v>0</v>
      </c>
      <c r="AE218" s="80">
        <v>0</v>
      </c>
      <c r="AF218" s="80">
        <f t="shared" si="7"/>
        <v>0</v>
      </c>
      <c r="AG218" s="80">
        <f>+COEF_FCM!AM225</f>
        <v>137450</v>
      </c>
      <c r="AH218" s="80">
        <f>+COEF_FCM!AR225</f>
        <v>9325</v>
      </c>
      <c r="AI218" s="80">
        <f>+COEF_FCM!AN225</f>
        <v>62862</v>
      </c>
      <c r="AJ218" s="80">
        <f>+COEF_FCM!AS225</f>
        <v>5402</v>
      </c>
      <c r="AK218" s="80">
        <f>+COEF_FCM!AO225</f>
        <v>97821</v>
      </c>
      <c r="AL218" s="80">
        <f>+COEF_FCM!AT225</f>
        <v>6961.3190000000004</v>
      </c>
      <c r="AM218" s="80">
        <f>+COEF_FCM!AP225</f>
        <v>70955</v>
      </c>
      <c r="AN218" s="80">
        <f>+COEF_FCM!AU225</f>
        <v>4890</v>
      </c>
      <c r="AO218" s="80">
        <f>+COEF_FCM!AQ225</f>
        <v>369088</v>
      </c>
      <c r="AP218" s="80">
        <f>+COEF_FCM!AV225</f>
        <v>26578.319</v>
      </c>
      <c r="AQ218" s="80">
        <f>+_CIERRE!O218+_CIERRE!P218</f>
        <v>7746222.1430000002</v>
      </c>
      <c r="AR218" s="80">
        <f>+_CIERRE!Q218+_CIERRE!R218</f>
        <v>8562399.6140000001</v>
      </c>
      <c r="AS218" s="80">
        <f>+_CIERRE!S218+_CIERRE!T218</f>
        <v>9161424.1620000005</v>
      </c>
      <c r="AT218" s="80">
        <f>+_CIERRE!U218+_CIERRE!V218</f>
        <v>9940640.9299999997</v>
      </c>
      <c r="AU218" s="80">
        <f>+'CALC MEC ESTAB Y ESTIM M FINAL'!T223</f>
        <v>10342589</v>
      </c>
      <c r="AV218" s="560">
        <v>0</v>
      </c>
      <c r="AW218" s="551">
        <v>0</v>
      </c>
      <c r="AX218" s="551">
        <v>0</v>
      </c>
      <c r="AY218" s="551">
        <v>0</v>
      </c>
      <c r="AZ218" s="551">
        <v>595933.83900000004</v>
      </c>
      <c r="BA218" s="551">
        <v>580944.63800000004</v>
      </c>
    </row>
    <row r="219" spans="1:53" ht="3" customHeight="1" x14ac:dyDescent="0.2">
      <c r="A219" s="68">
        <f>IF(LEN(+'_DATA STT PAGOS_'!M224)=4,"0"&amp;+'_DATA STT PAGOS_'!M224,+'_DATA STT PAGOS_'!M224)</f>
        <v>10203</v>
      </c>
      <c r="B219" s="68">
        <f>IF(LEN(+'_DATA STT PAGOS_'!N224)=4,"0"&amp;+'_DATA STT PAGOS_'!N224,+'_DATA STT PAGOS_'!N224)</f>
        <v>10402</v>
      </c>
      <c r="C219" s="76" t="str">
        <f>+'_DATA STT PAGOS_'!O224</f>
        <v>CHONCHI</v>
      </c>
      <c r="D219" s="80">
        <f>+'CALC MEC ESTAB Y ESTIM M FINAL'!U224</f>
        <v>4531357</v>
      </c>
      <c r="E219" s="77">
        <f>+'CALC MEC ESTAB Y ESTIM M FINAL'!Q224</f>
        <v>1.7443317520999999E-3</v>
      </c>
      <c r="F219" s="77">
        <f>+'CALC MEC ESTAB Y ESTIM M FINAL'!R224</f>
        <v>-1.478624337E-4</v>
      </c>
      <c r="G219" s="80">
        <f>+'_Flujo con Glosa 08'!CE224</f>
        <v>202863</v>
      </c>
      <c r="H219" s="80">
        <f>+'_Flujo con Glosa 08'!CF224</f>
        <v>202863</v>
      </c>
      <c r="I219" s="80">
        <f>+'_Flujo con Glosa 08'!CG224</f>
        <v>199688</v>
      </c>
      <c r="J219" s="80">
        <f>+'_Flujo con Glosa 08'!CH224</f>
        <v>202863</v>
      </c>
      <c r="K219" s="80">
        <f>+'_Flujo con Glosa 08'!CI224</f>
        <v>630256</v>
      </c>
      <c r="L219" s="80">
        <f>+'_Flujo con Glosa 08'!CJ224</f>
        <v>208898</v>
      </c>
      <c r="M219" s="80">
        <f>+'_Flujo con Glosa 08'!CK224</f>
        <v>378451</v>
      </c>
      <c r="N219" s="80">
        <f>+'_Flujo con Glosa 08'!CL224</f>
        <v>202863</v>
      </c>
      <c r="O219" s="80">
        <f>+'_Flujo con Glosa 08'!CM224</f>
        <v>240949</v>
      </c>
      <c r="P219" s="80">
        <f>+'_Flujo con Glosa 08'!CN224</f>
        <v>407287</v>
      </c>
      <c r="Q219" s="80">
        <f>+'_Flujo con Glosa 08'!CO224</f>
        <v>202863</v>
      </c>
      <c r="R219" s="80">
        <f>+'_Flujo con Glosa 08'!CP224</f>
        <v>384480</v>
      </c>
      <c r="S219" s="80">
        <f t="shared" si="6"/>
        <v>3464324</v>
      </c>
      <c r="T219" s="80">
        <v>0</v>
      </c>
      <c r="U219" s="80">
        <v>0</v>
      </c>
      <c r="V219" s="80">
        <v>0</v>
      </c>
      <c r="W219" s="80">
        <v>0</v>
      </c>
      <c r="X219" s="80">
        <v>0</v>
      </c>
      <c r="Y219" s="80">
        <v>0</v>
      </c>
      <c r="Z219" s="80">
        <v>0</v>
      </c>
      <c r="AA219" s="80">
        <v>0</v>
      </c>
      <c r="AB219" s="80">
        <v>0</v>
      </c>
      <c r="AC219" s="80">
        <v>0</v>
      </c>
      <c r="AD219" s="80">
        <v>0</v>
      </c>
      <c r="AE219" s="80">
        <v>0</v>
      </c>
      <c r="AF219" s="80">
        <f t="shared" si="7"/>
        <v>0</v>
      </c>
      <c r="AG219" s="80">
        <f>+COEF_FCM!AM226</f>
        <v>76179</v>
      </c>
      <c r="AH219" s="80">
        <f>+COEF_FCM!AR226</f>
        <v>724</v>
      </c>
      <c r="AI219" s="80">
        <f>+COEF_FCM!AN226</f>
        <v>53799</v>
      </c>
      <c r="AJ219" s="80">
        <f>+COEF_FCM!AS226</f>
        <v>431</v>
      </c>
      <c r="AK219" s="80">
        <f>+COEF_FCM!AO226</f>
        <v>61567</v>
      </c>
      <c r="AL219" s="80">
        <f>+COEF_FCM!AT226</f>
        <v>536.99</v>
      </c>
      <c r="AM219" s="80">
        <f>+COEF_FCM!AP226</f>
        <v>50101</v>
      </c>
      <c r="AN219" s="80">
        <f>+COEF_FCM!AU226</f>
        <v>424</v>
      </c>
      <c r="AO219" s="80">
        <f>+COEF_FCM!AQ226</f>
        <v>241646</v>
      </c>
      <c r="AP219" s="80">
        <f>+COEF_FCM!AV226</f>
        <v>2115.9899999999998</v>
      </c>
      <c r="AQ219" s="80">
        <f>+_CIERRE!O219+_CIERRE!P219</f>
        <v>3157119.9939999999</v>
      </c>
      <c r="AR219" s="80">
        <f>+_CIERRE!Q219+_CIERRE!R219</f>
        <v>3422889.4350000001</v>
      </c>
      <c r="AS219" s="80">
        <f>+_CIERRE!S219+_CIERRE!T219</f>
        <v>3630038.92</v>
      </c>
      <c r="AT219" s="80">
        <f>+_CIERRE!U219+_CIERRE!V219</f>
        <v>4181311.5860000001</v>
      </c>
      <c r="AU219" s="80">
        <f>+'CALC MEC ESTAB Y ESTIM M FINAL'!T224</f>
        <v>4531357</v>
      </c>
      <c r="AV219" s="560">
        <v>0</v>
      </c>
      <c r="AW219" s="551">
        <v>0</v>
      </c>
      <c r="AX219" s="551">
        <v>0</v>
      </c>
      <c r="AY219" s="551">
        <v>0</v>
      </c>
      <c r="AZ219" s="551">
        <v>376804.84899999999</v>
      </c>
      <c r="BA219" s="551">
        <v>386711.44900000002</v>
      </c>
    </row>
    <row r="220" spans="1:53" ht="3" customHeight="1" x14ac:dyDescent="0.2">
      <c r="A220" s="68">
        <f>IF(LEN(+'_DATA STT PAGOS_'!M225)=4,"0"&amp;+'_DATA STT PAGOS_'!M225,+'_DATA STT PAGOS_'!M225)</f>
        <v>10204</v>
      </c>
      <c r="B220" s="68">
        <f>IF(LEN(+'_DATA STT PAGOS_'!N225)=4,"0"&amp;+'_DATA STT PAGOS_'!N225,+'_DATA STT PAGOS_'!N225)</f>
        <v>10410</v>
      </c>
      <c r="C220" s="76" t="str">
        <f>+'_DATA STT PAGOS_'!O225</f>
        <v>CURACO DE VÉLEZ</v>
      </c>
      <c r="D220" s="80">
        <f>+'CALC MEC ESTAB Y ESTIM M FINAL'!U225</f>
        <v>2993651</v>
      </c>
      <c r="E220" s="77">
        <f>+'CALC MEC ESTAB Y ESTIM M FINAL'!Q225</f>
        <v>1.1108845379000001E-3</v>
      </c>
      <c r="F220" s="77">
        <f>+'CALC MEC ESTAB Y ESTIM M FINAL'!R225</f>
        <v>-5.6173610999999997E-5</v>
      </c>
      <c r="G220" s="80">
        <f>+'_Flujo con Glosa 08'!CE225</f>
        <v>138793</v>
      </c>
      <c r="H220" s="80">
        <f>+'_Flujo con Glosa 08'!CF225</f>
        <v>138793</v>
      </c>
      <c r="I220" s="80">
        <f>+'_Flujo con Glosa 08'!CG225</f>
        <v>131924</v>
      </c>
      <c r="J220" s="80">
        <f>+'_Flujo con Glosa 08'!CH225</f>
        <v>138793</v>
      </c>
      <c r="K220" s="80">
        <f>+'_Flujo con Glosa 08'!CI225</f>
        <v>402066</v>
      </c>
      <c r="L220" s="80">
        <f>+'_Flujo con Glosa 08'!CJ225</f>
        <v>142780</v>
      </c>
      <c r="M220" s="80">
        <f>+'_Flujo con Glosa 08'!CK225</f>
        <v>245253</v>
      </c>
      <c r="N220" s="80">
        <f>+'_Flujo con Glosa 08'!CL225</f>
        <v>138793</v>
      </c>
      <c r="O220" s="80">
        <f>+'_Flujo con Glosa 08'!CM225</f>
        <v>159184</v>
      </c>
      <c r="P220" s="80">
        <f>+'_Flujo con Glosa 08'!CN225</f>
        <v>264304</v>
      </c>
      <c r="Q220" s="80">
        <f>+'_Flujo con Glosa 08'!CO225</f>
        <v>138793</v>
      </c>
      <c r="R220" s="80">
        <f>+'_Flujo con Glosa 08'!CP225</f>
        <v>249236</v>
      </c>
      <c r="S220" s="80">
        <f t="shared" si="6"/>
        <v>2288712</v>
      </c>
      <c r="T220" s="80">
        <v>0</v>
      </c>
      <c r="U220" s="80">
        <v>0</v>
      </c>
      <c r="V220" s="80">
        <v>0</v>
      </c>
      <c r="W220" s="80">
        <v>0</v>
      </c>
      <c r="X220" s="80">
        <v>0</v>
      </c>
      <c r="Y220" s="80">
        <v>0</v>
      </c>
      <c r="Z220" s="80">
        <v>0</v>
      </c>
      <c r="AA220" s="80">
        <v>0</v>
      </c>
      <c r="AB220" s="80">
        <v>0</v>
      </c>
      <c r="AC220" s="80">
        <v>0</v>
      </c>
      <c r="AD220" s="80">
        <v>0</v>
      </c>
      <c r="AE220" s="80">
        <v>0</v>
      </c>
      <c r="AF220" s="80">
        <f t="shared" si="7"/>
        <v>0</v>
      </c>
      <c r="AG220" s="80">
        <f>+COEF_FCM!AM227</f>
        <v>7895</v>
      </c>
      <c r="AH220" s="80">
        <f>+COEF_FCM!AR227</f>
        <v>122</v>
      </c>
      <c r="AI220" s="80">
        <f>+COEF_FCM!AN227</f>
        <v>1707</v>
      </c>
      <c r="AJ220" s="80">
        <f>+COEF_FCM!AS227</f>
        <v>147</v>
      </c>
      <c r="AK220" s="80">
        <f>+COEF_FCM!AO227</f>
        <v>3601</v>
      </c>
      <c r="AL220" s="80">
        <f>+COEF_FCM!AT227</f>
        <v>101.396</v>
      </c>
      <c r="AM220" s="80">
        <f>+COEF_FCM!AP227</f>
        <v>2333</v>
      </c>
      <c r="AN220" s="80">
        <f>+COEF_FCM!AU227</f>
        <v>66</v>
      </c>
      <c r="AO220" s="80">
        <f>+COEF_FCM!AQ227</f>
        <v>15536</v>
      </c>
      <c r="AP220" s="80">
        <f>+COEF_FCM!AV227</f>
        <v>436.39600000000002</v>
      </c>
      <c r="AQ220" s="80">
        <f>+_CIERRE!O220+_CIERRE!P220</f>
        <v>2192529.906</v>
      </c>
      <c r="AR220" s="80">
        <f>+_CIERRE!Q220+_CIERRE!R220</f>
        <v>2488312.2829999998</v>
      </c>
      <c r="AS220" s="80">
        <f>+_CIERRE!S220+_CIERRE!T220</f>
        <v>2685551.9019999998</v>
      </c>
      <c r="AT220" s="80">
        <f>+_CIERRE!U220+_CIERRE!V220</f>
        <v>2860667.1549999998</v>
      </c>
      <c r="AU220" s="80">
        <f>+'CALC MEC ESTAB Y ESTIM M FINAL'!T225</f>
        <v>2993651</v>
      </c>
      <c r="AV220" s="560">
        <v>0</v>
      </c>
      <c r="AW220" s="551">
        <v>0</v>
      </c>
      <c r="AX220" s="551">
        <v>0</v>
      </c>
      <c r="AY220" s="551">
        <v>0</v>
      </c>
      <c r="AZ220" s="551">
        <v>335199.87599999999</v>
      </c>
      <c r="BA220" s="551">
        <v>339791.80200000003</v>
      </c>
    </row>
    <row r="221" spans="1:53" ht="3" customHeight="1" x14ac:dyDescent="0.2">
      <c r="A221" s="68">
        <f>IF(LEN(+'_DATA STT PAGOS_'!M226)=4,"0"&amp;+'_DATA STT PAGOS_'!M226,+'_DATA STT PAGOS_'!M226)</f>
        <v>10205</v>
      </c>
      <c r="B221" s="68">
        <f>IF(LEN(+'_DATA STT PAGOS_'!N226)=4,"0"&amp;+'_DATA STT PAGOS_'!N226,+'_DATA STT PAGOS_'!N226)</f>
        <v>10408</v>
      </c>
      <c r="C221" s="76" t="str">
        <f>+'_DATA STT PAGOS_'!O226</f>
        <v>DALCAHUE</v>
      </c>
      <c r="D221" s="80">
        <f>+'CALC MEC ESTAB Y ESTIM M FINAL'!U226</f>
        <v>4908483</v>
      </c>
      <c r="E221" s="77">
        <f>+'CALC MEC ESTAB Y ESTIM M FINAL'!Q226</f>
        <v>1.8581377129999999E-3</v>
      </c>
      <c r="F221" s="77">
        <f>+'CALC MEC ESTAB Y ESTIM M FINAL'!R226</f>
        <v>-1.2880073030000001E-4</v>
      </c>
      <c r="G221" s="80">
        <f>+'_Flujo con Glosa 08'!CE226</f>
        <v>223292</v>
      </c>
      <c r="H221" s="80">
        <f>+'_Flujo con Glosa 08'!CF226</f>
        <v>223292</v>
      </c>
      <c r="I221" s="80">
        <f>+'_Flujo con Glosa 08'!CG226</f>
        <v>216307</v>
      </c>
      <c r="J221" s="80">
        <f>+'_Flujo con Glosa 08'!CH226</f>
        <v>223292</v>
      </c>
      <c r="K221" s="80">
        <f>+'_Flujo con Glosa 08'!CI226</f>
        <v>672073</v>
      </c>
      <c r="L221" s="80">
        <f>+'_Flujo con Glosa 08'!CJ226</f>
        <v>229830</v>
      </c>
      <c r="M221" s="80">
        <f>+'_Flujo con Glosa 08'!CK226</f>
        <v>406402</v>
      </c>
      <c r="N221" s="80">
        <f>+'_Flujo con Glosa 08'!CL226</f>
        <v>223292</v>
      </c>
      <c r="O221" s="80">
        <f>+'_Flujo con Glosa 08'!CM226</f>
        <v>261003</v>
      </c>
      <c r="P221" s="80">
        <f>+'_Flujo con Glosa 08'!CN226</f>
        <v>437638</v>
      </c>
      <c r="Q221" s="80">
        <f>+'_Flujo con Glosa 08'!CO226</f>
        <v>223292</v>
      </c>
      <c r="R221" s="80">
        <f>+'_Flujo con Glosa 08'!CP226</f>
        <v>412932</v>
      </c>
      <c r="S221" s="80">
        <f t="shared" si="6"/>
        <v>3752645</v>
      </c>
      <c r="T221" s="80">
        <v>0</v>
      </c>
      <c r="U221" s="80">
        <v>0</v>
      </c>
      <c r="V221" s="80">
        <v>0</v>
      </c>
      <c r="W221" s="80">
        <v>0</v>
      </c>
      <c r="X221" s="80">
        <v>0</v>
      </c>
      <c r="Y221" s="80">
        <v>0</v>
      </c>
      <c r="Z221" s="80">
        <v>0</v>
      </c>
      <c r="AA221" s="80">
        <v>0</v>
      </c>
      <c r="AB221" s="80">
        <v>0</v>
      </c>
      <c r="AC221" s="80">
        <v>0</v>
      </c>
      <c r="AD221" s="80">
        <v>0</v>
      </c>
      <c r="AE221" s="80">
        <v>0</v>
      </c>
      <c r="AF221" s="80">
        <f t="shared" si="7"/>
        <v>0</v>
      </c>
      <c r="AG221" s="80">
        <f>+COEF_FCM!AM228</f>
        <v>36447</v>
      </c>
      <c r="AH221" s="80">
        <f>+COEF_FCM!AR228</f>
        <v>1309</v>
      </c>
      <c r="AI221" s="80">
        <f>+COEF_FCM!AN228</f>
        <v>40741</v>
      </c>
      <c r="AJ221" s="80">
        <f>+COEF_FCM!AS228</f>
        <v>666</v>
      </c>
      <c r="AK221" s="80">
        <f>+COEF_FCM!AO228</f>
        <v>31069</v>
      </c>
      <c r="AL221" s="80">
        <f>+COEF_FCM!AT228</f>
        <v>733.98599999999999</v>
      </c>
      <c r="AM221" s="80">
        <f>+COEF_FCM!AP228</f>
        <v>23505</v>
      </c>
      <c r="AN221" s="80">
        <f>+COEF_FCM!AU228</f>
        <v>651</v>
      </c>
      <c r="AO221" s="80">
        <f>+COEF_FCM!AQ228</f>
        <v>131762</v>
      </c>
      <c r="AP221" s="80">
        <f>+COEF_FCM!AV228</f>
        <v>3359.9859999999999</v>
      </c>
      <c r="AQ221" s="80">
        <f>+_CIERRE!O221+_CIERRE!P221</f>
        <v>3322553.906</v>
      </c>
      <c r="AR221" s="80">
        <f>+_CIERRE!Q221+_CIERRE!R221</f>
        <v>3851106.409</v>
      </c>
      <c r="AS221" s="80">
        <f>+_CIERRE!S221+_CIERRE!T221</f>
        <v>4200146.4390000002</v>
      </c>
      <c r="AT221" s="80">
        <f>+_CIERRE!U221+_CIERRE!V221</f>
        <v>4603564.7019999996</v>
      </c>
      <c r="AU221" s="80">
        <f>+'CALC MEC ESTAB Y ESTIM M FINAL'!T226</f>
        <v>4908483</v>
      </c>
      <c r="AV221" s="560">
        <v>0</v>
      </c>
      <c r="AW221" s="551">
        <v>0</v>
      </c>
      <c r="AX221" s="551">
        <v>0</v>
      </c>
      <c r="AY221" s="551">
        <v>0</v>
      </c>
      <c r="AZ221" s="551">
        <v>406533.467</v>
      </c>
      <c r="BA221" s="551">
        <v>393473.45699999999</v>
      </c>
    </row>
    <row r="222" spans="1:53" ht="3" customHeight="1" x14ac:dyDescent="0.2">
      <c r="A222" s="68">
        <f>IF(LEN(+'_DATA STT PAGOS_'!M227)=4,"0"&amp;+'_DATA STT PAGOS_'!M227,+'_DATA STT PAGOS_'!M227)</f>
        <v>10206</v>
      </c>
      <c r="B222" s="68">
        <f>IF(LEN(+'_DATA STT PAGOS_'!N227)=4,"0"&amp;+'_DATA STT PAGOS_'!N227,+'_DATA STT PAGOS_'!N227)</f>
        <v>10405</v>
      </c>
      <c r="C222" s="76" t="str">
        <f>+'_DATA STT PAGOS_'!O227</f>
        <v>PUQUELDÓN</v>
      </c>
      <c r="D222" s="80">
        <f>+'CALC MEC ESTAB Y ESTIM M FINAL'!U227</f>
        <v>2836577</v>
      </c>
      <c r="E222" s="77">
        <f>+'CALC MEC ESTAB Y ESTIM M FINAL'!Q227</f>
        <v>1.0900185097999998E-3</v>
      </c>
      <c r="F222" s="77">
        <f>+'CALC MEC ESTAB Y ESTIM M FINAL'!R227</f>
        <v>-9.0647024399999993E-5</v>
      </c>
      <c r="G222" s="80">
        <f>+'_Flujo con Glosa 08'!CE227</f>
        <v>127113</v>
      </c>
      <c r="H222" s="80">
        <f>+'_Flujo con Glosa 08'!CF227</f>
        <v>127113</v>
      </c>
      <c r="I222" s="80">
        <f>+'_Flujo con Glosa 08'!CG227</f>
        <v>125002</v>
      </c>
      <c r="J222" s="80">
        <f>+'_Flujo con Glosa 08'!CH227</f>
        <v>127113</v>
      </c>
      <c r="K222" s="80">
        <f>+'_Flujo con Glosa 08'!CI227</f>
        <v>394163</v>
      </c>
      <c r="L222" s="80">
        <f>+'_Flujo con Glosa 08'!CJ227</f>
        <v>130891</v>
      </c>
      <c r="M222" s="80">
        <f>+'_Flujo con Glosa 08'!CK227</f>
        <v>236783</v>
      </c>
      <c r="N222" s="80">
        <f>+'_Flujo con Glosa 08'!CL227</f>
        <v>127113</v>
      </c>
      <c r="O222" s="80">
        <f>+'_Flujo con Glosa 08'!CM227</f>
        <v>150831</v>
      </c>
      <c r="P222" s="80">
        <f>+'_Flujo con Glosa 08'!CN227</f>
        <v>254833</v>
      </c>
      <c r="Q222" s="80">
        <f>+'_Flujo con Glosa 08'!CO227</f>
        <v>127113</v>
      </c>
      <c r="R222" s="80">
        <f>+'_Flujo con Glosa 08'!CP227</f>
        <v>240556</v>
      </c>
      <c r="S222" s="80">
        <f t="shared" si="6"/>
        <v>2168624</v>
      </c>
      <c r="T222" s="80">
        <v>0</v>
      </c>
      <c r="U222" s="80">
        <v>0</v>
      </c>
      <c r="V222" s="80">
        <v>0</v>
      </c>
      <c r="W222" s="80">
        <v>0</v>
      </c>
      <c r="X222" s="80">
        <v>0</v>
      </c>
      <c r="Y222" s="80">
        <v>0</v>
      </c>
      <c r="Z222" s="80">
        <v>0</v>
      </c>
      <c r="AA222" s="80">
        <v>0</v>
      </c>
      <c r="AB222" s="80">
        <v>0</v>
      </c>
      <c r="AC222" s="80">
        <v>0</v>
      </c>
      <c r="AD222" s="80">
        <v>0</v>
      </c>
      <c r="AE222" s="80">
        <v>0</v>
      </c>
      <c r="AF222" s="80">
        <f t="shared" si="7"/>
        <v>0</v>
      </c>
      <c r="AG222" s="80">
        <f>+COEF_FCM!AM229</f>
        <v>2195</v>
      </c>
      <c r="AH222" s="80">
        <f>+COEF_FCM!AR229</f>
        <v>0</v>
      </c>
      <c r="AI222" s="80">
        <f>+COEF_FCM!AN229</f>
        <v>995</v>
      </c>
      <c r="AJ222" s="80">
        <f>+COEF_FCM!AS229</f>
        <v>0</v>
      </c>
      <c r="AK222" s="80">
        <f>+COEF_FCM!AO229</f>
        <v>1998</v>
      </c>
      <c r="AL222" s="80">
        <f>+COEF_FCM!AT229</f>
        <v>0</v>
      </c>
      <c r="AM222" s="80">
        <f>+COEF_FCM!AP229</f>
        <v>1603</v>
      </c>
      <c r="AN222" s="80">
        <f>+COEF_FCM!AU229</f>
        <v>0</v>
      </c>
      <c r="AO222" s="80">
        <f>+COEF_FCM!AQ229</f>
        <v>6791</v>
      </c>
      <c r="AP222" s="80">
        <f>+COEF_FCM!AV229</f>
        <v>0</v>
      </c>
      <c r="AQ222" s="80">
        <f>+_CIERRE!O222+_CIERRE!P222</f>
        <v>1933773.446</v>
      </c>
      <c r="AR222" s="80">
        <f>+_CIERRE!Q222+_CIERRE!R222</f>
        <v>2177628.537</v>
      </c>
      <c r="AS222" s="80">
        <f>+_CIERRE!S222+_CIERRE!T222</f>
        <v>2335043.6370000001</v>
      </c>
      <c r="AT222" s="80">
        <f>+_CIERRE!U222+_CIERRE!V222</f>
        <v>2621981.2579999999</v>
      </c>
      <c r="AU222" s="80">
        <f>+'CALC MEC ESTAB Y ESTIM M FINAL'!T227</f>
        <v>2836577</v>
      </c>
      <c r="AV222" s="560">
        <v>0</v>
      </c>
      <c r="AW222" s="551">
        <v>0</v>
      </c>
      <c r="AX222" s="551">
        <v>0</v>
      </c>
      <c r="AY222" s="551">
        <v>0</v>
      </c>
      <c r="AZ222" s="551">
        <v>322094.01400000002</v>
      </c>
      <c r="BA222" s="551">
        <v>331331.47600000002</v>
      </c>
    </row>
    <row r="223" spans="1:53" ht="3" customHeight="1" x14ac:dyDescent="0.2">
      <c r="A223" s="68">
        <f>IF(LEN(+'_DATA STT PAGOS_'!M228)=4,"0"&amp;+'_DATA STT PAGOS_'!M228,+'_DATA STT PAGOS_'!M228)</f>
        <v>10207</v>
      </c>
      <c r="B223" s="68">
        <f>IF(LEN(+'_DATA STT PAGOS_'!N228)=4,"0"&amp;+'_DATA STT PAGOS_'!N228,+'_DATA STT PAGOS_'!N228)</f>
        <v>10403</v>
      </c>
      <c r="C223" s="76" t="str">
        <f>+'_DATA STT PAGOS_'!O228</f>
        <v>QUEILÉN</v>
      </c>
      <c r="D223" s="80">
        <f>+'CALC MEC ESTAB Y ESTIM M FINAL'!U228</f>
        <v>3379470</v>
      </c>
      <c r="E223" s="77">
        <f>+'CALC MEC ESTAB Y ESTIM M FINAL'!Q228</f>
        <v>1.3413757572000001E-3</v>
      </c>
      <c r="F223" s="77">
        <f>+'CALC MEC ESTAB Y ESTIM M FINAL'!R228</f>
        <v>-1.5073451350000001E-4</v>
      </c>
      <c r="G223" s="80">
        <f>+'_Flujo con Glosa 08'!CE228</f>
        <v>146623</v>
      </c>
      <c r="H223" s="80">
        <f>+'_Flujo con Glosa 08'!CF228</f>
        <v>146623</v>
      </c>
      <c r="I223" s="80">
        <f>+'_Flujo con Glosa 08'!CG228</f>
        <v>148926</v>
      </c>
      <c r="J223" s="80">
        <f>+'_Flujo con Glosa 08'!CH228</f>
        <v>146623</v>
      </c>
      <c r="K223" s="80">
        <f>+'_Flujo con Glosa 08'!CI228</f>
        <v>484057</v>
      </c>
      <c r="L223" s="80">
        <f>+'_Flujo con Glosa 08'!CJ228</f>
        <v>151124</v>
      </c>
      <c r="M223" s="80">
        <f>+'_Flujo con Glosa 08'!CK228</f>
        <v>286918</v>
      </c>
      <c r="N223" s="80">
        <f>+'_Flujo con Glosa 08'!CL228</f>
        <v>146623</v>
      </c>
      <c r="O223" s="80">
        <f>+'_Flujo con Glosa 08'!CM228</f>
        <v>179699</v>
      </c>
      <c r="P223" s="80">
        <f>+'_Flujo con Glosa 08'!CN228</f>
        <v>308424</v>
      </c>
      <c r="Q223" s="80">
        <f>+'_Flujo con Glosa 08'!CO228</f>
        <v>146623</v>
      </c>
      <c r="R223" s="80">
        <f>+'_Flujo con Glosa 08'!CP228</f>
        <v>291414</v>
      </c>
      <c r="S223" s="80">
        <f t="shared" si="6"/>
        <v>2583677</v>
      </c>
      <c r="T223" s="80">
        <v>0</v>
      </c>
      <c r="U223" s="80">
        <v>0</v>
      </c>
      <c r="V223" s="80">
        <v>0</v>
      </c>
      <c r="W223" s="80">
        <v>0</v>
      </c>
      <c r="X223" s="80">
        <v>0</v>
      </c>
      <c r="Y223" s="80">
        <v>0</v>
      </c>
      <c r="Z223" s="80">
        <v>0</v>
      </c>
      <c r="AA223" s="80">
        <v>0</v>
      </c>
      <c r="AB223" s="80">
        <v>0</v>
      </c>
      <c r="AC223" s="80">
        <v>0</v>
      </c>
      <c r="AD223" s="80">
        <v>0</v>
      </c>
      <c r="AE223" s="80">
        <v>0</v>
      </c>
      <c r="AF223" s="80">
        <f t="shared" si="7"/>
        <v>0</v>
      </c>
      <c r="AG223" s="80">
        <f>+COEF_FCM!AM230</f>
        <v>12824</v>
      </c>
      <c r="AH223" s="80">
        <f>+COEF_FCM!AR230</f>
        <v>325</v>
      </c>
      <c r="AI223" s="80">
        <f>+COEF_FCM!AN230</f>
        <v>6864</v>
      </c>
      <c r="AJ223" s="80">
        <f>+COEF_FCM!AS230</f>
        <v>203</v>
      </c>
      <c r="AK223" s="80">
        <f>+COEF_FCM!AO230</f>
        <v>8416</v>
      </c>
      <c r="AL223" s="80">
        <f>+COEF_FCM!AT230</f>
        <v>251.18100000000001</v>
      </c>
      <c r="AM223" s="80">
        <f>+COEF_FCM!AP230</f>
        <v>9853</v>
      </c>
      <c r="AN223" s="80">
        <f>+COEF_FCM!AU230</f>
        <v>179</v>
      </c>
      <c r="AO223" s="80">
        <f>+COEF_FCM!AQ230</f>
        <v>37957</v>
      </c>
      <c r="AP223" s="80">
        <f>+COEF_FCM!AV230</f>
        <v>958.18100000000004</v>
      </c>
      <c r="AQ223" s="80">
        <f>+_CIERRE!O223+_CIERRE!P223</f>
        <v>2302330.8870000001</v>
      </c>
      <c r="AR223" s="80">
        <f>+_CIERRE!Q223+_CIERRE!R223</f>
        <v>2544878.2850000001</v>
      </c>
      <c r="AS223" s="80">
        <f>+_CIERRE!S223+_CIERRE!T223</f>
        <v>2698798.7319999998</v>
      </c>
      <c r="AT223" s="80">
        <f>+_CIERRE!U223+_CIERRE!V223</f>
        <v>3022625.324</v>
      </c>
      <c r="AU223" s="80">
        <f>+'CALC MEC ESTAB Y ESTIM M FINAL'!T228</f>
        <v>3379470</v>
      </c>
      <c r="AV223" s="560">
        <v>0</v>
      </c>
      <c r="AW223" s="551">
        <v>0</v>
      </c>
      <c r="AX223" s="551">
        <v>0</v>
      </c>
      <c r="AY223" s="551">
        <v>0</v>
      </c>
      <c r="AZ223" s="551">
        <v>328218.61300000001</v>
      </c>
      <c r="BA223" s="551">
        <v>341691.092</v>
      </c>
    </row>
    <row r="224" spans="1:53" ht="3" customHeight="1" x14ac:dyDescent="0.2">
      <c r="A224" s="68">
        <f>IF(LEN(+'_DATA STT PAGOS_'!M229)=4,"0"&amp;+'_DATA STT PAGOS_'!M229,+'_DATA STT PAGOS_'!M229)</f>
        <v>10208</v>
      </c>
      <c r="B224" s="68">
        <f>IF(LEN(+'_DATA STT PAGOS_'!N229)=4,"0"&amp;+'_DATA STT PAGOS_'!N229,+'_DATA STT PAGOS_'!N229)</f>
        <v>10404</v>
      </c>
      <c r="C224" s="76" t="str">
        <f>+'_DATA STT PAGOS_'!O229</f>
        <v>QUELLÓN</v>
      </c>
      <c r="D224" s="80">
        <f>+'CALC MEC ESTAB Y ESTIM M FINAL'!U229</f>
        <v>6591100</v>
      </c>
      <c r="E224" s="77">
        <f>+'CALC MEC ESTAB Y ESTIM M FINAL'!Q229</f>
        <v>2.6517997271999997E-3</v>
      </c>
      <c r="F224" s="77">
        <f>+'CALC MEC ESTAB Y ESTIM M FINAL'!R229</f>
        <v>-3.2965007710000001E-4</v>
      </c>
      <c r="G224" s="80">
        <f>+'_Flujo con Glosa 08'!CE229</f>
        <v>281866</v>
      </c>
      <c r="H224" s="80">
        <f>+'_Flujo con Glosa 08'!CF229</f>
        <v>281866</v>
      </c>
      <c r="I224" s="80">
        <f>+'_Flujo con Glosa 08'!CG229</f>
        <v>290456</v>
      </c>
      <c r="J224" s="80">
        <f>+'_Flujo con Glosa 08'!CH229</f>
        <v>281866</v>
      </c>
      <c r="K224" s="80">
        <f>+'_Flujo con Glosa 08'!CI229</f>
        <v>956367</v>
      </c>
      <c r="L224" s="80">
        <f>+'_Flujo con Glosa 08'!CJ229</f>
        <v>290645</v>
      </c>
      <c r="M224" s="80">
        <f>+'_Flujo con Glosa 08'!CK229</f>
        <v>563686</v>
      </c>
      <c r="N224" s="80">
        <f>+'_Flujo con Glosa 08'!CL229</f>
        <v>281866</v>
      </c>
      <c r="O224" s="80">
        <f>+'_Flujo con Glosa 08'!CM229</f>
        <v>350474</v>
      </c>
      <c r="P224" s="80">
        <f>+'_Flujo con Glosa 08'!CN229</f>
        <v>605629</v>
      </c>
      <c r="Q224" s="80">
        <f>+'_Flujo con Glosa 08'!CO229</f>
        <v>281866</v>
      </c>
      <c r="R224" s="80">
        <f>+'_Flujo con Glosa 08'!CP229</f>
        <v>572454</v>
      </c>
      <c r="S224" s="80">
        <f t="shared" si="6"/>
        <v>5039041</v>
      </c>
      <c r="T224" s="80">
        <v>0</v>
      </c>
      <c r="U224" s="80">
        <v>0</v>
      </c>
      <c r="V224" s="80">
        <v>0</v>
      </c>
      <c r="W224" s="80">
        <v>0</v>
      </c>
      <c r="X224" s="80">
        <v>0</v>
      </c>
      <c r="Y224" s="80">
        <v>0</v>
      </c>
      <c r="Z224" s="80">
        <v>0</v>
      </c>
      <c r="AA224" s="80">
        <v>0</v>
      </c>
      <c r="AB224" s="80">
        <v>0</v>
      </c>
      <c r="AC224" s="80">
        <v>0</v>
      </c>
      <c r="AD224" s="80">
        <v>0</v>
      </c>
      <c r="AE224" s="80">
        <v>0</v>
      </c>
      <c r="AF224" s="80">
        <f t="shared" si="7"/>
        <v>0</v>
      </c>
      <c r="AG224" s="80">
        <f>+COEF_FCM!AM231</f>
        <v>62389</v>
      </c>
      <c r="AH224" s="80">
        <f>+COEF_FCM!AR231</f>
        <v>1817</v>
      </c>
      <c r="AI224" s="80">
        <f>+COEF_FCM!AN231</f>
        <v>42638</v>
      </c>
      <c r="AJ224" s="80">
        <f>+COEF_FCM!AS231</f>
        <v>887</v>
      </c>
      <c r="AK224" s="80">
        <f>+COEF_FCM!AO231</f>
        <v>61588</v>
      </c>
      <c r="AL224" s="80">
        <f>+COEF_FCM!AT231</f>
        <v>1622.587</v>
      </c>
      <c r="AM224" s="80">
        <f>+COEF_FCM!AP231</f>
        <v>39027</v>
      </c>
      <c r="AN224" s="80">
        <f>+COEF_FCM!AU231</f>
        <v>1029</v>
      </c>
      <c r="AO224" s="80">
        <f>+COEF_FCM!AQ231</f>
        <v>205642</v>
      </c>
      <c r="AP224" s="80">
        <f>+COEF_FCM!AV231</f>
        <v>5355.5869999999995</v>
      </c>
      <c r="AQ224" s="80">
        <f>+_CIERRE!O224+_CIERRE!P224</f>
        <v>4217553.12</v>
      </c>
      <c r="AR224" s="80">
        <f>+_CIERRE!Q224+_CIERRE!R224</f>
        <v>4572590.3629999999</v>
      </c>
      <c r="AS224" s="80">
        <f>+_CIERRE!S224+_CIERRE!T224</f>
        <v>4913489.5199999996</v>
      </c>
      <c r="AT224" s="80">
        <f>+_CIERRE!U224+_CIERRE!V224</f>
        <v>5810697.4469999997</v>
      </c>
      <c r="AU224" s="80">
        <f>+'CALC MEC ESTAB Y ESTIM M FINAL'!T229</f>
        <v>6591100</v>
      </c>
      <c r="AV224" s="560">
        <v>0</v>
      </c>
      <c r="AW224" s="551">
        <v>0</v>
      </c>
      <c r="AX224" s="551">
        <v>0</v>
      </c>
      <c r="AY224" s="551">
        <v>0</v>
      </c>
      <c r="AZ224" s="551">
        <v>471179.53600000002</v>
      </c>
      <c r="BA224" s="551">
        <v>519523.978</v>
      </c>
    </row>
    <row r="225" spans="1:53" ht="3" customHeight="1" x14ac:dyDescent="0.2">
      <c r="A225" s="68">
        <f>IF(LEN(+'_DATA STT PAGOS_'!M230)=4,"0"&amp;+'_DATA STT PAGOS_'!M230,+'_DATA STT PAGOS_'!M230)</f>
        <v>10209</v>
      </c>
      <c r="B225" s="68">
        <f>IF(LEN(+'_DATA STT PAGOS_'!N230)=4,"0"&amp;+'_DATA STT PAGOS_'!N230,+'_DATA STT PAGOS_'!N230)</f>
        <v>10407</v>
      </c>
      <c r="C225" s="76" t="str">
        <f>+'_DATA STT PAGOS_'!O230</f>
        <v>QUEMCHI</v>
      </c>
      <c r="D225" s="80">
        <f>+'CALC MEC ESTAB Y ESTIM M FINAL'!U230</f>
        <v>4026964</v>
      </c>
      <c r="E225" s="77">
        <f>+'CALC MEC ESTAB Y ESTIM M FINAL'!Q230</f>
        <v>1.558435041E-3</v>
      </c>
      <c r="F225" s="77">
        <f>+'CALC MEC ESTAB Y ESTIM M FINAL'!R230</f>
        <v>-1.396714397E-4</v>
      </c>
      <c r="G225" s="80">
        <f>+'_Flujo con Glosa 08'!CE230</f>
        <v>179217</v>
      </c>
      <c r="H225" s="80">
        <f>+'_Flujo con Glosa 08'!CF230</f>
        <v>179217</v>
      </c>
      <c r="I225" s="80">
        <f>+'_Flujo con Glosa 08'!CG230</f>
        <v>177460</v>
      </c>
      <c r="J225" s="80">
        <f>+'_Flujo con Glosa 08'!CH230</f>
        <v>179217</v>
      </c>
      <c r="K225" s="80">
        <f>+'_Flujo con Glosa 08'!CI230</f>
        <v>563295</v>
      </c>
      <c r="L225" s="80">
        <f>+'_Flujo con Glosa 08'!CJ230</f>
        <v>184581</v>
      </c>
      <c r="M225" s="80">
        <f>+'_Flujo con Glosa 08'!CK230</f>
        <v>337390</v>
      </c>
      <c r="N225" s="80">
        <f>+'_Flujo con Glosa 08'!CL230</f>
        <v>179217</v>
      </c>
      <c r="O225" s="80">
        <f>+'_Flujo con Glosa 08'!CM230</f>
        <v>214129</v>
      </c>
      <c r="P225" s="80">
        <f>+'_Flujo con Glosa 08'!CN230</f>
        <v>363016</v>
      </c>
      <c r="Q225" s="80">
        <f>+'_Flujo con Glosa 08'!CO230</f>
        <v>179217</v>
      </c>
      <c r="R225" s="80">
        <f>+'_Flujo con Glosa 08'!CP230</f>
        <v>342746</v>
      </c>
      <c r="S225" s="80">
        <f t="shared" si="6"/>
        <v>3078702</v>
      </c>
      <c r="T225" s="80">
        <v>0</v>
      </c>
      <c r="U225" s="80">
        <v>0</v>
      </c>
      <c r="V225" s="80">
        <v>0</v>
      </c>
      <c r="W225" s="80">
        <v>0</v>
      </c>
      <c r="X225" s="80">
        <v>0</v>
      </c>
      <c r="Y225" s="80">
        <v>0</v>
      </c>
      <c r="Z225" s="80">
        <v>0</v>
      </c>
      <c r="AA225" s="80">
        <v>0</v>
      </c>
      <c r="AB225" s="80">
        <v>0</v>
      </c>
      <c r="AC225" s="80">
        <v>0</v>
      </c>
      <c r="AD225" s="80">
        <v>0</v>
      </c>
      <c r="AE225" s="80">
        <v>0</v>
      </c>
      <c r="AF225" s="80">
        <f t="shared" si="7"/>
        <v>0</v>
      </c>
      <c r="AG225" s="80">
        <f>+COEF_FCM!AM232</f>
        <v>8784</v>
      </c>
      <c r="AH225" s="80">
        <f>+COEF_FCM!AR232</f>
        <v>293</v>
      </c>
      <c r="AI225" s="80">
        <f>+COEF_FCM!AN232</f>
        <v>4344</v>
      </c>
      <c r="AJ225" s="80">
        <f>+COEF_FCM!AS232</f>
        <v>0</v>
      </c>
      <c r="AK225" s="80">
        <f>+COEF_FCM!AO232</f>
        <v>6182</v>
      </c>
      <c r="AL225" s="80">
        <f>+COEF_FCM!AT232</f>
        <v>159.72</v>
      </c>
      <c r="AM225" s="80">
        <f>+COEF_FCM!AP232</f>
        <v>4425</v>
      </c>
      <c r="AN225" s="80">
        <f>+COEF_FCM!AU232</f>
        <v>153</v>
      </c>
      <c r="AO225" s="80">
        <f>+COEF_FCM!AQ232</f>
        <v>23735</v>
      </c>
      <c r="AP225" s="80">
        <f>+COEF_FCM!AV232</f>
        <v>605.72</v>
      </c>
      <c r="AQ225" s="80">
        <f>+_CIERRE!O225+_CIERRE!P225</f>
        <v>2994380.858</v>
      </c>
      <c r="AR225" s="80">
        <f>+_CIERRE!Q225+_CIERRE!R225</f>
        <v>3246450.37</v>
      </c>
      <c r="AS225" s="80">
        <f>+_CIERRE!S225+_CIERRE!T225</f>
        <v>3356810.9679999999</v>
      </c>
      <c r="AT225" s="80">
        <f>+_CIERRE!U225+_CIERRE!V225</f>
        <v>3696310.753</v>
      </c>
      <c r="AU225" s="80">
        <f>+'CALC MEC ESTAB Y ESTIM M FINAL'!T230</f>
        <v>4026964</v>
      </c>
      <c r="AV225" s="560">
        <v>0</v>
      </c>
      <c r="AW225" s="551">
        <v>0</v>
      </c>
      <c r="AX225" s="551">
        <v>0</v>
      </c>
      <c r="AY225" s="551">
        <v>0</v>
      </c>
      <c r="AZ225" s="551">
        <v>346405.027</v>
      </c>
      <c r="BA225" s="551">
        <v>354856.17300000001</v>
      </c>
    </row>
    <row r="226" spans="1:53" ht="3" customHeight="1" x14ac:dyDescent="0.2">
      <c r="A226" s="68">
        <f>IF(LEN(+'_DATA STT PAGOS_'!M231)=4,"0"&amp;+'_DATA STT PAGOS_'!M231,+'_DATA STT PAGOS_'!M231)</f>
        <v>10210</v>
      </c>
      <c r="B226" s="68">
        <f>IF(LEN(+'_DATA STT PAGOS_'!N231)=4,"0"&amp;+'_DATA STT PAGOS_'!N231,+'_DATA STT PAGOS_'!N231)</f>
        <v>10415</v>
      </c>
      <c r="C226" s="76" t="str">
        <f>+'_DATA STT PAGOS_'!O231</f>
        <v>QUINCHAO</v>
      </c>
      <c r="D226" s="80">
        <f>+'CALC MEC ESTAB Y ESTIM M FINAL'!U231</f>
        <v>3744269</v>
      </c>
      <c r="E226" s="77">
        <f>+'CALC MEC ESTAB Y ESTIM M FINAL'!Q231</f>
        <v>1.4172483634000001E-3</v>
      </c>
      <c r="F226" s="77">
        <f>+'CALC MEC ESTAB Y ESTIM M FINAL'!R231</f>
        <v>-9.8082652999999993E-5</v>
      </c>
      <c r="G226" s="80">
        <f>+'_Flujo con Glosa 08'!CE231</f>
        <v>170326</v>
      </c>
      <c r="H226" s="80">
        <f>+'_Flujo con Glosa 08'!CF231</f>
        <v>170326</v>
      </c>
      <c r="I226" s="80">
        <f>+'_Flujo con Glosa 08'!CG231</f>
        <v>165002</v>
      </c>
      <c r="J226" s="80">
        <f>+'_Flujo con Glosa 08'!CH231</f>
        <v>170326</v>
      </c>
      <c r="K226" s="80">
        <f>+'_Flujo con Glosa 08'!CI231</f>
        <v>512682</v>
      </c>
      <c r="L226" s="80">
        <f>+'_Flujo con Glosa 08'!CJ231</f>
        <v>175313</v>
      </c>
      <c r="M226" s="80">
        <f>+'_Flujo con Glosa 08'!CK231</f>
        <v>310015</v>
      </c>
      <c r="N226" s="80">
        <f>+'_Flujo con Glosa 08'!CL231</f>
        <v>170326</v>
      </c>
      <c r="O226" s="80">
        <f>+'_Flujo con Glosa 08'!CM231</f>
        <v>199097</v>
      </c>
      <c r="P226" s="80">
        <f>+'_Flujo con Glosa 08'!CN231</f>
        <v>333842</v>
      </c>
      <c r="Q226" s="80">
        <f>+'_Flujo con Glosa 08'!CO231</f>
        <v>170326</v>
      </c>
      <c r="R226" s="80">
        <f>+'_Flujo con Glosa 08'!CP231</f>
        <v>314995</v>
      </c>
      <c r="S226" s="80">
        <f t="shared" si="6"/>
        <v>2862576</v>
      </c>
      <c r="T226" s="80">
        <v>0</v>
      </c>
      <c r="U226" s="80">
        <v>0</v>
      </c>
      <c r="V226" s="80">
        <v>0</v>
      </c>
      <c r="W226" s="80">
        <v>0</v>
      </c>
      <c r="X226" s="80">
        <v>0</v>
      </c>
      <c r="Y226" s="80">
        <v>0</v>
      </c>
      <c r="Z226" s="80">
        <v>0</v>
      </c>
      <c r="AA226" s="80">
        <v>0</v>
      </c>
      <c r="AB226" s="80">
        <v>0</v>
      </c>
      <c r="AC226" s="80">
        <v>0</v>
      </c>
      <c r="AD226" s="80">
        <v>0</v>
      </c>
      <c r="AE226" s="80">
        <v>0</v>
      </c>
      <c r="AF226" s="80">
        <f t="shared" si="7"/>
        <v>0</v>
      </c>
      <c r="AG226" s="80">
        <f>+COEF_FCM!AM233</f>
        <v>5679</v>
      </c>
      <c r="AH226" s="80">
        <f>+COEF_FCM!AR233</f>
        <v>0</v>
      </c>
      <c r="AI226" s="80">
        <f>+COEF_FCM!AN233</f>
        <v>3106</v>
      </c>
      <c r="AJ226" s="80">
        <f>+COEF_FCM!AS233</f>
        <v>0</v>
      </c>
      <c r="AK226" s="80">
        <f>+COEF_FCM!AO233</f>
        <v>5137</v>
      </c>
      <c r="AL226" s="80">
        <f>+COEF_FCM!AT233</f>
        <v>0</v>
      </c>
      <c r="AM226" s="80">
        <f>+COEF_FCM!AP233</f>
        <v>3663</v>
      </c>
      <c r="AN226" s="80">
        <f>+COEF_FCM!AU233</f>
        <v>0</v>
      </c>
      <c r="AO226" s="80">
        <f>+COEF_FCM!AQ233</f>
        <v>17585</v>
      </c>
      <c r="AP226" s="80">
        <f>+COEF_FCM!AV233</f>
        <v>0</v>
      </c>
      <c r="AQ226" s="80">
        <f>+_CIERRE!O226+_CIERRE!P226</f>
        <v>2929981.9040000001</v>
      </c>
      <c r="AR226" s="80">
        <f>+_CIERRE!Q226+_CIERRE!R226</f>
        <v>3176630.4470000002</v>
      </c>
      <c r="AS226" s="80">
        <f>+_CIERRE!S226+_CIERRE!T226</f>
        <v>3284617.872</v>
      </c>
      <c r="AT226" s="80">
        <f>+_CIERRE!U226+_CIERRE!V226</f>
        <v>3512071.1910000001</v>
      </c>
      <c r="AU226" s="80">
        <f>+'CALC MEC ESTAB Y ESTIM M FINAL'!T231</f>
        <v>3744269</v>
      </c>
      <c r="AV226" s="560">
        <v>0</v>
      </c>
      <c r="AW226" s="551">
        <v>0</v>
      </c>
      <c r="AX226" s="551">
        <v>0</v>
      </c>
      <c r="AY226" s="551">
        <v>0</v>
      </c>
      <c r="AZ226" s="551">
        <v>356409.39799999999</v>
      </c>
      <c r="BA226" s="551">
        <v>366714.50799999997</v>
      </c>
    </row>
    <row r="227" spans="1:53" ht="3" customHeight="1" x14ac:dyDescent="0.2">
      <c r="A227" s="68">
        <f>IF(LEN(+'_DATA STT PAGOS_'!M232)=4,"0"&amp;+'_DATA STT PAGOS_'!M232,+'_DATA STT PAGOS_'!M232)</f>
        <v>10301</v>
      </c>
      <c r="B227" s="68">
        <f>IF(LEN(+'_DATA STT PAGOS_'!N232)=4,"0"&amp;+'_DATA STT PAGOS_'!N232,+'_DATA STT PAGOS_'!N232)</f>
        <v>10201</v>
      </c>
      <c r="C227" s="76" t="str">
        <f>+'_DATA STT PAGOS_'!O232</f>
        <v>OSORNO</v>
      </c>
      <c r="D227" s="80">
        <f>+'CALC MEC ESTAB Y ESTIM M FINAL'!U232</f>
        <v>15701286</v>
      </c>
      <c r="E227" s="77">
        <f>+'CALC MEC ESTAB Y ESTIM M FINAL'!Q232</f>
        <v>5.6817189611000005E-3</v>
      </c>
      <c r="F227" s="77">
        <f>+'CALC MEC ESTAB Y ESTIM M FINAL'!R232</f>
        <v>-1.499051617E-4</v>
      </c>
      <c r="G227" s="80">
        <f>+'_Flujo con Glosa 08'!CE232</f>
        <v>744601</v>
      </c>
      <c r="H227" s="80">
        <f>+'_Flujo con Glosa 08'!CF232</f>
        <v>744601</v>
      </c>
      <c r="I227" s="80">
        <f>+'_Flujo con Glosa 08'!CG232</f>
        <v>691923</v>
      </c>
      <c r="J227" s="80">
        <f>+'_Flujo con Glosa 08'!CH232</f>
        <v>744601</v>
      </c>
      <c r="K227" s="80">
        <f>+'_Flujo con Glosa 08'!CI232</f>
        <v>2058830</v>
      </c>
      <c r="L227" s="80">
        <f>+'_Flujo con Glosa 08'!CJ232</f>
        <v>765514</v>
      </c>
      <c r="M227" s="80">
        <f>+'_Flujo con Glosa 08'!CK232</f>
        <v>1269668</v>
      </c>
      <c r="N227" s="80">
        <f>+'_Flujo con Glosa 08'!CL232</f>
        <v>744601</v>
      </c>
      <c r="O227" s="80">
        <f>+'_Flujo con Glosa 08'!CM232</f>
        <v>834897</v>
      </c>
      <c r="P227" s="80">
        <f>+'_Flujo con Glosa 08'!CN232</f>
        <v>1369586</v>
      </c>
      <c r="Q227" s="80">
        <f>+'_Flujo con Glosa 08'!CO232</f>
        <v>744601</v>
      </c>
      <c r="R227" s="80">
        <f>+'_Flujo con Glosa 08'!CP232</f>
        <v>1290556</v>
      </c>
      <c r="S227" s="80">
        <f t="shared" si="6"/>
        <v>12003979</v>
      </c>
      <c r="T227" s="80">
        <v>0</v>
      </c>
      <c r="U227" s="80">
        <v>0</v>
      </c>
      <c r="V227" s="80">
        <v>0</v>
      </c>
      <c r="W227" s="80">
        <v>0</v>
      </c>
      <c r="X227" s="80">
        <v>0</v>
      </c>
      <c r="Y227" s="80">
        <v>0</v>
      </c>
      <c r="Z227" s="80">
        <v>0</v>
      </c>
      <c r="AA227" s="80">
        <v>0</v>
      </c>
      <c r="AB227" s="80">
        <v>0</v>
      </c>
      <c r="AC227" s="80">
        <v>0</v>
      </c>
      <c r="AD227" s="80">
        <v>0</v>
      </c>
      <c r="AE227" s="80">
        <v>0</v>
      </c>
      <c r="AF227" s="80">
        <f t="shared" si="7"/>
        <v>0</v>
      </c>
      <c r="AG227" s="80">
        <f>+COEF_FCM!AM234</f>
        <v>1206336</v>
      </c>
      <c r="AH227" s="80">
        <f>+COEF_FCM!AR234</f>
        <v>84881</v>
      </c>
      <c r="AI227" s="80">
        <f>+COEF_FCM!AN234</f>
        <v>873607</v>
      </c>
      <c r="AJ227" s="80">
        <f>+COEF_FCM!AS234</f>
        <v>43544</v>
      </c>
      <c r="AK227" s="80">
        <f>+COEF_FCM!AO234</f>
        <v>993929</v>
      </c>
      <c r="AL227" s="80">
        <f>+COEF_FCM!AT234</f>
        <v>54763.402000000002</v>
      </c>
      <c r="AM227" s="80">
        <f>+COEF_FCM!AP234</f>
        <v>787718</v>
      </c>
      <c r="AN227" s="80">
        <f>+COEF_FCM!AU234</f>
        <v>38006</v>
      </c>
      <c r="AO227" s="80">
        <f>+COEF_FCM!AQ234</f>
        <v>3861590</v>
      </c>
      <c r="AP227" s="80">
        <f>+COEF_FCM!AV234</f>
        <v>221194.402</v>
      </c>
      <c r="AQ227" s="80">
        <f>+_CIERRE!O227+_CIERRE!P227</f>
        <v>12409441.732000001</v>
      </c>
      <c r="AR227" s="80">
        <f>+_CIERRE!Q227+_CIERRE!R227</f>
        <v>14009660.318</v>
      </c>
      <c r="AS227" s="80">
        <f>+_CIERRE!S227+_CIERRE!T227</f>
        <v>15109015.566</v>
      </c>
      <c r="AT227" s="80">
        <f>+_CIERRE!U227+_CIERRE!V227</f>
        <v>15346404.336999999</v>
      </c>
      <c r="AU227" s="80">
        <f>+'CALC MEC ESTAB Y ESTIM M FINAL'!T232</f>
        <v>15701286</v>
      </c>
      <c r="AV227" s="560">
        <v>0</v>
      </c>
      <c r="AW227" s="551">
        <v>0</v>
      </c>
      <c r="AX227" s="551">
        <v>0</v>
      </c>
      <c r="AY227" s="551">
        <v>0</v>
      </c>
      <c r="AZ227" s="551">
        <v>0</v>
      </c>
      <c r="BA227" s="551">
        <v>0</v>
      </c>
    </row>
    <row r="228" spans="1:53" ht="3" customHeight="1" x14ac:dyDescent="0.2">
      <c r="A228" s="68">
        <f>IF(LEN(+'_DATA STT PAGOS_'!M233)=4,"0"&amp;+'_DATA STT PAGOS_'!M233,+'_DATA STT PAGOS_'!M233)</f>
        <v>10302</v>
      </c>
      <c r="B228" s="68">
        <f>IF(LEN(+'_DATA STT PAGOS_'!N233)=4,"0"&amp;+'_DATA STT PAGOS_'!N233,+'_DATA STT PAGOS_'!N233)</f>
        <v>10203</v>
      </c>
      <c r="C228" s="76" t="str">
        <f>+'_DATA STT PAGOS_'!O233</f>
        <v>PUERTO OCTAY</v>
      </c>
      <c r="D228" s="80">
        <f>+'CALC MEC ESTAB Y ESTIM M FINAL'!U233</f>
        <v>2360892</v>
      </c>
      <c r="E228" s="77">
        <f>+'CALC MEC ESTAB Y ESTIM M FINAL'!Q233</f>
        <v>8.7292722980000001E-4</v>
      </c>
      <c r="F228" s="77">
        <f>+'CALC MEC ESTAB Y ESTIM M FINAL'!R233</f>
        <v>-4.1147334799999997E-5</v>
      </c>
      <c r="G228" s="80">
        <f>+'_Flujo con Glosa 08'!CE233</f>
        <v>109836</v>
      </c>
      <c r="H228" s="80">
        <f>+'_Flujo con Glosa 08'!CF233</f>
        <v>109836</v>
      </c>
      <c r="I228" s="80">
        <f>+'_Flujo con Glosa 08'!CG233</f>
        <v>104040</v>
      </c>
      <c r="J228" s="80">
        <f>+'_Flujo con Glosa 08'!CH233</f>
        <v>109836</v>
      </c>
      <c r="K228" s="80">
        <f>+'_Flujo con Glosa 08'!CI233</f>
        <v>315945</v>
      </c>
      <c r="L228" s="80">
        <f>+'_Flujo con Glosa 08'!CJ233</f>
        <v>112980</v>
      </c>
      <c r="M228" s="80">
        <f>+'_Flujo con Glosa 08'!CK233</f>
        <v>193036</v>
      </c>
      <c r="N228" s="80">
        <f>+'_Flujo con Glosa 08'!CL233</f>
        <v>109836</v>
      </c>
      <c r="O228" s="80">
        <f>+'_Flujo con Glosa 08'!CM233</f>
        <v>125538</v>
      </c>
      <c r="P228" s="80">
        <f>+'_Flujo con Glosa 08'!CN233</f>
        <v>208059</v>
      </c>
      <c r="Q228" s="80">
        <f>+'_Flujo con Glosa 08'!CO233</f>
        <v>109836</v>
      </c>
      <c r="R228" s="80">
        <f>+'_Flujo con Glosa 08'!CP233</f>
        <v>196176</v>
      </c>
      <c r="S228" s="80">
        <f t="shared" si="6"/>
        <v>1804954</v>
      </c>
      <c r="T228" s="80">
        <v>0</v>
      </c>
      <c r="U228" s="80">
        <v>0</v>
      </c>
      <c r="V228" s="80">
        <v>0</v>
      </c>
      <c r="W228" s="80">
        <v>0</v>
      </c>
      <c r="X228" s="80">
        <v>0</v>
      </c>
      <c r="Y228" s="80">
        <v>0</v>
      </c>
      <c r="Z228" s="80">
        <v>0</v>
      </c>
      <c r="AA228" s="80">
        <v>0</v>
      </c>
      <c r="AB228" s="80">
        <v>0</v>
      </c>
      <c r="AC228" s="80">
        <v>0</v>
      </c>
      <c r="AD228" s="80">
        <v>0</v>
      </c>
      <c r="AE228" s="80">
        <v>0</v>
      </c>
      <c r="AF228" s="80">
        <f t="shared" si="7"/>
        <v>0</v>
      </c>
      <c r="AG228" s="80">
        <f>+COEF_FCM!AM235</f>
        <v>141992</v>
      </c>
      <c r="AH228" s="80">
        <f>+COEF_FCM!AR235</f>
        <v>788</v>
      </c>
      <c r="AI228" s="80">
        <f>+COEF_FCM!AN235</f>
        <v>99143</v>
      </c>
      <c r="AJ228" s="80">
        <f>+COEF_FCM!AS235</f>
        <v>248</v>
      </c>
      <c r="AK228" s="80">
        <f>+COEF_FCM!AO235</f>
        <v>101409</v>
      </c>
      <c r="AL228" s="80">
        <f>+COEF_FCM!AT235</f>
        <v>741.79399999999998</v>
      </c>
      <c r="AM228" s="80">
        <f>+COEF_FCM!AP235</f>
        <v>97406</v>
      </c>
      <c r="AN228" s="80">
        <f>+COEF_FCM!AU235</f>
        <v>312</v>
      </c>
      <c r="AO228" s="80">
        <f>+COEF_FCM!AQ235</f>
        <v>439950</v>
      </c>
      <c r="AP228" s="80">
        <f>+COEF_FCM!AV235</f>
        <v>2089.7939999999999</v>
      </c>
      <c r="AQ228" s="80">
        <f>+_CIERRE!O228+_CIERRE!P228</f>
        <v>1762831.601</v>
      </c>
      <c r="AR228" s="80">
        <f>+_CIERRE!Q228+_CIERRE!R228</f>
        <v>2018803.8559999999</v>
      </c>
      <c r="AS228" s="80">
        <f>+_CIERRE!S228+_CIERRE!T228</f>
        <v>2178283.8739999998</v>
      </c>
      <c r="AT228" s="80">
        <f>+_CIERRE!U228+_CIERRE!V228</f>
        <v>2263480.5159999998</v>
      </c>
      <c r="AU228" s="80">
        <f>+'CALC MEC ESTAB Y ESTIM M FINAL'!T233</f>
        <v>2360892</v>
      </c>
      <c r="AV228" s="560">
        <v>0</v>
      </c>
      <c r="AW228" s="551">
        <v>0</v>
      </c>
      <c r="AX228" s="551">
        <v>0</v>
      </c>
      <c r="AY228" s="551">
        <v>0</v>
      </c>
      <c r="AZ228" s="551">
        <v>305383.73300000001</v>
      </c>
      <c r="BA228" s="551">
        <v>314634.64199999999</v>
      </c>
    </row>
    <row r="229" spans="1:53" ht="3" customHeight="1" x14ac:dyDescent="0.2">
      <c r="A229" s="68">
        <f>IF(LEN(+'_DATA STT PAGOS_'!M234)=4,"0"&amp;+'_DATA STT PAGOS_'!M234,+'_DATA STT PAGOS_'!M234)</f>
        <v>10303</v>
      </c>
      <c r="B229" s="68">
        <f>IF(LEN(+'_DATA STT PAGOS_'!N234)=4,"0"&amp;+'_DATA STT PAGOS_'!N234,+'_DATA STT PAGOS_'!N234)</f>
        <v>10206</v>
      </c>
      <c r="C229" s="76" t="str">
        <f>+'_DATA STT PAGOS_'!O234</f>
        <v>PURRANQUE</v>
      </c>
      <c r="D229" s="80">
        <f>+'CALC MEC ESTAB Y ESTIM M FINAL'!U234</f>
        <v>3992395</v>
      </c>
      <c r="E229" s="77">
        <f>+'CALC MEC ESTAB Y ESTIM M FINAL'!Q234</f>
        <v>1.2387615614999998E-3</v>
      </c>
      <c r="F229" s="77">
        <f>+'CALC MEC ESTAB Y ESTIM M FINAL'!R234</f>
        <v>1.6782289519999999E-4</v>
      </c>
      <c r="G229" s="80">
        <f>+'_Flujo con Glosa 08'!CE234</f>
        <v>193626</v>
      </c>
      <c r="H229" s="80">
        <f>+'_Flujo con Glosa 08'!CF234</f>
        <v>193626</v>
      </c>
      <c r="I229" s="80">
        <f>+'_Flujo con Glosa 08'!CG234</f>
        <v>175937</v>
      </c>
      <c r="J229" s="80">
        <f>+'_Flujo con Glosa 08'!CH234</f>
        <v>193626</v>
      </c>
      <c r="K229" s="80">
        <f>+'_Flujo con Glosa 08'!CI234</f>
        <v>510618</v>
      </c>
      <c r="L229" s="80">
        <f>+'_Flujo con Glosa 08'!CJ234</f>
        <v>198943</v>
      </c>
      <c r="M229" s="80">
        <f>+'_Flujo con Glosa 08'!CK234</f>
        <v>325190</v>
      </c>
      <c r="N229" s="80">
        <f>+'_Flujo con Glosa 08'!CL234</f>
        <v>193626</v>
      </c>
      <c r="O229" s="80">
        <f>+'_Flujo con Glosa 08'!CM234</f>
        <v>212291</v>
      </c>
      <c r="P229" s="80">
        <f>+'_Flujo con Glosa 08'!CN234</f>
        <v>337308</v>
      </c>
      <c r="Q229" s="80">
        <f>+'_Flujo con Glosa 08'!CO234</f>
        <v>193626</v>
      </c>
      <c r="R229" s="80">
        <f>+'_Flujo con Glosa 08'!CP234</f>
        <v>323858</v>
      </c>
      <c r="S229" s="80">
        <f t="shared" si="6"/>
        <v>3052275</v>
      </c>
      <c r="T229" s="80">
        <v>0</v>
      </c>
      <c r="U229" s="80">
        <v>0</v>
      </c>
      <c r="V229" s="80">
        <v>0</v>
      </c>
      <c r="W229" s="80">
        <v>0</v>
      </c>
      <c r="X229" s="80">
        <v>0</v>
      </c>
      <c r="Y229" s="80">
        <v>0</v>
      </c>
      <c r="Z229" s="80">
        <v>0</v>
      </c>
      <c r="AA229" s="80">
        <v>0</v>
      </c>
      <c r="AB229" s="80">
        <v>0</v>
      </c>
      <c r="AC229" s="80">
        <v>0</v>
      </c>
      <c r="AD229" s="80">
        <v>0</v>
      </c>
      <c r="AE229" s="80">
        <v>0</v>
      </c>
      <c r="AF229" s="80">
        <f t="shared" si="7"/>
        <v>0</v>
      </c>
      <c r="AG229" s="80">
        <f>+COEF_FCM!AM236</f>
        <v>126886</v>
      </c>
      <c r="AH229" s="80">
        <f>+COEF_FCM!AR236</f>
        <v>1610</v>
      </c>
      <c r="AI229" s="80">
        <f>+COEF_FCM!AN236</f>
        <v>86325</v>
      </c>
      <c r="AJ229" s="80">
        <f>+COEF_FCM!AS236</f>
        <v>1510</v>
      </c>
      <c r="AK229" s="80">
        <f>+COEF_FCM!AO236</f>
        <v>100420</v>
      </c>
      <c r="AL229" s="80">
        <f>+COEF_FCM!AT236</f>
        <v>1161.509</v>
      </c>
      <c r="AM229" s="80">
        <f>+COEF_FCM!AP236</f>
        <v>76286</v>
      </c>
      <c r="AN229" s="80">
        <f>+COEF_FCM!AU236</f>
        <v>904</v>
      </c>
      <c r="AO229" s="80">
        <f>+COEF_FCM!AQ236</f>
        <v>389917</v>
      </c>
      <c r="AP229" s="80">
        <f>+COEF_FCM!AV236</f>
        <v>5185.509</v>
      </c>
      <c r="AQ229" s="80">
        <f>+_CIERRE!O229+_CIERRE!P229</f>
        <v>3177417.4240000001</v>
      </c>
      <c r="AR229" s="80">
        <f>+_CIERRE!Q229+_CIERRE!R229</f>
        <v>3509811.2659999998</v>
      </c>
      <c r="AS229" s="80">
        <f>+_CIERRE!S229+_CIERRE!T229</f>
        <v>3737107.45</v>
      </c>
      <c r="AT229" s="80">
        <f>+_CIERRE!U229+_CIERRE!V229</f>
        <v>3992394.8420000002</v>
      </c>
      <c r="AU229" s="80">
        <f>+'CALC MEC ESTAB Y ESTIM M FINAL'!T234</f>
        <v>3992395</v>
      </c>
      <c r="AV229" s="560">
        <v>0</v>
      </c>
      <c r="AW229" s="551">
        <v>0</v>
      </c>
      <c r="AX229" s="551">
        <v>0</v>
      </c>
      <c r="AY229" s="551">
        <v>0</v>
      </c>
      <c r="AZ229" s="551">
        <v>370614.78200000001</v>
      </c>
      <c r="BA229" s="551">
        <v>384489.01400000002</v>
      </c>
    </row>
    <row r="230" spans="1:53" ht="3" customHeight="1" x14ac:dyDescent="0.2">
      <c r="A230" s="68">
        <f>IF(LEN(+'_DATA STT PAGOS_'!M235)=4,"0"&amp;+'_DATA STT PAGOS_'!M235,+'_DATA STT PAGOS_'!M235)</f>
        <v>10304</v>
      </c>
      <c r="B230" s="68">
        <f>IF(LEN(+'_DATA STT PAGOS_'!N235)=4,"0"&amp;+'_DATA STT PAGOS_'!N235,+'_DATA STT PAGOS_'!N235)</f>
        <v>10204</v>
      </c>
      <c r="C230" s="76" t="str">
        <f>+'_DATA STT PAGOS_'!O235</f>
        <v>PUYEHUE</v>
      </c>
      <c r="D230" s="80">
        <f>+'CALC MEC ESTAB Y ESTIM M FINAL'!U235</f>
        <v>2663811</v>
      </c>
      <c r="E230" s="77">
        <f>+'CALC MEC ESTAB Y ESTIM M FINAL'!Q235</f>
        <v>9.9469763619999992E-4</v>
      </c>
      <c r="F230" s="77">
        <f>+'CALC MEC ESTAB Y ESTIM M FINAL'!R235</f>
        <v>-5.6194397699999998E-5</v>
      </c>
      <c r="G230" s="80">
        <f>+'_Flujo con Glosa 08'!CE235</f>
        <v>122767</v>
      </c>
      <c r="H230" s="80">
        <f>+'_Flujo con Glosa 08'!CF235</f>
        <v>122767</v>
      </c>
      <c r="I230" s="80">
        <f>+'_Flujo con Glosa 08'!CG235</f>
        <v>117389</v>
      </c>
      <c r="J230" s="80">
        <f>+'_Flujo con Glosa 08'!CH235</f>
        <v>122767</v>
      </c>
      <c r="K230" s="80">
        <f>+'_Flujo con Glosa 08'!CI235</f>
        <v>359969</v>
      </c>
      <c r="L230" s="80">
        <f>+'_Flujo con Glosa 08'!CJ235</f>
        <v>126315</v>
      </c>
      <c r="M230" s="80">
        <f>+'_Flujo con Glosa 08'!CK235</f>
        <v>218965</v>
      </c>
      <c r="N230" s="80">
        <f>+'_Flujo con Glosa 08'!CL235</f>
        <v>122767</v>
      </c>
      <c r="O230" s="80">
        <f>+'_Flujo con Glosa 08'!CM235</f>
        <v>141645</v>
      </c>
      <c r="P230" s="80">
        <f>+'_Flujo con Glosa 08'!CN235</f>
        <v>235916</v>
      </c>
      <c r="Q230" s="80">
        <f>+'_Flujo con Glosa 08'!CO235</f>
        <v>122767</v>
      </c>
      <c r="R230" s="80">
        <f>+'_Flujo con Glosa 08'!CP235</f>
        <v>222509</v>
      </c>
      <c r="S230" s="80">
        <f t="shared" si="6"/>
        <v>2036543</v>
      </c>
      <c r="T230" s="80">
        <v>0</v>
      </c>
      <c r="U230" s="80">
        <v>0</v>
      </c>
      <c r="V230" s="80">
        <v>0</v>
      </c>
      <c r="W230" s="80">
        <v>0</v>
      </c>
      <c r="X230" s="80">
        <v>0</v>
      </c>
      <c r="Y230" s="80">
        <v>0</v>
      </c>
      <c r="Z230" s="80">
        <v>0</v>
      </c>
      <c r="AA230" s="80">
        <v>0</v>
      </c>
      <c r="AB230" s="80">
        <v>0</v>
      </c>
      <c r="AC230" s="80">
        <v>0</v>
      </c>
      <c r="AD230" s="80">
        <v>0</v>
      </c>
      <c r="AE230" s="80">
        <v>0</v>
      </c>
      <c r="AF230" s="80">
        <f t="shared" si="7"/>
        <v>0</v>
      </c>
      <c r="AG230" s="80">
        <f>+COEF_FCM!AM237</f>
        <v>149552</v>
      </c>
      <c r="AH230" s="80">
        <f>+COEF_FCM!AR237</f>
        <v>175</v>
      </c>
      <c r="AI230" s="80">
        <f>+COEF_FCM!AN237</f>
        <v>93218</v>
      </c>
      <c r="AJ230" s="80">
        <f>+COEF_FCM!AS237</f>
        <v>147</v>
      </c>
      <c r="AK230" s="80">
        <f>+COEF_FCM!AO237</f>
        <v>99958</v>
      </c>
      <c r="AL230" s="80">
        <f>+COEF_FCM!AT237</f>
        <v>123.85599999999999</v>
      </c>
      <c r="AM230" s="80">
        <f>+COEF_FCM!AP237</f>
        <v>95390</v>
      </c>
      <c r="AN230" s="80">
        <f>+COEF_FCM!AU237</f>
        <v>126</v>
      </c>
      <c r="AO230" s="80">
        <f>+COEF_FCM!AQ237</f>
        <v>438118</v>
      </c>
      <c r="AP230" s="80">
        <f>+COEF_FCM!AV237</f>
        <v>571.85599999999999</v>
      </c>
      <c r="AQ230" s="80">
        <f>+_CIERRE!O230+_CIERRE!P230</f>
        <v>1892870.0330000001</v>
      </c>
      <c r="AR230" s="80">
        <f>+_CIERRE!Q230+_CIERRE!R230</f>
        <v>2209101.0989999999</v>
      </c>
      <c r="AS230" s="80">
        <f>+_CIERRE!S230+_CIERRE!T230</f>
        <v>2410976.3859999999</v>
      </c>
      <c r="AT230" s="80">
        <f>+_CIERRE!U230+_CIERRE!V230</f>
        <v>2530779.0589999999</v>
      </c>
      <c r="AU230" s="80">
        <f>+'CALC MEC ESTAB Y ESTIM M FINAL'!T235</f>
        <v>2663811</v>
      </c>
      <c r="AV230" s="560">
        <v>0</v>
      </c>
      <c r="AW230" s="551">
        <v>0</v>
      </c>
      <c r="AX230" s="551">
        <v>0</v>
      </c>
      <c r="AY230" s="551">
        <v>0</v>
      </c>
      <c r="AZ230" s="551">
        <v>327919.57699999999</v>
      </c>
      <c r="BA230" s="551">
        <v>338501.33799999999</v>
      </c>
    </row>
    <row r="231" spans="1:53" ht="3" customHeight="1" x14ac:dyDescent="0.2">
      <c r="A231" s="68">
        <f>IF(LEN(+'_DATA STT PAGOS_'!M236)=4,"0"&amp;+'_DATA STT PAGOS_'!M236,+'_DATA STT PAGOS_'!M236)</f>
        <v>10305</v>
      </c>
      <c r="B231" s="68">
        <f>IF(LEN(+'_DATA STT PAGOS_'!N236)=4,"0"&amp;+'_DATA STT PAGOS_'!N236,+'_DATA STT PAGOS_'!N236)</f>
        <v>10205</v>
      </c>
      <c r="C231" s="76" t="str">
        <f>+'_DATA STT PAGOS_'!O236</f>
        <v>RÍO NEGRO</v>
      </c>
      <c r="D231" s="80">
        <f>+'CALC MEC ESTAB Y ESTIM M FINAL'!U236</f>
        <v>3189858</v>
      </c>
      <c r="E231" s="77">
        <f>+'CALC MEC ESTAB Y ESTIM M FINAL'!Q236</f>
        <v>1.1259803472999999E-3</v>
      </c>
      <c r="F231" s="77">
        <f>+'CALC MEC ESTAB Y ESTIM M FINAL'!R236</f>
        <v>-2.1424334000000001E-6</v>
      </c>
      <c r="G231" s="80">
        <f>+'_Flujo con Glosa 08'!CE236</f>
        <v>154504</v>
      </c>
      <c r="H231" s="80">
        <f>+'_Flujo con Glosa 08'!CF236</f>
        <v>154504</v>
      </c>
      <c r="I231" s="80">
        <f>+'_Flujo con Glosa 08'!CG236</f>
        <v>140570</v>
      </c>
      <c r="J231" s="80">
        <f>+'_Flujo con Glosa 08'!CH236</f>
        <v>154504</v>
      </c>
      <c r="K231" s="80">
        <f>+'_Flujo con Glosa 08'!CI236</f>
        <v>408576</v>
      </c>
      <c r="L231" s="80">
        <f>+'_Flujo con Glosa 08'!CJ236</f>
        <v>158753</v>
      </c>
      <c r="M231" s="80">
        <f>+'_Flujo con Glosa 08'!CK236</f>
        <v>259516</v>
      </c>
      <c r="N231" s="80">
        <f>+'_Flujo con Glosa 08'!CL236</f>
        <v>154504</v>
      </c>
      <c r="O231" s="80">
        <f>+'_Flujo con Glosa 08'!CM236</f>
        <v>169616</v>
      </c>
      <c r="P231" s="80">
        <f>+'_Flujo con Glosa 08'!CN236</f>
        <v>270208</v>
      </c>
      <c r="Q231" s="80">
        <f>+'_Flujo con Glosa 08'!CO236</f>
        <v>154504</v>
      </c>
      <c r="R231" s="80">
        <f>+'_Flujo con Glosa 08'!CP236</f>
        <v>258956</v>
      </c>
      <c r="S231" s="80">
        <f t="shared" si="6"/>
        <v>2438715</v>
      </c>
      <c r="T231" s="80">
        <v>0</v>
      </c>
      <c r="U231" s="80">
        <v>0</v>
      </c>
      <c r="V231" s="80">
        <v>0</v>
      </c>
      <c r="W231" s="80">
        <v>0</v>
      </c>
      <c r="X231" s="80">
        <v>0</v>
      </c>
      <c r="Y231" s="80">
        <v>0</v>
      </c>
      <c r="Z231" s="80">
        <v>0</v>
      </c>
      <c r="AA231" s="80">
        <v>0</v>
      </c>
      <c r="AB231" s="80">
        <v>0</v>
      </c>
      <c r="AC231" s="80">
        <v>0</v>
      </c>
      <c r="AD231" s="80">
        <v>0</v>
      </c>
      <c r="AE231" s="80">
        <v>0</v>
      </c>
      <c r="AF231" s="80">
        <f t="shared" si="7"/>
        <v>0</v>
      </c>
      <c r="AG231" s="80">
        <f>+COEF_FCM!AM238</f>
        <v>89227</v>
      </c>
      <c r="AH231" s="80">
        <f>+COEF_FCM!AR238</f>
        <v>289</v>
      </c>
      <c r="AI231" s="80">
        <f>+COEF_FCM!AN238</f>
        <v>68151</v>
      </c>
      <c r="AJ231" s="80">
        <f>+COEF_FCM!AS238</f>
        <v>194</v>
      </c>
      <c r="AK231" s="80">
        <f>+COEF_FCM!AO238</f>
        <v>75294</v>
      </c>
      <c r="AL231" s="80">
        <f>+COEF_FCM!AT238</f>
        <v>172.726</v>
      </c>
      <c r="AM231" s="80">
        <f>+COEF_FCM!AP238</f>
        <v>64753</v>
      </c>
      <c r="AN231" s="80">
        <f>+COEF_FCM!AU238</f>
        <v>168</v>
      </c>
      <c r="AO231" s="80">
        <f>+COEF_FCM!AQ238</f>
        <v>297425</v>
      </c>
      <c r="AP231" s="80">
        <f>+COEF_FCM!AV238</f>
        <v>823.726</v>
      </c>
      <c r="AQ231" s="80">
        <f>+_CIERRE!O231+_CIERRE!P231</f>
        <v>2535612.5189999999</v>
      </c>
      <c r="AR231" s="80">
        <f>+_CIERRE!Q231+_CIERRE!R231</f>
        <v>2916007.182</v>
      </c>
      <c r="AS231" s="80">
        <f>+_CIERRE!S231+_CIERRE!T231</f>
        <v>3155268.9559999998</v>
      </c>
      <c r="AT231" s="80">
        <f>+_CIERRE!U231+_CIERRE!V231</f>
        <v>3184785.469</v>
      </c>
      <c r="AU231" s="80">
        <f>+'CALC MEC ESTAB Y ESTIM M FINAL'!T236</f>
        <v>3189858</v>
      </c>
      <c r="AV231" s="560">
        <v>0</v>
      </c>
      <c r="AW231" s="551">
        <v>0</v>
      </c>
      <c r="AX231" s="551">
        <v>0</v>
      </c>
      <c r="AY231" s="551">
        <v>0</v>
      </c>
      <c r="AZ231" s="551">
        <v>372857.136</v>
      </c>
      <c r="BA231" s="551">
        <v>372322.78100000002</v>
      </c>
    </row>
    <row r="232" spans="1:53" ht="3" customHeight="1" x14ac:dyDescent="0.2">
      <c r="A232" s="68">
        <f>IF(LEN(+'_DATA STT PAGOS_'!M237)=4,"0"&amp;+'_DATA STT PAGOS_'!M237,+'_DATA STT PAGOS_'!M237)</f>
        <v>10306</v>
      </c>
      <c r="B232" s="68">
        <f>IF(LEN(+'_DATA STT PAGOS_'!N237)=4,"0"&amp;+'_DATA STT PAGOS_'!N237,+'_DATA STT PAGOS_'!N237)</f>
        <v>10207</v>
      </c>
      <c r="C232" s="76" t="str">
        <f>+'_DATA STT PAGOS_'!O237</f>
        <v>SAN JUAN DE LA COSTA</v>
      </c>
      <c r="D232" s="80">
        <f>+'CALC MEC ESTAB Y ESTIM M FINAL'!U237</f>
        <v>6730302</v>
      </c>
      <c r="E232" s="77">
        <f>+'CALC MEC ESTAB Y ESTIM M FINAL'!Q237</f>
        <v>2.8827170536000002E-3</v>
      </c>
      <c r="F232" s="77">
        <f>+'CALC MEC ESTAB Y ESTIM M FINAL'!R237</f>
        <v>-5.1152403790000005E-4</v>
      </c>
      <c r="G232" s="80">
        <f>+'_Flujo con Glosa 08'!CE237</f>
        <v>267889</v>
      </c>
      <c r="H232" s="80">
        <f>+'_Flujo con Glosa 08'!CF237</f>
        <v>267889</v>
      </c>
      <c r="I232" s="80">
        <f>+'_Flujo con Glosa 08'!CG237</f>
        <v>296590</v>
      </c>
      <c r="J232" s="80">
        <f>+'_Flujo con Glosa 08'!CH237</f>
        <v>267889</v>
      </c>
      <c r="K232" s="80">
        <f>+'_Flujo con Glosa 08'!CI237</f>
        <v>1036357</v>
      </c>
      <c r="L232" s="80">
        <f>+'_Flujo con Glosa 08'!CJ237</f>
        <v>280408</v>
      </c>
      <c r="M232" s="80">
        <f>+'_Flujo con Glosa 08'!CK237</f>
        <v>591966</v>
      </c>
      <c r="N232" s="80">
        <f>+'_Flujo con Glosa 08'!CL237</f>
        <v>267889</v>
      </c>
      <c r="O232" s="80">
        <f>+'_Flujo con Glosa 08'!CM237</f>
        <v>357876</v>
      </c>
      <c r="P232" s="80">
        <f>+'_Flujo con Glosa 08'!CN237</f>
        <v>638350</v>
      </c>
      <c r="Q232" s="80">
        <f>+'_Flujo con Glosa 08'!CO237</f>
        <v>270194</v>
      </c>
      <c r="R232" s="80">
        <f>+'_Flujo con Glosa 08'!CP237</f>
        <v>602168</v>
      </c>
      <c r="S232" s="80">
        <f t="shared" si="6"/>
        <v>5145465</v>
      </c>
      <c r="T232" s="80">
        <v>0</v>
      </c>
      <c r="U232" s="80">
        <v>0</v>
      </c>
      <c r="V232" s="80">
        <v>0</v>
      </c>
      <c r="W232" s="80">
        <v>0</v>
      </c>
      <c r="X232" s="80">
        <v>0</v>
      </c>
      <c r="Y232" s="80">
        <v>0</v>
      </c>
      <c r="Z232" s="80">
        <v>0</v>
      </c>
      <c r="AA232" s="80">
        <v>0</v>
      </c>
      <c r="AB232" s="80">
        <v>0</v>
      </c>
      <c r="AC232" s="80">
        <v>0</v>
      </c>
      <c r="AD232" s="80">
        <v>0</v>
      </c>
      <c r="AE232" s="80">
        <v>0</v>
      </c>
      <c r="AF232" s="80">
        <f t="shared" si="7"/>
        <v>0</v>
      </c>
      <c r="AG232" s="80">
        <f>+COEF_FCM!AM239</f>
        <v>12965</v>
      </c>
      <c r="AH232" s="80">
        <f>+COEF_FCM!AR239</f>
        <v>314</v>
      </c>
      <c r="AI232" s="80">
        <f>+COEF_FCM!AN239</f>
        <v>10973</v>
      </c>
      <c r="AJ232" s="80">
        <f>+COEF_FCM!AS239</f>
        <v>258</v>
      </c>
      <c r="AK232" s="80">
        <f>+COEF_FCM!AO239</f>
        <v>13749</v>
      </c>
      <c r="AL232" s="80">
        <f>+COEF_FCM!AT239</f>
        <v>157.07300000000001</v>
      </c>
      <c r="AM232" s="80">
        <f>+COEF_FCM!AP239</f>
        <v>10704</v>
      </c>
      <c r="AN232" s="80">
        <f>+COEF_FCM!AU239</f>
        <v>82</v>
      </c>
      <c r="AO232" s="80">
        <f>+COEF_FCM!AQ239</f>
        <v>48391</v>
      </c>
      <c r="AP232" s="80">
        <f>+COEF_FCM!AV239</f>
        <v>811.07299999999998</v>
      </c>
      <c r="AQ232" s="80">
        <f>+_CIERRE!O232+_CIERRE!P232</f>
        <v>3636679.07</v>
      </c>
      <c r="AR232" s="80">
        <f>+_CIERRE!Q232+_CIERRE!R232</f>
        <v>4116476.7230000002</v>
      </c>
      <c r="AS232" s="80">
        <f>+_CIERRE!S232+_CIERRE!T232</f>
        <v>4595491.26</v>
      </c>
      <c r="AT232" s="80">
        <f>+_CIERRE!U232+_CIERRE!V232</f>
        <v>5519336.4129999997</v>
      </c>
      <c r="AU232" s="80">
        <f>+'CALC MEC ESTAB Y ESTIM M FINAL'!T237</f>
        <v>6730302</v>
      </c>
      <c r="AV232" s="560">
        <v>0</v>
      </c>
      <c r="AW232" s="551">
        <v>0</v>
      </c>
      <c r="AX232" s="551">
        <v>0</v>
      </c>
      <c r="AY232" s="551">
        <v>0</v>
      </c>
      <c r="AZ232" s="551">
        <v>398517.27500000002</v>
      </c>
      <c r="BA232" s="551">
        <v>407732.65299999999</v>
      </c>
    </row>
    <row r="233" spans="1:53" ht="3" customHeight="1" x14ac:dyDescent="0.2">
      <c r="A233" s="68">
        <f>IF(LEN(+'_DATA STT PAGOS_'!M238)=4,"0"&amp;+'_DATA STT PAGOS_'!M238,+'_DATA STT PAGOS_'!M238)</f>
        <v>10307</v>
      </c>
      <c r="B233" s="68">
        <f>IF(LEN(+'_DATA STT PAGOS_'!N238)=4,"0"&amp;+'_DATA STT PAGOS_'!N238,+'_DATA STT PAGOS_'!N238)</f>
        <v>10202</v>
      </c>
      <c r="C233" s="76" t="str">
        <f>+'_DATA STT PAGOS_'!O238</f>
        <v>SAN PABLO</v>
      </c>
      <c r="D233" s="80">
        <f>+'CALC MEC ESTAB Y ESTIM M FINAL'!U238</f>
        <v>2892810</v>
      </c>
      <c r="E233" s="77">
        <f>+'CALC MEC ESTAB Y ESTIM M FINAL'!Q238</f>
        <v>1.0759287710999999E-3</v>
      </c>
      <c r="F233" s="77">
        <f>+'CALC MEC ESTAB Y ESTIM M FINAL'!R238</f>
        <v>-5.6745772200000001E-5</v>
      </c>
      <c r="G233" s="80">
        <f>+'_Flujo con Glosa 08'!CE238</f>
        <v>133770</v>
      </c>
      <c r="H233" s="80">
        <f>+'_Flujo con Glosa 08'!CF238</f>
        <v>133770</v>
      </c>
      <c r="I233" s="80">
        <f>+'_Flujo con Glosa 08'!CG238</f>
        <v>127480</v>
      </c>
      <c r="J233" s="80">
        <f>+'_Flujo con Glosa 08'!CH238</f>
        <v>133770</v>
      </c>
      <c r="K233" s="80">
        <f>+'_Flujo con Glosa 08'!CI238</f>
        <v>389566</v>
      </c>
      <c r="L233" s="80">
        <f>+'_Flujo con Glosa 08'!CJ238</f>
        <v>137623</v>
      </c>
      <c r="M233" s="80">
        <f>+'_Flujo con Glosa 08'!CK238</f>
        <v>237339</v>
      </c>
      <c r="N233" s="80">
        <f>+'_Flujo con Glosa 08'!CL238</f>
        <v>133770</v>
      </c>
      <c r="O233" s="80">
        <f>+'_Flujo con Glosa 08'!CM238</f>
        <v>153822</v>
      </c>
      <c r="P233" s="80">
        <f>+'_Flujo con Glosa 08'!CN238</f>
        <v>255749</v>
      </c>
      <c r="Q233" s="80">
        <f>+'_Flujo con Glosa 08'!CO238</f>
        <v>133770</v>
      </c>
      <c r="R233" s="80">
        <f>+'_Flujo con Glosa 08'!CP238</f>
        <v>241188</v>
      </c>
      <c r="S233" s="80">
        <f t="shared" si="6"/>
        <v>2211617</v>
      </c>
      <c r="T233" s="80">
        <v>0</v>
      </c>
      <c r="U233" s="80">
        <v>0</v>
      </c>
      <c r="V233" s="80">
        <v>0</v>
      </c>
      <c r="W233" s="80">
        <v>0</v>
      </c>
      <c r="X233" s="80">
        <v>0</v>
      </c>
      <c r="Y233" s="80">
        <v>0</v>
      </c>
      <c r="Z233" s="80">
        <v>0</v>
      </c>
      <c r="AA233" s="80">
        <v>0</v>
      </c>
      <c r="AB233" s="80">
        <v>0</v>
      </c>
      <c r="AC233" s="80">
        <v>0</v>
      </c>
      <c r="AD233" s="80">
        <v>0</v>
      </c>
      <c r="AE233" s="80">
        <v>0</v>
      </c>
      <c r="AF233" s="80">
        <f t="shared" si="7"/>
        <v>0</v>
      </c>
      <c r="AG233" s="80">
        <f>+COEF_FCM!AM240</f>
        <v>77450</v>
      </c>
      <c r="AH233" s="80">
        <f>+COEF_FCM!AR240</f>
        <v>219</v>
      </c>
      <c r="AI233" s="80">
        <f>+COEF_FCM!AN240</f>
        <v>38179</v>
      </c>
      <c r="AJ233" s="80">
        <f>+COEF_FCM!AS240</f>
        <v>117</v>
      </c>
      <c r="AK233" s="80">
        <f>+COEF_FCM!AO240</f>
        <v>45616</v>
      </c>
      <c r="AL233" s="80">
        <f>+COEF_FCM!AT240</f>
        <v>219.24100000000001</v>
      </c>
      <c r="AM233" s="80">
        <f>+COEF_FCM!AP240</f>
        <v>45322</v>
      </c>
      <c r="AN233" s="80">
        <f>+COEF_FCM!AU240</f>
        <v>175</v>
      </c>
      <c r="AO233" s="80">
        <f>+COEF_FCM!AQ240</f>
        <v>206567</v>
      </c>
      <c r="AP233" s="80">
        <f>+COEF_FCM!AV240</f>
        <v>730.24099999999999</v>
      </c>
      <c r="AQ233" s="80">
        <f>+_CIERRE!O233+_CIERRE!P233</f>
        <v>2234157.875</v>
      </c>
      <c r="AR233" s="80">
        <f>+_CIERRE!Q233+_CIERRE!R233</f>
        <v>2483204.7149999999</v>
      </c>
      <c r="AS233" s="80">
        <f>+_CIERRE!S233+_CIERRE!T233</f>
        <v>2635668.6439999999</v>
      </c>
      <c r="AT233" s="80">
        <f>+_CIERRE!U233+_CIERRE!V233</f>
        <v>2758470.943</v>
      </c>
      <c r="AU233" s="80">
        <f>+'CALC MEC ESTAB Y ESTIM M FINAL'!T238</f>
        <v>2892810</v>
      </c>
      <c r="AV233" s="560">
        <v>0</v>
      </c>
      <c r="AW233" s="551">
        <v>0</v>
      </c>
      <c r="AX233" s="551">
        <v>0</v>
      </c>
      <c r="AY233" s="551">
        <v>0</v>
      </c>
      <c r="AZ233" s="551">
        <v>340934.85700000002</v>
      </c>
      <c r="BA233" s="551">
        <v>351243.109</v>
      </c>
    </row>
    <row r="234" spans="1:53" ht="3" customHeight="1" x14ac:dyDescent="0.2">
      <c r="A234" s="68">
        <f>IF(LEN(+'_DATA STT PAGOS_'!M239)=4,"0"&amp;+'_DATA STT PAGOS_'!M239,+'_DATA STT PAGOS_'!M239)</f>
        <v>10401</v>
      </c>
      <c r="B234" s="68">
        <f>IF(LEN(+'_DATA STT PAGOS_'!N239)=4,"0"&amp;+'_DATA STT PAGOS_'!N239,+'_DATA STT PAGOS_'!N239)</f>
        <v>10501</v>
      </c>
      <c r="C234" s="76" t="str">
        <f>+'_DATA STT PAGOS_'!O239</f>
        <v>CHAITÉN</v>
      </c>
      <c r="D234" s="80">
        <f>+'CALC MEC ESTAB Y ESTIM M FINAL'!U239</f>
        <v>3206790</v>
      </c>
      <c r="E234" s="77">
        <f>+'CALC MEC ESTAB Y ESTIM M FINAL'!Q239</f>
        <v>1.2122549189999999E-3</v>
      </c>
      <c r="F234" s="77">
        <f>+'CALC MEC ESTAB Y ESTIM M FINAL'!R239</f>
        <v>-8.2451450200000001E-5</v>
      </c>
      <c r="G234" s="80">
        <f>+'_Flujo con Glosa 08'!CE239</f>
        <v>146095</v>
      </c>
      <c r="H234" s="80">
        <f>+'_Flujo con Glosa 08'!CF239</f>
        <v>146095</v>
      </c>
      <c r="I234" s="80">
        <f>+'_Flujo con Glosa 08'!CG239</f>
        <v>141317</v>
      </c>
      <c r="J234" s="80">
        <f>+'_Flujo con Glosa 08'!CH239</f>
        <v>146095</v>
      </c>
      <c r="K234" s="80">
        <f>+'_Flujo con Glosa 08'!CI239</f>
        <v>438433</v>
      </c>
      <c r="L234" s="80">
        <f>+'_Flujo con Glosa 08'!CJ239</f>
        <v>150366</v>
      </c>
      <c r="M234" s="80">
        <f>+'_Flujo con Glosa 08'!CK239</f>
        <v>265294</v>
      </c>
      <c r="N234" s="80">
        <f>+'_Flujo con Glosa 08'!CL239</f>
        <v>146095</v>
      </c>
      <c r="O234" s="80">
        <f>+'_Flujo con Glosa 08'!CM239</f>
        <v>170518</v>
      </c>
      <c r="P234" s="80">
        <f>+'_Flujo con Glosa 08'!CN239</f>
        <v>285701</v>
      </c>
      <c r="Q234" s="80">
        <f>+'_Flujo con Glosa 08'!CO239</f>
        <v>146095</v>
      </c>
      <c r="R234" s="80">
        <f>+'_Flujo con Glosa 08'!CP239</f>
        <v>269561</v>
      </c>
      <c r="S234" s="80">
        <f t="shared" si="6"/>
        <v>2451665</v>
      </c>
      <c r="T234" s="80">
        <v>0</v>
      </c>
      <c r="U234" s="80">
        <v>0</v>
      </c>
      <c r="V234" s="80">
        <v>0</v>
      </c>
      <c r="W234" s="80">
        <v>0</v>
      </c>
      <c r="X234" s="80">
        <v>0</v>
      </c>
      <c r="Y234" s="80">
        <v>0</v>
      </c>
      <c r="Z234" s="80">
        <v>0</v>
      </c>
      <c r="AA234" s="80">
        <v>0</v>
      </c>
      <c r="AB234" s="80">
        <v>0</v>
      </c>
      <c r="AC234" s="80">
        <v>0</v>
      </c>
      <c r="AD234" s="80">
        <v>0</v>
      </c>
      <c r="AE234" s="80">
        <v>0</v>
      </c>
      <c r="AF234" s="80">
        <f t="shared" si="7"/>
        <v>0</v>
      </c>
      <c r="AG234" s="80">
        <f>+COEF_FCM!AM241</f>
        <v>12858</v>
      </c>
      <c r="AH234" s="80">
        <f>+COEF_FCM!AR241</f>
        <v>210</v>
      </c>
      <c r="AI234" s="80">
        <f>+COEF_FCM!AN241</f>
        <v>10248</v>
      </c>
      <c r="AJ234" s="80">
        <f>+COEF_FCM!AS241</f>
        <v>152</v>
      </c>
      <c r="AK234" s="80">
        <f>+COEF_FCM!AO241</f>
        <v>11263</v>
      </c>
      <c r="AL234" s="80">
        <f>+COEF_FCM!AT241</f>
        <v>175.86099999999999</v>
      </c>
      <c r="AM234" s="80">
        <f>+COEF_FCM!AP241</f>
        <v>8248</v>
      </c>
      <c r="AN234" s="80">
        <f>+COEF_FCM!AU241</f>
        <v>65</v>
      </c>
      <c r="AO234" s="80">
        <f>+COEF_FCM!AQ241</f>
        <v>42617</v>
      </c>
      <c r="AP234" s="80">
        <f>+COEF_FCM!AV241</f>
        <v>602.86099999999999</v>
      </c>
      <c r="AQ234" s="80">
        <f>+_CIERRE!O234+_CIERRE!P234</f>
        <v>2382109.2519999999</v>
      </c>
      <c r="AR234" s="80">
        <f>+_CIERRE!Q234+_CIERRE!R234</f>
        <v>2582636.747</v>
      </c>
      <c r="AS234" s="80">
        <f>+_CIERRE!S234+_CIERRE!T234</f>
        <v>2770094.97</v>
      </c>
      <c r="AT234" s="80">
        <f>+_CIERRE!U234+_CIERRE!V234</f>
        <v>3011596.4840000002</v>
      </c>
      <c r="AU234" s="80">
        <f>+'CALC MEC ESTAB Y ESTIM M FINAL'!T239</f>
        <v>3206790</v>
      </c>
      <c r="AV234" s="560">
        <v>0</v>
      </c>
      <c r="AW234" s="551">
        <v>0</v>
      </c>
      <c r="AX234" s="551">
        <v>0</v>
      </c>
      <c r="AY234" s="551">
        <v>0</v>
      </c>
      <c r="AZ234" s="551">
        <v>322986.98200000002</v>
      </c>
      <c r="BA234" s="551">
        <v>331542.37699999998</v>
      </c>
    </row>
    <row r="235" spans="1:53" ht="3" customHeight="1" x14ac:dyDescent="0.2">
      <c r="A235" s="68">
        <f>IF(LEN(+'_DATA STT PAGOS_'!M240)=4,"0"&amp;+'_DATA STT PAGOS_'!M240,+'_DATA STT PAGOS_'!M240)</f>
        <v>10402</v>
      </c>
      <c r="B235" s="68">
        <f>IF(LEN(+'_DATA STT PAGOS_'!N240)=4,"0"&amp;+'_DATA STT PAGOS_'!N240,+'_DATA STT PAGOS_'!N240)</f>
        <v>10503</v>
      </c>
      <c r="C235" s="76" t="str">
        <f>+'_DATA STT PAGOS_'!O240</f>
        <v>FUTALEUFÚ</v>
      </c>
      <c r="D235" s="80">
        <f>+'CALC MEC ESTAB Y ESTIM M FINAL'!U240</f>
        <v>2763957</v>
      </c>
      <c r="E235" s="77">
        <f>+'CALC MEC ESTAB Y ESTIM M FINAL'!Q240</f>
        <v>7.9090937229999998E-4</v>
      </c>
      <c r="F235" s="77">
        <f>+'CALC MEC ESTAB Y ESTIM M FINAL'!R240</f>
        <v>1.8287700439999999E-4</v>
      </c>
      <c r="G235" s="80">
        <f>+'_Flujo con Glosa 08'!CE240</f>
        <v>134088</v>
      </c>
      <c r="H235" s="80">
        <f>+'_Flujo con Glosa 08'!CF240</f>
        <v>134088</v>
      </c>
      <c r="I235" s="80">
        <f>+'_Flujo con Glosa 08'!CG240</f>
        <v>121802</v>
      </c>
      <c r="J235" s="80">
        <f>+'_Flujo con Glosa 08'!CH240</f>
        <v>134088</v>
      </c>
      <c r="K235" s="80">
        <f>+'_Flujo con Glosa 08'!CI240</f>
        <v>353385</v>
      </c>
      <c r="L235" s="80">
        <f>+'_Flujo con Glosa 08'!CJ240</f>
        <v>137769</v>
      </c>
      <c r="M235" s="80">
        <f>+'_Flujo con Glosa 08'!CK240</f>
        <v>225191</v>
      </c>
      <c r="N235" s="80">
        <f>+'_Flujo con Glosa 08'!CL240</f>
        <v>134088</v>
      </c>
      <c r="O235" s="80">
        <f>+'_Flujo con Glosa 08'!CM240</f>
        <v>146970</v>
      </c>
      <c r="P235" s="80">
        <f>+'_Flujo con Glosa 08'!CN240</f>
        <v>233381</v>
      </c>
      <c r="Q235" s="80">
        <f>+'_Flujo con Glosa 08'!CO240</f>
        <v>134088</v>
      </c>
      <c r="R235" s="80">
        <f>+'_Flujo con Glosa 08'!CP240</f>
        <v>224168</v>
      </c>
      <c r="S235" s="80">
        <f t="shared" si="6"/>
        <v>2113106</v>
      </c>
      <c r="T235" s="80">
        <v>0</v>
      </c>
      <c r="U235" s="80">
        <v>0</v>
      </c>
      <c r="V235" s="80">
        <v>0</v>
      </c>
      <c r="W235" s="80">
        <v>0</v>
      </c>
      <c r="X235" s="80">
        <v>0</v>
      </c>
      <c r="Y235" s="80">
        <v>0</v>
      </c>
      <c r="Z235" s="80">
        <v>0</v>
      </c>
      <c r="AA235" s="80">
        <v>0</v>
      </c>
      <c r="AB235" s="80">
        <v>0</v>
      </c>
      <c r="AC235" s="80">
        <v>0</v>
      </c>
      <c r="AD235" s="80">
        <v>0</v>
      </c>
      <c r="AE235" s="80">
        <v>0</v>
      </c>
      <c r="AF235" s="80">
        <f t="shared" si="7"/>
        <v>0</v>
      </c>
      <c r="AG235" s="80">
        <f>+COEF_FCM!AM242</f>
        <v>11580</v>
      </c>
      <c r="AH235" s="80">
        <f>+COEF_FCM!AR242</f>
        <v>0</v>
      </c>
      <c r="AI235" s="80">
        <f>+COEF_FCM!AN242</f>
        <v>7136</v>
      </c>
      <c r="AJ235" s="80">
        <f>+COEF_FCM!AS242</f>
        <v>108</v>
      </c>
      <c r="AK235" s="80">
        <f>+COEF_FCM!AO242</f>
        <v>6826</v>
      </c>
      <c r="AL235" s="80">
        <f>+COEF_FCM!AT242</f>
        <v>0</v>
      </c>
      <c r="AM235" s="80">
        <f>+COEF_FCM!AP242</f>
        <v>4303</v>
      </c>
      <c r="AN235" s="80">
        <f>+COEF_FCM!AU242</f>
        <v>0</v>
      </c>
      <c r="AO235" s="80">
        <f>+COEF_FCM!AQ242</f>
        <v>29845</v>
      </c>
      <c r="AP235" s="80">
        <f>+COEF_FCM!AV242</f>
        <v>108</v>
      </c>
      <c r="AQ235" s="80">
        <f>+_CIERRE!O235+_CIERRE!P235</f>
        <v>2315213.2510000002</v>
      </c>
      <c r="AR235" s="80">
        <f>+_CIERRE!Q235+_CIERRE!R235</f>
        <v>2510109.7259999998</v>
      </c>
      <c r="AS235" s="80">
        <f>+_CIERRE!S235+_CIERRE!T235</f>
        <v>2738341.429</v>
      </c>
      <c r="AT235" s="80">
        <f>+_CIERRE!U235+_CIERRE!V235</f>
        <v>2763957.085</v>
      </c>
      <c r="AU235" s="80">
        <f>+'CALC MEC ESTAB Y ESTIM M FINAL'!T240</f>
        <v>2763957</v>
      </c>
      <c r="AV235" s="560">
        <v>0</v>
      </c>
      <c r="AW235" s="551">
        <v>0</v>
      </c>
      <c r="AX235" s="551">
        <v>0</v>
      </c>
      <c r="AY235" s="551">
        <v>0</v>
      </c>
      <c r="AZ235" s="551">
        <v>288285.76799999998</v>
      </c>
      <c r="BA235" s="551">
        <v>296818.41800000001</v>
      </c>
    </row>
    <row r="236" spans="1:53" ht="3" customHeight="1" x14ac:dyDescent="0.2">
      <c r="A236" s="68">
        <f>IF(LEN(+'_DATA STT PAGOS_'!M241)=4,"0"&amp;+'_DATA STT PAGOS_'!M241,+'_DATA STT PAGOS_'!M241)</f>
        <v>10403</v>
      </c>
      <c r="B236" s="68">
        <f>IF(LEN(+'_DATA STT PAGOS_'!N241)=4,"0"&amp;+'_DATA STT PAGOS_'!N241,+'_DATA STT PAGOS_'!N241)</f>
        <v>10502</v>
      </c>
      <c r="C236" s="76" t="str">
        <f>+'_DATA STT PAGOS_'!O241</f>
        <v>HUALAIHUÉ</v>
      </c>
      <c r="D236" s="80">
        <f>+'CALC MEC ESTAB Y ESTIM M FINAL'!U241</f>
        <v>4721702</v>
      </c>
      <c r="E236" s="77">
        <f>+'CALC MEC ESTAB Y ESTIM M FINAL'!Q241</f>
        <v>1.9214217726999999E-3</v>
      </c>
      <c r="F236" s="77">
        <f>+'CALC MEC ESTAB Y ESTIM M FINAL'!R241</f>
        <v>-2.5789071209999999E-4</v>
      </c>
      <c r="G236" s="80">
        <f>+'_Flujo con Glosa 08'!CE241</f>
        <v>199466</v>
      </c>
      <c r="H236" s="80">
        <f>+'_Flujo con Glosa 08'!CF241</f>
        <v>199466</v>
      </c>
      <c r="I236" s="80">
        <f>+'_Flujo con Glosa 08'!CG241</f>
        <v>208076</v>
      </c>
      <c r="J236" s="80">
        <f>+'_Flujo con Glosa 08'!CH241</f>
        <v>199466</v>
      </c>
      <c r="K236" s="80">
        <f>+'_Flujo con Glosa 08'!CI241</f>
        <v>692487</v>
      </c>
      <c r="L236" s="80">
        <f>+'_Flujo con Glosa 08'!CJ241</f>
        <v>205755</v>
      </c>
      <c r="M236" s="80">
        <f>+'_Flujo con Glosa 08'!CK241</f>
        <v>406267</v>
      </c>
      <c r="N236" s="80">
        <f>+'_Flujo con Glosa 08'!CL241</f>
        <v>199466</v>
      </c>
      <c r="O236" s="80">
        <f>+'_Flujo con Glosa 08'!CM241</f>
        <v>251071</v>
      </c>
      <c r="P236" s="80">
        <f>+'_Flujo con Glosa 08'!CN241</f>
        <v>436313</v>
      </c>
      <c r="Q236" s="80">
        <f>+'_Flujo con Glosa 08'!CO241</f>
        <v>199466</v>
      </c>
      <c r="R236" s="80">
        <f>+'_Flujo con Glosa 08'!CP241</f>
        <v>412548</v>
      </c>
      <c r="S236" s="80">
        <f t="shared" si="6"/>
        <v>3609847</v>
      </c>
      <c r="T236" s="80">
        <v>0</v>
      </c>
      <c r="U236" s="80">
        <v>0</v>
      </c>
      <c r="V236" s="80">
        <v>0</v>
      </c>
      <c r="W236" s="80">
        <v>0</v>
      </c>
      <c r="X236" s="80">
        <v>0</v>
      </c>
      <c r="Y236" s="80">
        <v>0</v>
      </c>
      <c r="Z236" s="80">
        <v>0</v>
      </c>
      <c r="AA236" s="80">
        <v>0</v>
      </c>
      <c r="AB236" s="80">
        <v>0</v>
      </c>
      <c r="AC236" s="80">
        <v>0</v>
      </c>
      <c r="AD236" s="80">
        <v>0</v>
      </c>
      <c r="AE236" s="80">
        <v>0</v>
      </c>
      <c r="AF236" s="80">
        <f t="shared" si="7"/>
        <v>0</v>
      </c>
      <c r="AG236" s="80">
        <f>+COEF_FCM!AM243</f>
        <v>15106</v>
      </c>
      <c r="AH236" s="80">
        <f>+COEF_FCM!AR243</f>
        <v>0</v>
      </c>
      <c r="AI236" s="80">
        <f>+COEF_FCM!AN243</f>
        <v>6934</v>
      </c>
      <c r="AJ236" s="80">
        <f>+COEF_FCM!AS243</f>
        <v>0</v>
      </c>
      <c r="AK236" s="80">
        <f>+COEF_FCM!AO243</f>
        <v>8224</v>
      </c>
      <c r="AL236" s="80">
        <f>+COEF_FCM!AT243</f>
        <v>0</v>
      </c>
      <c r="AM236" s="80">
        <f>+COEF_FCM!AP243</f>
        <v>8824</v>
      </c>
      <c r="AN236" s="80">
        <f>+COEF_FCM!AU243</f>
        <v>0</v>
      </c>
      <c r="AO236" s="80">
        <f>+COEF_FCM!AQ243</f>
        <v>39088</v>
      </c>
      <c r="AP236" s="80">
        <f>+COEF_FCM!AV243</f>
        <v>0</v>
      </c>
      <c r="AQ236" s="80">
        <f>+_CIERRE!O236+_CIERRE!P236</f>
        <v>2714878.7749999999</v>
      </c>
      <c r="AR236" s="80">
        <f>+_CIERRE!Q236+_CIERRE!R236</f>
        <v>3059316.233</v>
      </c>
      <c r="AS236" s="80">
        <f>+_CIERRE!S236+_CIERRE!T236</f>
        <v>3445817.4920000001</v>
      </c>
      <c r="AT236" s="80">
        <f>+_CIERRE!U236+_CIERRE!V236</f>
        <v>4111179.5440000002</v>
      </c>
      <c r="AU236" s="80">
        <f>+'CALC MEC ESTAB Y ESTIM M FINAL'!T241</f>
        <v>4721702</v>
      </c>
      <c r="AV236" s="560">
        <v>0</v>
      </c>
      <c r="AW236" s="551">
        <v>0</v>
      </c>
      <c r="AX236" s="551">
        <v>0</v>
      </c>
      <c r="AY236" s="551">
        <v>0</v>
      </c>
      <c r="AZ236" s="551">
        <v>327372.23100000003</v>
      </c>
      <c r="BA236" s="551">
        <v>337043.92599999998</v>
      </c>
    </row>
    <row r="237" spans="1:53" ht="3" customHeight="1" x14ac:dyDescent="0.2">
      <c r="A237" s="68">
        <f>IF(LEN(+'_DATA STT PAGOS_'!M242)=4,"0"&amp;+'_DATA STT PAGOS_'!M242,+'_DATA STT PAGOS_'!M242)</f>
        <v>10404</v>
      </c>
      <c r="B237" s="68">
        <f>IF(LEN(+'_DATA STT PAGOS_'!N242)=4,"0"&amp;+'_DATA STT PAGOS_'!N242,+'_DATA STT PAGOS_'!N242)</f>
        <v>10504</v>
      </c>
      <c r="C237" s="76" t="str">
        <f>+'_DATA STT PAGOS_'!O242</f>
        <v>PALENA</v>
      </c>
      <c r="D237" s="80">
        <f>+'CALC MEC ESTAB Y ESTIM M FINAL'!U242</f>
        <v>2370126</v>
      </c>
      <c r="E237" s="77">
        <f>+'CALC MEC ESTAB Y ESTIM M FINAL'!Q242</f>
        <v>8.7558731570000004E-4</v>
      </c>
      <c r="F237" s="77">
        <f>+'CALC MEC ESTAB Y ESTIM M FINAL'!R242</f>
        <v>-4.0554034699999999E-5</v>
      </c>
      <c r="G237" s="80">
        <f>+'_Flujo con Glosa 08'!CE242</f>
        <v>110330</v>
      </c>
      <c r="H237" s="80">
        <f>+'_Flujo con Glosa 08'!CF242</f>
        <v>110330</v>
      </c>
      <c r="I237" s="80">
        <f>+'_Flujo con Glosa 08'!CG242</f>
        <v>104447</v>
      </c>
      <c r="J237" s="80">
        <f>+'_Flujo con Glosa 08'!CH242</f>
        <v>110330</v>
      </c>
      <c r="K237" s="80">
        <f>+'_Flujo con Glosa 08'!CI242</f>
        <v>316986</v>
      </c>
      <c r="L237" s="80">
        <f>+'_Flujo con Glosa 08'!CJ242</f>
        <v>113487</v>
      </c>
      <c r="M237" s="80">
        <f>+'_Flujo con Glosa 08'!CK242</f>
        <v>193726</v>
      </c>
      <c r="N237" s="80">
        <f>+'_Flujo con Glosa 08'!CL242</f>
        <v>110330</v>
      </c>
      <c r="O237" s="80">
        <f>+'_Flujo con Glosa 08'!CM242</f>
        <v>126028</v>
      </c>
      <c r="P237" s="80">
        <f>+'_Flujo con Glosa 08'!CN242</f>
        <v>208809</v>
      </c>
      <c r="Q237" s="80">
        <f>+'_Flujo con Glosa 08'!CO242</f>
        <v>110330</v>
      </c>
      <c r="R237" s="80">
        <f>+'_Flujo con Glosa 08'!CP242</f>
        <v>196880</v>
      </c>
      <c r="S237" s="80">
        <f t="shared" si="6"/>
        <v>1812013</v>
      </c>
      <c r="T237" s="80">
        <v>0</v>
      </c>
      <c r="U237" s="80">
        <v>0</v>
      </c>
      <c r="V237" s="80">
        <v>0</v>
      </c>
      <c r="W237" s="80">
        <v>0</v>
      </c>
      <c r="X237" s="80">
        <v>0</v>
      </c>
      <c r="Y237" s="80">
        <v>0</v>
      </c>
      <c r="Z237" s="80">
        <v>0</v>
      </c>
      <c r="AA237" s="80">
        <v>0</v>
      </c>
      <c r="AB237" s="80">
        <v>0</v>
      </c>
      <c r="AC237" s="80">
        <v>0</v>
      </c>
      <c r="AD237" s="80">
        <v>0</v>
      </c>
      <c r="AE237" s="80">
        <v>0</v>
      </c>
      <c r="AF237" s="80">
        <f t="shared" si="7"/>
        <v>0</v>
      </c>
      <c r="AG237" s="80">
        <f>+COEF_FCM!AM244</f>
        <v>3967</v>
      </c>
      <c r="AH237" s="80">
        <f>+COEF_FCM!AR244</f>
        <v>0</v>
      </c>
      <c r="AI237" s="80">
        <f>+COEF_FCM!AN244</f>
        <v>1850</v>
      </c>
      <c r="AJ237" s="80">
        <f>+COEF_FCM!AS244</f>
        <v>0</v>
      </c>
      <c r="AK237" s="80">
        <f>+COEF_FCM!AO244</f>
        <v>3127</v>
      </c>
      <c r="AL237" s="80">
        <f>+COEF_FCM!AT244</f>
        <v>0</v>
      </c>
      <c r="AM237" s="80">
        <f>+COEF_FCM!AP244</f>
        <v>1601</v>
      </c>
      <c r="AN237" s="80">
        <f>+COEF_FCM!AU244</f>
        <v>0</v>
      </c>
      <c r="AO237" s="80">
        <f>+COEF_FCM!AQ244</f>
        <v>10545</v>
      </c>
      <c r="AP237" s="80">
        <f>+COEF_FCM!AV244</f>
        <v>0</v>
      </c>
      <c r="AQ237" s="80">
        <f>+_CIERRE!O237+_CIERRE!P237</f>
        <v>1693626.2350000001</v>
      </c>
      <c r="AR237" s="80">
        <f>+_CIERRE!Q237+_CIERRE!R237</f>
        <v>1960000.2320000001</v>
      </c>
      <c r="AS237" s="80">
        <f>+_CIERRE!S237+_CIERRE!T237</f>
        <v>2163685.9789999998</v>
      </c>
      <c r="AT237" s="80">
        <f>+_CIERRE!U237+_CIERRE!V237</f>
        <v>2274120.16</v>
      </c>
      <c r="AU237" s="80">
        <f>+'CALC MEC ESTAB Y ESTIM M FINAL'!T242</f>
        <v>2370126</v>
      </c>
      <c r="AV237" s="560">
        <v>0</v>
      </c>
      <c r="AW237" s="551">
        <v>0</v>
      </c>
      <c r="AX237" s="551">
        <v>0</v>
      </c>
      <c r="AY237" s="551">
        <v>0</v>
      </c>
      <c r="AZ237" s="551">
        <v>290950.25799999997</v>
      </c>
      <c r="BA237" s="551">
        <v>299258.24200000003</v>
      </c>
    </row>
    <row r="238" spans="1:53" ht="3" customHeight="1" x14ac:dyDescent="0.2">
      <c r="A238" s="68">
        <f>IF(LEN(+'_DATA STT PAGOS_'!M243)=4,"0"&amp;+'_DATA STT PAGOS_'!M243,+'_DATA STT PAGOS_'!M243)</f>
        <v>11101</v>
      </c>
      <c r="B238" s="68">
        <f>IF(LEN(+'_DATA STT PAGOS_'!N243)=4,"0"&amp;+'_DATA STT PAGOS_'!N243,+'_DATA STT PAGOS_'!N243)</f>
        <v>11401</v>
      </c>
      <c r="C238" s="76" t="str">
        <f>+'_DATA STT PAGOS_'!O243</f>
        <v>COYHAIQUE</v>
      </c>
      <c r="D238" s="80">
        <f>+'CALC MEC ESTAB Y ESTIM M FINAL'!U243</f>
        <v>11651814</v>
      </c>
      <c r="E238" s="77">
        <f>+'CALC MEC ESTAB Y ESTIM M FINAL'!Q243</f>
        <v>3.7174535196000001E-3</v>
      </c>
      <c r="F238" s="77">
        <f>+'CALC MEC ESTAB Y ESTIM M FINAL'!R243</f>
        <v>3.8766665299999999E-4</v>
      </c>
      <c r="G238" s="80">
        <f>+'_Flujo con Glosa 08'!CE243</f>
        <v>565265</v>
      </c>
      <c r="H238" s="80">
        <f>+'_Flujo con Glosa 08'!CF243</f>
        <v>565265</v>
      </c>
      <c r="I238" s="80">
        <f>+'_Flujo con Glosa 08'!CG243</f>
        <v>513471</v>
      </c>
      <c r="J238" s="80">
        <f>+'_Flujo con Glosa 08'!CH243</f>
        <v>565265</v>
      </c>
      <c r="K238" s="80">
        <f>+'_Flujo con Glosa 08'!CI243</f>
        <v>1489738</v>
      </c>
      <c r="L238" s="80">
        <f>+'_Flujo con Glosa 08'!CJ243</f>
        <v>580784</v>
      </c>
      <c r="M238" s="80">
        <f>+'_Flujo con Glosa 08'!CK243</f>
        <v>949320</v>
      </c>
      <c r="N238" s="80">
        <f>+'_Flujo con Glosa 08'!CL243</f>
        <v>565265</v>
      </c>
      <c r="O238" s="80">
        <f>+'_Flujo con Glosa 08'!CM243</f>
        <v>619571</v>
      </c>
      <c r="P238" s="80">
        <f>+'_Flujo con Glosa 08'!CN243</f>
        <v>983848</v>
      </c>
      <c r="Q238" s="80">
        <f>+'_Flujo con Glosa 08'!CO243</f>
        <v>565265</v>
      </c>
      <c r="R238" s="80">
        <f>+'_Flujo con Glosa 08'!CP243</f>
        <v>945011</v>
      </c>
      <c r="S238" s="80">
        <f t="shared" si="6"/>
        <v>8908068</v>
      </c>
      <c r="T238" s="80">
        <v>0</v>
      </c>
      <c r="U238" s="80">
        <v>0</v>
      </c>
      <c r="V238" s="80">
        <v>0</v>
      </c>
      <c r="W238" s="80">
        <v>0</v>
      </c>
      <c r="X238" s="80">
        <v>0</v>
      </c>
      <c r="Y238" s="80">
        <v>0</v>
      </c>
      <c r="Z238" s="80">
        <v>0</v>
      </c>
      <c r="AA238" s="80">
        <v>0</v>
      </c>
      <c r="AB238" s="80">
        <v>0</v>
      </c>
      <c r="AC238" s="80">
        <v>0</v>
      </c>
      <c r="AD238" s="80">
        <v>0</v>
      </c>
      <c r="AE238" s="80">
        <v>0</v>
      </c>
      <c r="AF238" s="80">
        <f t="shared" si="7"/>
        <v>0</v>
      </c>
      <c r="AG238" s="80">
        <f>+COEF_FCM!AM245</f>
        <v>381703</v>
      </c>
      <c r="AH238" s="80">
        <f>+COEF_FCM!AR245</f>
        <v>21991</v>
      </c>
      <c r="AI238" s="80">
        <f>+COEF_FCM!AN245</f>
        <v>243969</v>
      </c>
      <c r="AJ238" s="80">
        <f>+COEF_FCM!AS245</f>
        <v>10398</v>
      </c>
      <c r="AK238" s="80">
        <f>+COEF_FCM!AO245</f>
        <v>300861</v>
      </c>
      <c r="AL238" s="80">
        <f>+COEF_FCM!AT245</f>
        <v>14613.781999999999</v>
      </c>
      <c r="AM238" s="80">
        <f>+COEF_FCM!AP245</f>
        <v>222311</v>
      </c>
      <c r="AN238" s="80">
        <f>+COEF_FCM!AU245</f>
        <v>8247</v>
      </c>
      <c r="AO238" s="80">
        <f>+COEF_FCM!AQ245</f>
        <v>1148844</v>
      </c>
      <c r="AP238" s="80">
        <f>+COEF_FCM!AV245</f>
        <v>55249.781999999999</v>
      </c>
      <c r="AQ238" s="80">
        <f>+_CIERRE!O238+_CIERRE!P238</f>
        <v>8859555.9379999992</v>
      </c>
      <c r="AR238" s="80">
        <f>+_CIERRE!Q238+_CIERRE!R238</f>
        <v>10209211.569</v>
      </c>
      <c r="AS238" s="80">
        <f>+_CIERRE!S238+_CIERRE!T238</f>
        <v>11543826.995999999</v>
      </c>
      <c r="AT238" s="80">
        <f>+_CIERRE!U238+_CIERRE!V238</f>
        <v>11651814.289999999</v>
      </c>
      <c r="AU238" s="80">
        <f>+'CALC MEC ESTAB Y ESTIM M FINAL'!T243</f>
        <v>11651814</v>
      </c>
      <c r="AV238" s="560">
        <v>0</v>
      </c>
      <c r="AW238" s="551">
        <v>0</v>
      </c>
      <c r="AX238" s="551">
        <v>0</v>
      </c>
      <c r="AY238" s="551">
        <v>0</v>
      </c>
      <c r="AZ238" s="551">
        <v>472578.89799999999</v>
      </c>
      <c r="BA238" s="551">
        <v>486047.23200000002</v>
      </c>
    </row>
    <row r="239" spans="1:53" ht="3" customHeight="1" x14ac:dyDescent="0.2">
      <c r="A239" s="68">
        <f>IF(LEN(+'_DATA STT PAGOS_'!M244)=4,"0"&amp;+'_DATA STT PAGOS_'!M244,+'_DATA STT PAGOS_'!M244)</f>
        <v>11102</v>
      </c>
      <c r="B239" s="68">
        <f>IF(LEN(+'_DATA STT PAGOS_'!N244)=4,"0"&amp;+'_DATA STT PAGOS_'!N244,+'_DATA STT PAGOS_'!N244)</f>
        <v>11402</v>
      </c>
      <c r="C239" s="76" t="str">
        <f>+'_DATA STT PAGOS_'!O244</f>
        <v>LAGO VERDE</v>
      </c>
      <c r="D239" s="80">
        <f>+'CALC MEC ESTAB Y ESTIM M FINAL'!U244</f>
        <v>2079908</v>
      </c>
      <c r="E239" s="77">
        <f>+'CALC MEC ESTAB Y ESTIM M FINAL'!Q244</f>
        <v>7.6633354040000004E-4</v>
      </c>
      <c r="F239" s="77">
        <f>+'CALC MEC ESTAB Y ESTIM M FINAL'!R244</f>
        <v>-3.3548583899999997E-5</v>
      </c>
      <c r="G239" s="80">
        <f>+'_Flujo con Glosa 08'!CE244</f>
        <v>97063</v>
      </c>
      <c r="H239" s="80">
        <f>+'_Flujo con Glosa 08'!CF244</f>
        <v>97063</v>
      </c>
      <c r="I239" s="80">
        <f>+'_Flujo con Glosa 08'!CG244</f>
        <v>91657</v>
      </c>
      <c r="J239" s="80">
        <f>+'_Flujo con Glosa 08'!CH244</f>
        <v>97063</v>
      </c>
      <c r="K239" s="80">
        <f>+'_Flujo con Glosa 08'!CI244</f>
        <v>277446</v>
      </c>
      <c r="L239" s="80">
        <f>+'_Flujo con Glosa 08'!CJ244</f>
        <v>99833</v>
      </c>
      <c r="M239" s="80">
        <f>+'_Flujo con Glosa 08'!CK244</f>
        <v>169762</v>
      </c>
      <c r="N239" s="80">
        <f>+'_Flujo con Glosa 08'!CL244</f>
        <v>97063</v>
      </c>
      <c r="O239" s="80">
        <f>+'_Flujo con Glosa 08'!CM244</f>
        <v>110597</v>
      </c>
      <c r="P239" s="80">
        <f>+'_Flujo con Glosa 08'!CN244</f>
        <v>182998</v>
      </c>
      <c r="Q239" s="80">
        <f>+'_Flujo con Glosa 08'!CO244</f>
        <v>97063</v>
      </c>
      <c r="R239" s="80">
        <f>+'_Flujo con Glosa 08'!CP244</f>
        <v>172529</v>
      </c>
      <c r="S239" s="80">
        <f t="shared" si="6"/>
        <v>1590137</v>
      </c>
      <c r="T239" s="80">
        <v>0</v>
      </c>
      <c r="U239" s="80">
        <v>0</v>
      </c>
      <c r="V239" s="80">
        <v>0</v>
      </c>
      <c r="W239" s="80">
        <v>0</v>
      </c>
      <c r="X239" s="80">
        <v>0</v>
      </c>
      <c r="Y239" s="80">
        <v>0</v>
      </c>
      <c r="Z239" s="80">
        <v>0</v>
      </c>
      <c r="AA239" s="80">
        <v>0</v>
      </c>
      <c r="AB239" s="80">
        <v>0</v>
      </c>
      <c r="AC239" s="80">
        <v>0</v>
      </c>
      <c r="AD239" s="80">
        <v>0</v>
      </c>
      <c r="AE239" s="80">
        <v>0</v>
      </c>
      <c r="AF239" s="80">
        <f t="shared" si="7"/>
        <v>0</v>
      </c>
      <c r="AG239" s="80">
        <f>+COEF_FCM!AM246</f>
        <v>6183</v>
      </c>
      <c r="AH239" s="80">
        <f>+COEF_FCM!AR246</f>
        <v>0</v>
      </c>
      <c r="AI239" s="80">
        <f>+COEF_FCM!AN246</f>
        <v>9579</v>
      </c>
      <c r="AJ239" s="80">
        <f>+COEF_FCM!AS246</f>
        <v>0</v>
      </c>
      <c r="AK239" s="80">
        <f>+COEF_FCM!AO246</f>
        <v>3254</v>
      </c>
      <c r="AL239" s="80">
        <f>+COEF_FCM!AT246</f>
        <v>0</v>
      </c>
      <c r="AM239" s="80">
        <f>+COEF_FCM!AP246</f>
        <v>10242</v>
      </c>
      <c r="AN239" s="80">
        <f>+COEF_FCM!AU246</f>
        <v>0</v>
      </c>
      <c r="AO239" s="80">
        <f>+COEF_FCM!AQ246</f>
        <v>29258</v>
      </c>
      <c r="AP239" s="80">
        <f>+COEF_FCM!AV246</f>
        <v>0</v>
      </c>
      <c r="AQ239" s="80">
        <f>+_CIERRE!O239+_CIERRE!P239</f>
        <v>1633313.277</v>
      </c>
      <c r="AR239" s="80">
        <f>+_CIERRE!Q239+_CIERRE!R239</f>
        <v>1807929.4850000001</v>
      </c>
      <c r="AS239" s="80">
        <f>+_CIERRE!S239+_CIERRE!T239</f>
        <v>1929848.3119999999</v>
      </c>
      <c r="AT239" s="80">
        <f>+_CIERRE!U239+_CIERRE!V239</f>
        <v>2000486.304</v>
      </c>
      <c r="AU239" s="80">
        <f>+'CALC MEC ESTAB Y ESTIM M FINAL'!T244</f>
        <v>2079908</v>
      </c>
      <c r="AV239" s="560">
        <v>0</v>
      </c>
      <c r="AW239" s="551">
        <v>0</v>
      </c>
      <c r="AX239" s="551">
        <v>0</v>
      </c>
      <c r="AY239" s="551">
        <v>0</v>
      </c>
      <c r="AZ239" s="551">
        <v>283223.897</v>
      </c>
      <c r="BA239" s="551">
        <v>291484.09000000003</v>
      </c>
    </row>
    <row r="240" spans="1:53" ht="3" customHeight="1" x14ac:dyDescent="0.2">
      <c r="A240" s="68">
        <f>IF(LEN(+'_DATA STT PAGOS_'!M245)=4,"0"&amp;+'_DATA STT PAGOS_'!M245,+'_DATA STT PAGOS_'!M245)</f>
        <v>11201</v>
      </c>
      <c r="B240" s="68">
        <f>IF(LEN(+'_DATA STT PAGOS_'!N245)=4,"0"&amp;+'_DATA STT PAGOS_'!N245,+'_DATA STT PAGOS_'!N245)</f>
        <v>11101</v>
      </c>
      <c r="C240" s="76" t="str">
        <f>+'_DATA STT PAGOS_'!O245</f>
        <v>AYSÉN</v>
      </c>
      <c r="D240" s="80">
        <f>+'CALC MEC ESTAB Y ESTIM M FINAL'!U245</f>
        <v>6697035</v>
      </c>
      <c r="E240" s="77">
        <f>+'CALC MEC ESTAB Y ESTIM M FINAL'!Q245</f>
        <v>2.0030663056000001E-3</v>
      </c>
      <c r="F240" s="77">
        <f>+'CALC MEC ESTAB Y ESTIM M FINAL'!R245</f>
        <v>3.5640600899999999E-4</v>
      </c>
      <c r="G240" s="80">
        <f>+'_Flujo con Glosa 08'!CE245</f>
        <v>324894</v>
      </c>
      <c r="H240" s="80">
        <f>+'_Flujo con Glosa 08'!CF245</f>
        <v>324894</v>
      </c>
      <c r="I240" s="80">
        <f>+'_Flujo con Glosa 08'!CG245</f>
        <v>295124</v>
      </c>
      <c r="J240" s="80">
        <f>+'_Flujo con Glosa 08'!CH245</f>
        <v>324894</v>
      </c>
      <c r="K240" s="80">
        <f>+'_Flujo con Glosa 08'!CI245</f>
        <v>856246</v>
      </c>
      <c r="L240" s="80">
        <f>+'_Flujo con Glosa 08'!CJ245</f>
        <v>333814</v>
      </c>
      <c r="M240" s="80">
        <f>+'_Flujo con Glosa 08'!CK245</f>
        <v>545634</v>
      </c>
      <c r="N240" s="80">
        <f>+'_Flujo con Glosa 08'!CL245</f>
        <v>324894</v>
      </c>
      <c r="O240" s="80">
        <f>+'_Flujo con Glosa 08'!CM245</f>
        <v>356106</v>
      </c>
      <c r="P240" s="80">
        <f>+'_Flujo con Glosa 08'!CN245</f>
        <v>565479</v>
      </c>
      <c r="Q240" s="80">
        <f>+'_Flujo con Glosa 08'!CO245</f>
        <v>324894</v>
      </c>
      <c r="R240" s="80">
        <f>+'_Flujo con Glosa 08'!CP245</f>
        <v>543157</v>
      </c>
      <c r="S240" s="80">
        <f t="shared" si="6"/>
        <v>5120030</v>
      </c>
      <c r="T240" s="80">
        <v>0</v>
      </c>
      <c r="U240" s="80">
        <v>0</v>
      </c>
      <c r="V240" s="80">
        <v>0</v>
      </c>
      <c r="W240" s="80">
        <v>0</v>
      </c>
      <c r="X240" s="80">
        <v>0</v>
      </c>
      <c r="Y240" s="80">
        <v>0</v>
      </c>
      <c r="Z240" s="80">
        <v>0</v>
      </c>
      <c r="AA240" s="80">
        <v>0</v>
      </c>
      <c r="AB240" s="80">
        <v>0</v>
      </c>
      <c r="AC240" s="80">
        <v>0</v>
      </c>
      <c r="AD240" s="80">
        <v>0</v>
      </c>
      <c r="AE240" s="80">
        <v>0</v>
      </c>
      <c r="AF240" s="80">
        <f t="shared" si="7"/>
        <v>0</v>
      </c>
      <c r="AG240" s="80">
        <f>+COEF_FCM!AM247</f>
        <v>116191</v>
      </c>
      <c r="AH240" s="80">
        <f>+COEF_FCM!AR247</f>
        <v>4275</v>
      </c>
      <c r="AI240" s="80">
        <f>+COEF_FCM!AN247</f>
        <v>65654</v>
      </c>
      <c r="AJ240" s="80">
        <f>+COEF_FCM!AS247</f>
        <v>2025</v>
      </c>
      <c r="AK240" s="80">
        <f>+COEF_FCM!AO247</f>
        <v>92209</v>
      </c>
      <c r="AL240" s="80">
        <f>+COEF_FCM!AT247</f>
        <v>2987.4059999999999</v>
      </c>
      <c r="AM240" s="80">
        <f>+COEF_FCM!AP247</f>
        <v>69678</v>
      </c>
      <c r="AN240" s="80">
        <f>+COEF_FCM!AU247</f>
        <v>1770</v>
      </c>
      <c r="AO240" s="80">
        <f>+COEF_FCM!AQ247</f>
        <v>343732</v>
      </c>
      <c r="AP240" s="80">
        <f>+COEF_FCM!AV247</f>
        <v>11057.405999999999</v>
      </c>
      <c r="AQ240" s="80">
        <f>+_CIERRE!O240+_CIERRE!P240</f>
        <v>5372900.1720000003</v>
      </c>
      <c r="AR240" s="80">
        <f>+_CIERRE!Q240+_CIERRE!R240</f>
        <v>5825195.4369999999</v>
      </c>
      <c r="AS240" s="80">
        <f>+_CIERRE!S240+_CIERRE!T240</f>
        <v>6634967.71</v>
      </c>
      <c r="AT240" s="80">
        <f>+_CIERRE!U240+_CIERRE!V240</f>
        <v>6697034.7620000001</v>
      </c>
      <c r="AU240" s="80">
        <f>+'CALC MEC ESTAB Y ESTIM M FINAL'!T245</f>
        <v>6697035</v>
      </c>
      <c r="AV240" s="560">
        <v>0</v>
      </c>
      <c r="AW240" s="551">
        <v>0</v>
      </c>
      <c r="AX240" s="551">
        <v>0</v>
      </c>
      <c r="AY240" s="551">
        <v>0</v>
      </c>
      <c r="AZ240" s="551">
        <v>392862.745</v>
      </c>
      <c r="BA240" s="551">
        <v>410137.84899999999</v>
      </c>
    </row>
    <row r="241" spans="1:53" ht="3" customHeight="1" x14ac:dyDescent="0.2">
      <c r="A241" s="68">
        <f>IF(LEN(+'_DATA STT PAGOS_'!M246)=4,"0"&amp;+'_DATA STT PAGOS_'!M246,+'_DATA STT PAGOS_'!M246)</f>
        <v>11202</v>
      </c>
      <c r="B241" s="68">
        <f>IF(LEN(+'_DATA STT PAGOS_'!N246)=4,"0"&amp;+'_DATA STT PAGOS_'!N246,+'_DATA STT PAGOS_'!N246)</f>
        <v>11102</v>
      </c>
      <c r="C241" s="76" t="str">
        <f>+'_DATA STT PAGOS_'!O246</f>
        <v>CISNES</v>
      </c>
      <c r="D241" s="80">
        <f>+'CALC MEC ESTAB Y ESTIM M FINAL'!U246</f>
        <v>2585810</v>
      </c>
      <c r="E241" s="77">
        <f>+'CALC MEC ESTAB Y ESTIM M FINAL'!Q246</f>
        <v>9.4235666410000002E-4</v>
      </c>
      <c r="F241" s="77">
        <f>+'CALC MEC ESTAB Y ESTIM M FINAL'!R246</f>
        <v>-3.13346303E-5</v>
      </c>
      <c r="G241" s="80">
        <f>+'_Flujo con Glosa 08'!CE246</f>
        <v>121850</v>
      </c>
      <c r="H241" s="80">
        <f>+'_Flujo con Glosa 08'!CF246</f>
        <v>121850</v>
      </c>
      <c r="I241" s="80">
        <f>+'_Flujo con Glosa 08'!CG246</f>
        <v>113951</v>
      </c>
      <c r="J241" s="80">
        <f>+'_Flujo con Glosa 08'!CH246</f>
        <v>121850</v>
      </c>
      <c r="K241" s="80">
        <f>+'_Flujo con Glosa 08'!CI246</f>
        <v>341394</v>
      </c>
      <c r="L241" s="80">
        <f>+'_Flujo con Glosa 08'!CJ246</f>
        <v>125294</v>
      </c>
      <c r="M241" s="80">
        <f>+'_Flujo con Glosa 08'!CK246</f>
        <v>209876</v>
      </c>
      <c r="N241" s="80">
        <f>+'_Flujo con Glosa 08'!CL246</f>
        <v>121850</v>
      </c>
      <c r="O241" s="80">
        <f>+'_Flujo con Glosa 08'!CM246</f>
        <v>137497</v>
      </c>
      <c r="P241" s="80">
        <f>+'_Flujo con Glosa 08'!CN246</f>
        <v>226331</v>
      </c>
      <c r="Q241" s="80">
        <f>+'_Flujo con Glosa 08'!CO246</f>
        <v>121850</v>
      </c>
      <c r="R241" s="80">
        <f>+'_Flujo con Glosa 08'!CP246</f>
        <v>213315</v>
      </c>
      <c r="S241" s="80">
        <f t="shared" si="6"/>
        <v>1976908</v>
      </c>
      <c r="T241" s="80">
        <v>0</v>
      </c>
      <c r="U241" s="80">
        <v>0</v>
      </c>
      <c r="V241" s="80">
        <v>0</v>
      </c>
      <c r="W241" s="80">
        <v>0</v>
      </c>
      <c r="X241" s="80">
        <v>0</v>
      </c>
      <c r="Y241" s="80">
        <v>0</v>
      </c>
      <c r="Z241" s="80">
        <v>0</v>
      </c>
      <c r="AA241" s="80">
        <v>0</v>
      </c>
      <c r="AB241" s="80">
        <v>0</v>
      </c>
      <c r="AC241" s="80">
        <v>0</v>
      </c>
      <c r="AD241" s="80">
        <v>0</v>
      </c>
      <c r="AE241" s="80">
        <v>0</v>
      </c>
      <c r="AF241" s="80">
        <f t="shared" si="7"/>
        <v>0</v>
      </c>
      <c r="AG241" s="80">
        <f>+COEF_FCM!AM248</f>
        <v>28178</v>
      </c>
      <c r="AH241" s="80">
        <f>+COEF_FCM!AR248</f>
        <v>0</v>
      </c>
      <c r="AI241" s="80">
        <f>+COEF_FCM!AN248</f>
        <v>12440</v>
      </c>
      <c r="AJ241" s="80">
        <f>+COEF_FCM!AS248</f>
        <v>0</v>
      </c>
      <c r="AK241" s="80">
        <f>+COEF_FCM!AO248</f>
        <v>16923</v>
      </c>
      <c r="AL241" s="80">
        <f>+COEF_FCM!AT248</f>
        <v>0</v>
      </c>
      <c r="AM241" s="80">
        <f>+COEF_FCM!AP248</f>
        <v>15370</v>
      </c>
      <c r="AN241" s="80">
        <f>+COEF_FCM!AU248</f>
        <v>0</v>
      </c>
      <c r="AO241" s="80">
        <f>+COEF_FCM!AQ248</f>
        <v>72911</v>
      </c>
      <c r="AP241" s="80">
        <f>+COEF_FCM!AV248</f>
        <v>0</v>
      </c>
      <c r="AQ241" s="80">
        <f>+_CIERRE!O241+_CIERRE!P241</f>
        <v>2203258.179</v>
      </c>
      <c r="AR241" s="80">
        <f>+_CIERRE!Q241+_CIERRE!R241</f>
        <v>2388730.7080000001</v>
      </c>
      <c r="AS241" s="80">
        <f>+_CIERRE!S241+_CIERRE!T241</f>
        <v>2469934.3730000001</v>
      </c>
      <c r="AT241" s="80">
        <f>+_CIERRE!U241+_CIERRE!V241</f>
        <v>2511629.983</v>
      </c>
      <c r="AU241" s="80">
        <f>+'CALC MEC ESTAB Y ESTIM M FINAL'!T246</f>
        <v>2585810</v>
      </c>
      <c r="AV241" s="560">
        <v>0</v>
      </c>
      <c r="AW241" s="551">
        <v>0</v>
      </c>
      <c r="AX241" s="551">
        <v>0</v>
      </c>
      <c r="AY241" s="551">
        <v>0</v>
      </c>
      <c r="AZ241" s="551">
        <v>312874.48200000002</v>
      </c>
      <c r="BA241" s="551">
        <v>323041.79800000001</v>
      </c>
    </row>
    <row r="242" spans="1:53" ht="3" customHeight="1" x14ac:dyDescent="0.2">
      <c r="A242" s="68">
        <f>IF(LEN(+'_DATA STT PAGOS_'!M247)=4,"0"&amp;+'_DATA STT PAGOS_'!M247,+'_DATA STT PAGOS_'!M247)</f>
        <v>11203</v>
      </c>
      <c r="B242" s="68">
        <f>IF(LEN(+'_DATA STT PAGOS_'!N247)=4,"0"&amp;+'_DATA STT PAGOS_'!N247,+'_DATA STT PAGOS_'!N247)</f>
        <v>11104</v>
      </c>
      <c r="C242" s="76" t="str">
        <f>+'_DATA STT PAGOS_'!O247</f>
        <v>GUAITECAS</v>
      </c>
      <c r="D242" s="80">
        <f>+'CALC MEC ESTAB Y ESTIM M FINAL'!U247</f>
        <v>2090938</v>
      </c>
      <c r="E242" s="77">
        <f>+'CALC MEC ESTAB Y ESTIM M FINAL'!Q247</f>
        <v>7.6940630609999999E-4</v>
      </c>
      <c r="F242" s="77">
        <f>+'CALC MEC ESTAB Y ESTIM M FINAL'!R247</f>
        <v>-3.2735438599999999E-5</v>
      </c>
      <c r="G242" s="80">
        <f>+'_Flujo con Glosa 08'!CE247</f>
        <v>97683</v>
      </c>
      <c r="H242" s="80">
        <f>+'_Flujo con Glosa 08'!CF247</f>
        <v>97683</v>
      </c>
      <c r="I242" s="80">
        <f>+'_Flujo con Glosa 08'!CG247</f>
        <v>92143</v>
      </c>
      <c r="J242" s="80">
        <f>+'_Flujo con Glosa 08'!CH247</f>
        <v>97683</v>
      </c>
      <c r="K242" s="80">
        <f>+'_Flujo con Glosa 08'!CI247</f>
        <v>278602</v>
      </c>
      <c r="L242" s="80">
        <f>+'_Flujo con Glosa 08'!CJ247</f>
        <v>100468</v>
      </c>
      <c r="M242" s="80">
        <f>+'_Flujo con Glosa 08'!CK247</f>
        <v>170557</v>
      </c>
      <c r="N242" s="80">
        <f>+'_Flujo con Glosa 08'!CL247</f>
        <v>97683</v>
      </c>
      <c r="O242" s="80">
        <f>+'_Flujo con Glosa 08'!CM247</f>
        <v>111183</v>
      </c>
      <c r="P242" s="80">
        <f>+'_Flujo con Glosa 08'!CN247</f>
        <v>183863</v>
      </c>
      <c r="Q242" s="80">
        <f>+'_Flujo con Glosa 08'!CO247</f>
        <v>97683</v>
      </c>
      <c r="R242" s="80">
        <f>+'_Flujo con Glosa 08'!CP247</f>
        <v>173338</v>
      </c>
      <c r="S242" s="80">
        <f t="shared" si="6"/>
        <v>1598569</v>
      </c>
      <c r="T242" s="80">
        <v>0</v>
      </c>
      <c r="U242" s="80">
        <v>0</v>
      </c>
      <c r="V242" s="80">
        <v>0</v>
      </c>
      <c r="W242" s="80">
        <v>0</v>
      </c>
      <c r="X242" s="80">
        <v>0</v>
      </c>
      <c r="Y242" s="80">
        <v>0</v>
      </c>
      <c r="Z242" s="80">
        <v>0</v>
      </c>
      <c r="AA242" s="80">
        <v>0</v>
      </c>
      <c r="AB242" s="80">
        <v>0</v>
      </c>
      <c r="AC242" s="80">
        <v>0</v>
      </c>
      <c r="AD242" s="80">
        <v>0</v>
      </c>
      <c r="AE242" s="80">
        <v>0</v>
      </c>
      <c r="AF242" s="80">
        <f t="shared" si="7"/>
        <v>0</v>
      </c>
      <c r="AG242" s="80">
        <f>+COEF_FCM!AM249</f>
        <v>570</v>
      </c>
      <c r="AH242" s="80">
        <f>+COEF_FCM!AR249</f>
        <v>189</v>
      </c>
      <c r="AI242" s="80">
        <f>+COEF_FCM!AN249</f>
        <v>487</v>
      </c>
      <c r="AJ242" s="80">
        <f>+COEF_FCM!AS249</f>
        <v>148</v>
      </c>
      <c r="AK242" s="80">
        <f>+COEF_FCM!AO249</f>
        <v>647</v>
      </c>
      <c r="AL242" s="80">
        <f>+COEF_FCM!AT249</f>
        <v>518.39800000000002</v>
      </c>
      <c r="AM242" s="80">
        <f>+COEF_FCM!AP249</f>
        <v>414</v>
      </c>
      <c r="AN242" s="80">
        <f>+COEF_FCM!AU249</f>
        <v>169</v>
      </c>
      <c r="AO242" s="80">
        <f>+COEF_FCM!AQ249</f>
        <v>2118</v>
      </c>
      <c r="AP242" s="80">
        <f>+COEF_FCM!AV249</f>
        <v>1024.3980000000001</v>
      </c>
      <c r="AQ242" s="80">
        <f>+_CIERRE!O242+_CIERRE!P242</f>
        <v>1591129.0220000001</v>
      </c>
      <c r="AR242" s="80">
        <f>+_CIERRE!Q242+_CIERRE!R242</f>
        <v>1771953.4010000001</v>
      </c>
      <c r="AS242" s="80">
        <f>+_CIERRE!S242+_CIERRE!T242</f>
        <v>1907437.372</v>
      </c>
      <c r="AT242" s="80">
        <f>+_CIERRE!U242+_CIERRE!V242</f>
        <v>2013441.808</v>
      </c>
      <c r="AU242" s="80">
        <f>+'CALC MEC ESTAB Y ESTIM M FINAL'!T247</f>
        <v>2090938</v>
      </c>
      <c r="AV242" s="560">
        <v>0</v>
      </c>
      <c r="AW242" s="551">
        <v>0</v>
      </c>
      <c r="AX242" s="551">
        <v>0</v>
      </c>
      <c r="AY242" s="551">
        <v>0</v>
      </c>
      <c r="AZ242" s="551">
        <v>284335.255</v>
      </c>
      <c r="BA242" s="551">
        <v>292710.68099999998</v>
      </c>
    </row>
    <row r="243" spans="1:53" ht="3" customHeight="1" x14ac:dyDescent="0.2">
      <c r="A243" s="68">
        <f>IF(LEN(+'_DATA STT PAGOS_'!M248)=4,"0"&amp;+'_DATA STT PAGOS_'!M248,+'_DATA STT PAGOS_'!M248)</f>
        <v>11301</v>
      </c>
      <c r="B243" s="68">
        <f>IF(LEN(+'_DATA STT PAGOS_'!N248)=4,"0"&amp;+'_DATA STT PAGOS_'!N248,+'_DATA STT PAGOS_'!N248)</f>
        <v>11301</v>
      </c>
      <c r="C243" s="76" t="str">
        <f>+'_DATA STT PAGOS_'!O248</f>
        <v>COCHRANE</v>
      </c>
      <c r="D243" s="80">
        <f>+'CALC MEC ESTAB Y ESTIM M FINAL'!U248</f>
        <v>2901841</v>
      </c>
      <c r="E243" s="77">
        <f>+'CALC MEC ESTAB Y ESTIM M FINAL'!Q248</f>
        <v>1.1040507308E-3</v>
      </c>
      <c r="F243" s="77">
        <f>+'CALC MEC ESTAB Y ESTIM M FINAL'!R248</f>
        <v>-8.1685867599999996E-5</v>
      </c>
      <c r="G243" s="80">
        <f>+'_Flujo con Glosa 08'!CE248</f>
        <v>131426</v>
      </c>
      <c r="H243" s="80">
        <f>+'_Flujo con Glosa 08'!CF248</f>
        <v>131426</v>
      </c>
      <c r="I243" s="80">
        <f>+'_Flujo con Glosa 08'!CG248</f>
        <v>127878</v>
      </c>
      <c r="J243" s="80">
        <f>+'_Flujo con Glosa 08'!CH248</f>
        <v>131426</v>
      </c>
      <c r="K243" s="80">
        <f>+'_Flujo con Glosa 08'!CI248</f>
        <v>399067</v>
      </c>
      <c r="L243" s="80">
        <f>+'_Flujo con Glosa 08'!CJ248</f>
        <v>135291</v>
      </c>
      <c r="M243" s="80">
        <f>+'_Flujo con Glosa 08'!CK248</f>
        <v>240843</v>
      </c>
      <c r="N243" s="80">
        <f>+'_Flujo con Glosa 08'!CL248</f>
        <v>131426</v>
      </c>
      <c r="O243" s="80">
        <f>+'_Flujo con Glosa 08'!CM248</f>
        <v>154302</v>
      </c>
      <c r="P243" s="80">
        <f>+'_Flujo con Glosa 08'!CN248</f>
        <v>259309</v>
      </c>
      <c r="Q243" s="80">
        <f>+'_Flujo con Glosa 08'!CO248</f>
        <v>131426</v>
      </c>
      <c r="R243" s="80">
        <f>+'_Flujo con Glosa 08'!CP248</f>
        <v>244703</v>
      </c>
      <c r="S243" s="80">
        <f t="shared" si="6"/>
        <v>2218523</v>
      </c>
      <c r="T243" s="80">
        <v>0</v>
      </c>
      <c r="U243" s="80">
        <v>0</v>
      </c>
      <c r="V243" s="80">
        <v>0</v>
      </c>
      <c r="W243" s="80">
        <v>0</v>
      </c>
      <c r="X243" s="80">
        <v>0</v>
      </c>
      <c r="Y243" s="80">
        <v>0</v>
      </c>
      <c r="Z243" s="80">
        <v>0</v>
      </c>
      <c r="AA243" s="80">
        <v>0</v>
      </c>
      <c r="AB243" s="80">
        <v>0</v>
      </c>
      <c r="AC243" s="80">
        <v>0</v>
      </c>
      <c r="AD243" s="80">
        <v>0</v>
      </c>
      <c r="AE243" s="80">
        <v>0</v>
      </c>
      <c r="AF243" s="80">
        <f t="shared" si="7"/>
        <v>0</v>
      </c>
      <c r="AG243" s="80">
        <f>+COEF_FCM!AM250</f>
        <v>15886</v>
      </c>
      <c r="AH243" s="80">
        <f>+COEF_FCM!AR250</f>
        <v>339</v>
      </c>
      <c r="AI243" s="80">
        <f>+COEF_FCM!AN250</f>
        <v>7080</v>
      </c>
      <c r="AJ243" s="80">
        <f>+COEF_FCM!AS250</f>
        <v>85</v>
      </c>
      <c r="AK243" s="80">
        <f>+COEF_FCM!AO250</f>
        <v>12302</v>
      </c>
      <c r="AL243" s="80">
        <f>+COEF_FCM!AT250</f>
        <v>363.23200000000003</v>
      </c>
      <c r="AM243" s="80">
        <f>+COEF_FCM!AP250</f>
        <v>7800</v>
      </c>
      <c r="AN243" s="80">
        <f>+COEF_FCM!AU250</f>
        <v>122</v>
      </c>
      <c r="AO243" s="80">
        <f>+COEF_FCM!AQ250</f>
        <v>43068</v>
      </c>
      <c r="AP243" s="80">
        <f>+COEF_FCM!AV250</f>
        <v>909.23199999999997</v>
      </c>
      <c r="AQ243" s="80">
        <f>+_CIERRE!O243+_CIERRE!P243</f>
        <v>2036147.118</v>
      </c>
      <c r="AR243" s="80">
        <f>+_CIERRE!Q243+_CIERRE!R243</f>
        <v>2223866.307</v>
      </c>
      <c r="AS243" s="80">
        <f>+_CIERRE!S243+_CIERRE!T243</f>
        <v>2434592.8670000001</v>
      </c>
      <c r="AT243" s="80">
        <f>+_CIERRE!U243+_CIERRE!V243</f>
        <v>2708461.179</v>
      </c>
      <c r="AU243" s="80">
        <f>+'CALC MEC ESTAB Y ESTIM M FINAL'!T248</f>
        <v>2901841</v>
      </c>
      <c r="AV243" s="560">
        <v>0</v>
      </c>
      <c r="AW243" s="551">
        <v>0</v>
      </c>
      <c r="AX243" s="551">
        <v>0</v>
      </c>
      <c r="AY243" s="551">
        <v>0</v>
      </c>
      <c r="AZ243" s="551">
        <v>296740.00099999999</v>
      </c>
      <c r="BA243" s="551">
        <v>303727.8</v>
      </c>
    </row>
    <row r="244" spans="1:53" ht="3" customHeight="1" x14ac:dyDescent="0.2">
      <c r="A244" s="68">
        <f>IF(LEN(+'_DATA STT PAGOS_'!M249)=4,"0"&amp;+'_DATA STT PAGOS_'!M249,+'_DATA STT PAGOS_'!M249)</f>
        <v>11302</v>
      </c>
      <c r="B244" s="68">
        <f>IF(LEN(+'_DATA STT PAGOS_'!N249)=4,"0"&amp;+'_DATA STT PAGOS_'!N249,+'_DATA STT PAGOS_'!N249)</f>
        <v>11302</v>
      </c>
      <c r="C244" s="76" t="str">
        <f>+'_DATA STT PAGOS_'!O249</f>
        <v>O’HIGGINS</v>
      </c>
      <c r="D244" s="80">
        <f>+'CALC MEC ESTAB Y ESTIM M FINAL'!U249</f>
        <v>2125871</v>
      </c>
      <c r="E244" s="77">
        <f>+'CALC MEC ESTAB Y ESTIM M FINAL'!Q249</f>
        <v>7.457782386E-4</v>
      </c>
      <c r="F244" s="77">
        <f>+'CALC MEC ESTAB Y ESTIM M FINAL'!R249</f>
        <v>3.2000860000000001E-6</v>
      </c>
      <c r="G244" s="80">
        <f>+'_Flujo con Glosa 08'!CE249</f>
        <v>103121</v>
      </c>
      <c r="H244" s="80">
        <f>+'_Flujo con Glosa 08'!CF249</f>
        <v>103121</v>
      </c>
      <c r="I244" s="80">
        <f>+'_Flujo con Glosa 08'!CG249</f>
        <v>93683</v>
      </c>
      <c r="J244" s="80">
        <f>+'_Flujo con Glosa 08'!CH249</f>
        <v>103121</v>
      </c>
      <c r="K244" s="80">
        <f>+'_Flujo con Glosa 08'!CI249</f>
        <v>271837</v>
      </c>
      <c r="L244" s="80">
        <f>+'_Flujo con Glosa 08'!CJ249</f>
        <v>105952</v>
      </c>
      <c r="M244" s="80">
        <f>+'_Flujo con Glosa 08'!CK249</f>
        <v>173186</v>
      </c>
      <c r="N244" s="80">
        <f>+'_Flujo con Glosa 08'!CL249</f>
        <v>103121</v>
      </c>
      <c r="O244" s="80">
        <f>+'_Flujo con Glosa 08'!CM249</f>
        <v>113040</v>
      </c>
      <c r="P244" s="80">
        <f>+'_Flujo con Glosa 08'!CN249</f>
        <v>179542</v>
      </c>
      <c r="Q244" s="80">
        <f>+'_Flujo con Glosa 08'!CO249</f>
        <v>103121</v>
      </c>
      <c r="R244" s="80">
        <f>+'_Flujo con Glosa 08'!CP249</f>
        <v>172429</v>
      </c>
      <c r="S244" s="80">
        <f t="shared" si="6"/>
        <v>1625274</v>
      </c>
      <c r="T244" s="80">
        <v>0</v>
      </c>
      <c r="U244" s="80">
        <v>0</v>
      </c>
      <c r="V244" s="80">
        <v>0</v>
      </c>
      <c r="W244" s="80">
        <v>0</v>
      </c>
      <c r="X244" s="80">
        <v>0</v>
      </c>
      <c r="Y244" s="80">
        <v>0</v>
      </c>
      <c r="Z244" s="80">
        <v>0</v>
      </c>
      <c r="AA244" s="80">
        <v>0</v>
      </c>
      <c r="AB244" s="80">
        <v>0</v>
      </c>
      <c r="AC244" s="80">
        <v>0</v>
      </c>
      <c r="AD244" s="80">
        <v>0</v>
      </c>
      <c r="AE244" s="80">
        <v>0</v>
      </c>
      <c r="AF244" s="80">
        <f t="shared" si="7"/>
        <v>0</v>
      </c>
      <c r="AG244" s="80">
        <f>+COEF_FCM!AM251</f>
        <v>1927</v>
      </c>
      <c r="AH244" s="80">
        <f>+COEF_FCM!AR251</f>
        <v>0</v>
      </c>
      <c r="AI244" s="80">
        <f>+COEF_FCM!AN251</f>
        <v>1843</v>
      </c>
      <c r="AJ244" s="80">
        <f>+COEF_FCM!AS251</f>
        <v>0</v>
      </c>
      <c r="AK244" s="80">
        <f>+COEF_FCM!AO251</f>
        <v>1779</v>
      </c>
      <c r="AL244" s="80">
        <f>+COEF_FCM!AT251</f>
        <v>0</v>
      </c>
      <c r="AM244" s="80">
        <f>+COEF_FCM!AP251</f>
        <v>2053</v>
      </c>
      <c r="AN244" s="80">
        <f>+COEF_FCM!AU251</f>
        <v>0</v>
      </c>
      <c r="AO244" s="80">
        <f>+COEF_FCM!AQ251</f>
        <v>7602</v>
      </c>
      <c r="AP244" s="80">
        <f>+COEF_FCM!AV251</f>
        <v>0</v>
      </c>
      <c r="AQ244" s="80">
        <f>+_CIERRE!O244+_CIERRE!P244</f>
        <v>1653192.5209999999</v>
      </c>
      <c r="AR244" s="80">
        <f>+_CIERRE!Q244+_CIERRE!R244</f>
        <v>1901882.1669999999</v>
      </c>
      <c r="AS244" s="80">
        <f>+_CIERRE!S244+_CIERRE!T244</f>
        <v>2082657.365</v>
      </c>
      <c r="AT244" s="80">
        <f>+_CIERRE!U244+_CIERRE!V244</f>
        <v>2125871.4040000001</v>
      </c>
      <c r="AU244" s="80">
        <f>+'CALC MEC ESTAB Y ESTIM M FINAL'!T249</f>
        <v>2125871</v>
      </c>
      <c r="AV244" s="560">
        <v>0</v>
      </c>
      <c r="AW244" s="551">
        <v>0</v>
      </c>
      <c r="AX244" s="551">
        <v>0</v>
      </c>
      <c r="AY244" s="551">
        <v>0</v>
      </c>
      <c r="AZ244" s="551">
        <v>279689.39799999999</v>
      </c>
      <c r="BA244" s="551">
        <v>288498.62</v>
      </c>
    </row>
    <row r="245" spans="1:53" ht="3" customHeight="1" x14ac:dyDescent="0.2">
      <c r="A245" s="68">
        <f>IF(LEN(+'_DATA STT PAGOS_'!M250)=4,"0"&amp;+'_DATA STT PAGOS_'!M250,+'_DATA STT PAGOS_'!M250)</f>
        <v>11303</v>
      </c>
      <c r="B245" s="68">
        <f>IF(LEN(+'_DATA STT PAGOS_'!N250)=4,"0"&amp;+'_DATA STT PAGOS_'!N250,+'_DATA STT PAGOS_'!N250)</f>
        <v>11303</v>
      </c>
      <c r="C245" s="76" t="str">
        <f>+'_DATA STT PAGOS_'!O250</f>
        <v>TORTEL</v>
      </c>
      <c r="D245" s="80">
        <f>+'CALC MEC ESTAB Y ESTIM M FINAL'!U250</f>
        <v>2242569</v>
      </c>
      <c r="E245" s="77">
        <f>+'CALC MEC ESTAB Y ESTIM M FINAL'!Q250</f>
        <v>8.7418339719999994E-4</v>
      </c>
      <c r="F245" s="77">
        <f>+'CALC MEC ESTAB Y ESTIM M FINAL'!R250</f>
        <v>-8.4090424099999994E-5</v>
      </c>
      <c r="G245" s="80">
        <f>+'_Flujo con Glosa 08'!CE250</f>
        <v>99144</v>
      </c>
      <c r="H245" s="80">
        <f>+'_Flujo con Glosa 08'!CF250</f>
        <v>99144</v>
      </c>
      <c r="I245" s="80">
        <f>+'_Flujo con Glosa 08'!CG250</f>
        <v>98825</v>
      </c>
      <c r="J245" s="80">
        <f>+'_Flujo con Glosa 08'!CH250</f>
        <v>99144</v>
      </c>
      <c r="K245" s="80">
        <f>+'_Flujo con Glosa 08'!CI250</f>
        <v>315673</v>
      </c>
      <c r="L245" s="80">
        <f>+'_Flujo con Glosa 08'!CJ250</f>
        <v>102131</v>
      </c>
      <c r="M245" s="80">
        <f>+'_Flujo con Glosa 08'!CK250</f>
        <v>188547</v>
      </c>
      <c r="N245" s="80">
        <f>+'_Flujo con Glosa 08'!CL250</f>
        <v>99144</v>
      </c>
      <c r="O245" s="80">
        <f>+'_Flujo con Glosa 08'!CM250</f>
        <v>119246</v>
      </c>
      <c r="P245" s="80">
        <f>+'_Flujo con Glosa 08'!CN250</f>
        <v>202819</v>
      </c>
      <c r="Q245" s="80">
        <f>+'_Flujo con Glosa 08'!CO250</f>
        <v>99144</v>
      </c>
      <c r="R245" s="80">
        <f>+'_Flujo con Glosa 08'!CP250</f>
        <v>191532</v>
      </c>
      <c r="S245" s="80">
        <f t="shared" si="6"/>
        <v>1714493</v>
      </c>
      <c r="T245" s="80">
        <v>0</v>
      </c>
      <c r="U245" s="80">
        <v>0</v>
      </c>
      <c r="V245" s="80">
        <v>0</v>
      </c>
      <c r="W245" s="80">
        <v>0</v>
      </c>
      <c r="X245" s="80">
        <v>0</v>
      </c>
      <c r="Y245" s="80">
        <v>0</v>
      </c>
      <c r="Z245" s="80">
        <v>0</v>
      </c>
      <c r="AA245" s="80">
        <v>0</v>
      </c>
      <c r="AB245" s="80">
        <v>0</v>
      </c>
      <c r="AC245" s="80">
        <v>0</v>
      </c>
      <c r="AD245" s="80">
        <v>0</v>
      </c>
      <c r="AE245" s="80">
        <v>0</v>
      </c>
      <c r="AF245" s="80">
        <f t="shared" si="7"/>
        <v>0</v>
      </c>
      <c r="AG245" s="80">
        <f>+COEF_FCM!AM252</f>
        <v>293</v>
      </c>
      <c r="AH245" s="80">
        <f>+COEF_FCM!AR252</f>
        <v>0</v>
      </c>
      <c r="AI245" s="80">
        <f>+COEF_FCM!AN252</f>
        <v>78</v>
      </c>
      <c r="AJ245" s="80">
        <f>+COEF_FCM!AS252</f>
        <v>0</v>
      </c>
      <c r="AK245" s="80">
        <f>+COEF_FCM!AO252</f>
        <v>166</v>
      </c>
      <c r="AL245" s="80">
        <f>+COEF_FCM!AT252</f>
        <v>0</v>
      </c>
      <c r="AM245" s="80">
        <f>+COEF_FCM!AP252</f>
        <v>154</v>
      </c>
      <c r="AN245" s="80">
        <f>+COEF_FCM!AU252</f>
        <v>0</v>
      </c>
      <c r="AO245" s="80">
        <f>+COEF_FCM!AQ252</f>
        <v>691</v>
      </c>
      <c r="AP245" s="80">
        <f>+COEF_FCM!AV252</f>
        <v>0</v>
      </c>
      <c r="AQ245" s="80">
        <f>+_CIERRE!O245+_CIERRE!P245</f>
        <v>1653200.361</v>
      </c>
      <c r="AR245" s="80">
        <f>+_CIERRE!Q245+_CIERRE!R245</f>
        <v>1822041.003</v>
      </c>
      <c r="AS245" s="80">
        <f>+_CIERRE!S245+_CIERRE!T245</f>
        <v>1956703.2180000001</v>
      </c>
      <c r="AT245" s="80">
        <f>+_CIERRE!U245+_CIERRE!V245</f>
        <v>2043495.4509999999</v>
      </c>
      <c r="AU245" s="80">
        <f>+'CALC MEC ESTAB Y ESTIM M FINAL'!T250</f>
        <v>2242569</v>
      </c>
      <c r="AV245" s="560">
        <v>0</v>
      </c>
      <c r="AW245" s="551">
        <v>0</v>
      </c>
      <c r="AX245" s="551">
        <v>0</v>
      </c>
      <c r="AY245" s="551">
        <v>0</v>
      </c>
      <c r="AZ245" s="551">
        <v>279403.772</v>
      </c>
      <c r="BA245" s="551">
        <v>287955.72700000001</v>
      </c>
    </row>
    <row r="246" spans="1:53" ht="3" customHeight="1" x14ac:dyDescent="0.2">
      <c r="A246" s="68">
        <f>IF(LEN(+'_DATA STT PAGOS_'!M251)=4,"0"&amp;+'_DATA STT PAGOS_'!M251,+'_DATA STT PAGOS_'!M251)</f>
        <v>11401</v>
      </c>
      <c r="B246" s="68">
        <f>IF(LEN(+'_DATA STT PAGOS_'!N251)=4,"0"&amp;+'_DATA STT PAGOS_'!N251,+'_DATA STT PAGOS_'!N251)</f>
        <v>11201</v>
      </c>
      <c r="C246" s="76" t="str">
        <f>+'_DATA STT PAGOS_'!O251</f>
        <v>CHILE CHICO</v>
      </c>
      <c r="D246" s="80">
        <f>+'CALC MEC ESTAB Y ESTIM M FINAL'!U251</f>
        <v>3945102</v>
      </c>
      <c r="E246" s="77">
        <f>+'CALC MEC ESTAB Y ESTIM M FINAL'!Q251</f>
        <v>1.2077483734E-3</v>
      </c>
      <c r="F246" s="77">
        <f>+'CALC MEC ESTAB Y ESTIM M FINAL'!R251</f>
        <v>1.8217413399999999E-4</v>
      </c>
      <c r="G246" s="80">
        <f>+'_Flujo con Glosa 08'!CE251</f>
        <v>191389</v>
      </c>
      <c r="H246" s="80">
        <f>+'_Flujo con Glosa 08'!CF251</f>
        <v>191389</v>
      </c>
      <c r="I246" s="80">
        <f>+'_Flujo con Glosa 08'!CG251</f>
        <v>173852</v>
      </c>
      <c r="J246" s="80">
        <f>+'_Flujo con Glosa 08'!CH251</f>
        <v>191389</v>
      </c>
      <c r="K246" s="80">
        <f>+'_Flujo con Glosa 08'!CI251</f>
        <v>504399</v>
      </c>
      <c r="L246" s="80">
        <f>+'_Flujo con Glosa 08'!CJ251</f>
        <v>196644</v>
      </c>
      <c r="M246" s="80">
        <f>+'_Flujo con Glosa 08'!CK251</f>
        <v>321423</v>
      </c>
      <c r="N246" s="80">
        <f>+'_Flujo con Glosa 08'!CL251</f>
        <v>191389</v>
      </c>
      <c r="O246" s="80">
        <f>+'_Flujo con Glosa 08'!CM251</f>
        <v>209777</v>
      </c>
      <c r="P246" s="80">
        <f>+'_Flujo con Glosa 08'!CN251</f>
        <v>333114</v>
      </c>
      <c r="Q246" s="80">
        <f>+'_Flujo con Glosa 08'!CO251</f>
        <v>191389</v>
      </c>
      <c r="R246" s="80">
        <f>+'_Flujo con Glosa 08'!CP251</f>
        <v>319965</v>
      </c>
      <c r="S246" s="80">
        <f t="shared" si="6"/>
        <v>3016119</v>
      </c>
      <c r="T246" s="80">
        <v>0</v>
      </c>
      <c r="U246" s="80">
        <v>0</v>
      </c>
      <c r="V246" s="80">
        <v>0</v>
      </c>
      <c r="W246" s="80">
        <v>0</v>
      </c>
      <c r="X246" s="80">
        <v>0</v>
      </c>
      <c r="Y246" s="80">
        <v>0</v>
      </c>
      <c r="Z246" s="80">
        <v>0</v>
      </c>
      <c r="AA246" s="80">
        <v>0</v>
      </c>
      <c r="AB246" s="80">
        <v>0</v>
      </c>
      <c r="AC246" s="80">
        <v>0</v>
      </c>
      <c r="AD246" s="80">
        <v>0</v>
      </c>
      <c r="AE246" s="80">
        <v>0</v>
      </c>
      <c r="AF246" s="80">
        <f t="shared" si="7"/>
        <v>0</v>
      </c>
      <c r="AG246" s="80">
        <f>+COEF_FCM!AM253</f>
        <v>22433</v>
      </c>
      <c r="AH246" s="80">
        <f>+COEF_FCM!AR253</f>
        <v>1094</v>
      </c>
      <c r="AI246" s="80">
        <f>+COEF_FCM!AN253</f>
        <v>16029</v>
      </c>
      <c r="AJ246" s="80">
        <f>+COEF_FCM!AS253</f>
        <v>426</v>
      </c>
      <c r="AK246" s="80">
        <f>+COEF_FCM!AO253</f>
        <v>19398</v>
      </c>
      <c r="AL246" s="80">
        <f>+COEF_FCM!AT253</f>
        <v>840.42700000000002</v>
      </c>
      <c r="AM246" s="80">
        <f>+COEF_FCM!AP253</f>
        <v>14786</v>
      </c>
      <c r="AN246" s="80">
        <f>+COEF_FCM!AU253</f>
        <v>418</v>
      </c>
      <c r="AO246" s="80">
        <f>+COEF_FCM!AQ253</f>
        <v>72646</v>
      </c>
      <c r="AP246" s="80">
        <f>+COEF_FCM!AV253</f>
        <v>2778.4270000000001</v>
      </c>
      <c r="AQ246" s="80">
        <f>+_CIERRE!O246+_CIERRE!P246</f>
        <v>3486538.915</v>
      </c>
      <c r="AR246" s="80">
        <f>+_CIERRE!Q246+_CIERRE!R246</f>
        <v>3780038.9950000001</v>
      </c>
      <c r="AS246" s="80">
        <f>+_CIERRE!S246+_CIERRE!T246</f>
        <v>3908539.5079999999</v>
      </c>
      <c r="AT246" s="80">
        <f>+_CIERRE!U246+_CIERRE!V246</f>
        <v>3945102.4029999999</v>
      </c>
      <c r="AU246" s="80">
        <f>+'CALC MEC ESTAB Y ESTIM M FINAL'!T251</f>
        <v>3945102</v>
      </c>
      <c r="AV246" s="560">
        <v>0</v>
      </c>
      <c r="AW246" s="551">
        <v>0</v>
      </c>
      <c r="AX246" s="551">
        <v>0</v>
      </c>
      <c r="AY246" s="551">
        <v>0</v>
      </c>
      <c r="AZ246" s="551">
        <v>304556.33799999999</v>
      </c>
      <c r="BA246" s="551">
        <v>313078.84499999997</v>
      </c>
    </row>
    <row r="247" spans="1:53" ht="3" customHeight="1" x14ac:dyDescent="0.2">
      <c r="A247" s="68">
        <f>IF(LEN(+'_DATA STT PAGOS_'!M252)=4,"0"&amp;+'_DATA STT PAGOS_'!M252,+'_DATA STT PAGOS_'!M252)</f>
        <v>11402</v>
      </c>
      <c r="B247" s="68">
        <f>IF(LEN(+'_DATA STT PAGOS_'!N252)=4,"0"&amp;+'_DATA STT PAGOS_'!N252,+'_DATA STT PAGOS_'!N252)</f>
        <v>11203</v>
      </c>
      <c r="C247" s="76" t="str">
        <f>+'_DATA STT PAGOS_'!O252</f>
        <v>RÍO IBÁÑEZ</v>
      </c>
      <c r="D247" s="80">
        <f>+'CALC MEC ESTAB Y ESTIM M FINAL'!U252</f>
        <v>3272989</v>
      </c>
      <c r="E247" s="77">
        <f>+'CALC MEC ESTAB Y ESTIM M FINAL'!Q252</f>
        <v>1.2734496323E-3</v>
      </c>
      <c r="F247" s="77">
        <f>+'CALC MEC ESTAB Y ESTIM M FINAL'!R252</f>
        <v>-1.2032330339999999E-4</v>
      </c>
      <c r="G247" s="80">
        <f>+'_Flujo con Glosa 08'!CE252</f>
        <v>145038</v>
      </c>
      <c r="H247" s="80">
        <f>+'_Flujo con Glosa 08'!CF252</f>
        <v>145038</v>
      </c>
      <c r="I247" s="80">
        <f>+'_Flujo con Glosa 08'!CG252</f>
        <v>144234</v>
      </c>
      <c r="J247" s="80">
        <f>+'_Flujo con Glosa 08'!CH252</f>
        <v>145038</v>
      </c>
      <c r="K247" s="80">
        <f>+'_Flujo con Glosa 08'!CI252</f>
        <v>459701</v>
      </c>
      <c r="L247" s="80">
        <f>+'_Flujo con Glosa 08'!CJ252</f>
        <v>149397</v>
      </c>
      <c r="M247" s="80">
        <f>+'_Flujo con Glosa 08'!CK252</f>
        <v>274844</v>
      </c>
      <c r="N247" s="80">
        <f>+'_Flujo con Glosa 08'!CL252</f>
        <v>145038</v>
      </c>
      <c r="O247" s="80">
        <f>+'_Flujo con Glosa 08'!CM252</f>
        <v>174037</v>
      </c>
      <c r="P247" s="80">
        <f>+'_Flujo con Glosa 08'!CN252</f>
        <v>295671</v>
      </c>
      <c r="Q247" s="80">
        <f>+'_Flujo con Glosa 08'!CO252</f>
        <v>145038</v>
      </c>
      <c r="R247" s="80">
        <f>+'_Flujo con Glosa 08'!CP252</f>
        <v>279198</v>
      </c>
      <c r="S247" s="80">
        <f t="shared" si="6"/>
        <v>2502272</v>
      </c>
      <c r="T247" s="80">
        <v>0</v>
      </c>
      <c r="U247" s="80">
        <v>0</v>
      </c>
      <c r="V247" s="80">
        <v>0</v>
      </c>
      <c r="W247" s="80">
        <v>0</v>
      </c>
      <c r="X247" s="80">
        <v>0</v>
      </c>
      <c r="Y247" s="80">
        <v>0</v>
      </c>
      <c r="Z247" s="80">
        <v>0</v>
      </c>
      <c r="AA247" s="80">
        <v>0</v>
      </c>
      <c r="AB247" s="80">
        <v>0</v>
      </c>
      <c r="AC247" s="80">
        <v>0</v>
      </c>
      <c r="AD247" s="80">
        <v>0</v>
      </c>
      <c r="AE247" s="80">
        <v>0</v>
      </c>
      <c r="AF247" s="80">
        <f t="shared" si="7"/>
        <v>0</v>
      </c>
      <c r="AG247" s="80">
        <f>+COEF_FCM!AM254</f>
        <v>20559</v>
      </c>
      <c r="AH247" s="80">
        <f>+COEF_FCM!AR254</f>
        <v>281</v>
      </c>
      <c r="AI247" s="80">
        <f>+COEF_FCM!AN254</f>
        <v>8390</v>
      </c>
      <c r="AJ247" s="80">
        <f>+COEF_FCM!AS254</f>
        <v>194</v>
      </c>
      <c r="AK247" s="80">
        <f>+COEF_FCM!AO254</f>
        <v>11888</v>
      </c>
      <c r="AL247" s="80">
        <f>+COEF_FCM!AT254</f>
        <v>313.16699999999997</v>
      </c>
      <c r="AM247" s="80">
        <f>+COEF_FCM!AP254</f>
        <v>7896</v>
      </c>
      <c r="AN247" s="80">
        <f>+COEF_FCM!AU254</f>
        <v>188</v>
      </c>
      <c r="AO247" s="80">
        <f>+COEF_FCM!AQ254</f>
        <v>48733</v>
      </c>
      <c r="AP247" s="80">
        <f>+COEF_FCM!AV254</f>
        <v>976.16699999999992</v>
      </c>
      <c r="AQ247" s="80">
        <f>+_CIERRE!O247+_CIERRE!P247</f>
        <v>2073364.149</v>
      </c>
      <c r="AR247" s="80">
        <f>+_CIERRE!Q247+_CIERRE!R247</f>
        <v>2299247.426</v>
      </c>
      <c r="AS247" s="80">
        <f>+_CIERRE!S247+_CIERRE!T247</f>
        <v>2501559.9500000002</v>
      </c>
      <c r="AT247" s="80">
        <f>+_CIERRE!U247+_CIERRE!V247</f>
        <v>2988138.8339999998</v>
      </c>
      <c r="AU247" s="80">
        <f>+'CALC MEC ESTAB Y ESTIM M FINAL'!T252</f>
        <v>3272989</v>
      </c>
      <c r="AV247" s="560">
        <v>0</v>
      </c>
      <c r="AW247" s="551">
        <v>0</v>
      </c>
      <c r="AX247" s="551">
        <v>0</v>
      </c>
      <c r="AY247" s="551">
        <v>0</v>
      </c>
      <c r="AZ247" s="551">
        <v>301480.71100000001</v>
      </c>
      <c r="BA247" s="551">
        <v>307975.17099999997</v>
      </c>
    </row>
    <row r="248" spans="1:53" ht="3" customHeight="1" x14ac:dyDescent="0.2">
      <c r="A248" s="68">
        <f>IF(LEN(+'_DATA STT PAGOS_'!M253)=4,"0"&amp;+'_DATA STT PAGOS_'!M253,+'_DATA STT PAGOS_'!M253)</f>
        <v>12101</v>
      </c>
      <c r="B248" s="68">
        <f>IF(LEN(+'_DATA STT PAGOS_'!N253)=4,"0"&amp;+'_DATA STT PAGOS_'!N253,+'_DATA STT PAGOS_'!N253)</f>
        <v>12205</v>
      </c>
      <c r="C248" s="76" t="str">
        <f>+'_DATA STT PAGOS_'!O253</f>
        <v>PUNTA ARENAS</v>
      </c>
      <c r="D248" s="80">
        <f>+'CALC MEC ESTAB Y ESTIM M FINAL'!U253</f>
        <v>11185237</v>
      </c>
      <c r="E248" s="77">
        <f>+'CALC MEC ESTAB Y ESTIM M FINAL'!Q253</f>
        <v>3.1810040936E-3</v>
      </c>
      <c r="F248" s="77">
        <f>+'CALC MEC ESTAB Y ESTIM M FINAL'!R253</f>
        <v>7.5973345939999999E-4</v>
      </c>
      <c r="G248" s="80">
        <f>+'_Flujo con Glosa 08'!CE253</f>
        <v>542630</v>
      </c>
      <c r="H248" s="80">
        <f>+'_Flujo con Glosa 08'!CF253</f>
        <v>542630</v>
      </c>
      <c r="I248" s="80">
        <f>+'_Flujo con Glosa 08'!CG253</f>
        <v>492910</v>
      </c>
      <c r="J248" s="80">
        <f>+'_Flujo con Glosa 08'!CH253</f>
        <v>542630</v>
      </c>
      <c r="K248" s="80">
        <f>+'_Flujo con Glosa 08'!CI253</f>
        <v>1430084</v>
      </c>
      <c r="L248" s="80">
        <f>+'_Flujo con Glosa 08'!CJ253</f>
        <v>557528</v>
      </c>
      <c r="M248" s="80">
        <f>+'_Flujo con Glosa 08'!CK253</f>
        <v>911306</v>
      </c>
      <c r="N248" s="80">
        <f>+'_Flujo con Glosa 08'!CL253</f>
        <v>542630</v>
      </c>
      <c r="O248" s="80">
        <f>+'_Flujo con Glosa 08'!CM253</f>
        <v>594762</v>
      </c>
      <c r="P248" s="80">
        <f>+'_Flujo con Glosa 08'!CN253</f>
        <v>944452</v>
      </c>
      <c r="Q248" s="80">
        <f>+'_Flujo con Glosa 08'!CO253</f>
        <v>542630</v>
      </c>
      <c r="R248" s="80">
        <f>+'_Flujo con Glosa 08'!CP253</f>
        <v>907170</v>
      </c>
      <c r="S248" s="80">
        <f t="shared" si="6"/>
        <v>8551362</v>
      </c>
      <c r="T248" s="80">
        <v>0</v>
      </c>
      <c r="U248" s="80">
        <v>0</v>
      </c>
      <c r="V248" s="80">
        <v>0</v>
      </c>
      <c r="W248" s="80">
        <v>0</v>
      </c>
      <c r="X248" s="80">
        <v>0</v>
      </c>
      <c r="Y248" s="80">
        <v>0</v>
      </c>
      <c r="Z248" s="80">
        <v>0</v>
      </c>
      <c r="AA248" s="80">
        <v>0</v>
      </c>
      <c r="AB248" s="80">
        <v>0</v>
      </c>
      <c r="AC248" s="80">
        <v>0</v>
      </c>
      <c r="AD248" s="80">
        <v>0</v>
      </c>
      <c r="AE248" s="80">
        <v>0</v>
      </c>
      <c r="AF248" s="80">
        <f t="shared" si="7"/>
        <v>0</v>
      </c>
      <c r="AG248" s="80">
        <f>+COEF_FCM!AM255</f>
        <v>1282721</v>
      </c>
      <c r="AH248" s="80">
        <f>+COEF_FCM!AR255</f>
        <v>164715</v>
      </c>
      <c r="AI248" s="80">
        <f>+COEF_FCM!AN255</f>
        <v>975746</v>
      </c>
      <c r="AJ248" s="80">
        <f>+COEF_FCM!AS255</f>
        <v>78349</v>
      </c>
      <c r="AK248" s="80">
        <f>+COEF_FCM!AO255</f>
        <v>1122642</v>
      </c>
      <c r="AL248" s="80">
        <f>+COEF_FCM!AT255</f>
        <v>110653.442</v>
      </c>
      <c r="AM248" s="80">
        <f>+COEF_FCM!AP255</f>
        <v>870033</v>
      </c>
      <c r="AN248" s="80">
        <f>+COEF_FCM!AU255</f>
        <v>72957</v>
      </c>
      <c r="AO248" s="80">
        <f>+COEF_FCM!AQ255</f>
        <v>4251142</v>
      </c>
      <c r="AP248" s="80">
        <f>+COEF_FCM!AV255</f>
        <v>426674.44199999998</v>
      </c>
      <c r="AQ248" s="80">
        <f>+_CIERRE!O248+_CIERRE!P248</f>
        <v>9398586.9480000008</v>
      </c>
      <c r="AR248" s="80">
        <f>+_CIERRE!Q248+_CIERRE!R248</f>
        <v>10189769.471000001</v>
      </c>
      <c r="AS248" s="80">
        <f>+_CIERRE!S248+_CIERRE!T248</f>
        <v>11081574.266000001</v>
      </c>
      <c r="AT248" s="80">
        <f>+_CIERRE!U248+_CIERRE!V248</f>
        <v>11185237.029999999</v>
      </c>
      <c r="AU248" s="80">
        <f>+'CALC MEC ESTAB Y ESTIM M FINAL'!T253</f>
        <v>11185237</v>
      </c>
      <c r="AV248" s="560">
        <v>0</v>
      </c>
      <c r="AW248" s="551">
        <v>0</v>
      </c>
      <c r="AX248" s="551">
        <v>0</v>
      </c>
      <c r="AY248" s="551">
        <v>0</v>
      </c>
      <c r="AZ248" s="551">
        <v>0</v>
      </c>
      <c r="BA248" s="551">
        <v>0</v>
      </c>
    </row>
    <row r="249" spans="1:53" ht="3" customHeight="1" x14ac:dyDescent="0.2">
      <c r="A249" s="68">
        <f>IF(LEN(+'_DATA STT PAGOS_'!M254)=4,"0"&amp;+'_DATA STT PAGOS_'!M254,+'_DATA STT PAGOS_'!M254)</f>
        <v>12102</v>
      </c>
      <c r="B249" s="68">
        <f>IF(LEN(+'_DATA STT PAGOS_'!N254)=4,"0"&amp;+'_DATA STT PAGOS_'!N254,+'_DATA STT PAGOS_'!N254)</f>
        <v>12206</v>
      </c>
      <c r="C249" s="76" t="str">
        <f>+'_DATA STT PAGOS_'!O254</f>
        <v>LAGUNA BLANCA</v>
      </c>
      <c r="D249" s="80">
        <f>+'CALC MEC ESTAB Y ESTIM M FINAL'!U254</f>
        <v>1954383</v>
      </c>
      <c r="E249" s="77">
        <f>+'CALC MEC ESTAB Y ESTIM M FINAL'!Q254</f>
        <v>7.2609764709999998E-4</v>
      </c>
      <c r="F249" s="77">
        <f>+'CALC MEC ESTAB Y ESTIM M FINAL'!R254</f>
        <v>-3.7537153000000002E-5</v>
      </c>
      <c r="G249" s="80">
        <f>+'_Flujo con Glosa 08'!CE254</f>
        <v>90511</v>
      </c>
      <c r="H249" s="80">
        <f>+'_Flujo con Glosa 08'!CF254</f>
        <v>90511</v>
      </c>
      <c r="I249" s="80">
        <f>+'_Flujo con Glosa 08'!CG254</f>
        <v>86126</v>
      </c>
      <c r="J249" s="80">
        <f>+'_Flujo con Glosa 08'!CH254</f>
        <v>90511</v>
      </c>
      <c r="K249" s="80">
        <f>+'_Flujo con Glosa 08'!CI254</f>
        <v>262782</v>
      </c>
      <c r="L249" s="80">
        <f>+'_Flujo con Glosa 08'!CJ254</f>
        <v>93114</v>
      </c>
      <c r="M249" s="80">
        <f>+'_Flujo con Glosa 08'!CK254</f>
        <v>160210</v>
      </c>
      <c r="N249" s="80">
        <f>+'_Flujo con Glosa 08'!CL254</f>
        <v>90511</v>
      </c>
      <c r="O249" s="80">
        <f>+'_Flujo con Glosa 08'!CM254</f>
        <v>103922</v>
      </c>
      <c r="P249" s="80">
        <f>+'_Flujo con Glosa 08'!CN254</f>
        <v>172648</v>
      </c>
      <c r="Q249" s="80">
        <f>+'_Flujo con Glosa 08'!CO254</f>
        <v>90511</v>
      </c>
      <c r="R249" s="80">
        <f>+'_Flujo con Glosa 08'!CP254</f>
        <v>162811</v>
      </c>
      <c r="S249" s="80">
        <f t="shared" si="6"/>
        <v>1494168</v>
      </c>
      <c r="T249" s="80">
        <v>0</v>
      </c>
      <c r="U249" s="80">
        <v>0</v>
      </c>
      <c r="V249" s="80">
        <v>0</v>
      </c>
      <c r="W249" s="80">
        <v>0</v>
      </c>
      <c r="X249" s="80">
        <v>0</v>
      </c>
      <c r="Y249" s="80">
        <v>0</v>
      </c>
      <c r="Z249" s="80">
        <v>0</v>
      </c>
      <c r="AA249" s="80">
        <v>0</v>
      </c>
      <c r="AB249" s="80">
        <v>0</v>
      </c>
      <c r="AC249" s="80">
        <v>0</v>
      </c>
      <c r="AD249" s="80">
        <v>0</v>
      </c>
      <c r="AE249" s="80">
        <v>0</v>
      </c>
      <c r="AF249" s="80">
        <f t="shared" si="7"/>
        <v>0</v>
      </c>
      <c r="AG249" s="80">
        <f>+COEF_FCM!AM256</f>
        <v>18338</v>
      </c>
      <c r="AH249" s="80">
        <f>+COEF_FCM!AR256</f>
        <v>0</v>
      </c>
      <c r="AI249" s="80">
        <f>+COEF_FCM!AN256</f>
        <v>10843</v>
      </c>
      <c r="AJ249" s="80">
        <f>+COEF_FCM!AS256</f>
        <v>0</v>
      </c>
      <c r="AK249" s="80">
        <f>+COEF_FCM!AO256</f>
        <v>11382</v>
      </c>
      <c r="AL249" s="80">
        <f>+COEF_FCM!AT256</f>
        <v>0</v>
      </c>
      <c r="AM249" s="80">
        <f>+COEF_FCM!AP256</f>
        <v>10785</v>
      </c>
      <c r="AN249" s="80">
        <f>+COEF_FCM!AU256</f>
        <v>0</v>
      </c>
      <c r="AO249" s="80">
        <f>+COEF_FCM!AQ256</f>
        <v>51348</v>
      </c>
      <c r="AP249" s="80">
        <f>+COEF_FCM!AV256</f>
        <v>0</v>
      </c>
      <c r="AQ249" s="80">
        <f>+_CIERRE!O249+_CIERRE!P249</f>
        <v>1430775.578</v>
      </c>
      <c r="AR249" s="80">
        <f>+_CIERRE!Q249+_CIERRE!R249</f>
        <v>1643378.179</v>
      </c>
      <c r="AS249" s="80">
        <f>+_CIERRE!S249+_CIERRE!T249</f>
        <v>1784575.5889999999</v>
      </c>
      <c r="AT249" s="80">
        <f>+_CIERRE!U249+_CIERRE!V249</f>
        <v>1865518.0789999999</v>
      </c>
      <c r="AU249" s="80">
        <f>+'CALC MEC ESTAB Y ESTIM M FINAL'!T254</f>
        <v>1954383</v>
      </c>
      <c r="AV249" s="560">
        <v>0</v>
      </c>
      <c r="AW249" s="551">
        <v>0</v>
      </c>
      <c r="AX249" s="551">
        <v>0</v>
      </c>
      <c r="AY249" s="551">
        <v>0</v>
      </c>
      <c r="AZ249" s="551">
        <v>276208.21799999999</v>
      </c>
      <c r="BA249" s="551">
        <v>284774.44900000002</v>
      </c>
    </row>
    <row r="250" spans="1:53" ht="3" customHeight="1" x14ac:dyDescent="0.2">
      <c r="A250" s="68">
        <f>IF(LEN(+'_DATA STT PAGOS_'!M255)=4,"0"&amp;+'_DATA STT PAGOS_'!M255,+'_DATA STT PAGOS_'!M255)</f>
        <v>12103</v>
      </c>
      <c r="B250" s="68">
        <f>IF(LEN(+'_DATA STT PAGOS_'!N255)=4,"0"&amp;+'_DATA STT PAGOS_'!N255,+'_DATA STT PAGOS_'!N255)</f>
        <v>12202</v>
      </c>
      <c r="C250" s="76" t="str">
        <f>+'_DATA STT PAGOS_'!O255</f>
        <v>RÍO VERDE</v>
      </c>
      <c r="D250" s="80">
        <f>+'CALC MEC ESTAB Y ESTIM M FINAL'!U255</f>
        <v>1950395</v>
      </c>
      <c r="E250" s="77">
        <f>+'CALC MEC ESTAB Y ESTIM M FINAL'!Q255</f>
        <v>7.253806656E-4</v>
      </c>
      <c r="F250" s="77">
        <f>+'CALC MEC ESTAB Y ESTIM M FINAL'!R255</f>
        <v>-3.8225226099999997E-5</v>
      </c>
      <c r="G250" s="80">
        <f>+'_Flujo con Glosa 08'!CE255</f>
        <v>90241</v>
      </c>
      <c r="H250" s="80">
        <f>+'_Flujo con Glosa 08'!CF255</f>
        <v>90241</v>
      </c>
      <c r="I250" s="80">
        <f>+'_Flujo con Glosa 08'!CG255</f>
        <v>85950</v>
      </c>
      <c r="J250" s="80">
        <f>+'_Flujo con Glosa 08'!CH255</f>
        <v>90241</v>
      </c>
      <c r="K250" s="80">
        <f>+'_Flujo con Glosa 08'!CI255</f>
        <v>262502</v>
      </c>
      <c r="L250" s="80">
        <f>+'_Flujo con Glosa 08'!CJ255</f>
        <v>92839</v>
      </c>
      <c r="M250" s="80">
        <f>+'_Flujo con Glosa 08'!CK255</f>
        <v>159969</v>
      </c>
      <c r="N250" s="80">
        <f>+'_Flujo con Glosa 08'!CL255</f>
        <v>90241</v>
      </c>
      <c r="O250" s="80">
        <f>+'_Flujo con Glosa 08'!CM255</f>
        <v>103709</v>
      </c>
      <c r="P250" s="80">
        <f>+'_Flujo con Glosa 08'!CN255</f>
        <v>172380</v>
      </c>
      <c r="Q250" s="80">
        <f>+'_Flujo con Glosa 08'!CO255</f>
        <v>90241</v>
      </c>
      <c r="R250" s="80">
        <f>+'_Flujo con Glosa 08'!CP255</f>
        <v>162563</v>
      </c>
      <c r="S250" s="80">
        <f t="shared" si="6"/>
        <v>1491117</v>
      </c>
      <c r="T250" s="80">
        <v>0</v>
      </c>
      <c r="U250" s="80">
        <v>0</v>
      </c>
      <c r="V250" s="80">
        <v>0</v>
      </c>
      <c r="W250" s="80">
        <v>0</v>
      </c>
      <c r="X250" s="80">
        <v>0</v>
      </c>
      <c r="Y250" s="80">
        <v>0</v>
      </c>
      <c r="Z250" s="80">
        <v>0</v>
      </c>
      <c r="AA250" s="80">
        <v>0</v>
      </c>
      <c r="AB250" s="80">
        <v>0</v>
      </c>
      <c r="AC250" s="80">
        <v>0</v>
      </c>
      <c r="AD250" s="80">
        <v>0</v>
      </c>
      <c r="AE250" s="80">
        <v>0</v>
      </c>
      <c r="AF250" s="80">
        <f t="shared" si="7"/>
        <v>0</v>
      </c>
      <c r="AG250" s="80">
        <f>+COEF_FCM!AM257</f>
        <v>20133</v>
      </c>
      <c r="AH250" s="80">
        <f>+COEF_FCM!AR257</f>
        <v>0</v>
      </c>
      <c r="AI250" s="80">
        <f>+COEF_FCM!AN257</f>
        <v>13030</v>
      </c>
      <c r="AJ250" s="80">
        <f>+COEF_FCM!AS257</f>
        <v>0</v>
      </c>
      <c r="AK250" s="80">
        <f>+COEF_FCM!AO257</f>
        <v>15841</v>
      </c>
      <c r="AL250" s="80">
        <f>+COEF_FCM!AT257</f>
        <v>0</v>
      </c>
      <c r="AM250" s="80">
        <f>+COEF_FCM!AP257</f>
        <v>6081</v>
      </c>
      <c r="AN250" s="80">
        <f>+COEF_FCM!AU257</f>
        <v>0</v>
      </c>
      <c r="AO250" s="80">
        <f>+COEF_FCM!AQ257</f>
        <v>55085</v>
      </c>
      <c r="AP250" s="80">
        <f>+COEF_FCM!AV257</f>
        <v>0</v>
      </c>
      <c r="AQ250" s="80">
        <f>+_CIERRE!O250+_CIERRE!P250</f>
        <v>1390444.7960000001</v>
      </c>
      <c r="AR250" s="80">
        <f>+_CIERRE!Q250+_CIERRE!R250</f>
        <v>1624873.41</v>
      </c>
      <c r="AS250" s="80">
        <f>+_CIERRE!S250+_CIERRE!T250</f>
        <v>1775937.7279999999</v>
      </c>
      <c r="AT250" s="80">
        <f>+_CIERRE!U250+_CIERRE!V250</f>
        <v>1859902.348</v>
      </c>
      <c r="AU250" s="80">
        <f>+'CALC MEC ESTAB Y ESTIM M FINAL'!T255</f>
        <v>1950395</v>
      </c>
      <c r="AV250" s="560">
        <v>0</v>
      </c>
      <c r="AW250" s="551">
        <v>0</v>
      </c>
      <c r="AX250" s="551">
        <v>0</v>
      </c>
      <c r="AY250" s="551">
        <v>0</v>
      </c>
      <c r="AZ250" s="551">
        <v>276162.826</v>
      </c>
      <c r="BA250" s="551">
        <v>284655.174</v>
      </c>
    </row>
    <row r="251" spans="1:53" ht="3" customHeight="1" x14ac:dyDescent="0.2">
      <c r="A251" s="68">
        <f>IF(LEN(+'_DATA STT PAGOS_'!M256)=4,"0"&amp;+'_DATA STT PAGOS_'!M256,+'_DATA STT PAGOS_'!M256)</f>
        <v>12104</v>
      </c>
      <c r="B251" s="68">
        <f>IF(LEN(+'_DATA STT PAGOS_'!N256)=4,"0"&amp;+'_DATA STT PAGOS_'!N256,+'_DATA STT PAGOS_'!N256)</f>
        <v>12204</v>
      </c>
      <c r="C251" s="76" t="str">
        <f>+'_DATA STT PAGOS_'!O256</f>
        <v>SAN GREGORIO</v>
      </c>
      <c r="D251" s="80">
        <f>+'CALC MEC ESTAB Y ESTIM M FINAL'!U256</f>
        <v>1970063</v>
      </c>
      <c r="E251" s="77">
        <f>+'CALC MEC ESTAB Y ESTIM M FINAL'!Q256</f>
        <v>7.3358364199999993E-4</v>
      </c>
      <c r="F251" s="77">
        <f>+'CALC MEC ESTAB Y ESTIM M FINAL'!R256</f>
        <v>-3.94988484E-5</v>
      </c>
      <c r="G251" s="80">
        <f>+'_Flujo con Glosa 08'!CE256</f>
        <v>91041</v>
      </c>
      <c r="H251" s="80">
        <f>+'_Flujo con Glosa 08'!CF256</f>
        <v>91041</v>
      </c>
      <c r="I251" s="80">
        <f>+'_Flujo con Glosa 08'!CG256</f>
        <v>86817</v>
      </c>
      <c r="J251" s="80">
        <f>+'_Flujo con Glosa 08'!CH256</f>
        <v>91041</v>
      </c>
      <c r="K251" s="80">
        <f>+'_Flujo con Glosa 08'!CI256</f>
        <v>265479</v>
      </c>
      <c r="L251" s="80">
        <f>+'_Flujo con Glosa 08'!CJ256</f>
        <v>93665</v>
      </c>
      <c r="M251" s="80">
        <f>+'_Flujo con Glosa 08'!CK256</f>
        <v>161693</v>
      </c>
      <c r="N251" s="80">
        <f>+'_Flujo con Glosa 08'!CL256</f>
        <v>91041</v>
      </c>
      <c r="O251" s="80">
        <f>+'_Flujo con Glosa 08'!CM256</f>
        <v>104756</v>
      </c>
      <c r="P251" s="80">
        <f>+'_Flujo con Glosa 08'!CN256</f>
        <v>174229</v>
      </c>
      <c r="Q251" s="80">
        <f>+'_Flujo con Glosa 08'!CO256</f>
        <v>91041</v>
      </c>
      <c r="R251" s="80">
        <f>+'_Flujo con Glosa 08'!CP256</f>
        <v>164313</v>
      </c>
      <c r="S251" s="80">
        <f t="shared" si="6"/>
        <v>1506157</v>
      </c>
      <c r="T251" s="80">
        <v>0</v>
      </c>
      <c r="U251" s="80">
        <v>0</v>
      </c>
      <c r="V251" s="80">
        <v>0</v>
      </c>
      <c r="W251" s="80">
        <v>0</v>
      </c>
      <c r="X251" s="80">
        <v>0</v>
      </c>
      <c r="Y251" s="80">
        <v>0</v>
      </c>
      <c r="Z251" s="80">
        <v>0</v>
      </c>
      <c r="AA251" s="80">
        <v>0</v>
      </c>
      <c r="AB251" s="80">
        <v>0</v>
      </c>
      <c r="AC251" s="80">
        <v>0</v>
      </c>
      <c r="AD251" s="80">
        <v>0</v>
      </c>
      <c r="AE251" s="80">
        <v>0</v>
      </c>
      <c r="AF251" s="80">
        <f t="shared" si="7"/>
        <v>0</v>
      </c>
      <c r="AG251" s="80">
        <f>+COEF_FCM!AM258</f>
        <v>37144</v>
      </c>
      <c r="AH251" s="80">
        <f>+COEF_FCM!AR258</f>
        <v>0</v>
      </c>
      <c r="AI251" s="80">
        <f>+COEF_FCM!AN258</f>
        <v>19691</v>
      </c>
      <c r="AJ251" s="80">
        <f>+COEF_FCM!AS258</f>
        <v>0</v>
      </c>
      <c r="AK251" s="80">
        <f>+COEF_FCM!AO258</f>
        <v>23962</v>
      </c>
      <c r="AL251" s="80">
        <f>+COEF_FCM!AT258</f>
        <v>0</v>
      </c>
      <c r="AM251" s="80">
        <f>+COEF_FCM!AP258</f>
        <v>29611</v>
      </c>
      <c r="AN251" s="80">
        <f>+COEF_FCM!AU258</f>
        <v>0</v>
      </c>
      <c r="AO251" s="80">
        <f>+COEF_FCM!AQ258</f>
        <v>110408</v>
      </c>
      <c r="AP251" s="80">
        <f>+COEF_FCM!AV258</f>
        <v>0</v>
      </c>
      <c r="AQ251" s="80">
        <f>+_CIERRE!O251+_CIERRE!P251</f>
        <v>1401167.2579999999</v>
      </c>
      <c r="AR251" s="80">
        <f>+_CIERRE!Q251+_CIERRE!R251</f>
        <v>1636657.933</v>
      </c>
      <c r="AS251" s="80">
        <f>+_CIERRE!S251+_CIERRE!T251</f>
        <v>1789227.686</v>
      </c>
      <c r="AT251" s="80">
        <f>+_CIERRE!U251+_CIERRE!V251</f>
        <v>1876555.5490000001</v>
      </c>
      <c r="AU251" s="80">
        <f>+'CALC MEC ESTAB Y ESTIM M FINAL'!T256</f>
        <v>1970063</v>
      </c>
      <c r="AV251" s="560">
        <v>0</v>
      </c>
      <c r="AW251" s="551">
        <v>0</v>
      </c>
      <c r="AX251" s="551">
        <v>0</v>
      </c>
      <c r="AY251" s="551">
        <v>0</v>
      </c>
      <c r="AZ251" s="551">
        <v>277830.21399999998</v>
      </c>
      <c r="BA251" s="551">
        <v>286389.56800000003</v>
      </c>
    </row>
    <row r="252" spans="1:53" ht="3" customHeight="1" x14ac:dyDescent="0.2">
      <c r="A252" s="68">
        <f>IF(LEN(+'_DATA STT PAGOS_'!M257)=4,"0"&amp;+'_DATA STT PAGOS_'!M257,+'_DATA STT PAGOS_'!M257)</f>
        <v>12201</v>
      </c>
      <c r="B252" s="68">
        <f>IF(LEN(+'_DATA STT PAGOS_'!N257)=4,"0"&amp;+'_DATA STT PAGOS_'!N257,+'_DATA STT PAGOS_'!N257)</f>
        <v>12401</v>
      </c>
      <c r="C252" s="76" t="str">
        <f>+'_DATA STT PAGOS_'!O257</f>
        <v>CABO DE HORNOS</v>
      </c>
      <c r="D252" s="80">
        <f>+'CALC MEC ESTAB Y ESTIM M FINAL'!U257</f>
        <v>2380125</v>
      </c>
      <c r="E252" s="77">
        <f>+'CALC MEC ESTAB Y ESTIM M FINAL'!Q257</f>
        <v>8.8254157359999989E-4</v>
      </c>
      <c r="F252" s="77">
        <f>+'CALC MEC ESTAB Y ESTIM M FINAL'!R257</f>
        <v>-4.3985592300000001E-5</v>
      </c>
      <c r="G252" s="80">
        <f>+'_Flujo con Glosa 08'!CE257</f>
        <v>110449</v>
      </c>
      <c r="H252" s="80">
        <f>+'_Flujo con Glosa 08'!CF257</f>
        <v>110449</v>
      </c>
      <c r="I252" s="80">
        <f>+'_Flujo con Glosa 08'!CG257</f>
        <v>104887</v>
      </c>
      <c r="J252" s="80">
        <f>+'_Flujo con Glosa 08'!CH257</f>
        <v>110449</v>
      </c>
      <c r="K252" s="80">
        <f>+'_Flujo con Glosa 08'!CI257</f>
        <v>319364</v>
      </c>
      <c r="L252" s="80">
        <f>+'_Flujo con Glosa 08'!CJ257</f>
        <v>113619</v>
      </c>
      <c r="M252" s="80">
        <f>+'_Flujo con Glosa 08'!CK257</f>
        <v>194889</v>
      </c>
      <c r="N252" s="80">
        <f>+'_Flujo con Glosa 08'!CL257</f>
        <v>110449</v>
      </c>
      <c r="O252" s="80">
        <f>+'_Flujo con Glosa 08'!CM257</f>
        <v>126560</v>
      </c>
      <c r="P252" s="80">
        <f>+'_Flujo con Glosa 08'!CN257</f>
        <v>210037</v>
      </c>
      <c r="Q252" s="80">
        <f>+'_Flujo con Glosa 08'!CO257</f>
        <v>110449</v>
      </c>
      <c r="R252" s="80">
        <f>+'_Flujo con Glosa 08'!CP257</f>
        <v>198056</v>
      </c>
      <c r="S252" s="80">
        <f t="shared" si="6"/>
        <v>1819657</v>
      </c>
      <c r="T252" s="80">
        <v>0</v>
      </c>
      <c r="U252" s="80">
        <v>0</v>
      </c>
      <c r="V252" s="80">
        <v>0</v>
      </c>
      <c r="W252" s="80">
        <v>0</v>
      </c>
      <c r="X252" s="80">
        <v>0</v>
      </c>
      <c r="Y252" s="80">
        <v>0</v>
      </c>
      <c r="Z252" s="80">
        <v>0</v>
      </c>
      <c r="AA252" s="80">
        <v>0</v>
      </c>
      <c r="AB252" s="80">
        <v>0</v>
      </c>
      <c r="AC252" s="80">
        <v>0</v>
      </c>
      <c r="AD252" s="80">
        <v>0</v>
      </c>
      <c r="AE252" s="80">
        <v>0</v>
      </c>
      <c r="AF252" s="80">
        <f t="shared" si="7"/>
        <v>0</v>
      </c>
      <c r="AG252" s="80">
        <f>+COEF_FCM!AM259</f>
        <v>0</v>
      </c>
      <c r="AH252" s="80">
        <f>+COEF_FCM!AR259</f>
        <v>0</v>
      </c>
      <c r="AI252" s="80">
        <f>+COEF_FCM!AN259</f>
        <v>0</v>
      </c>
      <c r="AJ252" s="80">
        <f>+COEF_FCM!AS259</f>
        <v>0</v>
      </c>
      <c r="AK252" s="80">
        <f>+COEF_FCM!AO259</f>
        <v>0</v>
      </c>
      <c r="AL252" s="80">
        <f>+COEF_FCM!AT259</f>
        <v>0</v>
      </c>
      <c r="AM252" s="80">
        <f>+COEF_FCM!AP259</f>
        <v>0</v>
      </c>
      <c r="AN252" s="80">
        <f>+COEF_FCM!AU259</f>
        <v>0</v>
      </c>
      <c r="AO252" s="80">
        <f>+COEF_FCM!AQ259</f>
        <v>0</v>
      </c>
      <c r="AP252" s="80">
        <f>+COEF_FCM!AV259</f>
        <v>0</v>
      </c>
      <c r="AQ252" s="80">
        <f>+_CIERRE!O252+_CIERRE!P252</f>
        <v>1792202.96</v>
      </c>
      <c r="AR252" s="80">
        <f>+_CIERRE!Q252+_CIERRE!R252</f>
        <v>1943072.4809999999</v>
      </c>
      <c r="AS252" s="80">
        <f>+_CIERRE!S252+_CIERRE!T252</f>
        <v>2036339.21</v>
      </c>
      <c r="AT252" s="80">
        <f>+_CIERRE!U252+_CIERRE!V252</f>
        <v>2275995.2259999998</v>
      </c>
      <c r="AU252" s="80">
        <f>+'CALC MEC ESTAB Y ESTIM M FINAL'!T257</f>
        <v>2380125</v>
      </c>
      <c r="AV252" s="560">
        <v>0</v>
      </c>
      <c r="AW252" s="551">
        <v>0</v>
      </c>
      <c r="AX252" s="551">
        <v>0</v>
      </c>
      <c r="AY252" s="551">
        <v>0</v>
      </c>
      <c r="AZ252" s="551">
        <v>288723.84700000001</v>
      </c>
      <c r="BA252" s="551">
        <v>297586.40899999999</v>
      </c>
    </row>
    <row r="253" spans="1:53" ht="3" customHeight="1" x14ac:dyDescent="0.2">
      <c r="A253" s="68">
        <f>IF(LEN(+'_DATA STT PAGOS_'!M258)=4,"0"&amp;+'_DATA STT PAGOS_'!M258,+'_DATA STT PAGOS_'!M258)</f>
        <v>12202</v>
      </c>
      <c r="B253" s="68">
        <f>IF(LEN(+'_DATA STT PAGOS_'!N258)=4,"0"&amp;+'_DATA STT PAGOS_'!N258,+'_DATA STT PAGOS_'!N258)</f>
        <v>12402</v>
      </c>
      <c r="C253" s="76" t="str">
        <f>+'_DATA STT PAGOS_'!O258</f>
        <v>ANTÁRTICA</v>
      </c>
      <c r="D253" s="80">
        <f>+'CALC MEC ESTAB Y ESTIM M FINAL'!U258</f>
        <v>1940548</v>
      </c>
      <c r="E253" s="77">
        <f>+'CALC MEC ESTAB Y ESTIM M FINAL'!Q258</f>
        <v>7.2254335259999995E-4</v>
      </c>
      <c r="F253" s="77">
        <f>+'CALC MEC ESTAB Y ESTIM M FINAL'!R258</f>
        <v>-3.8857280999999999E-5</v>
      </c>
      <c r="G253" s="80">
        <f>+'_Flujo con Glosa 08'!CE258</f>
        <v>89688</v>
      </c>
      <c r="H253" s="80">
        <f>+'_Flujo con Glosa 08'!CF258</f>
        <v>89688</v>
      </c>
      <c r="I253" s="80">
        <f>+'_Flujo con Glosa 08'!CG258</f>
        <v>85516</v>
      </c>
      <c r="J253" s="80">
        <f>+'_Flujo con Glosa 08'!CH258</f>
        <v>89688</v>
      </c>
      <c r="K253" s="80">
        <f>+'_Flujo con Glosa 08'!CI258</f>
        <v>261469</v>
      </c>
      <c r="L253" s="80">
        <f>+'_Flujo con Glosa 08'!CJ258</f>
        <v>92273</v>
      </c>
      <c r="M253" s="80">
        <f>+'_Flujo con Glosa 08'!CK258</f>
        <v>159259</v>
      </c>
      <c r="N253" s="80">
        <f>+'_Flujo con Glosa 08'!CL258</f>
        <v>89688</v>
      </c>
      <c r="O253" s="80">
        <f>+'_Flujo con Glosa 08'!CM258</f>
        <v>103187</v>
      </c>
      <c r="P253" s="80">
        <f>+'_Flujo con Glosa 08'!CN258</f>
        <v>171608</v>
      </c>
      <c r="Q253" s="80">
        <f>+'_Flujo con Glosa 08'!CO258</f>
        <v>89688</v>
      </c>
      <c r="R253" s="80">
        <f>+'_Flujo con Glosa 08'!CP258</f>
        <v>161840</v>
      </c>
      <c r="S253" s="80">
        <f t="shared" si="6"/>
        <v>1483592</v>
      </c>
      <c r="T253" s="80">
        <v>0</v>
      </c>
      <c r="U253" s="80">
        <v>0</v>
      </c>
      <c r="V253" s="80">
        <v>0</v>
      </c>
      <c r="W253" s="80">
        <v>0</v>
      </c>
      <c r="X253" s="80">
        <v>0</v>
      </c>
      <c r="Y253" s="80">
        <v>0</v>
      </c>
      <c r="Z253" s="80">
        <v>0</v>
      </c>
      <c r="AA253" s="80">
        <v>0</v>
      </c>
      <c r="AB253" s="80">
        <v>0</v>
      </c>
      <c r="AC253" s="80">
        <v>0</v>
      </c>
      <c r="AD253" s="80">
        <v>0</v>
      </c>
      <c r="AE253" s="80">
        <v>0</v>
      </c>
      <c r="AF253" s="80">
        <f t="shared" si="7"/>
        <v>0</v>
      </c>
      <c r="AG253" s="80">
        <f>+COEF_FCM!AM260</f>
        <v>0</v>
      </c>
      <c r="AH253" s="80">
        <f>+COEF_FCM!AR260</f>
        <v>0</v>
      </c>
      <c r="AI253" s="80">
        <f>+COEF_FCM!AN260</f>
        <v>0</v>
      </c>
      <c r="AJ253" s="80">
        <f>+COEF_FCM!AS260</f>
        <v>0</v>
      </c>
      <c r="AK253" s="80">
        <f>+COEF_FCM!AO260</f>
        <v>0</v>
      </c>
      <c r="AL253" s="80">
        <f>+COEF_FCM!AT260</f>
        <v>0</v>
      </c>
      <c r="AM253" s="80">
        <f>+COEF_FCM!AP260</f>
        <v>0</v>
      </c>
      <c r="AN253" s="80">
        <f>+COEF_FCM!AU260</f>
        <v>0</v>
      </c>
      <c r="AO253" s="80">
        <f>+COEF_FCM!AQ260</f>
        <v>0</v>
      </c>
      <c r="AP253" s="80">
        <f>+COEF_FCM!AV260</f>
        <v>0</v>
      </c>
      <c r="AQ253" s="80">
        <f>+_CIERRE!O253+_CIERRE!P253</f>
        <v>1370079.2220000001</v>
      </c>
      <c r="AR253" s="80">
        <f>+_CIERRE!Q253+_CIERRE!R253</f>
        <v>1609870.58</v>
      </c>
      <c r="AS253" s="80">
        <f>+_CIERRE!S253+_CIERRE!T253</f>
        <v>1763076.0419999999</v>
      </c>
      <c r="AT253" s="80">
        <f>+_CIERRE!U253+_CIERRE!V253</f>
        <v>1848557.81</v>
      </c>
      <c r="AU253" s="80">
        <f>+'CALC MEC ESTAB Y ESTIM M FINAL'!T258</f>
        <v>1940548</v>
      </c>
      <c r="AV253" s="560">
        <v>0</v>
      </c>
      <c r="AW253" s="551">
        <v>0</v>
      </c>
      <c r="AX253" s="551">
        <v>0</v>
      </c>
      <c r="AY253" s="551">
        <v>0</v>
      </c>
      <c r="AZ253" s="551">
        <v>0</v>
      </c>
      <c r="BA253" s="551">
        <v>0</v>
      </c>
    </row>
    <row r="254" spans="1:53" ht="3" customHeight="1" x14ac:dyDescent="0.2">
      <c r="A254" s="68">
        <f>IF(LEN(+'_DATA STT PAGOS_'!M259)=4,"0"&amp;+'_DATA STT PAGOS_'!M259,+'_DATA STT PAGOS_'!M259)</f>
        <v>12301</v>
      </c>
      <c r="B254" s="68">
        <f>IF(LEN(+'_DATA STT PAGOS_'!N259)=4,"0"&amp;+'_DATA STT PAGOS_'!N259,+'_DATA STT PAGOS_'!N259)</f>
        <v>12301</v>
      </c>
      <c r="C254" s="76" t="str">
        <f>+'_DATA STT PAGOS_'!O259</f>
        <v>PORVENIR</v>
      </c>
      <c r="D254" s="80">
        <f>+'CALC MEC ESTAB Y ESTIM M FINAL'!U259</f>
        <v>2743038</v>
      </c>
      <c r="E254" s="77">
        <f>+'CALC MEC ESTAB Y ESTIM M FINAL'!Q259</f>
        <v>1.0096170824999999E-3</v>
      </c>
      <c r="F254" s="77">
        <f>+'CALC MEC ESTAB Y ESTIM M FINAL'!R259</f>
        <v>-4.3200984600000001E-5</v>
      </c>
      <c r="G254" s="80">
        <f>+'_Flujo con Glosa 08'!CE259</f>
        <v>128145</v>
      </c>
      <c r="H254" s="80">
        <f>+'_Flujo con Glosa 08'!CF259</f>
        <v>128145</v>
      </c>
      <c r="I254" s="80">
        <f>+'_Flujo con Glosa 08'!CG259</f>
        <v>120880</v>
      </c>
      <c r="J254" s="80">
        <f>+'_Flujo con Glosa 08'!CH259</f>
        <v>128145</v>
      </c>
      <c r="K254" s="80">
        <f>+'_Flujo con Glosa 08'!CI259</f>
        <v>365494</v>
      </c>
      <c r="L254" s="80">
        <f>+'_Flujo con Glosa 08'!CJ259</f>
        <v>131798</v>
      </c>
      <c r="M254" s="80">
        <f>+'_Flujo con Glosa 08'!CK259</f>
        <v>223751</v>
      </c>
      <c r="N254" s="80">
        <f>+'_Flujo con Glosa 08'!CL259</f>
        <v>128145</v>
      </c>
      <c r="O254" s="80">
        <f>+'_Flujo con Glosa 08'!CM259</f>
        <v>145858</v>
      </c>
      <c r="P254" s="80">
        <f>+'_Flujo con Glosa 08'!CN259</f>
        <v>241206</v>
      </c>
      <c r="Q254" s="80">
        <f>+'_Flujo con Glosa 08'!CO259</f>
        <v>128145</v>
      </c>
      <c r="R254" s="80">
        <f>+'_Flujo con Glosa 08'!CP259</f>
        <v>227400</v>
      </c>
      <c r="S254" s="80">
        <f t="shared" si="6"/>
        <v>2097112</v>
      </c>
      <c r="T254" s="80">
        <v>0</v>
      </c>
      <c r="U254" s="80">
        <v>0</v>
      </c>
      <c r="V254" s="80">
        <v>0</v>
      </c>
      <c r="W254" s="80">
        <v>0</v>
      </c>
      <c r="X254" s="80">
        <v>0</v>
      </c>
      <c r="Y254" s="80">
        <v>0</v>
      </c>
      <c r="Z254" s="80">
        <v>0</v>
      </c>
      <c r="AA254" s="80">
        <v>0</v>
      </c>
      <c r="AB254" s="80">
        <v>0</v>
      </c>
      <c r="AC254" s="80">
        <v>0</v>
      </c>
      <c r="AD254" s="80">
        <v>0</v>
      </c>
      <c r="AE254" s="80">
        <v>0</v>
      </c>
      <c r="AF254" s="80">
        <f t="shared" si="7"/>
        <v>0</v>
      </c>
      <c r="AG254" s="80">
        <f>+COEF_FCM!AM261</f>
        <v>0</v>
      </c>
      <c r="AH254" s="80">
        <f>+COEF_FCM!AR261</f>
        <v>0</v>
      </c>
      <c r="AI254" s="80">
        <f>+COEF_FCM!AN261</f>
        <v>0</v>
      </c>
      <c r="AJ254" s="80">
        <f>+COEF_FCM!AS261</f>
        <v>0</v>
      </c>
      <c r="AK254" s="80">
        <f>+COEF_FCM!AO261</f>
        <v>0</v>
      </c>
      <c r="AL254" s="80">
        <f>+COEF_FCM!AT261</f>
        <v>0</v>
      </c>
      <c r="AM254" s="80">
        <f>+COEF_FCM!AP261</f>
        <v>0</v>
      </c>
      <c r="AN254" s="80">
        <f>+COEF_FCM!AU261</f>
        <v>0</v>
      </c>
      <c r="AO254" s="80">
        <f>+COEF_FCM!AQ261</f>
        <v>0</v>
      </c>
      <c r="AP254" s="80">
        <f>+COEF_FCM!AV261</f>
        <v>0</v>
      </c>
      <c r="AQ254" s="80">
        <f>+_CIERRE!O254+_CIERRE!P254</f>
        <v>2255222.79</v>
      </c>
      <c r="AR254" s="80">
        <f>+_CIERRE!Q254+_CIERRE!R254</f>
        <v>2445070.3539999998</v>
      </c>
      <c r="AS254" s="80">
        <f>+_CIERRE!S254+_CIERRE!T254</f>
        <v>2560597.375</v>
      </c>
      <c r="AT254" s="80">
        <f>+_CIERRE!U254+_CIERRE!V254</f>
        <v>2640765.5759999999</v>
      </c>
      <c r="AU254" s="80">
        <f>+'CALC MEC ESTAB Y ESTIM M FINAL'!T259</f>
        <v>2743038</v>
      </c>
      <c r="AV254" s="560">
        <v>0</v>
      </c>
      <c r="AW254" s="551">
        <v>0</v>
      </c>
      <c r="AX254" s="551">
        <v>0</v>
      </c>
      <c r="AY254" s="551">
        <v>0</v>
      </c>
      <c r="AZ254" s="551">
        <v>324041.05200000003</v>
      </c>
      <c r="BA254" s="551">
        <v>334118.57199999999</v>
      </c>
    </row>
    <row r="255" spans="1:53" ht="3" customHeight="1" x14ac:dyDescent="0.2">
      <c r="A255" s="68">
        <f>IF(LEN(+'_DATA STT PAGOS_'!M260)=4,"0"&amp;+'_DATA STT PAGOS_'!M260,+'_DATA STT PAGOS_'!M260)</f>
        <v>12302</v>
      </c>
      <c r="B255" s="68">
        <f>IF(LEN(+'_DATA STT PAGOS_'!N260)=4,"0"&amp;+'_DATA STT PAGOS_'!N260,+'_DATA STT PAGOS_'!N260)</f>
        <v>12302</v>
      </c>
      <c r="C255" s="76" t="str">
        <f>+'_DATA STT PAGOS_'!O260</f>
        <v>PRIMAVERA</v>
      </c>
      <c r="D255" s="80">
        <f>+'CALC MEC ESTAB Y ESTIM M FINAL'!U260</f>
        <v>2099851</v>
      </c>
      <c r="E255" s="77">
        <f>+'CALC MEC ESTAB Y ESTIM M FINAL'!Q260</f>
        <v>8.0180119699999985E-4</v>
      </c>
      <c r="F255" s="77">
        <f>+'CALC MEC ESTAB Y ESTIM M FINAL'!R260</f>
        <v>-6.1989995399999994E-5</v>
      </c>
      <c r="G255" s="80">
        <f>+'_Flujo con Glosa 08'!CE260</f>
        <v>94770</v>
      </c>
      <c r="H255" s="80">
        <f>+'_Flujo con Glosa 08'!CF260</f>
        <v>94770</v>
      </c>
      <c r="I255" s="80">
        <f>+'_Flujo con Glosa 08'!CG260</f>
        <v>92536</v>
      </c>
      <c r="J255" s="80">
        <f>+'_Flujo con Glosa 08'!CH260</f>
        <v>94770</v>
      </c>
      <c r="K255" s="80">
        <f>+'_Flujo con Glosa 08'!CI260</f>
        <v>289775</v>
      </c>
      <c r="L255" s="80">
        <f>+'_Flujo con Glosa 08'!CJ260</f>
        <v>97567</v>
      </c>
      <c r="M255" s="80">
        <f>+'_Flujo con Glosa 08'!CK260</f>
        <v>174613</v>
      </c>
      <c r="N255" s="80">
        <f>+'_Flujo con Glosa 08'!CL260</f>
        <v>94770</v>
      </c>
      <c r="O255" s="80">
        <f>+'_Flujo con Glosa 08'!CM260</f>
        <v>111657</v>
      </c>
      <c r="P255" s="80">
        <f>+'_Flujo con Glosa 08'!CN260</f>
        <v>187976</v>
      </c>
      <c r="Q255" s="80">
        <f>+'_Flujo con Glosa 08'!CO260</f>
        <v>94770</v>
      </c>
      <c r="R255" s="80">
        <f>+'_Flujo con Glosa 08'!CP260</f>
        <v>177407</v>
      </c>
      <c r="S255" s="80">
        <f t="shared" si="6"/>
        <v>1605381</v>
      </c>
      <c r="T255" s="80">
        <v>0</v>
      </c>
      <c r="U255" s="80">
        <v>0</v>
      </c>
      <c r="V255" s="80">
        <v>0</v>
      </c>
      <c r="W255" s="80">
        <v>0</v>
      </c>
      <c r="X255" s="80">
        <v>0</v>
      </c>
      <c r="Y255" s="80">
        <v>0</v>
      </c>
      <c r="Z255" s="80">
        <v>0</v>
      </c>
      <c r="AA255" s="80">
        <v>0</v>
      </c>
      <c r="AB255" s="80">
        <v>0</v>
      </c>
      <c r="AC255" s="80">
        <v>0</v>
      </c>
      <c r="AD255" s="80">
        <v>0</v>
      </c>
      <c r="AE255" s="80">
        <v>0</v>
      </c>
      <c r="AF255" s="80">
        <f t="shared" si="7"/>
        <v>0</v>
      </c>
      <c r="AG255" s="80">
        <f>+COEF_FCM!AM262</f>
        <v>0</v>
      </c>
      <c r="AH255" s="80">
        <f>+COEF_FCM!AR262</f>
        <v>0</v>
      </c>
      <c r="AI255" s="80">
        <f>+COEF_FCM!AN262</f>
        <v>0</v>
      </c>
      <c r="AJ255" s="80">
        <f>+COEF_FCM!AS262</f>
        <v>0</v>
      </c>
      <c r="AK255" s="80">
        <f>+COEF_FCM!AO262</f>
        <v>0</v>
      </c>
      <c r="AL255" s="80">
        <f>+COEF_FCM!AT262</f>
        <v>0</v>
      </c>
      <c r="AM255" s="80">
        <f>+COEF_FCM!AP262</f>
        <v>0</v>
      </c>
      <c r="AN255" s="80">
        <f>+COEF_FCM!AU262</f>
        <v>0</v>
      </c>
      <c r="AO255" s="80">
        <f>+COEF_FCM!AQ262</f>
        <v>0</v>
      </c>
      <c r="AP255" s="80">
        <f>+COEF_FCM!AV262</f>
        <v>0</v>
      </c>
      <c r="AQ255" s="80">
        <f>+_CIERRE!O255+_CIERRE!P255</f>
        <v>1452240.2109999999</v>
      </c>
      <c r="AR255" s="80">
        <f>+_CIERRE!Q255+_CIERRE!R255</f>
        <v>1689907.148</v>
      </c>
      <c r="AS255" s="80">
        <f>+_CIERRE!S255+_CIERRE!T255</f>
        <v>1844267.0689999999</v>
      </c>
      <c r="AT255" s="80">
        <f>+_CIERRE!U255+_CIERRE!V255</f>
        <v>1953097.74</v>
      </c>
      <c r="AU255" s="80">
        <f>+'CALC MEC ESTAB Y ESTIM M FINAL'!T260</f>
        <v>2099851</v>
      </c>
      <c r="AV255" s="560">
        <v>0</v>
      </c>
      <c r="AW255" s="551">
        <v>0</v>
      </c>
      <c r="AX255" s="551">
        <v>0</v>
      </c>
      <c r="AY255" s="551">
        <v>0</v>
      </c>
      <c r="AZ255" s="551">
        <v>280467.77399999998</v>
      </c>
      <c r="BA255" s="551">
        <v>289170.64799999999</v>
      </c>
    </row>
    <row r="256" spans="1:53" ht="3" customHeight="1" x14ac:dyDescent="0.2">
      <c r="A256" s="68">
        <f>IF(LEN(+'_DATA STT PAGOS_'!M261)=4,"0"&amp;+'_DATA STT PAGOS_'!M261,+'_DATA STT PAGOS_'!M261)</f>
        <v>12303</v>
      </c>
      <c r="B256" s="68">
        <f>IF(LEN(+'_DATA STT PAGOS_'!N261)=4,"0"&amp;+'_DATA STT PAGOS_'!N261,+'_DATA STT PAGOS_'!N261)</f>
        <v>12304</v>
      </c>
      <c r="C256" s="76" t="str">
        <f>+'_DATA STT PAGOS_'!O261</f>
        <v>TIMAUKEL</v>
      </c>
      <c r="D256" s="80">
        <f>+'CALC MEC ESTAB Y ESTIM M FINAL'!U261</f>
        <v>2041301</v>
      </c>
      <c r="E256" s="77">
        <f>+'CALC MEC ESTAB Y ESTIM M FINAL'!Q261</f>
        <v>7.4905058509999994E-4</v>
      </c>
      <c r="F256" s="77">
        <f>+'CALC MEC ESTAB Y ESTIM M FINAL'!R261</f>
        <v>-2.98675866E-5</v>
      </c>
      <c r="G256" s="80">
        <f>+'_Flujo con Glosa 08'!CE261</f>
        <v>95606</v>
      </c>
      <c r="H256" s="80">
        <f>+'_Flujo con Glosa 08'!CF261</f>
        <v>95606</v>
      </c>
      <c r="I256" s="80">
        <f>+'_Flujo con Glosa 08'!CG261</f>
        <v>89956</v>
      </c>
      <c r="J256" s="80">
        <f>+'_Flujo con Glosa 08'!CH261</f>
        <v>95606</v>
      </c>
      <c r="K256" s="80">
        <f>+'_Flujo con Glosa 08'!CI261</f>
        <v>271261</v>
      </c>
      <c r="L256" s="80">
        <f>+'_Flujo con Glosa 08'!CJ261</f>
        <v>98325</v>
      </c>
      <c r="M256" s="80">
        <f>+'_Flujo con Glosa 08'!CK261</f>
        <v>166266</v>
      </c>
      <c r="N256" s="80">
        <f>+'_Flujo con Glosa 08'!CL261</f>
        <v>95606</v>
      </c>
      <c r="O256" s="80">
        <f>+'_Flujo con Glosa 08'!CM261</f>
        <v>108544</v>
      </c>
      <c r="P256" s="80">
        <f>+'_Flujo con Glosa 08'!CN261</f>
        <v>179257</v>
      </c>
      <c r="Q256" s="80">
        <f>+'_Flujo con Glosa 08'!CO261</f>
        <v>95606</v>
      </c>
      <c r="R256" s="80">
        <f>+'_Flujo con Glosa 08'!CP261</f>
        <v>168982</v>
      </c>
      <c r="S256" s="80">
        <f t="shared" si="6"/>
        <v>1560621</v>
      </c>
      <c r="T256" s="80">
        <v>0</v>
      </c>
      <c r="U256" s="80">
        <v>0</v>
      </c>
      <c r="V256" s="80">
        <v>0</v>
      </c>
      <c r="W256" s="80">
        <v>0</v>
      </c>
      <c r="X256" s="80">
        <v>0</v>
      </c>
      <c r="Y256" s="80">
        <v>0</v>
      </c>
      <c r="Z256" s="80">
        <v>0</v>
      </c>
      <c r="AA256" s="80">
        <v>0</v>
      </c>
      <c r="AB256" s="80">
        <v>0</v>
      </c>
      <c r="AC256" s="80">
        <v>0</v>
      </c>
      <c r="AD256" s="80">
        <v>0</v>
      </c>
      <c r="AE256" s="80">
        <v>0</v>
      </c>
      <c r="AF256" s="80">
        <f t="shared" si="7"/>
        <v>0</v>
      </c>
      <c r="AG256" s="80">
        <f>+COEF_FCM!AM263</f>
        <v>0</v>
      </c>
      <c r="AH256" s="80">
        <f>+COEF_FCM!AR263</f>
        <v>0</v>
      </c>
      <c r="AI256" s="80">
        <f>+COEF_FCM!AN263</f>
        <v>0</v>
      </c>
      <c r="AJ256" s="80">
        <f>+COEF_FCM!AS263</f>
        <v>0</v>
      </c>
      <c r="AK256" s="80">
        <f>+COEF_FCM!AO263</f>
        <v>0</v>
      </c>
      <c r="AL256" s="80">
        <f>+COEF_FCM!AT263</f>
        <v>0</v>
      </c>
      <c r="AM256" s="80">
        <f>+COEF_FCM!AP263</f>
        <v>0</v>
      </c>
      <c r="AN256" s="80">
        <f>+COEF_FCM!AU263</f>
        <v>0</v>
      </c>
      <c r="AO256" s="80">
        <f>+COEF_FCM!AQ263</f>
        <v>0</v>
      </c>
      <c r="AP256" s="80">
        <f>+COEF_FCM!AV263</f>
        <v>0</v>
      </c>
      <c r="AQ256" s="80">
        <f>+_CIERRE!O256+_CIERRE!P256</f>
        <v>1455973.5379999999</v>
      </c>
      <c r="AR256" s="80">
        <f>+_CIERRE!Q256+_CIERRE!R256</f>
        <v>1699314.6429999999</v>
      </c>
      <c r="AS256" s="80">
        <f>+_CIERRE!S256+_CIERRE!T256</f>
        <v>1890109.459</v>
      </c>
      <c r="AT256" s="80">
        <f>+_CIERRE!U256+_CIERRE!V256</f>
        <v>1970593.9820000001</v>
      </c>
      <c r="AU256" s="80">
        <f>+'CALC MEC ESTAB Y ESTIM M FINAL'!T261</f>
        <v>2041301</v>
      </c>
      <c r="AV256" s="560">
        <v>0</v>
      </c>
      <c r="AW256" s="551">
        <v>0</v>
      </c>
      <c r="AX256" s="551">
        <v>0</v>
      </c>
      <c r="AY256" s="551">
        <v>0</v>
      </c>
      <c r="AZ256" s="551">
        <v>279927.64199999999</v>
      </c>
      <c r="BA256" s="551">
        <v>288689.315</v>
      </c>
    </row>
    <row r="257" spans="1:53" ht="3" customHeight="1" x14ac:dyDescent="0.2">
      <c r="A257" s="68">
        <f>IF(LEN(+'_DATA STT PAGOS_'!M262)=4,"0"&amp;+'_DATA STT PAGOS_'!M262,+'_DATA STT PAGOS_'!M262)</f>
        <v>12401</v>
      </c>
      <c r="B257" s="68">
        <f>IF(LEN(+'_DATA STT PAGOS_'!N262)=4,"0"&amp;+'_DATA STT PAGOS_'!N262,+'_DATA STT PAGOS_'!N262)</f>
        <v>12101</v>
      </c>
      <c r="C257" s="76" t="str">
        <f>+'_DATA STT PAGOS_'!O262</f>
        <v>NATALES</v>
      </c>
      <c r="D257" s="80">
        <f>+'CALC MEC ESTAB Y ESTIM M FINAL'!U262</f>
        <v>6568262</v>
      </c>
      <c r="E257" s="77">
        <f>+'CALC MEC ESTAB Y ESTIM M FINAL'!Q262</f>
        <v>2.3509239746000001E-3</v>
      </c>
      <c r="F257" s="77">
        <f>+'CALC MEC ESTAB Y ESTIM M FINAL'!R262</f>
        <v>-3.6820190000000003E-5</v>
      </c>
      <c r="G257" s="80">
        <f>+'_Flujo con Glosa 08'!CE262</f>
        <v>314570</v>
      </c>
      <c r="H257" s="80">
        <f>+'_Flujo con Glosa 08'!CF262</f>
        <v>314570</v>
      </c>
      <c r="I257" s="80">
        <f>+'_Flujo con Glosa 08'!CG262</f>
        <v>289450</v>
      </c>
      <c r="J257" s="80">
        <f>+'_Flujo con Glosa 08'!CH262</f>
        <v>314570</v>
      </c>
      <c r="K257" s="80">
        <f>+'_Flujo con Glosa 08'!CI262</f>
        <v>852012</v>
      </c>
      <c r="L257" s="80">
        <f>+'_Flujo con Glosa 08'!CJ262</f>
        <v>323318</v>
      </c>
      <c r="M257" s="80">
        <f>+'_Flujo con Glosa 08'!CK262</f>
        <v>528950</v>
      </c>
      <c r="N257" s="80">
        <f>+'_Flujo con Glosa 08'!CL262</f>
        <v>314570</v>
      </c>
      <c r="O257" s="80">
        <f>+'_Flujo con Glosa 08'!CM262</f>
        <v>349260</v>
      </c>
      <c r="P257" s="80">
        <f>+'_Flujo con Glosa 08'!CN262</f>
        <v>568952</v>
      </c>
      <c r="Q257" s="80">
        <f>+'_Flujo con Glosa 08'!CO262</f>
        <v>314570</v>
      </c>
      <c r="R257" s="80">
        <f>+'_Flujo con Glosa 08'!CP262</f>
        <v>536789</v>
      </c>
      <c r="S257" s="80">
        <f t="shared" si="6"/>
        <v>5021581</v>
      </c>
      <c r="T257" s="80">
        <v>0</v>
      </c>
      <c r="U257" s="80">
        <v>0</v>
      </c>
      <c r="V257" s="80">
        <v>0</v>
      </c>
      <c r="W257" s="80">
        <v>0</v>
      </c>
      <c r="X257" s="80">
        <v>0</v>
      </c>
      <c r="Y257" s="80">
        <v>0</v>
      </c>
      <c r="Z257" s="80">
        <v>0</v>
      </c>
      <c r="AA257" s="80">
        <v>0</v>
      </c>
      <c r="AB257" s="80">
        <v>0</v>
      </c>
      <c r="AC257" s="80">
        <v>0</v>
      </c>
      <c r="AD257" s="80">
        <v>0</v>
      </c>
      <c r="AE257" s="80">
        <v>0</v>
      </c>
      <c r="AF257" s="80">
        <f t="shared" si="7"/>
        <v>0</v>
      </c>
      <c r="AG257" s="80">
        <f>+COEF_FCM!AM264</f>
        <v>154596</v>
      </c>
      <c r="AH257" s="80">
        <f>+COEF_FCM!AR264</f>
        <v>6864</v>
      </c>
      <c r="AI257" s="80">
        <f>+COEF_FCM!AN264</f>
        <v>132829</v>
      </c>
      <c r="AJ257" s="80">
        <f>+COEF_FCM!AS264</f>
        <v>4270</v>
      </c>
      <c r="AK257" s="80">
        <f>+COEF_FCM!AO264</f>
        <v>139217</v>
      </c>
      <c r="AL257" s="80">
        <f>+COEF_FCM!AT264</f>
        <v>5536.2290000000003</v>
      </c>
      <c r="AM257" s="80">
        <f>+COEF_FCM!AP264</f>
        <v>110233</v>
      </c>
      <c r="AN257" s="80">
        <f>+COEF_FCM!AU264</f>
        <v>3830</v>
      </c>
      <c r="AO257" s="80">
        <f>+COEF_FCM!AQ264</f>
        <v>536875</v>
      </c>
      <c r="AP257" s="80">
        <f>+COEF_FCM!AV264</f>
        <v>20500.228999999999</v>
      </c>
      <c r="AQ257" s="80">
        <f>+_CIERRE!O257+_CIERRE!P257</f>
        <v>4606718.023</v>
      </c>
      <c r="AR257" s="80">
        <f>+_CIERRE!Q257+_CIERRE!R257</f>
        <v>4994516.2350000003</v>
      </c>
      <c r="AS257" s="80">
        <f>+_CIERRE!S257+_CIERRE!T257</f>
        <v>5677577.3760000002</v>
      </c>
      <c r="AT257" s="80">
        <f>+_CIERRE!U257+_CIERRE!V257</f>
        <v>6481094.2479999997</v>
      </c>
      <c r="AU257" s="80">
        <f>+'CALC MEC ESTAB Y ESTIM M FINAL'!T262</f>
        <v>6568262</v>
      </c>
      <c r="AV257" s="560">
        <v>0</v>
      </c>
      <c r="AW257" s="551">
        <v>0</v>
      </c>
      <c r="AX257" s="551">
        <v>0</v>
      </c>
      <c r="AY257" s="551">
        <v>0</v>
      </c>
      <c r="AZ257" s="551">
        <v>367696.92300000001</v>
      </c>
      <c r="BA257" s="551">
        <v>382417.28</v>
      </c>
    </row>
    <row r="258" spans="1:53" ht="3" customHeight="1" x14ac:dyDescent="0.2">
      <c r="A258" s="68">
        <f>IF(LEN(+'_DATA STT PAGOS_'!M263)=4,"0"&amp;+'_DATA STT PAGOS_'!M263,+'_DATA STT PAGOS_'!M263)</f>
        <v>12402</v>
      </c>
      <c r="B258" s="68">
        <f>IF(LEN(+'_DATA STT PAGOS_'!N263)=4,"0"&amp;+'_DATA STT PAGOS_'!N263,+'_DATA STT PAGOS_'!N263)</f>
        <v>12103</v>
      </c>
      <c r="C258" s="76" t="str">
        <f>+'_DATA STT PAGOS_'!O263</f>
        <v>TORRES DEL PAINE</v>
      </c>
      <c r="D258" s="80">
        <f>+'CALC MEC ESTAB Y ESTIM M FINAL'!U263</f>
        <v>1969891</v>
      </c>
      <c r="E258" s="77">
        <f>+'CALC MEC ESTAB Y ESTIM M FINAL'!Q263</f>
        <v>7.3222564599999989E-4</v>
      </c>
      <c r="F258" s="77">
        <f>+'CALC MEC ESTAB Y ESTIM M FINAL'!R263</f>
        <v>-3.8201620900000003E-5</v>
      </c>
      <c r="G258" s="80">
        <f>+'_Flujo con Glosa 08'!CE263</f>
        <v>91184</v>
      </c>
      <c r="H258" s="80">
        <f>+'_Flujo con Glosa 08'!CF263</f>
        <v>91184</v>
      </c>
      <c r="I258" s="80">
        <f>+'_Flujo con Glosa 08'!CG263</f>
        <v>86809</v>
      </c>
      <c r="J258" s="80">
        <f>+'_Flujo con Glosa 08'!CH263</f>
        <v>91184</v>
      </c>
      <c r="K258" s="80">
        <f>+'_Flujo con Glosa 08'!CI263</f>
        <v>265004</v>
      </c>
      <c r="L258" s="80">
        <f>+'_Flujo con Glosa 08'!CJ263</f>
        <v>93808</v>
      </c>
      <c r="M258" s="80">
        <f>+'_Flujo con Glosa 08'!CK263</f>
        <v>161527</v>
      </c>
      <c r="N258" s="80">
        <f>+'_Flujo con Glosa 08'!CL263</f>
        <v>91184</v>
      </c>
      <c r="O258" s="80">
        <f>+'_Flujo con Glosa 08'!CM263</f>
        <v>104747</v>
      </c>
      <c r="P258" s="80">
        <f>+'_Flujo con Glosa 08'!CN263</f>
        <v>174063</v>
      </c>
      <c r="Q258" s="80">
        <f>+'_Flujo con Glosa 08'!CO263</f>
        <v>91184</v>
      </c>
      <c r="R258" s="80">
        <f>+'_Flujo con Glosa 08'!CP263</f>
        <v>164147</v>
      </c>
      <c r="S258" s="80">
        <f t="shared" si="6"/>
        <v>1506025</v>
      </c>
      <c r="T258" s="80">
        <v>0</v>
      </c>
      <c r="U258" s="80">
        <v>0</v>
      </c>
      <c r="V258" s="80">
        <v>0</v>
      </c>
      <c r="W258" s="80">
        <v>0</v>
      </c>
      <c r="X258" s="80">
        <v>0</v>
      </c>
      <c r="Y258" s="80">
        <v>0</v>
      </c>
      <c r="Z258" s="80">
        <v>0</v>
      </c>
      <c r="AA258" s="80">
        <v>0</v>
      </c>
      <c r="AB258" s="80">
        <v>0</v>
      </c>
      <c r="AC258" s="80">
        <v>0</v>
      </c>
      <c r="AD258" s="80">
        <v>0</v>
      </c>
      <c r="AE258" s="80">
        <v>0</v>
      </c>
      <c r="AF258" s="80">
        <f t="shared" si="7"/>
        <v>0</v>
      </c>
      <c r="AG258" s="80">
        <f>+COEF_FCM!AM265</f>
        <v>31099</v>
      </c>
      <c r="AH258" s="80">
        <f>+COEF_FCM!AR265</f>
        <v>0</v>
      </c>
      <c r="AI258" s="80">
        <f>+COEF_FCM!AN265</f>
        <v>25854</v>
      </c>
      <c r="AJ258" s="80">
        <f>+COEF_FCM!AS265</f>
        <v>0</v>
      </c>
      <c r="AK258" s="80">
        <f>+COEF_FCM!AO265</f>
        <v>38506</v>
      </c>
      <c r="AL258" s="80">
        <f>+COEF_FCM!AT265</f>
        <v>0</v>
      </c>
      <c r="AM258" s="80">
        <f>+COEF_FCM!AP265</f>
        <v>18487</v>
      </c>
      <c r="AN258" s="80">
        <f>+COEF_FCM!AU265</f>
        <v>0</v>
      </c>
      <c r="AO258" s="80">
        <f>+COEF_FCM!AQ265</f>
        <v>113946</v>
      </c>
      <c r="AP258" s="80">
        <f>+COEF_FCM!AV265</f>
        <v>0</v>
      </c>
      <c r="AQ258" s="80">
        <f>+_CIERRE!O258+_CIERRE!P258</f>
        <v>1438910.523</v>
      </c>
      <c r="AR258" s="80">
        <f>+_CIERRE!Q258+_CIERRE!R258</f>
        <v>1653887.3929999999</v>
      </c>
      <c r="AS258" s="80">
        <f>+_CIERRE!S258+_CIERRE!T258</f>
        <v>1796414.9040000001</v>
      </c>
      <c r="AT258" s="80">
        <f>+_CIERRE!U258+_CIERRE!V258</f>
        <v>1879453.74</v>
      </c>
      <c r="AU258" s="80">
        <f>+'CALC MEC ESTAB Y ESTIM M FINAL'!T263</f>
        <v>1969891</v>
      </c>
      <c r="AV258" s="560">
        <v>0</v>
      </c>
      <c r="AW258" s="551">
        <v>0</v>
      </c>
      <c r="AX258" s="551">
        <v>0</v>
      </c>
      <c r="AY258" s="551">
        <v>0</v>
      </c>
      <c r="AZ258" s="551">
        <v>277617.641</v>
      </c>
      <c r="BA258" s="551">
        <v>286203.84600000002</v>
      </c>
    </row>
    <row r="259" spans="1:53" ht="3" customHeight="1" x14ac:dyDescent="0.2">
      <c r="A259" s="68">
        <f>IF(LEN(+'_DATA STT PAGOS_'!M264)=4,"0"&amp;+'_DATA STT PAGOS_'!M264,+'_DATA STT PAGOS_'!M264)</f>
        <v>13101</v>
      </c>
      <c r="B259" s="68">
        <f>IF(LEN(+'_DATA STT PAGOS_'!N264)=4,"0"&amp;+'_DATA STT PAGOS_'!N264,+'_DATA STT PAGOS_'!N264)</f>
        <v>13101</v>
      </c>
      <c r="C259" s="76" t="str">
        <f>+'_DATA STT PAGOS_'!O264</f>
        <v>SANTIAGO</v>
      </c>
      <c r="D259" s="80">
        <f>+'CALC MEC ESTAB Y ESTIM M FINAL'!U264</f>
        <v>16036971</v>
      </c>
      <c r="E259" s="77">
        <f>+'CALC MEC ESTAB Y ESTIM M FINAL'!Q264</f>
        <v>6.0128439107000001E-3</v>
      </c>
      <c r="F259" s="77">
        <f>+'CALC MEC ESTAB Y ESTIM M FINAL'!R264</f>
        <v>-3.6276284609999999E-4</v>
      </c>
      <c r="G259" s="80">
        <f>+'_Flujo con Glosa 08'!CE264</f>
        <v>465861</v>
      </c>
      <c r="H259" s="80">
        <f>+'_Flujo con Glosa 08'!CF264</f>
        <v>247729</v>
      </c>
      <c r="I259" s="80">
        <f>+'_Flujo con Glosa 08'!CG264</f>
        <v>706716</v>
      </c>
      <c r="J259" s="80">
        <f>+'_Flujo con Glosa 08'!CH264</f>
        <v>375255</v>
      </c>
      <c r="K259" s="80">
        <f>+'_Flujo con Glosa 08'!CI264</f>
        <v>3295562</v>
      </c>
      <c r="L259" s="80">
        <f>+'_Flujo con Glosa 08'!CJ264</f>
        <v>668157</v>
      </c>
      <c r="M259" s="80">
        <f>+'_Flujo con Glosa 08'!CK264</f>
        <v>1410537</v>
      </c>
      <c r="N259" s="80">
        <f>+'_Flujo con Glosa 08'!CL264</f>
        <v>424692</v>
      </c>
      <c r="O259" s="80">
        <f>+'_Flujo con Glosa 08'!CM264</f>
        <v>852747</v>
      </c>
      <c r="P259" s="80">
        <f>+'_Flujo con Glosa 08'!CN264</f>
        <v>1734695</v>
      </c>
      <c r="Q259" s="80">
        <f>+'_Flujo con Glosa 08'!CO264</f>
        <v>643820</v>
      </c>
      <c r="R259" s="80">
        <f>+'_Flujo con Glosa 08'!CP264</f>
        <v>1434848</v>
      </c>
      <c r="S259" s="80">
        <f t="shared" ref="S259:S322" si="8">SUM(G259:R259)</f>
        <v>12260619</v>
      </c>
      <c r="T259" s="80">
        <v>0</v>
      </c>
      <c r="U259" s="80">
        <v>0</v>
      </c>
      <c r="V259" s="80">
        <v>0</v>
      </c>
      <c r="W259" s="80">
        <v>0</v>
      </c>
      <c r="X259" s="80">
        <v>0</v>
      </c>
      <c r="Y259" s="80">
        <v>0</v>
      </c>
      <c r="Z259" s="80">
        <v>0</v>
      </c>
      <c r="AA259" s="80">
        <v>0</v>
      </c>
      <c r="AB259" s="80">
        <v>0</v>
      </c>
      <c r="AC259" s="80">
        <v>0</v>
      </c>
      <c r="AD259" s="80">
        <v>0</v>
      </c>
      <c r="AE259" s="80">
        <v>0</v>
      </c>
      <c r="AF259" s="80">
        <f t="shared" ref="AF259:AF322" si="9">SUM(T259:AE259)</f>
        <v>0</v>
      </c>
      <c r="AG259" s="80">
        <f>+COEF_FCM!AM266</f>
        <v>7486565</v>
      </c>
      <c r="AH259" s="80">
        <f>+COEF_FCM!AR266</f>
        <v>675046</v>
      </c>
      <c r="AI259" s="80">
        <f>+COEF_FCM!AN266</f>
        <v>5137334</v>
      </c>
      <c r="AJ259" s="80">
        <f>+COEF_FCM!AS266</f>
        <v>250798</v>
      </c>
      <c r="AK259" s="80">
        <f>+COEF_FCM!AO266</f>
        <v>5806583</v>
      </c>
      <c r="AL259" s="80">
        <f>+COEF_FCM!AT266</f>
        <v>380155.95199999999</v>
      </c>
      <c r="AM259" s="80">
        <f>+COEF_FCM!AP266</f>
        <v>4910636</v>
      </c>
      <c r="AN259" s="80">
        <f>+COEF_FCM!AU266</f>
        <v>252020</v>
      </c>
      <c r="AO259" s="80">
        <f>+COEF_FCM!AQ266</f>
        <v>23341118</v>
      </c>
      <c r="AP259" s="80">
        <f>+COEF_FCM!AV266</f>
        <v>1558019.952</v>
      </c>
      <c r="AQ259" s="80">
        <f>+_CIERRE!O259+_CIERRE!P259</f>
        <v>8264651.0729999999</v>
      </c>
      <c r="AR259" s="80">
        <f>+_CIERRE!Q259+_CIERRE!R259</f>
        <v>12194988.696</v>
      </c>
      <c r="AS259" s="80">
        <f>+_CIERRE!S259+_CIERRE!T259</f>
        <v>14431124.450999999</v>
      </c>
      <c r="AT259" s="80">
        <f>+_CIERRE!U259+_CIERRE!V259</f>
        <v>15178178.503</v>
      </c>
      <c r="AU259" s="80">
        <f>+'CALC MEC ESTAB Y ESTIM M FINAL'!T264</f>
        <v>16036971</v>
      </c>
      <c r="AV259" s="560">
        <v>0</v>
      </c>
      <c r="AW259" s="551">
        <v>0</v>
      </c>
      <c r="AX259" s="551">
        <v>0</v>
      </c>
      <c r="AY259" s="551">
        <v>0</v>
      </c>
      <c r="AZ259" s="551">
        <v>0</v>
      </c>
      <c r="BA259" s="551">
        <v>0</v>
      </c>
    </row>
    <row r="260" spans="1:53" ht="3" customHeight="1" x14ac:dyDescent="0.2">
      <c r="A260" s="68">
        <f>IF(LEN(+'_DATA STT PAGOS_'!M265)=4,"0"&amp;+'_DATA STT PAGOS_'!M265,+'_DATA STT PAGOS_'!M265)</f>
        <v>13102</v>
      </c>
      <c r="B260" s="68">
        <f>IF(LEN(+'_DATA STT PAGOS_'!N265)=4,"0"&amp;+'_DATA STT PAGOS_'!N265,+'_DATA STT PAGOS_'!N265)</f>
        <v>13166</v>
      </c>
      <c r="C260" s="76" t="str">
        <f>+'_DATA STT PAGOS_'!O265</f>
        <v>CERRILLOS</v>
      </c>
      <c r="D260" s="80">
        <f>+'CALC MEC ESTAB Y ESTIM M FINAL'!U265</f>
        <v>6070298</v>
      </c>
      <c r="E260" s="77">
        <f>+'CALC MEC ESTAB Y ESTIM M FINAL'!Q265</f>
        <v>2.2551721245999998E-3</v>
      </c>
      <c r="F260" s="77">
        <f>+'CALC MEC ESTAB Y ESTIM M FINAL'!R265</f>
        <v>-1.165091307E-4</v>
      </c>
      <c r="G260" s="80">
        <f>+'_Flujo con Glosa 08'!CE265</f>
        <v>281168</v>
      </c>
      <c r="H260" s="80">
        <f>+'_Flujo con Glosa 08'!CF265</f>
        <v>281168</v>
      </c>
      <c r="I260" s="80">
        <f>+'_Flujo con Glosa 08'!CG265</f>
        <v>267505</v>
      </c>
      <c r="J260" s="80">
        <f>+'_Flujo con Glosa 08'!CH265</f>
        <v>281168</v>
      </c>
      <c r="K260" s="80">
        <f>+'_Flujo con Glosa 08'!CI265</f>
        <v>816077</v>
      </c>
      <c r="L260" s="80">
        <f>+'_Flujo con Glosa 08'!CJ265</f>
        <v>289253</v>
      </c>
      <c r="M260" s="80">
        <f>+'_Flujo con Glosa 08'!CK265</f>
        <v>497572</v>
      </c>
      <c r="N260" s="80">
        <f>+'_Flujo con Glosa 08'!CL265</f>
        <v>281168</v>
      </c>
      <c r="O260" s="80">
        <f>+'_Flujo con Glosa 08'!CM265</f>
        <v>322781</v>
      </c>
      <c r="P260" s="80">
        <f>+'_Flujo con Glosa 08'!CN265</f>
        <v>536201</v>
      </c>
      <c r="Q260" s="80">
        <f>+'_Flujo con Glosa 08'!CO265</f>
        <v>281168</v>
      </c>
      <c r="R260" s="80">
        <f>+'_Flujo con Glosa 08'!CP265</f>
        <v>505648</v>
      </c>
      <c r="S260" s="80">
        <f t="shared" si="8"/>
        <v>4640877</v>
      </c>
      <c r="T260" s="80">
        <v>0</v>
      </c>
      <c r="U260" s="80">
        <v>0</v>
      </c>
      <c r="V260" s="80">
        <v>0</v>
      </c>
      <c r="W260" s="80">
        <v>0</v>
      </c>
      <c r="X260" s="80">
        <v>0</v>
      </c>
      <c r="Y260" s="80">
        <v>0</v>
      </c>
      <c r="Z260" s="80">
        <v>0</v>
      </c>
      <c r="AA260" s="80">
        <v>0</v>
      </c>
      <c r="AB260" s="80">
        <v>0</v>
      </c>
      <c r="AC260" s="80">
        <v>0</v>
      </c>
      <c r="AD260" s="80">
        <v>0</v>
      </c>
      <c r="AE260" s="80">
        <v>0</v>
      </c>
      <c r="AF260" s="80">
        <f t="shared" si="9"/>
        <v>0</v>
      </c>
      <c r="AG260" s="80">
        <f>+COEF_FCM!AM267</f>
        <v>1157233</v>
      </c>
      <c r="AH260" s="80">
        <f>+COEF_FCM!AR267</f>
        <v>51430</v>
      </c>
      <c r="AI260" s="80">
        <f>+COEF_FCM!AN267</f>
        <v>910731</v>
      </c>
      <c r="AJ260" s="80">
        <f>+COEF_FCM!AS267</f>
        <v>23256</v>
      </c>
      <c r="AK260" s="80">
        <f>+COEF_FCM!AO267</f>
        <v>978183</v>
      </c>
      <c r="AL260" s="80">
        <f>+COEF_FCM!AT267</f>
        <v>28606.957999999999</v>
      </c>
      <c r="AM260" s="80">
        <f>+COEF_FCM!AP267</f>
        <v>834760</v>
      </c>
      <c r="AN260" s="80">
        <f>+COEF_FCM!AU267</f>
        <v>22349</v>
      </c>
      <c r="AO260" s="80">
        <f>+COEF_FCM!AQ267</f>
        <v>3880907</v>
      </c>
      <c r="AP260" s="80">
        <f>+COEF_FCM!AV267</f>
        <v>125641.958</v>
      </c>
      <c r="AQ260" s="80">
        <f>+_CIERRE!O260+_CIERRE!P260</f>
        <v>4801096.4809999997</v>
      </c>
      <c r="AR260" s="80">
        <f>+_CIERRE!Q260+_CIERRE!R260</f>
        <v>5491696.2199999997</v>
      </c>
      <c r="AS260" s="80">
        <f>+_CIERRE!S260+_CIERRE!T260</f>
        <v>5678382.8770000003</v>
      </c>
      <c r="AT260" s="80">
        <f>+_CIERRE!U260+_CIERRE!V260</f>
        <v>5794477.7050000001</v>
      </c>
      <c r="AU260" s="80">
        <f>+'CALC MEC ESTAB Y ESTIM M FINAL'!T265</f>
        <v>6070298</v>
      </c>
      <c r="AV260" s="560">
        <v>0</v>
      </c>
      <c r="AW260" s="551">
        <v>0</v>
      </c>
      <c r="AX260" s="551">
        <v>0</v>
      </c>
      <c r="AY260" s="551">
        <v>0</v>
      </c>
      <c r="AZ260" s="551">
        <v>0</v>
      </c>
      <c r="BA260" s="551">
        <v>0</v>
      </c>
    </row>
    <row r="261" spans="1:53" ht="3" customHeight="1" x14ac:dyDescent="0.2">
      <c r="A261" s="68">
        <f>IF(LEN(+'_DATA STT PAGOS_'!M266)=4,"0"&amp;+'_DATA STT PAGOS_'!M266,+'_DATA STT PAGOS_'!M266)</f>
        <v>13103</v>
      </c>
      <c r="B261" s="68">
        <f>IF(LEN(+'_DATA STT PAGOS_'!N266)=4,"0"&amp;+'_DATA STT PAGOS_'!N266,+'_DATA STT PAGOS_'!N266)</f>
        <v>13156</v>
      </c>
      <c r="C261" s="76" t="str">
        <f>+'_DATA STT PAGOS_'!O266</f>
        <v>CERRO NAVIA</v>
      </c>
      <c r="D261" s="80">
        <f>+'CALC MEC ESTAB Y ESTIM M FINAL'!U266</f>
        <v>22733394</v>
      </c>
      <c r="E261" s="77">
        <f>+'CALC MEC ESTAB Y ESTIM M FINAL'!Q266</f>
        <v>7.8037155569000002E-3</v>
      </c>
      <c r="F261" s="77">
        <f>+'CALC MEC ESTAB Y ESTIM M FINAL'!R266</f>
        <v>2.0562217129999999E-4</v>
      </c>
      <c r="G261" s="80">
        <f>+'_Flujo con Glosa 08'!CE266</f>
        <v>1102866</v>
      </c>
      <c r="H261" s="80">
        <f>+'_Flujo con Glosa 08'!CF266</f>
        <v>1102866</v>
      </c>
      <c r="I261" s="80">
        <f>+'_Flujo con Glosa 08'!CG266</f>
        <v>1001814</v>
      </c>
      <c r="J261" s="80">
        <f>+'_Flujo con Glosa 08'!CH266</f>
        <v>1102866</v>
      </c>
      <c r="K261" s="80">
        <f>+'_Flujo con Glosa 08'!CI266</f>
        <v>2906570</v>
      </c>
      <c r="L261" s="80">
        <f>+'_Flujo con Glosa 08'!CJ266</f>
        <v>1133145</v>
      </c>
      <c r="M261" s="80">
        <f>+'_Flujo con Glosa 08'!CK266</f>
        <v>1852180</v>
      </c>
      <c r="N261" s="80">
        <f>+'_Flujo con Glosa 08'!CL266</f>
        <v>1102866</v>
      </c>
      <c r="O261" s="80">
        <f>+'_Flujo con Glosa 08'!CM266</f>
        <v>1208821</v>
      </c>
      <c r="P261" s="80">
        <f>+'_Flujo con Glosa 08'!CN266</f>
        <v>1919549</v>
      </c>
      <c r="Q261" s="80">
        <f>+'_Flujo con Glosa 08'!CO266</f>
        <v>1102866</v>
      </c>
      <c r="R261" s="80">
        <f>+'_Flujo con Glosa 08'!CP266</f>
        <v>1843773</v>
      </c>
      <c r="S261" s="80">
        <f t="shared" si="8"/>
        <v>17380182</v>
      </c>
      <c r="T261" s="80">
        <v>0</v>
      </c>
      <c r="U261" s="80">
        <v>0</v>
      </c>
      <c r="V261" s="80">
        <v>0</v>
      </c>
      <c r="W261" s="80">
        <v>0</v>
      </c>
      <c r="X261" s="80">
        <v>0</v>
      </c>
      <c r="Y261" s="80">
        <v>0</v>
      </c>
      <c r="Z261" s="80">
        <v>0</v>
      </c>
      <c r="AA261" s="80">
        <v>0</v>
      </c>
      <c r="AB261" s="80">
        <v>0</v>
      </c>
      <c r="AC261" s="80">
        <v>0</v>
      </c>
      <c r="AD261" s="80">
        <v>0</v>
      </c>
      <c r="AE261" s="80">
        <v>0</v>
      </c>
      <c r="AF261" s="80">
        <f t="shared" si="9"/>
        <v>0</v>
      </c>
      <c r="AG261" s="80">
        <f>+COEF_FCM!AM268</f>
        <v>77576</v>
      </c>
      <c r="AH261" s="80">
        <f>+COEF_FCM!AR268</f>
        <v>5273</v>
      </c>
      <c r="AI261" s="80">
        <f>+COEF_FCM!AN268</f>
        <v>47369</v>
      </c>
      <c r="AJ261" s="80">
        <f>+COEF_FCM!AS268</f>
        <v>2744</v>
      </c>
      <c r="AK261" s="80">
        <f>+COEF_FCM!AO268</f>
        <v>65174</v>
      </c>
      <c r="AL261" s="80">
        <f>+COEF_FCM!AT268</f>
        <v>3836.7979999999998</v>
      </c>
      <c r="AM261" s="80">
        <f>+COEF_FCM!AP268</f>
        <v>52331</v>
      </c>
      <c r="AN261" s="80">
        <f>+COEF_FCM!AU268</f>
        <v>2233</v>
      </c>
      <c r="AO261" s="80">
        <f>+COEF_FCM!AQ268</f>
        <v>242450</v>
      </c>
      <c r="AP261" s="80">
        <f>+COEF_FCM!AV268</f>
        <v>14086.797999999999</v>
      </c>
      <c r="AQ261" s="80">
        <f>+_CIERRE!O261+_CIERRE!P261</f>
        <v>19153268.945</v>
      </c>
      <c r="AR261" s="80">
        <f>+_CIERRE!Q261+_CIERRE!R261</f>
        <v>21461833.638999999</v>
      </c>
      <c r="AS261" s="80">
        <f>+_CIERRE!S261+_CIERRE!T261</f>
        <v>22522704.532000002</v>
      </c>
      <c r="AT261" s="80">
        <f>+_CIERRE!U261+_CIERRE!V261</f>
        <v>22733393.793000001</v>
      </c>
      <c r="AU261" s="80">
        <f>+'CALC MEC ESTAB Y ESTIM M FINAL'!T266</f>
        <v>22733394</v>
      </c>
      <c r="AV261" s="560">
        <v>0</v>
      </c>
      <c r="AW261" s="551">
        <v>0</v>
      </c>
      <c r="AX261" s="551">
        <v>0</v>
      </c>
      <c r="AY261" s="551">
        <v>0</v>
      </c>
      <c r="AZ261" s="551">
        <v>2272758.3509999998</v>
      </c>
      <c r="BA261" s="551">
        <v>2269481.8139999998</v>
      </c>
    </row>
    <row r="262" spans="1:53" ht="3" customHeight="1" x14ac:dyDescent="0.2">
      <c r="A262" s="68">
        <f>IF(LEN(+'_DATA STT PAGOS_'!M267)=4,"0"&amp;+'_DATA STT PAGOS_'!M267,+'_DATA STT PAGOS_'!M267)</f>
        <v>13104</v>
      </c>
      <c r="B262" s="68">
        <f>IF(LEN(+'_DATA STT PAGOS_'!N267)=4,"0"&amp;+'_DATA STT PAGOS_'!N267,+'_DATA STT PAGOS_'!N267)</f>
        <v>13127</v>
      </c>
      <c r="C262" s="76" t="str">
        <f>+'_DATA STT PAGOS_'!O267</f>
        <v>CONCHALÍ</v>
      </c>
      <c r="D262" s="80">
        <f>+'CALC MEC ESTAB Y ESTIM M FINAL'!U267</f>
        <v>14789762</v>
      </c>
      <c r="E262" s="77">
        <f>+'CALC MEC ESTAB Y ESTIM M FINAL'!Q267</f>
        <v>5.2409914477999997E-3</v>
      </c>
      <c r="F262" s="77">
        <f>+'CALC MEC ESTAB Y ESTIM M FINAL'!R267</f>
        <v>-3.0322074200000001E-5</v>
      </c>
      <c r="G262" s="80">
        <f>+'_Flujo con Glosa 08'!CE267</f>
        <v>714014</v>
      </c>
      <c r="H262" s="80">
        <f>+'_Flujo con Glosa 08'!CF267</f>
        <v>714014</v>
      </c>
      <c r="I262" s="80">
        <f>+'_Flujo con Glosa 08'!CG267</f>
        <v>651754</v>
      </c>
      <c r="J262" s="80">
        <f>+'_Flujo con Glosa 08'!CH267</f>
        <v>714014</v>
      </c>
      <c r="K262" s="80">
        <f>+'_Flujo con Glosa 08'!CI267</f>
        <v>1901386</v>
      </c>
      <c r="L262" s="80">
        <f>+'_Flujo con Glosa 08'!CJ267</f>
        <v>733713</v>
      </c>
      <c r="M262" s="80">
        <f>+'_Flujo con Glosa 08'!CK267</f>
        <v>1199690</v>
      </c>
      <c r="N262" s="80">
        <f>+'_Flujo con Glosa 08'!CL267</f>
        <v>714014</v>
      </c>
      <c r="O262" s="80">
        <f>+'_Flujo con Glosa 08'!CM267</f>
        <v>786428</v>
      </c>
      <c r="P262" s="80">
        <f>+'_Flujo con Glosa 08'!CN267</f>
        <v>1261065</v>
      </c>
      <c r="Q262" s="80">
        <f>+'_Flujo con Glosa 08'!CO267</f>
        <v>714014</v>
      </c>
      <c r="R262" s="80">
        <f>+'_Flujo con Glosa 08'!CP267</f>
        <v>1202994</v>
      </c>
      <c r="S262" s="80">
        <f t="shared" si="8"/>
        <v>11307100</v>
      </c>
      <c r="T262" s="80">
        <v>0</v>
      </c>
      <c r="U262" s="80">
        <v>0</v>
      </c>
      <c r="V262" s="80">
        <v>0</v>
      </c>
      <c r="W262" s="80">
        <v>0</v>
      </c>
      <c r="X262" s="80">
        <v>0</v>
      </c>
      <c r="Y262" s="80">
        <v>0</v>
      </c>
      <c r="Z262" s="80">
        <v>0</v>
      </c>
      <c r="AA262" s="80">
        <v>0</v>
      </c>
      <c r="AB262" s="80">
        <v>0</v>
      </c>
      <c r="AC262" s="80">
        <v>0</v>
      </c>
      <c r="AD262" s="80">
        <v>0</v>
      </c>
      <c r="AE262" s="80">
        <v>0</v>
      </c>
      <c r="AF262" s="80">
        <f t="shared" si="9"/>
        <v>0</v>
      </c>
      <c r="AG262" s="80">
        <f>+COEF_FCM!AM269</f>
        <v>279998</v>
      </c>
      <c r="AH262" s="80">
        <f>+COEF_FCM!AR269</f>
        <v>18940</v>
      </c>
      <c r="AI262" s="80">
        <f>+COEF_FCM!AN269</f>
        <v>211709</v>
      </c>
      <c r="AJ262" s="80">
        <f>+COEF_FCM!AS269</f>
        <v>7894</v>
      </c>
      <c r="AK262" s="80">
        <f>+COEF_FCM!AO269</f>
        <v>239069</v>
      </c>
      <c r="AL262" s="80">
        <f>+COEF_FCM!AT269</f>
        <v>12361.701999999999</v>
      </c>
      <c r="AM262" s="80">
        <f>+COEF_FCM!AP269</f>
        <v>373572</v>
      </c>
      <c r="AN262" s="80">
        <f>+COEF_FCM!AU269</f>
        <v>8841</v>
      </c>
      <c r="AO262" s="80">
        <f>+COEF_FCM!AQ269</f>
        <v>1104348</v>
      </c>
      <c r="AP262" s="80">
        <f>+COEF_FCM!AV269</f>
        <v>48036.701999999997</v>
      </c>
      <c r="AQ262" s="80">
        <f>+_CIERRE!O262+_CIERRE!P262</f>
        <v>11550743.174000001</v>
      </c>
      <c r="AR262" s="80">
        <f>+_CIERRE!Q262+_CIERRE!R262</f>
        <v>13488265.973999999</v>
      </c>
      <c r="AS262" s="80">
        <f>+_CIERRE!S262+_CIERRE!T262</f>
        <v>14581575.199999999</v>
      </c>
      <c r="AT262" s="80">
        <f>+_CIERRE!U262+_CIERRE!V262</f>
        <v>14717978.323999999</v>
      </c>
      <c r="AU262" s="80">
        <f>+'CALC MEC ESTAB Y ESTIM M FINAL'!T267</f>
        <v>14789762</v>
      </c>
      <c r="AV262" s="560">
        <v>0</v>
      </c>
      <c r="AW262" s="551">
        <v>0</v>
      </c>
      <c r="AX262" s="551">
        <v>0</v>
      </c>
      <c r="AY262" s="551">
        <v>0</v>
      </c>
      <c r="AZ262" s="551">
        <v>1220777.47</v>
      </c>
      <c r="BA262" s="551">
        <v>1292755.1880000001</v>
      </c>
    </row>
    <row r="263" spans="1:53" ht="3" customHeight="1" x14ac:dyDescent="0.2">
      <c r="A263" s="68">
        <f>IF(LEN(+'_DATA STT PAGOS_'!M268)=4,"0"&amp;+'_DATA STT PAGOS_'!M268,+'_DATA STT PAGOS_'!M268)</f>
        <v>13105</v>
      </c>
      <c r="B263" s="68">
        <f>IF(LEN(+'_DATA STT PAGOS_'!N268)=4,"0"&amp;+'_DATA STT PAGOS_'!N268,+'_DATA STT PAGOS_'!N268)</f>
        <v>13165</v>
      </c>
      <c r="C263" s="76" t="str">
        <f>+'_DATA STT PAGOS_'!O268</f>
        <v>EL BOSQUE</v>
      </c>
      <c r="D263" s="80">
        <f>+'CALC MEC ESTAB Y ESTIM M FINAL'!U268</f>
        <v>25342224</v>
      </c>
      <c r="E263" s="77">
        <f>+'CALC MEC ESTAB Y ESTIM M FINAL'!Q268</f>
        <v>8.6819180847000008E-3</v>
      </c>
      <c r="F263" s="77">
        <f>+'CALC MEC ESTAB Y ESTIM M FINAL'!R268</f>
        <v>2.4655212709999999E-4</v>
      </c>
      <c r="G263" s="80">
        <f>+'_Flujo con Glosa 08'!CE268</f>
        <v>1229429</v>
      </c>
      <c r="H263" s="80">
        <f>+'_Flujo con Glosa 08'!CF268</f>
        <v>1229429</v>
      </c>
      <c r="I263" s="80">
        <f>+'_Flujo con Glosa 08'!CG268</f>
        <v>1116779</v>
      </c>
      <c r="J263" s="80">
        <f>+'_Flujo con Glosa 08'!CH268</f>
        <v>1229429</v>
      </c>
      <c r="K263" s="80">
        <f>+'_Flujo con Glosa 08'!CI268</f>
        <v>3240119</v>
      </c>
      <c r="L263" s="80">
        <f>+'_Flujo con Glosa 08'!CJ268</f>
        <v>1263182</v>
      </c>
      <c r="M263" s="80">
        <f>+'_Flujo con Glosa 08'!CK268</f>
        <v>2064732</v>
      </c>
      <c r="N263" s="80">
        <f>+'_Flujo con Glosa 08'!CL268</f>
        <v>1229429</v>
      </c>
      <c r="O263" s="80">
        <f>+'_Flujo con Glosa 08'!CM268</f>
        <v>1347543</v>
      </c>
      <c r="P263" s="80">
        <f>+'_Flujo con Glosa 08'!CN268</f>
        <v>2139831</v>
      </c>
      <c r="Q263" s="80">
        <f>+'_Flujo con Glosa 08'!CO268</f>
        <v>1229429</v>
      </c>
      <c r="R263" s="80">
        <f>+'_Flujo con Glosa 08'!CP268</f>
        <v>2055360</v>
      </c>
      <c r="S263" s="80">
        <f t="shared" si="8"/>
        <v>19374691</v>
      </c>
      <c r="T263" s="80">
        <v>0</v>
      </c>
      <c r="U263" s="80">
        <v>0</v>
      </c>
      <c r="V263" s="80">
        <v>0</v>
      </c>
      <c r="W263" s="80">
        <v>0</v>
      </c>
      <c r="X263" s="80">
        <v>0</v>
      </c>
      <c r="Y263" s="80">
        <v>0</v>
      </c>
      <c r="Z263" s="80">
        <v>0</v>
      </c>
      <c r="AA263" s="80">
        <v>0</v>
      </c>
      <c r="AB263" s="80">
        <v>0</v>
      </c>
      <c r="AC263" s="80">
        <v>0</v>
      </c>
      <c r="AD263" s="80">
        <v>0</v>
      </c>
      <c r="AE263" s="80">
        <v>0</v>
      </c>
      <c r="AF263" s="80">
        <f t="shared" si="9"/>
        <v>0</v>
      </c>
      <c r="AG263" s="80">
        <f>+COEF_FCM!AM270</f>
        <v>145350</v>
      </c>
      <c r="AH263" s="80">
        <f>+COEF_FCM!AR270</f>
        <v>18283</v>
      </c>
      <c r="AI263" s="80">
        <f>+COEF_FCM!AN270</f>
        <v>100216</v>
      </c>
      <c r="AJ263" s="80">
        <f>+COEF_FCM!AS270</f>
        <v>8511</v>
      </c>
      <c r="AK263" s="80">
        <f>+COEF_FCM!AO270</f>
        <v>112488</v>
      </c>
      <c r="AL263" s="80">
        <f>+COEF_FCM!AT270</f>
        <v>10647.405000000001</v>
      </c>
      <c r="AM263" s="80">
        <f>+COEF_FCM!AP270</f>
        <v>101456</v>
      </c>
      <c r="AN263" s="80">
        <f>+COEF_FCM!AU270</f>
        <v>7135</v>
      </c>
      <c r="AO263" s="80">
        <f>+COEF_FCM!AQ270</f>
        <v>459510</v>
      </c>
      <c r="AP263" s="80">
        <f>+COEF_FCM!AV270</f>
        <v>44576.404999999999</v>
      </c>
      <c r="AQ263" s="80">
        <f>+_CIERRE!O263+_CIERRE!P263</f>
        <v>22369933.239</v>
      </c>
      <c r="AR263" s="80">
        <f>+_CIERRE!Q263+_CIERRE!R263</f>
        <v>24275595.942000002</v>
      </c>
      <c r="AS263" s="80">
        <f>+_CIERRE!S263+_CIERRE!T263</f>
        <v>25107357.07</v>
      </c>
      <c r="AT263" s="80">
        <f>+_CIERRE!U263+_CIERRE!V263</f>
        <v>25342223.909000002</v>
      </c>
      <c r="AU263" s="80">
        <f>+'CALC MEC ESTAB Y ESTIM M FINAL'!T268</f>
        <v>25342224</v>
      </c>
      <c r="AV263" s="560">
        <v>0</v>
      </c>
      <c r="AW263" s="551">
        <v>0</v>
      </c>
      <c r="AX263" s="551">
        <v>0</v>
      </c>
      <c r="AY263" s="551">
        <v>0</v>
      </c>
      <c r="AZ263" s="551">
        <v>2313353.9029999999</v>
      </c>
      <c r="BA263" s="551">
        <v>2398361.4589999998</v>
      </c>
    </row>
    <row r="264" spans="1:53" ht="3" customHeight="1" x14ac:dyDescent="0.2">
      <c r="A264" s="68">
        <f>IF(LEN(+'_DATA STT PAGOS_'!M269)=4,"0"&amp;+'_DATA STT PAGOS_'!M269,+'_DATA STT PAGOS_'!M269)</f>
        <v>13106</v>
      </c>
      <c r="B264" s="68">
        <f>IF(LEN(+'_DATA STT PAGOS_'!N269)=4,"0"&amp;+'_DATA STT PAGOS_'!N269,+'_DATA STT PAGOS_'!N269)</f>
        <v>13157</v>
      </c>
      <c r="C264" s="76" t="str">
        <f>+'_DATA STT PAGOS_'!O269</f>
        <v>ESTACIÓN CENTRAL</v>
      </c>
      <c r="D264" s="80">
        <f>+'CALC MEC ESTAB Y ESTIM M FINAL'!U269</f>
        <v>14664900</v>
      </c>
      <c r="E264" s="77">
        <f>+'CALC MEC ESTAB Y ESTIM M FINAL'!Q269</f>
        <v>5.5679945729999996E-3</v>
      </c>
      <c r="F264" s="77">
        <f>+'CALC MEC ESTAB Y ESTIM M FINAL'!R269</f>
        <v>-4.0131607840000001E-4</v>
      </c>
      <c r="G264" s="80">
        <f>+'_Flujo con Glosa 08'!CE269</f>
        <v>666558</v>
      </c>
      <c r="H264" s="80">
        <f>+'_Flujo con Glosa 08'!CF269</f>
        <v>666558</v>
      </c>
      <c r="I264" s="80">
        <f>+'_Flujo con Glosa 08'!CG269</f>
        <v>646252</v>
      </c>
      <c r="J264" s="80">
        <f>+'_Flujo con Glosa 08'!CH269</f>
        <v>666558</v>
      </c>
      <c r="K264" s="80">
        <f>+'_Flujo con Glosa 08'!CI269</f>
        <v>2009618</v>
      </c>
      <c r="L264" s="80">
        <f>+'_Flujo con Glosa 08'!CJ269</f>
        <v>686090</v>
      </c>
      <c r="M264" s="80">
        <f>+'_Flujo con Glosa 08'!CK269</f>
        <v>1214757</v>
      </c>
      <c r="N264" s="80">
        <f>+'_Flujo con Glosa 08'!CL269</f>
        <v>666558</v>
      </c>
      <c r="O264" s="80">
        <f>+'_Flujo con Glosa 08'!CM269</f>
        <v>779789</v>
      </c>
      <c r="P264" s="80">
        <f>+'_Flujo con Glosa 08'!CN269</f>
        <v>1308079</v>
      </c>
      <c r="Q264" s="80">
        <f>+'_Flujo con Glosa 08'!CO269</f>
        <v>666558</v>
      </c>
      <c r="R264" s="80">
        <f>+'_Flujo con Glosa 08'!CP269</f>
        <v>1234265</v>
      </c>
      <c r="S264" s="80">
        <f t="shared" si="8"/>
        <v>11211640</v>
      </c>
      <c r="T264" s="80">
        <v>0</v>
      </c>
      <c r="U264" s="80">
        <v>0</v>
      </c>
      <c r="V264" s="80">
        <v>0</v>
      </c>
      <c r="W264" s="80">
        <v>0</v>
      </c>
      <c r="X264" s="80">
        <v>0</v>
      </c>
      <c r="Y264" s="80">
        <v>0</v>
      </c>
      <c r="Z264" s="80">
        <v>0</v>
      </c>
      <c r="AA264" s="80">
        <v>0</v>
      </c>
      <c r="AB264" s="80">
        <v>0</v>
      </c>
      <c r="AC264" s="80">
        <v>0</v>
      </c>
      <c r="AD264" s="80">
        <v>0</v>
      </c>
      <c r="AE264" s="80">
        <v>0</v>
      </c>
      <c r="AF264" s="80">
        <f t="shared" si="9"/>
        <v>0</v>
      </c>
      <c r="AG264" s="80">
        <f>+COEF_FCM!AM271</f>
        <v>1030095</v>
      </c>
      <c r="AH264" s="80">
        <f>+COEF_FCM!AR271</f>
        <v>111118</v>
      </c>
      <c r="AI264" s="80">
        <f>+COEF_FCM!AN271</f>
        <v>793759</v>
      </c>
      <c r="AJ264" s="80">
        <f>+COEF_FCM!AS271</f>
        <v>49081</v>
      </c>
      <c r="AK264" s="80">
        <f>+COEF_FCM!AO271</f>
        <v>924431</v>
      </c>
      <c r="AL264" s="80">
        <f>+COEF_FCM!AT271</f>
        <v>65793.903999999995</v>
      </c>
      <c r="AM264" s="80">
        <f>+COEF_FCM!AP271</f>
        <v>822098</v>
      </c>
      <c r="AN264" s="80">
        <f>+COEF_FCM!AU271</f>
        <v>45472</v>
      </c>
      <c r="AO264" s="80">
        <f>+COEF_FCM!AQ271</f>
        <v>3570383</v>
      </c>
      <c r="AP264" s="80">
        <f>+COEF_FCM!AV271</f>
        <v>271464.90399999998</v>
      </c>
      <c r="AQ264" s="80">
        <f>+_CIERRE!O264+_CIERRE!P264</f>
        <v>7847542.75</v>
      </c>
      <c r="AR264" s="80">
        <f>+_CIERRE!Q264+_CIERRE!R264</f>
        <v>11449225.449999999</v>
      </c>
      <c r="AS264" s="80">
        <f>+_CIERRE!S264+_CIERRE!T264</f>
        <v>13094568.564999999</v>
      </c>
      <c r="AT264" s="80">
        <f>+_CIERRE!U264+_CIERRE!V264</f>
        <v>13714837.247</v>
      </c>
      <c r="AU264" s="80">
        <f>+'CALC MEC ESTAB Y ESTIM M FINAL'!T269</f>
        <v>14664900</v>
      </c>
      <c r="AV264" s="560">
        <v>0</v>
      </c>
      <c r="AW264" s="551">
        <v>0</v>
      </c>
      <c r="AX264" s="551">
        <v>0</v>
      </c>
      <c r="AY264" s="551">
        <v>0</v>
      </c>
      <c r="AZ264" s="551">
        <v>0</v>
      </c>
      <c r="BA264" s="551">
        <v>0</v>
      </c>
    </row>
    <row r="265" spans="1:53" ht="3" customHeight="1" x14ac:dyDescent="0.2">
      <c r="A265" s="68">
        <f>IF(LEN(+'_DATA STT PAGOS_'!M270)=4,"0"&amp;+'_DATA STT PAGOS_'!M270,+'_DATA STT PAGOS_'!M270)</f>
        <v>13107</v>
      </c>
      <c r="B265" s="68">
        <f>IF(LEN(+'_DATA STT PAGOS_'!N270)=4,"0"&amp;+'_DATA STT PAGOS_'!N270,+'_DATA STT PAGOS_'!N270)</f>
        <v>13158</v>
      </c>
      <c r="C265" s="76" t="str">
        <f>+'_DATA STT PAGOS_'!O270</f>
        <v>HUECHURABA</v>
      </c>
      <c r="D265" s="80">
        <f>+'CALC MEC ESTAB Y ESTIM M FINAL'!U270</f>
        <v>4197555</v>
      </c>
      <c r="E265" s="77">
        <f>+'CALC MEC ESTAB Y ESTIM M FINAL'!Q270</f>
        <v>1.4619562086999999E-3</v>
      </c>
      <c r="F265" s="77">
        <f>+'CALC MEC ESTAB Y ESTIM M FINAL'!R270</f>
        <v>1.69094051E-5</v>
      </c>
      <c r="G265" s="80">
        <f>+'_Flujo con Glosa 08'!CE270</f>
        <v>203636</v>
      </c>
      <c r="H265" s="80">
        <f>+'_Flujo con Glosa 08'!CF270</f>
        <v>203636</v>
      </c>
      <c r="I265" s="80">
        <f>+'_Flujo con Glosa 08'!CG270</f>
        <v>184978</v>
      </c>
      <c r="J265" s="80">
        <f>+'_Flujo con Glosa 08'!CH270</f>
        <v>203636</v>
      </c>
      <c r="K265" s="80">
        <f>+'_Flujo con Glosa 08'!CI270</f>
        <v>536677</v>
      </c>
      <c r="L265" s="80">
        <f>+'_Flujo con Glosa 08'!CJ270</f>
        <v>209227</v>
      </c>
      <c r="M265" s="80">
        <f>+'_Flujo con Glosa 08'!CK270</f>
        <v>341992</v>
      </c>
      <c r="N265" s="80">
        <f>+'_Flujo con Glosa 08'!CL270</f>
        <v>203636</v>
      </c>
      <c r="O265" s="80">
        <f>+'_Flujo con Glosa 08'!CM270</f>
        <v>223200</v>
      </c>
      <c r="P265" s="80">
        <f>+'_Flujo con Glosa 08'!CN270</f>
        <v>354431</v>
      </c>
      <c r="Q265" s="80">
        <f>+'_Flujo con Glosa 08'!CO270</f>
        <v>203636</v>
      </c>
      <c r="R265" s="80">
        <f>+'_Flujo con Glosa 08'!CP270</f>
        <v>340439</v>
      </c>
      <c r="S265" s="80">
        <f t="shared" si="8"/>
        <v>3209124</v>
      </c>
      <c r="T265" s="80">
        <v>0</v>
      </c>
      <c r="U265" s="80">
        <v>0</v>
      </c>
      <c r="V265" s="80">
        <v>0</v>
      </c>
      <c r="W265" s="80">
        <v>0</v>
      </c>
      <c r="X265" s="80">
        <v>0</v>
      </c>
      <c r="Y265" s="80">
        <v>0</v>
      </c>
      <c r="Z265" s="80">
        <v>0</v>
      </c>
      <c r="AA265" s="80">
        <v>0</v>
      </c>
      <c r="AB265" s="80">
        <v>0</v>
      </c>
      <c r="AC265" s="80">
        <v>0</v>
      </c>
      <c r="AD265" s="80">
        <v>0</v>
      </c>
      <c r="AE265" s="80">
        <v>0</v>
      </c>
      <c r="AF265" s="80">
        <f t="shared" si="9"/>
        <v>0</v>
      </c>
      <c r="AG265" s="80">
        <f>+COEF_FCM!AM272</f>
        <v>1981380</v>
      </c>
      <c r="AH265" s="80">
        <f>+COEF_FCM!AR272</f>
        <v>174725</v>
      </c>
      <c r="AI265" s="80">
        <f>+COEF_FCM!AN272</f>
        <v>1536516</v>
      </c>
      <c r="AJ265" s="80">
        <f>+COEF_FCM!AS272</f>
        <v>88661</v>
      </c>
      <c r="AK265" s="80">
        <f>+COEF_FCM!AO272</f>
        <v>1750598</v>
      </c>
      <c r="AL265" s="80">
        <f>+COEF_FCM!AT272</f>
        <v>157486.144</v>
      </c>
      <c r="AM265" s="80">
        <f>+COEF_FCM!AP272</f>
        <v>1527979</v>
      </c>
      <c r="AN265" s="80">
        <f>+COEF_FCM!AU272</f>
        <v>118341</v>
      </c>
      <c r="AO265" s="80">
        <f>+COEF_FCM!AQ272</f>
        <v>6796473</v>
      </c>
      <c r="AP265" s="80">
        <f>+COEF_FCM!AV272</f>
        <v>539213.14399999997</v>
      </c>
      <c r="AQ265" s="80">
        <f>+_CIERRE!O265+_CIERRE!P265</f>
        <v>3709648.5550000002</v>
      </c>
      <c r="AR265" s="80">
        <f>+_CIERRE!Q265+_CIERRE!R265</f>
        <v>4021930.3369999998</v>
      </c>
      <c r="AS265" s="80">
        <f>+_CIERRE!S265+_CIERRE!T265</f>
        <v>4158652.588</v>
      </c>
      <c r="AT265" s="80">
        <f>+_CIERRE!U265+_CIERRE!V265</f>
        <v>4197555.1500000004</v>
      </c>
      <c r="AU265" s="80">
        <f>+'CALC MEC ESTAB Y ESTIM M FINAL'!T270</f>
        <v>4197555</v>
      </c>
      <c r="AV265" s="560">
        <v>0</v>
      </c>
      <c r="AW265" s="551">
        <v>0</v>
      </c>
      <c r="AX265" s="551">
        <v>0</v>
      </c>
      <c r="AY265" s="551">
        <v>0</v>
      </c>
      <c r="AZ265" s="551">
        <v>0</v>
      </c>
      <c r="BA265" s="551">
        <v>0</v>
      </c>
    </row>
    <row r="266" spans="1:53" ht="3" customHeight="1" x14ac:dyDescent="0.2">
      <c r="A266" s="68">
        <f>IF(LEN(+'_DATA STT PAGOS_'!M271)=4,"0"&amp;+'_DATA STT PAGOS_'!M271,+'_DATA STT PAGOS_'!M271)</f>
        <v>13108</v>
      </c>
      <c r="B266" s="68">
        <f>IF(LEN(+'_DATA STT PAGOS_'!N271)=4,"0"&amp;+'_DATA STT PAGOS_'!N271,+'_DATA STT PAGOS_'!N271)</f>
        <v>13167</v>
      </c>
      <c r="C266" s="76" t="str">
        <f>+'_DATA STT PAGOS_'!O271</f>
        <v>INDEPENDENCIA</v>
      </c>
      <c r="D266" s="80">
        <f>+'CALC MEC ESTAB Y ESTIM M FINAL'!U271</f>
        <v>12178965</v>
      </c>
      <c r="E266" s="77">
        <f>+'CALC MEC ESTAB Y ESTIM M FINAL'!Q271</f>
        <v>4.5409776342000005E-3</v>
      </c>
      <c r="F266" s="77">
        <f>+'CALC MEC ESTAB Y ESTIM M FINAL'!R271</f>
        <v>-2.5013377129999998E-4</v>
      </c>
      <c r="G266" s="80">
        <f>+'_Flujo con Glosa 08'!CE271</f>
        <v>562767</v>
      </c>
      <c r="H266" s="80">
        <f>+'_Flujo con Glosa 08'!CF271</f>
        <v>562767</v>
      </c>
      <c r="I266" s="80">
        <f>+'_Flujo con Glosa 08'!CG271</f>
        <v>536702</v>
      </c>
      <c r="J266" s="80">
        <f>+'_Flujo con Glosa 08'!CH271</f>
        <v>562767</v>
      </c>
      <c r="K266" s="80">
        <f>+'_Flujo con Glosa 08'!CI271</f>
        <v>1641351</v>
      </c>
      <c r="L266" s="80">
        <f>+'_Flujo con Glosa 08'!CJ271</f>
        <v>578988</v>
      </c>
      <c r="M266" s="80">
        <f>+'_Flujo con Glosa 08'!CK271</f>
        <v>999635</v>
      </c>
      <c r="N266" s="80">
        <f>+'_Flujo con Glosa 08'!CL271</f>
        <v>562767</v>
      </c>
      <c r="O266" s="80">
        <f>+'_Flujo con Glosa 08'!CM271</f>
        <v>647602</v>
      </c>
      <c r="P266" s="80">
        <f>+'_Flujo con Glosa 08'!CN271</f>
        <v>1077138</v>
      </c>
      <c r="Q266" s="80">
        <f>+'_Flujo con Glosa 08'!CO271</f>
        <v>562767</v>
      </c>
      <c r="R266" s="80">
        <f>+'_Flujo con Glosa 08'!CP271</f>
        <v>1015836</v>
      </c>
      <c r="S266" s="80">
        <f t="shared" si="8"/>
        <v>9311087</v>
      </c>
      <c r="T266" s="80">
        <v>0</v>
      </c>
      <c r="U266" s="80">
        <v>0</v>
      </c>
      <c r="V266" s="80">
        <v>0</v>
      </c>
      <c r="W266" s="80">
        <v>0</v>
      </c>
      <c r="X266" s="80">
        <v>0</v>
      </c>
      <c r="Y266" s="80">
        <v>0</v>
      </c>
      <c r="Z266" s="80">
        <v>0</v>
      </c>
      <c r="AA266" s="80">
        <v>0</v>
      </c>
      <c r="AB266" s="80">
        <v>0</v>
      </c>
      <c r="AC266" s="80">
        <v>0</v>
      </c>
      <c r="AD266" s="80">
        <v>0</v>
      </c>
      <c r="AE266" s="80">
        <v>0</v>
      </c>
      <c r="AF266" s="80">
        <f t="shared" si="9"/>
        <v>0</v>
      </c>
      <c r="AG266" s="80">
        <f>+COEF_FCM!AM273</f>
        <v>639829</v>
      </c>
      <c r="AH266" s="80">
        <f>+COEF_FCM!AR273</f>
        <v>84793</v>
      </c>
      <c r="AI266" s="80">
        <f>+COEF_FCM!AN273</f>
        <v>452694</v>
      </c>
      <c r="AJ266" s="80">
        <f>+COEF_FCM!AS273</f>
        <v>37108</v>
      </c>
      <c r="AK266" s="80">
        <f>+COEF_FCM!AO273</f>
        <v>526117</v>
      </c>
      <c r="AL266" s="80">
        <f>+COEF_FCM!AT273</f>
        <v>47528.411</v>
      </c>
      <c r="AM266" s="80">
        <f>+COEF_FCM!AP273</f>
        <v>464755</v>
      </c>
      <c r="AN266" s="80">
        <f>+COEF_FCM!AU273</f>
        <v>32277</v>
      </c>
      <c r="AO266" s="80">
        <f>+COEF_FCM!AQ273</f>
        <v>2083395</v>
      </c>
      <c r="AP266" s="80">
        <f>+COEF_FCM!AV273</f>
        <v>201706.41099999999</v>
      </c>
      <c r="AQ266" s="80">
        <f>+_CIERRE!O266+_CIERRE!P266</f>
        <v>6865729.2309999997</v>
      </c>
      <c r="AR266" s="80">
        <f>+_CIERRE!Q266+_CIERRE!R266</f>
        <v>9934869.2789999992</v>
      </c>
      <c r="AS266" s="80">
        <f>+_CIERRE!S266+_CIERRE!T266</f>
        <v>11479421.459000001</v>
      </c>
      <c r="AT266" s="80">
        <f>+_CIERRE!U266+_CIERRE!V266</f>
        <v>11586805.479</v>
      </c>
      <c r="AU266" s="80">
        <f>+'CALC MEC ESTAB Y ESTIM M FINAL'!T271</f>
        <v>12178965</v>
      </c>
      <c r="AV266" s="560">
        <v>0</v>
      </c>
      <c r="AW266" s="551">
        <v>0</v>
      </c>
      <c r="AX266" s="551">
        <v>0</v>
      </c>
      <c r="AY266" s="551">
        <v>0</v>
      </c>
      <c r="AZ266" s="551">
        <v>0</v>
      </c>
      <c r="BA266" s="551">
        <v>0</v>
      </c>
    </row>
    <row r="267" spans="1:53" ht="3" customHeight="1" x14ac:dyDescent="0.2">
      <c r="A267" s="68">
        <f>IF(LEN(+'_DATA STT PAGOS_'!M272)=4,"0"&amp;+'_DATA STT PAGOS_'!M272,+'_DATA STT PAGOS_'!M272)</f>
        <v>13109</v>
      </c>
      <c r="B267" s="68">
        <f>IF(LEN(+'_DATA STT PAGOS_'!N272)=4,"0"&amp;+'_DATA STT PAGOS_'!N272,+'_DATA STT PAGOS_'!N272)</f>
        <v>13110</v>
      </c>
      <c r="C267" s="76" t="str">
        <f>+'_DATA STT PAGOS_'!O272</f>
        <v>LA CISTERNA</v>
      </c>
      <c r="D267" s="80">
        <f>+'CALC MEC ESTAB Y ESTIM M FINAL'!U272</f>
        <v>7546007</v>
      </c>
      <c r="E267" s="77">
        <f>+'CALC MEC ESTAB Y ESTIM M FINAL'!Q272</f>
        <v>2.828941381E-3</v>
      </c>
      <c r="F267" s="77">
        <f>+'CALC MEC ESTAB Y ESTIM M FINAL'!R272</f>
        <v>-1.7036274100000001E-4</v>
      </c>
      <c r="G267" s="80">
        <f>+'_Flujo con Glosa 08'!CE272</f>
        <v>346514</v>
      </c>
      <c r="H267" s="80">
        <f>+'_Flujo con Glosa 08'!CF272</f>
        <v>346514</v>
      </c>
      <c r="I267" s="80">
        <f>+'_Flujo con Glosa 08'!CG272</f>
        <v>332537</v>
      </c>
      <c r="J267" s="80">
        <f>+'_Flujo con Glosa 08'!CH272</f>
        <v>346514</v>
      </c>
      <c r="K267" s="80">
        <f>+'_Flujo con Glosa 08'!CI272</f>
        <v>1023490</v>
      </c>
      <c r="L267" s="80">
        <f>+'_Flujo con Glosa 08'!CJ272</f>
        <v>356565</v>
      </c>
      <c r="M267" s="80">
        <f>+'_Flujo con Glosa 08'!CK272</f>
        <v>621540</v>
      </c>
      <c r="N267" s="80">
        <f>+'_Flujo con Glosa 08'!CL272</f>
        <v>346514</v>
      </c>
      <c r="O267" s="80">
        <f>+'_Flujo con Glosa 08'!CM272</f>
        <v>401250</v>
      </c>
      <c r="P267" s="80">
        <f>+'_Flujo con Glosa 08'!CN272</f>
        <v>669560</v>
      </c>
      <c r="Q267" s="80">
        <f>+'_Flujo con Glosa 08'!CO272</f>
        <v>346514</v>
      </c>
      <c r="R267" s="80">
        <f>+'_Flujo con Glosa 08'!CP272</f>
        <v>631579</v>
      </c>
      <c r="S267" s="80">
        <f t="shared" si="8"/>
        <v>5769091</v>
      </c>
      <c r="T267" s="80">
        <v>0</v>
      </c>
      <c r="U267" s="80">
        <v>0</v>
      </c>
      <c r="V267" s="80">
        <v>0</v>
      </c>
      <c r="W267" s="80">
        <v>0</v>
      </c>
      <c r="X267" s="80">
        <v>0</v>
      </c>
      <c r="Y267" s="80">
        <v>0</v>
      </c>
      <c r="Z267" s="80">
        <v>0</v>
      </c>
      <c r="AA267" s="80">
        <v>0</v>
      </c>
      <c r="AB267" s="80">
        <v>0</v>
      </c>
      <c r="AC267" s="80">
        <v>0</v>
      </c>
      <c r="AD267" s="80">
        <v>0</v>
      </c>
      <c r="AE267" s="80">
        <v>0</v>
      </c>
      <c r="AF267" s="80">
        <f t="shared" si="9"/>
        <v>0</v>
      </c>
      <c r="AG267" s="80">
        <f>+COEF_FCM!AM274</f>
        <v>437943</v>
      </c>
      <c r="AH267" s="80">
        <f>+COEF_FCM!AR274</f>
        <v>97113</v>
      </c>
      <c r="AI267" s="80">
        <f>+COEF_FCM!AN274</f>
        <v>298927</v>
      </c>
      <c r="AJ267" s="80">
        <f>+COEF_FCM!AS274</f>
        <v>43758</v>
      </c>
      <c r="AK267" s="80">
        <f>+COEF_FCM!AO274</f>
        <v>335406</v>
      </c>
      <c r="AL267" s="80">
        <f>+COEF_FCM!AT274</f>
        <v>63511.923000000003</v>
      </c>
      <c r="AM267" s="80">
        <f>+COEF_FCM!AP274</f>
        <v>260405</v>
      </c>
      <c r="AN267" s="80">
        <f>+COEF_FCM!AU274</f>
        <v>42394</v>
      </c>
      <c r="AO267" s="80">
        <f>+COEF_FCM!AQ274</f>
        <v>1332681</v>
      </c>
      <c r="AP267" s="80">
        <f>+COEF_FCM!AV274</f>
        <v>246776.92300000001</v>
      </c>
      <c r="AQ267" s="80">
        <f>+_CIERRE!O267+_CIERRE!P267</f>
        <v>4870180.4210000001</v>
      </c>
      <c r="AR267" s="80">
        <f>+_CIERRE!Q267+_CIERRE!R267</f>
        <v>6613763.8930000002</v>
      </c>
      <c r="AS267" s="80">
        <f>+_CIERRE!S267+_CIERRE!T267</f>
        <v>7076496.3609999996</v>
      </c>
      <c r="AT267" s="80">
        <f>+_CIERRE!U267+_CIERRE!V267</f>
        <v>7142695.5499999998</v>
      </c>
      <c r="AU267" s="80">
        <f>+'CALC MEC ESTAB Y ESTIM M FINAL'!T272</f>
        <v>7546007</v>
      </c>
      <c r="AV267" s="560">
        <v>0</v>
      </c>
      <c r="AW267" s="551">
        <v>0</v>
      </c>
      <c r="AX267" s="551">
        <v>0</v>
      </c>
      <c r="AY267" s="551">
        <v>0</v>
      </c>
      <c r="AZ267" s="551">
        <v>587204.88699999999</v>
      </c>
      <c r="BA267" s="551">
        <v>621648.79599999997</v>
      </c>
    </row>
    <row r="268" spans="1:53" ht="3" customHeight="1" x14ac:dyDescent="0.2">
      <c r="A268" s="68">
        <f>IF(LEN(+'_DATA STT PAGOS_'!M273)=4,"0"&amp;+'_DATA STT PAGOS_'!M273,+'_DATA STT PAGOS_'!M273)</f>
        <v>13110</v>
      </c>
      <c r="B268" s="68">
        <f>IF(LEN(+'_DATA STT PAGOS_'!N273)=4,"0"&amp;+'_DATA STT PAGOS_'!N273,+'_DATA STT PAGOS_'!N273)</f>
        <v>13128</v>
      </c>
      <c r="C268" s="76" t="str">
        <f>+'_DATA STT PAGOS_'!O273</f>
        <v>LA FLORIDA</v>
      </c>
      <c r="D268" s="80">
        <f>+'CALC MEC ESTAB Y ESTIM M FINAL'!U273</f>
        <v>39646198</v>
      </c>
      <c r="E268" s="77">
        <f>+'CALC MEC ESTAB Y ESTIM M FINAL'!Q273</f>
        <v>5.1752227164000002E-3</v>
      </c>
      <c r="F268" s="77">
        <f>+'CALC MEC ESTAB Y ESTIM M FINAL'!R273</f>
        <v>8.7927659426000008E-3</v>
      </c>
      <c r="G268" s="80">
        <f>+'_Flujo con Glosa 08'!CE273</f>
        <v>1923358</v>
      </c>
      <c r="H268" s="80">
        <f>+'_Flujo con Glosa 08'!CF273</f>
        <v>1923358</v>
      </c>
      <c r="I268" s="80">
        <f>+'_Flujo con Glosa 08'!CG273</f>
        <v>1747126</v>
      </c>
      <c r="J268" s="80">
        <f>+'_Flujo con Glosa 08'!CH273</f>
        <v>1923358</v>
      </c>
      <c r="K268" s="80">
        <f>+'_Flujo con Glosa 08'!CI273</f>
        <v>5068949</v>
      </c>
      <c r="L268" s="80">
        <f>+'_Flujo con Glosa 08'!CJ273</f>
        <v>1976163</v>
      </c>
      <c r="M268" s="80">
        <f>+'_Flujo con Glosa 08'!CK273</f>
        <v>3230133</v>
      </c>
      <c r="N268" s="80">
        <f>+'_Flujo con Glosa 08'!CL273</f>
        <v>1923358</v>
      </c>
      <c r="O268" s="80">
        <f>+'_Flujo con Glosa 08'!CM273</f>
        <v>2108139</v>
      </c>
      <c r="P268" s="80">
        <f>+'_Flujo con Glosa 08'!CN273</f>
        <v>3347622</v>
      </c>
      <c r="Q268" s="80">
        <f>+'_Flujo con Glosa 08'!CO273</f>
        <v>1923358</v>
      </c>
      <c r="R268" s="80">
        <f>+'_Flujo con Glosa 08'!CP273</f>
        <v>3215472</v>
      </c>
      <c r="S268" s="80">
        <f t="shared" si="8"/>
        <v>30310394</v>
      </c>
      <c r="T268" s="80">
        <v>0</v>
      </c>
      <c r="U268" s="80">
        <v>0</v>
      </c>
      <c r="V268" s="80">
        <v>0</v>
      </c>
      <c r="W268" s="80">
        <v>0</v>
      </c>
      <c r="X268" s="80">
        <v>0</v>
      </c>
      <c r="Y268" s="80">
        <v>0</v>
      </c>
      <c r="Z268" s="80">
        <v>0</v>
      </c>
      <c r="AA268" s="80">
        <v>0</v>
      </c>
      <c r="AB268" s="80">
        <v>0</v>
      </c>
      <c r="AC268" s="80">
        <v>0</v>
      </c>
      <c r="AD268" s="80">
        <v>0</v>
      </c>
      <c r="AE268" s="80">
        <v>0</v>
      </c>
      <c r="AF268" s="80">
        <f t="shared" si="9"/>
        <v>0</v>
      </c>
      <c r="AG268" s="80">
        <f>+COEF_FCM!AM275</f>
        <v>2570464</v>
      </c>
      <c r="AH268" s="80">
        <f>+COEF_FCM!AR275</f>
        <v>509697</v>
      </c>
      <c r="AI268" s="80">
        <f>+COEF_FCM!AN275</f>
        <v>1862370</v>
      </c>
      <c r="AJ268" s="80">
        <f>+COEF_FCM!AS275</f>
        <v>228557</v>
      </c>
      <c r="AK268" s="80">
        <f>+COEF_FCM!AO275</f>
        <v>2134863</v>
      </c>
      <c r="AL268" s="80">
        <f>+COEF_FCM!AT275</f>
        <v>306433.24800000002</v>
      </c>
      <c r="AM268" s="80">
        <f>+COEF_FCM!AP275</f>
        <v>1804671</v>
      </c>
      <c r="AN268" s="80">
        <f>+COEF_FCM!AU275</f>
        <v>213550</v>
      </c>
      <c r="AO268" s="80">
        <f>+COEF_FCM!AQ275</f>
        <v>8372368</v>
      </c>
      <c r="AP268" s="80">
        <f>+COEF_FCM!AV275</f>
        <v>1258237.2480000001</v>
      </c>
      <c r="AQ268" s="80">
        <f>+_CIERRE!O268+_CIERRE!P268</f>
        <v>35037882.894000001</v>
      </c>
      <c r="AR268" s="80">
        <f>+_CIERRE!Q268+_CIERRE!R268</f>
        <v>37987405.969999999</v>
      </c>
      <c r="AS268" s="80">
        <f>+_CIERRE!S268+_CIERRE!T268</f>
        <v>39278763.813000001</v>
      </c>
      <c r="AT268" s="80">
        <f>+_CIERRE!U268+_CIERRE!V268</f>
        <v>39646198.162</v>
      </c>
      <c r="AU268" s="80">
        <f>+'CALC MEC ESTAB Y ESTIM M FINAL'!T273</f>
        <v>39646198</v>
      </c>
      <c r="AV268" s="560">
        <v>0</v>
      </c>
      <c r="AW268" s="551">
        <v>0</v>
      </c>
      <c r="AX268" s="551">
        <v>0</v>
      </c>
      <c r="AY268" s="551">
        <v>0</v>
      </c>
      <c r="AZ268" s="551">
        <v>0</v>
      </c>
      <c r="BA268" s="551">
        <v>0</v>
      </c>
    </row>
    <row r="269" spans="1:53" ht="3" customHeight="1" x14ac:dyDescent="0.2">
      <c r="A269" s="68">
        <f>IF(LEN(+'_DATA STT PAGOS_'!M274)=4,"0"&amp;+'_DATA STT PAGOS_'!M274,+'_DATA STT PAGOS_'!M274)</f>
        <v>13111</v>
      </c>
      <c r="B269" s="68">
        <f>IF(LEN(+'_DATA STT PAGOS_'!N274)=4,"0"&amp;+'_DATA STT PAGOS_'!N274,+'_DATA STT PAGOS_'!N274)</f>
        <v>13131</v>
      </c>
      <c r="C269" s="76" t="str">
        <f>+'_DATA STT PAGOS_'!O274</f>
        <v>LA GRANJA</v>
      </c>
      <c r="D269" s="80">
        <f>+'CALC MEC ESTAB Y ESTIM M FINAL'!U274</f>
        <v>18578756</v>
      </c>
      <c r="E269" s="77">
        <f>+'CALC MEC ESTAB Y ESTIM M FINAL'!Q274</f>
        <v>6.2003696313000008E-3</v>
      </c>
      <c r="F269" s="77">
        <f>+'CALC MEC ESTAB Y ESTIM M FINAL'!R274</f>
        <v>3.452227954E-4</v>
      </c>
      <c r="G269" s="80">
        <f>+'_Flujo con Glosa 08'!CE274</f>
        <v>901312</v>
      </c>
      <c r="H269" s="80">
        <f>+'_Flujo con Glosa 08'!CF274</f>
        <v>901312</v>
      </c>
      <c r="I269" s="80">
        <f>+'_Flujo con Glosa 08'!CG274</f>
        <v>818727</v>
      </c>
      <c r="J269" s="80">
        <f>+'_Flujo con Glosa 08'!CH274</f>
        <v>901312</v>
      </c>
      <c r="K269" s="80">
        <f>+'_Flujo con Glosa 08'!CI274</f>
        <v>2375379</v>
      </c>
      <c r="L269" s="80">
        <f>+'_Flujo con Glosa 08'!CJ274</f>
        <v>926057</v>
      </c>
      <c r="M269" s="80">
        <f>+'_Flujo con Glosa 08'!CK274</f>
        <v>1513685</v>
      </c>
      <c r="N269" s="80">
        <f>+'_Flujo con Glosa 08'!CL274</f>
        <v>901312</v>
      </c>
      <c r="O269" s="80">
        <f>+'_Flujo con Glosa 08'!CM274</f>
        <v>987903</v>
      </c>
      <c r="P269" s="80">
        <f>+'_Flujo con Glosa 08'!CN274</f>
        <v>1568742</v>
      </c>
      <c r="Q269" s="80">
        <f>+'_Flujo con Glosa 08'!CO274</f>
        <v>901312</v>
      </c>
      <c r="R269" s="80">
        <f>+'_Flujo con Glosa 08'!CP274</f>
        <v>1506815</v>
      </c>
      <c r="S269" s="80">
        <f t="shared" si="8"/>
        <v>14203868</v>
      </c>
      <c r="T269" s="80">
        <v>0</v>
      </c>
      <c r="U269" s="80">
        <v>0</v>
      </c>
      <c r="V269" s="80">
        <v>0</v>
      </c>
      <c r="W269" s="80">
        <v>0</v>
      </c>
      <c r="X269" s="80">
        <v>0</v>
      </c>
      <c r="Y269" s="80">
        <v>0</v>
      </c>
      <c r="Z269" s="80">
        <v>0</v>
      </c>
      <c r="AA269" s="80">
        <v>0</v>
      </c>
      <c r="AB269" s="80">
        <v>0</v>
      </c>
      <c r="AC269" s="80">
        <v>0</v>
      </c>
      <c r="AD269" s="80">
        <v>0</v>
      </c>
      <c r="AE269" s="80">
        <v>0</v>
      </c>
      <c r="AF269" s="80">
        <f t="shared" si="9"/>
        <v>0</v>
      </c>
      <c r="AG269" s="80">
        <f>+COEF_FCM!AM276</f>
        <v>155431</v>
      </c>
      <c r="AH269" s="80">
        <f>+COEF_FCM!AR276</f>
        <v>10545</v>
      </c>
      <c r="AI269" s="80">
        <f>+COEF_FCM!AN276</f>
        <v>106836</v>
      </c>
      <c r="AJ269" s="80">
        <f>+COEF_FCM!AS276</f>
        <v>5542</v>
      </c>
      <c r="AK269" s="80">
        <f>+COEF_FCM!AO276</f>
        <v>117312</v>
      </c>
      <c r="AL269" s="80">
        <f>+COEF_FCM!AT276</f>
        <v>2538.89</v>
      </c>
      <c r="AM269" s="80">
        <f>+COEF_FCM!AP276</f>
        <v>98193</v>
      </c>
      <c r="AN269" s="80">
        <f>+COEF_FCM!AU276</f>
        <v>1522</v>
      </c>
      <c r="AO269" s="80">
        <f>+COEF_FCM!AQ276</f>
        <v>477772</v>
      </c>
      <c r="AP269" s="80">
        <f>+COEF_FCM!AV276</f>
        <v>20147.89</v>
      </c>
      <c r="AQ269" s="80">
        <f>+_CIERRE!O269+_CIERRE!P269</f>
        <v>16003509.834000001</v>
      </c>
      <c r="AR269" s="80">
        <f>+_CIERRE!Q269+_CIERRE!R269</f>
        <v>17766595.429000001</v>
      </c>
      <c r="AS269" s="80">
        <f>+_CIERRE!S269+_CIERRE!T269</f>
        <v>18406572.169</v>
      </c>
      <c r="AT269" s="80">
        <f>+_CIERRE!U269+_CIERRE!V269</f>
        <v>18578756.352000002</v>
      </c>
      <c r="AU269" s="80">
        <f>+'CALC MEC ESTAB Y ESTIM M FINAL'!T274</f>
        <v>18578756</v>
      </c>
      <c r="AV269" s="560">
        <v>0</v>
      </c>
      <c r="AW269" s="551">
        <v>0</v>
      </c>
      <c r="AX269" s="551">
        <v>0</v>
      </c>
      <c r="AY269" s="551">
        <v>0</v>
      </c>
      <c r="AZ269" s="551">
        <v>1676611.537</v>
      </c>
      <c r="BA269" s="551">
        <v>1720613.1089999999</v>
      </c>
    </row>
    <row r="270" spans="1:53" ht="3" customHeight="1" x14ac:dyDescent="0.2">
      <c r="A270" s="68">
        <f>IF(LEN(+'_DATA STT PAGOS_'!M275)=4,"0"&amp;+'_DATA STT PAGOS_'!M275,+'_DATA STT PAGOS_'!M275)</f>
        <v>13112</v>
      </c>
      <c r="B270" s="68">
        <f>IF(LEN(+'_DATA STT PAGOS_'!N275)=4,"0"&amp;+'_DATA STT PAGOS_'!N275,+'_DATA STT PAGOS_'!N275)</f>
        <v>13154</v>
      </c>
      <c r="C270" s="76" t="str">
        <f>+'_DATA STT PAGOS_'!O275</f>
        <v>LA PINTANA</v>
      </c>
      <c r="D270" s="80">
        <f>+'CALC MEC ESTAB Y ESTIM M FINAL'!U275</f>
        <v>31691927</v>
      </c>
      <c r="E270" s="77">
        <f>+'CALC MEC ESTAB Y ESTIM M FINAL'!Q275</f>
        <v>1.07406571199E-2</v>
      </c>
      <c r="F270" s="77">
        <f>+'CALC MEC ESTAB Y ESTIM M FINAL'!R275</f>
        <v>4.2491490690000001E-4</v>
      </c>
      <c r="G270" s="80">
        <f>+'_Flujo con Glosa 08'!CE275</f>
        <v>1537472</v>
      </c>
      <c r="H270" s="80">
        <f>+'_Flujo con Glosa 08'!CF275</f>
        <v>1537472</v>
      </c>
      <c r="I270" s="80">
        <f>+'_Flujo con Glosa 08'!CG275</f>
        <v>1396598</v>
      </c>
      <c r="J270" s="80">
        <f>+'_Flujo con Glosa 08'!CH275</f>
        <v>1537472</v>
      </c>
      <c r="K270" s="80">
        <f>+'_Flujo con Glosa 08'!CI275</f>
        <v>4051960</v>
      </c>
      <c r="L270" s="80">
        <f>+'_Flujo con Glosa 08'!CJ275</f>
        <v>1579683</v>
      </c>
      <c r="M270" s="80">
        <f>+'_Flujo con Glosa 08'!CK275</f>
        <v>2582067</v>
      </c>
      <c r="N270" s="80">
        <f>+'_Flujo con Glosa 08'!CL275</f>
        <v>1537472</v>
      </c>
      <c r="O270" s="80">
        <f>+'_Flujo con Glosa 08'!CM275</f>
        <v>1685180</v>
      </c>
      <c r="P270" s="80">
        <f>+'_Flujo con Glosa 08'!CN275</f>
        <v>2675984</v>
      </c>
      <c r="Q270" s="80">
        <f>+'_Flujo con Glosa 08'!CO275</f>
        <v>1537472</v>
      </c>
      <c r="R270" s="80">
        <f>+'_Flujo con Glosa 08'!CP275</f>
        <v>2570348</v>
      </c>
      <c r="S270" s="80">
        <f t="shared" si="8"/>
        <v>24229180</v>
      </c>
      <c r="T270" s="80">
        <v>0</v>
      </c>
      <c r="U270" s="80">
        <v>0</v>
      </c>
      <c r="V270" s="80">
        <v>0</v>
      </c>
      <c r="W270" s="80">
        <v>0</v>
      </c>
      <c r="X270" s="80">
        <v>0</v>
      </c>
      <c r="Y270" s="80">
        <v>0</v>
      </c>
      <c r="Z270" s="80">
        <v>0</v>
      </c>
      <c r="AA270" s="80">
        <v>0</v>
      </c>
      <c r="AB270" s="80">
        <v>0</v>
      </c>
      <c r="AC270" s="80">
        <v>0</v>
      </c>
      <c r="AD270" s="80">
        <v>0</v>
      </c>
      <c r="AE270" s="80">
        <v>0</v>
      </c>
      <c r="AF270" s="80">
        <f t="shared" si="9"/>
        <v>0</v>
      </c>
      <c r="AG270" s="80">
        <f>+COEF_FCM!AM277</f>
        <v>215609</v>
      </c>
      <c r="AH270" s="80">
        <f>+COEF_FCM!AR277</f>
        <v>7941</v>
      </c>
      <c r="AI270" s="80">
        <f>+COEF_FCM!AN277</f>
        <v>124031</v>
      </c>
      <c r="AJ270" s="80">
        <f>+COEF_FCM!AS277</f>
        <v>4076</v>
      </c>
      <c r="AK270" s="80">
        <f>+COEF_FCM!AO277</f>
        <v>168272</v>
      </c>
      <c r="AL270" s="80">
        <f>+COEF_FCM!AT277</f>
        <v>5641.7979999999998</v>
      </c>
      <c r="AM270" s="80">
        <f>+COEF_FCM!AP277</f>
        <v>131967</v>
      </c>
      <c r="AN270" s="80">
        <f>+COEF_FCM!AU277</f>
        <v>4349</v>
      </c>
      <c r="AO270" s="80">
        <f>+COEF_FCM!AQ277</f>
        <v>639879</v>
      </c>
      <c r="AP270" s="80">
        <f>+COEF_FCM!AV277</f>
        <v>22007.797999999999</v>
      </c>
      <c r="AQ270" s="80">
        <f>+_CIERRE!O270+_CIERRE!P270</f>
        <v>27508918.760000002</v>
      </c>
      <c r="AR270" s="80">
        <f>+_CIERRE!Q270+_CIERRE!R270</f>
        <v>30071572.098000001</v>
      </c>
      <c r="AS270" s="80">
        <f>+_CIERRE!S270+_CIERRE!T270</f>
        <v>31398211.717</v>
      </c>
      <c r="AT270" s="80">
        <f>+_CIERRE!U270+_CIERRE!V270</f>
        <v>31691927.199999999</v>
      </c>
      <c r="AU270" s="80">
        <f>+'CALC MEC ESTAB Y ESTIM M FINAL'!T275</f>
        <v>31691927</v>
      </c>
      <c r="AV270" s="560">
        <v>0</v>
      </c>
      <c r="AW270" s="551">
        <v>0</v>
      </c>
      <c r="AX270" s="551">
        <v>0</v>
      </c>
      <c r="AY270" s="551">
        <v>0</v>
      </c>
      <c r="AZ270" s="551">
        <v>2937514.5550000002</v>
      </c>
      <c r="BA270" s="551">
        <v>2969329.4750000001</v>
      </c>
    </row>
    <row r="271" spans="1:53" ht="3" customHeight="1" x14ac:dyDescent="0.2">
      <c r="A271" s="68">
        <f>IF(LEN(+'_DATA STT PAGOS_'!M276)=4,"0"&amp;+'_DATA STT PAGOS_'!M276,+'_DATA STT PAGOS_'!M276)</f>
        <v>13113</v>
      </c>
      <c r="B271" s="68">
        <f>IF(LEN(+'_DATA STT PAGOS_'!N276)=4,"0"&amp;+'_DATA STT PAGOS_'!N276,+'_DATA STT PAGOS_'!N276)</f>
        <v>13132</v>
      </c>
      <c r="C271" s="76" t="str">
        <f>+'_DATA STT PAGOS_'!O276</f>
        <v>LA REINA</v>
      </c>
      <c r="D271" s="80">
        <f>+'CALC MEC ESTAB Y ESTIM M FINAL'!U276</f>
        <v>2703616</v>
      </c>
      <c r="E271" s="77">
        <f>+'CALC MEC ESTAB Y ESTIM M FINAL'!Q276</f>
        <v>9.6982910549999997E-4</v>
      </c>
      <c r="F271" s="77">
        <f>+'CALC MEC ESTAB Y ESTIM M FINAL'!R276</f>
        <v>-1.7301885099999998E-5</v>
      </c>
      <c r="G271" s="80">
        <f>+'_Flujo con Glosa 08'!CE276</f>
        <v>129486</v>
      </c>
      <c r="H271" s="80">
        <f>+'_Flujo con Glosa 08'!CF276</f>
        <v>129486</v>
      </c>
      <c r="I271" s="80">
        <f>+'_Flujo con Glosa 08'!CG276</f>
        <v>119143</v>
      </c>
      <c r="J271" s="80">
        <f>+'_Flujo con Glosa 08'!CH276</f>
        <v>129486</v>
      </c>
      <c r="K271" s="80">
        <f>+'_Flujo con Glosa 08'!CI276</f>
        <v>350694</v>
      </c>
      <c r="L271" s="80">
        <f>+'_Flujo con Glosa 08'!CJ276</f>
        <v>133087</v>
      </c>
      <c r="M271" s="80">
        <f>+'_Flujo con Glosa 08'!CK276</f>
        <v>217731</v>
      </c>
      <c r="N271" s="80">
        <f>+'_Flujo con Glosa 08'!CL276</f>
        <v>129486</v>
      </c>
      <c r="O271" s="80">
        <f>+'_Flujo con Glosa 08'!CM276</f>
        <v>143762</v>
      </c>
      <c r="P271" s="80">
        <f>+'_Flujo con Glosa 08'!CN276</f>
        <v>234178</v>
      </c>
      <c r="Q271" s="80">
        <f>+'_Flujo con Glosa 08'!CO276</f>
        <v>129486</v>
      </c>
      <c r="R271" s="80">
        <f>+'_Flujo con Glosa 08'!CP276</f>
        <v>220949</v>
      </c>
      <c r="S271" s="80">
        <f t="shared" si="8"/>
        <v>2066974</v>
      </c>
      <c r="T271" s="80">
        <v>0</v>
      </c>
      <c r="U271" s="80">
        <v>0</v>
      </c>
      <c r="V271" s="80">
        <v>0</v>
      </c>
      <c r="W271" s="80">
        <v>0</v>
      </c>
      <c r="X271" s="80">
        <v>0</v>
      </c>
      <c r="Y271" s="80">
        <v>0</v>
      </c>
      <c r="Z271" s="80">
        <v>0</v>
      </c>
      <c r="AA271" s="80">
        <v>0</v>
      </c>
      <c r="AB271" s="80">
        <v>0</v>
      </c>
      <c r="AC271" s="80">
        <v>0</v>
      </c>
      <c r="AD271" s="80">
        <v>0</v>
      </c>
      <c r="AE271" s="80">
        <v>0</v>
      </c>
      <c r="AF271" s="80">
        <f t="shared" si="9"/>
        <v>0</v>
      </c>
      <c r="AG271" s="80">
        <f>+COEF_FCM!AM278</f>
        <v>2457373</v>
      </c>
      <c r="AH271" s="80">
        <f>+COEF_FCM!AR278</f>
        <v>388570</v>
      </c>
      <c r="AI271" s="80">
        <f>+COEF_FCM!AN278</f>
        <v>1477172</v>
      </c>
      <c r="AJ271" s="80">
        <f>+COEF_FCM!AS278</f>
        <v>180453</v>
      </c>
      <c r="AK271" s="80">
        <f>+COEF_FCM!AO278</f>
        <v>1802635</v>
      </c>
      <c r="AL271" s="80">
        <f>+COEF_FCM!AT278</f>
        <v>252468.02600000001</v>
      </c>
      <c r="AM271" s="80">
        <f>+COEF_FCM!AP278</f>
        <v>1377133</v>
      </c>
      <c r="AN271" s="80">
        <f>+COEF_FCM!AU278</f>
        <v>168076</v>
      </c>
      <c r="AO271" s="80">
        <f>+COEF_FCM!AQ278</f>
        <v>7114313</v>
      </c>
      <c r="AP271" s="80">
        <f>+COEF_FCM!AV278</f>
        <v>989567.02600000007</v>
      </c>
      <c r="AQ271" s="80">
        <f>+_CIERRE!O271+_CIERRE!P271</f>
        <v>2047602.97</v>
      </c>
      <c r="AR271" s="80">
        <f>+_CIERRE!Q271+_CIERRE!R271</f>
        <v>2410384.2170000002</v>
      </c>
      <c r="AS271" s="80">
        <f>+_CIERRE!S271+_CIERRE!T271</f>
        <v>2637977.568</v>
      </c>
      <c r="AT271" s="80">
        <f>+_CIERRE!U271+_CIERRE!V271</f>
        <v>2662656.0830000001</v>
      </c>
      <c r="AU271" s="80">
        <f>+'CALC MEC ESTAB Y ESTIM M FINAL'!T276</f>
        <v>2703616</v>
      </c>
      <c r="AV271" s="560">
        <v>0</v>
      </c>
      <c r="AW271" s="551">
        <v>0</v>
      </c>
      <c r="AX271" s="551">
        <v>0</v>
      </c>
      <c r="AY271" s="551">
        <v>0</v>
      </c>
      <c r="AZ271" s="551">
        <v>0</v>
      </c>
      <c r="BA271" s="551">
        <v>0</v>
      </c>
    </row>
    <row r="272" spans="1:53" ht="3" customHeight="1" x14ac:dyDescent="0.2">
      <c r="A272" s="68">
        <f>IF(LEN(+'_DATA STT PAGOS_'!M277)=4,"0"&amp;+'_DATA STT PAGOS_'!M277,+'_DATA STT PAGOS_'!M277)</f>
        <v>13114</v>
      </c>
      <c r="B272" s="68">
        <f>IF(LEN(+'_DATA STT PAGOS_'!N277)=4,"0"&amp;+'_DATA STT PAGOS_'!N277,+'_DATA STT PAGOS_'!N277)</f>
        <v>13108</v>
      </c>
      <c r="C272" s="76" t="str">
        <f>+'_DATA STT PAGOS_'!O277</f>
        <v>LAS CONDES</v>
      </c>
      <c r="D272" s="80">
        <f>+'CALC MEC ESTAB Y ESTIM M FINAL'!U277</f>
        <v>5333099</v>
      </c>
      <c r="E272" s="77">
        <f>+'CALC MEC ESTAB Y ESTIM M FINAL'!Q277</f>
        <v>1.0351035371E-3</v>
      </c>
      <c r="F272" s="77">
        <f>+'CALC MEC ESTAB Y ESTIM M FINAL'!R277</f>
        <v>8.4383233910000001E-4</v>
      </c>
      <c r="G272" s="80">
        <f>+'_Flujo con Glosa 08'!CE277</f>
        <v>154922</v>
      </c>
      <c r="H272" s="80">
        <f>+'_Flujo con Glosa 08'!CF277</f>
        <v>82382</v>
      </c>
      <c r="I272" s="80">
        <f>+'_Flujo con Glosa 08'!CG277</f>
        <v>235019</v>
      </c>
      <c r="J272" s="80">
        <f>+'_Flujo con Glosa 08'!CH277</f>
        <v>124791</v>
      </c>
      <c r="K272" s="80">
        <f>+'_Flujo con Glosa 08'!CI277</f>
        <v>1095940</v>
      </c>
      <c r="L272" s="80">
        <f>+'_Flujo con Glosa 08'!CJ277</f>
        <v>222195</v>
      </c>
      <c r="M272" s="80">
        <f>+'_Flujo con Glosa 08'!CK277</f>
        <v>469074</v>
      </c>
      <c r="N272" s="80">
        <f>+'_Flujo con Glosa 08'!CL277</f>
        <v>141231</v>
      </c>
      <c r="O272" s="80">
        <f>+'_Flujo con Glosa 08'!CM277</f>
        <v>283581</v>
      </c>
      <c r="P272" s="80">
        <f>+'_Flujo con Glosa 08'!CN277</f>
        <v>576873</v>
      </c>
      <c r="Q272" s="80">
        <f>+'_Flujo con Glosa 08'!CO277</f>
        <v>214102</v>
      </c>
      <c r="R272" s="80">
        <f>+'_Flujo con Glosa 08'!CP277</f>
        <v>477159</v>
      </c>
      <c r="S272" s="80">
        <f t="shared" si="8"/>
        <v>4077269</v>
      </c>
      <c r="T272" s="80">
        <v>0</v>
      </c>
      <c r="U272" s="80">
        <v>0</v>
      </c>
      <c r="V272" s="80">
        <v>0</v>
      </c>
      <c r="W272" s="80">
        <v>0</v>
      </c>
      <c r="X272" s="80">
        <v>0</v>
      </c>
      <c r="Y272" s="80">
        <v>0</v>
      </c>
      <c r="Z272" s="80">
        <v>0</v>
      </c>
      <c r="AA272" s="80">
        <v>0</v>
      </c>
      <c r="AB272" s="80">
        <v>0</v>
      </c>
      <c r="AC272" s="80">
        <v>0</v>
      </c>
      <c r="AD272" s="80">
        <v>0</v>
      </c>
      <c r="AE272" s="80">
        <v>0</v>
      </c>
      <c r="AF272" s="80">
        <f t="shared" si="9"/>
        <v>0</v>
      </c>
      <c r="AG272" s="80">
        <f>+COEF_FCM!AM279</f>
        <v>16868481</v>
      </c>
      <c r="AH272" s="80">
        <f>+COEF_FCM!AR279</f>
        <v>2217662</v>
      </c>
      <c r="AI272" s="80">
        <f>+COEF_FCM!AN279</f>
        <v>10518160</v>
      </c>
      <c r="AJ272" s="80">
        <f>+COEF_FCM!AS279</f>
        <v>1029314</v>
      </c>
      <c r="AK272" s="80">
        <f>+COEF_FCM!AO279</f>
        <v>12729458</v>
      </c>
      <c r="AL272" s="80">
        <f>+COEF_FCM!AT279</f>
        <v>1401373.8049999999</v>
      </c>
      <c r="AM272" s="80">
        <f>+COEF_FCM!AP279</f>
        <v>9660430</v>
      </c>
      <c r="AN272" s="80">
        <f>+COEF_FCM!AU279</f>
        <v>955594</v>
      </c>
      <c r="AO272" s="80">
        <f>+COEF_FCM!AQ279</f>
        <v>49776529</v>
      </c>
      <c r="AP272" s="80">
        <f>+COEF_FCM!AV279</f>
        <v>5603943.8049999997</v>
      </c>
      <c r="AQ272" s="80">
        <f>+_CIERRE!O272+_CIERRE!P272</f>
        <v>4713200.3830000004</v>
      </c>
      <c r="AR272" s="80">
        <f>+_CIERRE!Q272+_CIERRE!R272</f>
        <v>5109961.9819999998</v>
      </c>
      <c r="AS272" s="80">
        <f>+_CIERRE!S272+_CIERRE!T272</f>
        <v>5283672.3990000002</v>
      </c>
      <c r="AT272" s="80">
        <f>+_CIERRE!U272+_CIERRE!V272</f>
        <v>5333098.5159999998</v>
      </c>
      <c r="AU272" s="80">
        <f>+'CALC MEC ESTAB Y ESTIM M FINAL'!T277</f>
        <v>5333099</v>
      </c>
      <c r="AV272" s="560">
        <v>0</v>
      </c>
      <c r="AW272" s="551">
        <v>0</v>
      </c>
      <c r="AX272" s="551">
        <v>0</v>
      </c>
      <c r="AY272" s="551">
        <v>0</v>
      </c>
      <c r="AZ272" s="551">
        <v>0</v>
      </c>
      <c r="BA272" s="551">
        <v>0</v>
      </c>
    </row>
    <row r="273" spans="1:53" ht="3" customHeight="1" x14ac:dyDescent="0.2">
      <c r="A273" s="68">
        <f>IF(LEN(+'_DATA STT PAGOS_'!M278)=4,"0"&amp;+'_DATA STT PAGOS_'!M278,+'_DATA STT PAGOS_'!M278)</f>
        <v>13115</v>
      </c>
      <c r="B273" s="68">
        <f>IF(LEN(+'_DATA STT PAGOS_'!N278)=4,"0"&amp;+'_DATA STT PAGOS_'!N278,+'_DATA STT PAGOS_'!N278)</f>
        <v>13161</v>
      </c>
      <c r="C273" s="76" t="str">
        <f>+'_DATA STT PAGOS_'!O278</f>
        <v>LO BARNECHEA</v>
      </c>
      <c r="D273" s="80">
        <f>+'CALC MEC ESTAB Y ESTIM M FINAL'!U278</f>
        <v>2729398</v>
      </c>
      <c r="E273" s="77">
        <f>+'CALC MEC ESTAB Y ESTIM M FINAL'!Q278</f>
        <v>8.5706227579999993E-4</v>
      </c>
      <c r="F273" s="77">
        <f>+'CALC MEC ESTAB Y ESTIM M FINAL'!R278</f>
        <v>1.045483557E-4</v>
      </c>
      <c r="G273" s="80">
        <f>+'_Flujo con Glosa 08'!CE278</f>
        <v>132711</v>
      </c>
      <c r="H273" s="80">
        <f>+'_Flujo con Glosa 08'!CF278</f>
        <v>132711</v>
      </c>
      <c r="I273" s="80">
        <f>+'_Flujo con Glosa 08'!CG278</f>
        <v>120279</v>
      </c>
      <c r="J273" s="80">
        <f>+'_Flujo con Glosa 08'!CH278</f>
        <v>132711</v>
      </c>
      <c r="K273" s="80">
        <f>+'_Flujo con Glosa 08'!CI278</f>
        <v>348067</v>
      </c>
      <c r="L273" s="80">
        <f>+'_Flujo con Glosa 08'!CJ278</f>
        <v>136346</v>
      </c>
      <c r="M273" s="80">
        <f>+'_Flujo con Glosa 08'!CK278</f>
        <v>222830</v>
      </c>
      <c r="N273" s="80">
        <f>+'_Flujo con Glosa 08'!CL278</f>
        <v>132711</v>
      </c>
      <c r="O273" s="80">
        <f>+'_Flujo con Glosa 08'!CM278</f>
        <v>145133</v>
      </c>
      <c r="P273" s="80">
        <f>+'_Flujo con Glosa 08'!CN278</f>
        <v>229409</v>
      </c>
      <c r="Q273" s="80">
        <f>+'_Flujo con Glosa 08'!CO278</f>
        <v>132711</v>
      </c>
      <c r="R273" s="80">
        <f>+'_Flujo con Glosa 08'!CP278</f>
        <v>221066</v>
      </c>
      <c r="S273" s="80">
        <f t="shared" si="8"/>
        <v>2086685</v>
      </c>
      <c r="T273" s="80">
        <v>0</v>
      </c>
      <c r="U273" s="80">
        <v>0</v>
      </c>
      <c r="V273" s="80">
        <v>0</v>
      </c>
      <c r="W273" s="80">
        <v>0</v>
      </c>
      <c r="X273" s="80">
        <v>0</v>
      </c>
      <c r="Y273" s="80">
        <v>0</v>
      </c>
      <c r="Z273" s="80">
        <v>0</v>
      </c>
      <c r="AA273" s="80">
        <v>0</v>
      </c>
      <c r="AB273" s="80">
        <v>0</v>
      </c>
      <c r="AC273" s="80">
        <v>0</v>
      </c>
      <c r="AD273" s="80">
        <v>0</v>
      </c>
      <c r="AE273" s="80">
        <v>0</v>
      </c>
      <c r="AF273" s="80">
        <f t="shared" si="9"/>
        <v>0</v>
      </c>
      <c r="AG273" s="80">
        <f>+COEF_FCM!AM280</f>
        <v>8646254</v>
      </c>
      <c r="AH273" s="80">
        <f>+COEF_FCM!AR280</f>
        <v>618506</v>
      </c>
      <c r="AI273" s="80">
        <f>+COEF_FCM!AN280</f>
        <v>5526267</v>
      </c>
      <c r="AJ273" s="80">
        <f>+COEF_FCM!AS280</f>
        <v>337645</v>
      </c>
      <c r="AK273" s="80">
        <f>+COEF_FCM!AO280</f>
        <v>6563078</v>
      </c>
      <c r="AL273" s="80">
        <f>+COEF_FCM!AT280</f>
        <v>424797.87900000002</v>
      </c>
      <c r="AM273" s="80">
        <f>+COEF_FCM!AP280</f>
        <v>5378914</v>
      </c>
      <c r="AN273" s="80">
        <f>+COEF_FCM!AU280</f>
        <v>322131</v>
      </c>
      <c r="AO273" s="80">
        <f>+COEF_FCM!AQ280</f>
        <v>26114513</v>
      </c>
      <c r="AP273" s="80">
        <f>+COEF_FCM!AV280</f>
        <v>1703079.879</v>
      </c>
      <c r="AQ273" s="80">
        <f>+_CIERRE!O273+_CIERRE!P273</f>
        <v>2192779.895</v>
      </c>
      <c r="AR273" s="80">
        <f>+_CIERRE!Q273+_CIERRE!R273</f>
        <v>2494378.4049999998</v>
      </c>
      <c r="AS273" s="80">
        <f>+_CIERRE!S273+_CIERRE!T273</f>
        <v>2704102.4939999999</v>
      </c>
      <c r="AT273" s="80">
        <f>+_CIERRE!U273+_CIERRE!V273</f>
        <v>2729398.2969999998</v>
      </c>
      <c r="AU273" s="80">
        <f>+'CALC MEC ESTAB Y ESTIM M FINAL'!T278</f>
        <v>2729398</v>
      </c>
      <c r="AV273" s="560">
        <v>0</v>
      </c>
      <c r="AW273" s="551">
        <v>0</v>
      </c>
      <c r="AX273" s="551">
        <v>0</v>
      </c>
      <c r="AY273" s="551">
        <v>0</v>
      </c>
      <c r="AZ273" s="551">
        <v>0</v>
      </c>
      <c r="BA273" s="551">
        <v>0</v>
      </c>
    </row>
    <row r="274" spans="1:53" ht="3" customHeight="1" x14ac:dyDescent="0.2">
      <c r="A274" s="68">
        <f>IF(LEN(+'_DATA STT PAGOS_'!M279)=4,"0"&amp;+'_DATA STT PAGOS_'!M279,+'_DATA STT PAGOS_'!M279)</f>
        <v>13116</v>
      </c>
      <c r="B274" s="68">
        <f>IF(LEN(+'_DATA STT PAGOS_'!N279)=4,"0"&amp;+'_DATA STT PAGOS_'!N279,+'_DATA STT PAGOS_'!N279)</f>
        <v>13164</v>
      </c>
      <c r="C274" s="76" t="str">
        <f>+'_DATA STT PAGOS_'!O279</f>
        <v>LO ESPEJO</v>
      </c>
      <c r="D274" s="80">
        <f>+'CALC MEC ESTAB Y ESTIM M FINAL'!U279</f>
        <v>15407284</v>
      </c>
      <c r="E274" s="77">
        <f>+'CALC MEC ESTAB Y ESTIM M FINAL'!Q279</f>
        <v>5.4402377590000005E-3</v>
      </c>
      <c r="F274" s="77">
        <f>+'CALC MEC ESTAB Y ESTIM M FINAL'!R279</f>
        <v>-1.2005519100000001E-5</v>
      </c>
      <c r="G274" s="80">
        <f>+'_Flujo con Glosa 08'!CE279</f>
        <v>746076</v>
      </c>
      <c r="H274" s="80">
        <f>+'_Flujo con Glosa 08'!CF279</f>
        <v>746076</v>
      </c>
      <c r="I274" s="80">
        <f>+'_Flujo con Glosa 08'!CG279</f>
        <v>678967</v>
      </c>
      <c r="J274" s="80">
        <f>+'_Flujo con Glosa 08'!CH279</f>
        <v>746076</v>
      </c>
      <c r="K274" s="80">
        <f>+'_Flujo con Glosa 08'!CI279</f>
        <v>1974027</v>
      </c>
      <c r="L274" s="80">
        <f>+'_Flujo con Glosa 08'!CJ279</f>
        <v>766597</v>
      </c>
      <c r="M274" s="80">
        <f>+'_Flujo con Glosa 08'!CK279</f>
        <v>1253198</v>
      </c>
      <c r="N274" s="80">
        <f>+'_Flujo con Glosa 08'!CL279</f>
        <v>746076</v>
      </c>
      <c r="O274" s="80">
        <f>+'_Flujo con Glosa 08'!CM279</f>
        <v>819264</v>
      </c>
      <c r="P274" s="80">
        <f>+'_Flujo con Glosa 08'!CN279</f>
        <v>1305804</v>
      </c>
      <c r="Q274" s="80">
        <f>+'_Flujo con Glosa 08'!CO279</f>
        <v>746076</v>
      </c>
      <c r="R274" s="80">
        <f>+'_Flujo con Glosa 08'!CP279</f>
        <v>1250973</v>
      </c>
      <c r="S274" s="80">
        <f t="shared" si="8"/>
        <v>11779210</v>
      </c>
      <c r="T274" s="80">
        <v>0</v>
      </c>
      <c r="U274" s="80">
        <v>0</v>
      </c>
      <c r="V274" s="80">
        <v>0</v>
      </c>
      <c r="W274" s="80">
        <v>0</v>
      </c>
      <c r="X274" s="80">
        <v>0</v>
      </c>
      <c r="Y274" s="80">
        <v>0</v>
      </c>
      <c r="Z274" s="80">
        <v>0</v>
      </c>
      <c r="AA274" s="80">
        <v>0</v>
      </c>
      <c r="AB274" s="80">
        <v>0</v>
      </c>
      <c r="AC274" s="80">
        <v>0</v>
      </c>
      <c r="AD274" s="80">
        <v>0</v>
      </c>
      <c r="AE274" s="80">
        <v>0</v>
      </c>
      <c r="AF274" s="80">
        <f t="shared" si="9"/>
        <v>0</v>
      </c>
      <c r="AG274" s="80">
        <f>+COEF_FCM!AM281</f>
        <v>86220</v>
      </c>
      <c r="AH274" s="80">
        <f>+COEF_FCM!AR281</f>
        <v>2115</v>
      </c>
      <c r="AI274" s="80">
        <f>+COEF_FCM!AN281</f>
        <v>60101</v>
      </c>
      <c r="AJ274" s="80">
        <f>+COEF_FCM!AS281</f>
        <v>1103</v>
      </c>
      <c r="AK274" s="80">
        <f>+COEF_FCM!AO281</f>
        <v>73435</v>
      </c>
      <c r="AL274" s="80">
        <f>+COEF_FCM!AT281</f>
        <v>1467.779</v>
      </c>
      <c r="AM274" s="80">
        <f>+COEF_FCM!AP281</f>
        <v>59821</v>
      </c>
      <c r="AN274" s="80">
        <f>+COEF_FCM!AU281</f>
        <v>1170</v>
      </c>
      <c r="AO274" s="80">
        <f>+COEF_FCM!AQ281</f>
        <v>279577</v>
      </c>
      <c r="AP274" s="80">
        <f>+COEF_FCM!AV281</f>
        <v>5855.7790000000005</v>
      </c>
      <c r="AQ274" s="80">
        <f>+_CIERRE!O274+_CIERRE!P274</f>
        <v>13228551.788000001</v>
      </c>
      <c r="AR274" s="80">
        <f>+_CIERRE!Q274+_CIERRE!R274</f>
        <v>14735411.354</v>
      </c>
      <c r="AS274" s="80">
        <f>+_CIERRE!S274+_CIERRE!T274</f>
        <v>15236332.535</v>
      </c>
      <c r="AT274" s="80">
        <f>+_CIERRE!U274+_CIERRE!V274</f>
        <v>15378861.823999999</v>
      </c>
      <c r="AU274" s="80">
        <f>+'CALC MEC ESTAB Y ESTIM M FINAL'!T279</f>
        <v>15407284</v>
      </c>
      <c r="AV274" s="560">
        <v>0</v>
      </c>
      <c r="AW274" s="551">
        <v>0</v>
      </c>
      <c r="AX274" s="551">
        <v>0</v>
      </c>
      <c r="AY274" s="551">
        <v>0</v>
      </c>
      <c r="AZ274" s="551">
        <v>1426923.2660000001</v>
      </c>
      <c r="BA274" s="551">
        <v>1537594.8119999999</v>
      </c>
    </row>
    <row r="275" spans="1:53" ht="3" customHeight="1" x14ac:dyDescent="0.2">
      <c r="A275" s="68">
        <f>IF(LEN(+'_DATA STT PAGOS_'!M280)=4,"0"&amp;+'_DATA STT PAGOS_'!M280,+'_DATA STT PAGOS_'!M280)</f>
        <v>13117</v>
      </c>
      <c r="B275" s="68">
        <f>IF(LEN(+'_DATA STT PAGOS_'!N280)=4,"0"&amp;+'_DATA STT PAGOS_'!N280,+'_DATA STT PAGOS_'!N280)</f>
        <v>13155</v>
      </c>
      <c r="C275" s="76" t="str">
        <f>+'_DATA STT PAGOS_'!O280</f>
        <v>LO PRADO</v>
      </c>
      <c r="D275" s="80">
        <f>+'CALC MEC ESTAB Y ESTIM M FINAL'!U280</f>
        <v>16804880</v>
      </c>
      <c r="E275" s="77">
        <f>+'CALC MEC ESTAB Y ESTIM M FINAL'!Q280</f>
        <v>5.6278162098000002E-3</v>
      </c>
      <c r="F275" s="77">
        <f>+'CALC MEC ESTAB Y ESTIM M FINAL'!R280</f>
        <v>2.928115667E-4</v>
      </c>
      <c r="G275" s="80">
        <f>+'_Flujo con Glosa 08'!CE280</f>
        <v>815256</v>
      </c>
      <c r="H275" s="80">
        <f>+'_Flujo con Glosa 08'!CF280</f>
        <v>815256</v>
      </c>
      <c r="I275" s="80">
        <f>+'_Flujo con Glosa 08'!CG280</f>
        <v>740556</v>
      </c>
      <c r="J275" s="80">
        <f>+'_Flujo con Glosa 08'!CH280</f>
        <v>815256</v>
      </c>
      <c r="K275" s="80">
        <f>+'_Flujo con Glosa 08'!CI280</f>
        <v>2148582</v>
      </c>
      <c r="L275" s="80">
        <f>+'_Flujo con Glosa 08'!CJ280</f>
        <v>837639</v>
      </c>
      <c r="M275" s="80">
        <f>+'_Flujo con Glosa 08'!CK280</f>
        <v>1369161</v>
      </c>
      <c r="N275" s="80">
        <f>+'_Flujo con Glosa 08'!CL280</f>
        <v>815256</v>
      </c>
      <c r="O275" s="80">
        <f>+'_Flujo con Glosa 08'!CM280</f>
        <v>893580</v>
      </c>
      <c r="P275" s="80">
        <f>+'_Flujo con Glosa 08'!CN280</f>
        <v>1418961</v>
      </c>
      <c r="Q275" s="80">
        <f>+'_Flujo con Glosa 08'!CO280</f>
        <v>815256</v>
      </c>
      <c r="R275" s="80">
        <f>+'_Flujo con Glosa 08'!CP280</f>
        <v>1362946</v>
      </c>
      <c r="S275" s="80">
        <f t="shared" si="8"/>
        <v>12847705</v>
      </c>
      <c r="T275" s="80">
        <v>0</v>
      </c>
      <c r="U275" s="80">
        <v>0</v>
      </c>
      <c r="V275" s="80">
        <v>0</v>
      </c>
      <c r="W275" s="80">
        <v>0</v>
      </c>
      <c r="X275" s="80">
        <v>0</v>
      </c>
      <c r="Y275" s="80">
        <v>0</v>
      </c>
      <c r="Z275" s="80">
        <v>0</v>
      </c>
      <c r="AA275" s="80">
        <v>0</v>
      </c>
      <c r="AB275" s="80">
        <v>0</v>
      </c>
      <c r="AC275" s="80">
        <v>0</v>
      </c>
      <c r="AD275" s="80">
        <v>0</v>
      </c>
      <c r="AE275" s="80">
        <v>0</v>
      </c>
      <c r="AF275" s="80">
        <f t="shared" si="9"/>
        <v>0</v>
      </c>
      <c r="AG275" s="80">
        <f>+COEF_FCM!AM282</f>
        <v>95686</v>
      </c>
      <c r="AH275" s="80">
        <f>+COEF_FCM!AR282</f>
        <v>5835</v>
      </c>
      <c r="AI275" s="80">
        <f>+COEF_FCM!AN282</f>
        <v>79618</v>
      </c>
      <c r="AJ275" s="80">
        <f>+COEF_FCM!AS282</f>
        <v>2616</v>
      </c>
      <c r="AK275" s="80">
        <f>+COEF_FCM!AO282</f>
        <v>93918</v>
      </c>
      <c r="AL275" s="80">
        <f>+COEF_FCM!AT282</f>
        <v>2794.1030000000001</v>
      </c>
      <c r="AM275" s="80">
        <f>+COEF_FCM!AP282</f>
        <v>82440</v>
      </c>
      <c r="AN275" s="80">
        <f>+COEF_FCM!AU282</f>
        <v>2271</v>
      </c>
      <c r="AO275" s="80">
        <f>+COEF_FCM!AQ282</f>
        <v>351662</v>
      </c>
      <c r="AP275" s="80">
        <f>+COEF_FCM!AV282</f>
        <v>13516.102999999999</v>
      </c>
      <c r="AQ275" s="80">
        <f>+_CIERRE!O275+_CIERRE!P275</f>
        <v>13078339.509</v>
      </c>
      <c r="AR275" s="80">
        <f>+_CIERRE!Q275+_CIERRE!R275</f>
        <v>15574204.368000001</v>
      </c>
      <c r="AS275" s="80">
        <f>+_CIERRE!S275+_CIERRE!T275</f>
        <v>16649135.627</v>
      </c>
      <c r="AT275" s="80">
        <f>+_CIERRE!U275+_CIERRE!V275</f>
        <v>16804880.283</v>
      </c>
      <c r="AU275" s="80">
        <f>+'CALC MEC ESTAB Y ESTIM M FINAL'!T280</f>
        <v>16804880</v>
      </c>
      <c r="AV275" s="560">
        <v>0</v>
      </c>
      <c r="AW275" s="551">
        <v>0</v>
      </c>
      <c r="AX275" s="551">
        <v>0</v>
      </c>
      <c r="AY275" s="551">
        <v>0</v>
      </c>
      <c r="AZ275" s="551">
        <v>1569166.696</v>
      </c>
      <c r="BA275" s="551">
        <v>1619485.0079999999</v>
      </c>
    </row>
    <row r="276" spans="1:53" ht="3" customHeight="1" x14ac:dyDescent="0.2">
      <c r="A276" s="68">
        <f>IF(LEN(+'_DATA STT PAGOS_'!M281)=4,"0"&amp;+'_DATA STT PAGOS_'!M281,+'_DATA STT PAGOS_'!M281)</f>
        <v>13118</v>
      </c>
      <c r="B276" s="68">
        <f>IF(LEN(+'_DATA STT PAGOS_'!N281)=4,"0"&amp;+'_DATA STT PAGOS_'!N281,+'_DATA STT PAGOS_'!N281)</f>
        <v>13151</v>
      </c>
      <c r="C276" s="76" t="str">
        <f>+'_DATA STT PAGOS_'!O281</f>
        <v>MACUL</v>
      </c>
      <c r="D276" s="80">
        <f>+'CALC MEC ESTAB Y ESTIM M FINAL'!U281</f>
        <v>6160781</v>
      </c>
      <c r="E276" s="77">
        <f>+'CALC MEC ESTAB Y ESTIM M FINAL'!Q281</f>
        <v>2.2530258258999999E-3</v>
      </c>
      <c r="F276" s="77">
        <f>+'CALC MEC ESTAB Y ESTIM M FINAL'!R281</f>
        <v>-8.2484215600000003E-5</v>
      </c>
      <c r="G276" s="80">
        <f>+'_Flujo con Glosa 08'!CE281</f>
        <v>289673</v>
      </c>
      <c r="H276" s="80">
        <f>+'_Flujo con Glosa 08'!CF281</f>
        <v>289673</v>
      </c>
      <c r="I276" s="80">
        <f>+'_Flujo con Glosa 08'!CG281</f>
        <v>271493</v>
      </c>
      <c r="J276" s="80">
        <f>+'_Flujo con Glosa 08'!CH281</f>
        <v>289673</v>
      </c>
      <c r="K276" s="80">
        <f>+'_Flujo con Glosa 08'!CI281</f>
        <v>815300</v>
      </c>
      <c r="L276" s="80">
        <f>+'_Flujo con Glosa 08'!CJ281</f>
        <v>297879</v>
      </c>
      <c r="M276" s="80">
        <f>+'_Flujo con Glosa 08'!CK281</f>
        <v>500674</v>
      </c>
      <c r="N276" s="80">
        <f>+'_Flujo con Glosa 08'!CL281</f>
        <v>289673</v>
      </c>
      <c r="O276" s="80">
        <f>+'_Flujo con Glosa 08'!CM281</f>
        <v>327592</v>
      </c>
      <c r="P276" s="80">
        <f>+'_Flujo con Glosa 08'!CN281</f>
        <v>539880</v>
      </c>
      <c r="Q276" s="80">
        <f>+'_Flujo con Glosa 08'!CO281</f>
        <v>289673</v>
      </c>
      <c r="R276" s="80">
        <f>+'_Flujo con Glosa 08'!CP281</f>
        <v>508870</v>
      </c>
      <c r="S276" s="80">
        <f t="shared" si="8"/>
        <v>4710053</v>
      </c>
      <c r="T276" s="80">
        <v>0</v>
      </c>
      <c r="U276" s="80">
        <v>0</v>
      </c>
      <c r="V276" s="80">
        <v>0</v>
      </c>
      <c r="W276" s="80">
        <v>0</v>
      </c>
      <c r="X276" s="80">
        <v>0</v>
      </c>
      <c r="Y276" s="80">
        <v>0</v>
      </c>
      <c r="Z276" s="80">
        <v>0</v>
      </c>
      <c r="AA276" s="80">
        <v>0</v>
      </c>
      <c r="AB276" s="80">
        <v>0</v>
      </c>
      <c r="AC276" s="80">
        <v>0</v>
      </c>
      <c r="AD276" s="80">
        <v>0</v>
      </c>
      <c r="AE276" s="80">
        <v>0</v>
      </c>
      <c r="AF276" s="80">
        <f t="shared" si="9"/>
        <v>0</v>
      </c>
      <c r="AG276" s="80">
        <f>+COEF_FCM!AM283</f>
        <v>969313</v>
      </c>
      <c r="AH276" s="80">
        <f>+COEF_FCM!AR283</f>
        <v>159203</v>
      </c>
      <c r="AI276" s="80">
        <f>+COEF_FCM!AN283</f>
        <v>606506</v>
      </c>
      <c r="AJ276" s="80">
        <f>+COEF_FCM!AS283</f>
        <v>60410</v>
      </c>
      <c r="AK276" s="80">
        <f>+COEF_FCM!AO283</f>
        <v>655066</v>
      </c>
      <c r="AL276" s="80">
        <f>+COEF_FCM!AT283</f>
        <v>85587.442999999999</v>
      </c>
      <c r="AM276" s="80">
        <f>+COEF_FCM!AP283</f>
        <v>580738</v>
      </c>
      <c r="AN276" s="80">
        <f>+COEF_FCM!AU283</f>
        <v>57174</v>
      </c>
      <c r="AO276" s="80">
        <f>+COEF_FCM!AQ283</f>
        <v>2811623</v>
      </c>
      <c r="AP276" s="80">
        <f>+COEF_FCM!AV283</f>
        <v>362374.44299999997</v>
      </c>
      <c r="AQ276" s="80">
        <f>+_CIERRE!O276+_CIERRE!P276</f>
        <v>4854623.1940000001</v>
      </c>
      <c r="AR276" s="80">
        <f>+_CIERRE!Q276+_CIERRE!R276</f>
        <v>5523187.7949999999</v>
      </c>
      <c r="AS276" s="80">
        <f>+_CIERRE!S276+_CIERRE!T276</f>
        <v>5822268.892</v>
      </c>
      <c r="AT276" s="80">
        <f>+_CIERRE!U276+_CIERRE!V276</f>
        <v>5965511.3470000001</v>
      </c>
      <c r="AU276" s="80">
        <f>+'CALC MEC ESTAB Y ESTIM M FINAL'!T281</f>
        <v>6160781</v>
      </c>
      <c r="AV276" s="560">
        <v>0</v>
      </c>
      <c r="AW276" s="551">
        <v>0</v>
      </c>
      <c r="AX276" s="551">
        <v>0</v>
      </c>
      <c r="AY276" s="551">
        <v>0</v>
      </c>
      <c r="AZ276" s="551">
        <v>0</v>
      </c>
      <c r="BA276" s="551">
        <v>0</v>
      </c>
    </row>
    <row r="277" spans="1:53" ht="3" customHeight="1" x14ac:dyDescent="0.2">
      <c r="A277" s="68">
        <f>IF(LEN(+'_DATA STT PAGOS_'!M282)=4,"0"&amp;+'_DATA STT PAGOS_'!M282,+'_DATA STT PAGOS_'!M282)</f>
        <v>13119</v>
      </c>
      <c r="B277" s="68">
        <f>IF(LEN(+'_DATA STT PAGOS_'!N282)=4,"0"&amp;+'_DATA STT PAGOS_'!N282,+'_DATA STT PAGOS_'!N282)</f>
        <v>13109</v>
      </c>
      <c r="C277" s="76" t="str">
        <f>+'_DATA STT PAGOS_'!O282</f>
        <v>MAIPÚ</v>
      </c>
      <c r="D277" s="80">
        <f>+'CALC MEC ESTAB Y ESTIM M FINAL'!U282</f>
        <v>70750850</v>
      </c>
      <c r="E277" s="77">
        <f>+'CALC MEC ESTAB Y ESTIM M FINAL'!Q282</f>
        <v>1.6760194407199999E-2</v>
      </c>
      <c r="F277" s="77">
        <f>+'CALC MEC ESTAB Y ESTIM M FINAL'!R282</f>
        <v>8.1664601793000006E-3</v>
      </c>
      <c r="G277" s="80">
        <f>+'_Flujo con Glosa 08'!CE282</f>
        <v>3432340</v>
      </c>
      <c r="H277" s="80">
        <f>+'_Flujo con Glosa 08'!CF282</f>
        <v>3432340</v>
      </c>
      <c r="I277" s="80">
        <f>+'_Flujo con Glosa 08'!CG282</f>
        <v>3117843</v>
      </c>
      <c r="J277" s="80">
        <f>+'_Flujo con Glosa 08'!CH282</f>
        <v>3432340</v>
      </c>
      <c r="K277" s="80">
        <f>+'_Flujo con Glosa 08'!CI282</f>
        <v>9045819</v>
      </c>
      <c r="L277" s="80">
        <f>+'_Flujo con Glosa 08'!CJ282</f>
        <v>3526574</v>
      </c>
      <c r="M277" s="80">
        <f>+'_Flujo con Glosa 08'!CK282</f>
        <v>5764353</v>
      </c>
      <c r="N277" s="80">
        <f>+'_Flujo con Glosa 08'!CL282</f>
        <v>3432340</v>
      </c>
      <c r="O277" s="80">
        <f>+'_Flujo con Glosa 08'!CM282</f>
        <v>3762092</v>
      </c>
      <c r="P277" s="80">
        <f>+'_Flujo con Glosa 08'!CN282</f>
        <v>5974017</v>
      </c>
      <c r="Q277" s="80">
        <f>+'_Flujo con Glosa 08'!CO282</f>
        <v>3432340</v>
      </c>
      <c r="R277" s="80">
        <f>+'_Flujo con Glosa 08'!CP282</f>
        <v>5738190</v>
      </c>
      <c r="S277" s="80">
        <f t="shared" si="8"/>
        <v>54090588</v>
      </c>
      <c r="T277" s="80">
        <v>0</v>
      </c>
      <c r="U277" s="80">
        <v>0</v>
      </c>
      <c r="V277" s="80">
        <v>0</v>
      </c>
      <c r="W277" s="80">
        <v>0</v>
      </c>
      <c r="X277" s="80">
        <v>0</v>
      </c>
      <c r="Y277" s="80">
        <v>0</v>
      </c>
      <c r="Z277" s="80">
        <v>0</v>
      </c>
      <c r="AA277" s="80">
        <v>0</v>
      </c>
      <c r="AB277" s="80">
        <v>0</v>
      </c>
      <c r="AC277" s="80">
        <v>0</v>
      </c>
      <c r="AD277" s="80">
        <v>0</v>
      </c>
      <c r="AE277" s="80">
        <v>0</v>
      </c>
      <c r="AF277" s="80">
        <f t="shared" si="9"/>
        <v>0</v>
      </c>
      <c r="AG277" s="80">
        <f>+COEF_FCM!AM284</f>
        <v>2501831</v>
      </c>
      <c r="AH277" s="80">
        <f>+COEF_FCM!AR284</f>
        <v>258431</v>
      </c>
      <c r="AI277" s="80">
        <f>+COEF_FCM!AN284</f>
        <v>2004639</v>
      </c>
      <c r="AJ277" s="80">
        <f>+COEF_FCM!AS284</f>
        <v>106056</v>
      </c>
      <c r="AK277" s="80">
        <f>+COEF_FCM!AO284</f>
        <v>2174064</v>
      </c>
      <c r="AL277" s="80">
        <f>+COEF_FCM!AT284</f>
        <v>145796.13699999999</v>
      </c>
      <c r="AM277" s="80">
        <f>+COEF_FCM!AP284</f>
        <v>1833022</v>
      </c>
      <c r="AN277" s="80">
        <f>+COEF_FCM!AU284</f>
        <v>97093</v>
      </c>
      <c r="AO277" s="80">
        <f>+COEF_FCM!AQ284</f>
        <v>8513556</v>
      </c>
      <c r="AP277" s="80">
        <f>+COEF_FCM!AV284</f>
        <v>607376.13699999999</v>
      </c>
      <c r="AQ277" s="80">
        <f>+_CIERRE!O277+_CIERRE!P277</f>
        <v>62527055.288999997</v>
      </c>
      <c r="AR277" s="80">
        <f>+_CIERRE!Q277+_CIERRE!R277</f>
        <v>67790642.952999994</v>
      </c>
      <c r="AS277" s="80">
        <f>+_CIERRE!S277+_CIERRE!T277</f>
        <v>70095143.068000004</v>
      </c>
      <c r="AT277" s="80">
        <f>+_CIERRE!U277+_CIERRE!V277</f>
        <v>70750849.709999993</v>
      </c>
      <c r="AU277" s="80">
        <f>+'CALC MEC ESTAB Y ESTIM M FINAL'!T282</f>
        <v>70750850</v>
      </c>
      <c r="AV277" s="560">
        <v>0</v>
      </c>
      <c r="AW277" s="551">
        <v>0</v>
      </c>
      <c r="AX277" s="551">
        <v>0</v>
      </c>
      <c r="AY277" s="551">
        <v>0</v>
      </c>
      <c r="AZ277" s="551">
        <v>4146779.2790000001</v>
      </c>
      <c r="BA277" s="551">
        <v>3897763.76</v>
      </c>
    </row>
    <row r="278" spans="1:53" ht="3" customHeight="1" x14ac:dyDescent="0.2">
      <c r="A278" s="68">
        <f>IF(LEN(+'_DATA STT PAGOS_'!M283)=4,"0"&amp;+'_DATA STT PAGOS_'!M283,+'_DATA STT PAGOS_'!M283)</f>
        <v>13120</v>
      </c>
      <c r="B278" s="68">
        <f>IF(LEN(+'_DATA STT PAGOS_'!N283)=4,"0"&amp;+'_DATA STT PAGOS_'!N283,+'_DATA STT PAGOS_'!N283)</f>
        <v>13105</v>
      </c>
      <c r="C278" s="76" t="str">
        <f>+'_DATA STT PAGOS_'!O283</f>
        <v>ÑUÑOA</v>
      </c>
      <c r="D278" s="80">
        <f>+'CALC MEC ESTAB Y ESTIM M FINAL'!U283</f>
        <v>4527303</v>
      </c>
      <c r="E278" s="77">
        <f>+'CALC MEC ESTAB Y ESTIM M FINAL'!Q283</f>
        <v>1.5173743622999998E-3</v>
      </c>
      <c r="F278" s="77">
        <f>+'CALC MEC ESTAB Y ESTIM M FINAL'!R283</f>
        <v>7.7666647000000001E-5</v>
      </c>
      <c r="G278" s="80">
        <f>+'_Flujo con Glosa 08'!CE283</f>
        <v>219762</v>
      </c>
      <c r="H278" s="80">
        <f>+'_Flujo con Glosa 08'!CF283</f>
        <v>219762</v>
      </c>
      <c r="I278" s="80">
        <f>+'_Flujo con Glosa 08'!CG283</f>
        <v>199509</v>
      </c>
      <c r="J278" s="80">
        <f>+'_Flujo con Glosa 08'!CH283</f>
        <v>219762</v>
      </c>
      <c r="K278" s="80">
        <f>+'_Flujo con Glosa 08'!CI283</f>
        <v>578450</v>
      </c>
      <c r="L278" s="80">
        <f>+'_Flujo con Glosa 08'!CJ283</f>
        <v>225792</v>
      </c>
      <c r="M278" s="80">
        <f>+'_Flujo con Glosa 08'!CK283</f>
        <v>369053</v>
      </c>
      <c r="N278" s="80">
        <f>+'_Flujo con Glosa 08'!CL283</f>
        <v>219762</v>
      </c>
      <c r="O278" s="80">
        <f>+'_Flujo con Glosa 08'!CM283</f>
        <v>240734</v>
      </c>
      <c r="P278" s="80">
        <f>+'_Flujo con Glosa 08'!CN283</f>
        <v>381820</v>
      </c>
      <c r="Q278" s="80">
        <f>+'_Flujo con Glosa 08'!CO283</f>
        <v>219762</v>
      </c>
      <c r="R278" s="80">
        <f>+'_Flujo con Glosa 08'!CP283</f>
        <v>367055</v>
      </c>
      <c r="S278" s="80">
        <f t="shared" si="8"/>
        <v>3461223</v>
      </c>
      <c r="T278" s="80">
        <v>0</v>
      </c>
      <c r="U278" s="80">
        <v>0</v>
      </c>
      <c r="V278" s="80">
        <v>0</v>
      </c>
      <c r="W278" s="80">
        <v>0</v>
      </c>
      <c r="X278" s="80">
        <v>0</v>
      </c>
      <c r="Y278" s="80">
        <v>0</v>
      </c>
      <c r="Z278" s="80">
        <v>0</v>
      </c>
      <c r="AA278" s="80">
        <v>0</v>
      </c>
      <c r="AB278" s="80">
        <v>0</v>
      </c>
      <c r="AC278" s="80">
        <v>0</v>
      </c>
      <c r="AD278" s="80">
        <v>0</v>
      </c>
      <c r="AE278" s="80">
        <v>0</v>
      </c>
      <c r="AF278" s="80">
        <f t="shared" si="9"/>
        <v>0</v>
      </c>
      <c r="AG278" s="80">
        <f>+COEF_FCM!AM285</f>
        <v>4501860</v>
      </c>
      <c r="AH278" s="80">
        <f>+COEF_FCM!AR285</f>
        <v>875960</v>
      </c>
      <c r="AI278" s="80">
        <f>+COEF_FCM!AN285</f>
        <v>2298848</v>
      </c>
      <c r="AJ278" s="80">
        <f>+COEF_FCM!AS285</f>
        <v>335010</v>
      </c>
      <c r="AK278" s="80">
        <f>+COEF_FCM!AO285</f>
        <v>2935475</v>
      </c>
      <c r="AL278" s="80">
        <f>+COEF_FCM!AT285</f>
        <v>470955.86800000002</v>
      </c>
      <c r="AM278" s="80">
        <f>+COEF_FCM!AP285</f>
        <v>2108064</v>
      </c>
      <c r="AN278" s="80">
        <f>+COEF_FCM!AU285</f>
        <v>310288</v>
      </c>
      <c r="AO278" s="80">
        <f>+COEF_FCM!AQ285</f>
        <v>11844247</v>
      </c>
      <c r="AP278" s="80">
        <f>+COEF_FCM!AV285</f>
        <v>1992213.868</v>
      </c>
      <c r="AQ278" s="80">
        <f>+_CIERRE!O278+_CIERRE!P278</f>
        <v>4001065.952</v>
      </c>
      <c r="AR278" s="80">
        <f>+_CIERRE!Q278+_CIERRE!R278</f>
        <v>4337879.8329999996</v>
      </c>
      <c r="AS278" s="80">
        <f>+_CIERRE!S278+_CIERRE!T278</f>
        <v>4485343.8320000004</v>
      </c>
      <c r="AT278" s="80">
        <f>+_CIERRE!U278+_CIERRE!V278</f>
        <v>4527303.0470000003</v>
      </c>
      <c r="AU278" s="80">
        <f>+'CALC MEC ESTAB Y ESTIM M FINAL'!T283</f>
        <v>4527303</v>
      </c>
      <c r="AV278" s="560">
        <v>0</v>
      </c>
      <c r="AW278" s="551">
        <v>0</v>
      </c>
      <c r="AX278" s="551">
        <v>0</v>
      </c>
      <c r="AY278" s="551">
        <v>0</v>
      </c>
      <c r="AZ278" s="551">
        <v>0</v>
      </c>
      <c r="BA278" s="551">
        <v>0</v>
      </c>
    </row>
    <row r="279" spans="1:53" ht="3" customHeight="1" x14ac:dyDescent="0.2">
      <c r="A279" s="68">
        <f>IF(LEN(+'_DATA STT PAGOS_'!M284)=4,"0"&amp;+'_DATA STT PAGOS_'!M284,+'_DATA STT PAGOS_'!M284)</f>
        <v>13121</v>
      </c>
      <c r="B279" s="68">
        <f>IF(LEN(+'_DATA STT PAGOS_'!N284)=4,"0"&amp;+'_DATA STT PAGOS_'!N284,+'_DATA STT PAGOS_'!N284)</f>
        <v>13162</v>
      </c>
      <c r="C279" s="76" t="str">
        <f>+'_DATA STT PAGOS_'!O284</f>
        <v>PEDRO AGUIRRE CERDA</v>
      </c>
      <c r="D279" s="80">
        <f>+'CALC MEC ESTAB Y ESTIM M FINAL'!U284</f>
        <v>14176717</v>
      </c>
      <c r="E279" s="77">
        <f>+'CALC MEC ESTAB Y ESTIM M FINAL'!Q284</f>
        <v>5.0197417253999999E-3</v>
      </c>
      <c r="F279" s="77">
        <f>+'CALC MEC ESTAB Y ESTIM M FINAL'!R284</f>
        <v>-2.5057768899999999E-5</v>
      </c>
      <c r="G279" s="80">
        <f>+'_Flujo con Glosa 08'!CE284</f>
        <v>684878</v>
      </c>
      <c r="H279" s="80">
        <f>+'_Flujo con Glosa 08'!CF284</f>
        <v>684878</v>
      </c>
      <c r="I279" s="80">
        <f>+'_Flujo con Glosa 08'!CG284</f>
        <v>624739</v>
      </c>
      <c r="J279" s="80">
        <f>+'_Flujo con Glosa 08'!CH284</f>
        <v>684878</v>
      </c>
      <c r="K279" s="80">
        <f>+'_Flujo con Glosa 08'!CI284</f>
        <v>1821191</v>
      </c>
      <c r="L279" s="80">
        <f>+'_Flujo con Glosa 08'!CJ284</f>
        <v>703760</v>
      </c>
      <c r="M279" s="80">
        <f>+'_Flujo con Glosa 08'!CK284</f>
        <v>1150662</v>
      </c>
      <c r="N279" s="80">
        <f>+'_Flujo con Glosa 08'!CL284</f>
        <v>684878</v>
      </c>
      <c r="O279" s="80">
        <f>+'_Flujo con Glosa 08'!CM284</f>
        <v>753830</v>
      </c>
      <c r="P279" s="80">
        <f>+'_Flujo con Glosa 08'!CN284</f>
        <v>1207173</v>
      </c>
      <c r="Q279" s="80">
        <f>+'_Flujo con Glosa 08'!CO284</f>
        <v>684878</v>
      </c>
      <c r="R279" s="80">
        <f>+'_Flujo con Glosa 08'!CP284</f>
        <v>1152669</v>
      </c>
      <c r="S279" s="80">
        <f t="shared" si="8"/>
        <v>10838414</v>
      </c>
      <c r="T279" s="80">
        <v>0</v>
      </c>
      <c r="U279" s="80">
        <v>0</v>
      </c>
      <c r="V279" s="80">
        <v>0</v>
      </c>
      <c r="W279" s="80">
        <v>0</v>
      </c>
      <c r="X279" s="80">
        <v>0</v>
      </c>
      <c r="Y279" s="80">
        <v>0</v>
      </c>
      <c r="Z279" s="80">
        <v>0</v>
      </c>
      <c r="AA279" s="80">
        <v>0</v>
      </c>
      <c r="AB279" s="80">
        <v>0</v>
      </c>
      <c r="AC279" s="80">
        <v>0</v>
      </c>
      <c r="AD279" s="80">
        <v>0</v>
      </c>
      <c r="AE279" s="80">
        <v>0</v>
      </c>
      <c r="AF279" s="80">
        <f t="shared" si="9"/>
        <v>0</v>
      </c>
      <c r="AG279" s="80">
        <f>+COEF_FCM!AM286</f>
        <v>201651</v>
      </c>
      <c r="AH279" s="80">
        <f>+COEF_FCM!AR286</f>
        <v>8105</v>
      </c>
      <c r="AI279" s="80">
        <f>+COEF_FCM!AN286</f>
        <v>157194</v>
      </c>
      <c r="AJ279" s="80">
        <f>+COEF_FCM!AS286</f>
        <v>3718</v>
      </c>
      <c r="AK279" s="80">
        <f>+COEF_FCM!AO286</f>
        <v>179451</v>
      </c>
      <c r="AL279" s="80">
        <f>+COEF_FCM!AT286</f>
        <v>5424.375</v>
      </c>
      <c r="AM279" s="80">
        <f>+COEF_FCM!AP286</f>
        <v>155395</v>
      </c>
      <c r="AN279" s="80">
        <f>+COEF_FCM!AU286</f>
        <v>3664</v>
      </c>
      <c r="AO279" s="80">
        <f>+COEF_FCM!AQ286</f>
        <v>693691</v>
      </c>
      <c r="AP279" s="80">
        <f>+COEF_FCM!AV286</f>
        <v>20911.375</v>
      </c>
      <c r="AQ279" s="80">
        <f>+_CIERRE!O279+_CIERRE!P279</f>
        <v>11399103.345000001</v>
      </c>
      <c r="AR279" s="80">
        <f>+_CIERRE!Q279+_CIERRE!R279</f>
        <v>13316977.714</v>
      </c>
      <c r="AS279" s="80">
        <f>+_CIERRE!S279+_CIERRE!T279</f>
        <v>13986558.49</v>
      </c>
      <c r="AT279" s="80">
        <f>+_CIERRE!U279+_CIERRE!V279</f>
        <v>14117395.922</v>
      </c>
      <c r="AU279" s="80">
        <f>+'CALC MEC ESTAB Y ESTIM M FINAL'!T284</f>
        <v>14176717</v>
      </c>
      <c r="AV279" s="560">
        <v>0</v>
      </c>
      <c r="AW279" s="551">
        <v>0</v>
      </c>
      <c r="AX279" s="551">
        <v>0</v>
      </c>
      <c r="AY279" s="551">
        <v>0</v>
      </c>
      <c r="AZ279" s="551">
        <v>1281263.2</v>
      </c>
      <c r="BA279" s="551">
        <v>1266309.3640000001</v>
      </c>
    </row>
    <row r="280" spans="1:53" ht="3" customHeight="1" x14ac:dyDescent="0.2">
      <c r="A280" s="68">
        <f>IF(LEN(+'_DATA STT PAGOS_'!M285)=4,"0"&amp;+'_DATA STT PAGOS_'!M285,+'_DATA STT PAGOS_'!M285)</f>
        <v>13122</v>
      </c>
      <c r="B280" s="68">
        <f>IF(LEN(+'_DATA STT PAGOS_'!N285)=4,"0"&amp;+'_DATA STT PAGOS_'!N285,+'_DATA STT PAGOS_'!N285)</f>
        <v>13152</v>
      </c>
      <c r="C280" s="76" t="str">
        <f>+'_DATA STT PAGOS_'!O285</f>
        <v>PEÑALOLÉN</v>
      </c>
      <c r="D280" s="80">
        <f>+'CALC MEC ESTAB Y ESTIM M FINAL'!U285</f>
        <v>19870937</v>
      </c>
      <c r="E280" s="77">
        <f>+'CALC MEC ESTAB Y ESTIM M FINAL'!Q285</f>
        <v>3.3747732455999997E-3</v>
      </c>
      <c r="F280" s="77">
        <f>+'CALC MEC ESTAB Y ESTIM M FINAL'!R285</f>
        <v>3.6260751002999999E-3</v>
      </c>
      <c r="G280" s="80">
        <f>+'_Flujo con Glosa 08'!CE285</f>
        <v>964000</v>
      </c>
      <c r="H280" s="80">
        <f>+'_Flujo con Glosa 08'!CF285</f>
        <v>964000</v>
      </c>
      <c r="I280" s="80">
        <f>+'_Flujo con Glosa 08'!CG285</f>
        <v>875671</v>
      </c>
      <c r="J280" s="80">
        <f>+'_Flujo con Glosa 08'!CH285</f>
        <v>964000</v>
      </c>
      <c r="K280" s="80">
        <f>+'_Flujo con Glosa 08'!CI285</f>
        <v>2540590</v>
      </c>
      <c r="L280" s="80">
        <f>+'_Flujo con Glosa 08'!CJ285</f>
        <v>990466</v>
      </c>
      <c r="M280" s="80">
        <f>+'_Flujo con Glosa 08'!CK285</f>
        <v>1618965</v>
      </c>
      <c r="N280" s="80">
        <f>+'_Flujo con Glosa 08'!CL285</f>
        <v>964000</v>
      </c>
      <c r="O280" s="80">
        <f>+'_Flujo con Glosa 08'!CM285</f>
        <v>1056613</v>
      </c>
      <c r="P280" s="80">
        <f>+'_Flujo con Glosa 08'!CN285</f>
        <v>1677850</v>
      </c>
      <c r="Q280" s="80">
        <f>+'_Flujo con Glosa 08'!CO285</f>
        <v>964000</v>
      </c>
      <c r="R280" s="80">
        <f>+'_Flujo con Glosa 08'!CP285</f>
        <v>1611616</v>
      </c>
      <c r="S280" s="80">
        <f t="shared" si="8"/>
        <v>15191771</v>
      </c>
      <c r="T280" s="80">
        <v>0</v>
      </c>
      <c r="U280" s="80">
        <v>0</v>
      </c>
      <c r="V280" s="80">
        <v>0</v>
      </c>
      <c r="W280" s="80">
        <v>0</v>
      </c>
      <c r="X280" s="80">
        <v>0</v>
      </c>
      <c r="Y280" s="80">
        <v>0</v>
      </c>
      <c r="Z280" s="80">
        <v>0</v>
      </c>
      <c r="AA280" s="80">
        <v>0</v>
      </c>
      <c r="AB280" s="80">
        <v>0</v>
      </c>
      <c r="AC280" s="80">
        <v>0</v>
      </c>
      <c r="AD280" s="80">
        <v>0</v>
      </c>
      <c r="AE280" s="80">
        <v>0</v>
      </c>
      <c r="AF280" s="80">
        <f t="shared" si="9"/>
        <v>0</v>
      </c>
      <c r="AG280" s="80">
        <f>+COEF_FCM!AM287</f>
        <v>1768420</v>
      </c>
      <c r="AH280" s="80">
        <f>+COEF_FCM!AR287</f>
        <v>289240</v>
      </c>
      <c r="AI280" s="80">
        <f>+COEF_FCM!AN287</f>
        <v>1260971</v>
      </c>
      <c r="AJ280" s="80">
        <f>+COEF_FCM!AS287</f>
        <v>139490</v>
      </c>
      <c r="AK280" s="80">
        <f>+COEF_FCM!AO287</f>
        <v>1372405</v>
      </c>
      <c r="AL280" s="80">
        <f>+COEF_FCM!AT287</f>
        <v>183852.01199999999</v>
      </c>
      <c r="AM280" s="80">
        <f>+COEF_FCM!AP287</f>
        <v>1122534</v>
      </c>
      <c r="AN280" s="80">
        <f>+COEF_FCM!AU287</f>
        <v>131482</v>
      </c>
      <c r="AO280" s="80">
        <f>+COEF_FCM!AQ287</f>
        <v>5524330</v>
      </c>
      <c r="AP280" s="80">
        <f>+COEF_FCM!AV287</f>
        <v>744064.01199999999</v>
      </c>
      <c r="AQ280" s="80">
        <f>+_CIERRE!O280+_CIERRE!P280</f>
        <v>17561217.094000001</v>
      </c>
      <c r="AR280" s="80">
        <f>+_CIERRE!Q280+_CIERRE!R280</f>
        <v>19039536.989</v>
      </c>
      <c r="AS280" s="80">
        <f>+_CIERRE!S280+_CIERRE!T280</f>
        <v>19686774.609999999</v>
      </c>
      <c r="AT280" s="80">
        <f>+_CIERRE!U280+_CIERRE!V280</f>
        <v>19870936.590999998</v>
      </c>
      <c r="AU280" s="80">
        <f>+'CALC MEC ESTAB Y ESTIM M FINAL'!T285</f>
        <v>19870937</v>
      </c>
      <c r="AV280" s="560">
        <v>0</v>
      </c>
      <c r="AW280" s="551">
        <v>0</v>
      </c>
      <c r="AX280" s="551">
        <v>0</v>
      </c>
      <c r="AY280" s="551">
        <v>0</v>
      </c>
      <c r="AZ280" s="551">
        <v>0</v>
      </c>
      <c r="BA280" s="551">
        <v>0</v>
      </c>
    </row>
    <row r="281" spans="1:53" ht="3" customHeight="1" x14ac:dyDescent="0.2">
      <c r="A281" s="68">
        <f>IF(LEN(+'_DATA STT PAGOS_'!M286)=4,"0"&amp;+'_DATA STT PAGOS_'!M286,+'_DATA STT PAGOS_'!M286)</f>
        <v>13123</v>
      </c>
      <c r="B281" s="68">
        <f>IF(LEN(+'_DATA STT PAGOS_'!N286)=4,"0"&amp;+'_DATA STT PAGOS_'!N286,+'_DATA STT PAGOS_'!N286)</f>
        <v>13103</v>
      </c>
      <c r="C281" s="76" t="str">
        <f>+'_DATA STT PAGOS_'!O286</f>
        <v>PROVIDENCIA</v>
      </c>
      <c r="D281" s="80">
        <f>+'CALC MEC ESTAB Y ESTIM M FINAL'!U286</f>
        <v>3542058</v>
      </c>
      <c r="E281" s="77">
        <f>+'CALC MEC ESTAB Y ESTIM M FINAL'!Q286</f>
        <v>1.0155509107000001E-3</v>
      </c>
      <c r="F281" s="77">
        <f>+'CALC MEC ESTAB Y ESTIM M FINAL'!R286</f>
        <v>2.3237281850000001E-4</v>
      </c>
      <c r="G281" s="80">
        <f>+'_Flujo con Glosa 08'!CE286</f>
        <v>102894</v>
      </c>
      <c r="H281" s="80">
        <f>+'_Flujo con Glosa 08'!CF286</f>
        <v>54716</v>
      </c>
      <c r="I281" s="80">
        <f>+'_Flujo con Glosa 08'!CG286</f>
        <v>156091</v>
      </c>
      <c r="J281" s="80">
        <f>+'_Flujo con Glosa 08'!CH286</f>
        <v>82882</v>
      </c>
      <c r="K281" s="80">
        <f>+'_Flujo con Glosa 08'!CI286</f>
        <v>727885</v>
      </c>
      <c r="L281" s="80">
        <f>+'_Flujo con Glosa 08'!CJ286</f>
        <v>147575</v>
      </c>
      <c r="M281" s="80">
        <f>+'_Flujo con Glosa 08'!CK286</f>
        <v>311543</v>
      </c>
      <c r="N281" s="80">
        <f>+'_Flujo con Glosa 08'!CL286</f>
        <v>93801</v>
      </c>
      <c r="O281" s="80">
        <f>+'_Flujo con Glosa 08'!CM286</f>
        <v>188344</v>
      </c>
      <c r="P281" s="80">
        <f>+'_Flujo con Glosa 08'!CN286</f>
        <v>383139</v>
      </c>
      <c r="Q281" s="80">
        <f>+'_Flujo con Glosa 08'!CO286</f>
        <v>142199</v>
      </c>
      <c r="R281" s="80">
        <f>+'_Flujo con Glosa 08'!CP286</f>
        <v>316912</v>
      </c>
      <c r="S281" s="80">
        <f t="shared" si="8"/>
        <v>2707981</v>
      </c>
      <c r="T281" s="80">
        <v>0</v>
      </c>
      <c r="U281" s="80">
        <v>0</v>
      </c>
      <c r="V281" s="80">
        <v>0</v>
      </c>
      <c r="W281" s="80">
        <v>0</v>
      </c>
      <c r="X281" s="80">
        <v>0</v>
      </c>
      <c r="Y281" s="80">
        <v>0</v>
      </c>
      <c r="Z281" s="80">
        <v>0</v>
      </c>
      <c r="AA281" s="80">
        <v>0</v>
      </c>
      <c r="AB281" s="80">
        <v>0</v>
      </c>
      <c r="AC281" s="80">
        <v>0</v>
      </c>
      <c r="AD281" s="80">
        <v>0</v>
      </c>
      <c r="AE281" s="80">
        <v>0</v>
      </c>
      <c r="AF281" s="80">
        <f t="shared" si="9"/>
        <v>0</v>
      </c>
      <c r="AG281" s="80">
        <f>+COEF_FCM!AM288</f>
        <v>6278971</v>
      </c>
      <c r="AH281" s="80">
        <f>+COEF_FCM!AR288</f>
        <v>1307636</v>
      </c>
      <c r="AI281" s="80">
        <f>+COEF_FCM!AN288</f>
        <v>3907140</v>
      </c>
      <c r="AJ281" s="80">
        <f>+COEF_FCM!AS288</f>
        <v>531171</v>
      </c>
      <c r="AK281" s="80">
        <f>+COEF_FCM!AO288</f>
        <v>4846423</v>
      </c>
      <c r="AL281" s="80">
        <f>+COEF_FCM!AT288</f>
        <v>789275.66200000001</v>
      </c>
      <c r="AM281" s="80">
        <f>+COEF_FCM!AP288</f>
        <v>3658820</v>
      </c>
      <c r="AN281" s="80">
        <f>+COEF_FCM!AU288</f>
        <v>507833</v>
      </c>
      <c r="AO281" s="80">
        <f>+COEF_FCM!AQ288</f>
        <v>18691354</v>
      </c>
      <c r="AP281" s="80">
        <f>+COEF_FCM!AV288</f>
        <v>3135915.662</v>
      </c>
      <c r="AQ281" s="80">
        <f>+_CIERRE!O281+_CIERRE!P281</f>
        <v>3130344.1869999999</v>
      </c>
      <c r="AR281" s="80">
        <f>+_CIERRE!Q281+_CIERRE!R281</f>
        <v>3393859.18</v>
      </c>
      <c r="AS281" s="80">
        <f>+_CIERRE!S281+_CIERRE!T281</f>
        <v>3509230.6269999999</v>
      </c>
      <c r="AT281" s="80">
        <f>+_CIERRE!U281+_CIERRE!V281</f>
        <v>3542057.73</v>
      </c>
      <c r="AU281" s="80">
        <f>+'CALC MEC ESTAB Y ESTIM M FINAL'!T286</f>
        <v>3542058</v>
      </c>
      <c r="AV281" s="560">
        <v>0</v>
      </c>
      <c r="AW281" s="551">
        <v>0</v>
      </c>
      <c r="AX281" s="551">
        <v>0</v>
      </c>
      <c r="AY281" s="551">
        <v>0</v>
      </c>
      <c r="AZ281" s="551">
        <v>0</v>
      </c>
      <c r="BA281" s="551">
        <v>0</v>
      </c>
    </row>
    <row r="282" spans="1:53" ht="3" customHeight="1" x14ac:dyDescent="0.2">
      <c r="A282" s="68">
        <f>IF(LEN(+'_DATA STT PAGOS_'!M287)=4,"0"&amp;+'_DATA STT PAGOS_'!M287,+'_DATA STT PAGOS_'!M287)</f>
        <v>13124</v>
      </c>
      <c r="B282" s="68">
        <f>IF(LEN(+'_DATA STT PAGOS_'!N287)=4,"0"&amp;+'_DATA STT PAGOS_'!N287,+'_DATA STT PAGOS_'!N287)</f>
        <v>13111</v>
      </c>
      <c r="C282" s="76" t="str">
        <f>+'_DATA STT PAGOS_'!O287</f>
        <v>PUDAHUEL</v>
      </c>
      <c r="D282" s="80">
        <f>+'CALC MEC ESTAB Y ESTIM M FINAL'!U287</f>
        <v>21319488</v>
      </c>
      <c r="E282" s="77">
        <f>+'CALC MEC ESTAB Y ESTIM M FINAL'!Q287</f>
        <v>4.7466246455000003E-3</v>
      </c>
      <c r="F282" s="77">
        <f>+'CALC MEC ESTAB Y ESTIM M FINAL'!R287</f>
        <v>2.764571649E-3</v>
      </c>
      <c r="G282" s="80">
        <f>+'_Flujo con Glosa 08'!CE287</f>
        <v>1034274</v>
      </c>
      <c r="H282" s="80">
        <f>+'_Flujo con Glosa 08'!CF287</f>
        <v>1034274</v>
      </c>
      <c r="I282" s="80">
        <f>+'_Flujo con Glosa 08'!CG287</f>
        <v>939506</v>
      </c>
      <c r="J282" s="80">
        <f>+'_Flujo con Glosa 08'!CH287</f>
        <v>1034274</v>
      </c>
      <c r="K282" s="80">
        <f>+'_Flujo con Glosa 08'!CI287</f>
        <v>2725794</v>
      </c>
      <c r="L282" s="80">
        <f>+'_Flujo con Glosa 08'!CJ287</f>
        <v>1062670</v>
      </c>
      <c r="M282" s="80">
        <f>+'_Flujo con Glosa 08'!CK287</f>
        <v>1736983</v>
      </c>
      <c r="N282" s="80">
        <f>+'_Flujo con Glosa 08'!CL287</f>
        <v>1034274</v>
      </c>
      <c r="O282" s="80">
        <f>+'_Flujo con Glosa 08'!CM287</f>
        <v>1133638</v>
      </c>
      <c r="P282" s="80">
        <f>+'_Flujo con Glosa 08'!CN287</f>
        <v>1800161</v>
      </c>
      <c r="Q282" s="80">
        <f>+'_Flujo con Glosa 08'!CO287</f>
        <v>1034274</v>
      </c>
      <c r="R282" s="80">
        <f>+'_Flujo con Glosa 08'!CP287</f>
        <v>1729099</v>
      </c>
      <c r="S282" s="80">
        <f t="shared" si="8"/>
        <v>16299221</v>
      </c>
      <c r="T282" s="80">
        <v>0</v>
      </c>
      <c r="U282" s="80">
        <v>0</v>
      </c>
      <c r="V282" s="80">
        <v>0</v>
      </c>
      <c r="W282" s="80">
        <v>0</v>
      </c>
      <c r="X282" s="80">
        <v>0</v>
      </c>
      <c r="Y282" s="80">
        <v>0</v>
      </c>
      <c r="Z282" s="80">
        <v>0</v>
      </c>
      <c r="AA282" s="80">
        <v>0</v>
      </c>
      <c r="AB282" s="80">
        <v>0</v>
      </c>
      <c r="AC282" s="80">
        <v>0</v>
      </c>
      <c r="AD282" s="80">
        <v>0</v>
      </c>
      <c r="AE282" s="80">
        <v>0</v>
      </c>
      <c r="AF282" s="80">
        <f t="shared" si="9"/>
        <v>0</v>
      </c>
      <c r="AG282" s="80">
        <f>+COEF_FCM!AM289</f>
        <v>3628560</v>
      </c>
      <c r="AH282" s="80">
        <f>+COEF_FCM!AR289</f>
        <v>84846</v>
      </c>
      <c r="AI282" s="80">
        <f>+COEF_FCM!AN289</f>
        <v>3313697</v>
      </c>
      <c r="AJ282" s="80">
        <f>+COEF_FCM!AS289</f>
        <v>38213</v>
      </c>
      <c r="AK282" s="80">
        <f>+COEF_FCM!AO289</f>
        <v>3505394</v>
      </c>
      <c r="AL282" s="80">
        <f>+COEF_FCM!AT289</f>
        <v>52388.048000000003</v>
      </c>
      <c r="AM282" s="80">
        <f>+COEF_FCM!AP289</f>
        <v>3002786</v>
      </c>
      <c r="AN282" s="80">
        <f>+COEF_FCM!AU289</f>
        <v>36930</v>
      </c>
      <c r="AO282" s="80">
        <f>+COEF_FCM!AQ289</f>
        <v>13450437</v>
      </c>
      <c r="AP282" s="80">
        <f>+COEF_FCM!AV289</f>
        <v>212377.04800000001</v>
      </c>
      <c r="AQ282" s="80">
        <f>+_CIERRE!O282+_CIERRE!P282</f>
        <v>18841396.377</v>
      </c>
      <c r="AR282" s="80">
        <f>+_CIERRE!Q282+_CIERRE!R282</f>
        <v>20427483.008000001</v>
      </c>
      <c r="AS282" s="80">
        <f>+_CIERRE!S282+_CIERRE!T282</f>
        <v>21121902.045000002</v>
      </c>
      <c r="AT282" s="80">
        <f>+_CIERRE!U282+_CIERRE!V282</f>
        <v>21319487.511999998</v>
      </c>
      <c r="AU282" s="80">
        <f>+'CALC MEC ESTAB Y ESTIM M FINAL'!T287</f>
        <v>21319488</v>
      </c>
      <c r="AV282" s="560">
        <v>0</v>
      </c>
      <c r="AW282" s="551">
        <v>0</v>
      </c>
      <c r="AX282" s="551">
        <v>0</v>
      </c>
      <c r="AY282" s="551">
        <v>0</v>
      </c>
      <c r="AZ282" s="551">
        <v>0</v>
      </c>
      <c r="BA282" s="551">
        <v>0</v>
      </c>
    </row>
    <row r="283" spans="1:53" ht="3" customHeight="1" x14ac:dyDescent="0.2">
      <c r="A283" s="68">
        <f>IF(LEN(+'_DATA STT PAGOS_'!M288)=4,"0"&amp;+'_DATA STT PAGOS_'!M288,+'_DATA STT PAGOS_'!M288)</f>
        <v>13125</v>
      </c>
      <c r="B283" s="68">
        <f>IF(LEN(+'_DATA STT PAGOS_'!N288)=4,"0"&amp;+'_DATA STT PAGOS_'!N288,+'_DATA STT PAGOS_'!N288)</f>
        <v>13114</v>
      </c>
      <c r="C283" s="76" t="str">
        <f>+'_DATA STT PAGOS_'!O288</f>
        <v>QUILICURA</v>
      </c>
      <c r="D283" s="80">
        <f>+'CALC MEC ESTAB Y ESTIM M FINAL'!U288</f>
        <v>14007491</v>
      </c>
      <c r="E283" s="77">
        <f>+'CALC MEC ESTAB Y ESTIM M FINAL'!Q288</f>
        <v>5.2495699364999999E-3</v>
      </c>
      <c r="F283" s="77">
        <f>+'CALC MEC ESTAB Y ESTIM M FINAL'!R288</f>
        <v>-3.1450718430000001E-4</v>
      </c>
      <c r="G283" s="80">
        <f>+'_Flujo con Glosa 08'!CE288</f>
        <v>643431</v>
      </c>
      <c r="H283" s="80">
        <f>+'_Flujo con Glosa 08'!CF288</f>
        <v>643431</v>
      </c>
      <c r="I283" s="80">
        <f>+'_Flujo con Glosa 08'!CG288</f>
        <v>617281</v>
      </c>
      <c r="J283" s="80">
        <f>+'_Flujo con Glosa 08'!CH288</f>
        <v>643431</v>
      </c>
      <c r="K283" s="80">
        <f>+'_Flujo con Glosa 08'!CI288</f>
        <v>1899268</v>
      </c>
      <c r="L283" s="80">
        <f>+'_Flujo con Glosa 08'!CJ288</f>
        <v>662088</v>
      </c>
      <c r="M283" s="80">
        <f>+'_Flujo con Glosa 08'!CK288</f>
        <v>1153547</v>
      </c>
      <c r="N283" s="80">
        <f>+'_Flujo con Glosa 08'!CL288</f>
        <v>643431</v>
      </c>
      <c r="O283" s="80">
        <f>+'_Flujo con Glosa 08'!CM288</f>
        <v>744831</v>
      </c>
      <c r="P283" s="80">
        <f>+'_Flujo con Glosa 08'!CN288</f>
        <v>1242685</v>
      </c>
      <c r="Q283" s="80">
        <f>+'_Flujo con Glosa 08'!CO288</f>
        <v>643431</v>
      </c>
      <c r="R283" s="80">
        <f>+'_Flujo con Glosa 08'!CP288</f>
        <v>1172181</v>
      </c>
      <c r="S283" s="80">
        <f t="shared" si="8"/>
        <v>10709036</v>
      </c>
      <c r="T283" s="80">
        <v>0</v>
      </c>
      <c r="U283" s="80">
        <v>0</v>
      </c>
      <c r="V283" s="80">
        <v>0</v>
      </c>
      <c r="W283" s="80">
        <v>0</v>
      </c>
      <c r="X283" s="80">
        <v>0</v>
      </c>
      <c r="Y283" s="80">
        <v>0</v>
      </c>
      <c r="Z283" s="80">
        <v>0</v>
      </c>
      <c r="AA283" s="80">
        <v>0</v>
      </c>
      <c r="AB283" s="80">
        <v>0</v>
      </c>
      <c r="AC283" s="80">
        <v>0</v>
      </c>
      <c r="AD283" s="80">
        <v>0</v>
      </c>
      <c r="AE283" s="80">
        <v>0</v>
      </c>
      <c r="AF283" s="80">
        <f t="shared" si="9"/>
        <v>0</v>
      </c>
      <c r="AG283" s="80">
        <f>+COEF_FCM!AM290</f>
        <v>2712719</v>
      </c>
      <c r="AH283" s="80">
        <f>+COEF_FCM!AR290</f>
        <v>74676</v>
      </c>
      <c r="AI283" s="80">
        <f>+COEF_FCM!AN290</f>
        <v>2215834</v>
      </c>
      <c r="AJ283" s="80">
        <f>+COEF_FCM!AS290</f>
        <v>30560</v>
      </c>
      <c r="AK283" s="80">
        <f>+COEF_FCM!AO290</f>
        <v>2350751</v>
      </c>
      <c r="AL283" s="80">
        <f>+COEF_FCM!AT290</f>
        <v>44250.124000000003</v>
      </c>
      <c r="AM283" s="80">
        <f>+COEF_FCM!AP290</f>
        <v>2038083</v>
      </c>
      <c r="AN283" s="80">
        <f>+COEF_FCM!AU290</f>
        <v>30870</v>
      </c>
      <c r="AO283" s="80">
        <f>+COEF_FCM!AQ290</f>
        <v>9317387</v>
      </c>
      <c r="AP283" s="80">
        <f>+COEF_FCM!AV290</f>
        <v>180356.12400000001</v>
      </c>
      <c r="AQ283" s="80">
        <f>+_CIERRE!O283+_CIERRE!P283</f>
        <v>10219397.615</v>
      </c>
      <c r="AR283" s="80">
        <f>+_CIERRE!Q283+_CIERRE!R283</f>
        <v>11834438.255999999</v>
      </c>
      <c r="AS283" s="80">
        <f>+_CIERRE!S283+_CIERRE!T283</f>
        <v>12685272.377</v>
      </c>
      <c r="AT283" s="80">
        <f>+_CIERRE!U283+_CIERRE!V283</f>
        <v>13262936.493000001</v>
      </c>
      <c r="AU283" s="80">
        <f>+'CALC MEC ESTAB Y ESTIM M FINAL'!T288</f>
        <v>14007491</v>
      </c>
      <c r="AV283" s="560">
        <v>0</v>
      </c>
      <c r="AW283" s="551">
        <v>0</v>
      </c>
      <c r="AX283" s="551">
        <v>0</v>
      </c>
      <c r="AY283" s="551">
        <v>0</v>
      </c>
      <c r="AZ283" s="551">
        <v>0</v>
      </c>
      <c r="BA283" s="551">
        <v>0</v>
      </c>
    </row>
    <row r="284" spans="1:53" ht="3" customHeight="1" x14ac:dyDescent="0.2">
      <c r="A284" s="68">
        <f>IF(LEN(+'_DATA STT PAGOS_'!M289)=4,"0"&amp;+'_DATA STT PAGOS_'!M289,+'_DATA STT PAGOS_'!M289)</f>
        <v>13126</v>
      </c>
      <c r="B284" s="68">
        <f>IF(LEN(+'_DATA STT PAGOS_'!N289)=4,"0"&amp;+'_DATA STT PAGOS_'!N289,+'_DATA STT PAGOS_'!N289)</f>
        <v>13107</v>
      </c>
      <c r="C284" s="76" t="str">
        <f>+'_DATA STT PAGOS_'!O289</f>
        <v>QUINTA NORMAL</v>
      </c>
      <c r="D284" s="80">
        <f>+'CALC MEC ESTAB Y ESTIM M FINAL'!U289</f>
        <v>12218918</v>
      </c>
      <c r="E284" s="77">
        <f>+'CALC MEC ESTAB Y ESTIM M FINAL'!Q289</f>
        <v>4.2818432396E-3</v>
      </c>
      <c r="F284" s="77">
        <f>+'CALC MEC ESTAB Y ESTIM M FINAL'!R289</f>
        <v>2.3076696200000001E-5</v>
      </c>
      <c r="G284" s="80">
        <f>+'_Flujo con Glosa 08'!CE289</f>
        <v>592777</v>
      </c>
      <c r="H284" s="80">
        <f>+'_Flujo con Glosa 08'!CF289</f>
        <v>592777</v>
      </c>
      <c r="I284" s="80">
        <f>+'_Flujo con Glosa 08'!CG289</f>
        <v>538462</v>
      </c>
      <c r="J284" s="80">
        <f>+'_Flujo con Glosa 08'!CH289</f>
        <v>592777</v>
      </c>
      <c r="K284" s="80">
        <f>+'_Flujo con Glosa 08'!CI289</f>
        <v>1562245</v>
      </c>
      <c r="L284" s="80">
        <f>+'_Flujo con Glosa 08'!CJ289</f>
        <v>609051</v>
      </c>
      <c r="M284" s="80">
        <f>+'_Flujo con Glosa 08'!CK289</f>
        <v>995524</v>
      </c>
      <c r="N284" s="80">
        <f>+'_Flujo con Glosa 08'!CL289</f>
        <v>592777</v>
      </c>
      <c r="O284" s="80">
        <f>+'_Flujo con Glosa 08'!CM289</f>
        <v>649726</v>
      </c>
      <c r="P284" s="80">
        <f>+'_Flujo con Glosa 08'!CN289</f>
        <v>1031734</v>
      </c>
      <c r="Q284" s="80">
        <f>+'_Flujo con Glosa 08'!CO289</f>
        <v>592777</v>
      </c>
      <c r="R284" s="80">
        <f>+'_Flujo con Glosa 08'!CP289</f>
        <v>991005</v>
      </c>
      <c r="S284" s="80">
        <f t="shared" si="8"/>
        <v>9341632</v>
      </c>
      <c r="T284" s="80">
        <v>0</v>
      </c>
      <c r="U284" s="80">
        <v>0</v>
      </c>
      <c r="V284" s="80">
        <v>0</v>
      </c>
      <c r="W284" s="80">
        <v>0</v>
      </c>
      <c r="X284" s="80">
        <v>0</v>
      </c>
      <c r="Y284" s="80">
        <v>0</v>
      </c>
      <c r="Z284" s="80">
        <v>0</v>
      </c>
      <c r="AA284" s="80">
        <v>0</v>
      </c>
      <c r="AB284" s="80">
        <v>0</v>
      </c>
      <c r="AC284" s="80">
        <v>0</v>
      </c>
      <c r="AD284" s="80">
        <v>0</v>
      </c>
      <c r="AE284" s="80">
        <v>0</v>
      </c>
      <c r="AF284" s="80">
        <f t="shared" si="9"/>
        <v>0</v>
      </c>
      <c r="AG284" s="80">
        <f>+COEF_FCM!AM291</f>
        <v>494306</v>
      </c>
      <c r="AH284" s="80">
        <f>+COEF_FCM!AR291</f>
        <v>33592</v>
      </c>
      <c r="AI284" s="80">
        <f>+COEF_FCM!AN291</f>
        <v>351315</v>
      </c>
      <c r="AJ284" s="80">
        <f>+COEF_FCM!AS291</f>
        <v>15884</v>
      </c>
      <c r="AK284" s="80">
        <f>+COEF_FCM!AO291</f>
        <v>419365</v>
      </c>
      <c r="AL284" s="80">
        <f>+COEF_FCM!AT291</f>
        <v>22152.465</v>
      </c>
      <c r="AM284" s="80">
        <f>+COEF_FCM!AP291</f>
        <v>341194</v>
      </c>
      <c r="AN284" s="80">
        <f>+COEF_FCM!AU291</f>
        <v>16897</v>
      </c>
      <c r="AO284" s="80">
        <f>+COEF_FCM!AQ291</f>
        <v>1606180</v>
      </c>
      <c r="AP284" s="80">
        <f>+COEF_FCM!AV291</f>
        <v>88525.464999999997</v>
      </c>
      <c r="AQ284" s="80">
        <f>+_CIERRE!O284+_CIERRE!P284</f>
        <v>7597087.1279999996</v>
      </c>
      <c r="AR284" s="80">
        <f>+_CIERRE!Q284+_CIERRE!R284</f>
        <v>10900991.954</v>
      </c>
      <c r="AS284" s="80">
        <f>+_CIERRE!S284+_CIERRE!T284</f>
        <v>12105674.775</v>
      </c>
      <c r="AT284" s="80">
        <f>+_CIERRE!U284+_CIERRE!V284</f>
        <v>12218917.873</v>
      </c>
      <c r="AU284" s="80">
        <f>+'CALC MEC ESTAB Y ESTIM M FINAL'!T289</f>
        <v>12218918</v>
      </c>
      <c r="AV284" s="560">
        <v>0</v>
      </c>
      <c r="AW284" s="551">
        <v>0</v>
      </c>
      <c r="AX284" s="551">
        <v>0</v>
      </c>
      <c r="AY284" s="551">
        <v>0</v>
      </c>
      <c r="AZ284" s="551">
        <v>0</v>
      </c>
      <c r="BA284" s="551">
        <v>0</v>
      </c>
    </row>
    <row r="285" spans="1:53" ht="3" customHeight="1" x14ac:dyDescent="0.2">
      <c r="A285" s="68">
        <f>IF(LEN(+'_DATA STT PAGOS_'!M290)=4,"0"&amp;+'_DATA STT PAGOS_'!M290,+'_DATA STT PAGOS_'!M290)</f>
        <v>13127</v>
      </c>
      <c r="B285" s="68">
        <f>IF(LEN(+'_DATA STT PAGOS_'!N290)=4,"0"&amp;+'_DATA STT PAGOS_'!N290,+'_DATA STT PAGOS_'!N290)</f>
        <v>13159</v>
      </c>
      <c r="C285" s="76" t="str">
        <f>+'_DATA STT PAGOS_'!O290</f>
        <v>RECOLETA</v>
      </c>
      <c r="D285" s="80">
        <f>+'CALC MEC ESTAB Y ESTIM M FINAL'!U290</f>
        <v>8781708</v>
      </c>
      <c r="E285" s="77">
        <f>+'CALC MEC ESTAB Y ESTIM M FINAL'!Q290</f>
        <v>3.0714296154999996E-3</v>
      </c>
      <c r="F285" s="77">
        <f>+'CALC MEC ESTAB Y ESTIM M FINAL'!R290</f>
        <v>2.2506296699999999E-5</v>
      </c>
      <c r="G285" s="80">
        <f>+'_Flujo con Glosa 08'!CE290</f>
        <v>426950</v>
      </c>
      <c r="H285" s="80">
        <f>+'_Flujo con Glosa 08'!CF290</f>
        <v>426950</v>
      </c>
      <c r="I285" s="80">
        <f>+'_Flujo con Glosa 08'!CG290</f>
        <v>386992</v>
      </c>
      <c r="J285" s="80">
        <f>+'_Flujo con Glosa 08'!CH290</f>
        <v>426950</v>
      </c>
      <c r="K285" s="80">
        <f>+'_Flujo con Glosa 08'!CI290</f>
        <v>1120014</v>
      </c>
      <c r="L285" s="80">
        <f>+'_Flujo con Glosa 08'!CJ290</f>
        <v>438646</v>
      </c>
      <c r="M285" s="80">
        <f>+'_Flujo con Glosa 08'!CK290</f>
        <v>716881</v>
      </c>
      <c r="N285" s="80">
        <f>+'_Flujo con Glosa 08'!CL290</f>
        <v>426950</v>
      </c>
      <c r="O285" s="80">
        <f>+'_Flujo con Glosa 08'!CM290</f>
        <v>466957</v>
      </c>
      <c r="P285" s="80">
        <f>+'_Flujo con Glosa 08'!CN290</f>
        <v>738259</v>
      </c>
      <c r="Q285" s="80">
        <f>+'_Flujo con Glosa 08'!CO290</f>
        <v>426950</v>
      </c>
      <c r="R285" s="80">
        <f>+'_Flujo con Glosa 08'!CP290</f>
        <v>711310</v>
      </c>
      <c r="S285" s="80">
        <f t="shared" si="8"/>
        <v>6713809</v>
      </c>
      <c r="T285" s="80">
        <v>0</v>
      </c>
      <c r="U285" s="80">
        <v>0</v>
      </c>
      <c r="V285" s="80">
        <v>0</v>
      </c>
      <c r="W285" s="80">
        <v>0</v>
      </c>
      <c r="X285" s="80">
        <v>0</v>
      </c>
      <c r="Y285" s="80">
        <v>0</v>
      </c>
      <c r="Z285" s="80">
        <v>0</v>
      </c>
      <c r="AA285" s="80">
        <v>0</v>
      </c>
      <c r="AB285" s="80">
        <v>0</v>
      </c>
      <c r="AC285" s="80">
        <v>0</v>
      </c>
      <c r="AD285" s="80">
        <v>0</v>
      </c>
      <c r="AE285" s="80">
        <v>0</v>
      </c>
      <c r="AF285" s="80">
        <f t="shared" si="9"/>
        <v>0</v>
      </c>
      <c r="AG285" s="80">
        <f>+COEF_FCM!AM292</f>
        <v>929950</v>
      </c>
      <c r="AH285" s="80">
        <f>+COEF_FCM!AR292</f>
        <v>70239</v>
      </c>
      <c r="AI285" s="80">
        <f>+COEF_FCM!AN292</f>
        <v>635352</v>
      </c>
      <c r="AJ285" s="80">
        <f>+COEF_FCM!AS292</f>
        <v>27001</v>
      </c>
      <c r="AK285" s="80">
        <f>+COEF_FCM!AO292</f>
        <v>712710</v>
      </c>
      <c r="AL285" s="80">
        <f>+COEF_FCM!AT292</f>
        <v>37379.900999999998</v>
      </c>
      <c r="AM285" s="80">
        <f>+COEF_FCM!AP292</f>
        <v>595734</v>
      </c>
      <c r="AN285" s="80">
        <f>+COEF_FCM!AU292</f>
        <v>25819</v>
      </c>
      <c r="AO285" s="80">
        <f>+COEF_FCM!AQ292</f>
        <v>2873746</v>
      </c>
      <c r="AP285" s="80">
        <f>+COEF_FCM!AV292</f>
        <v>160438.90100000001</v>
      </c>
      <c r="AQ285" s="80">
        <f>+_CIERRE!O285+_CIERRE!P285</f>
        <v>6322717.3030000003</v>
      </c>
      <c r="AR285" s="80">
        <f>+_CIERRE!Q285+_CIERRE!R285</f>
        <v>8004447.7419999996</v>
      </c>
      <c r="AS285" s="80">
        <f>+_CIERRE!S285+_CIERRE!T285</f>
        <v>8700321.4969999995</v>
      </c>
      <c r="AT285" s="80">
        <f>+_CIERRE!U285+_CIERRE!V285</f>
        <v>8781707.7359999996</v>
      </c>
      <c r="AU285" s="80">
        <f>+'CALC MEC ESTAB Y ESTIM M FINAL'!T290</f>
        <v>8781708</v>
      </c>
      <c r="AV285" s="560">
        <v>0</v>
      </c>
      <c r="AW285" s="551">
        <v>0</v>
      </c>
      <c r="AX285" s="551">
        <v>0</v>
      </c>
      <c r="AY285" s="551">
        <v>0</v>
      </c>
      <c r="AZ285" s="551">
        <v>0</v>
      </c>
      <c r="BA285" s="551">
        <v>0</v>
      </c>
    </row>
    <row r="286" spans="1:53" ht="3" customHeight="1" x14ac:dyDescent="0.2">
      <c r="A286" s="68">
        <f>IF(LEN(+'_DATA STT PAGOS_'!M291)=4,"0"&amp;+'_DATA STT PAGOS_'!M291,+'_DATA STT PAGOS_'!M291)</f>
        <v>13128</v>
      </c>
      <c r="B286" s="68">
        <f>IF(LEN(+'_DATA STT PAGOS_'!N291)=4,"0"&amp;+'_DATA STT PAGOS_'!N291,+'_DATA STT PAGOS_'!N291)</f>
        <v>13113</v>
      </c>
      <c r="C286" s="76" t="str">
        <f>+'_DATA STT PAGOS_'!O291</f>
        <v>RENCA</v>
      </c>
      <c r="D286" s="80">
        <f>+'CALC MEC ESTAB Y ESTIM M FINAL'!U291</f>
        <v>11645285</v>
      </c>
      <c r="E286" s="77">
        <f>+'CALC MEC ESTAB Y ESTIM M FINAL'!Q291</f>
        <v>4.2843710514999999E-3</v>
      </c>
      <c r="F286" s="77">
        <f>+'CALC MEC ESTAB Y ESTIM M FINAL'!R291</f>
        <v>-1.815512394E-4</v>
      </c>
      <c r="G286" s="80">
        <f>+'_Flujo con Glosa 08'!CE291</f>
        <v>544509</v>
      </c>
      <c r="H286" s="80">
        <f>+'_Flujo con Glosa 08'!CF291</f>
        <v>544509</v>
      </c>
      <c r="I286" s="80">
        <f>+'_Flujo con Glosa 08'!CG291</f>
        <v>513184</v>
      </c>
      <c r="J286" s="80">
        <f>+'_Flujo con Glosa 08'!CH291</f>
        <v>544509</v>
      </c>
      <c r="K286" s="80">
        <f>+'_Flujo con Glosa 08'!CI291</f>
        <v>1550220</v>
      </c>
      <c r="L286" s="80">
        <f>+'_Flujo con Glosa 08'!CJ291</f>
        <v>560019</v>
      </c>
      <c r="M286" s="80">
        <f>+'_Flujo con Glosa 08'!CK291</f>
        <v>949428</v>
      </c>
      <c r="N286" s="80">
        <f>+'_Flujo con Glosa 08'!CL291</f>
        <v>544509</v>
      </c>
      <c r="O286" s="80">
        <f>+'_Flujo con Glosa 08'!CM291</f>
        <v>619224</v>
      </c>
      <c r="P286" s="80">
        <f>+'_Flujo con Glosa 08'!CN291</f>
        <v>1023535</v>
      </c>
      <c r="Q286" s="80">
        <f>+'_Flujo con Glosa 08'!CO291</f>
        <v>544509</v>
      </c>
      <c r="R286" s="80">
        <f>+'_Flujo con Glosa 08'!CP291</f>
        <v>964921</v>
      </c>
      <c r="S286" s="80">
        <f t="shared" si="8"/>
        <v>8903076</v>
      </c>
      <c r="T286" s="80">
        <v>0</v>
      </c>
      <c r="U286" s="80">
        <v>0</v>
      </c>
      <c r="V286" s="80">
        <v>0</v>
      </c>
      <c r="W286" s="80">
        <v>0</v>
      </c>
      <c r="X286" s="80">
        <v>0</v>
      </c>
      <c r="Y286" s="80">
        <v>0</v>
      </c>
      <c r="Z286" s="80">
        <v>0</v>
      </c>
      <c r="AA286" s="80">
        <v>0</v>
      </c>
      <c r="AB286" s="80">
        <v>0</v>
      </c>
      <c r="AC286" s="80">
        <v>0</v>
      </c>
      <c r="AD286" s="80">
        <v>0</v>
      </c>
      <c r="AE286" s="80">
        <v>0</v>
      </c>
      <c r="AF286" s="80">
        <f t="shared" si="9"/>
        <v>0</v>
      </c>
      <c r="AG286" s="80">
        <f>+COEF_FCM!AM293</f>
        <v>1185061</v>
      </c>
      <c r="AH286" s="80">
        <f>+COEF_FCM!AR293</f>
        <v>11166</v>
      </c>
      <c r="AI286" s="80">
        <f>+COEF_FCM!AN293</f>
        <v>944592</v>
      </c>
      <c r="AJ286" s="80">
        <f>+COEF_FCM!AS293</f>
        <v>4792</v>
      </c>
      <c r="AK286" s="80">
        <f>+COEF_FCM!AO293</f>
        <v>1061909</v>
      </c>
      <c r="AL286" s="80">
        <f>+COEF_FCM!AT293</f>
        <v>5901.8710000000001</v>
      </c>
      <c r="AM286" s="80">
        <f>+COEF_FCM!AP293</f>
        <v>959714</v>
      </c>
      <c r="AN286" s="80">
        <f>+COEF_FCM!AU293</f>
        <v>4916</v>
      </c>
      <c r="AO286" s="80">
        <f>+COEF_FCM!AQ293</f>
        <v>4151276</v>
      </c>
      <c r="AP286" s="80">
        <f>+COEF_FCM!AV293</f>
        <v>26775.870999999999</v>
      </c>
      <c r="AQ286" s="80">
        <f>+_CIERRE!O286+_CIERRE!P286</f>
        <v>8922629.9220000003</v>
      </c>
      <c r="AR286" s="80">
        <f>+_CIERRE!Q286+_CIERRE!R286</f>
        <v>9996553.1520000007</v>
      </c>
      <c r="AS286" s="80">
        <f>+_CIERRE!S286+_CIERRE!T286</f>
        <v>10827871.556</v>
      </c>
      <c r="AT286" s="80">
        <f>+_CIERRE!U286+_CIERRE!V286</f>
        <v>11215485.725</v>
      </c>
      <c r="AU286" s="80">
        <f>+'CALC MEC ESTAB Y ESTIM M FINAL'!T291</f>
        <v>11645285</v>
      </c>
      <c r="AV286" s="560">
        <v>0</v>
      </c>
      <c r="AW286" s="551">
        <v>0</v>
      </c>
      <c r="AX286" s="551">
        <v>0</v>
      </c>
      <c r="AY286" s="551">
        <v>0</v>
      </c>
      <c r="AZ286" s="551">
        <v>0</v>
      </c>
      <c r="BA286" s="551">
        <v>0</v>
      </c>
    </row>
    <row r="287" spans="1:53" ht="3" customHeight="1" x14ac:dyDescent="0.2">
      <c r="A287" s="68">
        <f>IF(LEN(+'_DATA STT PAGOS_'!M292)=4,"0"&amp;+'_DATA STT PAGOS_'!M292,+'_DATA STT PAGOS_'!M292)</f>
        <v>13129</v>
      </c>
      <c r="B287" s="68">
        <f>IF(LEN(+'_DATA STT PAGOS_'!N292)=4,"0"&amp;+'_DATA STT PAGOS_'!N292,+'_DATA STT PAGOS_'!N292)</f>
        <v>13163</v>
      </c>
      <c r="C287" s="76" t="str">
        <f>+'_DATA STT PAGOS_'!O292</f>
        <v>SAN JOAQUÍN</v>
      </c>
      <c r="D287" s="80">
        <f>+'CALC MEC ESTAB Y ESTIM M FINAL'!U292</f>
        <v>6652654</v>
      </c>
      <c r="E287" s="77">
        <f>+'CALC MEC ESTAB Y ESTIM M FINAL'!Q292</f>
        <v>2.4094108474999997E-3</v>
      </c>
      <c r="F287" s="77">
        <f>+'CALC MEC ESTAB Y ESTIM M FINAL'!R292</f>
        <v>-6.5574458099999997E-5</v>
      </c>
      <c r="G287" s="80">
        <f>+'_Flujo con Glosa 08'!CE292</f>
        <v>315823</v>
      </c>
      <c r="H287" s="80">
        <f>+'_Flujo con Glosa 08'!CF292</f>
        <v>315823</v>
      </c>
      <c r="I287" s="80">
        <f>+'_Flujo con Glosa 08'!CG292</f>
        <v>293169</v>
      </c>
      <c r="J287" s="80">
        <f>+'_Flujo con Glosa 08'!CH292</f>
        <v>315823</v>
      </c>
      <c r="K287" s="80">
        <f>+'_Flujo con Glosa 08'!CI292</f>
        <v>871325</v>
      </c>
      <c r="L287" s="80">
        <f>+'_Flujo con Glosa 08'!CJ292</f>
        <v>324684</v>
      </c>
      <c r="M287" s="80">
        <f>+'_Flujo con Glosa 08'!CK292</f>
        <v>537625</v>
      </c>
      <c r="N287" s="80">
        <f>+'_Flujo con Glosa 08'!CL292</f>
        <v>315823</v>
      </c>
      <c r="O287" s="80">
        <f>+'_Flujo con Glosa 08'!CM292</f>
        <v>353747</v>
      </c>
      <c r="P287" s="80">
        <f>+'_Flujo con Glosa 08'!CN292</f>
        <v>579961</v>
      </c>
      <c r="Q287" s="80">
        <f>+'_Flujo con Glosa 08'!CO292</f>
        <v>315823</v>
      </c>
      <c r="R287" s="80">
        <f>+'_Flujo con Glosa 08'!CP292</f>
        <v>546476</v>
      </c>
      <c r="S287" s="80">
        <f t="shared" si="8"/>
        <v>5086102</v>
      </c>
      <c r="T287" s="80">
        <v>0</v>
      </c>
      <c r="U287" s="80">
        <v>0</v>
      </c>
      <c r="V287" s="80">
        <v>0</v>
      </c>
      <c r="W287" s="80">
        <v>0</v>
      </c>
      <c r="X287" s="80">
        <v>0</v>
      </c>
      <c r="Y287" s="80">
        <v>0</v>
      </c>
      <c r="Z287" s="80">
        <v>0</v>
      </c>
      <c r="AA287" s="80">
        <v>0</v>
      </c>
      <c r="AB287" s="80">
        <v>0</v>
      </c>
      <c r="AC287" s="80">
        <v>0</v>
      </c>
      <c r="AD287" s="80">
        <v>0</v>
      </c>
      <c r="AE287" s="80">
        <v>0</v>
      </c>
      <c r="AF287" s="80">
        <f t="shared" si="9"/>
        <v>0</v>
      </c>
      <c r="AG287" s="80">
        <f>+COEF_FCM!AM294</f>
        <v>412927</v>
      </c>
      <c r="AH287" s="80">
        <f>+COEF_FCM!AR294</f>
        <v>94769</v>
      </c>
      <c r="AI287" s="80">
        <f>+COEF_FCM!AN294</f>
        <v>300751</v>
      </c>
      <c r="AJ287" s="80">
        <f>+COEF_FCM!AS294</f>
        <v>36532</v>
      </c>
      <c r="AK287" s="80">
        <f>+COEF_FCM!AO294</f>
        <v>373541</v>
      </c>
      <c r="AL287" s="80">
        <f>+COEF_FCM!AT294</f>
        <v>58992.733999999997</v>
      </c>
      <c r="AM287" s="80">
        <f>+COEF_FCM!AP294</f>
        <v>303435</v>
      </c>
      <c r="AN287" s="80">
        <f>+COEF_FCM!AU294</f>
        <v>39926</v>
      </c>
      <c r="AO287" s="80">
        <f>+COEF_FCM!AQ294</f>
        <v>1390654</v>
      </c>
      <c r="AP287" s="80">
        <f>+COEF_FCM!AV294</f>
        <v>230219.734</v>
      </c>
      <c r="AQ287" s="80">
        <f>+_CIERRE!O287+_CIERRE!P287</f>
        <v>5066908.7369999997</v>
      </c>
      <c r="AR287" s="80">
        <f>+_CIERRE!Q287+_CIERRE!R287</f>
        <v>5979837.7230000002</v>
      </c>
      <c r="AS287" s="80">
        <f>+_CIERRE!S287+_CIERRE!T287</f>
        <v>6407238.9759999998</v>
      </c>
      <c r="AT287" s="80">
        <f>+_CIERRE!U287+_CIERRE!V287</f>
        <v>6497415.8049999997</v>
      </c>
      <c r="AU287" s="80">
        <f>+'CALC MEC ESTAB Y ESTIM M FINAL'!T292</f>
        <v>6652654</v>
      </c>
      <c r="AV287" s="560">
        <v>0</v>
      </c>
      <c r="AW287" s="551">
        <v>0</v>
      </c>
      <c r="AX287" s="551">
        <v>0</v>
      </c>
      <c r="AY287" s="551">
        <v>0</v>
      </c>
      <c r="AZ287" s="551">
        <v>0</v>
      </c>
      <c r="BA287" s="551">
        <v>0</v>
      </c>
    </row>
    <row r="288" spans="1:53" ht="3" customHeight="1" x14ac:dyDescent="0.2">
      <c r="A288" s="68">
        <f>IF(LEN(+'_DATA STT PAGOS_'!M293)=4,"0"&amp;+'_DATA STT PAGOS_'!M293,+'_DATA STT PAGOS_'!M293)</f>
        <v>13130</v>
      </c>
      <c r="B288" s="68">
        <f>IF(LEN(+'_DATA STT PAGOS_'!N293)=4,"0"&amp;+'_DATA STT PAGOS_'!N293,+'_DATA STT PAGOS_'!N293)</f>
        <v>13106</v>
      </c>
      <c r="C288" s="76" t="str">
        <f>+'_DATA STT PAGOS_'!O293</f>
        <v>SAN MIGUEL</v>
      </c>
      <c r="D288" s="80">
        <f>+'CALC MEC ESTAB Y ESTIM M FINAL'!U293</f>
        <v>4477436</v>
      </c>
      <c r="E288" s="77">
        <f>+'CALC MEC ESTAB Y ESTIM M FINAL'!Q293</f>
        <v>1.6700364763000001E-3</v>
      </c>
      <c r="F288" s="77">
        <f>+'CALC MEC ESTAB Y ESTIM M FINAL'!R293</f>
        <v>-9.2564327900000002E-5</v>
      </c>
      <c r="G288" s="80">
        <f>+'_Flujo con Glosa 08'!CE293</f>
        <v>206985</v>
      </c>
      <c r="H288" s="80">
        <f>+'_Flujo con Glosa 08'!CF293</f>
        <v>206985</v>
      </c>
      <c r="I288" s="80">
        <f>+'_Flujo con Glosa 08'!CG293</f>
        <v>197311</v>
      </c>
      <c r="J288" s="80">
        <f>+'_Flujo con Glosa 08'!CH293</f>
        <v>206985</v>
      </c>
      <c r="K288" s="80">
        <f>+'_Flujo con Glosa 08'!CI293</f>
        <v>603148</v>
      </c>
      <c r="L288" s="80">
        <f>+'_Flujo con Glosa 08'!CJ293</f>
        <v>212949</v>
      </c>
      <c r="M288" s="80">
        <f>+'_Flujo con Glosa 08'!CK293</f>
        <v>367411</v>
      </c>
      <c r="N288" s="80">
        <f>+'_Flujo con Glosa 08'!CL293</f>
        <v>206985</v>
      </c>
      <c r="O288" s="80">
        <f>+'_Flujo con Glosa 08'!CM293</f>
        <v>238082</v>
      </c>
      <c r="P288" s="80">
        <f>+'_Flujo con Glosa 08'!CN293</f>
        <v>395905</v>
      </c>
      <c r="Q288" s="80">
        <f>+'_Flujo con Glosa 08'!CO293</f>
        <v>206985</v>
      </c>
      <c r="R288" s="80">
        <f>+'_Flujo con Glosa 08'!CP293</f>
        <v>373368</v>
      </c>
      <c r="S288" s="80">
        <f t="shared" si="8"/>
        <v>3423099</v>
      </c>
      <c r="T288" s="80">
        <v>0</v>
      </c>
      <c r="U288" s="80">
        <v>0</v>
      </c>
      <c r="V288" s="80">
        <v>0</v>
      </c>
      <c r="W288" s="80">
        <v>0</v>
      </c>
      <c r="X288" s="80">
        <v>0</v>
      </c>
      <c r="Y288" s="80">
        <v>0</v>
      </c>
      <c r="Z288" s="80">
        <v>0</v>
      </c>
      <c r="AA288" s="80">
        <v>0</v>
      </c>
      <c r="AB288" s="80">
        <v>0</v>
      </c>
      <c r="AC288" s="80">
        <v>0</v>
      </c>
      <c r="AD288" s="80">
        <v>0</v>
      </c>
      <c r="AE288" s="80">
        <v>0</v>
      </c>
      <c r="AF288" s="80">
        <f t="shared" si="9"/>
        <v>0</v>
      </c>
      <c r="AG288" s="80">
        <f>+COEF_FCM!AM295</f>
        <v>1221855</v>
      </c>
      <c r="AH288" s="80">
        <f>+COEF_FCM!AR295</f>
        <v>199252</v>
      </c>
      <c r="AI288" s="80">
        <f>+COEF_FCM!AN295</f>
        <v>632406</v>
      </c>
      <c r="AJ288" s="80">
        <f>+COEF_FCM!AS295</f>
        <v>71984</v>
      </c>
      <c r="AK288" s="80">
        <f>+COEF_FCM!AO295</f>
        <v>868354</v>
      </c>
      <c r="AL288" s="80">
        <f>+COEF_FCM!AT295</f>
        <v>104713.44</v>
      </c>
      <c r="AM288" s="80">
        <f>+COEF_FCM!AP295</f>
        <v>688047</v>
      </c>
      <c r="AN288" s="80">
        <f>+COEF_FCM!AU295</f>
        <v>73161</v>
      </c>
      <c r="AO288" s="80">
        <f>+COEF_FCM!AQ295</f>
        <v>3410662</v>
      </c>
      <c r="AP288" s="80">
        <f>+COEF_FCM!AV295</f>
        <v>449110.44</v>
      </c>
      <c r="AQ288" s="80">
        <f>+_CIERRE!O288+_CIERRE!P288</f>
        <v>2874656.9410000001</v>
      </c>
      <c r="AR288" s="80">
        <f>+_CIERRE!Q288+_CIERRE!R288</f>
        <v>3580947.6850000001</v>
      </c>
      <c r="AS288" s="80">
        <f>+_CIERRE!S288+_CIERRE!T288</f>
        <v>4069968.4139999999</v>
      </c>
      <c r="AT288" s="80">
        <f>+_CIERRE!U288+_CIERRE!V288</f>
        <v>4258301.7869999995</v>
      </c>
      <c r="AU288" s="80">
        <f>+'CALC MEC ESTAB Y ESTIM M FINAL'!T293</f>
        <v>4477436</v>
      </c>
      <c r="AV288" s="560">
        <v>0</v>
      </c>
      <c r="AW288" s="551">
        <v>0</v>
      </c>
      <c r="AX288" s="551">
        <v>0</v>
      </c>
      <c r="AY288" s="551">
        <v>0</v>
      </c>
      <c r="AZ288" s="551">
        <v>0</v>
      </c>
      <c r="BA288" s="551">
        <v>0</v>
      </c>
    </row>
    <row r="289" spans="1:53" ht="3" customHeight="1" x14ac:dyDescent="0.2">
      <c r="A289" s="68">
        <f>IF(LEN(+'_DATA STT PAGOS_'!M294)=4,"0"&amp;+'_DATA STT PAGOS_'!M294,+'_DATA STT PAGOS_'!M294)</f>
        <v>13131</v>
      </c>
      <c r="B289" s="68">
        <f>IF(LEN(+'_DATA STT PAGOS_'!N294)=4,"0"&amp;+'_DATA STT PAGOS_'!N294,+'_DATA STT PAGOS_'!N294)</f>
        <v>13153</v>
      </c>
      <c r="C289" s="76" t="str">
        <f>+'_DATA STT PAGOS_'!O294</f>
        <v>SAN RAMÓN</v>
      </c>
      <c r="D289" s="80">
        <f>+'CALC MEC ESTAB Y ESTIM M FINAL'!U294</f>
        <v>13499394</v>
      </c>
      <c r="E289" s="77">
        <f>+'CALC MEC ESTAB Y ESTIM M FINAL'!Q294</f>
        <v>4.5430761303E-3</v>
      </c>
      <c r="F289" s="77">
        <f>+'CALC MEC ESTAB Y ESTIM M FINAL'!R294</f>
        <v>2.129760626E-4</v>
      </c>
      <c r="G289" s="80">
        <f>+'_Flujo con Glosa 08'!CE294</f>
        <v>654897</v>
      </c>
      <c r="H289" s="80">
        <f>+'_Flujo con Glosa 08'!CF294</f>
        <v>654897</v>
      </c>
      <c r="I289" s="80">
        <f>+'_Flujo con Glosa 08'!CG294</f>
        <v>594890</v>
      </c>
      <c r="J289" s="80">
        <f>+'_Flujo con Glosa 08'!CH294</f>
        <v>654897</v>
      </c>
      <c r="K289" s="80">
        <f>+'_Flujo con Glosa 08'!CI294</f>
        <v>1725959</v>
      </c>
      <c r="L289" s="80">
        <f>+'_Flujo con Glosa 08'!CJ294</f>
        <v>672877</v>
      </c>
      <c r="M289" s="80">
        <f>+'_Flujo con Glosa 08'!CK294</f>
        <v>1099849</v>
      </c>
      <c r="N289" s="80">
        <f>+'_Flujo con Glosa 08'!CL294</f>
        <v>654897</v>
      </c>
      <c r="O289" s="80">
        <f>+'_Flujo con Glosa 08'!CM294</f>
        <v>717815</v>
      </c>
      <c r="P289" s="80">
        <f>+'_Flujo con Glosa 08'!CN294</f>
        <v>1139853</v>
      </c>
      <c r="Q289" s="80">
        <f>+'_Flujo con Glosa 08'!CO294</f>
        <v>654897</v>
      </c>
      <c r="R289" s="80">
        <f>+'_Flujo con Glosa 08'!CP294</f>
        <v>1094857</v>
      </c>
      <c r="S289" s="80">
        <f t="shared" si="8"/>
        <v>10320585</v>
      </c>
      <c r="T289" s="80">
        <v>0</v>
      </c>
      <c r="U289" s="80">
        <v>0</v>
      </c>
      <c r="V289" s="80">
        <v>0</v>
      </c>
      <c r="W289" s="80">
        <v>0</v>
      </c>
      <c r="X289" s="80">
        <v>0</v>
      </c>
      <c r="Y289" s="80">
        <v>0</v>
      </c>
      <c r="Z289" s="80">
        <v>0</v>
      </c>
      <c r="AA289" s="80">
        <v>0</v>
      </c>
      <c r="AB289" s="80">
        <v>0</v>
      </c>
      <c r="AC289" s="80">
        <v>0</v>
      </c>
      <c r="AD289" s="80">
        <v>0</v>
      </c>
      <c r="AE289" s="80">
        <v>0</v>
      </c>
      <c r="AF289" s="80">
        <f t="shared" si="9"/>
        <v>0</v>
      </c>
      <c r="AG289" s="80">
        <f>+COEF_FCM!AM296</f>
        <v>50270</v>
      </c>
      <c r="AH289" s="80">
        <f>+COEF_FCM!AR296</f>
        <v>3371</v>
      </c>
      <c r="AI289" s="80">
        <f>+COEF_FCM!AN296</f>
        <v>40487</v>
      </c>
      <c r="AJ289" s="80">
        <f>+COEF_FCM!AS296</f>
        <v>1479</v>
      </c>
      <c r="AK289" s="80">
        <f>+COEF_FCM!AO296</f>
        <v>39417</v>
      </c>
      <c r="AL289" s="80">
        <f>+COEF_FCM!AT296</f>
        <v>2067.7510000000002</v>
      </c>
      <c r="AM289" s="80">
        <f>+COEF_FCM!AP296</f>
        <v>31986</v>
      </c>
      <c r="AN289" s="80">
        <f>+COEF_FCM!AU296</f>
        <v>1709</v>
      </c>
      <c r="AO289" s="80">
        <f>+COEF_FCM!AQ296</f>
        <v>162160</v>
      </c>
      <c r="AP289" s="80">
        <f>+COEF_FCM!AV296</f>
        <v>8626.7510000000002</v>
      </c>
      <c r="AQ289" s="80">
        <f>+_CIERRE!O289+_CIERRE!P289</f>
        <v>11930277.706</v>
      </c>
      <c r="AR289" s="80">
        <f>+_CIERRE!Q289+_CIERRE!R289</f>
        <v>12934580.602</v>
      </c>
      <c r="AS289" s="80">
        <f>+_CIERRE!S289+_CIERRE!T289</f>
        <v>13374283.902000001</v>
      </c>
      <c r="AT289" s="80">
        <f>+_CIERRE!U289+_CIERRE!V289</f>
        <v>13499393.892999999</v>
      </c>
      <c r="AU289" s="80">
        <f>+'CALC MEC ESTAB Y ESTIM M FINAL'!T294</f>
        <v>13499394</v>
      </c>
      <c r="AV289" s="560">
        <v>0</v>
      </c>
      <c r="AW289" s="551">
        <v>0</v>
      </c>
      <c r="AX289" s="551">
        <v>0</v>
      </c>
      <c r="AY289" s="551">
        <v>0</v>
      </c>
      <c r="AZ289" s="551">
        <v>1198509.773</v>
      </c>
      <c r="BA289" s="551">
        <v>1248358.6839999999</v>
      </c>
    </row>
    <row r="290" spans="1:53" ht="3" customHeight="1" x14ac:dyDescent="0.2">
      <c r="A290" s="68">
        <f>IF(LEN(+'_DATA STT PAGOS_'!M295)=4,"0"&amp;+'_DATA STT PAGOS_'!M295,+'_DATA STT PAGOS_'!M295)</f>
        <v>13132</v>
      </c>
      <c r="B290" s="68">
        <f>IF(LEN(+'_DATA STT PAGOS_'!N295)=4,"0"&amp;+'_DATA STT PAGOS_'!N295,+'_DATA STT PAGOS_'!N295)</f>
        <v>13160</v>
      </c>
      <c r="C290" s="76" t="str">
        <f>+'_DATA STT PAGOS_'!O295</f>
        <v>VITACURA</v>
      </c>
      <c r="D290" s="80">
        <f>+'CALC MEC ESTAB Y ESTIM M FINAL'!U295</f>
        <v>2529950</v>
      </c>
      <c r="E290" s="77">
        <f>+'CALC MEC ESTAB Y ESTIM M FINAL'!Q295</f>
        <v>7.9058330120000003E-4</v>
      </c>
      <c r="F290" s="77">
        <f>+'CALC MEC ESTAB Y ESTIM M FINAL'!R295</f>
        <v>1.007584928E-4</v>
      </c>
      <c r="G290" s="80">
        <f>+'_Flujo con Glosa 08'!CE295</f>
        <v>73493</v>
      </c>
      <c r="H290" s="80">
        <f>+'_Flujo con Glosa 08'!CF295</f>
        <v>39081</v>
      </c>
      <c r="I290" s="80">
        <f>+'_Flujo con Glosa 08'!CG295</f>
        <v>111490</v>
      </c>
      <c r="J290" s="80">
        <f>+'_Flujo con Glosa 08'!CH295</f>
        <v>59199</v>
      </c>
      <c r="K290" s="80">
        <f>+'_Flujo con Glosa 08'!CI295</f>
        <v>519899</v>
      </c>
      <c r="L290" s="80">
        <f>+'_Flujo con Glosa 08'!CJ295</f>
        <v>105407</v>
      </c>
      <c r="M290" s="80">
        <f>+'_Flujo con Glosa 08'!CK295</f>
        <v>222522</v>
      </c>
      <c r="N290" s="80">
        <f>+'_Flujo con Glosa 08'!CL295</f>
        <v>66998</v>
      </c>
      <c r="O290" s="80">
        <f>+'_Flujo con Glosa 08'!CM295</f>
        <v>134527</v>
      </c>
      <c r="P290" s="80">
        <f>+'_Flujo con Glosa 08'!CN295</f>
        <v>273661</v>
      </c>
      <c r="Q290" s="80">
        <f>+'_Flujo con Glosa 08'!CO295</f>
        <v>101567</v>
      </c>
      <c r="R290" s="80">
        <f>+'_Flujo con Glosa 08'!CP295</f>
        <v>226358</v>
      </c>
      <c r="S290" s="80">
        <f t="shared" si="8"/>
        <v>1934202</v>
      </c>
      <c r="T290" s="80">
        <v>0</v>
      </c>
      <c r="U290" s="80">
        <v>0</v>
      </c>
      <c r="V290" s="80">
        <v>0</v>
      </c>
      <c r="W290" s="80">
        <v>0</v>
      </c>
      <c r="X290" s="80">
        <v>0</v>
      </c>
      <c r="Y290" s="80">
        <v>0</v>
      </c>
      <c r="Z290" s="80">
        <v>0</v>
      </c>
      <c r="AA290" s="80">
        <v>0</v>
      </c>
      <c r="AB290" s="80">
        <v>0</v>
      </c>
      <c r="AC290" s="80">
        <v>0</v>
      </c>
      <c r="AD290" s="80">
        <v>0</v>
      </c>
      <c r="AE290" s="80">
        <v>0</v>
      </c>
      <c r="AF290" s="80">
        <f t="shared" si="9"/>
        <v>0</v>
      </c>
      <c r="AG290" s="80">
        <f>+COEF_FCM!AM297</f>
        <v>7107287</v>
      </c>
      <c r="AH290" s="80">
        <f>+COEF_FCM!AR297</f>
        <v>1085244</v>
      </c>
      <c r="AI290" s="80">
        <f>+COEF_FCM!AN297</f>
        <v>4619506</v>
      </c>
      <c r="AJ290" s="80">
        <f>+COEF_FCM!AS297</f>
        <v>556445</v>
      </c>
      <c r="AK290" s="80">
        <f>+COEF_FCM!AO297</f>
        <v>5453627</v>
      </c>
      <c r="AL290" s="80">
        <f>+COEF_FCM!AT297</f>
        <v>697381.11199999996</v>
      </c>
      <c r="AM290" s="80">
        <f>+COEF_FCM!AP297</f>
        <v>4391998</v>
      </c>
      <c r="AN290" s="80">
        <f>+COEF_FCM!AU297</f>
        <v>497978</v>
      </c>
      <c r="AO290" s="80">
        <f>+COEF_FCM!AQ297</f>
        <v>21572418</v>
      </c>
      <c r="AP290" s="80">
        <f>+COEF_FCM!AV297</f>
        <v>2837048.1119999997</v>
      </c>
      <c r="AQ290" s="80">
        <f>+_CIERRE!O290+_CIERRE!P290</f>
        <v>2235880.4049999998</v>
      </c>
      <c r="AR290" s="80">
        <f>+_CIERRE!Q290+_CIERRE!R290</f>
        <v>2424098.057</v>
      </c>
      <c r="AS290" s="80">
        <f>+_CIERRE!S290+_CIERRE!T290</f>
        <v>2506503.4700000002</v>
      </c>
      <c r="AT290" s="80">
        <f>+_CIERRE!U290+_CIERRE!V290</f>
        <v>2529950.0150000001</v>
      </c>
      <c r="AU290" s="80">
        <f>+'CALC MEC ESTAB Y ESTIM M FINAL'!T295</f>
        <v>2529950</v>
      </c>
      <c r="AV290" s="560">
        <v>0</v>
      </c>
      <c r="AW290" s="551">
        <v>0</v>
      </c>
      <c r="AX290" s="551">
        <v>0</v>
      </c>
      <c r="AY290" s="551">
        <v>0</v>
      </c>
      <c r="AZ290" s="551">
        <v>0</v>
      </c>
      <c r="BA290" s="551">
        <v>0</v>
      </c>
    </row>
    <row r="291" spans="1:53" ht="3" customHeight="1" x14ac:dyDescent="0.2">
      <c r="A291" s="68">
        <f>IF(LEN(+'_DATA STT PAGOS_'!M296)=4,"0"&amp;+'_DATA STT PAGOS_'!M296,+'_DATA STT PAGOS_'!M296)</f>
        <v>13201</v>
      </c>
      <c r="B291" s="68">
        <f>IF(LEN(+'_DATA STT PAGOS_'!N296)=4,"0"&amp;+'_DATA STT PAGOS_'!N296,+'_DATA STT PAGOS_'!N296)</f>
        <v>13301</v>
      </c>
      <c r="C291" s="76" t="str">
        <f>+'_DATA STT PAGOS_'!O296</f>
        <v>PUENTE ALTO</v>
      </c>
      <c r="D291" s="80">
        <f>+'CALC MEC ESTAB Y ESTIM M FINAL'!U296</f>
        <v>86068294</v>
      </c>
      <c r="E291" s="77">
        <f>+'CALC MEC ESTAB Y ESTIM M FINAL'!Q296</f>
        <v>2.74720472358E-2</v>
      </c>
      <c r="F291" s="77">
        <f>+'CALC MEC ESTAB Y ESTIM M FINAL'!R296</f>
        <v>2.8511874740000001E-3</v>
      </c>
      <c r="G291" s="80">
        <f>+'_Flujo con Glosa 08'!CE296</f>
        <v>4175436</v>
      </c>
      <c r="H291" s="80">
        <f>+'_Flujo con Glosa 08'!CF296</f>
        <v>4175436</v>
      </c>
      <c r="I291" s="80">
        <f>+'_Flujo con Glosa 08'!CG296</f>
        <v>3792851</v>
      </c>
      <c r="J291" s="80">
        <f>+'_Flujo con Glosa 08'!CH296</f>
        <v>4175436</v>
      </c>
      <c r="K291" s="80">
        <f>+'_Flujo con Glosa 08'!CI296</f>
        <v>11004226</v>
      </c>
      <c r="L291" s="80">
        <f>+'_Flujo con Glosa 08'!CJ296</f>
        <v>4290071</v>
      </c>
      <c r="M291" s="80">
        <f>+'_Flujo con Glosa 08'!CK296</f>
        <v>7012326</v>
      </c>
      <c r="N291" s="80">
        <f>+'_Flujo con Glosa 08'!CL296</f>
        <v>4175436</v>
      </c>
      <c r="O291" s="80">
        <f>+'_Flujo con Glosa 08'!CM296</f>
        <v>4576579</v>
      </c>
      <c r="P291" s="80">
        <f>+'_Flujo con Glosa 08'!CN296</f>
        <v>7267382</v>
      </c>
      <c r="Q291" s="80">
        <f>+'_Flujo con Glosa 08'!CO296</f>
        <v>4175436</v>
      </c>
      <c r="R291" s="80">
        <f>+'_Flujo con Glosa 08'!CP296</f>
        <v>6980498</v>
      </c>
      <c r="S291" s="80">
        <f t="shared" si="8"/>
        <v>65801113</v>
      </c>
      <c r="T291" s="80">
        <v>0</v>
      </c>
      <c r="U291" s="80">
        <v>0</v>
      </c>
      <c r="V291" s="80">
        <v>0</v>
      </c>
      <c r="W291" s="80">
        <v>0</v>
      </c>
      <c r="X291" s="80">
        <v>0</v>
      </c>
      <c r="Y291" s="80">
        <v>0</v>
      </c>
      <c r="Z291" s="80">
        <v>0</v>
      </c>
      <c r="AA291" s="80">
        <v>0</v>
      </c>
      <c r="AB291" s="80">
        <v>0</v>
      </c>
      <c r="AC291" s="80">
        <v>0</v>
      </c>
      <c r="AD291" s="80">
        <v>0</v>
      </c>
      <c r="AE291" s="80">
        <v>0</v>
      </c>
      <c r="AF291" s="80">
        <f t="shared" si="9"/>
        <v>0</v>
      </c>
      <c r="AG291" s="80">
        <f>+COEF_FCM!AM298</f>
        <v>1621182</v>
      </c>
      <c r="AH291" s="80">
        <f>+COEF_FCM!AR298</f>
        <v>236060</v>
      </c>
      <c r="AI291" s="80">
        <f>+COEF_FCM!AN298</f>
        <v>1414114</v>
      </c>
      <c r="AJ291" s="80">
        <f>+COEF_FCM!AS298</f>
        <v>105211</v>
      </c>
      <c r="AK291" s="80">
        <f>+COEF_FCM!AO298</f>
        <v>1495077</v>
      </c>
      <c r="AL291" s="80">
        <f>+COEF_FCM!AT298</f>
        <v>130860.213</v>
      </c>
      <c r="AM291" s="80">
        <f>+COEF_FCM!AP298</f>
        <v>1203127</v>
      </c>
      <c r="AN291" s="80">
        <f>+COEF_FCM!AU298</f>
        <v>98089</v>
      </c>
      <c r="AO291" s="80">
        <f>+COEF_FCM!AQ298</f>
        <v>5733500</v>
      </c>
      <c r="AP291" s="80">
        <f>+COEF_FCM!AV298</f>
        <v>570220.21299999999</v>
      </c>
      <c r="AQ291" s="80">
        <f>+_CIERRE!O291+_CIERRE!P291</f>
        <v>76064060.237000003</v>
      </c>
      <c r="AR291" s="80">
        <f>+_CIERRE!Q291+_CIERRE!R291</f>
        <v>82467206.378000006</v>
      </c>
      <c r="AS291" s="80">
        <f>+_CIERRE!S291+_CIERRE!T291</f>
        <v>85270627.679000005</v>
      </c>
      <c r="AT291" s="80">
        <f>+_CIERRE!U291+_CIERRE!V291</f>
        <v>86068293.695999995</v>
      </c>
      <c r="AU291" s="80">
        <f>+'CALC MEC ESTAB Y ESTIM M FINAL'!T296</f>
        <v>86068294</v>
      </c>
      <c r="AV291" s="560">
        <v>0</v>
      </c>
      <c r="AW291" s="551">
        <v>0</v>
      </c>
      <c r="AX291" s="551">
        <v>0</v>
      </c>
      <c r="AY291" s="551">
        <v>0</v>
      </c>
      <c r="AZ291" s="551">
        <v>7475869.4529999997</v>
      </c>
      <c r="BA291" s="551">
        <v>7541443.7520000003</v>
      </c>
    </row>
    <row r="292" spans="1:53" ht="3" customHeight="1" x14ac:dyDescent="0.2">
      <c r="A292" s="68">
        <f>IF(LEN(+'_DATA STT PAGOS_'!M297)=4,"0"&amp;+'_DATA STT PAGOS_'!M297,+'_DATA STT PAGOS_'!M297)</f>
        <v>13202</v>
      </c>
      <c r="B292" s="68">
        <f>IF(LEN(+'_DATA STT PAGOS_'!N297)=4,"0"&amp;+'_DATA STT PAGOS_'!N297,+'_DATA STT PAGOS_'!N297)</f>
        <v>13302</v>
      </c>
      <c r="C292" s="76" t="str">
        <f>+'_DATA STT PAGOS_'!O297</f>
        <v>PIRQUE</v>
      </c>
      <c r="D292" s="80">
        <f>+'CALC MEC ESTAB Y ESTIM M FINAL'!U297</f>
        <v>2473146</v>
      </c>
      <c r="E292" s="77">
        <f>+'CALC MEC ESTAB Y ESTIM M FINAL'!Q297</f>
        <v>9.0535010859999995E-4</v>
      </c>
      <c r="F292" s="77">
        <f>+'CALC MEC ESTAB Y ESTIM M FINAL'!R297</f>
        <v>-3.4021391899999999E-5</v>
      </c>
      <c r="G292" s="80">
        <f>+'_Flujo con Glosa 08'!CE297</f>
        <v>116316</v>
      </c>
      <c r="H292" s="80">
        <f>+'_Flujo con Glosa 08'!CF297</f>
        <v>116316</v>
      </c>
      <c r="I292" s="80">
        <f>+'_Flujo con Glosa 08'!CG297</f>
        <v>108986</v>
      </c>
      <c r="J292" s="80">
        <f>+'_Flujo con Glosa 08'!CH297</f>
        <v>116316</v>
      </c>
      <c r="K292" s="80">
        <f>+'_Flujo con Glosa 08'!CI297</f>
        <v>327195</v>
      </c>
      <c r="L292" s="80">
        <f>+'_Flujo con Glosa 08'!CJ297</f>
        <v>119610</v>
      </c>
      <c r="M292" s="80">
        <f>+'_Flujo con Glosa 08'!CK297</f>
        <v>200956</v>
      </c>
      <c r="N292" s="80">
        <f>+'_Flujo con Glosa 08'!CL297</f>
        <v>116316</v>
      </c>
      <c r="O292" s="80">
        <f>+'_Flujo con Glosa 08'!CM297</f>
        <v>131507</v>
      </c>
      <c r="P292" s="80">
        <f>+'_Flujo con Glosa 08'!CN297</f>
        <v>216694</v>
      </c>
      <c r="Q292" s="80">
        <f>+'_Flujo con Glosa 08'!CO297</f>
        <v>116316</v>
      </c>
      <c r="R292" s="80">
        <f>+'_Flujo con Glosa 08'!CP297</f>
        <v>204247</v>
      </c>
      <c r="S292" s="80">
        <f t="shared" si="8"/>
        <v>1890775</v>
      </c>
      <c r="T292" s="80">
        <v>0</v>
      </c>
      <c r="U292" s="80">
        <v>0</v>
      </c>
      <c r="V292" s="80">
        <v>0</v>
      </c>
      <c r="W292" s="80">
        <v>0</v>
      </c>
      <c r="X292" s="80">
        <v>0</v>
      </c>
      <c r="Y292" s="80">
        <v>0</v>
      </c>
      <c r="Z292" s="80">
        <v>0</v>
      </c>
      <c r="AA292" s="80">
        <v>0</v>
      </c>
      <c r="AB292" s="80">
        <v>0</v>
      </c>
      <c r="AC292" s="80">
        <v>0</v>
      </c>
      <c r="AD292" s="80">
        <v>0</v>
      </c>
      <c r="AE292" s="80">
        <v>0</v>
      </c>
      <c r="AF292" s="80">
        <f t="shared" si="9"/>
        <v>0</v>
      </c>
      <c r="AG292" s="80">
        <f>+COEF_FCM!AM299</f>
        <v>273922</v>
      </c>
      <c r="AH292" s="80">
        <f>+COEF_FCM!AR299</f>
        <v>35629</v>
      </c>
      <c r="AI292" s="80">
        <f>+COEF_FCM!AN299</f>
        <v>214368</v>
      </c>
      <c r="AJ292" s="80">
        <f>+COEF_FCM!AS299</f>
        <v>23798</v>
      </c>
      <c r="AK292" s="80">
        <f>+COEF_FCM!AO299</f>
        <v>220987</v>
      </c>
      <c r="AL292" s="80">
        <f>+COEF_FCM!AT299</f>
        <v>24670.832999999999</v>
      </c>
      <c r="AM292" s="80">
        <f>+COEF_FCM!AP299</f>
        <v>185815</v>
      </c>
      <c r="AN292" s="80">
        <f>+COEF_FCM!AU299</f>
        <v>19444</v>
      </c>
      <c r="AO292" s="80">
        <f>+COEF_FCM!AQ299</f>
        <v>895092</v>
      </c>
      <c r="AP292" s="80">
        <f>+COEF_FCM!AV299</f>
        <v>103541.833</v>
      </c>
      <c r="AQ292" s="80">
        <f>+_CIERRE!O292+_CIERRE!P292</f>
        <v>1600488.6969999999</v>
      </c>
      <c r="AR292" s="80">
        <f>+_CIERRE!Q292+_CIERRE!R292</f>
        <v>2075937.385</v>
      </c>
      <c r="AS292" s="80">
        <f>+_CIERRE!S292+_CIERRE!T292</f>
        <v>2330487.3870000001</v>
      </c>
      <c r="AT292" s="80">
        <f>+_CIERRE!U292+_CIERRE!V292</f>
        <v>2392604.1039999998</v>
      </c>
      <c r="AU292" s="80">
        <f>+'CALC MEC ESTAB Y ESTIM M FINAL'!T297</f>
        <v>2473146</v>
      </c>
      <c r="AV292" s="560">
        <v>0</v>
      </c>
      <c r="AW292" s="551">
        <v>0</v>
      </c>
      <c r="AX292" s="551">
        <v>0</v>
      </c>
      <c r="AY292" s="551">
        <v>0</v>
      </c>
      <c r="AZ292" s="551">
        <v>312413.92599999998</v>
      </c>
      <c r="BA292" s="551">
        <v>321829.03399999999</v>
      </c>
    </row>
    <row r="293" spans="1:53" ht="3" customHeight="1" x14ac:dyDescent="0.2">
      <c r="A293" s="68">
        <f>IF(LEN(+'_DATA STT PAGOS_'!M298)=4,"0"&amp;+'_DATA STT PAGOS_'!M298,+'_DATA STT PAGOS_'!M298)</f>
        <v>13203</v>
      </c>
      <c r="B293" s="68">
        <f>IF(LEN(+'_DATA STT PAGOS_'!N298)=4,"0"&amp;+'_DATA STT PAGOS_'!N298,+'_DATA STT PAGOS_'!N298)</f>
        <v>13303</v>
      </c>
      <c r="C293" s="76" t="str">
        <f>+'_DATA STT PAGOS_'!O298</f>
        <v>SAN JOSÉ DE MAIPO</v>
      </c>
      <c r="D293" s="80">
        <f>+'CALC MEC ESTAB Y ESTIM M FINAL'!U298</f>
        <v>2460412</v>
      </c>
      <c r="E293" s="77">
        <f>+'CALC MEC ESTAB Y ESTIM M FINAL'!Q298</f>
        <v>8.9743750479999993E-4</v>
      </c>
      <c r="F293" s="77">
        <f>+'CALC MEC ESTAB Y ESTIM M FINAL'!R298</f>
        <v>-3.0595119099999998E-5</v>
      </c>
      <c r="G293" s="80">
        <f>+'_Flujo con Glosa 08'!CE298</f>
        <v>115897</v>
      </c>
      <c r="H293" s="80">
        <f>+'_Flujo con Glosa 08'!CF298</f>
        <v>115897</v>
      </c>
      <c r="I293" s="80">
        <f>+'_Flujo con Glosa 08'!CG298</f>
        <v>108425</v>
      </c>
      <c r="J293" s="80">
        <f>+'_Flujo con Glosa 08'!CH298</f>
        <v>115897</v>
      </c>
      <c r="K293" s="80">
        <f>+'_Flujo con Glosa 08'!CI298</f>
        <v>324970</v>
      </c>
      <c r="L293" s="80">
        <f>+'_Flujo con Glosa 08'!CJ298</f>
        <v>119174</v>
      </c>
      <c r="M293" s="80">
        <f>+'_Flujo con Glosa 08'!CK298</f>
        <v>199741</v>
      </c>
      <c r="N293" s="80">
        <f>+'_Flujo con Glosa 08'!CL298</f>
        <v>115897</v>
      </c>
      <c r="O293" s="80">
        <f>+'_Flujo con Glosa 08'!CM298</f>
        <v>130830</v>
      </c>
      <c r="P293" s="80">
        <f>+'_Flujo con Glosa 08'!CN298</f>
        <v>215399</v>
      </c>
      <c r="Q293" s="80">
        <f>+'_Flujo con Glosa 08'!CO298</f>
        <v>115897</v>
      </c>
      <c r="R293" s="80">
        <f>+'_Flujo con Glosa 08'!CP298</f>
        <v>203015</v>
      </c>
      <c r="S293" s="80">
        <f t="shared" si="8"/>
        <v>1881039</v>
      </c>
      <c r="T293" s="80">
        <v>0</v>
      </c>
      <c r="U293" s="80">
        <v>0</v>
      </c>
      <c r="V293" s="80">
        <v>0</v>
      </c>
      <c r="W293" s="80">
        <v>0</v>
      </c>
      <c r="X293" s="80">
        <v>0</v>
      </c>
      <c r="Y293" s="80">
        <v>0</v>
      </c>
      <c r="Z293" s="80">
        <v>0</v>
      </c>
      <c r="AA293" s="80">
        <v>0</v>
      </c>
      <c r="AB293" s="80">
        <v>0</v>
      </c>
      <c r="AC293" s="80">
        <v>0</v>
      </c>
      <c r="AD293" s="80">
        <v>0</v>
      </c>
      <c r="AE293" s="80">
        <v>0</v>
      </c>
      <c r="AF293" s="80">
        <f t="shared" si="9"/>
        <v>0</v>
      </c>
      <c r="AG293" s="80">
        <f>+COEF_FCM!AM300</f>
        <v>166430</v>
      </c>
      <c r="AH293" s="80">
        <f>+COEF_FCM!AR300</f>
        <v>49705</v>
      </c>
      <c r="AI293" s="80">
        <f>+COEF_FCM!AN300</f>
        <v>102527</v>
      </c>
      <c r="AJ293" s="80">
        <f>+COEF_FCM!AS300</f>
        <v>23982</v>
      </c>
      <c r="AK293" s="80">
        <f>+COEF_FCM!AO300</f>
        <v>135045</v>
      </c>
      <c r="AL293" s="80">
        <f>+COEF_FCM!AT300</f>
        <v>33686.909</v>
      </c>
      <c r="AM293" s="80">
        <f>+COEF_FCM!AP300</f>
        <v>98241</v>
      </c>
      <c r="AN293" s="80">
        <f>+COEF_FCM!AU300</f>
        <v>23200</v>
      </c>
      <c r="AO293" s="80">
        <f>+COEF_FCM!AQ300</f>
        <v>502243</v>
      </c>
      <c r="AP293" s="80">
        <f>+COEF_FCM!AV300</f>
        <v>130573.909</v>
      </c>
      <c r="AQ293" s="80">
        <f>+_CIERRE!O293+_CIERRE!P293</f>
        <v>2070606.34</v>
      </c>
      <c r="AR293" s="80">
        <f>+_CIERRE!Q293+_CIERRE!R293</f>
        <v>2244911.6839999999</v>
      </c>
      <c r="AS293" s="80">
        <f>+_CIERRE!S293+_CIERRE!T293</f>
        <v>2333162.5180000002</v>
      </c>
      <c r="AT293" s="80">
        <f>+_CIERRE!U293+_CIERRE!V293</f>
        <v>2387982.9139999999</v>
      </c>
      <c r="AU293" s="80">
        <f>+'CALC MEC ESTAB Y ESTIM M FINAL'!T298</f>
        <v>2460412</v>
      </c>
      <c r="AV293" s="560">
        <v>0</v>
      </c>
      <c r="AW293" s="551">
        <v>0</v>
      </c>
      <c r="AX293" s="551">
        <v>0</v>
      </c>
      <c r="AY293" s="551">
        <v>0</v>
      </c>
      <c r="AZ293" s="551">
        <v>311580.24400000001</v>
      </c>
      <c r="BA293" s="551">
        <v>320585.054</v>
      </c>
    </row>
    <row r="294" spans="1:53" ht="3" customHeight="1" x14ac:dyDescent="0.2">
      <c r="A294" s="68">
        <f>IF(LEN(+'_DATA STT PAGOS_'!M299)=4,"0"&amp;+'_DATA STT PAGOS_'!M299,+'_DATA STT PAGOS_'!M299)</f>
        <v>13301</v>
      </c>
      <c r="B294" s="68">
        <f>IF(LEN(+'_DATA STT PAGOS_'!N299)=4,"0"&amp;+'_DATA STT PAGOS_'!N299,+'_DATA STT PAGOS_'!N299)</f>
        <v>13201</v>
      </c>
      <c r="C294" s="76" t="str">
        <f>+'_DATA STT PAGOS_'!O299</f>
        <v>COLINA</v>
      </c>
      <c r="D294" s="80">
        <f>+'CALC MEC ESTAB Y ESTIM M FINAL'!U299</f>
        <v>7343659</v>
      </c>
      <c r="E294" s="77">
        <f>+'CALC MEC ESTAB Y ESTIM M FINAL'!Q299</f>
        <v>2.7130212060999998E-3</v>
      </c>
      <c r="F294" s="77">
        <f>+'CALC MEC ESTAB Y ESTIM M FINAL'!R299</f>
        <v>-1.2573276280000001E-4</v>
      </c>
      <c r="G294" s="80">
        <f>+'_Flujo con Glosa 08'!CE299</f>
        <v>341891</v>
      </c>
      <c r="H294" s="80">
        <f>+'_Flujo con Glosa 08'!CF299</f>
        <v>341891</v>
      </c>
      <c r="I294" s="80">
        <f>+'_Flujo con Glosa 08'!CG299</f>
        <v>323620</v>
      </c>
      <c r="J294" s="80">
        <f>+'_Flujo con Glosa 08'!CH299</f>
        <v>341891</v>
      </c>
      <c r="K294" s="80">
        <f>+'_Flujo con Glosa 08'!CI299</f>
        <v>982037</v>
      </c>
      <c r="L294" s="80">
        <f>+'_Flujo con Glosa 08'!CJ299</f>
        <v>351672</v>
      </c>
      <c r="M294" s="80">
        <f>+'_Flujo con Glosa 08'!CK299</f>
        <v>600205</v>
      </c>
      <c r="N294" s="80">
        <f>+'_Flujo con Glosa 08'!CL299</f>
        <v>341891</v>
      </c>
      <c r="O294" s="80">
        <f>+'_Flujo con Glosa 08'!CM299</f>
        <v>390490</v>
      </c>
      <c r="P294" s="80">
        <f>+'_Flujo con Glosa 08'!CN299</f>
        <v>646937</v>
      </c>
      <c r="Q294" s="80">
        <f>+'_Flujo con Glosa 08'!CO299</f>
        <v>341891</v>
      </c>
      <c r="R294" s="80">
        <f>+'_Flujo con Glosa 08'!CP299</f>
        <v>609973</v>
      </c>
      <c r="S294" s="80">
        <f t="shared" si="8"/>
        <v>5614389</v>
      </c>
      <c r="T294" s="80">
        <v>0</v>
      </c>
      <c r="U294" s="80">
        <v>0</v>
      </c>
      <c r="V294" s="80">
        <v>0</v>
      </c>
      <c r="W294" s="80">
        <v>0</v>
      </c>
      <c r="X294" s="80">
        <v>0</v>
      </c>
      <c r="Y294" s="80">
        <v>0</v>
      </c>
      <c r="Z294" s="80">
        <v>0</v>
      </c>
      <c r="AA294" s="80">
        <v>0</v>
      </c>
      <c r="AB294" s="80">
        <v>0</v>
      </c>
      <c r="AC294" s="80">
        <v>0</v>
      </c>
      <c r="AD294" s="80">
        <v>0</v>
      </c>
      <c r="AE294" s="80">
        <v>0</v>
      </c>
      <c r="AF294" s="80">
        <f t="shared" si="9"/>
        <v>0</v>
      </c>
      <c r="AG294" s="80">
        <f>+COEF_FCM!AM301</f>
        <v>4232781</v>
      </c>
      <c r="AH294" s="80">
        <f>+COEF_FCM!AR301</f>
        <v>344677</v>
      </c>
      <c r="AI294" s="80">
        <f>+COEF_FCM!AN301</f>
        <v>2680156</v>
      </c>
      <c r="AJ294" s="80">
        <f>+COEF_FCM!AS301</f>
        <v>180825</v>
      </c>
      <c r="AK294" s="80">
        <f>+COEF_FCM!AO301</f>
        <v>3280159</v>
      </c>
      <c r="AL294" s="80">
        <f>+COEF_FCM!AT301</f>
        <v>167797.31899999999</v>
      </c>
      <c r="AM294" s="80">
        <f>+COEF_FCM!AP301</f>
        <v>2732483</v>
      </c>
      <c r="AN294" s="80">
        <f>+COEF_FCM!AU301</f>
        <v>124091</v>
      </c>
      <c r="AO294" s="80">
        <f>+COEF_FCM!AQ301</f>
        <v>12925579</v>
      </c>
      <c r="AP294" s="80">
        <f>+COEF_FCM!AV301</f>
        <v>817390.31900000002</v>
      </c>
      <c r="AQ294" s="80">
        <f>+_CIERRE!O294+_CIERRE!P294</f>
        <v>5266066.5750000002</v>
      </c>
      <c r="AR294" s="80">
        <f>+_CIERRE!Q294+_CIERRE!R294</f>
        <v>6166243.7230000002</v>
      </c>
      <c r="AS294" s="80">
        <f>+_CIERRE!S294+_CIERRE!T294</f>
        <v>6740647.5659999996</v>
      </c>
      <c r="AT294" s="80">
        <f>+_CIERRE!U294+_CIERRE!V294</f>
        <v>7046003.2949999999</v>
      </c>
      <c r="AU294" s="80">
        <f>+'CALC MEC ESTAB Y ESTIM M FINAL'!T299</f>
        <v>7343659</v>
      </c>
      <c r="AV294" s="560">
        <v>0</v>
      </c>
      <c r="AW294" s="551">
        <v>0</v>
      </c>
      <c r="AX294" s="551">
        <v>0</v>
      </c>
      <c r="AY294" s="551">
        <v>0</v>
      </c>
      <c r="AZ294" s="551">
        <v>0</v>
      </c>
      <c r="BA294" s="551">
        <v>0</v>
      </c>
    </row>
    <row r="295" spans="1:53" ht="3" customHeight="1" x14ac:dyDescent="0.2">
      <c r="A295" s="68">
        <f>IF(LEN(+'_DATA STT PAGOS_'!M300)=4,"0"&amp;+'_DATA STT PAGOS_'!M300,+'_DATA STT PAGOS_'!M300)</f>
        <v>13302</v>
      </c>
      <c r="B295" s="68">
        <f>IF(LEN(+'_DATA STT PAGOS_'!N300)=4,"0"&amp;+'_DATA STT PAGOS_'!N300,+'_DATA STT PAGOS_'!N300)</f>
        <v>13202</v>
      </c>
      <c r="C295" s="76" t="str">
        <f>+'_DATA STT PAGOS_'!O300</f>
        <v>LAMPA</v>
      </c>
      <c r="D295" s="80">
        <f>+'CALC MEC ESTAB Y ESTIM M FINAL'!U300</f>
        <v>6438832</v>
      </c>
      <c r="E295" s="77">
        <f>+'CALC MEC ESTAB Y ESTIM M FINAL'!Q300</f>
        <v>2.3651290875E-3</v>
      </c>
      <c r="F295" s="77">
        <f>+'CALC MEC ESTAB Y ESTIM M FINAL'!R300</f>
        <v>-9.6625826400000003E-5</v>
      </c>
      <c r="G295" s="80">
        <f>+'_Flujo con Glosa 08'!CE300</f>
        <v>301731</v>
      </c>
      <c r="H295" s="80">
        <f>+'_Flujo con Glosa 08'!CF300</f>
        <v>301731</v>
      </c>
      <c r="I295" s="80">
        <f>+'_Flujo con Glosa 08'!CG300</f>
        <v>283746</v>
      </c>
      <c r="J295" s="80">
        <f>+'_Flujo con Glosa 08'!CH300</f>
        <v>301731</v>
      </c>
      <c r="K295" s="80">
        <f>+'_Flujo con Glosa 08'!CI300</f>
        <v>855144</v>
      </c>
      <c r="L295" s="80">
        <f>+'_Flujo con Glosa 08'!CJ300</f>
        <v>310307</v>
      </c>
      <c r="M295" s="80">
        <f>+'_Flujo con Glosa 08'!CK300</f>
        <v>524286</v>
      </c>
      <c r="N295" s="80">
        <f>+'_Flujo con Glosa 08'!CL300</f>
        <v>301731</v>
      </c>
      <c r="O295" s="80">
        <f>+'_Flujo con Glosa 08'!CM300</f>
        <v>342378</v>
      </c>
      <c r="P295" s="80">
        <f>+'_Flujo con Glosa 08'!CN300</f>
        <v>565261</v>
      </c>
      <c r="Q295" s="80">
        <f>+'_Flujo con Glosa 08'!CO300</f>
        <v>301731</v>
      </c>
      <c r="R295" s="80">
        <f>+'_Flujo con Glosa 08'!CP300</f>
        <v>532852</v>
      </c>
      <c r="S295" s="80">
        <f t="shared" si="8"/>
        <v>4922629</v>
      </c>
      <c r="T295" s="80">
        <v>0</v>
      </c>
      <c r="U295" s="80">
        <v>0</v>
      </c>
      <c r="V295" s="80">
        <v>0</v>
      </c>
      <c r="W295" s="80">
        <v>0</v>
      </c>
      <c r="X295" s="80">
        <v>0</v>
      </c>
      <c r="Y295" s="80">
        <v>0</v>
      </c>
      <c r="Z295" s="80">
        <v>0</v>
      </c>
      <c r="AA295" s="80">
        <v>0</v>
      </c>
      <c r="AB295" s="80">
        <v>0</v>
      </c>
      <c r="AC295" s="80">
        <v>0</v>
      </c>
      <c r="AD295" s="80">
        <v>0</v>
      </c>
      <c r="AE295" s="80">
        <v>0</v>
      </c>
      <c r="AF295" s="80">
        <f t="shared" si="9"/>
        <v>0</v>
      </c>
      <c r="AG295" s="80">
        <f>+COEF_FCM!AM302</f>
        <v>1413979</v>
      </c>
      <c r="AH295" s="80">
        <f>+COEF_FCM!AR302</f>
        <v>48944</v>
      </c>
      <c r="AI295" s="80">
        <f>+COEF_FCM!AN302</f>
        <v>1069883</v>
      </c>
      <c r="AJ295" s="80">
        <f>+COEF_FCM!AS302</f>
        <v>22985</v>
      </c>
      <c r="AK295" s="80">
        <f>+COEF_FCM!AO302</f>
        <v>1251360</v>
      </c>
      <c r="AL295" s="80">
        <f>+COEF_FCM!AT302</f>
        <v>26513.655999999999</v>
      </c>
      <c r="AM295" s="80">
        <f>+COEF_FCM!AP302</f>
        <v>1219741</v>
      </c>
      <c r="AN295" s="80">
        <f>+COEF_FCM!AU302</f>
        <v>20763</v>
      </c>
      <c r="AO295" s="80">
        <f>+COEF_FCM!AQ302</f>
        <v>4954963</v>
      </c>
      <c r="AP295" s="80">
        <f>+COEF_FCM!AV302</f>
        <v>119205.656</v>
      </c>
      <c r="AQ295" s="80">
        <f>+_CIERRE!O295+_CIERRE!P295</f>
        <v>4286465.108</v>
      </c>
      <c r="AR295" s="80">
        <f>+_CIERRE!Q295+_CIERRE!R295</f>
        <v>5486298.727</v>
      </c>
      <c r="AS295" s="80">
        <f>+_CIERRE!S295+_CIERRE!T295</f>
        <v>6029270.3930000002</v>
      </c>
      <c r="AT295" s="80">
        <f>+_CIERRE!U295+_CIERRE!V295</f>
        <v>6210082.3669999996</v>
      </c>
      <c r="AU295" s="80">
        <f>+'CALC MEC ESTAB Y ESTIM M FINAL'!T300</f>
        <v>6438832</v>
      </c>
      <c r="AV295" s="560">
        <v>0</v>
      </c>
      <c r="AW295" s="551">
        <v>0</v>
      </c>
      <c r="AX295" s="551">
        <v>0</v>
      </c>
      <c r="AY295" s="551">
        <v>0</v>
      </c>
      <c r="AZ295" s="551">
        <v>0</v>
      </c>
      <c r="BA295" s="551">
        <v>0</v>
      </c>
    </row>
    <row r="296" spans="1:53" ht="3" customHeight="1" x14ac:dyDescent="0.2">
      <c r="A296" s="68">
        <f>IF(LEN(+'_DATA STT PAGOS_'!M301)=4,"0"&amp;+'_DATA STT PAGOS_'!M301,+'_DATA STT PAGOS_'!M301)</f>
        <v>13303</v>
      </c>
      <c r="B296" s="68">
        <f>IF(LEN(+'_DATA STT PAGOS_'!N301)=4,"0"&amp;+'_DATA STT PAGOS_'!N301,+'_DATA STT PAGOS_'!N301)</f>
        <v>13203</v>
      </c>
      <c r="C296" s="76" t="str">
        <f>+'_DATA STT PAGOS_'!O301</f>
        <v>TILTIL</v>
      </c>
      <c r="D296" s="80">
        <f>+'CALC MEC ESTAB Y ESTIM M FINAL'!U301</f>
        <v>2779622</v>
      </c>
      <c r="E296" s="77">
        <f>+'CALC MEC ESTAB Y ESTIM M FINAL'!Q301</f>
        <v>1.0366466442999999E-3</v>
      </c>
      <c r="F296" s="77">
        <f>+'CALC MEC ESTAB Y ESTIM M FINAL'!R301</f>
        <v>-5.7341538500000002E-5</v>
      </c>
      <c r="G296" s="80">
        <f>+'_Flujo con Glosa 08'!CE301</f>
        <v>128277</v>
      </c>
      <c r="H296" s="80">
        <f>+'_Flujo con Glosa 08'!CF301</f>
        <v>128277</v>
      </c>
      <c r="I296" s="80">
        <f>+'_Flujo con Glosa 08'!CG301</f>
        <v>122492</v>
      </c>
      <c r="J296" s="80">
        <f>+'_Flujo con Glosa 08'!CH301</f>
        <v>128277</v>
      </c>
      <c r="K296" s="80">
        <f>+'_Flujo con Glosa 08'!CI301</f>
        <v>375100</v>
      </c>
      <c r="L296" s="80">
        <f>+'_Flujo con Glosa 08'!CJ301</f>
        <v>131979</v>
      </c>
      <c r="M296" s="80">
        <f>+'_Flujo con Glosa 08'!CK301</f>
        <v>228312</v>
      </c>
      <c r="N296" s="80">
        <f>+'_Flujo con Glosa 08'!CL301</f>
        <v>128277</v>
      </c>
      <c r="O296" s="80">
        <f>+'_Flujo con Glosa 08'!CM301</f>
        <v>147803</v>
      </c>
      <c r="P296" s="80">
        <f>+'_Flujo con Glosa 08'!CN301</f>
        <v>246001</v>
      </c>
      <c r="Q296" s="80">
        <f>+'_Flujo con Glosa 08'!CO301</f>
        <v>128277</v>
      </c>
      <c r="R296" s="80">
        <f>+'_Flujo con Glosa 08'!CP301</f>
        <v>232010</v>
      </c>
      <c r="S296" s="80">
        <f t="shared" si="8"/>
        <v>2125082</v>
      </c>
      <c r="T296" s="80">
        <v>0</v>
      </c>
      <c r="U296" s="80">
        <v>0</v>
      </c>
      <c r="V296" s="80">
        <v>0</v>
      </c>
      <c r="W296" s="80">
        <v>0</v>
      </c>
      <c r="X296" s="80">
        <v>0</v>
      </c>
      <c r="Y296" s="80">
        <v>0</v>
      </c>
      <c r="Z296" s="80">
        <v>0</v>
      </c>
      <c r="AA296" s="80">
        <v>0</v>
      </c>
      <c r="AB296" s="80">
        <v>0</v>
      </c>
      <c r="AC296" s="80">
        <v>0</v>
      </c>
      <c r="AD296" s="80">
        <v>0</v>
      </c>
      <c r="AE296" s="80">
        <v>0</v>
      </c>
      <c r="AF296" s="80">
        <f t="shared" si="9"/>
        <v>0</v>
      </c>
      <c r="AG296" s="80">
        <f>+COEF_FCM!AM303</f>
        <v>139208</v>
      </c>
      <c r="AH296" s="80">
        <f>+COEF_FCM!AR303</f>
        <v>4850</v>
      </c>
      <c r="AI296" s="80">
        <f>+COEF_FCM!AN303</f>
        <v>78949</v>
      </c>
      <c r="AJ296" s="80">
        <f>+COEF_FCM!AS303</f>
        <v>2221</v>
      </c>
      <c r="AK296" s="80">
        <f>+COEF_FCM!AO303</f>
        <v>89231</v>
      </c>
      <c r="AL296" s="80">
        <f>+COEF_FCM!AT303</f>
        <v>3204.7420000000002</v>
      </c>
      <c r="AM296" s="80">
        <f>+COEF_FCM!AP303</f>
        <v>92120</v>
      </c>
      <c r="AN296" s="80">
        <f>+COEF_FCM!AU303</f>
        <v>2037</v>
      </c>
      <c r="AO296" s="80">
        <f>+COEF_FCM!AQ303</f>
        <v>399508</v>
      </c>
      <c r="AP296" s="80">
        <f>+COEF_FCM!AV303</f>
        <v>12312.742</v>
      </c>
      <c r="AQ296" s="80">
        <f>+_CIERRE!O296+_CIERRE!P296</f>
        <v>2001247.882</v>
      </c>
      <c r="AR296" s="80">
        <f>+_CIERRE!Q296+_CIERRE!R296</f>
        <v>2313971.2719999999</v>
      </c>
      <c r="AS296" s="80">
        <f>+_CIERRE!S296+_CIERRE!T296</f>
        <v>2520369.4309999999</v>
      </c>
      <c r="AT296" s="80">
        <f>+_CIERRE!U296+_CIERRE!V296</f>
        <v>2643874.0219999999</v>
      </c>
      <c r="AU296" s="80">
        <f>+'CALC MEC ESTAB Y ESTIM M FINAL'!T301</f>
        <v>2779622</v>
      </c>
      <c r="AV296" s="560">
        <v>0</v>
      </c>
      <c r="AW296" s="551">
        <v>0</v>
      </c>
      <c r="AX296" s="551">
        <v>0</v>
      </c>
      <c r="AY296" s="551">
        <v>0</v>
      </c>
      <c r="AZ296" s="551">
        <v>336643.14799999999</v>
      </c>
      <c r="BA296" s="551">
        <v>347336.74699999997</v>
      </c>
    </row>
    <row r="297" spans="1:53" ht="3" customHeight="1" x14ac:dyDescent="0.2">
      <c r="A297" s="68">
        <f>IF(LEN(+'_DATA STT PAGOS_'!M302)=4,"0"&amp;+'_DATA STT PAGOS_'!M302,+'_DATA STT PAGOS_'!M302)</f>
        <v>13401</v>
      </c>
      <c r="B297" s="68">
        <f>IF(LEN(+'_DATA STT PAGOS_'!N302)=4,"0"&amp;+'_DATA STT PAGOS_'!N302,+'_DATA STT PAGOS_'!N302)</f>
        <v>13401</v>
      </c>
      <c r="C297" s="76" t="str">
        <f>+'_DATA STT PAGOS_'!O302</f>
        <v>SAN BERNARDO</v>
      </c>
      <c r="D297" s="80">
        <f>+'CALC MEC ESTAB Y ESTIM M FINAL'!U302</f>
        <v>25856464</v>
      </c>
      <c r="E297" s="77">
        <f>+'CALC MEC ESTAB Y ESTIM M FINAL'!Q302</f>
        <v>7.3298234407999999E-3</v>
      </c>
      <c r="F297" s="77">
        <f>+'CALC MEC ESTAB Y ESTIM M FINAL'!R302</f>
        <v>1.7798217287000001E-3</v>
      </c>
      <c r="G297" s="80">
        <f>+'_Flujo con Glosa 08'!CE302</f>
        <v>1254376</v>
      </c>
      <c r="H297" s="80">
        <f>+'_Flujo con Glosa 08'!CF302</f>
        <v>1254376</v>
      </c>
      <c r="I297" s="80">
        <f>+'_Flujo con Glosa 08'!CG302</f>
        <v>1139441</v>
      </c>
      <c r="J297" s="80">
        <f>+'_Flujo con Glosa 08'!CH302</f>
        <v>1254376</v>
      </c>
      <c r="K297" s="80">
        <f>+'_Flujo con Glosa 08'!CI302</f>
        <v>3305867</v>
      </c>
      <c r="L297" s="80">
        <f>+'_Flujo con Glosa 08'!CJ302</f>
        <v>1288814</v>
      </c>
      <c r="M297" s="80">
        <f>+'_Flujo con Glosa 08'!CK302</f>
        <v>2106628</v>
      </c>
      <c r="N297" s="80">
        <f>+'_Flujo con Glosa 08'!CL302</f>
        <v>1254376</v>
      </c>
      <c r="O297" s="80">
        <f>+'_Flujo con Glosa 08'!CM302</f>
        <v>1374887</v>
      </c>
      <c r="P297" s="80">
        <f>+'_Flujo con Glosa 08'!CN302</f>
        <v>2183253</v>
      </c>
      <c r="Q297" s="80">
        <f>+'_Flujo con Glosa 08'!CO302</f>
        <v>1254376</v>
      </c>
      <c r="R297" s="80">
        <f>+'_Flujo con Glosa 08'!CP302</f>
        <v>2097067</v>
      </c>
      <c r="S297" s="80">
        <f t="shared" si="8"/>
        <v>19767837</v>
      </c>
      <c r="T297" s="80">
        <v>0</v>
      </c>
      <c r="U297" s="80">
        <v>0</v>
      </c>
      <c r="V297" s="80">
        <v>0</v>
      </c>
      <c r="W297" s="80">
        <v>0</v>
      </c>
      <c r="X297" s="80">
        <v>0</v>
      </c>
      <c r="Y297" s="80">
        <v>0</v>
      </c>
      <c r="Z297" s="80">
        <v>0</v>
      </c>
      <c r="AA297" s="80">
        <v>0</v>
      </c>
      <c r="AB297" s="80">
        <v>0</v>
      </c>
      <c r="AC297" s="80">
        <v>0</v>
      </c>
      <c r="AD297" s="80">
        <v>0</v>
      </c>
      <c r="AE297" s="80">
        <v>0</v>
      </c>
      <c r="AF297" s="80">
        <f t="shared" si="9"/>
        <v>0</v>
      </c>
      <c r="AG297" s="80">
        <f>+COEF_FCM!AM304</f>
        <v>2255007</v>
      </c>
      <c r="AH297" s="80">
        <f>+COEF_FCM!AR304</f>
        <v>100946</v>
      </c>
      <c r="AI297" s="80">
        <f>+COEF_FCM!AN304</f>
        <v>1514269</v>
      </c>
      <c r="AJ297" s="80">
        <f>+COEF_FCM!AS304</f>
        <v>44231</v>
      </c>
      <c r="AK297" s="80">
        <f>+COEF_FCM!AO304</f>
        <v>2340399</v>
      </c>
      <c r="AL297" s="80">
        <f>+COEF_FCM!AT304</f>
        <v>61316.148999999998</v>
      </c>
      <c r="AM297" s="80">
        <f>+COEF_FCM!AP304</f>
        <v>1780983</v>
      </c>
      <c r="AN297" s="80">
        <f>+COEF_FCM!AU304</f>
        <v>45014</v>
      </c>
      <c r="AO297" s="80">
        <f>+COEF_FCM!AQ304</f>
        <v>7890658</v>
      </c>
      <c r="AP297" s="80">
        <f>+COEF_FCM!AV304</f>
        <v>251507.149</v>
      </c>
      <c r="AQ297" s="80">
        <f>+_CIERRE!O297+_CIERRE!P297</f>
        <v>22851012.774999999</v>
      </c>
      <c r="AR297" s="80">
        <f>+_CIERRE!Q297+_CIERRE!R297</f>
        <v>24774633.421</v>
      </c>
      <c r="AS297" s="80">
        <f>+_CIERRE!S297+_CIERRE!T297</f>
        <v>25616831.004999999</v>
      </c>
      <c r="AT297" s="80">
        <f>+_CIERRE!U297+_CIERRE!V297</f>
        <v>25856464.379000001</v>
      </c>
      <c r="AU297" s="80">
        <f>+'CALC MEC ESTAB Y ESTIM M FINAL'!T302</f>
        <v>25856464</v>
      </c>
      <c r="AV297" s="560">
        <v>0</v>
      </c>
      <c r="AW297" s="551">
        <v>0</v>
      </c>
      <c r="AX297" s="551">
        <v>0</v>
      </c>
      <c r="AY297" s="551">
        <v>0</v>
      </c>
      <c r="AZ297" s="551">
        <v>0</v>
      </c>
      <c r="BA297" s="551">
        <v>0</v>
      </c>
    </row>
    <row r="298" spans="1:53" ht="3" customHeight="1" x14ac:dyDescent="0.2">
      <c r="A298" s="68">
        <f>IF(LEN(+'_DATA STT PAGOS_'!M303)=4,"0"&amp;+'_DATA STT PAGOS_'!M303,+'_DATA STT PAGOS_'!M303)</f>
        <v>13402</v>
      </c>
      <c r="B298" s="68">
        <f>IF(LEN(+'_DATA STT PAGOS_'!N303)=4,"0"&amp;+'_DATA STT PAGOS_'!N303,+'_DATA STT PAGOS_'!N303)</f>
        <v>13403</v>
      </c>
      <c r="C298" s="76" t="str">
        <f>+'_DATA STT PAGOS_'!O303</f>
        <v>BUIN</v>
      </c>
      <c r="D298" s="80">
        <f>+'CALC MEC ESTAB Y ESTIM M FINAL'!U303</f>
        <v>6315726</v>
      </c>
      <c r="E298" s="77">
        <f>+'CALC MEC ESTAB Y ESTIM M FINAL'!Q303</f>
        <v>2.3225458963999999E-3</v>
      </c>
      <c r="F298" s="77">
        <f>+'CALC MEC ESTAB Y ESTIM M FINAL'!R303</f>
        <v>-9.7414661900000005E-5</v>
      </c>
      <c r="G298" s="80">
        <f>+'_Flujo con Glosa 08'!CE303</f>
        <v>295422</v>
      </c>
      <c r="H298" s="80">
        <f>+'_Flujo con Glosa 08'!CF303</f>
        <v>295422</v>
      </c>
      <c r="I298" s="80">
        <f>+'_Flujo con Glosa 08'!CG303</f>
        <v>278321</v>
      </c>
      <c r="J298" s="80">
        <f>+'_Flujo con Glosa 08'!CH303</f>
        <v>295422</v>
      </c>
      <c r="K298" s="80">
        <f>+'_Flujo con Glosa 08'!CI303</f>
        <v>840414</v>
      </c>
      <c r="L298" s="80">
        <f>+'_Flujo con Glosa 08'!CJ303</f>
        <v>303834</v>
      </c>
      <c r="M298" s="80">
        <f>+'_Flujo con Glosa 08'!CK303</f>
        <v>514803</v>
      </c>
      <c r="N298" s="80">
        <f>+'_Flujo con Glosa 08'!CL303</f>
        <v>295422</v>
      </c>
      <c r="O298" s="80">
        <f>+'_Flujo con Glosa 08'!CM303</f>
        <v>335831</v>
      </c>
      <c r="P298" s="80">
        <f>+'_Flujo con Glosa 08'!CN303</f>
        <v>554994</v>
      </c>
      <c r="Q298" s="80">
        <f>+'_Flujo con Glosa 08'!CO303</f>
        <v>295422</v>
      </c>
      <c r="R298" s="80">
        <f>+'_Flujo con Glosa 08'!CP303</f>
        <v>523205</v>
      </c>
      <c r="S298" s="80">
        <f t="shared" si="8"/>
        <v>4828512</v>
      </c>
      <c r="T298" s="80">
        <v>0</v>
      </c>
      <c r="U298" s="80">
        <v>0</v>
      </c>
      <c r="V298" s="80">
        <v>0</v>
      </c>
      <c r="W298" s="80">
        <v>0</v>
      </c>
      <c r="X298" s="80">
        <v>0</v>
      </c>
      <c r="Y298" s="80">
        <v>0</v>
      </c>
      <c r="Z298" s="80">
        <v>0</v>
      </c>
      <c r="AA298" s="80">
        <v>0</v>
      </c>
      <c r="AB298" s="80">
        <v>0</v>
      </c>
      <c r="AC298" s="80">
        <v>0</v>
      </c>
      <c r="AD298" s="80">
        <v>0</v>
      </c>
      <c r="AE298" s="80">
        <v>0</v>
      </c>
      <c r="AF298" s="80">
        <f t="shared" si="9"/>
        <v>0</v>
      </c>
      <c r="AG298" s="80">
        <f>+COEF_FCM!AM305</f>
        <v>719690</v>
      </c>
      <c r="AH298" s="80">
        <f>+COEF_FCM!AR305</f>
        <v>104691</v>
      </c>
      <c r="AI298" s="80">
        <f>+COEF_FCM!AN305</f>
        <v>670976</v>
      </c>
      <c r="AJ298" s="80">
        <f>+COEF_FCM!AS305</f>
        <v>49755</v>
      </c>
      <c r="AK298" s="80">
        <f>+COEF_FCM!AO305</f>
        <v>591964</v>
      </c>
      <c r="AL298" s="80">
        <f>+COEF_FCM!AT305</f>
        <v>42328.961000000003</v>
      </c>
      <c r="AM298" s="80">
        <f>+COEF_FCM!AP305</f>
        <v>517711</v>
      </c>
      <c r="AN298" s="80">
        <f>+COEF_FCM!AU305</f>
        <v>32704</v>
      </c>
      <c r="AO298" s="80">
        <f>+COEF_FCM!AQ305</f>
        <v>2500341</v>
      </c>
      <c r="AP298" s="80">
        <f>+COEF_FCM!AV305</f>
        <v>229478.96100000001</v>
      </c>
      <c r="AQ298" s="80">
        <f>+_CIERRE!O298+_CIERRE!P298</f>
        <v>4601323.4029999999</v>
      </c>
      <c r="AR298" s="80">
        <f>+_CIERRE!Q298+_CIERRE!R298</f>
        <v>5363314.7960000001</v>
      </c>
      <c r="AS298" s="80">
        <f>+_CIERRE!S298+_CIERRE!T298</f>
        <v>5967308.2989999996</v>
      </c>
      <c r="AT298" s="80">
        <f>+_CIERRE!U298+_CIERRE!V298</f>
        <v>6085109.2810000004</v>
      </c>
      <c r="AU298" s="80">
        <f>+'CALC MEC ESTAB Y ESTIM M FINAL'!T303</f>
        <v>6315726</v>
      </c>
      <c r="AV298" s="560">
        <v>0</v>
      </c>
      <c r="AW298" s="551">
        <v>0</v>
      </c>
      <c r="AX298" s="551">
        <v>0</v>
      </c>
      <c r="AY298" s="551">
        <v>0</v>
      </c>
      <c r="AZ298" s="551">
        <v>569022.37199999997</v>
      </c>
      <c r="BA298" s="551">
        <v>592485.33299999998</v>
      </c>
    </row>
    <row r="299" spans="1:53" ht="3" customHeight="1" x14ac:dyDescent="0.2">
      <c r="A299" s="68">
        <f>IF(LEN(+'_DATA STT PAGOS_'!M304)=4,"0"&amp;+'_DATA STT PAGOS_'!M304,+'_DATA STT PAGOS_'!M304)</f>
        <v>13403</v>
      </c>
      <c r="B299" s="68">
        <f>IF(LEN(+'_DATA STT PAGOS_'!N304)=4,"0"&amp;+'_DATA STT PAGOS_'!N304,+'_DATA STT PAGOS_'!N304)</f>
        <v>13402</v>
      </c>
      <c r="C299" s="76" t="str">
        <f>+'_DATA STT PAGOS_'!O304</f>
        <v>CALERA DE TANGO</v>
      </c>
      <c r="D299" s="80">
        <f>+'CALC MEC ESTAB Y ESTIM M FINAL'!U304</f>
        <v>2511593</v>
      </c>
      <c r="E299" s="77">
        <f>+'CALC MEC ESTAB Y ESTIM M FINAL'!Q304</f>
        <v>9.3255851319999996E-4</v>
      </c>
      <c r="F299" s="77">
        <f>+'CALC MEC ESTAB Y ESTIM M FINAL'!R304</f>
        <v>-4.76842054E-5</v>
      </c>
      <c r="G299" s="80">
        <f>+'_Flujo con Glosa 08'!CE304</f>
        <v>116538</v>
      </c>
      <c r="H299" s="80">
        <f>+'_Flujo con Glosa 08'!CF304</f>
        <v>116538</v>
      </c>
      <c r="I299" s="80">
        <f>+'_Flujo con Glosa 08'!CG304</f>
        <v>110681</v>
      </c>
      <c r="J299" s="80">
        <f>+'_Flujo con Glosa 08'!CH304</f>
        <v>116538</v>
      </c>
      <c r="K299" s="80">
        <f>+'_Flujo con Glosa 08'!CI304</f>
        <v>337041</v>
      </c>
      <c r="L299" s="80">
        <f>+'_Flujo con Glosa 08'!CJ304</f>
        <v>119883</v>
      </c>
      <c r="M299" s="80">
        <f>+'_Flujo con Glosa 08'!CK304</f>
        <v>205667</v>
      </c>
      <c r="N299" s="80">
        <f>+'_Flujo con Glosa 08'!CL304</f>
        <v>116538</v>
      </c>
      <c r="O299" s="80">
        <f>+'_Flujo con Glosa 08'!CM304</f>
        <v>133551</v>
      </c>
      <c r="P299" s="80">
        <f>+'_Flujo con Glosa 08'!CN304</f>
        <v>221649</v>
      </c>
      <c r="Q299" s="80">
        <f>+'_Flujo con Glosa 08'!CO304</f>
        <v>116538</v>
      </c>
      <c r="R299" s="80">
        <f>+'_Flujo con Glosa 08'!CP304</f>
        <v>209008</v>
      </c>
      <c r="S299" s="80">
        <f t="shared" si="8"/>
        <v>1920170</v>
      </c>
      <c r="T299" s="80">
        <v>0</v>
      </c>
      <c r="U299" s="80">
        <v>0</v>
      </c>
      <c r="V299" s="80">
        <v>0</v>
      </c>
      <c r="W299" s="80">
        <v>0</v>
      </c>
      <c r="X299" s="80">
        <v>0</v>
      </c>
      <c r="Y299" s="80">
        <v>0</v>
      </c>
      <c r="Z299" s="80">
        <v>0</v>
      </c>
      <c r="AA299" s="80">
        <v>0</v>
      </c>
      <c r="AB299" s="80">
        <v>0</v>
      </c>
      <c r="AC299" s="80">
        <v>0</v>
      </c>
      <c r="AD299" s="80">
        <v>0</v>
      </c>
      <c r="AE299" s="80">
        <v>0</v>
      </c>
      <c r="AF299" s="80">
        <f t="shared" si="9"/>
        <v>0</v>
      </c>
      <c r="AG299" s="80">
        <f>+COEF_FCM!AM306</f>
        <v>272578</v>
      </c>
      <c r="AH299" s="80">
        <f>+COEF_FCM!AR306</f>
        <v>53031</v>
      </c>
      <c r="AI299" s="80">
        <f>+COEF_FCM!AN306</f>
        <v>169530</v>
      </c>
      <c r="AJ299" s="80">
        <f>+COEF_FCM!AS306</f>
        <v>31758</v>
      </c>
      <c r="AK299" s="80">
        <f>+COEF_FCM!AO306</f>
        <v>210981</v>
      </c>
      <c r="AL299" s="80">
        <f>+COEF_FCM!AT306</f>
        <v>39164.898000000001</v>
      </c>
      <c r="AM299" s="80">
        <f>+COEF_FCM!AP306</f>
        <v>163806</v>
      </c>
      <c r="AN299" s="80">
        <f>+COEF_FCM!AU306</f>
        <v>29430</v>
      </c>
      <c r="AO299" s="80">
        <f>+COEF_FCM!AQ306</f>
        <v>816895</v>
      </c>
      <c r="AP299" s="80">
        <f>+COEF_FCM!AV306</f>
        <v>153383.89799999999</v>
      </c>
      <c r="AQ299" s="80">
        <f>+_CIERRE!O299+_CIERRE!P299</f>
        <v>1644374.72</v>
      </c>
      <c r="AR299" s="80">
        <f>+_CIERRE!Q299+_CIERRE!R299</f>
        <v>2049977.1040000001</v>
      </c>
      <c r="AS299" s="80">
        <f>+_CIERRE!S299+_CIERRE!T299</f>
        <v>2313375.182</v>
      </c>
      <c r="AT299" s="80">
        <f>+_CIERRE!U299+_CIERRE!V299</f>
        <v>2398706.9819999998</v>
      </c>
      <c r="AU299" s="80">
        <f>+'CALC MEC ESTAB Y ESTIM M FINAL'!T304</f>
        <v>2511593</v>
      </c>
      <c r="AV299" s="560">
        <v>0</v>
      </c>
      <c r="AW299" s="551">
        <v>0</v>
      </c>
      <c r="AX299" s="551">
        <v>0</v>
      </c>
      <c r="AY299" s="551">
        <v>0</v>
      </c>
      <c r="AZ299" s="551">
        <v>316153.70600000001</v>
      </c>
      <c r="BA299" s="551">
        <v>327553.08299999998</v>
      </c>
    </row>
    <row r="300" spans="1:53" ht="3" customHeight="1" x14ac:dyDescent="0.2">
      <c r="A300" s="68">
        <f>IF(LEN(+'_DATA STT PAGOS_'!M305)=4,"0"&amp;+'_DATA STT PAGOS_'!M305,+'_DATA STT PAGOS_'!M305)</f>
        <v>13404</v>
      </c>
      <c r="B300" s="68">
        <f>IF(LEN(+'_DATA STT PAGOS_'!N305)=4,"0"&amp;+'_DATA STT PAGOS_'!N305,+'_DATA STT PAGOS_'!N305)</f>
        <v>13404</v>
      </c>
      <c r="C300" s="76" t="str">
        <f>+'_DATA STT PAGOS_'!O305</f>
        <v>PAINE</v>
      </c>
      <c r="D300" s="80">
        <f>+'CALC MEC ESTAB Y ESTIM M FINAL'!U305</f>
        <v>5504741</v>
      </c>
      <c r="E300" s="77">
        <f>+'CALC MEC ESTAB Y ESTIM M FINAL'!Q305</f>
        <v>1.9200648464999998E-3</v>
      </c>
      <c r="F300" s="77">
        <f>+'CALC MEC ESTAB Y ESTIM M FINAL'!R305</f>
        <v>1.9343203900000001E-5</v>
      </c>
      <c r="G300" s="80">
        <f>+'_Flujo con Glosa 08'!CE305</f>
        <v>267052</v>
      </c>
      <c r="H300" s="80">
        <f>+'_Flujo con Glosa 08'!CF305</f>
        <v>267052</v>
      </c>
      <c r="I300" s="80">
        <f>+'_Flujo con Glosa 08'!CG305</f>
        <v>242583</v>
      </c>
      <c r="J300" s="80">
        <f>+'_Flujo con Glosa 08'!CH305</f>
        <v>267052</v>
      </c>
      <c r="K300" s="80">
        <f>+'_Flujo con Glosa 08'!CI305</f>
        <v>703806</v>
      </c>
      <c r="L300" s="80">
        <f>+'_Flujo con Glosa 08'!CJ305</f>
        <v>274384</v>
      </c>
      <c r="M300" s="80">
        <f>+'_Flujo con Glosa 08'!CK305</f>
        <v>448493</v>
      </c>
      <c r="N300" s="80">
        <f>+'_Flujo con Glosa 08'!CL305</f>
        <v>267052</v>
      </c>
      <c r="O300" s="80">
        <f>+'_Flujo con Glosa 08'!CM305</f>
        <v>292708</v>
      </c>
      <c r="P300" s="80">
        <f>+'_Flujo con Glosa 08'!CN305</f>
        <v>464806</v>
      </c>
      <c r="Q300" s="80">
        <f>+'_Flujo con Glosa 08'!CO305</f>
        <v>267052</v>
      </c>
      <c r="R300" s="80">
        <f>+'_Flujo con Glosa 08'!CP305</f>
        <v>446457</v>
      </c>
      <c r="S300" s="80">
        <f t="shared" si="8"/>
        <v>4208497</v>
      </c>
      <c r="T300" s="80">
        <v>0</v>
      </c>
      <c r="U300" s="80">
        <v>0</v>
      </c>
      <c r="V300" s="80">
        <v>0</v>
      </c>
      <c r="W300" s="80">
        <v>0</v>
      </c>
      <c r="X300" s="80">
        <v>0</v>
      </c>
      <c r="Y300" s="80">
        <v>0</v>
      </c>
      <c r="Z300" s="80">
        <v>0</v>
      </c>
      <c r="AA300" s="80">
        <v>0</v>
      </c>
      <c r="AB300" s="80">
        <v>0</v>
      </c>
      <c r="AC300" s="80">
        <v>0</v>
      </c>
      <c r="AD300" s="80">
        <v>0</v>
      </c>
      <c r="AE300" s="80">
        <v>0</v>
      </c>
      <c r="AF300" s="80">
        <f t="shared" si="9"/>
        <v>0</v>
      </c>
      <c r="AG300" s="80">
        <f>+COEF_FCM!AM307</f>
        <v>524023</v>
      </c>
      <c r="AH300" s="80">
        <f>+COEF_FCM!AR307</f>
        <v>3943</v>
      </c>
      <c r="AI300" s="80">
        <f>+COEF_FCM!AN307</f>
        <v>546861</v>
      </c>
      <c r="AJ300" s="80">
        <f>+COEF_FCM!AS307</f>
        <v>2293</v>
      </c>
      <c r="AK300" s="80">
        <f>+COEF_FCM!AO307</f>
        <v>429941</v>
      </c>
      <c r="AL300" s="80">
        <f>+COEF_FCM!AT307</f>
        <v>2770.9470000000001</v>
      </c>
      <c r="AM300" s="80">
        <f>+COEF_FCM!AP307</f>
        <v>341248</v>
      </c>
      <c r="AN300" s="80">
        <f>+COEF_FCM!AU307</f>
        <v>1849</v>
      </c>
      <c r="AO300" s="80">
        <f>+COEF_FCM!AQ307</f>
        <v>1842073</v>
      </c>
      <c r="AP300" s="80">
        <f>+COEF_FCM!AV307</f>
        <v>10855.947</v>
      </c>
      <c r="AQ300" s="80">
        <f>+_CIERRE!O300+_CIERRE!P300</f>
        <v>4542745.2410000004</v>
      </c>
      <c r="AR300" s="80">
        <f>+_CIERRE!Q300+_CIERRE!R300</f>
        <v>5257477.7079999996</v>
      </c>
      <c r="AS300" s="80">
        <f>+_CIERRE!S300+_CIERRE!T300</f>
        <v>5453724.1780000003</v>
      </c>
      <c r="AT300" s="80">
        <f>+_CIERRE!U300+_CIERRE!V300</f>
        <v>5504740.9699999997</v>
      </c>
      <c r="AU300" s="80">
        <f>+'CALC MEC ESTAB Y ESTIM M FINAL'!T305</f>
        <v>5504741</v>
      </c>
      <c r="AV300" s="560">
        <v>0</v>
      </c>
      <c r="AW300" s="551">
        <v>0</v>
      </c>
      <c r="AX300" s="551">
        <v>0</v>
      </c>
      <c r="AY300" s="551">
        <v>0</v>
      </c>
      <c r="AZ300" s="551">
        <v>506438.804</v>
      </c>
      <c r="BA300" s="551">
        <v>524990.81099999999</v>
      </c>
    </row>
    <row r="301" spans="1:53" ht="3" customHeight="1" x14ac:dyDescent="0.2">
      <c r="A301" s="68">
        <f>IF(LEN(+'_DATA STT PAGOS_'!M306)=4,"0"&amp;+'_DATA STT PAGOS_'!M306,+'_DATA STT PAGOS_'!M306)</f>
        <v>13501</v>
      </c>
      <c r="B301" s="68">
        <f>IF(LEN(+'_DATA STT PAGOS_'!N306)=4,"0"&amp;+'_DATA STT PAGOS_'!N306,+'_DATA STT PAGOS_'!N306)</f>
        <v>13601</v>
      </c>
      <c r="C301" s="76" t="str">
        <f>+'_DATA STT PAGOS_'!O306</f>
        <v>MELIPILLA</v>
      </c>
      <c r="D301" s="80">
        <f>+'CALC MEC ESTAB Y ESTIM M FINAL'!U306</f>
        <v>26144920</v>
      </c>
      <c r="E301" s="77">
        <f>+'CALC MEC ESTAB Y ESTIM M FINAL'!Q306</f>
        <v>1.07352913384E-2</v>
      </c>
      <c r="F301" s="77">
        <f>+'CALC MEC ESTAB Y ESTIM M FINAL'!R306</f>
        <v>-1.5240184888000001E-3</v>
      </c>
      <c r="G301" s="80">
        <f>+'_Flujo con Glosa 08'!CE306</f>
        <v>1092921</v>
      </c>
      <c r="H301" s="80">
        <f>+'_Flujo con Glosa 08'!CF306</f>
        <v>1092921</v>
      </c>
      <c r="I301" s="80">
        <f>+'_Flujo con Glosa 08'!CG306</f>
        <v>1152152</v>
      </c>
      <c r="J301" s="80">
        <f>+'_Flujo con Glosa 08'!CH306</f>
        <v>1092921</v>
      </c>
      <c r="K301" s="80">
        <f>+'_Flujo con Glosa 08'!CI306</f>
        <v>3869094</v>
      </c>
      <c r="L301" s="80">
        <f>+'_Flujo con Glosa 08'!CJ306</f>
        <v>1127744</v>
      </c>
      <c r="M301" s="80">
        <f>+'_Flujo con Glosa 08'!CK306</f>
        <v>2261131</v>
      </c>
      <c r="N301" s="80">
        <f>+'_Flujo con Glosa 08'!CL306</f>
        <v>1092921</v>
      </c>
      <c r="O301" s="80">
        <f>+'_Flujo con Glosa 08'!CM306</f>
        <v>1390225</v>
      </c>
      <c r="P301" s="80">
        <f>+'_Flujo con Glosa 08'!CN306</f>
        <v>2427507</v>
      </c>
      <c r="Q301" s="80">
        <f>+'_Flujo con Glosa 08'!CO306</f>
        <v>1092921</v>
      </c>
      <c r="R301" s="80">
        <f>+'_Flujo con Glosa 08'!CP306</f>
        <v>2295912</v>
      </c>
      <c r="S301" s="80">
        <f t="shared" si="8"/>
        <v>19988370</v>
      </c>
      <c r="T301" s="80">
        <v>0</v>
      </c>
      <c r="U301" s="80">
        <v>0</v>
      </c>
      <c r="V301" s="80">
        <v>0</v>
      </c>
      <c r="W301" s="80">
        <v>0</v>
      </c>
      <c r="X301" s="80">
        <v>0</v>
      </c>
      <c r="Y301" s="80">
        <v>0</v>
      </c>
      <c r="Z301" s="80">
        <v>0</v>
      </c>
      <c r="AA301" s="80">
        <v>0</v>
      </c>
      <c r="AB301" s="80">
        <v>0</v>
      </c>
      <c r="AC301" s="80">
        <v>0</v>
      </c>
      <c r="AD301" s="80">
        <v>0</v>
      </c>
      <c r="AE301" s="80">
        <v>0</v>
      </c>
      <c r="AF301" s="80">
        <f t="shared" si="9"/>
        <v>0</v>
      </c>
      <c r="AG301" s="80">
        <f>+COEF_FCM!AM308</f>
        <v>472973</v>
      </c>
      <c r="AH301" s="80">
        <f>+COEF_FCM!AR308</f>
        <v>23316</v>
      </c>
      <c r="AI301" s="80">
        <f>+COEF_FCM!AN308</f>
        <v>364844</v>
      </c>
      <c r="AJ301" s="80">
        <f>+COEF_FCM!AS308</f>
        <v>15031</v>
      </c>
      <c r="AK301" s="80">
        <f>+COEF_FCM!AO308</f>
        <v>401498</v>
      </c>
      <c r="AL301" s="80">
        <f>+COEF_FCM!AT308</f>
        <v>15322.722</v>
      </c>
      <c r="AM301" s="80">
        <f>+COEF_FCM!AP308</f>
        <v>315548</v>
      </c>
      <c r="AN301" s="80">
        <f>+COEF_FCM!AU308</f>
        <v>12091</v>
      </c>
      <c r="AO301" s="80">
        <f>+COEF_FCM!AQ308</f>
        <v>1554863</v>
      </c>
      <c r="AP301" s="80">
        <f>+COEF_FCM!AV308</f>
        <v>65760.722000000009</v>
      </c>
      <c r="AQ301" s="80">
        <f>+_CIERRE!O301+_CIERRE!P301</f>
        <v>14572862.673</v>
      </c>
      <c r="AR301" s="80">
        <f>+_CIERRE!Q301+_CIERRE!R301</f>
        <v>17645935.918000001</v>
      </c>
      <c r="AS301" s="80">
        <f>+_CIERRE!S301+_CIERRE!T301</f>
        <v>19578027.181000002</v>
      </c>
      <c r="AT301" s="80">
        <f>+_CIERRE!U301+_CIERRE!V301</f>
        <v>22537006.385000002</v>
      </c>
      <c r="AU301" s="80">
        <f>+'CALC MEC ESTAB Y ESTIM M FINAL'!T306</f>
        <v>26144920</v>
      </c>
      <c r="AV301" s="560">
        <v>0</v>
      </c>
      <c r="AW301" s="551">
        <v>0</v>
      </c>
      <c r="AX301" s="551">
        <v>0</v>
      </c>
      <c r="AY301" s="551">
        <v>0</v>
      </c>
      <c r="AZ301" s="551">
        <v>1728421.317</v>
      </c>
      <c r="BA301" s="551">
        <v>1740364.598</v>
      </c>
    </row>
    <row r="302" spans="1:53" ht="3" customHeight="1" x14ac:dyDescent="0.2">
      <c r="A302" s="68">
        <f>IF(LEN(+'_DATA STT PAGOS_'!M307)=4,"0"&amp;+'_DATA STT PAGOS_'!M307,+'_DATA STT PAGOS_'!M307)</f>
        <v>13502</v>
      </c>
      <c r="B302" s="68">
        <f>IF(LEN(+'_DATA STT PAGOS_'!N307)=4,"0"&amp;+'_DATA STT PAGOS_'!N307,+'_DATA STT PAGOS_'!N307)</f>
        <v>13605</v>
      </c>
      <c r="C302" s="76" t="str">
        <f>+'_DATA STT PAGOS_'!O307</f>
        <v>ALHUÉ</v>
      </c>
      <c r="D302" s="80">
        <f>+'CALC MEC ESTAB Y ESTIM M FINAL'!U307</f>
        <v>2395929</v>
      </c>
      <c r="E302" s="77">
        <f>+'CALC MEC ESTAB Y ESTIM M FINAL'!Q307</f>
        <v>9.005805090999999E-4</v>
      </c>
      <c r="F302" s="77">
        <f>+'CALC MEC ESTAB Y ESTIM M FINAL'!R307</f>
        <v>-5.6456520799999998E-5</v>
      </c>
      <c r="G302" s="80">
        <f>+'_Flujo con Glosa 08'!CE307</f>
        <v>109659</v>
      </c>
      <c r="H302" s="80">
        <f>+'_Flujo con Glosa 08'!CF307</f>
        <v>109659</v>
      </c>
      <c r="I302" s="80">
        <f>+'_Flujo con Glosa 08'!CG307</f>
        <v>105584</v>
      </c>
      <c r="J302" s="80">
        <f>+'_Flujo con Glosa 08'!CH307</f>
        <v>109659</v>
      </c>
      <c r="K302" s="80">
        <f>+'_Flujo con Glosa 08'!CI307</f>
        <v>326055</v>
      </c>
      <c r="L302" s="80">
        <f>+'_Flujo con Glosa 08'!CJ307</f>
        <v>112850</v>
      </c>
      <c r="M302" s="80">
        <f>+'_Flujo con Glosa 08'!CK307</f>
        <v>197708</v>
      </c>
      <c r="N302" s="80">
        <f>+'_Flujo con Glosa 08'!CL307</f>
        <v>109659</v>
      </c>
      <c r="O302" s="80">
        <f>+'_Flujo con Glosa 08'!CM307</f>
        <v>127401</v>
      </c>
      <c r="P302" s="80">
        <f>+'_Flujo con Glosa 08'!CN307</f>
        <v>212954</v>
      </c>
      <c r="Q302" s="80">
        <f>+'_Flujo con Glosa 08'!CO307</f>
        <v>109659</v>
      </c>
      <c r="R302" s="80">
        <f>+'_Flujo con Glosa 08'!CP307</f>
        <v>200895</v>
      </c>
      <c r="S302" s="80">
        <f t="shared" si="8"/>
        <v>1831742</v>
      </c>
      <c r="T302" s="80">
        <v>0</v>
      </c>
      <c r="U302" s="80">
        <v>0</v>
      </c>
      <c r="V302" s="80">
        <v>0</v>
      </c>
      <c r="W302" s="80">
        <v>0</v>
      </c>
      <c r="X302" s="80">
        <v>0</v>
      </c>
      <c r="Y302" s="80">
        <v>0</v>
      </c>
      <c r="Z302" s="80">
        <v>0</v>
      </c>
      <c r="AA302" s="80">
        <v>0</v>
      </c>
      <c r="AB302" s="80">
        <v>0</v>
      </c>
      <c r="AC302" s="80">
        <v>0</v>
      </c>
      <c r="AD302" s="80">
        <v>0</v>
      </c>
      <c r="AE302" s="80">
        <v>0</v>
      </c>
      <c r="AF302" s="80">
        <f t="shared" si="9"/>
        <v>0</v>
      </c>
      <c r="AG302" s="80">
        <f>+COEF_FCM!AM309</f>
        <v>47833</v>
      </c>
      <c r="AH302" s="80">
        <f>+COEF_FCM!AR309</f>
        <v>0</v>
      </c>
      <c r="AI302" s="80">
        <f>+COEF_FCM!AN309</f>
        <v>19512</v>
      </c>
      <c r="AJ302" s="80">
        <f>+COEF_FCM!AS309</f>
        <v>0</v>
      </c>
      <c r="AK302" s="80">
        <f>+COEF_FCM!AO309</f>
        <v>20962</v>
      </c>
      <c r="AL302" s="80">
        <f>+COEF_FCM!AT309</f>
        <v>0</v>
      </c>
      <c r="AM302" s="80">
        <f>+COEF_FCM!AP309</f>
        <v>17397</v>
      </c>
      <c r="AN302" s="80">
        <f>+COEF_FCM!AU309</f>
        <v>0</v>
      </c>
      <c r="AO302" s="80">
        <f>+COEF_FCM!AQ309</f>
        <v>105704</v>
      </c>
      <c r="AP302" s="80">
        <f>+COEF_FCM!AV309</f>
        <v>0</v>
      </c>
      <c r="AQ302" s="80">
        <f>+_CIERRE!O302+_CIERRE!P302</f>
        <v>1691841.56</v>
      </c>
      <c r="AR302" s="80">
        <f>+_CIERRE!Q302+_CIERRE!R302</f>
        <v>1957023.8770000001</v>
      </c>
      <c r="AS302" s="80">
        <f>+_CIERRE!S302+_CIERRE!T302</f>
        <v>2130568.5049999999</v>
      </c>
      <c r="AT302" s="80">
        <f>+_CIERRE!U302+_CIERRE!V302</f>
        <v>2262274.92</v>
      </c>
      <c r="AU302" s="80">
        <f>+'CALC MEC ESTAB Y ESTIM M FINAL'!T307</f>
        <v>2395929</v>
      </c>
      <c r="AV302" s="560">
        <v>0</v>
      </c>
      <c r="AW302" s="551">
        <v>0</v>
      </c>
      <c r="AX302" s="551">
        <v>0</v>
      </c>
      <c r="AY302" s="551">
        <v>0</v>
      </c>
      <c r="AZ302" s="551">
        <v>310204.65399999998</v>
      </c>
      <c r="BA302" s="551">
        <v>319821.78499999997</v>
      </c>
    </row>
    <row r="303" spans="1:53" ht="3" customHeight="1" x14ac:dyDescent="0.2">
      <c r="A303" s="68">
        <f>IF(LEN(+'_DATA STT PAGOS_'!M308)=4,"0"&amp;+'_DATA STT PAGOS_'!M308,+'_DATA STT PAGOS_'!M308)</f>
        <v>13503</v>
      </c>
      <c r="B303" s="68">
        <f>IF(LEN(+'_DATA STT PAGOS_'!N308)=4,"0"&amp;+'_DATA STT PAGOS_'!N308,+'_DATA STT PAGOS_'!N308)</f>
        <v>13603</v>
      </c>
      <c r="C303" s="76" t="str">
        <f>+'_DATA STT PAGOS_'!O308</f>
        <v>CURACAVÍ</v>
      </c>
      <c r="D303" s="80">
        <f>+'CALC MEC ESTAB Y ESTIM M FINAL'!U308</f>
        <v>3763452</v>
      </c>
      <c r="E303" s="77">
        <f>+'CALC MEC ESTAB Y ESTIM M FINAL'!Q308</f>
        <v>1.3305783451E-3</v>
      </c>
      <c r="F303" s="77">
        <f>+'CALC MEC ESTAB Y ESTIM M FINAL'!R308</f>
        <v>-4.6540940000000003E-6</v>
      </c>
      <c r="G303" s="80">
        <f>+'_Flujo con Glosa 08'!CE308</f>
        <v>182042</v>
      </c>
      <c r="H303" s="80">
        <f>+'_Flujo con Glosa 08'!CF308</f>
        <v>182042</v>
      </c>
      <c r="I303" s="80">
        <f>+'_Flujo con Glosa 08'!CG308</f>
        <v>165848</v>
      </c>
      <c r="J303" s="80">
        <f>+'_Flujo con Glosa 08'!CH308</f>
        <v>182042</v>
      </c>
      <c r="K303" s="80">
        <f>+'_Flujo con Glosa 08'!CI308</f>
        <v>482778</v>
      </c>
      <c r="L303" s="80">
        <f>+'_Flujo con Glosa 08'!CJ308</f>
        <v>187055</v>
      </c>
      <c r="M303" s="80">
        <f>+'_Flujo con Glosa 08'!CK308</f>
        <v>305812</v>
      </c>
      <c r="N303" s="80">
        <f>+'_Flujo con Glosa 08'!CL308</f>
        <v>182042</v>
      </c>
      <c r="O303" s="80">
        <f>+'_Flujo con Glosa 08'!CM308</f>
        <v>200117</v>
      </c>
      <c r="P303" s="80">
        <f>+'_Flujo con Glosa 08'!CN308</f>
        <v>319657</v>
      </c>
      <c r="Q303" s="80">
        <f>+'_Flujo con Glosa 08'!CO308</f>
        <v>182042</v>
      </c>
      <c r="R303" s="80">
        <f>+'_Flujo con Glosa 08'!CP308</f>
        <v>305766</v>
      </c>
      <c r="S303" s="80">
        <f t="shared" si="8"/>
        <v>2877243</v>
      </c>
      <c r="T303" s="80">
        <v>0</v>
      </c>
      <c r="U303" s="80">
        <v>0</v>
      </c>
      <c r="V303" s="80">
        <v>0</v>
      </c>
      <c r="W303" s="80">
        <v>0</v>
      </c>
      <c r="X303" s="80">
        <v>0</v>
      </c>
      <c r="Y303" s="80">
        <v>0</v>
      </c>
      <c r="Z303" s="80">
        <v>0</v>
      </c>
      <c r="AA303" s="80">
        <v>0</v>
      </c>
      <c r="AB303" s="80">
        <v>0</v>
      </c>
      <c r="AC303" s="80">
        <v>0</v>
      </c>
      <c r="AD303" s="80">
        <v>0</v>
      </c>
      <c r="AE303" s="80">
        <v>0</v>
      </c>
      <c r="AF303" s="80">
        <f t="shared" si="9"/>
        <v>0</v>
      </c>
      <c r="AG303" s="80">
        <f>+COEF_FCM!AM310</f>
        <v>204021</v>
      </c>
      <c r="AH303" s="80">
        <f>+COEF_FCM!AR310</f>
        <v>24343</v>
      </c>
      <c r="AI303" s="80">
        <f>+COEF_FCM!AN310</f>
        <v>114454</v>
      </c>
      <c r="AJ303" s="80">
        <f>+COEF_FCM!AS310</f>
        <v>13155</v>
      </c>
      <c r="AK303" s="80">
        <f>+COEF_FCM!AO310</f>
        <v>149106</v>
      </c>
      <c r="AL303" s="80">
        <f>+COEF_FCM!AT310</f>
        <v>18224.451000000001</v>
      </c>
      <c r="AM303" s="80">
        <f>+COEF_FCM!AP310</f>
        <v>114699</v>
      </c>
      <c r="AN303" s="80">
        <f>+COEF_FCM!AU310</f>
        <v>12655</v>
      </c>
      <c r="AO303" s="80">
        <f>+COEF_FCM!AQ310</f>
        <v>582280</v>
      </c>
      <c r="AP303" s="80">
        <f>+COEF_FCM!AV310</f>
        <v>68377.451000000001</v>
      </c>
      <c r="AQ303" s="80">
        <f>+_CIERRE!O303+_CIERRE!P303</f>
        <v>3316266.054</v>
      </c>
      <c r="AR303" s="80">
        <f>+_CIERRE!Q303+_CIERRE!R303</f>
        <v>3595431.96</v>
      </c>
      <c r="AS303" s="80">
        <f>+_CIERRE!S303+_CIERRE!T303</f>
        <v>3717656.801</v>
      </c>
      <c r="AT303" s="80">
        <f>+_CIERRE!U303+_CIERRE!V303</f>
        <v>3752433.713</v>
      </c>
      <c r="AU303" s="80">
        <f>+'CALC MEC ESTAB Y ESTIM M FINAL'!T308</f>
        <v>3763452</v>
      </c>
      <c r="AV303" s="560">
        <v>0</v>
      </c>
      <c r="AW303" s="551">
        <v>0</v>
      </c>
      <c r="AX303" s="551">
        <v>0</v>
      </c>
      <c r="AY303" s="551">
        <v>0</v>
      </c>
      <c r="AZ303" s="551">
        <v>392835.09499999997</v>
      </c>
      <c r="BA303" s="551">
        <v>403782.63900000002</v>
      </c>
    </row>
    <row r="304" spans="1:53" ht="3" customHeight="1" x14ac:dyDescent="0.2">
      <c r="A304" s="68">
        <f>IF(LEN(+'_DATA STT PAGOS_'!M309)=4,"0"&amp;+'_DATA STT PAGOS_'!M309,+'_DATA STT PAGOS_'!M309)</f>
        <v>13504</v>
      </c>
      <c r="B304" s="68">
        <f>IF(LEN(+'_DATA STT PAGOS_'!N309)=4,"0"&amp;+'_DATA STT PAGOS_'!N309,+'_DATA STT PAGOS_'!N309)</f>
        <v>13602</v>
      </c>
      <c r="C304" s="76" t="str">
        <f>+'_DATA STT PAGOS_'!O309</f>
        <v>MARÍA PINTO</v>
      </c>
      <c r="D304" s="80">
        <f>+'CALC MEC ESTAB Y ESTIM M FINAL'!U309</f>
        <v>2699838</v>
      </c>
      <c r="E304" s="77">
        <f>+'CALC MEC ESTAB Y ESTIM M FINAL'!Q309</f>
        <v>1.0061531288999999E-3</v>
      </c>
      <c r="F304" s="77">
        <f>+'CALC MEC ESTAB Y ESTIM M FINAL'!R309</f>
        <v>-5.4957063999999998E-5</v>
      </c>
      <c r="G304" s="80">
        <f>+'_Flujo con Glosa 08'!CE309</f>
        <v>124634</v>
      </c>
      <c r="H304" s="80">
        <f>+'_Flujo con Glosa 08'!CF309</f>
        <v>124634</v>
      </c>
      <c r="I304" s="80">
        <f>+'_Flujo con Glosa 08'!CG309</f>
        <v>118976</v>
      </c>
      <c r="J304" s="80">
        <f>+'_Flujo con Glosa 08'!CH309</f>
        <v>124634</v>
      </c>
      <c r="K304" s="80">
        <f>+'_Flujo con Glosa 08'!CI309</f>
        <v>364217</v>
      </c>
      <c r="L304" s="80">
        <f>+'_Flujo con Glosa 08'!CJ309</f>
        <v>128230</v>
      </c>
      <c r="M304" s="80">
        <f>+'_Flujo con Glosa 08'!CK309</f>
        <v>221721</v>
      </c>
      <c r="N304" s="80">
        <f>+'_Flujo con Glosa 08'!CL309</f>
        <v>124634</v>
      </c>
      <c r="O304" s="80">
        <f>+'_Flujo con Glosa 08'!CM309</f>
        <v>143560</v>
      </c>
      <c r="P304" s="80">
        <f>+'_Flujo con Glosa 08'!CN309</f>
        <v>238900</v>
      </c>
      <c r="Q304" s="80">
        <f>+'_Flujo con Glosa 08'!CO309</f>
        <v>124634</v>
      </c>
      <c r="R304" s="80">
        <f>+'_Flujo con Glosa 08'!CP309</f>
        <v>225312</v>
      </c>
      <c r="S304" s="80">
        <f t="shared" si="8"/>
        <v>2064086</v>
      </c>
      <c r="T304" s="80">
        <v>0</v>
      </c>
      <c r="U304" s="80">
        <v>0</v>
      </c>
      <c r="V304" s="80">
        <v>0</v>
      </c>
      <c r="W304" s="80">
        <v>0</v>
      </c>
      <c r="X304" s="80">
        <v>0</v>
      </c>
      <c r="Y304" s="80">
        <v>0</v>
      </c>
      <c r="Z304" s="80">
        <v>0</v>
      </c>
      <c r="AA304" s="80">
        <v>0</v>
      </c>
      <c r="AB304" s="80">
        <v>0</v>
      </c>
      <c r="AC304" s="80">
        <v>0</v>
      </c>
      <c r="AD304" s="80">
        <v>0</v>
      </c>
      <c r="AE304" s="80">
        <v>0</v>
      </c>
      <c r="AF304" s="80">
        <f t="shared" si="9"/>
        <v>0</v>
      </c>
      <c r="AG304" s="80">
        <f>+COEF_FCM!AM311</f>
        <v>75974</v>
      </c>
      <c r="AH304" s="80">
        <f>+COEF_FCM!AR311</f>
        <v>0</v>
      </c>
      <c r="AI304" s="80">
        <f>+COEF_FCM!AN311</f>
        <v>48618</v>
      </c>
      <c r="AJ304" s="80">
        <f>+COEF_FCM!AS311</f>
        <v>0</v>
      </c>
      <c r="AK304" s="80">
        <f>+COEF_FCM!AO311</f>
        <v>62046</v>
      </c>
      <c r="AL304" s="80">
        <f>+COEF_FCM!AT311</f>
        <v>0</v>
      </c>
      <c r="AM304" s="80">
        <f>+COEF_FCM!AP311</f>
        <v>45740</v>
      </c>
      <c r="AN304" s="80">
        <f>+COEF_FCM!AU311</f>
        <v>0</v>
      </c>
      <c r="AO304" s="80">
        <f>+COEF_FCM!AQ311</f>
        <v>232378</v>
      </c>
      <c r="AP304" s="80">
        <f>+COEF_FCM!AV311</f>
        <v>0</v>
      </c>
      <c r="AQ304" s="80">
        <f>+_CIERRE!O304+_CIERRE!P304</f>
        <v>2004174.4720000001</v>
      </c>
      <c r="AR304" s="80">
        <f>+_CIERRE!Q304+_CIERRE!R304</f>
        <v>2285597.5729999999</v>
      </c>
      <c r="AS304" s="80">
        <f>+_CIERRE!S304+_CIERRE!T304</f>
        <v>2461163.3870000001</v>
      </c>
      <c r="AT304" s="80">
        <f>+_CIERRE!U304+_CIERRE!V304</f>
        <v>2569734.375</v>
      </c>
      <c r="AU304" s="80">
        <f>+'CALC MEC ESTAB Y ESTIM M FINAL'!T309</f>
        <v>2699838</v>
      </c>
      <c r="AV304" s="560">
        <v>0</v>
      </c>
      <c r="AW304" s="551">
        <v>0</v>
      </c>
      <c r="AX304" s="551">
        <v>0</v>
      </c>
      <c r="AY304" s="551">
        <v>0</v>
      </c>
      <c r="AZ304" s="551">
        <v>329187.47899999999</v>
      </c>
      <c r="BA304" s="551">
        <v>340527.62599999999</v>
      </c>
    </row>
    <row r="305" spans="1:53" ht="3" customHeight="1" x14ac:dyDescent="0.2">
      <c r="A305" s="68">
        <f>IF(LEN(+'_DATA STT PAGOS_'!M310)=4,"0"&amp;+'_DATA STT PAGOS_'!M310,+'_DATA STT PAGOS_'!M310)</f>
        <v>13505</v>
      </c>
      <c r="B305" s="68">
        <f>IF(LEN(+'_DATA STT PAGOS_'!N310)=4,"0"&amp;+'_DATA STT PAGOS_'!N310,+'_DATA STT PAGOS_'!N310)</f>
        <v>13604</v>
      </c>
      <c r="C305" s="76" t="str">
        <f>+'_DATA STT PAGOS_'!O310</f>
        <v>SAN PEDRO</v>
      </c>
      <c r="D305" s="80">
        <f>+'CALC MEC ESTAB Y ESTIM M FINAL'!U310</f>
        <v>2959703</v>
      </c>
      <c r="E305" s="77">
        <f>+'CALC MEC ESTAB Y ESTIM M FINAL'!Q310</f>
        <v>1.0687676505E-3</v>
      </c>
      <c r="F305" s="77">
        <f>+'CALC MEC ESTAB Y ESTIM M FINAL'!R310</f>
        <v>-2.6017125299999998E-5</v>
      </c>
      <c r="G305" s="80">
        <f>+'_Flujo con Glosa 08'!CE310</f>
        <v>140473</v>
      </c>
      <c r="H305" s="80">
        <f>+'_Flujo con Glosa 08'!CF310</f>
        <v>140473</v>
      </c>
      <c r="I305" s="80">
        <f>+'_Flujo con Glosa 08'!CG310</f>
        <v>130428</v>
      </c>
      <c r="J305" s="80">
        <f>+'_Flujo con Glosa 08'!CH310</f>
        <v>140473</v>
      </c>
      <c r="K305" s="80">
        <f>+'_Flujo con Glosa 08'!CI310</f>
        <v>387745</v>
      </c>
      <c r="L305" s="80">
        <f>+'_Flujo con Glosa 08'!CJ310</f>
        <v>144415</v>
      </c>
      <c r="M305" s="80">
        <f>+'_Flujo con Glosa 08'!CK310</f>
        <v>239218</v>
      </c>
      <c r="N305" s="80">
        <f>+'_Flujo con Glosa 08'!CL310</f>
        <v>140473</v>
      </c>
      <c r="O305" s="80">
        <f>+'_Flujo con Glosa 08'!CM310</f>
        <v>157378</v>
      </c>
      <c r="P305" s="80">
        <f>+'_Flujo con Glosa 08'!CN310</f>
        <v>258053</v>
      </c>
      <c r="Q305" s="80">
        <f>+'_Flujo con Glosa 08'!CO310</f>
        <v>140473</v>
      </c>
      <c r="R305" s="80">
        <f>+'_Flujo con Glosa 08'!CP310</f>
        <v>243155</v>
      </c>
      <c r="S305" s="80">
        <f t="shared" si="8"/>
        <v>2262757</v>
      </c>
      <c r="T305" s="80">
        <v>0</v>
      </c>
      <c r="U305" s="80">
        <v>0</v>
      </c>
      <c r="V305" s="80">
        <v>0</v>
      </c>
      <c r="W305" s="80">
        <v>0</v>
      </c>
      <c r="X305" s="80">
        <v>0</v>
      </c>
      <c r="Y305" s="80">
        <v>0</v>
      </c>
      <c r="Z305" s="80">
        <v>0</v>
      </c>
      <c r="AA305" s="80">
        <v>0</v>
      </c>
      <c r="AB305" s="80">
        <v>0</v>
      </c>
      <c r="AC305" s="80">
        <v>0</v>
      </c>
      <c r="AD305" s="80">
        <v>0</v>
      </c>
      <c r="AE305" s="80">
        <v>0</v>
      </c>
      <c r="AF305" s="80">
        <f t="shared" si="9"/>
        <v>0</v>
      </c>
      <c r="AG305" s="80">
        <f>+COEF_FCM!AM312</f>
        <v>77704</v>
      </c>
      <c r="AH305" s="80">
        <f>+COEF_FCM!AR312</f>
        <v>0</v>
      </c>
      <c r="AI305" s="80">
        <f>+COEF_FCM!AN312</f>
        <v>39349</v>
      </c>
      <c r="AJ305" s="80">
        <f>+COEF_FCM!AS312</f>
        <v>0</v>
      </c>
      <c r="AK305" s="80">
        <f>+COEF_FCM!AO312</f>
        <v>36416</v>
      </c>
      <c r="AL305" s="80">
        <f>+COEF_FCM!AT312</f>
        <v>0</v>
      </c>
      <c r="AM305" s="80">
        <f>+COEF_FCM!AP312</f>
        <v>38795</v>
      </c>
      <c r="AN305" s="80">
        <f>+COEF_FCM!AU312</f>
        <v>0</v>
      </c>
      <c r="AO305" s="80">
        <f>+COEF_FCM!AQ312</f>
        <v>192264</v>
      </c>
      <c r="AP305" s="80">
        <f>+COEF_FCM!AV312</f>
        <v>0</v>
      </c>
      <c r="AQ305" s="80">
        <f>+_CIERRE!O305+_CIERRE!P305</f>
        <v>2284978.159</v>
      </c>
      <c r="AR305" s="80">
        <f>+_CIERRE!Q305+_CIERRE!R305</f>
        <v>2607153.7769999998</v>
      </c>
      <c r="AS305" s="80">
        <f>+_CIERRE!S305+_CIERRE!T305</f>
        <v>2831266.7450000001</v>
      </c>
      <c r="AT305" s="80">
        <f>+_CIERRE!U305+_CIERRE!V305</f>
        <v>2898110.3360000001</v>
      </c>
      <c r="AU305" s="80">
        <f>+'CALC MEC ESTAB Y ESTIM M FINAL'!T310</f>
        <v>2959703</v>
      </c>
      <c r="AV305" s="560">
        <v>0</v>
      </c>
      <c r="AW305" s="551">
        <v>0</v>
      </c>
      <c r="AX305" s="551">
        <v>0</v>
      </c>
      <c r="AY305" s="551">
        <v>0</v>
      </c>
      <c r="AZ305" s="551">
        <v>363223.14799999999</v>
      </c>
      <c r="BA305" s="551">
        <v>355943.897</v>
      </c>
    </row>
    <row r="306" spans="1:53" ht="3" customHeight="1" x14ac:dyDescent="0.2">
      <c r="A306" s="68">
        <f>IF(LEN(+'_DATA STT PAGOS_'!M311)=4,"0"&amp;+'_DATA STT PAGOS_'!M311,+'_DATA STT PAGOS_'!M311)</f>
        <v>13601</v>
      </c>
      <c r="B306" s="68">
        <f>IF(LEN(+'_DATA STT PAGOS_'!N311)=4,"0"&amp;+'_DATA STT PAGOS_'!N311,+'_DATA STT PAGOS_'!N311)</f>
        <v>13501</v>
      </c>
      <c r="C306" s="76" t="str">
        <f>+'_DATA STT PAGOS_'!O311</f>
        <v>TALAGANTE</v>
      </c>
      <c r="D306" s="80">
        <f>+'CALC MEC ESTAB Y ESTIM M FINAL'!U311</f>
        <v>8744440</v>
      </c>
      <c r="E306" s="77">
        <f>+'CALC MEC ESTAB Y ESTIM M FINAL'!Q311</f>
        <v>3.0887948815000003E-3</v>
      </c>
      <c r="F306" s="77">
        <f>+'CALC MEC ESTAB Y ESTIM M FINAL'!R311</f>
        <v>-7.9891169999999993E-6</v>
      </c>
      <c r="G306" s="80">
        <f>+'_Flujo con Glosa 08'!CE311</f>
        <v>423302</v>
      </c>
      <c r="H306" s="80">
        <f>+'_Flujo con Glosa 08'!CF311</f>
        <v>423302</v>
      </c>
      <c r="I306" s="80">
        <f>+'_Flujo con Glosa 08'!CG311</f>
        <v>385349</v>
      </c>
      <c r="J306" s="80">
        <f>+'_Flujo con Glosa 08'!CH311</f>
        <v>423302</v>
      </c>
      <c r="K306" s="80">
        <f>+'_Flujo con Glosa 08'!CI311</f>
        <v>1120770</v>
      </c>
      <c r="L306" s="80">
        <f>+'_Flujo con Glosa 08'!CJ311</f>
        <v>434949</v>
      </c>
      <c r="M306" s="80">
        <f>+'_Flujo con Glosa 08'!CK311</f>
        <v>711050</v>
      </c>
      <c r="N306" s="80">
        <f>+'_Flujo con Glosa 08'!CL311</f>
        <v>423302</v>
      </c>
      <c r="O306" s="80">
        <f>+'_Flujo con Glosa 08'!CM311</f>
        <v>464975</v>
      </c>
      <c r="P306" s="80">
        <f>+'_Flujo con Glosa 08'!CN311</f>
        <v>741587</v>
      </c>
      <c r="Q306" s="80">
        <f>+'_Flujo con Glosa 08'!CO311</f>
        <v>423302</v>
      </c>
      <c r="R306" s="80">
        <f>+'_Flujo con Glosa 08'!CP311</f>
        <v>710128</v>
      </c>
      <c r="S306" s="80">
        <f t="shared" si="8"/>
        <v>6685318</v>
      </c>
      <c r="T306" s="80">
        <v>0</v>
      </c>
      <c r="U306" s="80">
        <v>0</v>
      </c>
      <c r="V306" s="80">
        <v>0</v>
      </c>
      <c r="W306" s="80">
        <v>0</v>
      </c>
      <c r="X306" s="80">
        <v>0</v>
      </c>
      <c r="Y306" s="80">
        <v>0</v>
      </c>
      <c r="Z306" s="80">
        <v>0</v>
      </c>
      <c r="AA306" s="80">
        <v>0</v>
      </c>
      <c r="AB306" s="80">
        <v>0</v>
      </c>
      <c r="AC306" s="80">
        <v>0</v>
      </c>
      <c r="AD306" s="80">
        <v>0</v>
      </c>
      <c r="AE306" s="80">
        <v>0</v>
      </c>
      <c r="AF306" s="80">
        <f t="shared" si="9"/>
        <v>0</v>
      </c>
      <c r="AG306" s="80">
        <f>+COEF_FCM!AM313</f>
        <v>448695</v>
      </c>
      <c r="AH306" s="80">
        <f>+COEF_FCM!AR313</f>
        <v>11127</v>
      </c>
      <c r="AI306" s="80">
        <f>+COEF_FCM!AN313</f>
        <v>314275</v>
      </c>
      <c r="AJ306" s="80">
        <f>+COEF_FCM!AS313</f>
        <v>4791</v>
      </c>
      <c r="AK306" s="80">
        <f>+COEF_FCM!AO313</f>
        <v>337690</v>
      </c>
      <c r="AL306" s="80">
        <f>+COEF_FCM!AT313</f>
        <v>18978.929</v>
      </c>
      <c r="AM306" s="80">
        <f>+COEF_FCM!AP313</f>
        <v>298988</v>
      </c>
      <c r="AN306" s="80">
        <f>+COEF_FCM!AU313</f>
        <v>14749</v>
      </c>
      <c r="AO306" s="80">
        <f>+COEF_FCM!AQ313</f>
        <v>1399648</v>
      </c>
      <c r="AP306" s="80">
        <f>+COEF_FCM!AV313</f>
        <v>49645.929000000004</v>
      </c>
      <c r="AQ306" s="80">
        <f>+_CIERRE!O306+_CIERRE!P306</f>
        <v>7116461.5190000003</v>
      </c>
      <c r="AR306" s="80">
        <f>+_CIERRE!Q306+_CIERRE!R306</f>
        <v>8185239.0389999999</v>
      </c>
      <c r="AS306" s="80">
        <f>+_CIERRE!S306+_CIERRE!T306</f>
        <v>8644659.8220000006</v>
      </c>
      <c r="AT306" s="80">
        <f>+_CIERRE!U306+_CIERRE!V306</f>
        <v>8725526.2239999995</v>
      </c>
      <c r="AU306" s="80">
        <f>+'CALC MEC ESTAB Y ESTIM M FINAL'!T311</f>
        <v>8744440</v>
      </c>
      <c r="AV306" s="560">
        <v>0</v>
      </c>
      <c r="AW306" s="551">
        <v>0</v>
      </c>
      <c r="AX306" s="551">
        <v>0</v>
      </c>
      <c r="AY306" s="551">
        <v>0</v>
      </c>
      <c r="AZ306" s="551">
        <v>792000.42799999996</v>
      </c>
      <c r="BA306" s="551">
        <v>781585.23800000001</v>
      </c>
    </row>
    <row r="307" spans="1:53" ht="3" customHeight="1" x14ac:dyDescent="0.2">
      <c r="A307" s="68">
        <f>IF(LEN(+'_DATA STT PAGOS_'!M312)=4,"0"&amp;+'_DATA STT PAGOS_'!M312,+'_DATA STT PAGOS_'!M312)</f>
        <v>13602</v>
      </c>
      <c r="B307" s="68">
        <f>IF(LEN(+'_DATA STT PAGOS_'!N312)=4,"0"&amp;+'_DATA STT PAGOS_'!N312,+'_DATA STT PAGOS_'!N312)</f>
        <v>13503</v>
      </c>
      <c r="C307" s="76" t="str">
        <f>+'_DATA STT PAGOS_'!O312</f>
        <v>EL MONTE</v>
      </c>
      <c r="D307" s="80">
        <f>+'CALC MEC ESTAB Y ESTIM M FINAL'!U312</f>
        <v>6243766</v>
      </c>
      <c r="E307" s="77">
        <f>+'CALC MEC ESTAB Y ESTIM M FINAL'!Q312</f>
        <v>2.5187524303E-3</v>
      </c>
      <c r="F307" s="77">
        <f>+'CALC MEC ESTAB Y ESTIM M FINAL'!R312</f>
        <v>-3.189738462E-4</v>
      </c>
      <c r="G307" s="80">
        <f>+'_Flujo con Glosa 08'!CE312</f>
        <v>266329</v>
      </c>
      <c r="H307" s="80">
        <f>+'_Flujo con Glosa 08'!CF312</f>
        <v>266329</v>
      </c>
      <c r="I307" s="80">
        <f>+'_Flujo con Glosa 08'!CG312</f>
        <v>275150</v>
      </c>
      <c r="J307" s="80">
        <f>+'_Flujo con Glosa 08'!CH312</f>
        <v>266329</v>
      </c>
      <c r="K307" s="80">
        <f>+'_Flujo con Glosa 08'!CI312</f>
        <v>908019</v>
      </c>
      <c r="L307" s="80">
        <f>+'_Flujo con Glosa 08'!CJ312</f>
        <v>274645</v>
      </c>
      <c r="M307" s="80">
        <f>+'_Flujo con Glosa 08'!CK312</f>
        <v>534665</v>
      </c>
      <c r="N307" s="80">
        <f>+'_Flujo con Glosa 08'!CL312</f>
        <v>266329</v>
      </c>
      <c r="O307" s="80">
        <f>+'_Flujo con Glosa 08'!CM312</f>
        <v>332005</v>
      </c>
      <c r="P307" s="80">
        <f>+'_Flujo con Glosa 08'!CN312</f>
        <v>574398</v>
      </c>
      <c r="Q307" s="80">
        <f>+'_Flujo con Glosa 08'!CO312</f>
        <v>266329</v>
      </c>
      <c r="R307" s="80">
        <f>+'_Flujo con Glosa 08'!CP312</f>
        <v>542971</v>
      </c>
      <c r="S307" s="80">
        <f t="shared" si="8"/>
        <v>4773498</v>
      </c>
      <c r="T307" s="80">
        <v>0</v>
      </c>
      <c r="U307" s="80">
        <v>0</v>
      </c>
      <c r="V307" s="80">
        <v>0</v>
      </c>
      <c r="W307" s="80">
        <v>0</v>
      </c>
      <c r="X307" s="80">
        <v>0</v>
      </c>
      <c r="Y307" s="80">
        <v>0</v>
      </c>
      <c r="Z307" s="80">
        <v>0</v>
      </c>
      <c r="AA307" s="80">
        <v>0</v>
      </c>
      <c r="AB307" s="80">
        <v>0</v>
      </c>
      <c r="AC307" s="80">
        <v>0</v>
      </c>
      <c r="AD307" s="80">
        <v>0</v>
      </c>
      <c r="AE307" s="80">
        <v>0</v>
      </c>
      <c r="AF307" s="80">
        <f t="shared" si="9"/>
        <v>0</v>
      </c>
      <c r="AG307" s="80">
        <f>+COEF_FCM!AM314</f>
        <v>88545</v>
      </c>
      <c r="AH307" s="80">
        <f>+COEF_FCM!AR314</f>
        <v>4556</v>
      </c>
      <c r="AI307" s="80">
        <f>+COEF_FCM!AN314</f>
        <v>55981</v>
      </c>
      <c r="AJ307" s="80">
        <f>+COEF_FCM!AS314</f>
        <v>2814</v>
      </c>
      <c r="AK307" s="80">
        <f>+COEF_FCM!AO314</f>
        <v>71822</v>
      </c>
      <c r="AL307" s="80">
        <f>+COEF_FCM!AT314</f>
        <v>3825.3510000000001</v>
      </c>
      <c r="AM307" s="80">
        <f>+COEF_FCM!AP314</f>
        <v>61893</v>
      </c>
      <c r="AN307" s="80">
        <f>+COEF_FCM!AU314</f>
        <v>3002</v>
      </c>
      <c r="AO307" s="80">
        <f>+COEF_FCM!AQ314</f>
        <v>278241</v>
      </c>
      <c r="AP307" s="80">
        <f>+COEF_FCM!AV314</f>
        <v>14197.351000000001</v>
      </c>
      <c r="AQ307" s="80">
        <f>+_CIERRE!O307+_CIERRE!P307</f>
        <v>3752815.4789999998</v>
      </c>
      <c r="AR307" s="80">
        <f>+_CIERRE!Q307+_CIERRE!R307</f>
        <v>4469593.2529999996</v>
      </c>
      <c r="AS307" s="80">
        <f>+_CIERRE!S307+_CIERRE!T307</f>
        <v>5031425.8</v>
      </c>
      <c r="AT307" s="80">
        <f>+_CIERRE!U307+_CIERRE!V307</f>
        <v>5488637.4939999999</v>
      </c>
      <c r="AU307" s="80">
        <f>+'CALC MEC ESTAB Y ESTIM M FINAL'!T312</f>
        <v>6243766</v>
      </c>
      <c r="AV307" s="560">
        <v>0</v>
      </c>
      <c r="AW307" s="551">
        <v>0</v>
      </c>
      <c r="AX307" s="551">
        <v>0</v>
      </c>
      <c r="AY307" s="551">
        <v>0</v>
      </c>
      <c r="AZ307" s="551">
        <v>492467.74300000002</v>
      </c>
      <c r="BA307" s="551">
        <v>574766.93500000006</v>
      </c>
    </row>
    <row r="308" spans="1:53" ht="3" customHeight="1" x14ac:dyDescent="0.2">
      <c r="A308" s="68">
        <f>IF(LEN(+'_DATA STT PAGOS_'!M313)=4,"0"&amp;+'_DATA STT PAGOS_'!M313,+'_DATA STT PAGOS_'!M313)</f>
        <v>13603</v>
      </c>
      <c r="B308" s="68">
        <f>IF(LEN(+'_DATA STT PAGOS_'!N313)=4,"0"&amp;+'_DATA STT PAGOS_'!N313,+'_DATA STT PAGOS_'!N313)</f>
        <v>13502</v>
      </c>
      <c r="C308" s="76" t="str">
        <f>+'_DATA STT PAGOS_'!O313</f>
        <v>ISLA DE MAIPO</v>
      </c>
      <c r="D308" s="80">
        <f>+'CALC MEC ESTAB Y ESTIM M FINAL'!U313</f>
        <v>4205481</v>
      </c>
      <c r="E308" s="77">
        <f>+'CALC MEC ESTAB Y ESTIM M FINAL'!Q313</f>
        <v>1.3822283539000001E-3</v>
      </c>
      <c r="F308" s="77">
        <f>+'CALC MEC ESTAB Y ESTIM M FINAL'!R313</f>
        <v>9.9429909199999996E-5</v>
      </c>
      <c r="G308" s="80">
        <f>+'_Flujo con Glosa 08'!CE313</f>
        <v>204021</v>
      </c>
      <c r="H308" s="80">
        <f>+'_Flujo con Glosa 08'!CF313</f>
        <v>204021</v>
      </c>
      <c r="I308" s="80">
        <f>+'_Flujo con Glosa 08'!CG313</f>
        <v>185327</v>
      </c>
      <c r="J308" s="80">
        <f>+'_Flujo con Glosa 08'!CH313</f>
        <v>204021</v>
      </c>
      <c r="K308" s="80">
        <f>+'_Flujo con Glosa 08'!CI313</f>
        <v>537690</v>
      </c>
      <c r="L308" s="80">
        <f>+'_Flujo con Glosa 08'!CJ313</f>
        <v>209622</v>
      </c>
      <c r="M308" s="80">
        <f>+'_Flujo con Glosa 08'!CK313</f>
        <v>342637</v>
      </c>
      <c r="N308" s="80">
        <f>+'_Flujo con Glosa 08'!CL313</f>
        <v>204021</v>
      </c>
      <c r="O308" s="80">
        <f>+'_Flujo con Glosa 08'!CM313</f>
        <v>223621</v>
      </c>
      <c r="P308" s="80">
        <f>+'_Flujo con Glosa 08'!CN313</f>
        <v>355100</v>
      </c>
      <c r="Q308" s="80">
        <f>+'_Flujo con Glosa 08'!CO313</f>
        <v>204021</v>
      </c>
      <c r="R308" s="80">
        <f>+'_Flujo con Glosa 08'!CP313</f>
        <v>341082</v>
      </c>
      <c r="S308" s="80">
        <f t="shared" si="8"/>
        <v>3215184</v>
      </c>
      <c r="T308" s="80">
        <v>0</v>
      </c>
      <c r="U308" s="80">
        <v>0</v>
      </c>
      <c r="V308" s="80">
        <v>0</v>
      </c>
      <c r="W308" s="80">
        <v>0</v>
      </c>
      <c r="X308" s="80">
        <v>0</v>
      </c>
      <c r="Y308" s="80">
        <v>0</v>
      </c>
      <c r="Z308" s="80">
        <v>0</v>
      </c>
      <c r="AA308" s="80">
        <v>0</v>
      </c>
      <c r="AB308" s="80">
        <v>0</v>
      </c>
      <c r="AC308" s="80">
        <v>0</v>
      </c>
      <c r="AD308" s="80">
        <v>0</v>
      </c>
      <c r="AE308" s="80">
        <v>0</v>
      </c>
      <c r="AF308" s="80">
        <f t="shared" si="9"/>
        <v>0</v>
      </c>
      <c r="AG308" s="80">
        <f>+COEF_FCM!AM315</f>
        <v>277648</v>
      </c>
      <c r="AH308" s="80">
        <f>+COEF_FCM!AR315</f>
        <v>24575</v>
      </c>
      <c r="AI308" s="80">
        <f>+COEF_FCM!AN315</f>
        <v>179045</v>
      </c>
      <c r="AJ308" s="80">
        <f>+COEF_FCM!AS315</f>
        <v>14838</v>
      </c>
      <c r="AK308" s="80">
        <f>+COEF_FCM!AO315</f>
        <v>203162</v>
      </c>
      <c r="AL308" s="80">
        <f>+COEF_FCM!AT315</f>
        <v>17795.664000000001</v>
      </c>
      <c r="AM308" s="80">
        <f>+COEF_FCM!AP315</f>
        <v>178333</v>
      </c>
      <c r="AN308" s="80">
        <f>+COEF_FCM!AU315</f>
        <v>13399</v>
      </c>
      <c r="AO308" s="80">
        <f>+COEF_FCM!AQ315</f>
        <v>838188</v>
      </c>
      <c r="AP308" s="80">
        <f>+COEF_FCM!AV315</f>
        <v>70607.664000000004</v>
      </c>
      <c r="AQ308" s="80">
        <f>+_CIERRE!O308+_CIERRE!P308</f>
        <v>3716652.9819999998</v>
      </c>
      <c r="AR308" s="80">
        <f>+_CIERRE!Q308+_CIERRE!R308</f>
        <v>4029524.173</v>
      </c>
      <c r="AS308" s="80">
        <f>+_CIERRE!S308+_CIERRE!T308</f>
        <v>4166504.7790000001</v>
      </c>
      <c r="AT308" s="80">
        <f>+_CIERRE!U308+_CIERRE!V308</f>
        <v>4205480.8569999998</v>
      </c>
      <c r="AU308" s="80">
        <f>+'CALC MEC ESTAB Y ESTIM M FINAL'!T313</f>
        <v>4205481</v>
      </c>
      <c r="AV308" s="560">
        <v>0</v>
      </c>
      <c r="AW308" s="551">
        <v>0</v>
      </c>
      <c r="AX308" s="551">
        <v>0</v>
      </c>
      <c r="AY308" s="551">
        <v>0</v>
      </c>
      <c r="AZ308" s="551">
        <v>416544.29599999997</v>
      </c>
      <c r="BA308" s="551">
        <v>415759.17099999997</v>
      </c>
    </row>
    <row r="309" spans="1:53" ht="3" customHeight="1" x14ac:dyDescent="0.2">
      <c r="A309" s="68">
        <f>IF(LEN(+'_DATA STT PAGOS_'!M314)=4,"0"&amp;+'_DATA STT PAGOS_'!M314,+'_DATA STT PAGOS_'!M314)</f>
        <v>13604</v>
      </c>
      <c r="B309" s="68">
        <f>IF(LEN(+'_DATA STT PAGOS_'!N314)=4,"0"&amp;+'_DATA STT PAGOS_'!N314,+'_DATA STT PAGOS_'!N314)</f>
        <v>13505</v>
      </c>
      <c r="C309" s="76" t="str">
        <f>+'_DATA STT PAGOS_'!O314</f>
        <v>PADRE HURTADO</v>
      </c>
      <c r="D309" s="80">
        <f>+'CALC MEC ESTAB Y ESTIM M FINAL'!U314</f>
        <v>7418545</v>
      </c>
      <c r="E309" s="77">
        <f>+'CALC MEC ESTAB Y ESTIM M FINAL'!Q314</f>
        <v>1.9339943335999999E-3</v>
      </c>
      <c r="F309" s="77">
        <f>+'CALC MEC ESTAB Y ESTIM M FINAL'!R314</f>
        <v>6.7967740549999996E-4</v>
      </c>
      <c r="G309" s="80">
        <f>+'_Flujo con Glosa 08'!CE314</f>
        <v>359896</v>
      </c>
      <c r="H309" s="80">
        <f>+'_Flujo con Glosa 08'!CF314</f>
        <v>359896</v>
      </c>
      <c r="I309" s="80">
        <f>+'_Flujo con Glosa 08'!CG314</f>
        <v>326920</v>
      </c>
      <c r="J309" s="80">
        <f>+'_Flujo con Glosa 08'!CH314</f>
        <v>359896</v>
      </c>
      <c r="K309" s="80">
        <f>+'_Flujo con Glosa 08'!CI314</f>
        <v>948495</v>
      </c>
      <c r="L309" s="80">
        <f>+'_Flujo con Glosa 08'!CJ314</f>
        <v>369777</v>
      </c>
      <c r="M309" s="80">
        <f>+'_Flujo con Glosa 08'!CK314</f>
        <v>604418</v>
      </c>
      <c r="N309" s="80">
        <f>+'_Flujo con Glosa 08'!CL314</f>
        <v>359896</v>
      </c>
      <c r="O309" s="80">
        <f>+'_Flujo con Glosa 08'!CM314</f>
        <v>394472</v>
      </c>
      <c r="P309" s="80">
        <f>+'_Flujo con Glosa 08'!CN314</f>
        <v>626403</v>
      </c>
      <c r="Q309" s="80">
        <f>+'_Flujo con Glosa 08'!CO314</f>
        <v>359896</v>
      </c>
      <c r="R309" s="80">
        <f>+'_Flujo con Glosa 08'!CP314</f>
        <v>601675</v>
      </c>
      <c r="S309" s="80">
        <f t="shared" si="8"/>
        <v>5671640</v>
      </c>
      <c r="T309" s="80">
        <v>0</v>
      </c>
      <c r="U309" s="80">
        <v>0</v>
      </c>
      <c r="V309" s="80">
        <v>0</v>
      </c>
      <c r="W309" s="80">
        <v>0</v>
      </c>
      <c r="X309" s="80">
        <v>0</v>
      </c>
      <c r="Y309" s="80">
        <v>0</v>
      </c>
      <c r="Z309" s="80">
        <v>0</v>
      </c>
      <c r="AA309" s="80">
        <v>0</v>
      </c>
      <c r="AB309" s="80">
        <v>0</v>
      </c>
      <c r="AC309" s="80">
        <v>0</v>
      </c>
      <c r="AD309" s="80">
        <v>0</v>
      </c>
      <c r="AE309" s="80">
        <v>0</v>
      </c>
      <c r="AF309" s="80">
        <f t="shared" si="9"/>
        <v>0</v>
      </c>
      <c r="AG309" s="80">
        <f>+COEF_FCM!AM316</f>
        <v>604100</v>
      </c>
      <c r="AH309" s="80">
        <f>+COEF_FCM!AR316</f>
        <v>55515</v>
      </c>
      <c r="AI309" s="80">
        <f>+COEF_FCM!AN316</f>
        <v>422236</v>
      </c>
      <c r="AJ309" s="80">
        <f>+COEF_FCM!AS316</f>
        <v>27090</v>
      </c>
      <c r="AK309" s="80">
        <f>+COEF_FCM!AO316</f>
        <v>458446</v>
      </c>
      <c r="AL309" s="80">
        <f>+COEF_FCM!AT316</f>
        <v>33167.607000000004</v>
      </c>
      <c r="AM309" s="80">
        <f>+COEF_FCM!AP316</f>
        <v>311149</v>
      </c>
      <c r="AN309" s="80">
        <f>+COEF_FCM!AU316</f>
        <v>27866</v>
      </c>
      <c r="AO309" s="80">
        <f>+COEF_FCM!AQ316</f>
        <v>1795931</v>
      </c>
      <c r="AP309" s="80">
        <f>+COEF_FCM!AV316</f>
        <v>143638.60700000002</v>
      </c>
      <c r="AQ309" s="80">
        <f>+_CIERRE!O309+_CIERRE!P309</f>
        <v>5806141.9950000001</v>
      </c>
      <c r="AR309" s="80">
        <f>+_CIERRE!Q309+_CIERRE!R309</f>
        <v>7096721.2960000001</v>
      </c>
      <c r="AS309" s="80">
        <f>+_CIERRE!S309+_CIERRE!T309</f>
        <v>7349791.9900000002</v>
      </c>
      <c r="AT309" s="80">
        <f>+_CIERRE!U309+_CIERRE!V309</f>
        <v>7418545.4189999998</v>
      </c>
      <c r="AU309" s="80">
        <f>+'CALC MEC ESTAB Y ESTIM M FINAL'!T314</f>
        <v>7418545</v>
      </c>
      <c r="AV309" s="560">
        <v>0</v>
      </c>
      <c r="AW309" s="551">
        <v>0</v>
      </c>
      <c r="AX309" s="551">
        <v>0</v>
      </c>
      <c r="AY309" s="551">
        <v>0</v>
      </c>
      <c r="AZ309" s="551">
        <v>485661.7</v>
      </c>
      <c r="BA309" s="551">
        <v>500388.89199999999</v>
      </c>
    </row>
    <row r="310" spans="1:53" ht="3" customHeight="1" x14ac:dyDescent="0.2">
      <c r="A310" s="68">
        <f>IF(LEN(+'_DATA STT PAGOS_'!M315)=4,"0"&amp;+'_DATA STT PAGOS_'!M315,+'_DATA STT PAGOS_'!M315)</f>
        <v>13605</v>
      </c>
      <c r="B310" s="68">
        <f>IF(LEN(+'_DATA STT PAGOS_'!N315)=4,"0"&amp;+'_DATA STT PAGOS_'!N315,+'_DATA STT PAGOS_'!N315)</f>
        <v>13504</v>
      </c>
      <c r="C310" s="76" t="str">
        <f>+'_DATA STT PAGOS_'!O315</f>
        <v>PEÑAFLOR</v>
      </c>
      <c r="D310" s="80">
        <f>+'CALC MEC ESTAB Y ESTIM M FINAL'!U315</f>
        <v>11434071</v>
      </c>
      <c r="E310" s="77">
        <f>+'CALC MEC ESTAB Y ESTIM M FINAL'!Q315</f>
        <v>4.0787773932000008E-3</v>
      </c>
      <c r="F310" s="77">
        <f>+'CALC MEC ESTAB Y ESTIM M FINAL'!R315</f>
        <v>-5.0371671600000001E-5</v>
      </c>
      <c r="G310" s="80">
        <f>+'_Flujo con Glosa 08'!CE315</f>
        <v>548917</v>
      </c>
      <c r="H310" s="80">
        <f>+'_Flujo con Glosa 08'!CF315</f>
        <v>548917</v>
      </c>
      <c r="I310" s="80">
        <f>+'_Flujo con Glosa 08'!CG315</f>
        <v>503876</v>
      </c>
      <c r="J310" s="80">
        <f>+'_Flujo con Glosa 08'!CH315</f>
        <v>548917</v>
      </c>
      <c r="K310" s="80">
        <f>+'_Flujo con Glosa 08'!CI315</f>
        <v>1479253</v>
      </c>
      <c r="L310" s="80">
        <f>+'_Flujo con Glosa 08'!CJ315</f>
        <v>564146</v>
      </c>
      <c r="M310" s="80">
        <f>+'_Flujo con Glosa 08'!CK315</f>
        <v>922791</v>
      </c>
      <c r="N310" s="80">
        <f>+'_Flujo con Glosa 08'!CL315</f>
        <v>548917</v>
      </c>
      <c r="O310" s="80">
        <f>+'_Flujo con Glosa 08'!CM315</f>
        <v>607993</v>
      </c>
      <c r="P310" s="80">
        <f>+'_Flujo con Glosa 08'!CN315</f>
        <v>985820</v>
      </c>
      <c r="Q310" s="80">
        <f>+'_Flujo con Glosa 08'!CO315</f>
        <v>548917</v>
      </c>
      <c r="R310" s="80">
        <f>+'_Flujo con Glosa 08'!CP315</f>
        <v>933136</v>
      </c>
      <c r="S310" s="80">
        <f t="shared" si="8"/>
        <v>8741600</v>
      </c>
      <c r="T310" s="80">
        <v>0</v>
      </c>
      <c r="U310" s="80">
        <v>0</v>
      </c>
      <c r="V310" s="80">
        <v>0</v>
      </c>
      <c r="W310" s="80">
        <v>0</v>
      </c>
      <c r="X310" s="80">
        <v>0</v>
      </c>
      <c r="Y310" s="80">
        <v>0</v>
      </c>
      <c r="Z310" s="80">
        <v>0</v>
      </c>
      <c r="AA310" s="80">
        <v>0</v>
      </c>
      <c r="AB310" s="80">
        <v>0</v>
      </c>
      <c r="AC310" s="80">
        <v>0</v>
      </c>
      <c r="AD310" s="80">
        <v>0</v>
      </c>
      <c r="AE310" s="80">
        <v>0</v>
      </c>
      <c r="AF310" s="80">
        <f t="shared" si="9"/>
        <v>0</v>
      </c>
      <c r="AG310" s="80">
        <f>+COEF_FCM!AM317</f>
        <v>462643</v>
      </c>
      <c r="AH310" s="80">
        <f>+COEF_FCM!AR317</f>
        <v>48449</v>
      </c>
      <c r="AI310" s="80">
        <f>+COEF_FCM!AN317</f>
        <v>326725</v>
      </c>
      <c r="AJ310" s="80">
        <f>+COEF_FCM!AS317</f>
        <v>23113</v>
      </c>
      <c r="AK310" s="80">
        <f>+COEF_FCM!AO317</f>
        <v>335353</v>
      </c>
      <c r="AL310" s="80">
        <f>+COEF_FCM!AT317</f>
        <v>30086.47</v>
      </c>
      <c r="AM310" s="80">
        <f>+COEF_FCM!AP317</f>
        <v>300234</v>
      </c>
      <c r="AN310" s="80">
        <f>+COEF_FCM!AU317</f>
        <v>21004</v>
      </c>
      <c r="AO310" s="80">
        <f>+COEF_FCM!AQ317</f>
        <v>1424955</v>
      </c>
      <c r="AP310" s="80">
        <f>+COEF_FCM!AV317</f>
        <v>122652.47</v>
      </c>
      <c r="AQ310" s="80">
        <f>+_CIERRE!O310+_CIERRE!P310</f>
        <v>9259293.0370000005</v>
      </c>
      <c r="AR310" s="80">
        <f>+_CIERRE!Q310+_CIERRE!R310</f>
        <v>10777563.49</v>
      </c>
      <c r="AS310" s="80">
        <f>+_CIERRE!S310+_CIERRE!T310</f>
        <v>11209957.912</v>
      </c>
      <c r="AT310" s="80">
        <f>+_CIERRE!U310+_CIERRE!V310</f>
        <v>11314822.132999999</v>
      </c>
      <c r="AU310" s="80">
        <f>+'CALC MEC ESTAB Y ESTIM M FINAL'!T315</f>
        <v>11434071</v>
      </c>
      <c r="AV310" s="560">
        <v>0</v>
      </c>
      <c r="AW310" s="551">
        <v>0</v>
      </c>
      <c r="AX310" s="551">
        <v>0</v>
      </c>
      <c r="AY310" s="551">
        <v>0</v>
      </c>
      <c r="AZ310" s="551">
        <v>1080939.9080000001</v>
      </c>
      <c r="BA310" s="551">
        <v>1107528.9580000001</v>
      </c>
    </row>
    <row r="311" spans="1:53" ht="3" customHeight="1" x14ac:dyDescent="0.2">
      <c r="A311" s="68">
        <f>IF(LEN(+'_DATA STT PAGOS_'!M316)=4,"0"&amp;+'_DATA STT PAGOS_'!M316,+'_DATA STT PAGOS_'!M316)</f>
        <v>14101</v>
      </c>
      <c r="B311" s="68">
        <f>IF(LEN(+'_DATA STT PAGOS_'!N316)=4,"0"&amp;+'_DATA STT PAGOS_'!N316,+'_DATA STT PAGOS_'!N316)</f>
        <v>10101</v>
      </c>
      <c r="C311" s="76" t="str">
        <f>+'_DATA STT PAGOS_'!O316</f>
        <v>VALDIVIA</v>
      </c>
      <c r="D311" s="80">
        <f>+'CALC MEC ESTAB Y ESTIM M FINAL'!U316</f>
        <v>29461068</v>
      </c>
      <c r="E311" s="77">
        <f>+'CALC MEC ESTAB Y ESTIM M FINAL'!Q316</f>
        <v>9.3678667763999988E-3</v>
      </c>
      <c r="F311" s="77">
        <f>+'CALC MEC ESTAB Y ESTIM M FINAL'!R316</f>
        <v>1.0117380285E-3</v>
      </c>
      <c r="G311" s="80">
        <f>+'_Flujo con Glosa 08'!CE316</f>
        <v>1429246</v>
      </c>
      <c r="H311" s="80">
        <f>+'_Flujo con Glosa 08'!CF316</f>
        <v>1429246</v>
      </c>
      <c r="I311" s="80">
        <f>+'_Flujo con Glosa 08'!CG316</f>
        <v>1298288</v>
      </c>
      <c r="J311" s="80">
        <f>+'_Flujo con Glosa 08'!CH316</f>
        <v>1429246</v>
      </c>
      <c r="K311" s="80">
        <f>+'_Flujo con Glosa 08'!CI316</f>
        <v>3766735</v>
      </c>
      <c r="L311" s="80">
        <f>+'_Flujo con Glosa 08'!CJ316</f>
        <v>1468485</v>
      </c>
      <c r="M311" s="80">
        <f>+'_Flujo con Glosa 08'!CK316</f>
        <v>2400310</v>
      </c>
      <c r="N311" s="80">
        <f>+'_Flujo con Glosa 08'!CL316</f>
        <v>1429246</v>
      </c>
      <c r="O311" s="80">
        <f>+'_Flujo con Glosa 08'!CM316</f>
        <v>1566558</v>
      </c>
      <c r="P311" s="80">
        <f>+'_Flujo con Glosa 08'!CN316</f>
        <v>2487617</v>
      </c>
      <c r="Q311" s="80">
        <f>+'_Flujo con Glosa 08'!CO316</f>
        <v>1429246</v>
      </c>
      <c r="R311" s="80">
        <f>+'_Flujo con Glosa 08'!CP316</f>
        <v>2389416</v>
      </c>
      <c r="S311" s="80">
        <f t="shared" si="8"/>
        <v>22523639</v>
      </c>
      <c r="T311" s="80">
        <v>0</v>
      </c>
      <c r="U311" s="80">
        <v>0</v>
      </c>
      <c r="V311" s="80">
        <v>0</v>
      </c>
      <c r="W311" s="80">
        <v>0</v>
      </c>
      <c r="X311" s="80">
        <v>0</v>
      </c>
      <c r="Y311" s="80">
        <v>0</v>
      </c>
      <c r="Z311" s="80">
        <v>0</v>
      </c>
      <c r="AA311" s="80">
        <v>0</v>
      </c>
      <c r="AB311" s="80">
        <v>0</v>
      </c>
      <c r="AC311" s="80">
        <v>0</v>
      </c>
      <c r="AD311" s="80">
        <v>0</v>
      </c>
      <c r="AE311" s="80">
        <v>0</v>
      </c>
      <c r="AF311" s="80">
        <f t="shared" si="9"/>
        <v>0</v>
      </c>
      <c r="AG311" s="80">
        <f>+COEF_FCM!AM318</f>
        <v>1153707</v>
      </c>
      <c r="AH311" s="80">
        <f>+COEF_FCM!AR318</f>
        <v>99782</v>
      </c>
      <c r="AI311" s="80">
        <f>+COEF_FCM!AN318</f>
        <v>734048</v>
      </c>
      <c r="AJ311" s="80">
        <f>+COEF_FCM!AS318</f>
        <v>42400</v>
      </c>
      <c r="AK311" s="80">
        <f>+COEF_FCM!AO318</f>
        <v>928979</v>
      </c>
      <c r="AL311" s="80">
        <f>+COEF_FCM!AT318</f>
        <v>62353.178</v>
      </c>
      <c r="AM311" s="80">
        <f>+COEF_FCM!AP318</f>
        <v>686656</v>
      </c>
      <c r="AN311" s="80">
        <f>+COEF_FCM!AU318</f>
        <v>40326</v>
      </c>
      <c r="AO311" s="80">
        <f>+COEF_FCM!AQ318</f>
        <v>3503390</v>
      </c>
      <c r="AP311" s="80">
        <f>+COEF_FCM!AV318</f>
        <v>244861.17800000001</v>
      </c>
      <c r="AQ311" s="80">
        <f>+_CIERRE!O311+_CIERRE!P311</f>
        <v>23287536.392000001</v>
      </c>
      <c r="AR311" s="80">
        <f>+_CIERRE!Q311+_CIERRE!R311</f>
        <v>26203482.686000001</v>
      </c>
      <c r="AS311" s="80">
        <f>+_CIERRE!S311+_CIERRE!T311</f>
        <v>29188027.833999999</v>
      </c>
      <c r="AT311" s="80">
        <f>+_CIERRE!U311+_CIERRE!V311</f>
        <v>29461067.521000002</v>
      </c>
      <c r="AU311" s="80">
        <f>+'CALC MEC ESTAB Y ESTIM M FINAL'!T316</f>
        <v>29461068</v>
      </c>
      <c r="AV311" s="560">
        <v>0</v>
      </c>
      <c r="AW311" s="551">
        <v>0</v>
      </c>
      <c r="AX311" s="551">
        <v>0</v>
      </c>
      <c r="AY311" s="551">
        <v>0</v>
      </c>
      <c r="AZ311" s="551">
        <v>727085.41299999994</v>
      </c>
      <c r="BA311" s="551">
        <v>747725.826</v>
      </c>
    </row>
    <row r="312" spans="1:53" ht="3" customHeight="1" x14ac:dyDescent="0.2">
      <c r="A312" s="68">
        <f>IF(LEN(+'_DATA STT PAGOS_'!M317)=4,"0"&amp;+'_DATA STT PAGOS_'!M317,+'_DATA STT PAGOS_'!M317)</f>
        <v>14102</v>
      </c>
      <c r="B312" s="68">
        <f>IF(LEN(+'_DATA STT PAGOS_'!N317)=4,"0"&amp;+'_DATA STT PAGOS_'!N317,+'_DATA STT PAGOS_'!N317)</f>
        <v>10106</v>
      </c>
      <c r="C312" s="76" t="str">
        <f>+'_DATA STT PAGOS_'!O317</f>
        <v>CORRAL</v>
      </c>
      <c r="D312" s="80">
        <f>+'CALC MEC ESTAB Y ESTIM M FINAL'!U317</f>
        <v>3308938</v>
      </c>
      <c r="E312" s="77">
        <f>+'CALC MEC ESTAB Y ESTIM M FINAL'!Q317</f>
        <v>1.2277326753E-3</v>
      </c>
      <c r="F312" s="77">
        <f>+'CALC MEC ESTAB Y ESTIM M FINAL'!R317</f>
        <v>-6.1941023499999996E-5</v>
      </c>
      <c r="G312" s="80">
        <f>+'_Flujo con Glosa 08'!CE317</f>
        <v>153473</v>
      </c>
      <c r="H312" s="80">
        <f>+'_Flujo con Glosa 08'!CF317</f>
        <v>153473</v>
      </c>
      <c r="I312" s="80">
        <f>+'_Flujo con Glosa 08'!CG317</f>
        <v>145818</v>
      </c>
      <c r="J312" s="80">
        <f>+'_Flujo con Glosa 08'!CH317</f>
        <v>153473</v>
      </c>
      <c r="K312" s="80">
        <f>+'_Flujo con Glosa 08'!CI317</f>
        <v>444224</v>
      </c>
      <c r="L312" s="80">
        <f>+'_Flujo con Glosa 08'!CJ317</f>
        <v>157880</v>
      </c>
      <c r="M312" s="80">
        <f>+'_Flujo con Glosa 08'!CK317</f>
        <v>271020</v>
      </c>
      <c r="N312" s="80">
        <f>+'_Flujo con Glosa 08'!CL317</f>
        <v>153473</v>
      </c>
      <c r="O312" s="80">
        <f>+'_Flujo con Glosa 08'!CM317</f>
        <v>175949</v>
      </c>
      <c r="P312" s="80">
        <f>+'_Flujo con Glosa 08'!CN317</f>
        <v>292077</v>
      </c>
      <c r="Q312" s="80">
        <f>+'_Flujo con Glosa 08'!CO317</f>
        <v>153473</v>
      </c>
      <c r="R312" s="80">
        <f>+'_Flujo con Glosa 08'!CP317</f>
        <v>275422</v>
      </c>
      <c r="S312" s="80">
        <f t="shared" si="8"/>
        <v>2529755</v>
      </c>
      <c r="T312" s="80">
        <v>0</v>
      </c>
      <c r="U312" s="80">
        <v>0</v>
      </c>
      <c r="V312" s="80">
        <v>0</v>
      </c>
      <c r="W312" s="80">
        <v>0</v>
      </c>
      <c r="X312" s="80">
        <v>0</v>
      </c>
      <c r="Y312" s="80">
        <v>0</v>
      </c>
      <c r="Z312" s="80">
        <v>0</v>
      </c>
      <c r="AA312" s="80">
        <v>0</v>
      </c>
      <c r="AB312" s="80">
        <v>0</v>
      </c>
      <c r="AC312" s="80">
        <v>0</v>
      </c>
      <c r="AD312" s="80">
        <v>0</v>
      </c>
      <c r="AE312" s="80">
        <v>0</v>
      </c>
      <c r="AF312" s="80">
        <f t="shared" si="9"/>
        <v>0</v>
      </c>
      <c r="AG312" s="80">
        <f>+COEF_FCM!AM319</f>
        <v>13174</v>
      </c>
      <c r="AH312" s="80">
        <f>+COEF_FCM!AR319</f>
        <v>176</v>
      </c>
      <c r="AI312" s="80">
        <f>+COEF_FCM!AN319</f>
        <v>11672</v>
      </c>
      <c r="AJ312" s="80">
        <f>+COEF_FCM!AS319</f>
        <v>96</v>
      </c>
      <c r="AK312" s="80">
        <f>+COEF_FCM!AO319</f>
        <v>14505</v>
      </c>
      <c r="AL312" s="80">
        <f>+COEF_FCM!AT319</f>
        <v>207.43</v>
      </c>
      <c r="AM312" s="80">
        <f>+COEF_FCM!AP319</f>
        <v>8479</v>
      </c>
      <c r="AN312" s="80">
        <f>+COEF_FCM!AU319</f>
        <v>77</v>
      </c>
      <c r="AO312" s="80">
        <f>+COEF_FCM!AQ319</f>
        <v>47830</v>
      </c>
      <c r="AP312" s="80">
        <f>+COEF_FCM!AV319</f>
        <v>556.43000000000006</v>
      </c>
      <c r="AQ312" s="80">
        <f>+_CIERRE!O312+_CIERRE!P312</f>
        <v>2457751.7400000002</v>
      </c>
      <c r="AR312" s="80">
        <f>+_CIERRE!Q312+_CIERRE!R312</f>
        <v>2675422.3879999998</v>
      </c>
      <c r="AS312" s="80">
        <f>+_CIERRE!S312+_CIERRE!T312</f>
        <v>2868327.0219999999</v>
      </c>
      <c r="AT312" s="80">
        <f>+_CIERRE!U312+_CIERRE!V312</f>
        <v>3162300.4750000001</v>
      </c>
      <c r="AU312" s="80">
        <f>+'CALC MEC ESTAB Y ESTIM M FINAL'!T317</f>
        <v>3308938</v>
      </c>
      <c r="AV312" s="560">
        <v>0</v>
      </c>
      <c r="AW312" s="551">
        <v>0</v>
      </c>
      <c r="AX312" s="551">
        <v>0</v>
      </c>
      <c r="AY312" s="551">
        <v>0</v>
      </c>
      <c r="AZ312" s="551">
        <v>331318.12</v>
      </c>
      <c r="BA312" s="551">
        <v>337852.43400000001</v>
      </c>
    </row>
    <row r="313" spans="1:53" ht="3" customHeight="1" x14ac:dyDescent="0.2">
      <c r="A313" s="68">
        <f>IF(LEN(+'_DATA STT PAGOS_'!M318)=4,"0"&amp;+'_DATA STT PAGOS_'!M318,+'_DATA STT PAGOS_'!M318)</f>
        <v>14103</v>
      </c>
      <c r="B313" s="68">
        <f>IF(LEN(+'_DATA STT PAGOS_'!N318)=4,"0"&amp;+'_DATA STT PAGOS_'!N318,+'_DATA STT PAGOS_'!N318)</f>
        <v>10103</v>
      </c>
      <c r="C313" s="76" t="str">
        <f>+'_DATA STT PAGOS_'!O318</f>
        <v>LANCO</v>
      </c>
      <c r="D313" s="80">
        <f>+'CALC MEC ESTAB Y ESTIM M FINAL'!U318</f>
        <v>5805895</v>
      </c>
      <c r="E313" s="77">
        <f>+'CALC MEC ESTAB Y ESTIM M FINAL'!Q318</f>
        <v>2.3278833553999996E-3</v>
      </c>
      <c r="F313" s="77">
        <f>+'CALC MEC ESTAB Y ESTIM M FINAL'!R318</f>
        <v>-2.823738537E-4</v>
      </c>
      <c r="G313" s="80">
        <f>+'_Flujo con Glosa 08'!CE318</f>
        <v>249542</v>
      </c>
      <c r="H313" s="80">
        <f>+'_Flujo con Glosa 08'!CF318</f>
        <v>249542</v>
      </c>
      <c r="I313" s="80">
        <f>+'_Flujo con Glosa 08'!CG318</f>
        <v>255854</v>
      </c>
      <c r="J313" s="80">
        <f>+'_Flujo con Glosa 08'!CH318</f>
        <v>249542</v>
      </c>
      <c r="K313" s="80">
        <f>+'_Flujo con Glosa 08'!CI318</f>
        <v>838669</v>
      </c>
      <c r="L313" s="80">
        <f>+'_Flujo con Glosa 08'!CJ318</f>
        <v>257275</v>
      </c>
      <c r="M313" s="80">
        <f>+'_Flujo con Glosa 08'!CK318</f>
        <v>495279</v>
      </c>
      <c r="N313" s="80">
        <f>+'_Flujo con Glosa 08'!CL318</f>
        <v>249542</v>
      </c>
      <c r="O313" s="80">
        <f>+'_Flujo con Glosa 08'!CM318</f>
        <v>308722</v>
      </c>
      <c r="P313" s="80">
        <f>+'_Flujo con Glosa 08'!CN318</f>
        <v>532225</v>
      </c>
      <c r="Q313" s="80">
        <f>+'_Flujo con Glosa 08'!CO318</f>
        <v>249542</v>
      </c>
      <c r="R313" s="80">
        <f>+'_Flujo con Glosa 08'!CP318</f>
        <v>503002</v>
      </c>
      <c r="S313" s="80">
        <f t="shared" si="8"/>
        <v>4438736</v>
      </c>
      <c r="T313" s="80">
        <v>0</v>
      </c>
      <c r="U313" s="80">
        <v>0</v>
      </c>
      <c r="V313" s="80">
        <v>0</v>
      </c>
      <c r="W313" s="80">
        <v>0</v>
      </c>
      <c r="X313" s="80">
        <v>0</v>
      </c>
      <c r="Y313" s="80">
        <v>0</v>
      </c>
      <c r="Z313" s="80">
        <v>0</v>
      </c>
      <c r="AA313" s="80">
        <v>0</v>
      </c>
      <c r="AB313" s="80">
        <v>0</v>
      </c>
      <c r="AC313" s="80">
        <v>0</v>
      </c>
      <c r="AD313" s="80">
        <v>0</v>
      </c>
      <c r="AE313" s="80">
        <v>0</v>
      </c>
      <c r="AF313" s="80">
        <f t="shared" si="9"/>
        <v>0</v>
      </c>
      <c r="AG313" s="80">
        <f>+COEF_FCM!AM320</f>
        <v>44616</v>
      </c>
      <c r="AH313" s="80">
        <f>+COEF_FCM!AR320</f>
        <v>596</v>
      </c>
      <c r="AI313" s="80">
        <f>+COEF_FCM!AN320</f>
        <v>31392</v>
      </c>
      <c r="AJ313" s="80">
        <f>+COEF_FCM!AS320</f>
        <v>472</v>
      </c>
      <c r="AK313" s="80">
        <f>+COEF_FCM!AO320</f>
        <v>39194</v>
      </c>
      <c r="AL313" s="80">
        <f>+COEF_FCM!AT320</f>
        <v>403.78699999999998</v>
      </c>
      <c r="AM313" s="80">
        <f>+COEF_FCM!AP320</f>
        <v>26694</v>
      </c>
      <c r="AN313" s="80">
        <f>+COEF_FCM!AU320</f>
        <v>194</v>
      </c>
      <c r="AO313" s="80">
        <f>+COEF_FCM!AQ320</f>
        <v>141896</v>
      </c>
      <c r="AP313" s="80">
        <f>+COEF_FCM!AV320</f>
        <v>1665.787</v>
      </c>
      <c r="AQ313" s="80">
        <f>+_CIERRE!O313+_CIERRE!P313</f>
        <v>3602316.139</v>
      </c>
      <c r="AR313" s="80">
        <f>+_CIERRE!Q313+_CIERRE!R313</f>
        <v>4097245.6690000002</v>
      </c>
      <c r="AS313" s="80">
        <f>+_CIERRE!S313+_CIERRE!T313</f>
        <v>4389694.2110000001</v>
      </c>
      <c r="AT313" s="80">
        <f>+_CIERRE!U313+_CIERRE!V313</f>
        <v>5137411.716</v>
      </c>
      <c r="AU313" s="80">
        <f>+'CALC MEC ESTAB Y ESTIM M FINAL'!T318</f>
        <v>5805895</v>
      </c>
      <c r="AV313" s="560">
        <v>0</v>
      </c>
      <c r="AW313" s="551">
        <v>0</v>
      </c>
      <c r="AX313" s="551">
        <v>0</v>
      </c>
      <c r="AY313" s="551">
        <v>0</v>
      </c>
      <c r="AZ313" s="551">
        <v>457813.80200000003</v>
      </c>
      <c r="BA313" s="551">
        <v>471608.71799999999</v>
      </c>
    </row>
    <row r="314" spans="1:53" ht="3" customHeight="1" x14ac:dyDescent="0.2">
      <c r="A314" s="68">
        <f>IF(LEN(+'_DATA STT PAGOS_'!M319)=4,"0"&amp;+'_DATA STT PAGOS_'!M319,+'_DATA STT PAGOS_'!M319)</f>
        <v>14104</v>
      </c>
      <c r="B314" s="68">
        <f>IF(LEN(+'_DATA STT PAGOS_'!N319)=4,"0"&amp;+'_DATA STT PAGOS_'!N319,+'_DATA STT PAGOS_'!N319)</f>
        <v>10104</v>
      </c>
      <c r="C314" s="76" t="str">
        <f>+'_DATA STT PAGOS_'!O319</f>
        <v>LOS LAGOS</v>
      </c>
      <c r="D314" s="80">
        <f>+'CALC MEC ESTAB Y ESTIM M FINAL'!U319</f>
        <v>3689572</v>
      </c>
      <c r="E314" s="77">
        <f>+'CALC MEC ESTAB Y ESTIM M FINAL'!Q319</f>
        <v>1.2444747864E-3</v>
      </c>
      <c r="F314" s="77">
        <f>+'CALC MEC ESTAB Y ESTIM M FINAL'!R319</f>
        <v>5.5420359500000001E-5</v>
      </c>
      <c r="G314" s="80">
        <f>+'_Flujo con Glosa 08'!CE319</f>
        <v>178992</v>
      </c>
      <c r="H314" s="80">
        <f>+'_Flujo con Glosa 08'!CF319</f>
        <v>178992</v>
      </c>
      <c r="I314" s="80">
        <f>+'_Flujo con Glosa 08'!CG319</f>
        <v>162592</v>
      </c>
      <c r="J314" s="80">
        <f>+'_Flujo con Glosa 08'!CH319</f>
        <v>178992</v>
      </c>
      <c r="K314" s="80">
        <f>+'_Flujo con Glosa 08'!CI319</f>
        <v>471730</v>
      </c>
      <c r="L314" s="80">
        <f>+'_Flujo con Glosa 08'!CJ319</f>
        <v>183906</v>
      </c>
      <c r="M314" s="80">
        <f>+'_Flujo con Glosa 08'!CK319</f>
        <v>300604</v>
      </c>
      <c r="N314" s="80">
        <f>+'_Flujo con Glosa 08'!CL319</f>
        <v>178992</v>
      </c>
      <c r="O314" s="80">
        <f>+'_Flujo con Glosa 08'!CM319</f>
        <v>196189</v>
      </c>
      <c r="P314" s="80">
        <f>+'_Flujo con Glosa 08'!CN319</f>
        <v>311539</v>
      </c>
      <c r="Q314" s="80">
        <f>+'_Flujo con Glosa 08'!CO319</f>
        <v>178992</v>
      </c>
      <c r="R314" s="80">
        <f>+'_Flujo con Glosa 08'!CP319</f>
        <v>299240</v>
      </c>
      <c r="S314" s="80">
        <f t="shared" si="8"/>
        <v>2820760</v>
      </c>
      <c r="T314" s="80">
        <v>0</v>
      </c>
      <c r="U314" s="80">
        <v>0</v>
      </c>
      <c r="V314" s="80">
        <v>0</v>
      </c>
      <c r="W314" s="80">
        <v>0</v>
      </c>
      <c r="X314" s="80">
        <v>0</v>
      </c>
      <c r="Y314" s="80">
        <v>0</v>
      </c>
      <c r="Z314" s="80">
        <v>0</v>
      </c>
      <c r="AA314" s="80">
        <v>0</v>
      </c>
      <c r="AB314" s="80">
        <v>0</v>
      </c>
      <c r="AC314" s="80">
        <v>0</v>
      </c>
      <c r="AD314" s="80">
        <v>0</v>
      </c>
      <c r="AE314" s="80">
        <v>0</v>
      </c>
      <c r="AF314" s="80">
        <f t="shared" si="9"/>
        <v>0</v>
      </c>
      <c r="AG314" s="80">
        <f>+COEF_FCM!AM321</f>
        <v>120306</v>
      </c>
      <c r="AH314" s="80">
        <f>+COEF_FCM!AR321</f>
        <v>1858</v>
      </c>
      <c r="AI314" s="80">
        <f>+COEF_FCM!AN321</f>
        <v>77839</v>
      </c>
      <c r="AJ314" s="80">
        <f>+COEF_FCM!AS321</f>
        <v>803</v>
      </c>
      <c r="AK314" s="80">
        <f>+COEF_FCM!AO321</f>
        <v>89759</v>
      </c>
      <c r="AL314" s="80">
        <f>+COEF_FCM!AT321</f>
        <v>731.52</v>
      </c>
      <c r="AM314" s="80">
        <f>+COEF_FCM!AP321</f>
        <v>60040</v>
      </c>
      <c r="AN314" s="80">
        <f>+COEF_FCM!AU321</f>
        <v>538</v>
      </c>
      <c r="AO314" s="80">
        <f>+COEF_FCM!AQ321</f>
        <v>347944</v>
      </c>
      <c r="AP314" s="80">
        <f>+COEF_FCM!AV321</f>
        <v>3930.52</v>
      </c>
      <c r="AQ314" s="80">
        <f>+_CIERRE!O314+_CIERRE!P314</f>
        <v>3198759.8990000002</v>
      </c>
      <c r="AR314" s="80">
        <f>+_CIERRE!Q314+_CIERRE!R314</f>
        <v>3472444.8280000002</v>
      </c>
      <c r="AS314" s="80">
        <f>+_CIERRE!S314+_CIERRE!T314</f>
        <v>3655376.9169999999</v>
      </c>
      <c r="AT314" s="80">
        <f>+_CIERRE!U314+_CIERRE!V314</f>
        <v>3689571.62</v>
      </c>
      <c r="AU314" s="80">
        <f>+'CALC MEC ESTAB Y ESTIM M FINAL'!T319</f>
        <v>3689572</v>
      </c>
      <c r="AV314" s="560">
        <v>0</v>
      </c>
      <c r="AW314" s="551">
        <v>0</v>
      </c>
      <c r="AX314" s="551">
        <v>0</v>
      </c>
      <c r="AY314" s="551">
        <v>0</v>
      </c>
      <c r="AZ314" s="551">
        <v>398213.24699999997</v>
      </c>
      <c r="BA314" s="551">
        <v>409241.53200000001</v>
      </c>
    </row>
    <row r="315" spans="1:53" ht="3" customHeight="1" x14ac:dyDescent="0.2">
      <c r="A315" s="68">
        <f>IF(LEN(+'_DATA STT PAGOS_'!M320)=4,"0"&amp;+'_DATA STT PAGOS_'!M320,+'_DATA STT PAGOS_'!M320)</f>
        <v>14105</v>
      </c>
      <c r="B315" s="68">
        <f>IF(LEN(+'_DATA STT PAGOS_'!N320)=4,"0"&amp;+'_DATA STT PAGOS_'!N320,+'_DATA STT PAGOS_'!N320)</f>
        <v>10107</v>
      </c>
      <c r="C315" s="76" t="str">
        <f>+'_DATA STT PAGOS_'!O320</f>
        <v>MÁFIL</v>
      </c>
      <c r="D315" s="80">
        <f>+'CALC MEC ESTAB Y ESTIM M FINAL'!U320</f>
        <v>2524162</v>
      </c>
      <c r="E315" s="77">
        <f>+'CALC MEC ESTAB Y ESTIM M FINAL'!Q320</f>
        <v>8.9469285379999998E-4</v>
      </c>
      <c r="F315" s="77">
        <f>+'CALC MEC ESTAB Y ESTIM M FINAL'!R320</f>
        <v>-5.3904344000000004E-6</v>
      </c>
      <c r="G315" s="80">
        <f>+'_Flujo con Glosa 08'!CE320</f>
        <v>121880</v>
      </c>
      <c r="H315" s="80">
        <f>+'_Flujo con Glosa 08'!CF320</f>
        <v>121880</v>
      </c>
      <c r="I315" s="80">
        <f>+'_Flujo con Glosa 08'!CG320</f>
        <v>111235</v>
      </c>
      <c r="J315" s="80">
        <f>+'_Flujo con Glosa 08'!CH320</f>
        <v>121880</v>
      </c>
      <c r="K315" s="80">
        <f>+'_Flujo con Glosa 08'!CI320</f>
        <v>324451</v>
      </c>
      <c r="L315" s="80">
        <f>+'_Flujo con Glosa 08'!CJ320</f>
        <v>125242</v>
      </c>
      <c r="M315" s="80">
        <f>+'_Flujo con Glosa 08'!CK320</f>
        <v>204780</v>
      </c>
      <c r="N315" s="80">
        <f>+'_Flujo con Glosa 08'!CL320</f>
        <v>121880</v>
      </c>
      <c r="O315" s="80">
        <f>+'_Flujo con Glosa 08'!CM320</f>
        <v>134219</v>
      </c>
      <c r="P315" s="80">
        <f>+'_Flujo con Glosa 08'!CN320</f>
        <v>215156</v>
      </c>
      <c r="Q315" s="80">
        <f>+'_Flujo con Glosa 08'!CO320</f>
        <v>121880</v>
      </c>
      <c r="R315" s="80">
        <f>+'_Flujo con Glosa 08'!CP320</f>
        <v>205295</v>
      </c>
      <c r="S315" s="80">
        <f t="shared" si="8"/>
        <v>1929778</v>
      </c>
      <c r="T315" s="80">
        <v>0</v>
      </c>
      <c r="U315" s="80">
        <v>0</v>
      </c>
      <c r="V315" s="80">
        <v>0</v>
      </c>
      <c r="W315" s="80">
        <v>0</v>
      </c>
      <c r="X315" s="80">
        <v>0</v>
      </c>
      <c r="Y315" s="80">
        <v>0</v>
      </c>
      <c r="Z315" s="80">
        <v>0</v>
      </c>
      <c r="AA315" s="80">
        <v>0</v>
      </c>
      <c r="AB315" s="80">
        <v>0</v>
      </c>
      <c r="AC315" s="80">
        <v>0</v>
      </c>
      <c r="AD315" s="80">
        <v>0</v>
      </c>
      <c r="AE315" s="80">
        <v>0</v>
      </c>
      <c r="AF315" s="80">
        <f t="shared" si="9"/>
        <v>0</v>
      </c>
      <c r="AG315" s="80">
        <f>+COEF_FCM!AM322</f>
        <v>42648</v>
      </c>
      <c r="AH315" s="80">
        <f>+COEF_FCM!AR322</f>
        <v>155</v>
      </c>
      <c r="AI315" s="80">
        <f>+COEF_FCM!AN322</f>
        <v>31918</v>
      </c>
      <c r="AJ315" s="80">
        <f>+COEF_FCM!AS322</f>
        <v>59</v>
      </c>
      <c r="AK315" s="80">
        <f>+COEF_FCM!AO322</f>
        <v>37846</v>
      </c>
      <c r="AL315" s="80">
        <f>+COEF_FCM!AT322</f>
        <v>101.53100000000001</v>
      </c>
      <c r="AM315" s="80">
        <f>+COEF_FCM!AP322</f>
        <v>17086</v>
      </c>
      <c r="AN315" s="80">
        <f>+COEF_FCM!AU322</f>
        <v>181</v>
      </c>
      <c r="AO315" s="80">
        <f>+COEF_FCM!AQ322</f>
        <v>129498</v>
      </c>
      <c r="AP315" s="80">
        <f>+COEF_FCM!AV322</f>
        <v>496.53100000000001</v>
      </c>
      <c r="AQ315" s="80">
        <f>+_CIERRE!O315+_CIERRE!P315</f>
        <v>2001825.4720000001</v>
      </c>
      <c r="AR315" s="80">
        <f>+_CIERRE!Q315+_CIERRE!R315</f>
        <v>2305397.398</v>
      </c>
      <c r="AS315" s="80">
        <f>+_CIERRE!S315+_CIERRE!T315</f>
        <v>2476501.4909999999</v>
      </c>
      <c r="AT315" s="80">
        <f>+_CIERRE!U315+_CIERRE!V315</f>
        <v>2511401.5830000001</v>
      </c>
      <c r="AU315" s="80">
        <f>+'CALC MEC ESTAB Y ESTIM M FINAL'!T320</f>
        <v>2524162</v>
      </c>
      <c r="AV315" s="560">
        <v>0</v>
      </c>
      <c r="AW315" s="551">
        <v>0</v>
      </c>
      <c r="AX315" s="551">
        <v>0</v>
      </c>
      <c r="AY315" s="551">
        <v>0</v>
      </c>
      <c r="AZ315" s="551">
        <v>327165.76899999997</v>
      </c>
      <c r="BA315" s="551">
        <v>317437.46399999998</v>
      </c>
    </row>
    <row r="316" spans="1:53" ht="3" customHeight="1" x14ac:dyDescent="0.2">
      <c r="A316" s="68">
        <f>IF(LEN(+'_DATA STT PAGOS_'!M321)=4,"0"&amp;+'_DATA STT PAGOS_'!M321,+'_DATA STT PAGOS_'!M321)</f>
        <v>14106</v>
      </c>
      <c r="B316" s="68">
        <f>IF(LEN(+'_DATA STT PAGOS_'!N321)=4,"0"&amp;+'_DATA STT PAGOS_'!N321,+'_DATA STT PAGOS_'!N321)</f>
        <v>10102</v>
      </c>
      <c r="C316" s="76" t="str">
        <f>+'_DATA STT PAGOS_'!O321</f>
        <v>MARIQUINA</v>
      </c>
      <c r="D316" s="80">
        <f>+'CALC MEC ESTAB Y ESTIM M FINAL'!U321</f>
        <v>6664573</v>
      </c>
      <c r="E316" s="77">
        <f>+'CALC MEC ESTAB Y ESTIM M FINAL'!Q321</f>
        <v>2.5375035961999999E-3</v>
      </c>
      <c r="F316" s="77">
        <f>+'CALC MEC ESTAB Y ESTIM M FINAL'!R321</f>
        <v>-1.894681316E-4</v>
      </c>
      <c r="G316" s="80">
        <f>+'_Flujo con Glosa 08'!CE321</f>
        <v>301695</v>
      </c>
      <c r="H316" s="80">
        <f>+'_Flujo con Glosa 08'!CF321</f>
        <v>301695</v>
      </c>
      <c r="I316" s="80">
        <f>+'_Flujo con Glosa 08'!CG321</f>
        <v>293694</v>
      </c>
      <c r="J316" s="80">
        <f>+'_Flujo con Glosa 08'!CH321</f>
        <v>301695</v>
      </c>
      <c r="K316" s="80">
        <f>+'_Flujo con Glosa 08'!CI321</f>
        <v>916968</v>
      </c>
      <c r="L316" s="80">
        <f>+'_Flujo con Glosa 08'!CJ321</f>
        <v>310572</v>
      </c>
      <c r="M316" s="80">
        <f>+'_Flujo con Glosa 08'!CK321</f>
        <v>553283</v>
      </c>
      <c r="N316" s="80">
        <f>+'_Flujo con Glosa 08'!CL321</f>
        <v>301695</v>
      </c>
      <c r="O316" s="80">
        <f>+'_Flujo con Glosa 08'!CM321</f>
        <v>354380</v>
      </c>
      <c r="P316" s="80">
        <f>+'_Flujo con Glosa 08'!CN321</f>
        <v>595694</v>
      </c>
      <c r="Q316" s="80">
        <f>+'_Flujo con Glosa 08'!CO321</f>
        <v>301695</v>
      </c>
      <c r="R316" s="80">
        <f>+'_Flujo con Glosa 08'!CP321</f>
        <v>562149</v>
      </c>
      <c r="S316" s="80">
        <f t="shared" si="8"/>
        <v>5095215</v>
      </c>
      <c r="T316" s="80">
        <v>0</v>
      </c>
      <c r="U316" s="80">
        <v>0</v>
      </c>
      <c r="V316" s="80">
        <v>0</v>
      </c>
      <c r="W316" s="80">
        <v>0</v>
      </c>
      <c r="X316" s="80">
        <v>0</v>
      </c>
      <c r="Y316" s="80">
        <v>0</v>
      </c>
      <c r="Z316" s="80">
        <v>0</v>
      </c>
      <c r="AA316" s="80">
        <v>0</v>
      </c>
      <c r="AB316" s="80">
        <v>0</v>
      </c>
      <c r="AC316" s="80">
        <v>0</v>
      </c>
      <c r="AD316" s="80">
        <v>0</v>
      </c>
      <c r="AE316" s="80">
        <v>0</v>
      </c>
      <c r="AF316" s="80">
        <f t="shared" si="9"/>
        <v>0</v>
      </c>
      <c r="AG316" s="80">
        <f>+COEF_FCM!AM323</f>
        <v>98384</v>
      </c>
      <c r="AH316" s="80">
        <f>+COEF_FCM!AR323</f>
        <v>582</v>
      </c>
      <c r="AI316" s="80">
        <f>+COEF_FCM!AN323</f>
        <v>82745</v>
      </c>
      <c r="AJ316" s="80">
        <f>+COEF_FCM!AS323</f>
        <v>117</v>
      </c>
      <c r="AK316" s="80">
        <f>+COEF_FCM!AO323</f>
        <v>95912</v>
      </c>
      <c r="AL316" s="80">
        <f>+COEF_FCM!AT323</f>
        <v>430.35</v>
      </c>
      <c r="AM316" s="80">
        <f>+COEF_FCM!AP323</f>
        <v>38496</v>
      </c>
      <c r="AN316" s="80">
        <f>+COEF_FCM!AU323</f>
        <v>174</v>
      </c>
      <c r="AO316" s="80">
        <f>+COEF_FCM!AQ323</f>
        <v>315537</v>
      </c>
      <c r="AP316" s="80">
        <f>+COEF_FCM!AV323</f>
        <v>1303.3499999999999</v>
      </c>
      <c r="AQ316" s="80">
        <f>+_CIERRE!O316+_CIERRE!P316</f>
        <v>4235800.6979999999</v>
      </c>
      <c r="AR316" s="80">
        <f>+_CIERRE!Q316+_CIERRE!R316</f>
        <v>5089044.4919999996</v>
      </c>
      <c r="AS316" s="80">
        <f>+_CIERRE!S316+_CIERRE!T316</f>
        <v>5648691.3559999997</v>
      </c>
      <c r="AT316" s="80">
        <f>+_CIERRE!U316+_CIERRE!V316</f>
        <v>6216032.5310000004</v>
      </c>
      <c r="AU316" s="80">
        <f>+'CALC MEC ESTAB Y ESTIM M FINAL'!T321</f>
        <v>6664573</v>
      </c>
      <c r="AV316" s="560">
        <v>0</v>
      </c>
      <c r="AW316" s="551">
        <v>0</v>
      </c>
      <c r="AX316" s="551">
        <v>0</v>
      </c>
      <c r="AY316" s="551">
        <v>0</v>
      </c>
      <c r="AZ316" s="551">
        <v>481068.98300000001</v>
      </c>
      <c r="BA316" s="551">
        <v>485148.50900000002</v>
      </c>
    </row>
    <row r="317" spans="1:53" ht="3" customHeight="1" x14ac:dyDescent="0.2">
      <c r="A317" s="68">
        <f>IF(LEN(+'_DATA STT PAGOS_'!M322)=4,"0"&amp;+'_DATA STT PAGOS_'!M322,+'_DATA STT PAGOS_'!M322)</f>
        <v>14107</v>
      </c>
      <c r="B317" s="68">
        <f>IF(LEN(+'_DATA STT PAGOS_'!N322)=4,"0"&amp;+'_DATA STT PAGOS_'!N322,+'_DATA STT PAGOS_'!N322)</f>
        <v>10110</v>
      </c>
      <c r="C317" s="76" t="str">
        <f>+'_DATA STT PAGOS_'!O322</f>
        <v>PAILLACO</v>
      </c>
      <c r="D317" s="80">
        <f>+'CALC MEC ESTAB Y ESTIM M FINAL'!U322</f>
        <v>4563168</v>
      </c>
      <c r="E317" s="77">
        <f>+'CALC MEC ESTAB Y ESTIM M FINAL'!Q322</f>
        <v>1.2702546632000001E-3</v>
      </c>
      <c r="F317" s="77">
        <f>+'CALC MEC ESTAB Y ESTIM M FINAL'!R322</f>
        <v>3.3742216750000002E-4</v>
      </c>
      <c r="G317" s="80">
        <f>+'_Flujo con Glosa 08'!CE322</f>
        <v>221589</v>
      </c>
      <c r="H317" s="80">
        <f>+'_Flujo con Glosa 08'!CF322</f>
        <v>221589</v>
      </c>
      <c r="I317" s="80">
        <f>+'_Flujo con Glosa 08'!CG322</f>
        <v>201089</v>
      </c>
      <c r="J317" s="80">
        <f>+'_Flujo con Glosa 08'!CH322</f>
        <v>221589</v>
      </c>
      <c r="K317" s="80">
        <f>+'_Flujo con Glosa 08'!CI322</f>
        <v>582774</v>
      </c>
      <c r="L317" s="80">
        <f>+'_Flujo con Glosa 08'!CJ322</f>
        <v>227667</v>
      </c>
      <c r="M317" s="80">
        <f>+'_Flujo con Glosa 08'!CK322</f>
        <v>372107</v>
      </c>
      <c r="N317" s="80">
        <f>+'_Flujo con Glosa 08'!CL322</f>
        <v>221589</v>
      </c>
      <c r="O317" s="80">
        <f>+'_Flujo con Glosa 08'!CM322</f>
        <v>242641</v>
      </c>
      <c r="P317" s="80">
        <f>+'_Flujo con Glosa 08'!CN322</f>
        <v>384543</v>
      </c>
      <c r="Q317" s="80">
        <f>+'_Flujo con Glosa 08'!CO322</f>
        <v>221589</v>
      </c>
      <c r="R317" s="80">
        <f>+'_Flujo con Glosa 08'!CP322</f>
        <v>369876</v>
      </c>
      <c r="S317" s="80">
        <f t="shared" si="8"/>
        <v>3488642</v>
      </c>
      <c r="T317" s="80">
        <v>0</v>
      </c>
      <c r="U317" s="80">
        <v>0</v>
      </c>
      <c r="V317" s="80">
        <v>0</v>
      </c>
      <c r="W317" s="80">
        <v>0</v>
      </c>
      <c r="X317" s="80">
        <v>0</v>
      </c>
      <c r="Y317" s="80">
        <v>0</v>
      </c>
      <c r="Z317" s="80">
        <v>0</v>
      </c>
      <c r="AA317" s="80">
        <v>0</v>
      </c>
      <c r="AB317" s="80">
        <v>0</v>
      </c>
      <c r="AC317" s="80">
        <v>0</v>
      </c>
      <c r="AD317" s="80">
        <v>0</v>
      </c>
      <c r="AE317" s="80">
        <v>0</v>
      </c>
      <c r="AF317" s="80">
        <f t="shared" si="9"/>
        <v>0</v>
      </c>
      <c r="AG317" s="80">
        <f>+COEF_FCM!AM324</f>
        <v>82859</v>
      </c>
      <c r="AH317" s="80">
        <f>+COEF_FCM!AR324</f>
        <v>1179</v>
      </c>
      <c r="AI317" s="80">
        <f>+COEF_FCM!AN324</f>
        <v>63687</v>
      </c>
      <c r="AJ317" s="80">
        <f>+COEF_FCM!AS324</f>
        <v>700</v>
      </c>
      <c r="AK317" s="80">
        <f>+COEF_FCM!AO324</f>
        <v>66041</v>
      </c>
      <c r="AL317" s="80">
        <f>+COEF_FCM!AT324</f>
        <v>845.548</v>
      </c>
      <c r="AM317" s="80">
        <f>+COEF_FCM!AP324</f>
        <v>50189</v>
      </c>
      <c r="AN317" s="80">
        <f>+COEF_FCM!AU324</f>
        <v>682</v>
      </c>
      <c r="AO317" s="80">
        <f>+COEF_FCM!AQ324</f>
        <v>262776</v>
      </c>
      <c r="AP317" s="80">
        <f>+COEF_FCM!AV324</f>
        <v>3406.5479999999998</v>
      </c>
      <c r="AQ317" s="80">
        <f>+_CIERRE!O317+_CIERRE!P317</f>
        <v>3334074.6579999998</v>
      </c>
      <c r="AR317" s="80">
        <f>+_CIERRE!Q317+_CIERRE!R317</f>
        <v>3662566.9350000001</v>
      </c>
      <c r="AS317" s="80">
        <f>+_CIERRE!S317+_CIERRE!T317</f>
        <v>3919044.568</v>
      </c>
      <c r="AT317" s="80">
        <f>+_CIERRE!U317+_CIERRE!V317</f>
        <v>4563167.7920000004</v>
      </c>
      <c r="AU317" s="80">
        <f>+'CALC MEC ESTAB Y ESTIM M FINAL'!T322</f>
        <v>4563168</v>
      </c>
      <c r="AV317" s="560">
        <v>0</v>
      </c>
      <c r="AW317" s="551">
        <v>0</v>
      </c>
      <c r="AX317" s="551">
        <v>0</v>
      </c>
      <c r="AY317" s="551">
        <v>0</v>
      </c>
      <c r="AZ317" s="551">
        <v>393427.44900000002</v>
      </c>
      <c r="BA317" s="551">
        <v>410613.59</v>
      </c>
    </row>
    <row r="318" spans="1:53" ht="3" customHeight="1" x14ac:dyDescent="0.2">
      <c r="A318" s="68">
        <f>IF(LEN(+'_DATA STT PAGOS_'!M323)=4,"0"&amp;+'_DATA STT PAGOS_'!M323,+'_DATA STT PAGOS_'!M323)</f>
        <v>14108</v>
      </c>
      <c r="B318" s="68">
        <f>IF(LEN(+'_DATA STT PAGOS_'!N323)=4,"0"&amp;+'_DATA STT PAGOS_'!N323,+'_DATA STT PAGOS_'!N323)</f>
        <v>10108</v>
      </c>
      <c r="C318" s="76" t="str">
        <f>+'_DATA STT PAGOS_'!O323</f>
        <v>PANGUIPULLI</v>
      </c>
      <c r="D318" s="80">
        <f>+'CALC MEC ESTAB Y ESTIM M FINAL'!U323</f>
        <v>10179872</v>
      </c>
      <c r="E318" s="77">
        <f>+'CALC MEC ESTAB Y ESTIM M FINAL'!Q323</f>
        <v>1.6636412878999998E-3</v>
      </c>
      <c r="F318" s="77">
        <f>+'CALC MEC ESTAB Y ESTIM M FINAL'!R323</f>
        <v>1.9228901990000001E-3</v>
      </c>
      <c r="G318" s="80">
        <f>+'_Flujo con Glosa 08'!CE323</f>
        <v>493857</v>
      </c>
      <c r="H318" s="80">
        <f>+'_Flujo con Glosa 08'!CF323</f>
        <v>493857</v>
      </c>
      <c r="I318" s="80">
        <f>+'_Flujo con Glosa 08'!CG323</f>
        <v>448606</v>
      </c>
      <c r="J318" s="80">
        <f>+'_Flujo con Glosa 08'!CH323</f>
        <v>493857</v>
      </c>
      <c r="K318" s="80">
        <f>+'_Flujo con Glosa 08'!CI323</f>
        <v>1301542</v>
      </c>
      <c r="L318" s="80">
        <f>+'_Flujo con Glosa 08'!CJ323</f>
        <v>507416</v>
      </c>
      <c r="M318" s="80">
        <f>+'_Flujo con Glosa 08'!CK323</f>
        <v>829395</v>
      </c>
      <c r="N318" s="80">
        <f>+'_Flujo con Glosa 08'!CL323</f>
        <v>493857</v>
      </c>
      <c r="O318" s="80">
        <f>+'_Flujo con Glosa 08'!CM323</f>
        <v>541303</v>
      </c>
      <c r="P318" s="80">
        <f>+'_Flujo con Glosa 08'!CN323</f>
        <v>859562</v>
      </c>
      <c r="Q318" s="80">
        <f>+'_Flujo con Glosa 08'!CO323</f>
        <v>493857</v>
      </c>
      <c r="R318" s="80">
        <f>+'_Flujo con Glosa 08'!CP323</f>
        <v>825630</v>
      </c>
      <c r="S318" s="80">
        <f t="shared" si="8"/>
        <v>7782739</v>
      </c>
      <c r="T318" s="80">
        <v>0</v>
      </c>
      <c r="U318" s="80">
        <v>0</v>
      </c>
      <c r="V318" s="80">
        <v>0</v>
      </c>
      <c r="W318" s="80">
        <v>0</v>
      </c>
      <c r="X318" s="80">
        <v>0</v>
      </c>
      <c r="Y318" s="80">
        <v>0</v>
      </c>
      <c r="Z318" s="80">
        <v>0</v>
      </c>
      <c r="AA318" s="80">
        <v>0</v>
      </c>
      <c r="AB318" s="80">
        <v>0</v>
      </c>
      <c r="AC318" s="80">
        <v>0</v>
      </c>
      <c r="AD318" s="80">
        <v>0</v>
      </c>
      <c r="AE318" s="80">
        <v>0</v>
      </c>
      <c r="AF318" s="80">
        <f t="shared" si="9"/>
        <v>0</v>
      </c>
      <c r="AG318" s="80">
        <f>+COEF_FCM!AM325</f>
        <v>319891</v>
      </c>
      <c r="AH318" s="80">
        <f>+COEF_FCM!AR325</f>
        <v>2354</v>
      </c>
      <c r="AI318" s="80">
        <f>+COEF_FCM!AN325</f>
        <v>192345</v>
      </c>
      <c r="AJ318" s="80">
        <f>+COEF_FCM!AS325</f>
        <v>1173</v>
      </c>
      <c r="AK318" s="80">
        <f>+COEF_FCM!AO325</f>
        <v>240815</v>
      </c>
      <c r="AL318" s="80">
        <f>+COEF_FCM!AT325</f>
        <v>1447.6980000000001</v>
      </c>
      <c r="AM318" s="80">
        <f>+COEF_FCM!AP325</f>
        <v>171419</v>
      </c>
      <c r="AN318" s="80">
        <f>+COEF_FCM!AU325</f>
        <v>1280</v>
      </c>
      <c r="AO318" s="80">
        <f>+COEF_FCM!AQ325</f>
        <v>924470</v>
      </c>
      <c r="AP318" s="80">
        <f>+COEF_FCM!AV325</f>
        <v>6254.6980000000003</v>
      </c>
      <c r="AQ318" s="80">
        <f>+_CIERRE!O318+_CIERRE!P318</f>
        <v>8996605.0329999998</v>
      </c>
      <c r="AR318" s="80">
        <f>+_CIERRE!Q318+_CIERRE!R318</f>
        <v>9753947.5040000007</v>
      </c>
      <c r="AS318" s="80">
        <f>+_CIERRE!S318+_CIERRE!T318</f>
        <v>10085527.040999999</v>
      </c>
      <c r="AT318" s="80">
        <f>+_CIERRE!U318+_CIERRE!V318</f>
        <v>10179872.214</v>
      </c>
      <c r="AU318" s="80">
        <f>+'CALC MEC ESTAB Y ESTIM M FINAL'!T323</f>
        <v>10179872</v>
      </c>
      <c r="AV318" s="560">
        <v>0</v>
      </c>
      <c r="AW318" s="551">
        <v>0</v>
      </c>
      <c r="AX318" s="551">
        <v>0</v>
      </c>
      <c r="AY318" s="551">
        <v>0</v>
      </c>
      <c r="AZ318" s="551">
        <v>457515.70299999998</v>
      </c>
      <c r="BA318" s="551">
        <v>470387.73100000003</v>
      </c>
    </row>
    <row r="319" spans="1:53" ht="3" customHeight="1" x14ac:dyDescent="0.2">
      <c r="A319" s="68">
        <f>IF(LEN(+'_DATA STT PAGOS_'!M324)=4,"0"&amp;+'_DATA STT PAGOS_'!M324,+'_DATA STT PAGOS_'!M324)</f>
        <v>14201</v>
      </c>
      <c r="B319" s="68">
        <f>IF(LEN(+'_DATA STT PAGOS_'!N324)=4,"0"&amp;+'_DATA STT PAGOS_'!N324,+'_DATA STT PAGOS_'!N324)</f>
        <v>10109</v>
      </c>
      <c r="C319" s="76" t="str">
        <f>+'_DATA STT PAGOS_'!O324</f>
        <v>LA UNIÓN</v>
      </c>
      <c r="D319" s="80">
        <f>+'CALC MEC ESTAB Y ESTIM M FINAL'!U324</f>
        <v>7507721</v>
      </c>
      <c r="E319" s="77">
        <f>+'CALC MEC ESTAB Y ESTIM M FINAL'!Q324</f>
        <v>1.796252364E-3</v>
      </c>
      <c r="F319" s="77">
        <f>+'CALC MEC ESTAB Y ESTIM M FINAL'!R324</f>
        <v>8.488376921E-4</v>
      </c>
      <c r="G319" s="80">
        <f>+'_Flujo con Glosa 08'!CE324</f>
        <v>364206</v>
      </c>
      <c r="H319" s="80">
        <f>+'_Flujo con Glosa 08'!CF324</f>
        <v>364206</v>
      </c>
      <c r="I319" s="80">
        <f>+'_Flujo con Glosa 08'!CG324</f>
        <v>330850</v>
      </c>
      <c r="J319" s="80">
        <f>+'_Flujo con Glosa 08'!CH324</f>
        <v>364206</v>
      </c>
      <c r="K319" s="80">
        <f>+'_Flujo con Glosa 08'!CI324</f>
        <v>959946</v>
      </c>
      <c r="L319" s="80">
        <f>+'_Flujo con Glosa 08'!CJ324</f>
        <v>374206</v>
      </c>
      <c r="M319" s="80">
        <f>+'_Flujo con Glosa 08'!CK324</f>
        <v>611658</v>
      </c>
      <c r="N319" s="80">
        <f>+'_Flujo con Glosa 08'!CL324</f>
        <v>364206</v>
      </c>
      <c r="O319" s="80">
        <f>+'_Flujo con Glosa 08'!CM324</f>
        <v>399214</v>
      </c>
      <c r="P319" s="80">
        <f>+'_Flujo con Glosa 08'!CN324</f>
        <v>633990</v>
      </c>
      <c r="Q319" s="80">
        <f>+'_Flujo con Glosa 08'!CO324</f>
        <v>364206</v>
      </c>
      <c r="R319" s="80">
        <f>+'_Flujo con Glosa 08'!CP324</f>
        <v>608925</v>
      </c>
      <c r="S319" s="80">
        <f t="shared" si="8"/>
        <v>5739819</v>
      </c>
      <c r="T319" s="80">
        <v>0</v>
      </c>
      <c r="U319" s="80">
        <v>0</v>
      </c>
      <c r="V319" s="80">
        <v>0</v>
      </c>
      <c r="W319" s="80">
        <v>0</v>
      </c>
      <c r="X319" s="80">
        <v>0</v>
      </c>
      <c r="Y319" s="80">
        <v>0</v>
      </c>
      <c r="Z319" s="80">
        <v>0</v>
      </c>
      <c r="AA319" s="80">
        <v>0</v>
      </c>
      <c r="AB319" s="80">
        <v>0</v>
      </c>
      <c r="AC319" s="80">
        <v>0</v>
      </c>
      <c r="AD319" s="80">
        <v>0</v>
      </c>
      <c r="AE319" s="80">
        <v>0</v>
      </c>
      <c r="AF319" s="80">
        <f t="shared" si="9"/>
        <v>0</v>
      </c>
      <c r="AG319" s="80">
        <f>+COEF_FCM!AM326</f>
        <v>227295</v>
      </c>
      <c r="AH319" s="80">
        <f>+COEF_FCM!AR326</f>
        <v>3417</v>
      </c>
      <c r="AI319" s="80">
        <f>+COEF_FCM!AN326</f>
        <v>152398</v>
      </c>
      <c r="AJ319" s="80">
        <f>+COEF_FCM!AS326</f>
        <v>1782</v>
      </c>
      <c r="AK319" s="80">
        <f>+COEF_FCM!AO326</f>
        <v>201707</v>
      </c>
      <c r="AL319" s="80">
        <f>+COEF_FCM!AT326</f>
        <v>2261.163</v>
      </c>
      <c r="AM319" s="80">
        <f>+COEF_FCM!AP326</f>
        <v>153277</v>
      </c>
      <c r="AN319" s="80">
        <f>+COEF_FCM!AU326</f>
        <v>1604</v>
      </c>
      <c r="AO319" s="80">
        <f>+COEF_FCM!AQ326</f>
        <v>734677</v>
      </c>
      <c r="AP319" s="80">
        <f>+COEF_FCM!AV326</f>
        <v>9064.1630000000005</v>
      </c>
      <c r="AQ319" s="80">
        <f>+_CIERRE!O319+_CIERRE!P319</f>
        <v>5914509.1519999998</v>
      </c>
      <c r="AR319" s="80">
        <f>+_CIERRE!Q319+_CIERRE!R319</f>
        <v>6412398.4179999996</v>
      </c>
      <c r="AS319" s="80">
        <f>+_CIERRE!S319+_CIERRE!T319</f>
        <v>6717124.5120000001</v>
      </c>
      <c r="AT319" s="80">
        <f>+_CIERRE!U319+_CIERRE!V319</f>
        <v>7507721.0410000002</v>
      </c>
      <c r="AU319" s="80">
        <f>+'CALC MEC ESTAB Y ESTIM M FINAL'!T324</f>
        <v>7507721</v>
      </c>
      <c r="AV319" s="560">
        <v>0</v>
      </c>
      <c r="AW319" s="551">
        <v>0</v>
      </c>
      <c r="AX319" s="551">
        <v>0</v>
      </c>
      <c r="AY319" s="551">
        <v>0</v>
      </c>
      <c r="AZ319" s="551">
        <v>470090.245</v>
      </c>
      <c r="BA319" s="551">
        <v>512556.64500000002</v>
      </c>
    </row>
    <row r="320" spans="1:53" ht="3" customHeight="1" x14ac:dyDescent="0.2">
      <c r="A320" s="68">
        <f>IF(LEN(+'_DATA STT PAGOS_'!M325)=4,"0"&amp;+'_DATA STT PAGOS_'!M325,+'_DATA STT PAGOS_'!M325)</f>
        <v>14202</v>
      </c>
      <c r="B320" s="68">
        <f>IF(LEN(+'_DATA STT PAGOS_'!N325)=4,"0"&amp;+'_DATA STT PAGOS_'!N325,+'_DATA STT PAGOS_'!N325)</f>
        <v>10105</v>
      </c>
      <c r="C320" s="76" t="str">
        <f>+'_DATA STT PAGOS_'!O325</f>
        <v>FUTRONO</v>
      </c>
      <c r="D320" s="80">
        <f>+'CALC MEC ESTAB Y ESTIM M FINAL'!U325</f>
        <v>3441035</v>
      </c>
      <c r="E320" s="77">
        <f>+'CALC MEC ESTAB Y ESTIM M FINAL'!Q325</f>
        <v>1.0789513791E-3</v>
      </c>
      <c r="F320" s="77">
        <f>+'CALC MEC ESTAB Y ESTIM M FINAL'!R325</f>
        <v>1.333801333E-4</v>
      </c>
      <c r="G320" s="80">
        <f>+'_Flujo con Glosa 08'!CE325</f>
        <v>166935</v>
      </c>
      <c r="H320" s="80">
        <f>+'_Flujo con Glosa 08'!CF325</f>
        <v>166935</v>
      </c>
      <c r="I320" s="80">
        <f>+'_Flujo con Glosa 08'!CG325</f>
        <v>151639</v>
      </c>
      <c r="J320" s="80">
        <f>+'_Flujo con Glosa 08'!CH325</f>
        <v>166935</v>
      </c>
      <c r="K320" s="80">
        <f>+'_Flujo con Glosa 08'!CI325</f>
        <v>439952</v>
      </c>
      <c r="L320" s="80">
        <f>+'_Flujo con Glosa 08'!CJ325</f>
        <v>171518</v>
      </c>
      <c r="M320" s="80">
        <f>+'_Flujo con Glosa 08'!CK325</f>
        <v>280354</v>
      </c>
      <c r="N320" s="80">
        <f>+'_Flujo con Glosa 08'!CL325</f>
        <v>166935</v>
      </c>
      <c r="O320" s="80">
        <f>+'_Flujo con Glosa 08'!CM325</f>
        <v>182973</v>
      </c>
      <c r="P320" s="80">
        <f>+'_Flujo con Glosa 08'!CN325</f>
        <v>290553</v>
      </c>
      <c r="Q320" s="80">
        <f>+'_Flujo con Glosa 08'!CO325</f>
        <v>166935</v>
      </c>
      <c r="R320" s="80">
        <f>+'_Flujo con Glosa 08'!CP325</f>
        <v>279082</v>
      </c>
      <c r="S320" s="80">
        <f t="shared" si="8"/>
        <v>2630746</v>
      </c>
      <c r="T320" s="80">
        <v>0</v>
      </c>
      <c r="U320" s="80">
        <v>0</v>
      </c>
      <c r="V320" s="80">
        <v>0</v>
      </c>
      <c r="W320" s="80">
        <v>0</v>
      </c>
      <c r="X320" s="80">
        <v>0</v>
      </c>
      <c r="Y320" s="80">
        <v>0</v>
      </c>
      <c r="Z320" s="80">
        <v>0</v>
      </c>
      <c r="AA320" s="80">
        <v>0</v>
      </c>
      <c r="AB320" s="80">
        <v>0</v>
      </c>
      <c r="AC320" s="80">
        <v>0</v>
      </c>
      <c r="AD320" s="80">
        <v>0</v>
      </c>
      <c r="AE320" s="80">
        <v>0</v>
      </c>
      <c r="AF320" s="80">
        <f t="shared" si="9"/>
        <v>0</v>
      </c>
      <c r="AG320" s="80">
        <f>+COEF_FCM!AM327</f>
        <v>167868</v>
      </c>
      <c r="AH320" s="80">
        <f>+COEF_FCM!AR327</f>
        <v>4639</v>
      </c>
      <c r="AI320" s="80">
        <f>+COEF_FCM!AN327</f>
        <v>106219</v>
      </c>
      <c r="AJ320" s="80">
        <f>+COEF_FCM!AS327</f>
        <v>3083</v>
      </c>
      <c r="AK320" s="80">
        <f>+COEF_FCM!AO327</f>
        <v>111206</v>
      </c>
      <c r="AL320" s="80">
        <f>+COEF_FCM!AT327</f>
        <v>3423.7220000000002</v>
      </c>
      <c r="AM320" s="80">
        <f>+COEF_FCM!AP327</f>
        <v>93127</v>
      </c>
      <c r="AN320" s="80">
        <f>+COEF_FCM!AU327</f>
        <v>3235</v>
      </c>
      <c r="AO320" s="80">
        <f>+COEF_FCM!AQ327</f>
        <v>478420</v>
      </c>
      <c r="AP320" s="80">
        <f>+COEF_FCM!AV327</f>
        <v>14380.722</v>
      </c>
      <c r="AQ320" s="80">
        <f>+_CIERRE!O320+_CIERRE!P320</f>
        <v>3041062.9139999999</v>
      </c>
      <c r="AR320" s="80">
        <f>+_CIERRE!Q320+_CIERRE!R320</f>
        <v>3297062.1039999998</v>
      </c>
      <c r="AS320" s="80">
        <f>+_CIERRE!S320+_CIERRE!T320</f>
        <v>3409143.594</v>
      </c>
      <c r="AT320" s="80">
        <f>+_CIERRE!U320+_CIERRE!V320</f>
        <v>3441034.9</v>
      </c>
      <c r="AU320" s="80">
        <f>+'CALC MEC ESTAB Y ESTIM M FINAL'!T325</f>
        <v>3441035</v>
      </c>
      <c r="AV320" s="560">
        <v>0</v>
      </c>
      <c r="AW320" s="551">
        <v>0</v>
      </c>
      <c r="AX320" s="551">
        <v>0</v>
      </c>
      <c r="AY320" s="551">
        <v>0</v>
      </c>
      <c r="AZ320" s="551">
        <v>342327.58199999999</v>
      </c>
      <c r="BA320" s="551">
        <v>354800.511</v>
      </c>
    </row>
    <row r="321" spans="1:53" ht="3" customHeight="1" x14ac:dyDescent="0.2">
      <c r="A321" s="68">
        <f>IF(LEN(+'_DATA STT PAGOS_'!M326)=4,"0"&amp;+'_DATA STT PAGOS_'!M326,+'_DATA STT PAGOS_'!M326)</f>
        <v>14203</v>
      </c>
      <c r="B321" s="68">
        <f>IF(LEN(+'_DATA STT PAGOS_'!N326)=4,"0"&amp;+'_DATA STT PAGOS_'!N326,+'_DATA STT PAGOS_'!N326)</f>
        <v>10112</v>
      </c>
      <c r="C321" s="76" t="str">
        <f>+'_DATA STT PAGOS_'!O326</f>
        <v>LAGO RANCO</v>
      </c>
      <c r="D321" s="80">
        <f>+'CALC MEC ESTAB Y ESTIM M FINAL'!U326</f>
        <v>2974686</v>
      </c>
      <c r="E321" s="77">
        <f>+'CALC MEC ESTAB Y ESTIM M FINAL'!Q326</f>
        <v>1.0048300704E-3</v>
      </c>
      <c r="F321" s="77">
        <f>+'CALC MEC ESTAB Y ESTIM M FINAL'!R326</f>
        <v>4.3199223000000001E-5</v>
      </c>
      <c r="G321" s="80">
        <f>+'_Flujo con Glosa 08'!CE326</f>
        <v>144311</v>
      </c>
      <c r="H321" s="80">
        <f>+'_Flujo con Glosa 08'!CF326</f>
        <v>144311</v>
      </c>
      <c r="I321" s="80">
        <f>+'_Flujo con Glosa 08'!CG326</f>
        <v>131088</v>
      </c>
      <c r="J321" s="80">
        <f>+'_Flujo con Glosa 08'!CH326</f>
        <v>144311</v>
      </c>
      <c r="K321" s="80">
        <f>+'_Flujo con Glosa 08'!CI326</f>
        <v>380327</v>
      </c>
      <c r="L321" s="80">
        <f>+'_Flujo con Glosa 08'!CJ326</f>
        <v>148273</v>
      </c>
      <c r="M321" s="80">
        <f>+'_Flujo con Glosa 08'!CK326</f>
        <v>242360</v>
      </c>
      <c r="N321" s="80">
        <f>+'_Flujo con Glosa 08'!CL326</f>
        <v>144311</v>
      </c>
      <c r="O321" s="80">
        <f>+'_Flujo con Glosa 08'!CM326</f>
        <v>158175</v>
      </c>
      <c r="P321" s="80">
        <f>+'_Flujo con Glosa 08'!CN326</f>
        <v>251175</v>
      </c>
      <c r="Q321" s="80">
        <f>+'_Flujo con Glosa 08'!CO326</f>
        <v>144311</v>
      </c>
      <c r="R321" s="80">
        <f>+'_Flujo con Glosa 08'!CP326</f>
        <v>241260</v>
      </c>
      <c r="S321" s="80">
        <f t="shared" si="8"/>
        <v>2274213</v>
      </c>
      <c r="T321" s="80">
        <v>0</v>
      </c>
      <c r="U321" s="80">
        <v>0</v>
      </c>
      <c r="V321" s="80">
        <v>0</v>
      </c>
      <c r="W321" s="80">
        <v>0</v>
      </c>
      <c r="X321" s="80">
        <v>0</v>
      </c>
      <c r="Y321" s="80">
        <v>0</v>
      </c>
      <c r="Z321" s="80">
        <v>0</v>
      </c>
      <c r="AA321" s="80">
        <v>0</v>
      </c>
      <c r="AB321" s="80">
        <v>0</v>
      </c>
      <c r="AC321" s="80">
        <v>0</v>
      </c>
      <c r="AD321" s="80">
        <v>0</v>
      </c>
      <c r="AE321" s="80">
        <v>0</v>
      </c>
      <c r="AF321" s="80">
        <f t="shared" si="9"/>
        <v>0</v>
      </c>
      <c r="AG321" s="80">
        <f>+COEF_FCM!AM328</f>
        <v>126084</v>
      </c>
      <c r="AH321" s="80">
        <f>+COEF_FCM!AR328</f>
        <v>1028</v>
      </c>
      <c r="AI321" s="80">
        <f>+COEF_FCM!AN328</f>
        <v>67391</v>
      </c>
      <c r="AJ321" s="80">
        <f>+COEF_FCM!AS328</f>
        <v>314</v>
      </c>
      <c r="AK321" s="80">
        <f>+COEF_FCM!AO328</f>
        <v>87460</v>
      </c>
      <c r="AL321" s="80">
        <f>+COEF_FCM!AT328</f>
        <v>588.96500000000003</v>
      </c>
      <c r="AM321" s="80">
        <f>+COEF_FCM!AP328</f>
        <v>69016</v>
      </c>
      <c r="AN321" s="80">
        <f>+COEF_FCM!AU328</f>
        <v>335</v>
      </c>
      <c r="AO321" s="80">
        <f>+COEF_FCM!AQ328</f>
        <v>349951</v>
      </c>
      <c r="AP321" s="80">
        <f>+COEF_FCM!AV328</f>
        <v>2265.9650000000001</v>
      </c>
      <c r="AQ321" s="80">
        <f>+_CIERRE!O321+_CIERRE!P321</f>
        <v>2628920.0959999999</v>
      </c>
      <c r="AR321" s="80">
        <f>+_CIERRE!Q321+_CIERRE!R321</f>
        <v>2850224.6540000001</v>
      </c>
      <c r="AS321" s="80">
        <f>+_CIERRE!S321+_CIERRE!T321</f>
        <v>2947116.9309999999</v>
      </c>
      <c r="AT321" s="80">
        <f>+_CIERRE!U321+_CIERRE!V321</f>
        <v>2974686.27</v>
      </c>
      <c r="AU321" s="80">
        <f>+'CALC MEC ESTAB Y ESTIM M FINAL'!T326</f>
        <v>2974686</v>
      </c>
      <c r="AV321" s="560">
        <v>0</v>
      </c>
      <c r="AW321" s="551">
        <v>0</v>
      </c>
      <c r="AX321" s="551">
        <v>0</v>
      </c>
      <c r="AY321" s="551">
        <v>0</v>
      </c>
      <c r="AZ321" s="551">
        <v>331283.92200000002</v>
      </c>
      <c r="BA321" s="551">
        <v>341312.31599999999</v>
      </c>
    </row>
    <row r="322" spans="1:53" ht="3" customHeight="1" x14ac:dyDescent="0.2">
      <c r="A322" s="68">
        <f>IF(LEN(+'_DATA STT PAGOS_'!M327)=4,"0"&amp;+'_DATA STT PAGOS_'!M327,+'_DATA STT PAGOS_'!M327)</f>
        <v>14204</v>
      </c>
      <c r="B322" s="68">
        <f>IF(LEN(+'_DATA STT PAGOS_'!N327)=4,"0"&amp;+'_DATA STT PAGOS_'!N327,+'_DATA STT PAGOS_'!N327)</f>
        <v>10111</v>
      </c>
      <c r="C322" s="76" t="str">
        <f>+'_DATA STT PAGOS_'!O327</f>
        <v>RÍO BUENO</v>
      </c>
      <c r="D322" s="80">
        <f>+'CALC MEC ESTAB Y ESTIM M FINAL'!U327</f>
        <v>7048246</v>
      </c>
      <c r="E322" s="77">
        <f>+'CALC MEC ESTAB Y ESTIM M FINAL'!Q327</f>
        <v>1.6839236741999998E-3</v>
      </c>
      <c r="F322" s="77">
        <f>+'CALC MEC ESTAB Y ESTIM M FINAL'!R327</f>
        <v>7.9928585980000002E-4</v>
      </c>
      <c r="G322" s="80">
        <f>+'_Flujo con Glosa 08'!CE327</f>
        <v>342244</v>
      </c>
      <c r="H322" s="80">
        <f>+'_Flujo con Glosa 08'!CF327</f>
        <v>342244</v>
      </c>
      <c r="I322" s="80">
        <f>+'_Flujo con Glosa 08'!CG327</f>
        <v>310602</v>
      </c>
      <c r="J322" s="80">
        <f>+'_Flujo con Glosa 08'!CH327</f>
        <v>342244</v>
      </c>
      <c r="K322" s="80">
        <f>+'_Flujo con Glosa 08'!CI327</f>
        <v>900215</v>
      </c>
      <c r="L322" s="80">
        <f>+'_Flujo con Glosa 08'!CJ327</f>
        <v>351632</v>
      </c>
      <c r="M322" s="80">
        <f>+'_Flujo con Glosa 08'!CK327</f>
        <v>574722</v>
      </c>
      <c r="N322" s="80">
        <f>+'_Flujo con Glosa 08'!CL327</f>
        <v>342244</v>
      </c>
      <c r="O322" s="80">
        <f>+'_Flujo con Glosa 08'!CM327</f>
        <v>374782</v>
      </c>
      <c r="P322" s="80">
        <f>+'_Flujo con Glosa 08'!CN327</f>
        <v>594037</v>
      </c>
      <c r="Q322" s="80">
        <f>+'_Flujo con Glosa 08'!CO327</f>
        <v>342244</v>
      </c>
      <c r="R322" s="80">
        <f>+'_Flujo con Glosa 08'!CP327</f>
        <v>571331</v>
      </c>
      <c r="S322" s="80">
        <f t="shared" si="8"/>
        <v>5388541</v>
      </c>
      <c r="T322" s="80">
        <v>0</v>
      </c>
      <c r="U322" s="80">
        <v>0</v>
      </c>
      <c r="V322" s="80">
        <v>0</v>
      </c>
      <c r="W322" s="80">
        <v>0</v>
      </c>
      <c r="X322" s="80">
        <v>0</v>
      </c>
      <c r="Y322" s="80">
        <v>0</v>
      </c>
      <c r="Z322" s="80">
        <v>0</v>
      </c>
      <c r="AA322" s="80">
        <v>0</v>
      </c>
      <c r="AB322" s="80">
        <v>0</v>
      </c>
      <c r="AC322" s="80">
        <v>0</v>
      </c>
      <c r="AD322" s="80">
        <v>0</v>
      </c>
      <c r="AE322" s="80">
        <v>0</v>
      </c>
      <c r="AF322" s="80">
        <f t="shared" si="9"/>
        <v>0</v>
      </c>
      <c r="AG322" s="80">
        <f>+COEF_FCM!AM329</f>
        <v>198292</v>
      </c>
      <c r="AH322" s="80">
        <f>+COEF_FCM!AR329</f>
        <v>2183</v>
      </c>
      <c r="AI322" s="80">
        <f>+COEF_FCM!AN329</f>
        <v>138124</v>
      </c>
      <c r="AJ322" s="80">
        <f>+COEF_FCM!AS329</f>
        <v>1311</v>
      </c>
      <c r="AK322" s="80">
        <f>+COEF_FCM!AO329</f>
        <v>146195</v>
      </c>
      <c r="AL322" s="80">
        <f>+COEF_FCM!AT329</f>
        <v>1453.2809999999999</v>
      </c>
      <c r="AM322" s="80">
        <f>+COEF_FCM!AP329</f>
        <v>113452</v>
      </c>
      <c r="AN322" s="80">
        <f>+COEF_FCM!AU329</f>
        <v>1409</v>
      </c>
      <c r="AO322" s="80">
        <f>+COEF_FCM!AQ329</f>
        <v>596063</v>
      </c>
      <c r="AP322" s="80">
        <f>+COEF_FCM!AV329</f>
        <v>6356.2809999999999</v>
      </c>
      <c r="AQ322" s="80">
        <f>+_CIERRE!O322+_CIERRE!P322</f>
        <v>4638404.4139999999</v>
      </c>
      <c r="AR322" s="80">
        <f>+_CIERRE!Q322+_CIERRE!R322</f>
        <v>5086090.0449999999</v>
      </c>
      <c r="AS322" s="80">
        <f>+_CIERRE!S322+_CIERRE!T322</f>
        <v>6234059.9009999996</v>
      </c>
      <c r="AT322" s="80">
        <f>+_CIERRE!U322+_CIERRE!V322</f>
        <v>7048245.7300000004</v>
      </c>
      <c r="AU322" s="80">
        <f>+'CALC MEC ESTAB Y ESTIM M FINAL'!T327</f>
        <v>7048246</v>
      </c>
      <c r="AV322" s="560">
        <v>0</v>
      </c>
      <c r="AW322" s="551">
        <v>0</v>
      </c>
      <c r="AX322" s="551">
        <v>0</v>
      </c>
      <c r="AY322" s="551">
        <v>0</v>
      </c>
      <c r="AZ322" s="551">
        <v>486372.02600000001</v>
      </c>
      <c r="BA322" s="551">
        <v>486735.17700000003</v>
      </c>
    </row>
    <row r="323" spans="1:53" ht="3" customHeight="1" x14ac:dyDescent="0.2">
      <c r="A323" s="68">
        <f>IF(LEN(+'_DATA STT PAGOS_'!M328)=4,"0"&amp;+'_DATA STT PAGOS_'!M328,+'_DATA STT PAGOS_'!M328)</f>
        <v>15101</v>
      </c>
      <c r="B323" s="68" t="str">
        <f>IF(LEN(+'_DATA STT PAGOS_'!N328)=4,"0"&amp;+'_DATA STT PAGOS_'!N328,+'_DATA STT PAGOS_'!N328)</f>
        <v>01101</v>
      </c>
      <c r="C323" s="76" t="str">
        <f>+'_DATA STT PAGOS_'!O328</f>
        <v>ARICA</v>
      </c>
      <c r="D323" s="80">
        <f>+'CALC MEC ESTAB Y ESTIM M FINAL'!U328</f>
        <v>31795767</v>
      </c>
      <c r="E323" s="77">
        <f>+'CALC MEC ESTAB Y ESTIM M FINAL'!Q328</f>
        <v>1.15062117488E-2</v>
      </c>
      <c r="F323" s="77">
        <f>+'CALC MEC ESTAB Y ESTIM M FINAL'!R328</f>
        <v>-3.0405502630000001E-4</v>
      </c>
      <c r="G323" s="80">
        <f>+'_Flujo con Glosa 08'!CE328</f>
        <v>1507590</v>
      </c>
      <c r="H323" s="80">
        <f>+'_Flujo con Glosa 08'!CF328</f>
        <v>1507590</v>
      </c>
      <c r="I323" s="80">
        <f>+'_Flujo con Glosa 08'!CG328</f>
        <v>1401174</v>
      </c>
      <c r="J323" s="80">
        <f>+'_Flujo con Glosa 08'!CH328</f>
        <v>1507590</v>
      </c>
      <c r="K323" s="80">
        <f>+'_Flujo con Glosa 08'!CI328</f>
        <v>4169994</v>
      </c>
      <c r="L323" s="80">
        <f>+'_Flujo con Glosa 08'!CJ328</f>
        <v>1549939</v>
      </c>
      <c r="M323" s="80">
        <f>+'_Flujo con Glosa 08'!CK328</f>
        <v>2571390</v>
      </c>
      <c r="N323" s="80">
        <f>+'_Flujo con Glosa 08'!CL328</f>
        <v>1507590</v>
      </c>
      <c r="O323" s="80">
        <f>+'_Flujo con Glosa 08'!CM328</f>
        <v>1690702</v>
      </c>
      <c r="P323" s="80">
        <f>+'_Flujo con Glosa 08'!CN328</f>
        <v>2773728</v>
      </c>
      <c r="Q323" s="80">
        <f>+'_Flujo con Glosa 08'!CO328</f>
        <v>1507590</v>
      </c>
      <c r="R323" s="80">
        <f>+'_Flujo con Glosa 08'!CP328</f>
        <v>2613690</v>
      </c>
      <c r="S323" s="80">
        <f t="shared" ref="S323:S347" si="10">SUM(G323:R323)</f>
        <v>24308567</v>
      </c>
      <c r="T323" s="80">
        <v>0</v>
      </c>
      <c r="U323" s="80">
        <v>0</v>
      </c>
      <c r="V323" s="80">
        <v>0</v>
      </c>
      <c r="W323" s="80">
        <v>0</v>
      </c>
      <c r="X323" s="80">
        <v>0</v>
      </c>
      <c r="Y323" s="80">
        <v>0</v>
      </c>
      <c r="Z323" s="80">
        <v>0</v>
      </c>
      <c r="AA323" s="80">
        <v>0</v>
      </c>
      <c r="AB323" s="80">
        <v>0</v>
      </c>
      <c r="AC323" s="80">
        <v>0</v>
      </c>
      <c r="AD323" s="80">
        <v>0</v>
      </c>
      <c r="AE323" s="80">
        <v>0</v>
      </c>
      <c r="AF323" s="80">
        <f t="shared" ref="AF323:AF347" si="11">SUM(T323:AE323)</f>
        <v>0</v>
      </c>
      <c r="AG323" s="80">
        <f>+COEF_FCM!AM330</f>
        <v>1054693</v>
      </c>
      <c r="AH323" s="80">
        <f>+COEF_FCM!AR330</f>
        <v>56222</v>
      </c>
      <c r="AI323" s="80">
        <f>+COEF_FCM!AN330</f>
        <v>799910</v>
      </c>
      <c r="AJ323" s="80">
        <f>+COEF_FCM!AS330</f>
        <v>29200</v>
      </c>
      <c r="AK323" s="80">
        <f>+COEF_FCM!AO330</f>
        <v>890169</v>
      </c>
      <c r="AL323" s="80">
        <f>+COEF_FCM!AT330</f>
        <v>33129.993000000002</v>
      </c>
      <c r="AM323" s="80">
        <f>+COEF_FCM!AP330</f>
        <v>748929</v>
      </c>
      <c r="AN323" s="80">
        <f>+COEF_FCM!AU330</f>
        <v>22198</v>
      </c>
      <c r="AO323" s="80">
        <f>+COEF_FCM!AQ330</f>
        <v>3493701</v>
      </c>
      <c r="AP323" s="80">
        <f>+COEF_FCM!AV330</f>
        <v>140749.99300000002</v>
      </c>
      <c r="AQ323" s="80">
        <f>+_CIERRE!O323+_CIERRE!P323</f>
        <v>24855238.822999999</v>
      </c>
      <c r="AR323" s="80">
        <f>+_CIERRE!Q323+_CIERRE!R323</f>
        <v>28511672.500999998</v>
      </c>
      <c r="AS323" s="80">
        <f>+_CIERRE!S323+_CIERRE!T323</f>
        <v>30787949.909000002</v>
      </c>
      <c r="AT323" s="80">
        <f>+_CIERRE!U323+_CIERRE!V323</f>
        <v>31075956.149</v>
      </c>
      <c r="AU323" s="80">
        <f>+'CALC MEC ESTAB Y ESTIM M FINAL'!T328</f>
        <v>31795767</v>
      </c>
      <c r="AV323" s="560">
        <v>0</v>
      </c>
      <c r="AW323" s="551">
        <v>0</v>
      </c>
      <c r="AX323" s="551">
        <v>0</v>
      </c>
      <c r="AY323" s="551">
        <v>0</v>
      </c>
      <c r="AZ323" s="551">
        <v>1650251.375</v>
      </c>
      <c r="BA323" s="551">
        <v>1870700.905</v>
      </c>
    </row>
    <row r="324" spans="1:53" ht="3" customHeight="1" x14ac:dyDescent="0.2">
      <c r="A324" s="68">
        <f>IF(LEN(+'_DATA STT PAGOS_'!M329)=4,"0"&amp;+'_DATA STT PAGOS_'!M329,+'_DATA STT PAGOS_'!M329)</f>
        <v>15102</v>
      </c>
      <c r="B324" s="68" t="str">
        <f>IF(LEN(+'_DATA STT PAGOS_'!N329)=4,"0"&amp;+'_DATA STT PAGOS_'!N329,+'_DATA STT PAGOS_'!N329)</f>
        <v>01106</v>
      </c>
      <c r="C324" s="76" t="str">
        <f>+'_DATA STT PAGOS_'!O329</f>
        <v>CAMARONES</v>
      </c>
      <c r="D324" s="80">
        <f>+'CALC MEC ESTAB Y ESTIM M FINAL'!U329</f>
        <v>2420084</v>
      </c>
      <c r="E324" s="77">
        <f>+'CALC MEC ESTAB Y ESTIM M FINAL'!Q329</f>
        <v>8.9862967269999994E-4</v>
      </c>
      <c r="F324" s="77">
        <f>+'CALC MEC ESTAB Y ESTIM M FINAL'!R329</f>
        <v>-4.5995554900000003E-5</v>
      </c>
      <c r="G324" s="80">
        <f>+'_Flujo con Glosa 08'!CE329</f>
        <v>112138</v>
      </c>
      <c r="H324" s="80">
        <f>+'_Flujo con Glosa 08'!CF329</f>
        <v>112138</v>
      </c>
      <c r="I324" s="80">
        <f>+'_Flujo con Glosa 08'!CG329</f>
        <v>106648</v>
      </c>
      <c r="J324" s="80">
        <f>+'_Flujo con Glosa 08'!CH329</f>
        <v>112138</v>
      </c>
      <c r="K324" s="80">
        <f>+'_Flujo con Glosa 08'!CI329</f>
        <v>325222</v>
      </c>
      <c r="L324" s="80">
        <f>+'_Flujo con Glosa 08'!CJ329</f>
        <v>115361</v>
      </c>
      <c r="M324" s="80">
        <f>+'_Flujo con Glosa 08'!CK329</f>
        <v>198327</v>
      </c>
      <c r="N324" s="80">
        <f>+'_Flujo con Glosa 08'!CL329</f>
        <v>112138</v>
      </c>
      <c r="O324" s="80">
        <f>+'_Flujo con Glosa 08'!CM329</f>
        <v>128685</v>
      </c>
      <c r="P324" s="80">
        <f>+'_Flujo con Glosa 08'!CN329</f>
        <v>213728</v>
      </c>
      <c r="Q324" s="80">
        <f>+'_Flujo con Glosa 08'!CO329</f>
        <v>112138</v>
      </c>
      <c r="R324" s="80">
        <f>+'_Flujo con Glosa 08'!CP329</f>
        <v>201547</v>
      </c>
      <c r="S324" s="80">
        <f t="shared" si="10"/>
        <v>1850208</v>
      </c>
      <c r="T324" s="80">
        <v>0</v>
      </c>
      <c r="U324" s="80">
        <v>0</v>
      </c>
      <c r="V324" s="80">
        <v>0</v>
      </c>
      <c r="W324" s="80">
        <v>0</v>
      </c>
      <c r="X324" s="80">
        <v>0</v>
      </c>
      <c r="Y324" s="80">
        <v>0</v>
      </c>
      <c r="Z324" s="80">
        <v>0</v>
      </c>
      <c r="AA324" s="80">
        <v>0</v>
      </c>
      <c r="AB324" s="80">
        <v>0</v>
      </c>
      <c r="AC324" s="80">
        <v>0</v>
      </c>
      <c r="AD324" s="80">
        <v>0</v>
      </c>
      <c r="AE324" s="80">
        <v>0</v>
      </c>
      <c r="AF324" s="80">
        <f t="shared" si="11"/>
        <v>0</v>
      </c>
      <c r="AG324" s="80">
        <f>+COEF_FCM!AM331</f>
        <v>1177</v>
      </c>
      <c r="AH324" s="80">
        <f>+COEF_FCM!AR331</f>
        <v>0</v>
      </c>
      <c r="AI324" s="80">
        <f>+COEF_FCM!AN331</f>
        <v>1313</v>
      </c>
      <c r="AJ324" s="80">
        <f>+COEF_FCM!AS331</f>
        <v>0</v>
      </c>
      <c r="AK324" s="80">
        <f>+COEF_FCM!AO331</f>
        <v>800</v>
      </c>
      <c r="AL324" s="80">
        <f>+COEF_FCM!AT331</f>
        <v>0</v>
      </c>
      <c r="AM324" s="80">
        <f>+COEF_FCM!AP331</f>
        <v>433</v>
      </c>
      <c r="AN324" s="80">
        <f>+COEF_FCM!AU331</f>
        <v>0</v>
      </c>
      <c r="AO324" s="80">
        <f>+COEF_FCM!AQ331</f>
        <v>3723</v>
      </c>
      <c r="AP324" s="80">
        <f>+COEF_FCM!AV331</f>
        <v>0</v>
      </c>
      <c r="AQ324" s="80">
        <f>+_CIERRE!O324+_CIERRE!P324</f>
        <v>1786145.936</v>
      </c>
      <c r="AR324" s="80">
        <f>+_CIERRE!Q324+_CIERRE!R324</f>
        <v>2035772.5989999999</v>
      </c>
      <c r="AS324" s="80">
        <f>+_CIERRE!S324+_CIERRE!T324</f>
        <v>2212077.5290000001</v>
      </c>
      <c r="AT324" s="80">
        <f>+_CIERRE!U324+_CIERRE!V324</f>
        <v>2311196.415</v>
      </c>
      <c r="AU324" s="80">
        <f>+'CALC MEC ESTAB Y ESTIM M FINAL'!T329</f>
        <v>2420084</v>
      </c>
      <c r="AV324" s="560">
        <v>0</v>
      </c>
      <c r="AW324" s="551">
        <v>0</v>
      </c>
      <c r="AX324" s="551">
        <v>0</v>
      </c>
      <c r="AY324" s="551">
        <v>0</v>
      </c>
      <c r="AZ324" s="551">
        <v>305444.86599999998</v>
      </c>
      <c r="BA324" s="551">
        <v>314690.32500000001</v>
      </c>
    </row>
    <row r="325" spans="1:53" ht="3" customHeight="1" x14ac:dyDescent="0.2">
      <c r="A325" s="68">
        <f>IF(LEN(+'_DATA STT PAGOS_'!M330)=4,"0"&amp;+'_DATA STT PAGOS_'!M330,+'_DATA STT PAGOS_'!M330)</f>
        <v>15201</v>
      </c>
      <c r="B325" s="68" t="str">
        <f>IF(LEN(+'_DATA STT PAGOS_'!N330)=4,"0"&amp;+'_DATA STT PAGOS_'!N330,+'_DATA STT PAGOS_'!N330)</f>
        <v>01301</v>
      </c>
      <c r="C325" s="76" t="str">
        <f>+'_DATA STT PAGOS_'!O330</f>
        <v>PUTRE</v>
      </c>
      <c r="D325" s="80">
        <f>+'CALC MEC ESTAB Y ESTIM M FINAL'!U330</f>
        <v>3497311</v>
      </c>
      <c r="E325" s="77">
        <f>+'CALC MEC ESTAB Y ESTIM M FINAL'!Q330</f>
        <v>1.3335595016E-3</v>
      </c>
      <c r="F325" s="77">
        <f>+'CALC MEC ESTAB Y ESTIM M FINAL'!R330</f>
        <v>-1.014011171E-4</v>
      </c>
      <c r="G325" s="80">
        <f>+'_Flujo con Glosa 08'!CE330</f>
        <v>158083</v>
      </c>
      <c r="H325" s="80">
        <f>+'_Flujo con Glosa 08'!CF330</f>
        <v>158083</v>
      </c>
      <c r="I325" s="80">
        <f>+'_Flujo con Glosa 08'!CG330</f>
        <v>154119</v>
      </c>
      <c r="J325" s="80">
        <f>+'_Flujo con Glosa 08'!CH330</f>
        <v>158083</v>
      </c>
      <c r="K325" s="80">
        <f>+'_Flujo con Glosa 08'!CI330</f>
        <v>481894</v>
      </c>
      <c r="L325" s="80">
        <f>+'_Flujo con Glosa 08'!CJ330</f>
        <v>162741</v>
      </c>
      <c r="M325" s="80">
        <f>+'_Flujo con Glosa 08'!CK330</f>
        <v>290576</v>
      </c>
      <c r="N325" s="80">
        <f>+'_Flujo con Glosa 08'!CL330</f>
        <v>158083</v>
      </c>
      <c r="O325" s="80">
        <f>+'_Flujo con Glosa 08'!CM330</f>
        <v>185965</v>
      </c>
      <c r="P325" s="80">
        <f>+'_Flujo con Glosa 08'!CN330</f>
        <v>312832</v>
      </c>
      <c r="Q325" s="80">
        <f>+'_Flujo con Glosa 08'!CO330</f>
        <v>158083</v>
      </c>
      <c r="R325" s="80">
        <f>+'_Flujo con Glosa 08'!CP330</f>
        <v>295229</v>
      </c>
      <c r="S325" s="80">
        <f t="shared" si="10"/>
        <v>2673771</v>
      </c>
      <c r="T325" s="80">
        <v>0</v>
      </c>
      <c r="U325" s="80">
        <v>0</v>
      </c>
      <c r="V325" s="80">
        <v>0</v>
      </c>
      <c r="W325" s="80">
        <v>0</v>
      </c>
      <c r="X325" s="80">
        <v>0</v>
      </c>
      <c r="Y325" s="80">
        <v>0</v>
      </c>
      <c r="Z325" s="80">
        <v>0</v>
      </c>
      <c r="AA325" s="80">
        <v>0</v>
      </c>
      <c r="AB325" s="80">
        <v>0</v>
      </c>
      <c r="AC325" s="80">
        <v>0</v>
      </c>
      <c r="AD325" s="80">
        <v>0</v>
      </c>
      <c r="AE325" s="80">
        <v>0</v>
      </c>
      <c r="AF325" s="80">
        <f t="shared" si="11"/>
        <v>0</v>
      </c>
      <c r="AG325" s="80">
        <f>+COEF_FCM!AM332</f>
        <v>4131</v>
      </c>
      <c r="AH325" s="80">
        <f>+COEF_FCM!AR332</f>
        <v>0</v>
      </c>
      <c r="AI325" s="80">
        <f>+COEF_FCM!AN332</f>
        <v>3142</v>
      </c>
      <c r="AJ325" s="80">
        <f>+COEF_FCM!AS332</f>
        <v>0</v>
      </c>
      <c r="AK325" s="80">
        <f>+COEF_FCM!AO332</f>
        <v>3710</v>
      </c>
      <c r="AL325" s="80">
        <f>+COEF_FCM!AT332</f>
        <v>0</v>
      </c>
      <c r="AM325" s="80">
        <f>+COEF_FCM!AP332</f>
        <v>3113</v>
      </c>
      <c r="AN325" s="80">
        <f>+COEF_FCM!AU332</f>
        <v>0</v>
      </c>
      <c r="AO325" s="80">
        <f>+COEF_FCM!AQ332</f>
        <v>14096</v>
      </c>
      <c r="AP325" s="80">
        <f>+COEF_FCM!AV332</f>
        <v>0</v>
      </c>
      <c r="AQ325" s="80">
        <f>+_CIERRE!O325+_CIERRE!P325</f>
        <v>2495111.335</v>
      </c>
      <c r="AR325" s="80">
        <f>+_CIERRE!Q325+_CIERRE!R325</f>
        <v>2775045.4249999998</v>
      </c>
      <c r="AS325" s="80">
        <f>+_CIERRE!S325+_CIERRE!T325</f>
        <v>3000021.0329999998</v>
      </c>
      <c r="AT325" s="80">
        <f>+_CIERRE!U325+_CIERRE!V325</f>
        <v>3257257.696</v>
      </c>
      <c r="AU325" s="80">
        <f>+'CALC MEC ESTAB Y ESTIM M FINAL'!T330</f>
        <v>3497311</v>
      </c>
      <c r="AV325" s="560">
        <v>0</v>
      </c>
      <c r="AW325" s="551">
        <v>0</v>
      </c>
      <c r="AX325" s="551">
        <v>0</v>
      </c>
      <c r="AY325" s="551">
        <v>0</v>
      </c>
      <c r="AZ325" s="551">
        <v>343521.75199999998</v>
      </c>
      <c r="BA325" s="551">
        <v>353852.56300000002</v>
      </c>
    </row>
    <row r="326" spans="1:53" ht="3" customHeight="1" x14ac:dyDescent="0.2">
      <c r="A326" s="68">
        <f>IF(LEN(+'_DATA STT PAGOS_'!M331)=4,"0"&amp;+'_DATA STT PAGOS_'!M331,+'_DATA STT PAGOS_'!M331)</f>
        <v>15202</v>
      </c>
      <c r="B326" s="68" t="str">
        <f>IF(LEN(+'_DATA STT PAGOS_'!N331)=4,"0"&amp;+'_DATA STT PAGOS_'!N331,+'_DATA STT PAGOS_'!N331)</f>
        <v>01302</v>
      </c>
      <c r="C326" s="76" t="str">
        <f>+'_DATA STT PAGOS_'!O331</f>
        <v>GENERAL LAGOS</v>
      </c>
      <c r="D326" s="80">
        <f>+'CALC MEC ESTAB Y ESTIM M FINAL'!U331</f>
        <v>2061751</v>
      </c>
      <c r="E326" s="77">
        <f>+'CALC MEC ESTAB Y ESTIM M FINAL'!Q331</f>
        <v>7.5803710839999995E-4</v>
      </c>
      <c r="F326" s="77">
        <f>+'CALC MEC ESTAB Y ESTIM M FINAL'!R331</f>
        <v>-3.1649248499999998E-5</v>
      </c>
      <c r="G326" s="80">
        <f>+'_Flujo con Glosa 08'!CE331</f>
        <v>96389</v>
      </c>
      <c r="H326" s="80">
        <f>+'_Flujo con Glosa 08'!CF331</f>
        <v>96389</v>
      </c>
      <c r="I326" s="80">
        <f>+'_Flujo con Glosa 08'!CG331</f>
        <v>90857</v>
      </c>
      <c r="J326" s="80">
        <f>+'_Flujo con Glosa 08'!CH331</f>
        <v>96389</v>
      </c>
      <c r="K326" s="80">
        <f>+'_Flujo con Glosa 08'!CI331</f>
        <v>274504</v>
      </c>
      <c r="L326" s="80">
        <f>+'_Flujo con Glosa 08'!CJ331</f>
        <v>99135</v>
      </c>
      <c r="M326" s="80">
        <f>+'_Flujo con Glosa 08'!CK331</f>
        <v>168107</v>
      </c>
      <c r="N326" s="80">
        <f>+'_Flujo con Glosa 08'!CL331</f>
        <v>96389</v>
      </c>
      <c r="O326" s="80">
        <f>+'_Flujo con Glosa 08'!CM331</f>
        <v>109631</v>
      </c>
      <c r="P326" s="80">
        <f>+'_Flujo con Glosa 08'!CN331</f>
        <v>181227</v>
      </c>
      <c r="Q326" s="80">
        <f>+'_Flujo con Glosa 08'!CO331</f>
        <v>96389</v>
      </c>
      <c r="R326" s="80">
        <f>+'_Flujo con Glosa 08'!CP331</f>
        <v>170849</v>
      </c>
      <c r="S326" s="80">
        <f t="shared" si="10"/>
        <v>1576255</v>
      </c>
      <c r="T326" s="80">
        <v>0</v>
      </c>
      <c r="U326" s="80">
        <v>0</v>
      </c>
      <c r="V326" s="80">
        <v>0</v>
      </c>
      <c r="W326" s="80">
        <v>0</v>
      </c>
      <c r="X326" s="80">
        <v>0</v>
      </c>
      <c r="Y326" s="80">
        <v>0</v>
      </c>
      <c r="Z326" s="80">
        <v>0</v>
      </c>
      <c r="AA326" s="80">
        <v>0</v>
      </c>
      <c r="AB326" s="80">
        <v>0</v>
      </c>
      <c r="AC326" s="80">
        <v>0</v>
      </c>
      <c r="AD326" s="80">
        <v>0</v>
      </c>
      <c r="AE326" s="80">
        <v>0</v>
      </c>
      <c r="AF326" s="80">
        <f t="shared" si="11"/>
        <v>0</v>
      </c>
      <c r="AG326" s="80">
        <f>+COEF_FCM!AM333</f>
        <v>101</v>
      </c>
      <c r="AH326" s="80">
        <f>+COEF_FCM!AR333</f>
        <v>0</v>
      </c>
      <c r="AI326" s="80">
        <f>+COEF_FCM!AN333</f>
        <v>127</v>
      </c>
      <c r="AJ326" s="80">
        <f>+COEF_FCM!AS333</f>
        <v>0</v>
      </c>
      <c r="AK326" s="80">
        <f>+COEF_FCM!AO333</f>
        <v>67</v>
      </c>
      <c r="AL326" s="80">
        <f>+COEF_FCM!AT333</f>
        <v>0</v>
      </c>
      <c r="AM326" s="80">
        <f>+COEF_FCM!AP333</f>
        <v>89</v>
      </c>
      <c r="AN326" s="80">
        <f>+COEF_FCM!AU333</f>
        <v>0</v>
      </c>
      <c r="AO326" s="80">
        <f>+COEF_FCM!AQ333</f>
        <v>384</v>
      </c>
      <c r="AP326" s="80">
        <f>+COEF_FCM!AV333</f>
        <v>0</v>
      </c>
      <c r="AQ326" s="80">
        <f>+_CIERRE!O326+_CIERRE!P326</f>
        <v>1518789.9509999999</v>
      </c>
      <c r="AR326" s="80">
        <f>+_CIERRE!Q326+_CIERRE!R326</f>
        <v>1725273.4410000001</v>
      </c>
      <c r="AS326" s="80">
        <f>+_CIERRE!S326+_CIERRE!T326</f>
        <v>1867695.62</v>
      </c>
      <c r="AT326" s="80">
        <f>+_CIERRE!U326+_CIERRE!V326</f>
        <v>1986825.6939999999</v>
      </c>
      <c r="AU326" s="80">
        <f>+'CALC MEC ESTAB Y ESTIM M FINAL'!T331</f>
        <v>2061751</v>
      </c>
      <c r="AV326" s="560">
        <v>0</v>
      </c>
      <c r="AW326" s="551">
        <v>0</v>
      </c>
      <c r="AX326" s="551">
        <v>0</v>
      </c>
      <c r="AY326" s="551">
        <v>0</v>
      </c>
      <c r="AZ326" s="551">
        <v>282875.83100000001</v>
      </c>
      <c r="BA326" s="551">
        <v>291406.12199999997</v>
      </c>
    </row>
    <row r="327" spans="1:53" ht="3" customHeight="1" x14ac:dyDescent="0.2">
      <c r="A327" s="68">
        <f>IF(LEN(+'_DATA STT PAGOS_'!M332)=4,"0"&amp;+'_DATA STT PAGOS_'!M332,+'_DATA STT PAGOS_'!M332)</f>
        <v>16101</v>
      </c>
      <c r="B327" s="68" t="str">
        <f>IF(LEN(+'_DATA STT PAGOS_'!N332)=4,"0"&amp;+'_DATA STT PAGOS_'!N332,+'_DATA STT PAGOS_'!N332)</f>
        <v>08101</v>
      </c>
      <c r="C327" s="76" t="str">
        <f>+'_DATA STT PAGOS_'!O332</f>
        <v>CHILLÁN</v>
      </c>
      <c r="D327" s="80">
        <f>+'CALC MEC ESTAB Y ESTIM M FINAL'!U332</f>
        <v>26106634</v>
      </c>
      <c r="E327" s="77">
        <f>+'CALC MEC ESTAB Y ESTIM M FINAL'!Q332</f>
        <v>9.8088502143999987E-3</v>
      </c>
      <c r="F327" s="77">
        <f>+'CALC MEC ESTAB Y ESTIM M FINAL'!R332</f>
        <v>-6.110659836E-4</v>
      </c>
      <c r="G327" s="80">
        <f>+'_Flujo con Glosa 08'!CE332</f>
        <v>1195243</v>
      </c>
      <c r="H327" s="80">
        <f>+'_Flujo con Glosa 08'!CF332</f>
        <v>1195243</v>
      </c>
      <c r="I327" s="80">
        <f>+'_Flujo con Glosa 08'!CG332</f>
        <v>1150465</v>
      </c>
      <c r="J327" s="80">
        <f>+'_Flujo con Glosa 08'!CH332</f>
        <v>1195243</v>
      </c>
      <c r="K327" s="80">
        <f>+'_Flujo con Glosa 08'!CI332</f>
        <v>3551661</v>
      </c>
      <c r="L327" s="80">
        <f>+'_Flujo con Glosa 08'!CJ332</f>
        <v>1230015</v>
      </c>
      <c r="M327" s="80">
        <f>+'_Flujo con Glosa 08'!CK332</f>
        <v>2153898</v>
      </c>
      <c r="N327" s="80">
        <f>+'_Flujo con Glosa 08'!CL332</f>
        <v>1195243</v>
      </c>
      <c r="O327" s="80">
        <f>+'_Flujo con Glosa 08'!CM332</f>
        <v>1388189</v>
      </c>
      <c r="P327" s="80">
        <f>+'_Flujo con Glosa 08'!CN332</f>
        <v>2320030</v>
      </c>
      <c r="Q327" s="80">
        <f>+'_Flujo con Glosa 08'!CO332</f>
        <v>1195243</v>
      </c>
      <c r="R327" s="80">
        <f>+'_Flujo con Glosa 08'!CP332</f>
        <v>2188626</v>
      </c>
      <c r="S327" s="80">
        <f t="shared" si="10"/>
        <v>19959099</v>
      </c>
      <c r="T327" s="80">
        <v>0</v>
      </c>
      <c r="U327" s="80">
        <v>0</v>
      </c>
      <c r="V327" s="80">
        <v>0</v>
      </c>
      <c r="W327" s="80">
        <v>0</v>
      </c>
      <c r="X327" s="80">
        <v>0</v>
      </c>
      <c r="Y327" s="80">
        <v>0</v>
      </c>
      <c r="Z327" s="80">
        <v>0</v>
      </c>
      <c r="AA327" s="80">
        <v>0</v>
      </c>
      <c r="AB327" s="80">
        <v>0</v>
      </c>
      <c r="AC327" s="80">
        <v>0</v>
      </c>
      <c r="AD327" s="80">
        <v>0</v>
      </c>
      <c r="AE327" s="80">
        <v>0</v>
      </c>
      <c r="AF327" s="80">
        <f t="shared" si="11"/>
        <v>0</v>
      </c>
      <c r="AG327" s="80">
        <f>+COEF_FCM!AM334</f>
        <v>1180963</v>
      </c>
      <c r="AH327" s="80">
        <f>+COEF_FCM!AR334</f>
        <v>88244</v>
      </c>
      <c r="AI327" s="80">
        <f>+COEF_FCM!AN334</f>
        <v>876194</v>
      </c>
      <c r="AJ327" s="80">
        <f>+COEF_FCM!AS334</f>
        <v>44449</v>
      </c>
      <c r="AK327" s="80">
        <f>+COEF_FCM!AO334</f>
        <v>969932</v>
      </c>
      <c r="AL327" s="80">
        <f>+COEF_FCM!AT334</f>
        <v>59085.474999999999</v>
      </c>
      <c r="AM327" s="80">
        <f>+COEF_FCM!AP334</f>
        <v>856644</v>
      </c>
      <c r="AN327" s="80">
        <f>+COEF_FCM!AU334</f>
        <v>42712</v>
      </c>
      <c r="AO327" s="80">
        <f>+COEF_FCM!AQ334</f>
        <v>3883733</v>
      </c>
      <c r="AP327" s="80">
        <f>+COEF_FCM!AV334</f>
        <v>234490.47500000001</v>
      </c>
      <c r="AQ327" s="80">
        <f>+_CIERRE!O327+_CIERRE!P327</f>
        <v>19783805.835000001</v>
      </c>
      <c r="AR327" s="80">
        <f>+_CIERRE!Q327+_CIERRE!R327</f>
        <v>22563101.807999998</v>
      </c>
      <c r="AS327" s="80">
        <f>+_CIERRE!S327+_CIERRE!T327</f>
        <v>23800836.857000001</v>
      </c>
      <c r="AT327" s="80">
        <f>+_CIERRE!U327+_CIERRE!V327</f>
        <v>24660015.822999999</v>
      </c>
      <c r="AU327" s="80">
        <f>+'CALC MEC ESTAB Y ESTIM M FINAL'!T332</f>
        <v>26106634</v>
      </c>
      <c r="AV327" s="560">
        <v>0</v>
      </c>
      <c r="AW327" s="551">
        <v>0</v>
      </c>
      <c r="AX327" s="551">
        <v>0</v>
      </c>
      <c r="AY327" s="551">
        <v>0</v>
      </c>
      <c r="AZ327" s="551">
        <v>0</v>
      </c>
      <c r="BA327" s="551">
        <v>0</v>
      </c>
    </row>
    <row r="328" spans="1:53" ht="3" customHeight="1" x14ac:dyDescent="0.2">
      <c r="A328" s="68">
        <f>IF(LEN(+'_DATA STT PAGOS_'!M333)=4,"0"&amp;+'_DATA STT PAGOS_'!M333,+'_DATA STT PAGOS_'!M333)</f>
        <v>16102</v>
      </c>
      <c r="B328" s="68" t="str">
        <f>IF(LEN(+'_DATA STT PAGOS_'!N333)=4,"0"&amp;+'_DATA STT PAGOS_'!N333,+'_DATA STT PAGOS_'!N333)</f>
        <v>08113</v>
      </c>
      <c r="C328" s="76" t="str">
        <f>+'_DATA STT PAGOS_'!O333</f>
        <v>BULNES</v>
      </c>
      <c r="D328" s="80">
        <f>+'CALC MEC ESTAB Y ESTIM M FINAL'!U333</f>
        <v>6717584</v>
      </c>
      <c r="E328" s="77">
        <f>+'CALC MEC ESTAB Y ESTIM M FINAL'!Q333</f>
        <v>2.6547600787999994E-3</v>
      </c>
      <c r="F328" s="77">
        <f>+'CALC MEC ESTAB Y ESTIM M FINAL'!R333</f>
        <v>-2.8804790239999998E-4</v>
      </c>
      <c r="G328" s="80">
        <f>+'_Flujo con Glosa 08'!CE333</f>
        <v>292741</v>
      </c>
      <c r="H328" s="80">
        <f>+'_Flujo con Glosa 08'!CF333</f>
        <v>292741</v>
      </c>
      <c r="I328" s="80">
        <f>+'_Flujo con Glosa 08'!CG333</f>
        <v>296030</v>
      </c>
      <c r="J328" s="80">
        <f>+'_Flujo con Glosa 08'!CH333</f>
        <v>292741</v>
      </c>
      <c r="K328" s="80">
        <f>+'_Flujo con Glosa 08'!CI333</f>
        <v>958323</v>
      </c>
      <c r="L328" s="80">
        <f>+'_Flujo con Glosa 08'!CJ333</f>
        <v>301688</v>
      </c>
      <c r="M328" s="80">
        <f>+'_Flujo con Glosa 08'!CK333</f>
        <v>569038</v>
      </c>
      <c r="N328" s="80">
        <f>+'_Flujo con Glosa 08'!CL333</f>
        <v>292741</v>
      </c>
      <c r="O328" s="80">
        <f>+'_Flujo con Glosa 08'!CM333</f>
        <v>357200</v>
      </c>
      <c r="P328" s="80">
        <f>+'_Flujo con Glosa 08'!CN333</f>
        <v>611785</v>
      </c>
      <c r="Q328" s="80">
        <f>+'_Flujo con Glosa 08'!CO333</f>
        <v>292741</v>
      </c>
      <c r="R328" s="80">
        <f>+'_Flujo con Glosa 08'!CP333</f>
        <v>577974</v>
      </c>
      <c r="S328" s="80">
        <f t="shared" si="10"/>
        <v>5135743</v>
      </c>
      <c r="T328" s="80">
        <v>0</v>
      </c>
      <c r="U328" s="80">
        <v>0</v>
      </c>
      <c r="V328" s="80">
        <v>0</v>
      </c>
      <c r="W328" s="80">
        <v>0</v>
      </c>
      <c r="X328" s="80">
        <v>0</v>
      </c>
      <c r="Y328" s="80">
        <v>0</v>
      </c>
      <c r="Z328" s="80">
        <v>0</v>
      </c>
      <c r="AA328" s="80">
        <v>0</v>
      </c>
      <c r="AB328" s="80">
        <v>0</v>
      </c>
      <c r="AC328" s="80">
        <v>0</v>
      </c>
      <c r="AD328" s="80">
        <v>0</v>
      </c>
      <c r="AE328" s="80">
        <v>0</v>
      </c>
      <c r="AF328" s="80">
        <f t="shared" si="11"/>
        <v>0</v>
      </c>
      <c r="AG328" s="80">
        <f>+COEF_FCM!AM335</f>
        <v>76640</v>
      </c>
      <c r="AH328" s="80">
        <f>+COEF_FCM!AR335</f>
        <v>4175</v>
      </c>
      <c r="AI328" s="80">
        <f>+COEF_FCM!AN335</f>
        <v>55357</v>
      </c>
      <c r="AJ328" s="80">
        <f>+COEF_FCM!AS335</f>
        <v>2412</v>
      </c>
      <c r="AK328" s="80">
        <f>+COEF_FCM!AO335</f>
        <v>59796</v>
      </c>
      <c r="AL328" s="80">
        <f>+COEF_FCM!AT335</f>
        <v>3577.991</v>
      </c>
      <c r="AM328" s="80">
        <f>+COEF_FCM!AP335</f>
        <v>47940</v>
      </c>
      <c r="AN328" s="80">
        <f>+COEF_FCM!AU335</f>
        <v>2631</v>
      </c>
      <c r="AO328" s="80">
        <f>+COEF_FCM!AQ335</f>
        <v>239733</v>
      </c>
      <c r="AP328" s="80">
        <f>+COEF_FCM!AV335</f>
        <v>12795.991</v>
      </c>
      <c r="AQ328" s="80">
        <f>+_CIERRE!O328+_CIERRE!P328</f>
        <v>3931821.8679999998</v>
      </c>
      <c r="AR328" s="80">
        <f>+_CIERRE!Q328+_CIERRE!R328</f>
        <v>4541149.6490000002</v>
      </c>
      <c r="AS328" s="80">
        <f>+_CIERRE!S328+_CIERRE!T328</f>
        <v>4970509.9110000003</v>
      </c>
      <c r="AT328" s="80">
        <f>+_CIERRE!U328+_CIERRE!V328</f>
        <v>6035667.9220000003</v>
      </c>
      <c r="AU328" s="80">
        <f>+'CALC MEC ESTAB Y ESTIM M FINAL'!T333</f>
        <v>6717584</v>
      </c>
      <c r="AV328" s="560">
        <v>0</v>
      </c>
      <c r="AW328" s="551">
        <v>0</v>
      </c>
      <c r="AX328" s="551">
        <v>0</v>
      </c>
      <c r="AY328" s="551">
        <v>0</v>
      </c>
      <c r="AZ328" s="551">
        <v>509083.65700000001</v>
      </c>
      <c r="BA328" s="551">
        <v>519992.23100000003</v>
      </c>
    </row>
    <row r="329" spans="1:53" ht="3" customHeight="1" x14ac:dyDescent="0.2">
      <c r="A329" s="68">
        <f>IF(LEN(+'_DATA STT PAGOS_'!M334)=4,"0"&amp;+'_DATA STT PAGOS_'!M334,+'_DATA STT PAGOS_'!M334)</f>
        <v>16103</v>
      </c>
      <c r="B329" s="68" t="str">
        <f>IF(LEN(+'_DATA STT PAGOS_'!N334)=4,"0"&amp;+'_DATA STT PAGOS_'!N334,+'_DATA STT PAGOS_'!N334)</f>
        <v>08121</v>
      </c>
      <c r="C329" s="76" t="str">
        <f>+'_DATA STT PAGOS_'!O334</f>
        <v>CHILLÁN VIEJO</v>
      </c>
      <c r="D329" s="80">
        <f>+'CALC MEC ESTAB Y ESTIM M FINAL'!U334</f>
        <v>7033908</v>
      </c>
      <c r="E329" s="77">
        <f>+'CALC MEC ESTAB Y ESTIM M FINAL'!Q334</f>
        <v>2.7492596458999997E-3</v>
      </c>
      <c r="F329" s="77">
        <f>+'CALC MEC ESTAB Y ESTIM M FINAL'!R334</f>
        <v>-2.7110150410000002E-4</v>
      </c>
      <c r="G329" s="80">
        <f>+'_Flujo con Glosa 08'!CE334</f>
        <v>310195</v>
      </c>
      <c r="H329" s="80">
        <f>+'_Flujo con Glosa 08'!CF334</f>
        <v>310195</v>
      </c>
      <c r="I329" s="80">
        <f>+'_Flujo con Glosa 08'!CG334</f>
        <v>309970</v>
      </c>
      <c r="J329" s="80">
        <f>+'_Flujo con Glosa 08'!CH334</f>
        <v>310195</v>
      </c>
      <c r="K329" s="80">
        <f>+'_Flujo con Glosa 08'!CI334</f>
        <v>992441</v>
      </c>
      <c r="L329" s="80">
        <f>+'_Flujo con Glosa 08'!CJ334</f>
        <v>319564</v>
      </c>
      <c r="M329" s="80">
        <f>+'_Flujo con Glosa 08'!CK334</f>
        <v>592164</v>
      </c>
      <c r="N329" s="80">
        <f>+'_Flujo con Glosa 08'!CL334</f>
        <v>310195</v>
      </c>
      <c r="O329" s="80">
        <f>+'_Flujo con Glosa 08'!CM334</f>
        <v>374020</v>
      </c>
      <c r="P329" s="80">
        <f>+'_Flujo con Glosa 08'!CN334</f>
        <v>636924</v>
      </c>
      <c r="Q329" s="80">
        <f>+'_Flujo con Glosa 08'!CO334</f>
        <v>310195</v>
      </c>
      <c r="R329" s="80">
        <f>+'_Flujo con Glosa 08'!CP334</f>
        <v>601521</v>
      </c>
      <c r="S329" s="80">
        <f t="shared" si="10"/>
        <v>5377579</v>
      </c>
      <c r="T329" s="80">
        <v>0</v>
      </c>
      <c r="U329" s="80">
        <v>0</v>
      </c>
      <c r="V329" s="80">
        <v>0</v>
      </c>
      <c r="W329" s="80">
        <v>0</v>
      </c>
      <c r="X329" s="80">
        <v>0</v>
      </c>
      <c r="Y329" s="80">
        <v>0</v>
      </c>
      <c r="Z329" s="80">
        <v>0</v>
      </c>
      <c r="AA329" s="80">
        <v>0</v>
      </c>
      <c r="AB329" s="80">
        <v>0</v>
      </c>
      <c r="AC329" s="80">
        <v>0</v>
      </c>
      <c r="AD329" s="80">
        <v>0</v>
      </c>
      <c r="AE329" s="80">
        <v>0</v>
      </c>
      <c r="AF329" s="80">
        <f t="shared" si="11"/>
        <v>0</v>
      </c>
      <c r="AG329" s="80">
        <f>+COEF_FCM!AM336</f>
        <v>112555</v>
      </c>
      <c r="AH329" s="80">
        <f>+COEF_FCM!AR336</f>
        <v>3285</v>
      </c>
      <c r="AI329" s="80">
        <f>+COEF_FCM!AN336</f>
        <v>83795</v>
      </c>
      <c r="AJ329" s="80">
        <f>+COEF_FCM!AS336</f>
        <v>1246</v>
      </c>
      <c r="AK329" s="80">
        <f>+COEF_FCM!AO336</f>
        <v>93463</v>
      </c>
      <c r="AL329" s="80">
        <f>+COEF_FCM!AT336</f>
        <v>2732.6</v>
      </c>
      <c r="AM329" s="80">
        <f>+COEF_FCM!AP336</f>
        <v>90093</v>
      </c>
      <c r="AN329" s="80">
        <f>+COEF_FCM!AU336</f>
        <v>2204</v>
      </c>
      <c r="AO329" s="80">
        <f>+COEF_FCM!AQ336</f>
        <v>379906</v>
      </c>
      <c r="AP329" s="80">
        <f>+COEF_FCM!AV336</f>
        <v>9467.6</v>
      </c>
      <c r="AQ329" s="80">
        <f>+_CIERRE!O329+_CIERRE!P329</f>
        <v>4698342.26</v>
      </c>
      <c r="AR329" s="80">
        <f>+_CIERRE!Q329+_CIERRE!R329</f>
        <v>5518831.1469999999</v>
      </c>
      <c r="AS329" s="80">
        <f>+_CIERRE!S329+_CIERRE!T329</f>
        <v>5810995.6909999996</v>
      </c>
      <c r="AT329" s="80">
        <f>+_CIERRE!U329+_CIERRE!V329</f>
        <v>6392111.0769999996</v>
      </c>
      <c r="AU329" s="80">
        <f>+'CALC MEC ESTAB Y ESTIM M FINAL'!T334</f>
        <v>7033908</v>
      </c>
      <c r="AV329" s="560">
        <v>0</v>
      </c>
      <c r="AW329" s="551">
        <v>0</v>
      </c>
      <c r="AX329" s="551">
        <v>0</v>
      </c>
      <c r="AY329" s="551">
        <v>0</v>
      </c>
      <c r="AZ329" s="551">
        <v>519998.84700000001</v>
      </c>
      <c r="BA329" s="551">
        <v>567377.30700000003</v>
      </c>
    </row>
    <row r="330" spans="1:53" ht="3" customHeight="1" x14ac:dyDescent="0.2">
      <c r="A330" s="68">
        <f>IF(LEN(+'_DATA STT PAGOS_'!M335)=4,"0"&amp;+'_DATA STT PAGOS_'!M335,+'_DATA STT PAGOS_'!M335)</f>
        <v>16104</v>
      </c>
      <c r="B330" s="68" t="str">
        <f>IF(LEN(+'_DATA STT PAGOS_'!N335)=4,"0"&amp;+'_DATA STT PAGOS_'!N335,+'_DATA STT PAGOS_'!N335)</f>
        <v>08118</v>
      </c>
      <c r="C330" s="76" t="str">
        <f>+'_DATA STT PAGOS_'!O335</f>
        <v>EL CARMEN</v>
      </c>
      <c r="D330" s="80">
        <f>+'CALC MEC ESTAB Y ESTIM M FINAL'!U335</f>
        <v>4598647</v>
      </c>
      <c r="E330" s="77">
        <f>+'CALC MEC ESTAB Y ESTIM M FINAL'!Q335</f>
        <v>1.7611375771E-3</v>
      </c>
      <c r="F330" s="77">
        <f>+'CALC MEC ESTAB Y ESTIM M FINAL'!R335</f>
        <v>-1.4096091610000001E-4</v>
      </c>
      <c r="G330" s="80">
        <f>+'_Flujo con Glosa 08'!CE335</f>
        <v>206824</v>
      </c>
      <c r="H330" s="80">
        <f>+'_Flujo con Glosa 08'!CF335</f>
        <v>206824</v>
      </c>
      <c r="I330" s="80">
        <f>+'_Flujo con Glosa 08'!CG335</f>
        <v>202653</v>
      </c>
      <c r="J330" s="80">
        <f>+'_Flujo con Glosa 08'!CH335</f>
        <v>206824</v>
      </c>
      <c r="K330" s="80">
        <f>+'_Flujo con Glosa 08'!CI335</f>
        <v>636769</v>
      </c>
      <c r="L330" s="80">
        <f>+'_Flujo con Glosa 08'!CJ335</f>
        <v>212949</v>
      </c>
      <c r="M330" s="80">
        <f>+'_Flujo con Glosa 08'!CK335</f>
        <v>383122</v>
      </c>
      <c r="N330" s="80">
        <f>+'_Flujo con Glosa 08'!CL335</f>
        <v>206824</v>
      </c>
      <c r="O330" s="80">
        <f>+'_Flujo con Glosa 08'!CM335</f>
        <v>244528</v>
      </c>
      <c r="P330" s="80">
        <f>+'_Flujo con Glosa 08'!CN335</f>
        <v>412387</v>
      </c>
      <c r="Q330" s="80">
        <f>+'_Flujo con Glosa 08'!CO335</f>
        <v>206824</v>
      </c>
      <c r="R330" s="80">
        <f>+'_Flujo con Glosa 08'!CP335</f>
        <v>389239</v>
      </c>
      <c r="S330" s="80">
        <f t="shared" si="10"/>
        <v>3515767</v>
      </c>
      <c r="T330" s="80">
        <v>0</v>
      </c>
      <c r="U330" s="80">
        <v>0</v>
      </c>
      <c r="V330" s="80">
        <v>0</v>
      </c>
      <c r="W330" s="80">
        <v>0</v>
      </c>
      <c r="X330" s="80">
        <v>0</v>
      </c>
      <c r="Y330" s="80">
        <v>0</v>
      </c>
      <c r="Z330" s="80">
        <v>0</v>
      </c>
      <c r="AA330" s="80">
        <v>0</v>
      </c>
      <c r="AB330" s="80">
        <v>0</v>
      </c>
      <c r="AC330" s="80">
        <v>0</v>
      </c>
      <c r="AD330" s="80">
        <v>0</v>
      </c>
      <c r="AE330" s="80">
        <v>0</v>
      </c>
      <c r="AF330" s="80">
        <f t="shared" si="11"/>
        <v>0</v>
      </c>
      <c r="AG330" s="80">
        <f>+COEF_FCM!AM337</f>
        <v>45742</v>
      </c>
      <c r="AH330" s="80">
        <f>+COEF_FCM!AR337</f>
        <v>673</v>
      </c>
      <c r="AI330" s="80">
        <f>+COEF_FCM!AN337</f>
        <v>25467</v>
      </c>
      <c r="AJ330" s="80">
        <f>+COEF_FCM!AS337</f>
        <v>289</v>
      </c>
      <c r="AK330" s="80">
        <f>+COEF_FCM!AO337</f>
        <v>38530</v>
      </c>
      <c r="AL330" s="80">
        <f>+COEF_FCM!AT337</f>
        <v>390.18799999999999</v>
      </c>
      <c r="AM330" s="80">
        <f>+COEF_FCM!AP337</f>
        <v>26879</v>
      </c>
      <c r="AN330" s="80">
        <f>+COEF_FCM!AU337</f>
        <v>374</v>
      </c>
      <c r="AO330" s="80">
        <f>+COEF_FCM!AQ337</f>
        <v>136618</v>
      </c>
      <c r="AP330" s="80">
        <f>+COEF_FCM!AV337</f>
        <v>1726.1880000000001</v>
      </c>
      <c r="AQ330" s="80">
        <f>+_CIERRE!O330+_CIERRE!P330</f>
        <v>3257257.4169999999</v>
      </c>
      <c r="AR330" s="80">
        <f>+_CIERRE!Q330+_CIERRE!R330</f>
        <v>3578994.702</v>
      </c>
      <c r="AS330" s="80">
        <f>+_CIERRE!S330+_CIERRE!T330</f>
        <v>3751726.5819999999</v>
      </c>
      <c r="AT330" s="80">
        <f>+_CIERRE!U330+_CIERRE!V330</f>
        <v>4264939.7910000002</v>
      </c>
      <c r="AU330" s="80">
        <f>+'CALC MEC ESTAB Y ESTIM M FINAL'!T335</f>
        <v>4598647</v>
      </c>
      <c r="AV330" s="560">
        <v>0</v>
      </c>
      <c r="AW330" s="551">
        <v>0</v>
      </c>
      <c r="AX330" s="551">
        <v>0</v>
      </c>
      <c r="AY330" s="551">
        <v>0</v>
      </c>
      <c r="AZ330" s="551">
        <v>408457.90100000001</v>
      </c>
      <c r="BA330" s="551">
        <v>432419.92200000002</v>
      </c>
    </row>
    <row r="331" spans="1:53" ht="3" customHeight="1" x14ac:dyDescent="0.2">
      <c r="A331" s="68">
        <f>IF(LEN(+'_DATA STT PAGOS_'!M336)=4,"0"&amp;+'_DATA STT PAGOS_'!M336,+'_DATA STT PAGOS_'!M336)</f>
        <v>16105</v>
      </c>
      <c r="B331" s="68" t="str">
        <f>IF(LEN(+'_DATA STT PAGOS_'!N336)=4,"0"&amp;+'_DATA STT PAGOS_'!N336,+'_DATA STT PAGOS_'!N336)</f>
        <v>08117</v>
      </c>
      <c r="C331" s="76" t="str">
        <f>+'_DATA STT PAGOS_'!O336</f>
        <v>PEMUCO</v>
      </c>
      <c r="D331" s="80">
        <f>+'CALC MEC ESTAB Y ESTIM M FINAL'!U336</f>
        <v>2898455</v>
      </c>
      <c r="E331" s="77">
        <f>+'CALC MEC ESTAB Y ESTIM M FINAL'!Q336</f>
        <v>1.0861307083999999E-3</v>
      </c>
      <c r="F331" s="77">
        <f>+'CALC MEC ESTAB Y ESTIM M FINAL'!R336</f>
        <v>-6.4958609800000003E-5</v>
      </c>
      <c r="G331" s="80">
        <f>+'_Flujo con Glosa 08'!CE336</f>
        <v>132969</v>
      </c>
      <c r="H331" s="80">
        <f>+'_Flujo con Glosa 08'!CF336</f>
        <v>132969</v>
      </c>
      <c r="I331" s="80">
        <f>+'_Flujo con Glosa 08'!CG336</f>
        <v>127729</v>
      </c>
      <c r="J331" s="80">
        <f>+'_Flujo con Glosa 08'!CH336</f>
        <v>132969</v>
      </c>
      <c r="K331" s="80">
        <f>+'_Flujo con Glosa 08'!CI336</f>
        <v>393513</v>
      </c>
      <c r="L331" s="80">
        <f>+'_Flujo con Glosa 08'!CJ336</f>
        <v>136829</v>
      </c>
      <c r="M331" s="80">
        <f>+'_Flujo con Glosa 08'!CK336</f>
        <v>238864</v>
      </c>
      <c r="N331" s="80">
        <f>+'_Flujo con Glosa 08'!CL336</f>
        <v>132969</v>
      </c>
      <c r="O331" s="80">
        <f>+'_Flujo con Glosa 08'!CM336</f>
        <v>154121</v>
      </c>
      <c r="P331" s="80">
        <f>+'_Flujo con Glosa 08'!CN336</f>
        <v>257310</v>
      </c>
      <c r="Q331" s="80">
        <f>+'_Flujo con Glosa 08'!CO336</f>
        <v>132969</v>
      </c>
      <c r="R331" s="80">
        <f>+'_Flujo con Glosa 08'!CP336</f>
        <v>242720</v>
      </c>
      <c r="S331" s="80">
        <f t="shared" si="10"/>
        <v>2215931</v>
      </c>
      <c r="T331" s="80">
        <v>0</v>
      </c>
      <c r="U331" s="80">
        <v>0</v>
      </c>
      <c r="V331" s="80">
        <v>0</v>
      </c>
      <c r="W331" s="80">
        <v>0</v>
      </c>
      <c r="X331" s="80">
        <v>0</v>
      </c>
      <c r="Y331" s="80">
        <v>0</v>
      </c>
      <c r="Z331" s="80">
        <v>0</v>
      </c>
      <c r="AA331" s="80">
        <v>0</v>
      </c>
      <c r="AB331" s="80">
        <v>0</v>
      </c>
      <c r="AC331" s="80">
        <v>0</v>
      </c>
      <c r="AD331" s="80">
        <v>0</v>
      </c>
      <c r="AE331" s="80">
        <v>0</v>
      </c>
      <c r="AF331" s="80">
        <f t="shared" si="11"/>
        <v>0</v>
      </c>
      <c r="AG331" s="80">
        <f>+COEF_FCM!AM338</f>
        <v>60772</v>
      </c>
      <c r="AH331" s="80">
        <f>+COEF_FCM!AR338</f>
        <v>1564</v>
      </c>
      <c r="AI331" s="80">
        <f>+COEF_FCM!AN338</f>
        <v>52718</v>
      </c>
      <c r="AJ331" s="80">
        <f>+COEF_FCM!AS338</f>
        <v>981</v>
      </c>
      <c r="AK331" s="80">
        <f>+COEF_FCM!AO338</f>
        <v>75148</v>
      </c>
      <c r="AL331" s="80">
        <f>+COEF_FCM!AT338</f>
        <v>1523.0450000000001</v>
      </c>
      <c r="AM331" s="80">
        <f>+COEF_FCM!AP338</f>
        <v>34282</v>
      </c>
      <c r="AN331" s="80">
        <f>+COEF_FCM!AU338</f>
        <v>1140</v>
      </c>
      <c r="AO331" s="80">
        <f>+COEF_FCM!AQ338</f>
        <v>222920</v>
      </c>
      <c r="AP331" s="80">
        <f>+COEF_FCM!AV338</f>
        <v>5208.0450000000001</v>
      </c>
      <c r="AQ331" s="80">
        <f>+_CIERRE!O331+_CIERRE!P331</f>
        <v>2198327.0010000002</v>
      </c>
      <c r="AR331" s="80">
        <f>+_CIERRE!Q331+_CIERRE!R331</f>
        <v>2415956.625</v>
      </c>
      <c r="AS331" s="80">
        <f>+_CIERRE!S331+_CIERRE!T331</f>
        <v>2585098.7489999998</v>
      </c>
      <c r="AT331" s="80">
        <f>+_CIERRE!U331+_CIERRE!V331</f>
        <v>2744674.0079999999</v>
      </c>
      <c r="AU331" s="80">
        <f>+'CALC MEC ESTAB Y ESTIM M FINAL'!T336</f>
        <v>2898455</v>
      </c>
      <c r="AV331" s="560">
        <v>0</v>
      </c>
      <c r="AW331" s="551">
        <v>0</v>
      </c>
      <c r="AX331" s="551">
        <v>0</v>
      </c>
      <c r="AY331" s="551">
        <v>0</v>
      </c>
      <c r="AZ331" s="551">
        <v>348253.147</v>
      </c>
      <c r="BA331" s="551">
        <v>357739.16800000001</v>
      </c>
    </row>
    <row r="332" spans="1:53" ht="3" customHeight="1" x14ac:dyDescent="0.2">
      <c r="A332" s="68">
        <f>IF(LEN(+'_DATA STT PAGOS_'!M337)=4,"0"&amp;+'_DATA STT PAGOS_'!M337,+'_DATA STT PAGOS_'!M337)</f>
        <v>16106</v>
      </c>
      <c r="B332" s="68" t="str">
        <f>IF(LEN(+'_DATA STT PAGOS_'!N337)=4,"0"&amp;+'_DATA STT PAGOS_'!N337,+'_DATA STT PAGOS_'!N337)</f>
        <v>08102</v>
      </c>
      <c r="C332" s="76" t="str">
        <f>+'_DATA STT PAGOS_'!O337</f>
        <v>PINTO</v>
      </c>
      <c r="D332" s="80">
        <f>+'CALC MEC ESTAB Y ESTIM M FINAL'!U337</f>
        <v>3144895</v>
      </c>
      <c r="E332" s="77">
        <f>+'CALC MEC ESTAB Y ESTIM M FINAL'!Q337</f>
        <v>1.1436267917999999E-3</v>
      </c>
      <c r="F332" s="77">
        <f>+'CALC MEC ESTAB Y ESTIM M FINAL'!R337</f>
        <v>-3.5630066699999998E-5</v>
      </c>
      <c r="G332" s="80">
        <f>+'_Flujo con Glosa 08'!CE337</f>
        <v>148457</v>
      </c>
      <c r="H332" s="80">
        <f>+'_Flujo con Glosa 08'!CF337</f>
        <v>148457</v>
      </c>
      <c r="I332" s="80">
        <f>+'_Flujo con Glosa 08'!CG337</f>
        <v>138589</v>
      </c>
      <c r="J332" s="80">
        <f>+'_Flujo con Glosa 08'!CH337</f>
        <v>148457</v>
      </c>
      <c r="K332" s="80">
        <f>+'_Flujo con Glosa 08'!CI337</f>
        <v>414424</v>
      </c>
      <c r="L332" s="80">
        <f>+'_Flujo con Glosa 08'!CJ337</f>
        <v>152646</v>
      </c>
      <c r="M332" s="80">
        <f>+'_Flujo con Glosa 08'!CK337</f>
        <v>254993</v>
      </c>
      <c r="N332" s="80">
        <f>+'_Flujo con Glosa 08'!CL337</f>
        <v>148457</v>
      </c>
      <c r="O332" s="80">
        <f>+'_Flujo con Glosa 08'!CM337</f>
        <v>167226</v>
      </c>
      <c r="P332" s="80">
        <f>+'_Flujo con Glosa 08'!CN337</f>
        <v>275005</v>
      </c>
      <c r="Q332" s="80">
        <f>+'_Flujo con Glosa 08'!CO337</f>
        <v>148457</v>
      </c>
      <c r="R332" s="80">
        <f>+'_Flujo con Glosa 08'!CP337</f>
        <v>259176</v>
      </c>
      <c r="S332" s="80">
        <f t="shared" si="10"/>
        <v>2404344</v>
      </c>
      <c r="T332" s="80">
        <v>0</v>
      </c>
      <c r="U332" s="80">
        <v>0</v>
      </c>
      <c r="V332" s="80">
        <v>0</v>
      </c>
      <c r="W332" s="80">
        <v>0</v>
      </c>
      <c r="X332" s="80">
        <v>0</v>
      </c>
      <c r="Y332" s="80">
        <v>0</v>
      </c>
      <c r="Z332" s="80">
        <v>0</v>
      </c>
      <c r="AA332" s="80">
        <v>0</v>
      </c>
      <c r="AB332" s="80">
        <v>0</v>
      </c>
      <c r="AC332" s="80">
        <v>0</v>
      </c>
      <c r="AD332" s="80">
        <v>0</v>
      </c>
      <c r="AE332" s="80">
        <v>0</v>
      </c>
      <c r="AF332" s="80">
        <f t="shared" si="11"/>
        <v>0</v>
      </c>
      <c r="AG332" s="80">
        <f>+COEF_FCM!AM339</f>
        <v>105227</v>
      </c>
      <c r="AH332" s="80">
        <f>+COEF_FCM!AR339</f>
        <v>5351</v>
      </c>
      <c r="AI332" s="80">
        <f>+COEF_FCM!AN339</f>
        <v>75783</v>
      </c>
      <c r="AJ332" s="80">
        <f>+COEF_FCM!AS339</f>
        <v>2935</v>
      </c>
      <c r="AK332" s="80">
        <f>+COEF_FCM!AO339</f>
        <v>90229</v>
      </c>
      <c r="AL332" s="80">
        <f>+COEF_FCM!AT339</f>
        <v>3700.3679999999999</v>
      </c>
      <c r="AM332" s="80">
        <f>+COEF_FCM!AP339</f>
        <v>68518</v>
      </c>
      <c r="AN332" s="80">
        <f>+COEF_FCM!AU339</f>
        <v>2274</v>
      </c>
      <c r="AO332" s="80">
        <f>+COEF_FCM!AQ339</f>
        <v>339757</v>
      </c>
      <c r="AP332" s="80">
        <f>+COEF_FCM!AV339</f>
        <v>14260.368</v>
      </c>
      <c r="AQ332" s="80">
        <f>+_CIERRE!O332+_CIERRE!P332</f>
        <v>2688673.4369999999</v>
      </c>
      <c r="AR332" s="80">
        <f>+_CIERRE!Q332+_CIERRE!R332</f>
        <v>2915008.0529999998</v>
      </c>
      <c r="AS332" s="80">
        <f>+_CIERRE!S332+_CIERRE!T332</f>
        <v>3014101.5240000002</v>
      </c>
      <c r="AT332" s="80">
        <f>+_CIERRE!U332+_CIERRE!V332</f>
        <v>3060546.202</v>
      </c>
      <c r="AU332" s="80">
        <f>+'CALC MEC ESTAB Y ESTIM M FINAL'!T337</f>
        <v>3144895</v>
      </c>
      <c r="AV332" s="560">
        <v>0</v>
      </c>
      <c r="AW332" s="551">
        <v>0</v>
      </c>
      <c r="AX332" s="551">
        <v>0</v>
      </c>
      <c r="AY332" s="551">
        <v>0</v>
      </c>
      <c r="AZ332" s="551">
        <v>353149.03899999999</v>
      </c>
      <c r="BA332" s="551">
        <v>364233.46</v>
      </c>
    </row>
    <row r="333" spans="1:53" ht="3" customHeight="1" x14ac:dyDescent="0.2">
      <c r="A333" s="68">
        <f>IF(LEN(+'_DATA STT PAGOS_'!M338)=4,"0"&amp;+'_DATA STT PAGOS_'!M338,+'_DATA STT PAGOS_'!M338)</f>
        <v>16107</v>
      </c>
      <c r="B333" s="68" t="str">
        <f>IF(LEN(+'_DATA STT PAGOS_'!N338)=4,"0"&amp;+'_DATA STT PAGOS_'!N338,+'_DATA STT PAGOS_'!N338)</f>
        <v>08115</v>
      </c>
      <c r="C333" s="76" t="str">
        <f>+'_DATA STT PAGOS_'!O338</f>
        <v>QUILLÓN</v>
      </c>
      <c r="D333" s="80">
        <f>+'CALC MEC ESTAB Y ESTIM M FINAL'!U338</f>
        <v>13720825</v>
      </c>
      <c r="E333" s="77">
        <f>+'CALC MEC ESTAB Y ESTIM M FINAL'!Q338</f>
        <v>5.4483129061E-3</v>
      </c>
      <c r="F333" s="77">
        <f>+'CALC MEC ESTAB Y ESTIM M FINAL'!R338</f>
        <v>-6.1424704459999997E-4</v>
      </c>
      <c r="G333" s="80">
        <f>+'_Flujo con Glosa 08'!CE338</f>
        <v>594888</v>
      </c>
      <c r="H333" s="80">
        <f>+'_Flujo con Glosa 08'!CF338</f>
        <v>594888</v>
      </c>
      <c r="I333" s="80">
        <f>+'_Flujo con Glosa 08'!CG338</f>
        <v>604648</v>
      </c>
      <c r="J333" s="80">
        <f>+'_Flujo con Glosa 08'!CH338</f>
        <v>594888</v>
      </c>
      <c r="K333" s="80">
        <f>+'_Flujo con Glosa 08'!CI338</f>
        <v>1966524</v>
      </c>
      <c r="L333" s="80">
        <f>+'_Flujo con Glosa 08'!CJ338</f>
        <v>613163</v>
      </c>
      <c r="M333" s="80">
        <f>+'_Flujo con Glosa 08'!CK338</f>
        <v>1165315</v>
      </c>
      <c r="N333" s="80">
        <f>+'_Flujo con Glosa 08'!CL338</f>
        <v>594888</v>
      </c>
      <c r="O333" s="80">
        <f>+'_Flujo con Glosa 08'!CM338</f>
        <v>729588</v>
      </c>
      <c r="P333" s="80">
        <f>+'_Flujo con Glosa 08'!CN338</f>
        <v>1252629</v>
      </c>
      <c r="Q333" s="80">
        <f>+'_Flujo con Glosa 08'!CO338</f>
        <v>594888</v>
      </c>
      <c r="R333" s="80">
        <f>+'_Flujo con Glosa 08'!CP338</f>
        <v>1183568</v>
      </c>
      <c r="S333" s="80">
        <f t="shared" si="10"/>
        <v>10489875</v>
      </c>
      <c r="T333" s="80">
        <v>0</v>
      </c>
      <c r="U333" s="80">
        <v>0</v>
      </c>
      <c r="V333" s="80">
        <v>0</v>
      </c>
      <c r="W333" s="80">
        <v>0</v>
      </c>
      <c r="X333" s="80">
        <v>0</v>
      </c>
      <c r="Y333" s="80">
        <v>0</v>
      </c>
      <c r="Z333" s="80">
        <v>0</v>
      </c>
      <c r="AA333" s="80">
        <v>0</v>
      </c>
      <c r="AB333" s="80">
        <v>0</v>
      </c>
      <c r="AC333" s="80">
        <v>0</v>
      </c>
      <c r="AD333" s="80">
        <v>0</v>
      </c>
      <c r="AE333" s="80">
        <v>0</v>
      </c>
      <c r="AF333" s="80">
        <f t="shared" si="11"/>
        <v>0</v>
      </c>
      <c r="AG333" s="80">
        <f>+COEF_FCM!AM340</f>
        <v>63959</v>
      </c>
      <c r="AH333" s="80">
        <f>+COEF_FCM!AR340</f>
        <v>7022</v>
      </c>
      <c r="AI333" s="80">
        <f>+COEF_FCM!AN340</f>
        <v>32392</v>
      </c>
      <c r="AJ333" s="80">
        <f>+COEF_FCM!AS340</f>
        <v>2950</v>
      </c>
      <c r="AK333" s="80">
        <f>+COEF_FCM!AO340</f>
        <v>44287</v>
      </c>
      <c r="AL333" s="80">
        <f>+COEF_FCM!AT340</f>
        <v>4298.5510000000004</v>
      </c>
      <c r="AM333" s="80">
        <f>+COEF_FCM!AP340</f>
        <v>34375</v>
      </c>
      <c r="AN333" s="80">
        <f>+COEF_FCM!AU340</f>
        <v>3371</v>
      </c>
      <c r="AO333" s="80">
        <f>+COEF_FCM!AQ340</f>
        <v>175013</v>
      </c>
      <c r="AP333" s="80">
        <f>+COEF_FCM!AV340</f>
        <v>17641.550999999999</v>
      </c>
      <c r="AQ333" s="80">
        <f>+_CIERRE!O333+_CIERRE!P333</f>
        <v>8159659.2790000001</v>
      </c>
      <c r="AR333" s="80">
        <f>+_CIERRE!Q333+_CIERRE!R333</f>
        <v>9742674.3729999997</v>
      </c>
      <c r="AS333" s="80">
        <f>+_CIERRE!S333+_CIERRE!T333</f>
        <v>11541916.108999999</v>
      </c>
      <c r="AT333" s="80">
        <f>+_CIERRE!U333+_CIERRE!V333</f>
        <v>12266675.546</v>
      </c>
      <c r="AU333" s="80">
        <f>+'CALC MEC ESTAB Y ESTIM M FINAL'!T338</f>
        <v>13720825</v>
      </c>
      <c r="AV333" s="560">
        <v>0</v>
      </c>
      <c r="AW333" s="551">
        <v>0</v>
      </c>
      <c r="AX333" s="551">
        <v>0</v>
      </c>
      <c r="AY333" s="551">
        <v>0</v>
      </c>
      <c r="AZ333" s="551">
        <v>518377.565</v>
      </c>
      <c r="BA333" s="551">
        <v>548990.68299999996</v>
      </c>
    </row>
    <row r="334" spans="1:53" ht="3" customHeight="1" x14ac:dyDescent="0.2">
      <c r="A334" s="68">
        <f>IF(LEN(+'_DATA STT PAGOS_'!M339)=4,"0"&amp;+'_DATA STT PAGOS_'!M339,+'_DATA STT PAGOS_'!M339)</f>
        <v>16108</v>
      </c>
      <c r="B334" s="68" t="str">
        <f>IF(LEN(+'_DATA STT PAGOS_'!N339)=4,"0"&amp;+'_DATA STT PAGOS_'!N339,+'_DATA STT PAGOS_'!N339)</f>
        <v>08114</v>
      </c>
      <c r="C334" s="76" t="str">
        <f>+'_DATA STT PAGOS_'!O339</f>
        <v>SAN IGNACIO</v>
      </c>
      <c r="D334" s="80">
        <f>+'CALC MEC ESTAB Y ESTIM M FINAL'!U339</f>
        <v>6519260</v>
      </c>
      <c r="E334" s="77">
        <f>+'CALC MEC ESTAB Y ESTIM M FINAL'!Q339</f>
        <v>2.5607115912999997E-3</v>
      </c>
      <c r="F334" s="77">
        <f>+'CALC MEC ESTAB Y ESTIM M FINAL'!R339</f>
        <v>-2.6387198030000002E-4</v>
      </c>
      <c r="G334" s="80">
        <f>+'_Flujo con Glosa 08'!CE339</f>
        <v>285894</v>
      </c>
      <c r="H334" s="80">
        <f>+'_Flujo con Glosa 08'!CF339</f>
        <v>285894</v>
      </c>
      <c r="I334" s="80">
        <f>+'_Flujo con Glosa 08'!CG339</f>
        <v>287290</v>
      </c>
      <c r="J334" s="80">
        <f>+'_Flujo con Glosa 08'!CH339</f>
        <v>285894</v>
      </c>
      <c r="K334" s="80">
        <f>+'_Flujo con Glosa 08'!CI339</f>
        <v>924644</v>
      </c>
      <c r="L334" s="80">
        <f>+'_Flujo con Glosa 08'!CJ339</f>
        <v>294577</v>
      </c>
      <c r="M334" s="80">
        <f>+'_Flujo con Glosa 08'!CK339</f>
        <v>550442</v>
      </c>
      <c r="N334" s="80">
        <f>+'_Flujo con Glosa 08'!CL339</f>
        <v>285894</v>
      </c>
      <c r="O334" s="80">
        <f>+'_Flujo con Glosa 08'!CM339</f>
        <v>346654</v>
      </c>
      <c r="P334" s="80">
        <f>+'_Flujo con Glosa 08'!CN339</f>
        <v>591928</v>
      </c>
      <c r="Q334" s="80">
        <f>+'_Flujo con Glosa 08'!CO339</f>
        <v>285894</v>
      </c>
      <c r="R334" s="80">
        <f>+'_Flujo con Glosa 08'!CP339</f>
        <v>559115</v>
      </c>
      <c r="S334" s="80">
        <f t="shared" si="10"/>
        <v>4984120</v>
      </c>
      <c r="T334" s="80">
        <v>0</v>
      </c>
      <c r="U334" s="80">
        <v>0</v>
      </c>
      <c r="V334" s="80">
        <v>0</v>
      </c>
      <c r="W334" s="80">
        <v>0</v>
      </c>
      <c r="X334" s="80">
        <v>0</v>
      </c>
      <c r="Y334" s="80">
        <v>0</v>
      </c>
      <c r="Z334" s="80">
        <v>0</v>
      </c>
      <c r="AA334" s="80">
        <v>0</v>
      </c>
      <c r="AB334" s="80">
        <v>0</v>
      </c>
      <c r="AC334" s="80">
        <v>0</v>
      </c>
      <c r="AD334" s="80">
        <v>0</v>
      </c>
      <c r="AE334" s="80">
        <v>0</v>
      </c>
      <c r="AF334" s="80">
        <f t="shared" si="11"/>
        <v>0</v>
      </c>
      <c r="AG334" s="80">
        <f>+COEF_FCM!AM341</f>
        <v>34585</v>
      </c>
      <c r="AH334" s="80">
        <f>+COEF_FCM!AR341</f>
        <v>0</v>
      </c>
      <c r="AI334" s="80">
        <f>+COEF_FCM!AN341</f>
        <v>20381</v>
      </c>
      <c r="AJ334" s="80">
        <f>+COEF_FCM!AS341</f>
        <v>0</v>
      </c>
      <c r="AK334" s="80">
        <f>+COEF_FCM!AO341</f>
        <v>26964</v>
      </c>
      <c r="AL334" s="80">
        <f>+COEF_FCM!AT341</f>
        <v>0</v>
      </c>
      <c r="AM334" s="80">
        <f>+COEF_FCM!AP341</f>
        <v>16988</v>
      </c>
      <c r="AN334" s="80">
        <f>+COEF_FCM!AU341</f>
        <v>0</v>
      </c>
      <c r="AO334" s="80">
        <f>+COEF_FCM!AQ341</f>
        <v>98918</v>
      </c>
      <c r="AP334" s="80">
        <f>+COEF_FCM!AV341</f>
        <v>0</v>
      </c>
      <c r="AQ334" s="80">
        <f>+_CIERRE!O334+_CIERRE!P334</f>
        <v>4155521.4330000002</v>
      </c>
      <c r="AR334" s="80">
        <f>+_CIERRE!Q334+_CIERRE!R334</f>
        <v>4648293.1809999999</v>
      </c>
      <c r="AS334" s="80">
        <f>+_CIERRE!S334+_CIERRE!T334</f>
        <v>4937355.5980000002</v>
      </c>
      <c r="AT334" s="80">
        <f>+_CIERRE!U334+_CIERRE!V334</f>
        <v>5894578.5930000003</v>
      </c>
      <c r="AU334" s="80">
        <f>+'CALC MEC ESTAB Y ESTIM M FINAL'!T339</f>
        <v>6519260</v>
      </c>
      <c r="AV334" s="560">
        <v>0</v>
      </c>
      <c r="AW334" s="551">
        <v>0</v>
      </c>
      <c r="AX334" s="551">
        <v>0</v>
      </c>
      <c r="AY334" s="551">
        <v>0</v>
      </c>
      <c r="AZ334" s="551">
        <v>556588.9</v>
      </c>
      <c r="BA334" s="551">
        <v>567117.26699999999</v>
      </c>
    </row>
    <row r="335" spans="1:53" ht="3" customHeight="1" x14ac:dyDescent="0.2">
      <c r="A335" s="68">
        <f>IF(LEN(+'_DATA STT PAGOS_'!M340)=4,"0"&amp;+'_DATA STT PAGOS_'!M340,+'_DATA STT PAGOS_'!M340)</f>
        <v>16109</v>
      </c>
      <c r="B335" s="68" t="str">
        <f>IF(LEN(+'_DATA STT PAGOS_'!N340)=4,"0"&amp;+'_DATA STT PAGOS_'!N340,+'_DATA STT PAGOS_'!N340)</f>
        <v>08116</v>
      </c>
      <c r="C335" s="76" t="str">
        <f>+'_DATA STT PAGOS_'!O340</f>
        <v>YUNGAY</v>
      </c>
      <c r="D335" s="80">
        <f>+'CALC MEC ESTAB Y ESTIM M FINAL'!U340</f>
        <v>6908064</v>
      </c>
      <c r="E335" s="77">
        <f>+'CALC MEC ESTAB Y ESTIM M FINAL'!Q340</f>
        <v>2.3689711332999996E-3</v>
      </c>
      <c r="F335" s="77">
        <f>+'CALC MEC ESTAB Y ESTIM M FINAL'!R340</f>
        <v>6.4850096499999998E-5</v>
      </c>
      <c r="G335" s="80">
        <f>+'_Flujo con Glosa 08'!CE340</f>
        <v>335131</v>
      </c>
      <c r="H335" s="80">
        <f>+'_Flujo con Glosa 08'!CF340</f>
        <v>335131</v>
      </c>
      <c r="I335" s="80">
        <f>+'_Flujo con Glosa 08'!CG340</f>
        <v>304424</v>
      </c>
      <c r="J335" s="80">
        <f>+'_Flujo con Glosa 08'!CH340</f>
        <v>335131</v>
      </c>
      <c r="K335" s="80">
        <f>+'_Flujo con Glosa 08'!CI340</f>
        <v>883229</v>
      </c>
      <c r="L335" s="80">
        <f>+'_Flujo con Glosa 08'!CJ340</f>
        <v>344332</v>
      </c>
      <c r="M335" s="80">
        <f>+'_Flujo con Glosa 08'!CK340</f>
        <v>562827</v>
      </c>
      <c r="N335" s="80">
        <f>+'_Flujo con Glosa 08'!CL340</f>
        <v>335131</v>
      </c>
      <c r="O335" s="80">
        <f>+'_Flujo con Glosa 08'!CM340</f>
        <v>367328</v>
      </c>
      <c r="P335" s="80">
        <f>+'_Flujo con Glosa 08'!CN340</f>
        <v>583300</v>
      </c>
      <c r="Q335" s="80">
        <f>+'_Flujo con Glosa 08'!CO340</f>
        <v>335131</v>
      </c>
      <c r="R335" s="80">
        <f>+'_Flujo con Glosa 08'!CP340</f>
        <v>560274</v>
      </c>
      <c r="S335" s="80">
        <f t="shared" si="10"/>
        <v>5281369</v>
      </c>
      <c r="T335" s="80">
        <v>0</v>
      </c>
      <c r="U335" s="80">
        <v>0</v>
      </c>
      <c r="V335" s="80">
        <v>0</v>
      </c>
      <c r="W335" s="80">
        <v>0</v>
      </c>
      <c r="X335" s="80">
        <v>0</v>
      </c>
      <c r="Y335" s="80">
        <v>0</v>
      </c>
      <c r="Z335" s="80">
        <v>0</v>
      </c>
      <c r="AA335" s="80">
        <v>0</v>
      </c>
      <c r="AB335" s="80">
        <v>0</v>
      </c>
      <c r="AC335" s="80">
        <v>0</v>
      </c>
      <c r="AD335" s="80">
        <v>0</v>
      </c>
      <c r="AE335" s="80">
        <v>0</v>
      </c>
      <c r="AF335" s="80">
        <f t="shared" si="11"/>
        <v>0</v>
      </c>
      <c r="AG335" s="80">
        <f>+COEF_FCM!AM342</f>
        <v>102240</v>
      </c>
      <c r="AH335" s="80">
        <f>+COEF_FCM!AR342</f>
        <v>0</v>
      </c>
      <c r="AI335" s="80">
        <f>+COEF_FCM!AN342</f>
        <v>71910</v>
      </c>
      <c r="AJ335" s="80">
        <f>+COEF_FCM!AS342</f>
        <v>0</v>
      </c>
      <c r="AK335" s="80">
        <f>+COEF_FCM!AO342</f>
        <v>84206</v>
      </c>
      <c r="AL335" s="80">
        <f>+COEF_FCM!AT342</f>
        <v>0</v>
      </c>
      <c r="AM335" s="80">
        <f>+COEF_FCM!AP342</f>
        <v>35038</v>
      </c>
      <c r="AN335" s="80">
        <f>+COEF_FCM!AU342</f>
        <v>0</v>
      </c>
      <c r="AO335" s="80">
        <f>+COEF_FCM!AQ342</f>
        <v>293394</v>
      </c>
      <c r="AP335" s="80">
        <f>+COEF_FCM!AV342</f>
        <v>0</v>
      </c>
      <c r="AQ335" s="80">
        <f>+_CIERRE!O335+_CIERRE!P335</f>
        <v>4979368.2180000003</v>
      </c>
      <c r="AR335" s="80">
        <f>+_CIERRE!Q335+_CIERRE!R335</f>
        <v>5964020.6339999996</v>
      </c>
      <c r="AS335" s="80">
        <f>+_CIERRE!S335+_CIERRE!T335</f>
        <v>6844041.3789999997</v>
      </c>
      <c r="AT335" s="80">
        <f>+_CIERRE!U335+_CIERRE!V335</f>
        <v>6908063.8990000002</v>
      </c>
      <c r="AU335" s="80">
        <f>+'CALC MEC ESTAB Y ESTIM M FINAL'!T340</f>
        <v>6908064</v>
      </c>
      <c r="AV335" s="560">
        <v>0</v>
      </c>
      <c r="AW335" s="551">
        <v>0</v>
      </c>
      <c r="AX335" s="551">
        <v>0</v>
      </c>
      <c r="AY335" s="551">
        <v>0</v>
      </c>
      <c r="AZ335" s="551">
        <v>439713.60100000002</v>
      </c>
      <c r="BA335" s="551">
        <v>449232.99200000003</v>
      </c>
    </row>
    <row r="336" spans="1:53" ht="3" customHeight="1" x14ac:dyDescent="0.2">
      <c r="A336" s="68">
        <f>IF(LEN(+'_DATA STT PAGOS_'!M341)=4,"0"&amp;+'_DATA STT PAGOS_'!M341,+'_DATA STT PAGOS_'!M341)</f>
        <v>16201</v>
      </c>
      <c r="B336" s="68" t="str">
        <f>IF(LEN(+'_DATA STT PAGOS_'!N341)=4,"0"&amp;+'_DATA STT PAGOS_'!N341,+'_DATA STT PAGOS_'!N341)</f>
        <v>08104</v>
      </c>
      <c r="C336" s="76" t="str">
        <f>+'_DATA STT PAGOS_'!O341</f>
        <v>QUIRIHUE</v>
      </c>
      <c r="D336" s="80">
        <f>+'CALC MEC ESTAB Y ESTIM M FINAL'!U341</f>
        <v>4988159</v>
      </c>
      <c r="E336" s="77">
        <f>+'CALC MEC ESTAB Y ESTIM M FINAL'!Q341</f>
        <v>1.8905856840000001E-3</v>
      </c>
      <c r="F336" s="77">
        <f>+'CALC MEC ESTAB Y ESTIM M FINAL'!R341</f>
        <v>-1.331775517E-4</v>
      </c>
      <c r="G336" s="80">
        <f>+'_Flujo con Glosa 08'!CE341</f>
        <v>226778</v>
      </c>
      <c r="H336" s="80">
        <f>+'_Flujo con Glosa 08'!CF341</f>
        <v>226778</v>
      </c>
      <c r="I336" s="80">
        <f>+'_Flujo con Glosa 08'!CG341</f>
        <v>219818</v>
      </c>
      <c r="J336" s="80">
        <f>+'_Flujo con Glosa 08'!CH341</f>
        <v>226778</v>
      </c>
      <c r="K336" s="80">
        <f>+'_Flujo con Glosa 08'!CI341</f>
        <v>683397</v>
      </c>
      <c r="L336" s="80">
        <f>+'_Flujo con Glosa 08'!CJ341</f>
        <v>233422</v>
      </c>
      <c r="M336" s="80">
        <f>+'_Flujo con Glosa 08'!CK341</f>
        <v>413137</v>
      </c>
      <c r="N336" s="80">
        <f>+'_Flujo con Glosa 08'!CL341</f>
        <v>226778</v>
      </c>
      <c r="O336" s="80">
        <f>+'_Flujo con Glosa 08'!CM341</f>
        <v>265240</v>
      </c>
      <c r="P336" s="80">
        <f>+'_Flujo con Glosa 08'!CN341</f>
        <v>444881</v>
      </c>
      <c r="Q336" s="80">
        <f>+'_Flujo con Glosa 08'!CO341</f>
        <v>226778</v>
      </c>
      <c r="R336" s="80">
        <f>+'_Flujo con Glosa 08'!CP341</f>
        <v>419773</v>
      </c>
      <c r="S336" s="80">
        <f t="shared" si="10"/>
        <v>3813558</v>
      </c>
      <c r="T336" s="80">
        <v>0</v>
      </c>
      <c r="U336" s="80">
        <v>0</v>
      </c>
      <c r="V336" s="80">
        <v>0</v>
      </c>
      <c r="W336" s="80">
        <v>0</v>
      </c>
      <c r="X336" s="80">
        <v>0</v>
      </c>
      <c r="Y336" s="80">
        <v>0</v>
      </c>
      <c r="Z336" s="80">
        <v>0</v>
      </c>
      <c r="AA336" s="80">
        <v>0</v>
      </c>
      <c r="AB336" s="80">
        <v>0</v>
      </c>
      <c r="AC336" s="80">
        <v>0</v>
      </c>
      <c r="AD336" s="80">
        <v>0</v>
      </c>
      <c r="AE336" s="80">
        <v>0</v>
      </c>
      <c r="AF336" s="80">
        <f t="shared" si="11"/>
        <v>0</v>
      </c>
      <c r="AG336" s="80">
        <f>+COEF_FCM!AM343</f>
        <v>33747</v>
      </c>
      <c r="AH336" s="80">
        <f>+COEF_FCM!AR343</f>
        <v>3858</v>
      </c>
      <c r="AI336" s="80">
        <f>+COEF_FCM!AN343</f>
        <v>27483</v>
      </c>
      <c r="AJ336" s="80">
        <f>+COEF_FCM!AS343</f>
        <v>2087</v>
      </c>
      <c r="AK336" s="80">
        <f>+COEF_FCM!AO343</f>
        <v>34605</v>
      </c>
      <c r="AL336" s="80">
        <f>+COEF_FCM!AT343</f>
        <v>3110.355</v>
      </c>
      <c r="AM336" s="80">
        <f>+COEF_FCM!AP343</f>
        <v>21352</v>
      </c>
      <c r="AN336" s="80">
        <f>+COEF_FCM!AU343</f>
        <v>2396</v>
      </c>
      <c r="AO336" s="80">
        <f>+COEF_FCM!AQ343</f>
        <v>117187</v>
      </c>
      <c r="AP336" s="80">
        <f>+COEF_FCM!AV343</f>
        <v>11451.355</v>
      </c>
      <c r="AQ336" s="80">
        <f>+_CIERRE!O336+_CIERRE!P336</f>
        <v>3470172.79</v>
      </c>
      <c r="AR336" s="80">
        <f>+_CIERRE!Q336+_CIERRE!R336</f>
        <v>3961719.5589999999</v>
      </c>
      <c r="AS336" s="80">
        <f>+_CIERRE!S336+_CIERRE!T336</f>
        <v>4304588.5449999999</v>
      </c>
      <c r="AT336" s="80">
        <f>+_CIERRE!U336+_CIERRE!V336</f>
        <v>4672878.909</v>
      </c>
      <c r="AU336" s="80">
        <f>+'CALC MEC ESTAB Y ESTIM M FINAL'!T341</f>
        <v>4988159</v>
      </c>
      <c r="AV336" s="560">
        <v>0</v>
      </c>
      <c r="AW336" s="551">
        <v>0</v>
      </c>
      <c r="AX336" s="551">
        <v>0</v>
      </c>
      <c r="AY336" s="551">
        <v>0</v>
      </c>
      <c r="AZ336" s="551">
        <v>451996.147</v>
      </c>
      <c r="BA336" s="551">
        <v>463030.033</v>
      </c>
    </row>
    <row r="337" spans="1:60" ht="3" customHeight="1" x14ac:dyDescent="0.2">
      <c r="A337" s="68">
        <f>IF(LEN(+'_DATA STT PAGOS_'!M342)=4,"0"&amp;+'_DATA STT PAGOS_'!M342,+'_DATA STT PAGOS_'!M342)</f>
        <v>16202</v>
      </c>
      <c r="B337" s="68" t="str">
        <f>IF(LEN(+'_DATA STT PAGOS_'!N342)=4,"0"&amp;+'_DATA STT PAGOS_'!N342,+'_DATA STT PAGOS_'!N342)</f>
        <v>08107</v>
      </c>
      <c r="C337" s="76" t="str">
        <f>+'_DATA STT PAGOS_'!O342</f>
        <v>COBQUECURA</v>
      </c>
      <c r="D337" s="80">
        <f>+'CALC MEC ESTAB Y ESTIM M FINAL'!U342</f>
        <v>5192021</v>
      </c>
      <c r="E337" s="77">
        <f>+'CALC MEC ESTAB Y ESTIM M FINAL'!Q342</f>
        <v>2.0679799643999997E-3</v>
      </c>
      <c r="F337" s="77">
        <f>+'CALC MEC ESTAB Y ESTIM M FINAL'!R342</f>
        <v>-2.3874797600000001E-4</v>
      </c>
      <c r="G337" s="80">
        <f>+'_Flujo con Glosa 08'!CE342</f>
        <v>224464</v>
      </c>
      <c r="H337" s="80">
        <f>+'_Flujo con Glosa 08'!CF342</f>
        <v>224464</v>
      </c>
      <c r="I337" s="80">
        <f>+'_Flujo con Glosa 08'!CG342</f>
        <v>228802</v>
      </c>
      <c r="J337" s="80">
        <f>+'_Flujo con Glosa 08'!CH342</f>
        <v>224464</v>
      </c>
      <c r="K337" s="80">
        <f>+'_Flujo con Glosa 08'!CI342</f>
        <v>746074</v>
      </c>
      <c r="L337" s="80">
        <f>+'_Flujo con Glosa 08'!CJ342</f>
        <v>231379</v>
      </c>
      <c r="M337" s="80">
        <f>+'_Flujo con Glosa 08'!CK342</f>
        <v>441605</v>
      </c>
      <c r="N337" s="80">
        <f>+'_Flujo con Glosa 08'!CL342</f>
        <v>224464</v>
      </c>
      <c r="O337" s="80">
        <f>+'_Flujo con Glosa 08'!CM342</f>
        <v>276080</v>
      </c>
      <c r="P337" s="80">
        <f>+'_Flujo con Glosa 08'!CN342</f>
        <v>474644</v>
      </c>
      <c r="Q337" s="80">
        <f>+'_Flujo con Glosa 08'!CO342</f>
        <v>224464</v>
      </c>
      <c r="R337" s="80">
        <f>+'_Flujo con Glosa 08'!CP342</f>
        <v>448512</v>
      </c>
      <c r="S337" s="80">
        <f t="shared" si="10"/>
        <v>3969416</v>
      </c>
      <c r="T337" s="80">
        <v>0</v>
      </c>
      <c r="U337" s="80">
        <v>0</v>
      </c>
      <c r="V337" s="80">
        <v>0</v>
      </c>
      <c r="W337" s="80">
        <v>0</v>
      </c>
      <c r="X337" s="80">
        <v>0</v>
      </c>
      <c r="Y337" s="80">
        <v>0</v>
      </c>
      <c r="Z337" s="80">
        <v>0</v>
      </c>
      <c r="AA337" s="80">
        <v>0</v>
      </c>
      <c r="AB337" s="80">
        <v>0</v>
      </c>
      <c r="AC337" s="80">
        <v>0</v>
      </c>
      <c r="AD337" s="80">
        <v>0</v>
      </c>
      <c r="AE337" s="80">
        <v>0</v>
      </c>
      <c r="AF337" s="80">
        <f t="shared" si="11"/>
        <v>0</v>
      </c>
      <c r="AG337" s="80">
        <f>+COEF_FCM!AM344</f>
        <v>38030</v>
      </c>
      <c r="AH337" s="80">
        <f>+COEF_FCM!AR344</f>
        <v>14355</v>
      </c>
      <c r="AI337" s="80">
        <f>+COEF_FCM!AN344</f>
        <v>18913</v>
      </c>
      <c r="AJ337" s="80">
        <f>+COEF_FCM!AS344</f>
        <v>4838</v>
      </c>
      <c r="AK337" s="80">
        <f>+COEF_FCM!AO344</f>
        <v>22706</v>
      </c>
      <c r="AL337" s="80">
        <f>+COEF_FCM!AT344</f>
        <v>6971.4650000000001</v>
      </c>
      <c r="AM337" s="80">
        <f>+COEF_FCM!AP344</f>
        <v>14798</v>
      </c>
      <c r="AN337" s="80">
        <f>+COEF_FCM!AU344</f>
        <v>4962</v>
      </c>
      <c r="AO337" s="80">
        <f>+COEF_FCM!AQ344</f>
        <v>94447</v>
      </c>
      <c r="AP337" s="80">
        <f>+COEF_FCM!AV344</f>
        <v>31126.465</v>
      </c>
      <c r="AQ337" s="80">
        <f>+_CIERRE!O337+_CIERRE!P337</f>
        <v>3111503.1359999999</v>
      </c>
      <c r="AR337" s="80">
        <f>+_CIERRE!Q337+_CIERRE!R337</f>
        <v>3475905.75</v>
      </c>
      <c r="AS337" s="80">
        <f>+_CIERRE!S337+_CIERRE!T337</f>
        <v>3813920.159</v>
      </c>
      <c r="AT337" s="80">
        <f>+_CIERRE!U337+_CIERRE!V337</f>
        <v>4626816.4910000004</v>
      </c>
      <c r="AU337" s="80">
        <f>+'CALC MEC ESTAB Y ESTIM M FINAL'!T342</f>
        <v>5192021</v>
      </c>
      <c r="AV337" s="560">
        <v>0</v>
      </c>
      <c r="AW337" s="551">
        <v>0</v>
      </c>
      <c r="AX337" s="551">
        <v>0</v>
      </c>
      <c r="AY337" s="551">
        <v>0</v>
      </c>
      <c r="AZ337" s="551">
        <v>354215.01699999999</v>
      </c>
      <c r="BA337" s="551">
        <v>364668.14899999998</v>
      </c>
    </row>
    <row r="338" spans="1:60" ht="3" customHeight="1" x14ac:dyDescent="0.2">
      <c r="A338" s="68">
        <f>IF(LEN(+'_DATA STT PAGOS_'!M343)=4,"0"&amp;+'_DATA STT PAGOS_'!M343,+'_DATA STT PAGOS_'!M343)</f>
        <v>16203</v>
      </c>
      <c r="B338" s="68" t="str">
        <f>IF(LEN(+'_DATA STT PAGOS_'!N343)=4,"0"&amp;+'_DATA STT PAGOS_'!N343,+'_DATA STT PAGOS_'!N343)</f>
        <v>08120</v>
      </c>
      <c r="C338" s="76" t="str">
        <f>+'_DATA STT PAGOS_'!O343</f>
        <v>COELEMU</v>
      </c>
      <c r="D338" s="80">
        <f>+'CALC MEC ESTAB Y ESTIM M FINAL'!U343</f>
        <v>5737884</v>
      </c>
      <c r="E338" s="77">
        <f>+'CALC MEC ESTAB Y ESTIM M FINAL'!Q343</f>
        <v>2.1588216583999999E-3</v>
      </c>
      <c r="F338" s="77">
        <f>+'CALC MEC ESTAB Y ESTIM M FINAL'!R343</f>
        <v>-1.3727357719999999E-4</v>
      </c>
      <c r="G338" s="80">
        <f>+'_Flujo con Glosa 08'!CE343</f>
        <v>262390</v>
      </c>
      <c r="H338" s="80">
        <f>+'_Flujo con Glosa 08'!CF343</f>
        <v>262390</v>
      </c>
      <c r="I338" s="80">
        <f>+'_Flujo con Glosa 08'!CG343</f>
        <v>252857</v>
      </c>
      <c r="J338" s="80">
        <f>+'_Flujo con Glosa 08'!CH343</f>
        <v>262390</v>
      </c>
      <c r="K338" s="80">
        <f>+'_Flujo con Glosa 08'!CI343</f>
        <v>781531</v>
      </c>
      <c r="L338" s="80">
        <f>+'_Flujo con Glosa 08'!CJ343</f>
        <v>270032</v>
      </c>
      <c r="M338" s="80">
        <f>+'_Flujo con Glosa 08'!CK343</f>
        <v>473705</v>
      </c>
      <c r="N338" s="80">
        <f>+'_Flujo con Glosa 08'!CL343</f>
        <v>262390</v>
      </c>
      <c r="O338" s="80">
        <f>+'_Flujo con Glosa 08'!CM343</f>
        <v>305105</v>
      </c>
      <c r="P338" s="80">
        <f>+'_Flujo con Glosa 08'!CN343</f>
        <v>510219</v>
      </c>
      <c r="Q338" s="80">
        <f>+'_Flujo con Glosa 08'!CO343</f>
        <v>262390</v>
      </c>
      <c r="R338" s="80">
        <f>+'_Flujo con Glosa 08'!CP343</f>
        <v>481339</v>
      </c>
      <c r="S338" s="80">
        <f t="shared" si="10"/>
        <v>4386738</v>
      </c>
      <c r="T338" s="80">
        <v>0</v>
      </c>
      <c r="U338" s="80">
        <v>0</v>
      </c>
      <c r="V338" s="80">
        <v>0</v>
      </c>
      <c r="W338" s="80">
        <v>0</v>
      </c>
      <c r="X338" s="80">
        <v>0</v>
      </c>
      <c r="Y338" s="80">
        <v>0</v>
      </c>
      <c r="Z338" s="80">
        <v>0</v>
      </c>
      <c r="AA338" s="80">
        <v>0</v>
      </c>
      <c r="AB338" s="80">
        <v>0</v>
      </c>
      <c r="AC338" s="80">
        <v>0</v>
      </c>
      <c r="AD338" s="80">
        <v>0</v>
      </c>
      <c r="AE338" s="80">
        <v>0</v>
      </c>
      <c r="AF338" s="80">
        <f t="shared" si="11"/>
        <v>0</v>
      </c>
      <c r="AG338" s="80">
        <f>+COEF_FCM!AM345</f>
        <v>28935</v>
      </c>
      <c r="AH338" s="80">
        <f>+COEF_FCM!AR345</f>
        <v>4464</v>
      </c>
      <c r="AI338" s="80">
        <f>+COEF_FCM!AN345</f>
        <v>15997</v>
      </c>
      <c r="AJ338" s="80">
        <f>+COEF_FCM!AS345</f>
        <v>2255</v>
      </c>
      <c r="AK338" s="80">
        <f>+COEF_FCM!AO345</f>
        <v>24627</v>
      </c>
      <c r="AL338" s="80">
        <f>+COEF_FCM!AT345</f>
        <v>2319.0030000000002</v>
      </c>
      <c r="AM338" s="80">
        <f>+COEF_FCM!AP345</f>
        <v>11899</v>
      </c>
      <c r="AN338" s="80">
        <f>+COEF_FCM!AU345</f>
        <v>1906</v>
      </c>
      <c r="AO338" s="80">
        <f>+COEF_FCM!AQ345</f>
        <v>81458</v>
      </c>
      <c r="AP338" s="80">
        <f>+COEF_FCM!AV345</f>
        <v>10944.003000000001</v>
      </c>
      <c r="AQ338" s="80">
        <f>+_CIERRE!O338+_CIERRE!P338</f>
        <v>4344790.2810000004</v>
      </c>
      <c r="AR338" s="80">
        <f>+_CIERRE!Q338+_CIERRE!R338</f>
        <v>4772378.7980000004</v>
      </c>
      <c r="AS338" s="80">
        <f>+_CIERRE!S338+_CIERRE!T338</f>
        <v>5131595.5930000003</v>
      </c>
      <c r="AT338" s="80">
        <f>+_CIERRE!U338+_CIERRE!V338</f>
        <v>5412906.5279999999</v>
      </c>
      <c r="AU338" s="80">
        <f>+'CALC MEC ESTAB Y ESTIM M FINAL'!T343</f>
        <v>5737884</v>
      </c>
      <c r="AV338" s="560">
        <v>0</v>
      </c>
      <c r="AW338" s="551">
        <v>0</v>
      </c>
      <c r="AX338" s="551">
        <v>0</v>
      </c>
      <c r="AY338" s="551">
        <v>0</v>
      </c>
      <c r="AZ338" s="551">
        <v>467850.23599999998</v>
      </c>
      <c r="BA338" s="551">
        <v>483913.09700000001</v>
      </c>
    </row>
    <row r="339" spans="1:60" ht="3" customHeight="1" x14ac:dyDescent="0.2">
      <c r="A339" s="68">
        <f>IF(LEN(+'_DATA STT PAGOS_'!M344)=4,"0"&amp;+'_DATA STT PAGOS_'!M344,+'_DATA STT PAGOS_'!M344)</f>
        <v>16204</v>
      </c>
      <c r="B339" s="68" t="str">
        <f>IF(LEN(+'_DATA STT PAGOS_'!N344)=4,"0"&amp;+'_DATA STT PAGOS_'!N344,+'_DATA STT PAGOS_'!N344)</f>
        <v>08105</v>
      </c>
      <c r="C339" s="76" t="str">
        <f>+'_DATA STT PAGOS_'!O344</f>
        <v>NINHUE</v>
      </c>
      <c r="D339" s="80">
        <f>+'CALC MEC ESTAB Y ESTIM M FINAL'!U344</f>
        <v>3777014</v>
      </c>
      <c r="E339" s="77">
        <f>+'CALC MEC ESTAB Y ESTIM M FINAL'!Q344</f>
        <v>1.4637727702999999E-3</v>
      </c>
      <c r="F339" s="77">
        <f>+'CALC MEC ESTAB Y ESTIM M FINAL'!R344</f>
        <v>-1.330704476E-4</v>
      </c>
      <c r="G339" s="80">
        <f>+'_Flujo con Glosa 08'!CE344</f>
        <v>167892</v>
      </c>
      <c r="H339" s="80">
        <f>+'_Flujo con Glosa 08'!CF344</f>
        <v>167892</v>
      </c>
      <c r="I339" s="80">
        <f>+'_Flujo con Glosa 08'!CG344</f>
        <v>166445</v>
      </c>
      <c r="J339" s="80">
        <f>+'_Flujo con Glosa 08'!CH344</f>
        <v>167892</v>
      </c>
      <c r="K339" s="80">
        <f>+'_Flujo con Glosa 08'!CI344</f>
        <v>528936</v>
      </c>
      <c r="L339" s="80">
        <f>+'_Flujo con Glosa 08'!CJ344</f>
        <v>172923</v>
      </c>
      <c r="M339" s="80">
        <f>+'_Flujo con Glosa 08'!CK344</f>
        <v>316649</v>
      </c>
      <c r="N339" s="80">
        <f>+'_Flujo con Glosa 08'!CL344</f>
        <v>167892</v>
      </c>
      <c r="O339" s="80">
        <f>+'_Flujo con Glosa 08'!CM344</f>
        <v>200838</v>
      </c>
      <c r="P339" s="80">
        <f>+'_Flujo con Glosa 08'!CN344</f>
        <v>340685</v>
      </c>
      <c r="Q339" s="80">
        <f>+'_Flujo con Glosa 08'!CO344</f>
        <v>167892</v>
      </c>
      <c r="R339" s="80">
        <f>+'_Flujo con Glosa 08'!CP344</f>
        <v>321675</v>
      </c>
      <c r="S339" s="80">
        <f t="shared" si="10"/>
        <v>2887611</v>
      </c>
      <c r="T339" s="80">
        <v>0</v>
      </c>
      <c r="U339" s="80">
        <v>0</v>
      </c>
      <c r="V339" s="80">
        <v>0</v>
      </c>
      <c r="W339" s="80">
        <v>0</v>
      </c>
      <c r="X339" s="80">
        <v>0</v>
      </c>
      <c r="Y339" s="80">
        <v>0</v>
      </c>
      <c r="Z339" s="80">
        <v>0</v>
      </c>
      <c r="AA339" s="80">
        <v>0</v>
      </c>
      <c r="AB339" s="80">
        <v>0</v>
      </c>
      <c r="AC339" s="80">
        <v>0</v>
      </c>
      <c r="AD339" s="80">
        <v>0</v>
      </c>
      <c r="AE339" s="80">
        <v>0</v>
      </c>
      <c r="AF339" s="80">
        <f t="shared" si="11"/>
        <v>0</v>
      </c>
      <c r="AG339" s="80">
        <f>+COEF_FCM!AM346</f>
        <v>14294</v>
      </c>
      <c r="AH339" s="80">
        <f>+COEF_FCM!AR346</f>
        <v>610</v>
      </c>
      <c r="AI339" s="80">
        <f>+COEF_FCM!AN346</f>
        <v>12153</v>
      </c>
      <c r="AJ339" s="80">
        <f>+COEF_FCM!AS346</f>
        <v>194</v>
      </c>
      <c r="AK339" s="80">
        <f>+COEF_FCM!AO346</f>
        <v>11891</v>
      </c>
      <c r="AL339" s="80">
        <f>+COEF_FCM!AT346</f>
        <v>266.23</v>
      </c>
      <c r="AM339" s="80">
        <f>+COEF_FCM!AP346</f>
        <v>8251</v>
      </c>
      <c r="AN339" s="80">
        <f>+COEF_FCM!AU346</f>
        <v>325</v>
      </c>
      <c r="AO339" s="80">
        <f>+COEF_FCM!AQ346</f>
        <v>46589</v>
      </c>
      <c r="AP339" s="80">
        <f>+COEF_FCM!AV346</f>
        <v>1395.23</v>
      </c>
      <c r="AQ339" s="80">
        <f>+_CIERRE!O339+_CIERRE!P339</f>
        <v>2521972.2039999999</v>
      </c>
      <c r="AR339" s="80">
        <f>+_CIERRE!Q339+_CIERRE!R339</f>
        <v>2852027.8539999998</v>
      </c>
      <c r="AS339" s="80">
        <f>+_CIERRE!S339+_CIERRE!T339</f>
        <v>3088644.8149999999</v>
      </c>
      <c r="AT339" s="80">
        <f>+_CIERRE!U339+_CIERRE!V339</f>
        <v>3461987.1669999999</v>
      </c>
      <c r="AU339" s="80">
        <f>+'CALC MEC ESTAB Y ESTIM M FINAL'!T344</f>
        <v>3777014</v>
      </c>
      <c r="AV339" s="560">
        <v>0</v>
      </c>
      <c r="AW339" s="551">
        <v>0</v>
      </c>
      <c r="AX339" s="551">
        <v>0</v>
      </c>
      <c r="AY339" s="551">
        <v>0</v>
      </c>
      <c r="AZ339" s="551">
        <v>381908.94</v>
      </c>
      <c r="BA339" s="551">
        <v>386323.08899999998</v>
      </c>
    </row>
    <row r="340" spans="1:60" ht="3" customHeight="1" x14ac:dyDescent="0.2">
      <c r="A340" s="68">
        <f>IF(LEN(+'_DATA STT PAGOS_'!M345)=4,"0"&amp;+'_DATA STT PAGOS_'!M345,+'_DATA STT PAGOS_'!M345)</f>
        <v>16205</v>
      </c>
      <c r="B340" s="68" t="str">
        <f>IF(LEN(+'_DATA STT PAGOS_'!N345)=4,"0"&amp;+'_DATA STT PAGOS_'!N345,+'_DATA STT PAGOS_'!N345)</f>
        <v>08106</v>
      </c>
      <c r="C340" s="76" t="str">
        <f>+'_DATA STT PAGOS_'!O345</f>
        <v>PORTEZUELO</v>
      </c>
      <c r="D340" s="80">
        <f>+'CALC MEC ESTAB Y ESTIM M FINAL'!U345</f>
        <v>3456549</v>
      </c>
      <c r="E340" s="77">
        <f>+'CALC MEC ESTAB Y ESTIM M FINAL'!Q345</f>
        <v>1.2836998933999999E-3</v>
      </c>
      <c r="F340" s="77">
        <f>+'CALC MEC ESTAB Y ESTIM M FINAL'!R345</f>
        <v>-6.5902464299999998E-5</v>
      </c>
      <c r="G340" s="80">
        <f>+'_Flujo con Glosa 08'!CE345</f>
        <v>160103</v>
      </c>
      <c r="H340" s="80">
        <f>+'_Flujo con Glosa 08'!CF345</f>
        <v>160103</v>
      </c>
      <c r="I340" s="80">
        <f>+'_Flujo con Glosa 08'!CG345</f>
        <v>152323</v>
      </c>
      <c r="J340" s="80">
        <f>+'_Flujo con Glosa 08'!CH345</f>
        <v>160103</v>
      </c>
      <c r="K340" s="80">
        <f>+'_Flujo con Glosa 08'!CI345</f>
        <v>464690</v>
      </c>
      <c r="L340" s="80">
        <f>+'_Flujo con Glosa 08'!CJ345</f>
        <v>164707</v>
      </c>
      <c r="M340" s="80">
        <f>+'_Flujo con Glosa 08'!CK345</f>
        <v>283327</v>
      </c>
      <c r="N340" s="80">
        <f>+'_Flujo con Glosa 08'!CL345</f>
        <v>160103</v>
      </c>
      <c r="O340" s="80">
        <f>+'_Flujo con Glosa 08'!CM345</f>
        <v>183798</v>
      </c>
      <c r="P340" s="80">
        <f>+'_Flujo con Glosa 08'!CN345</f>
        <v>305324</v>
      </c>
      <c r="Q340" s="80">
        <f>+'_Flujo con Glosa 08'!CO345</f>
        <v>160103</v>
      </c>
      <c r="R340" s="80">
        <f>+'_Flujo con Glosa 08'!CP345</f>
        <v>287925</v>
      </c>
      <c r="S340" s="80">
        <f t="shared" si="10"/>
        <v>2642609</v>
      </c>
      <c r="T340" s="80">
        <v>0</v>
      </c>
      <c r="U340" s="80">
        <v>0</v>
      </c>
      <c r="V340" s="80">
        <v>0</v>
      </c>
      <c r="W340" s="80">
        <v>0</v>
      </c>
      <c r="X340" s="80">
        <v>0</v>
      </c>
      <c r="Y340" s="80">
        <v>0</v>
      </c>
      <c r="Z340" s="80">
        <v>0</v>
      </c>
      <c r="AA340" s="80">
        <v>0</v>
      </c>
      <c r="AB340" s="80">
        <v>0</v>
      </c>
      <c r="AC340" s="80">
        <v>0</v>
      </c>
      <c r="AD340" s="80">
        <v>0</v>
      </c>
      <c r="AE340" s="80">
        <v>0</v>
      </c>
      <c r="AF340" s="80">
        <f t="shared" si="11"/>
        <v>0</v>
      </c>
      <c r="AG340" s="80">
        <f>+COEF_FCM!AM347</f>
        <v>12605</v>
      </c>
      <c r="AH340" s="80">
        <f>+COEF_FCM!AR347</f>
        <v>159</v>
      </c>
      <c r="AI340" s="80">
        <f>+COEF_FCM!AN347</f>
        <v>9781</v>
      </c>
      <c r="AJ340" s="80">
        <f>+COEF_FCM!AS347</f>
        <v>57</v>
      </c>
      <c r="AK340" s="80">
        <f>+COEF_FCM!AO347</f>
        <v>11257</v>
      </c>
      <c r="AL340" s="80">
        <f>+COEF_FCM!AT347</f>
        <v>128.82900000000001</v>
      </c>
      <c r="AM340" s="80">
        <f>+COEF_FCM!AP347</f>
        <v>4983</v>
      </c>
      <c r="AN340" s="80">
        <f>+COEF_FCM!AU347</f>
        <v>83</v>
      </c>
      <c r="AO340" s="80">
        <f>+COEF_FCM!AQ347</f>
        <v>38626</v>
      </c>
      <c r="AP340" s="80">
        <f>+COEF_FCM!AV347</f>
        <v>427.82900000000001</v>
      </c>
      <c r="AQ340" s="80">
        <f>+_CIERRE!O340+_CIERRE!P340</f>
        <v>2407708.682</v>
      </c>
      <c r="AR340" s="80">
        <f>+_CIERRE!Q340+_CIERRE!R340</f>
        <v>2741628.6869999999</v>
      </c>
      <c r="AS340" s="80">
        <f>+_CIERRE!S340+_CIERRE!T340</f>
        <v>2960134.014</v>
      </c>
      <c r="AT340" s="80">
        <f>+_CIERRE!U340+_CIERRE!V340</f>
        <v>3300533.088</v>
      </c>
      <c r="AU340" s="80">
        <f>+'CALC MEC ESTAB Y ESTIM M FINAL'!T345</f>
        <v>3456549</v>
      </c>
      <c r="AV340" s="560">
        <v>0</v>
      </c>
      <c r="AW340" s="551">
        <v>0</v>
      </c>
      <c r="AX340" s="551">
        <v>0</v>
      </c>
      <c r="AY340" s="551">
        <v>0</v>
      </c>
      <c r="AZ340" s="551">
        <v>368680.24200000003</v>
      </c>
      <c r="BA340" s="551">
        <v>356732.24599999998</v>
      </c>
    </row>
    <row r="341" spans="1:60" ht="3" customHeight="1" x14ac:dyDescent="0.2">
      <c r="A341" s="68">
        <f>IF(LEN(+'_DATA STT PAGOS_'!M346)=4,"0"&amp;+'_DATA STT PAGOS_'!M346,+'_DATA STT PAGOS_'!M346)</f>
        <v>16206</v>
      </c>
      <c r="B341" s="68" t="str">
        <f>IF(LEN(+'_DATA STT PAGOS_'!N346)=4,"0"&amp;+'_DATA STT PAGOS_'!N346,+'_DATA STT PAGOS_'!N346)</f>
        <v>08119</v>
      </c>
      <c r="C341" s="76" t="str">
        <f>+'_DATA STT PAGOS_'!O346</f>
        <v>RÁNQUIL</v>
      </c>
      <c r="D341" s="80">
        <f>+'CALC MEC ESTAB Y ESTIM M FINAL'!U346</f>
        <v>4007876</v>
      </c>
      <c r="E341" s="77">
        <f>+'CALC MEC ESTAB Y ESTIM M FINAL'!Q346</f>
        <v>1.8949292717E-3</v>
      </c>
      <c r="F341" s="77">
        <f>+'CALC MEC ESTAB Y ESTIM M FINAL'!R346</f>
        <v>-4.8289061419999998E-4</v>
      </c>
      <c r="G341" s="80">
        <f>+'_Flujo con Glosa 08'!CE346</f>
        <v>138872</v>
      </c>
      <c r="H341" s="80">
        <f>+'_Flujo con Glosa 08'!CF346</f>
        <v>138872</v>
      </c>
      <c r="I341" s="80">
        <f>+'_Flujo con Glosa 08'!CG346</f>
        <v>176619</v>
      </c>
      <c r="J341" s="80">
        <f>+'_Flujo con Glosa 08'!CH346</f>
        <v>138872</v>
      </c>
      <c r="K341" s="80">
        <f>+'_Flujo con Glosa 08'!CI346</f>
        <v>679112</v>
      </c>
      <c r="L341" s="80">
        <f>+'_Flujo con Glosa 08'!CJ346</f>
        <v>166982</v>
      </c>
      <c r="M341" s="80">
        <f>+'_Flujo con Glosa 08'!CK346</f>
        <v>352514</v>
      </c>
      <c r="N341" s="80">
        <f>+'_Flujo con Glosa 08'!CL346</f>
        <v>138872</v>
      </c>
      <c r="O341" s="80">
        <f>+'_Flujo con Glosa 08'!CM346</f>
        <v>213114</v>
      </c>
      <c r="P341" s="80">
        <f>+'_Flujo con Glosa 08'!CN346</f>
        <v>400791</v>
      </c>
      <c r="Q341" s="80">
        <f>+'_Flujo con Glosa 08'!CO346</f>
        <v>160900</v>
      </c>
      <c r="R341" s="80">
        <f>+'_Flujo con Glosa 08'!CP346</f>
        <v>358590</v>
      </c>
      <c r="S341" s="80">
        <f t="shared" si="10"/>
        <v>3064110</v>
      </c>
      <c r="T341" s="80">
        <v>0</v>
      </c>
      <c r="U341" s="80">
        <v>0</v>
      </c>
      <c r="V341" s="80">
        <v>0</v>
      </c>
      <c r="W341" s="80">
        <v>0</v>
      </c>
      <c r="X341" s="80">
        <v>0</v>
      </c>
      <c r="Y341" s="80">
        <v>0</v>
      </c>
      <c r="Z341" s="80">
        <v>0</v>
      </c>
      <c r="AA341" s="80">
        <v>0</v>
      </c>
      <c r="AB341" s="80">
        <v>0</v>
      </c>
      <c r="AC341" s="80">
        <v>0</v>
      </c>
      <c r="AD341" s="80">
        <v>0</v>
      </c>
      <c r="AE341" s="80">
        <v>0</v>
      </c>
      <c r="AF341" s="80">
        <f t="shared" si="11"/>
        <v>0</v>
      </c>
      <c r="AG341" s="80">
        <f>+COEF_FCM!AM348</f>
        <v>60846</v>
      </c>
      <c r="AH341" s="80">
        <f>+COEF_FCM!AR348</f>
        <v>224</v>
      </c>
      <c r="AI341" s="80">
        <f>+COEF_FCM!AN348</f>
        <v>79632</v>
      </c>
      <c r="AJ341" s="80">
        <f>+COEF_FCM!AS348</f>
        <v>142</v>
      </c>
      <c r="AK341" s="80">
        <f>+COEF_FCM!AO348</f>
        <v>81612</v>
      </c>
      <c r="AL341" s="80">
        <f>+COEF_FCM!AT348</f>
        <v>191.78200000000001</v>
      </c>
      <c r="AM341" s="80">
        <f>+COEF_FCM!AP348</f>
        <v>2675</v>
      </c>
      <c r="AN341" s="80">
        <f>+COEF_FCM!AU348</f>
        <v>197</v>
      </c>
      <c r="AO341" s="80">
        <f>+COEF_FCM!AQ348</f>
        <v>224765</v>
      </c>
      <c r="AP341" s="80">
        <f>+COEF_FCM!AV348</f>
        <v>754.78200000000004</v>
      </c>
      <c r="AQ341" s="80">
        <f>+_CIERRE!O341+_CIERRE!P341</f>
        <v>2148390.3110000002</v>
      </c>
      <c r="AR341" s="80">
        <f>+_CIERRE!Q341+_CIERRE!R341</f>
        <v>2463248.3539999998</v>
      </c>
      <c r="AS341" s="80">
        <f>+_CIERRE!S341+_CIERRE!T341</f>
        <v>2692289.3220000002</v>
      </c>
      <c r="AT341" s="80">
        <f>+_CIERRE!U341+_CIERRE!V341</f>
        <v>2864696.764</v>
      </c>
      <c r="AU341" s="80">
        <f>+'CALC MEC ESTAB Y ESTIM M FINAL'!T346</f>
        <v>4007876</v>
      </c>
      <c r="AV341" s="560">
        <v>0</v>
      </c>
      <c r="AW341" s="551">
        <v>0</v>
      </c>
      <c r="AX341" s="551">
        <v>0</v>
      </c>
      <c r="AY341" s="551">
        <v>0</v>
      </c>
      <c r="AZ341" s="551">
        <v>352066.56199999998</v>
      </c>
      <c r="BA341" s="551">
        <v>362169.076</v>
      </c>
      <c r="BD341" s="69"/>
      <c r="BE341" s="69"/>
      <c r="BF341" s="69"/>
      <c r="BG341" s="69"/>
      <c r="BH341" s="69"/>
    </row>
    <row r="342" spans="1:60" ht="3" customHeight="1" x14ac:dyDescent="0.2">
      <c r="A342" s="68">
        <f>IF(LEN(+'_DATA STT PAGOS_'!M347)=4,"0"&amp;+'_DATA STT PAGOS_'!M347,+'_DATA STT PAGOS_'!M347)</f>
        <v>16207</v>
      </c>
      <c r="B342" s="68" t="str">
        <f>IF(LEN(+'_DATA STT PAGOS_'!N347)=4,"0"&amp;+'_DATA STT PAGOS_'!N347,+'_DATA STT PAGOS_'!N347)</f>
        <v>08108</v>
      </c>
      <c r="C342" s="76" t="str">
        <f>+'_DATA STT PAGOS_'!O347</f>
        <v>TREHUACO</v>
      </c>
      <c r="D342" s="80">
        <f>+'CALC MEC ESTAB Y ESTIM M FINAL'!U347</f>
        <v>3778761</v>
      </c>
      <c r="E342" s="77">
        <f>+'CALC MEC ESTAB Y ESTIM M FINAL'!Q347</f>
        <v>1.4530982809000002E-3</v>
      </c>
      <c r="F342" s="77">
        <f>+'CALC MEC ESTAB Y ESTIM M FINAL'!R347</f>
        <v>-1.217804823E-4</v>
      </c>
      <c r="G342" s="80">
        <f>+'_Flujo con Glosa 08'!CE347</f>
        <v>169284</v>
      </c>
      <c r="H342" s="80">
        <f>+'_Flujo con Glosa 08'!CF347</f>
        <v>169284</v>
      </c>
      <c r="I342" s="80">
        <f>+'_Flujo con Glosa 08'!CG347</f>
        <v>166522</v>
      </c>
      <c r="J342" s="80">
        <f>+'_Flujo con Glosa 08'!CH347</f>
        <v>169284</v>
      </c>
      <c r="K342" s="80">
        <f>+'_Flujo con Glosa 08'!CI347</f>
        <v>525238</v>
      </c>
      <c r="L342" s="80">
        <f>+'_Flujo con Glosa 08'!CJ347</f>
        <v>174317</v>
      </c>
      <c r="M342" s="80">
        <f>+'_Flujo con Glosa 08'!CK347</f>
        <v>315481</v>
      </c>
      <c r="N342" s="80">
        <f>+'_Flujo con Glosa 08'!CL347</f>
        <v>169284</v>
      </c>
      <c r="O342" s="80">
        <f>+'_Flujo con Glosa 08'!CM347</f>
        <v>200931</v>
      </c>
      <c r="P342" s="80">
        <f>+'_Flujo con Glosa 08'!CN347</f>
        <v>339528</v>
      </c>
      <c r="Q342" s="80">
        <f>+'_Flujo con Glosa 08'!CO347</f>
        <v>169284</v>
      </c>
      <c r="R342" s="80">
        <f>+'_Flujo con Glosa 08'!CP347</f>
        <v>320509</v>
      </c>
      <c r="S342" s="80">
        <f t="shared" si="10"/>
        <v>2888946</v>
      </c>
      <c r="T342" s="80">
        <v>0</v>
      </c>
      <c r="U342" s="80">
        <v>0</v>
      </c>
      <c r="V342" s="80">
        <v>0</v>
      </c>
      <c r="W342" s="80">
        <v>0</v>
      </c>
      <c r="X342" s="80">
        <v>0</v>
      </c>
      <c r="Y342" s="80">
        <v>0</v>
      </c>
      <c r="Z342" s="80">
        <v>0</v>
      </c>
      <c r="AA342" s="80">
        <v>0</v>
      </c>
      <c r="AB342" s="80">
        <v>0</v>
      </c>
      <c r="AC342" s="80">
        <v>0</v>
      </c>
      <c r="AD342" s="80">
        <v>0</v>
      </c>
      <c r="AE342" s="80">
        <v>0</v>
      </c>
      <c r="AF342" s="80">
        <f t="shared" si="11"/>
        <v>0</v>
      </c>
      <c r="AG342" s="80">
        <f>+COEF_FCM!AM349</f>
        <v>10390</v>
      </c>
      <c r="AH342" s="80">
        <f>+COEF_FCM!AR349</f>
        <v>0</v>
      </c>
      <c r="AI342" s="80">
        <f>+COEF_FCM!AN349</f>
        <v>6567</v>
      </c>
      <c r="AJ342" s="80">
        <f>+COEF_FCM!AS349</f>
        <v>0</v>
      </c>
      <c r="AK342" s="80">
        <f>+COEF_FCM!AO349</f>
        <v>8777</v>
      </c>
      <c r="AL342" s="80">
        <f>+COEF_FCM!AT349</f>
        <v>0</v>
      </c>
      <c r="AM342" s="80">
        <f>+COEF_FCM!AP349</f>
        <v>2217</v>
      </c>
      <c r="AN342" s="80">
        <f>+COEF_FCM!AU349</f>
        <v>0</v>
      </c>
      <c r="AO342" s="80">
        <f>+COEF_FCM!AQ349</f>
        <v>27951</v>
      </c>
      <c r="AP342" s="80">
        <f>+COEF_FCM!AV349</f>
        <v>0</v>
      </c>
      <c r="AQ342" s="80">
        <f>+_CIERRE!O342+_CIERRE!P342</f>
        <v>2496442.5959999999</v>
      </c>
      <c r="AR342" s="80">
        <f>+_CIERRE!Q342+_CIERRE!R342</f>
        <v>2917779.31</v>
      </c>
      <c r="AS342" s="80">
        <f>+_CIERRE!S342+_CIERRE!T342</f>
        <v>3191111.1669999999</v>
      </c>
      <c r="AT342" s="80">
        <f>+_CIERRE!U342+_CIERRE!V342</f>
        <v>3490461.5320000001</v>
      </c>
      <c r="AU342" s="80">
        <f>+'CALC MEC ESTAB Y ESTIM M FINAL'!T347</f>
        <v>3778761</v>
      </c>
      <c r="AV342" s="560">
        <v>0</v>
      </c>
      <c r="AW342" s="551">
        <v>0</v>
      </c>
      <c r="AX342" s="551">
        <v>0</v>
      </c>
      <c r="AY342" s="551">
        <v>0</v>
      </c>
      <c r="AZ342" s="551">
        <v>368813.57400000002</v>
      </c>
      <c r="BA342" s="551">
        <v>383974.01799999998</v>
      </c>
    </row>
    <row r="343" spans="1:60" ht="3" customHeight="1" x14ac:dyDescent="0.2">
      <c r="A343" s="68">
        <f>IF(LEN(+'_DATA STT PAGOS_'!M348)=4,"0"&amp;+'_DATA STT PAGOS_'!M348,+'_DATA STT PAGOS_'!M348)</f>
        <v>16301</v>
      </c>
      <c r="B343" s="68" t="str">
        <f>IF(LEN(+'_DATA STT PAGOS_'!N348)=4,"0"&amp;+'_DATA STT PAGOS_'!N348,+'_DATA STT PAGOS_'!N348)</f>
        <v>08109</v>
      </c>
      <c r="C343" s="76" t="str">
        <f>+'_DATA STT PAGOS_'!O348</f>
        <v>SAN CARLOS</v>
      </c>
      <c r="D343" s="80">
        <f>+'CALC MEC ESTAB Y ESTIM M FINAL'!U348</f>
        <v>14020718</v>
      </c>
      <c r="E343" s="77">
        <f>+'CALC MEC ESTAB Y ESTIM M FINAL'!Q348</f>
        <v>5.3139400355000001E-3</v>
      </c>
      <c r="F343" s="77">
        <f>+'CALC MEC ESTAB Y ESTIM M FINAL'!R348</f>
        <v>-3.7421699069999998E-4</v>
      </c>
      <c r="G343" s="80">
        <f>+'_Flujo con Glosa 08'!CE348</f>
        <v>636598</v>
      </c>
      <c r="H343" s="80">
        <f>+'_Flujo con Glosa 08'!CF348</f>
        <v>636598</v>
      </c>
      <c r="I343" s="80">
        <f>+'_Flujo con Glosa 08'!CG348</f>
        <v>617864</v>
      </c>
      <c r="J343" s="80">
        <f>+'_Flujo con Glosa 08'!CH348</f>
        <v>636598</v>
      </c>
      <c r="K343" s="80">
        <f>+'_Flujo con Glosa 08'!CI348</f>
        <v>1923384</v>
      </c>
      <c r="L343" s="80">
        <f>+'_Flujo con Glosa 08'!CJ348</f>
        <v>655272</v>
      </c>
      <c r="M343" s="80">
        <f>+'_Flujo con Glosa 08'!CK348</f>
        <v>1162077</v>
      </c>
      <c r="N343" s="80">
        <f>+'_Flujo con Glosa 08'!CL348</f>
        <v>636598</v>
      </c>
      <c r="O343" s="80">
        <f>+'_Flujo con Glosa 08'!CM348</f>
        <v>745535</v>
      </c>
      <c r="P343" s="80">
        <f>+'_Flujo con Glosa 08'!CN348</f>
        <v>1251299</v>
      </c>
      <c r="Q343" s="80">
        <f>+'_Flujo con Glosa 08'!CO348</f>
        <v>636598</v>
      </c>
      <c r="R343" s="80">
        <f>+'_Flujo con Glosa 08'!CP348</f>
        <v>1180729</v>
      </c>
      <c r="S343" s="80">
        <f t="shared" si="10"/>
        <v>10719150</v>
      </c>
      <c r="T343" s="80">
        <v>0</v>
      </c>
      <c r="U343" s="80">
        <v>0</v>
      </c>
      <c r="V343" s="80">
        <v>0</v>
      </c>
      <c r="W343" s="80">
        <v>0</v>
      </c>
      <c r="X343" s="80">
        <v>0</v>
      </c>
      <c r="Y343" s="80">
        <v>0</v>
      </c>
      <c r="Z343" s="80">
        <v>0</v>
      </c>
      <c r="AA343" s="80">
        <v>0</v>
      </c>
      <c r="AB343" s="80">
        <v>0</v>
      </c>
      <c r="AC343" s="80">
        <v>0</v>
      </c>
      <c r="AD343" s="80">
        <v>0</v>
      </c>
      <c r="AE343" s="80">
        <v>0</v>
      </c>
      <c r="AF343" s="80">
        <f t="shared" si="11"/>
        <v>0</v>
      </c>
      <c r="AG343" s="80">
        <f>+COEF_FCM!AM350</f>
        <v>203639</v>
      </c>
      <c r="AH343" s="80">
        <f>+COEF_FCM!AR350</f>
        <v>12783</v>
      </c>
      <c r="AI343" s="80">
        <f>+COEF_FCM!AN350</f>
        <v>149420</v>
      </c>
      <c r="AJ343" s="80">
        <f>+COEF_FCM!AS350</f>
        <v>7423</v>
      </c>
      <c r="AK343" s="80">
        <f>+COEF_FCM!AO350</f>
        <v>168796</v>
      </c>
      <c r="AL343" s="80">
        <f>+COEF_FCM!AT350</f>
        <v>9447.3680000000004</v>
      </c>
      <c r="AM343" s="80">
        <f>+COEF_FCM!AP350</f>
        <v>122244</v>
      </c>
      <c r="AN343" s="80">
        <f>+COEF_FCM!AU350</f>
        <v>7565</v>
      </c>
      <c r="AO343" s="80">
        <f>+COEF_FCM!AQ350</f>
        <v>644099</v>
      </c>
      <c r="AP343" s="80">
        <f>+COEF_FCM!AV350</f>
        <v>37218.368000000002</v>
      </c>
      <c r="AQ343" s="80">
        <f>+_CIERRE!O343+_CIERRE!P343</f>
        <v>9426504.1079999991</v>
      </c>
      <c r="AR343" s="80">
        <f>+_CIERRE!Q343+_CIERRE!R343</f>
        <v>10939423.596000001</v>
      </c>
      <c r="AS343" s="80">
        <f>+_CIERRE!S343+_CIERRE!T343</f>
        <v>12155306.307</v>
      </c>
      <c r="AT343" s="80">
        <f>+_CIERRE!U343+_CIERRE!V343</f>
        <v>13134807.681</v>
      </c>
      <c r="AU343" s="80">
        <f>+'CALC MEC ESTAB Y ESTIM M FINAL'!T348</f>
        <v>14020718</v>
      </c>
      <c r="AV343" s="560">
        <v>0</v>
      </c>
      <c r="AW343" s="551">
        <v>0</v>
      </c>
      <c r="AX343" s="551">
        <v>0</v>
      </c>
      <c r="AY343" s="551">
        <v>0</v>
      </c>
      <c r="AZ343" s="551">
        <v>932985.098</v>
      </c>
      <c r="BA343" s="551">
        <v>949624.33900000004</v>
      </c>
      <c r="BB343" s="69"/>
    </row>
    <row r="344" spans="1:60" ht="3" customHeight="1" x14ac:dyDescent="0.2">
      <c r="A344" s="68">
        <f>IF(LEN(+'_DATA STT PAGOS_'!M349)=4,"0"&amp;+'_DATA STT PAGOS_'!M349,+'_DATA STT PAGOS_'!M349)</f>
        <v>16302</v>
      </c>
      <c r="B344" s="68" t="str">
        <f>IF(LEN(+'_DATA STT PAGOS_'!N349)=4,"0"&amp;+'_DATA STT PAGOS_'!N349,+'_DATA STT PAGOS_'!N349)</f>
        <v>08103</v>
      </c>
      <c r="C344" s="76" t="str">
        <f>+'_DATA STT PAGOS_'!O349</f>
        <v>COIHUECO</v>
      </c>
      <c r="D344" s="80">
        <f>+'CALC MEC ESTAB Y ESTIM M FINAL'!U349</f>
        <v>8154158</v>
      </c>
      <c r="E344" s="77">
        <f>+'CALC MEC ESTAB Y ESTIM M FINAL'!Q349</f>
        <v>2.0551373965000002E-3</v>
      </c>
      <c r="F344" s="77">
        <f>+'CALC MEC ESTAB Y ESTIM M FINAL'!R349</f>
        <v>8.1770282489999999E-4</v>
      </c>
      <c r="G344" s="80">
        <f>+'_Flujo con Glosa 08'!CE349</f>
        <v>395583</v>
      </c>
      <c r="H344" s="80">
        <f>+'_Flujo con Glosa 08'!CF349</f>
        <v>395583</v>
      </c>
      <c r="I344" s="80">
        <f>+'_Flujo con Glosa 08'!CG349</f>
        <v>359337</v>
      </c>
      <c r="J344" s="80">
        <f>+'_Flujo con Glosa 08'!CH349</f>
        <v>395583</v>
      </c>
      <c r="K344" s="80">
        <f>+'_Flujo con Glosa 08'!CI349</f>
        <v>1042546</v>
      </c>
      <c r="L344" s="80">
        <f>+'_Flujo con Glosa 08'!CJ349</f>
        <v>406444</v>
      </c>
      <c r="M344" s="80">
        <f>+'_Flujo con Glosa 08'!CK349</f>
        <v>664352</v>
      </c>
      <c r="N344" s="80">
        <f>+'_Flujo con Glosa 08'!CL349</f>
        <v>395583</v>
      </c>
      <c r="O344" s="80">
        <f>+'_Flujo con Glosa 08'!CM349</f>
        <v>433588</v>
      </c>
      <c r="P344" s="80">
        <f>+'_Flujo con Glosa 08'!CN349</f>
        <v>688516</v>
      </c>
      <c r="Q344" s="80">
        <f>+'_Flujo con Glosa 08'!CO349</f>
        <v>395583</v>
      </c>
      <c r="R344" s="80">
        <f>+'_Flujo con Glosa 08'!CP349</f>
        <v>661337</v>
      </c>
      <c r="S344" s="80">
        <f t="shared" si="10"/>
        <v>6234035</v>
      </c>
      <c r="T344" s="80">
        <v>0</v>
      </c>
      <c r="U344" s="80">
        <v>0</v>
      </c>
      <c r="V344" s="80">
        <v>0</v>
      </c>
      <c r="W344" s="80">
        <v>0</v>
      </c>
      <c r="X344" s="80">
        <v>0</v>
      </c>
      <c r="Y344" s="80">
        <v>0</v>
      </c>
      <c r="Z344" s="80">
        <v>0</v>
      </c>
      <c r="AA344" s="80">
        <v>0</v>
      </c>
      <c r="AB344" s="80">
        <v>0</v>
      </c>
      <c r="AC344" s="80">
        <v>0</v>
      </c>
      <c r="AD344" s="80">
        <v>0</v>
      </c>
      <c r="AE344" s="80">
        <v>0</v>
      </c>
      <c r="AF344" s="80">
        <f t="shared" si="11"/>
        <v>0</v>
      </c>
      <c r="AG344" s="80">
        <f>+COEF_FCM!AM351</f>
        <v>118063</v>
      </c>
      <c r="AH344" s="80">
        <f>+COEF_FCM!AR351</f>
        <v>2268</v>
      </c>
      <c r="AI344" s="80">
        <f>+COEF_FCM!AN351</f>
        <v>76465</v>
      </c>
      <c r="AJ344" s="80">
        <f>+COEF_FCM!AS351</f>
        <v>1097</v>
      </c>
      <c r="AK344" s="80">
        <f>+COEF_FCM!AO351</f>
        <v>90018</v>
      </c>
      <c r="AL344" s="80">
        <f>+COEF_FCM!AT351</f>
        <v>1521.568</v>
      </c>
      <c r="AM344" s="80">
        <f>+COEF_FCM!AP351</f>
        <v>49943</v>
      </c>
      <c r="AN344" s="80">
        <f>+COEF_FCM!AU351</f>
        <v>980</v>
      </c>
      <c r="AO344" s="80">
        <f>+COEF_FCM!AQ351</f>
        <v>334489</v>
      </c>
      <c r="AP344" s="80">
        <f>+COEF_FCM!AV351</f>
        <v>5866.5680000000002</v>
      </c>
      <c r="AQ344" s="80">
        <f>+_CIERRE!O344+_CIERRE!P344</f>
        <v>7206352.0719999997</v>
      </c>
      <c r="AR344" s="80">
        <f>+_CIERRE!Q344+_CIERRE!R344</f>
        <v>7812989.2189999996</v>
      </c>
      <c r="AS344" s="80">
        <f>+_CIERRE!S344+_CIERRE!T344</f>
        <v>8078587.1509999996</v>
      </c>
      <c r="AT344" s="80">
        <f>+_CIERRE!U344+_CIERRE!V344</f>
        <v>8154158.148</v>
      </c>
      <c r="AU344" s="80">
        <f>+'CALC MEC ESTAB Y ESTIM M FINAL'!T349</f>
        <v>8154158</v>
      </c>
      <c r="AV344" s="560">
        <v>0</v>
      </c>
      <c r="AW344" s="551">
        <v>0</v>
      </c>
      <c r="AX344" s="551">
        <v>0</v>
      </c>
      <c r="AY344" s="551">
        <v>0</v>
      </c>
      <c r="AZ344" s="551">
        <v>633473.73600000003</v>
      </c>
      <c r="BA344" s="551">
        <v>627466.84900000005</v>
      </c>
    </row>
    <row r="345" spans="1:60" ht="3" customHeight="1" x14ac:dyDescent="0.2">
      <c r="A345" s="68">
        <f>IF(LEN(+'_DATA STT PAGOS_'!M350)=4,"0"&amp;+'_DATA STT PAGOS_'!M350,+'_DATA STT PAGOS_'!M350)</f>
        <v>16303</v>
      </c>
      <c r="B345" s="68" t="str">
        <f>IF(LEN(+'_DATA STT PAGOS_'!N350)=4,"0"&amp;+'_DATA STT PAGOS_'!N350,+'_DATA STT PAGOS_'!N350)</f>
        <v>08110</v>
      </c>
      <c r="C345" s="76" t="str">
        <f>+'_DATA STT PAGOS_'!O350</f>
        <v>ÑIQUÉN</v>
      </c>
      <c r="D345" s="80">
        <f>+'CALC MEC ESTAB Y ESTIM M FINAL'!U350</f>
        <v>5447653</v>
      </c>
      <c r="E345" s="77">
        <f>+'CALC MEC ESTAB Y ESTIM M FINAL'!Q350</f>
        <v>2.2139322671000002E-3</v>
      </c>
      <c r="F345" s="77">
        <f>+'CALC MEC ESTAB Y ESTIM M FINAL'!R350</f>
        <v>-2.94637268E-4</v>
      </c>
      <c r="G345" s="80">
        <f>+'_Flujo con Glosa 08'!CE350</f>
        <v>230496</v>
      </c>
      <c r="H345" s="80">
        <f>+'_Flujo con Glosa 08'!CF350</f>
        <v>230496</v>
      </c>
      <c r="I345" s="80">
        <f>+'_Flujo con Glosa 08'!CG350</f>
        <v>240067</v>
      </c>
      <c r="J345" s="80">
        <f>+'_Flujo con Glosa 08'!CH350</f>
        <v>230496</v>
      </c>
      <c r="K345" s="80">
        <f>+'_Flujo con Glosa 08'!CI350</f>
        <v>797866</v>
      </c>
      <c r="L345" s="80">
        <f>+'_Flujo con Glosa 08'!CJ350</f>
        <v>237752</v>
      </c>
      <c r="M345" s="80">
        <f>+'_Flujo con Glosa 08'!CK350</f>
        <v>468367</v>
      </c>
      <c r="N345" s="80">
        <f>+'_Flujo con Glosa 08'!CL350</f>
        <v>230496</v>
      </c>
      <c r="O345" s="80">
        <f>+'_Flujo con Glosa 08'!CM350</f>
        <v>289672</v>
      </c>
      <c r="P345" s="80">
        <f>+'_Flujo con Glosa 08'!CN350</f>
        <v>503033</v>
      </c>
      <c r="Q345" s="80">
        <f>+'_Flujo con Glosa 08'!CO350</f>
        <v>230496</v>
      </c>
      <c r="R345" s="80">
        <f>+'_Flujo con Glosa 08'!CP350</f>
        <v>475613</v>
      </c>
      <c r="S345" s="80">
        <f t="shared" si="10"/>
        <v>4164850</v>
      </c>
      <c r="T345" s="80">
        <v>0</v>
      </c>
      <c r="U345" s="80">
        <v>0</v>
      </c>
      <c r="V345" s="80">
        <v>0</v>
      </c>
      <c r="W345" s="80">
        <v>0</v>
      </c>
      <c r="X345" s="80">
        <v>0</v>
      </c>
      <c r="Y345" s="80">
        <v>0</v>
      </c>
      <c r="Z345" s="80">
        <v>0</v>
      </c>
      <c r="AA345" s="80">
        <v>0</v>
      </c>
      <c r="AB345" s="80">
        <v>0</v>
      </c>
      <c r="AC345" s="80">
        <v>0</v>
      </c>
      <c r="AD345" s="80">
        <v>0</v>
      </c>
      <c r="AE345" s="80">
        <v>0</v>
      </c>
      <c r="AF345" s="80">
        <f t="shared" si="11"/>
        <v>0</v>
      </c>
      <c r="AG345" s="80">
        <f>+COEF_FCM!AM352</f>
        <v>38413</v>
      </c>
      <c r="AH345" s="80">
        <f>+COEF_FCM!AR352</f>
        <v>0</v>
      </c>
      <c r="AI345" s="80">
        <f>+COEF_FCM!AN352</f>
        <v>23634</v>
      </c>
      <c r="AJ345" s="80">
        <f>+COEF_FCM!AS352</f>
        <v>0</v>
      </c>
      <c r="AK345" s="80">
        <f>+COEF_FCM!AO352</f>
        <v>34814</v>
      </c>
      <c r="AL345" s="80">
        <f>+COEF_FCM!AT352</f>
        <v>0</v>
      </c>
      <c r="AM345" s="80">
        <f>+COEF_FCM!AP352</f>
        <v>23195</v>
      </c>
      <c r="AN345" s="80">
        <f>+COEF_FCM!AU352</f>
        <v>0</v>
      </c>
      <c r="AO345" s="80">
        <f>+COEF_FCM!AQ352</f>
        <v>120056</v>
      </c>
      <c r="AP345" s="80">
        <f>+COEF_FCM!AV352</f>
        <v>0</v>
      </c>
      <c r="AQ345" s="80">
        <f>+_CIERRE!O345+_CIERRE!P345</f>
        <v>3168016.0759999999</v>
      </c>
      <c r="AR345" s="80">
        <f>+_CIERRE!Q345+_CIERRE!R345</f>
        <v>3590528.3489999999</v>
      </c>
      <c r="AS345" s="80">
        <f>+_CIERRE!S345+_CIERRE!T345</f>
        <v>3816781.0419999999</v>
      </c>
      <c r="AT345" s="80">
        <f>+_CIERRE!U345+_CIERRE!V345</f>
        <v>4750138.5010000002</v>
      </c>
      <c r="AU345" s="80">
        <f>+'CALC MEC ESTAB Y ESTIM M FINAL'!T350</f>
        <v>5447653</v>
      </c>
      <c r="AV345" s="560">
        <v>0</v>
      </c>
      <c r="AW345" s="551">
        <v>0</v>
      </c>
      <c r="AX345" s="551">
        <v>0</v>
      </c>
      <c r="AY345" s="551">
        <v>0</v>
      </c>
      <c r="AZ345" s="551">
        <v>417611.098</v>
      </c>
      <c r="BA345" s="551">
        <v>428259.41399999999</v>
      </c>
    </row>
    <row r="346" spans="1:60" ht="3" customHeight="1" x14ac:dyDescent="0.2">
      <c r="A346" s="68">
        <f>IF(LEN(+'_DATA STT PAGOS_'!M351)=4,"0"&amp;+'_DATA STT PAGOS_'!M351,+'_DATA STT PAGOS_'!M351)</f>
        <v>16304</v>
      </c>
      <c r="B346" s="68" t="str">
        <f>IF(LEN(+'_DATA STT PAGOS_'!N351)=4,"0"&amp;+'_DATA STT PAGOS_'!N351,+'_DATA STT PAGOS_'!N351)</f>
        <v>08111</v>
      </c>
      <c r="C346" s="76" t="str">
        <f>+'_DATA STT PAGOS_'!O351</f>
        <v>SAN FABIÁN</v>
      </c>
      <c r="D346" s="80">
        <f>+'CALC MEC ESTAB Y ESTIM M FINAL'!U351</f>
        <v>2469631</v>
      </c>
      <c r="E346" s="77">
        <f>+'CALC MEC ESTAB Y ESTIM M FINAL'!Q351</f>
        <v>9.2230896229999993E-4</v>
      </c>
      <c r="F346" s="77">
        <f>+'CALC MEC ESTAB Y ESTIM M FINAL'!R351</f>
        <v>-5.2218511900000003E-5</v>
      </c>
      <c r="G346" s="80">
        <f>+'_Flujo con Glosa 08'!CE351</f>
        <v>113779</v>
      </c>
      <c r="H346" s="80">
        <f>+'_Flujo con Glosa 08'!CF351</f>
        <v>113779</v>
      </c>
      <c r="I346" s="80">
        <f>+'_Flujo con Glosa 08'!CG351</f>
        <v>108832</v>
      </c>
      <c r="J346" s="80">
        <f>+'_Flujo con Glosa 08'!CH351</f>
        <v>113779</v>
      </c>
      <c r="K346" s="80">
        <f>+'_Flujo con Glosa 08'!CI351</f>
        <v>333844</v>
      </c>
      <c r="L346" s="80">
        <f>+'_Flujo con Glosa 08'!CJ351</f>
        <v>117068</v>
      </c>
      <c r="M346" s="80">
        <f>+'_Flujo con Glosa 08'!CK351</f>
        <v>203042</v>
      </c>
      <c r="N346" s="80">
        <f>+'_Flujo con Glosa 08'!CL351</f>
        <v>113779</v>
      </c>
      <c r="O346" s="80">
        <f>+'_Flujo con Glosa 08'!CM351</f>
        <v>131319</v>
      </c>
      <c r="P346" s="80">
        <f>+'_Flujo con Glosa 08'!CN351</f>
        <v>218758</v>
      </c>
      <c r="Q346" s="80">
        <f>+'_Flujo con Glosa 08'!CO351</f>
        <v>113779</v>
      </c>
      <c r="R346" s="80">
        <f>+'_Flujo con Glosa 08'!CP351</f>
        <v>206328</v>
      </c>
      <c r="S346" s="80">
        <f t="shared" si="10"/>
        <v>1888086</v>
      </c>
      <c r="T346" s="80">
        <v>0</v>
      </c>
      <c r="U346" s="80">
        <v>0</v>
      </c>
      <c r="V346" s="80">
        <v>0</v>
      </c>
      <c r="W346" s="80">
        <v>0</v>
      </c>
      <c r="X346" s="80">
        <v>0</v>
      </c>
      <c r="Y346" s="80">
        <v>0</v>
      </c>
      <c r="Z346" s="80">
        <v>0</v>
      </c>
      <c r="AA346" s="80">
        <v>0</v>
      </c>
      <c r="AB346" s="80">
        <v>0</v>
      </c>
      <c r="AC346" s="80">
        <v>0</v>
      </c>
      <c r="AD346" s="80">
        <v>0</v>
      </c>
      <c r="AE346" s="80">
        <v>0</v>
      </c>
      <c r="AF346" s="80">
        <f t="shared" si="11"/>
        <v>0</v>
      </c>
      <c r="AG346" s="80">
        <f>+COEF_FCM!AM353</f>
        <v>29493</v>
      </c>
      <c r="AH346" s="80">
        <f>+COEF_FCM!AR353</f>
        <v>998</v>
      </c>
      <c r="AI346" s="80">
        <f>+COEF_FCM!AN353</f>
        <v>19872</v>
      </c>
      <c r="AJ346" s="80">
        <f>+COEF_FCM!AS353</f>
        <v>464</v>
      </c>
      <c r="AK346" s="80">
        <f>+COEF_FCM!AO353</f>
        <v>24441</v>
      </c>
      <c r="AL346" s="80">
        <f>+COEF_FCM!AT353</f>
        <v>481.65300000000002</v>
      </c>
      <c r="AM346" s="80">
        <f>+COEF_FCM!AP353</f>
        <v>17153</v>
      </c>
      <c r="AN346" s="80">
        <f>+COEF_FCM!AU353</f>
        <v>402</v>
      </c>
      <c r="AO346" s="80">
        <f>+COEF_FCM!AQ353</f>
        <v>90959</v>
      </c>
      <c r="AP346" s="80">
        <f>+COEF_FCM!AV353</f>
        <v>2345.6530000000002</v>
      </c>
      <c r="AQ346" s="80">
        <f>+_CIERRE!O346+_CIERRE!P346</f>
        <v>1840062.686</v>
      </c>
      <c r="AR346" s="80">
        <f>+_CIERRE!Q346+_CIERRE!R346</f>
        <v>2068008.977</v>
      </c>
      <c r="AS346" s="80">
        <f>+_CIERRE!S346+_CIERRE!T346</f>
        <v>2233513.3199999998</v>
      </c>
      <c r="AT346" s="80">
        <f>+_CIERRE!U346+_CIERRE!V346</f>
        <v>2346010.2009999999</v>
      </c>
      <c r="AU346" s="80">
        <f>+'CALC MEC ESTAB Y ESTIM M FINAL'!T351</f>
        <v>2469631</v>
      </c>
      <c r="AV346" s="560">
        <v>0</v>
      </c>
      <c r="AW346" s="551">
        <v>0</v>
      </c>
      <c r="AX346" s="551">
        <v>0</v>
      </c>
      <c r="AY346" s="551">
        <v>0</v>
      </c>
      <c r="AZ346" s="551">
        <v>313068.73800000001</v>
      </c>
      <c r="BA346" s="551">
        <v>323131.03100000002</v>
      </c>
    </row>
    <row r="347" spans="1:60" ht="3" customHeight="1" x14ac:dyDescent="0.2">
      <c r="A347" s="68">
        <f>IF(LEN(+'_DATA STT PAGOS_'!M352)=4,"0"&amp;+'_DATA STT PAGOS_'!M352,+'_DATA STT PAGOS_'!M352)</f>
        <v>16305</v>
      </c>
      <c r="B347" s="68" t="str">
        <f>IF(LEN(+'_DATA STT PAGOS_'!N352)=4,"0"&amp;+'_DATA STT PAGOS_'!N352,+'_DATA STT PAGOS_'!N352)</f>
        <v>08112</v>
      </c>
      <c r="C347" s="76" t="str">
        <f>+'_DATA STT PAGOS_'!O352</f>
        <v>SAN NICOLÁS</v>
      </c>
      <c r="D347" s="80">
        <f>+'CALC MEC ESTAB Y ESTIM M FINAL'!U352</f>
        <v>3487503</v>
      </c>
      <c r="E347" s="77">
        <f>+'CALC MEC ESTAB Y ESTIM M FINAL'!Q352</f>
        <v>1.2471007001999999E-3</v>
      </c>
      <c r="F347" s="77">
        <f>+'CALC MEC ESTAB Y ESTIM M FINAL'!R352</f>
        <v>-1.8397587799999999E-5</v>
      </c>
      <c r="G347" s="80">
        <f>+'_Flujo con Glosa 08'!CE352</f>
        <v>166970</v>
      </c>
      <c r="H347" s="80">
        <f>+'_Flujo con Glosa 08'!CF352</f>
        <v>166970</v>
      </c>
      <c r="I347" s="80">
        <f>+'_Flujo con Glosa 08'!CG352</f>
        <v>153687</v>
      </c>
      <c r="J347" s="80">
        <f>+'_Flujo con Glosa 08'!CH352</f>
        <v>166970</v>
      </c>
      <c r="K347" s="80">
        <f>+'_Flujo con Glosa 08'!CI352</f>
        <v>452551</v>
      </c>
      <c r="L347" s="80">
        <f>+'_Flujo con Glosa 08'!CJ352</f>
        <v>171615</v>
      </c>
      <c r="M347" s="80">
        <f>+'_Flujo con Glosa 08'!CK352</f>
        <v>280769</v>
      </c>
      <c r="N347" s="80">
        <f>+'_Flujo con Glosa 08'!CL352</f>
        <v>166970</v>
      </c>
      <c r="O347" s="80">
        <f>+'_Flujo con Glosa 08'!CM352</f>
        <v>185443</v>
      </c>
      <c r="P347" s="80">
        <f>+'_Flujo con Glosa 08'!CN352</f>
        <v>302286</v>
      </c>
      <c r="Q347" s="80">
        <f>+'_Flujo con Glosa 08'!CO352</f>
        <v>166970</v>
      </c>
      <c r="R347" s="80">
        <f>+'_Flujo con Glosa 08'!CP352</f>
        <v>285070</v>
      </c>
      <c r="S347" s="80">
        <f t="shared" si="10"/>
        <v>2666271</v>
      </c>
      <c r="T347" s="80">
        <v>0</v>
      </c>
      <c r="U347" s="80">
        <v>0</v>
      </c>
      <c r="V347" s="80">
        <v>0</v>
      </c>
      <c r="W347" s="80">
        <v>0</v>
      </c>
      <c r="X347" s="80">
        <v>0</v>
      </c>
      <c r="Y347" s="80">
        <v>0</v>
      </c>
      <c r="Z347" s="80">
        <v>0</v>
      </c>
      <c r="AA347" s="80">
        <v>0</v>
      </c>
      <c r="AB347" s="80">
        <v>0</v>
      </c>
      <c r="AC347" s="80">
        <v>0</v>
      </c>
      <c r="AD347" s="80">
        <v>0</v>
      </c>
      <c r="AE347" s="80">
        <v>0</v>
      </c>
      <c r="AF347" s="80">
        <f t="shared" si="11"/>
        <v>0</v>
      </c>
      <c r="AG347" s="80">
        <f>+COEF_FCM!AM354</f>
        <v>56171</v>
      </c>
      <c r="AH347" s="80">
        <f>+COEF_FCM!AR354</f>
        <v>0</v>
      </c>
      <c r="AI347" s="80">
        <f>+COEF_FCM!AN354</f>
        <v>27086</v>
      </c>
      <c r="AJ347" s="80">
        <f>+COEF_FCM!AS354</f>
        <v>0</v>
      </c>
      <c r="AK347" s="80">
        <f>+COEF_FCM!AO354</f>
        <v>36336</v>
      </c>
      <c r="AL347" s="80">
        <f>+COEF_FCM!AT354</f>
        <v>0</v>
      </c>
      <c r="AM347" s="80">
        <f>+COEF_FCM!AP354</f>
        <v>28118</v>
      </c>
      <c r="AN347" s="80">
        <f>+COEF_FCM!AU354</f>
        <v>0</v>
      </c>
      <c r="AO347" s="80">
        <f>+COEF_FCM!AQ354</f>
        <v>147711</v>
      </c>
      <c r="AP347" s="80">
        <f>+COEF_FCM!AV354</f>
        <v>0</v>
      </c>
      <c r="AQ347" s="80">
        <f>+_CIERRE!O347+_CIERRE!P347</f>
        <v>2620381.3769999999</v>
      </c>
      <c r="AR347" s="80">
        <f>+_CIERRE!Q347+_CIERRE!R347</f>
        <v>2881019.1159999999</v>
      </c>
      <c r="AS347" s="80">
        <f>+_CIERRE!S347+_CIERRE!T347</f>
        <v>3099166.7850000001</v>
      </c>
      <c r="AT347" s="80">
        <f>+_CIERRE!U347+_CIERRE!V347</f>
        <v>3443949.42</v>
      </c>
      <c r="AU347" s="80">
        <f>+'CALC MEC ESTAB Y ESTIM M FINAL'!T352</f>
        <v>3487503</v>
      </c>
      <c r="AV347" s="560">
        <v>0</v>
      </c>
      <c r="AW347" s="551">
        <v>0</v>
      </c>
      <c r="AX347" s="551">
        <v>0</v>
      </c>
      <c r="AY347" s="551">
        <v>0</v>
      </c>
      <c r="AZ347" s="551">
        <v>373853.15600000002</v>
      </c>
      <c r="BA347" s="551">
        <v>382218.85499999998</v>
      </c>
    </row>
    <row r="348" spans="1:60" s="69" customFormat="1" ht="3" customHeight="1" x14ac:dyDescent="0.2">
      <c r="A348" s="68">
        <v>99999</v>
      </c>
      <c r="B348" s="68">
        <v>99999</v>
      </c>
      <c r="C348" s="76" t="s">
        <v>582</v>
      </c>
      <c r="D348" s="80">
        <f>SUM(D2:D347)</f>
        <v>2838361235</v>
      </c>
      <c r="E348" s="78">
        <f>ROUND(SUM(E2:E347),0)</f>
        <v>1</v>
      </c>
      <c r="F348" s="78">
        <f>ROUND(SUM(F2:F347),0)</f>
        <v>0</v>
      </c>
      <c r="G348" s="80">
        <f t="shared" ref="G348:AV348" si="12">SUM(G2:G347)</f>
        <v>130878994</v>
      </c>
      <c r="H348" s="80">
        <f t="shared" si="12"/>
        <v>130505732</v>
      </c>
      <c r="I348" s="80">
        <f t="shared" si="12"/>
        <v>125080706</v>
      </c>
      <c r="J348" s="80">
        <f t="shared" si="12"/>
        <v>130723951</v>
      </c>
      <c r="K348" s="80">
        <f t="shared" si="12"/>
        <v>383881557</v>
      </c>
      <c r="L348" s="80">
        <f t="shared" si="12"/>
        <v>135009100</v>
      </c>
      <c r="M348" s="80">
        <f t="shared" si="12"/>
        <v>234447867</v>
      </c>
      <c r="N348" s="80">
        <f t="shared" si="12"/>
        <v>130808546</v>
      </c>
      <c r="O348" s="80">
        <f t="shared" si="12"/>
        <v>150926482</v>
      </c>
      <c r="P348" s="80">
        <f t="shared" si="12"/>
        <v>249826470</v>
      </c>
      <c r="Q348" s="80">
        <f t="shared" si="12"/>
        <v>131218389</v>
      </c>
      <c r="R348" s="80">
        <f t="shared" si="12"/>
        <v>236682156</v>
      </c>
      <c r="S348" s="80">
        <f t="shared" si="12"/>
        <v>2169989950</v>
      </c>
      <c r="T348" s="80">
        <f t="shared" si="12"/>
        <v>2353142</v>
      </c>
      <c r="U348" s="80">
        <f t="shared" si="12"/>
        <v>2353142</v>
      </c>
      <c r="V348" s="80">
        <f t="shared" si="12"/>
        <v>2353142</v>
      </c>
      <c r="W348" s="80">
        <f t="shared" si="12"/>
        <v>2353142</v>
      </c>
      <c r="X348" s="80">
        <f t="shared" si="12"/>
        <v>2353142</v>
      </c>
      <c r="Y348" s="80">
        <f t="shared" si="12"/>
        <v>2353142</v>
      </c>
      <c r="Z348" s="80">
        <f t="shared" si="12"/>
        <v>2353142</v>
      </c>
      <c r="AA348" s="80">
        <f t="shared" si="12"/>
        <v>2353142</v>
      </c>
      <c r="AB348" s="80">
        <f t="shared" si="12"/>
        <v>2353141</v>
      </c>
      <c r="AC348" s="80">
        <f t="shared" si="12"/>
        <v>2353141</v>
      </c>
      <c r="AD348" s="80">
        <f t="shared" si="12"/>
        <v>2353141</v>
      </c>
      <c r="AE348" s="80">
        <f t="shared" si="12"/>
        <v>2353141</v>
      </c>
      <c r="AF348" s="80">
        <f t="shared" si="12"/>
        <v>28237700</v>
      </c>
      <c r="AG348" s="80">
        <f t="shared" si="12"/>
        <v>166598599</v>
      </c>
      <c r="AH348" s="80">
        <f t="shared" si="12"/>
        <v>17142491</v>
      </c>
      <c r="AI348" s="80">
        <f t="shared" si="12"/>
        <v>113031946</v>
      </c>
      <c r="AJ348" s="80">
        <f t="shared" si="12"/>
        <v>7867593</v>
      </c>
      <c r="AK348" s="80">
        <f t="shared" si="12"/>
        <v>134772086</v>
      </c>
      <c r="AL348" s="80">
        <f t="shared" si="12"/>
        <v>10644722.000000004</v>
      </c>
      <c r="AM348" s="80">
        <f t="shared" si="12"/>
        <v>109728676</v>
      </c>
      <c r="AN348" s="80">
        <f t="shared" si="12"/>
        <v>7389213</v>
      </c>
      <c r="AO348" s="80">
        <f t="shared" si="12"/>
        <v>524131307</v>
      </c>
      <c r="AP348" s="80">
        <f t="shared" si="12"/>
        <v>43044019.000000015</v>
      </c>
      <c r="AQ348" s="80">
        <f t="shared" si="12"/>
        <v>2072569491.3979995</v>
      </c>
      <c r="AR348" s="80">
        <f t="shared" si="12"/>
        <v>2378998575.5340009</v>
      </c>
      <c r="AS348" s="80">
        <f t="shared" si="12"/>
        <v>2586940383.1940017</v>
      </c>
      <c r="AT348" s="80">
        <f t="shared" si="12"/>
        <v>2730094939.9000001</v>
      </c>
      <c r="AU348" s="80">
        <f t="shared" si="12"/>
        <v>2866598935</v>
      </c>
      <c r="AV348" s="80">
        <f t="shared" si="12"/>
        <v>0</v>
      </c>
      <c r="AW348" s="80">
        <f t="shared" ref="AW348:AX348" si="13">SUM(AW2:AW347)</f>
        <v>52720800.00000003</v>
      </c>
      <c r="AX348" s="80">
        <f t="shared" si="13"/>
        <v>54917599.99999997</v>
      </c>
      <c r="AY348" s="80">
        <f t="shared" ref="AY348" si="14">SUM(AY2:AY347)</f>
        <v>0</v>
      </c>
      <c r="AZ348" s="80">
        <f t="shared" ref="AZ348" si="15">SUM(AZ2:AZ347)</f>
        <v>165905000.00000006</v>
      </c>
      <c r="BA348" s="80">
        <f t="shared" ref="BA348" si="16">SUM(BA2:BA347)</f>
        <v>171617499.99999994</v>
      </c>
      <c r="BB348" s="80"/>
      <c r="BC348" s="80"/>
      <c r="BD348" s="110"/>
      <c r="BE348" s="110"/>
      <c r="BF348" s="110"/>
      <c r="BG348" s="110"/>
      <c r="BH348" s="110"/>
    </row>
    <row r="350" spans="1:60" ht="3" customHeight="1" x14ac:dyDescent="0.2">
      <c r="D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c r="AP350" s="72"/>
      <c r="AQ350" s="72"/>
      <c r="AR350" s="72"/>
      <c r="AS350" s="72"/>
      <c r="AT350" s="72"/>
      <c r="AU350" s="72"/>
    </row>
    <row r="354" spans="6:8" ht="3" customHeight="1" x14ac:dyDescent="0.2">
      <c r="G354" s="69"/>
    </row>
    <row r="355" spans="6:8" ht="3" customHeight="1" x14ac:dyDescent="0.2">
      <c r="G355" s="69"/>
    </row>
    <row r="356" spans="6:8" ht="3" customHeight="1" x14ac:dyDescent="0.2">
      <c r="G356" s="69"/>
    </row>
    <row r="357" spans="6:8" ht="3" customHeight="1" x14ac:dyDescent="0.2">
      <c r="G357" s="69"/>
    </row>
    <row r="358" spans="6:8" ht="3" customHeight="1" x14ac:dyDescent="0.2">
      <c r="F358" s="80"/>
      <c r="H358" s="547"/>
    </row>
    <row r="359" spans="6:8" ht="3" customHeight="1" x14ac:dyDescent="0.2">
      <c r="F359" s="80"/>
      <c r="H359" s="547"/>
    </row>
    <row r="360" spans="6:8" ht="3" customHeight="1" x14ac:dyDescent="0.2">
      <c r="F360" s="80"/>
      <c r="H360" s="547"/>
    </row>
    <row r="361" spans="6:8" ht="3" customHeight="1" x14ac:dyDescent="0.2">
      <c r="F361" s="80"/>
      <c r="H361" s="547"/>
    </row>
    <row r="362" spans="6:8" ht="3" customHeight="1" x14ac:dyDescent="0.2">
      <c r="F362" s="80"/>
      <c r="H362" s="547"/>
    </row>
    <row r="363" spans="6:8" ht="3" customHeight="1" x14ac:dyDescent="0.2">
      <c r="F363" s="80"/>
      <c r="H363" s="547"/>
    </row>
    <row r="364" spans="6:8" ht="3" customHeight="1" x14ac:dyDescent="0.2">
      <c r="F364" s="80"/>
      <c r="H364" s="547"/>
    </row>
    <row r="365" spans="6:8" ht="3" customHeight="1" x14ac:dyDescent="0.2">
      <c r="F365" s="80"/>
      <c r="H365" s="547"/>
    </row>
    <row r="366" spans="6:8" ht="3" customHeight="1" x14ac:dyDescent="0.2">
      <c r="F366" s="80"/>
      <c r="H366" s="547"/>
    </row>
    <row r="367" spans="6:8" ht="3" customHeight="1" x14ac:dyDescent="0.2">
      <c r="F367" s="80"/>
      <c r="H367" s="547"/>
    </row>
    <row r="368" spans="6:8" ht="3" customHeight="1" x14ac:dyDescent="0.2">
      <c r="F368" s="80"/>
      <c r="H368" s="547"/>
    </row>
    <row r="369" spans="6:8" ht="3" customHeight="1" x14ac:dyDescent="0.2">
      <c r="F369" s="80"/>
      <c r="H369" s="547"/>
    </row>
    <row r="370" spans="6:8" ht="3" customHeight="1" x14ac:dyDescent="0.2">
      <c r="F370" s="80"/>
      <c r="H370" s="547"/>
    </row>
  </sheetData>
  <sheetProtection algorithmName="SHA-512" hashValue="tF6O+dqPeg8B6P1eECwj73U8iJMb64G6FKBxPsh50J4e5g7fICMcrRcdeZr0Jb813wNv/p65zHiGiI7g8K9PeQ==" saltValue="8jRPGArTxGkx097yQqvt6Q==" spinCount="100000" sheet="1" objects="1" scenarios="1" selectLockedCells="1" selectUnlockedCells="1"/>
  <phoneticPr fontId="36" type="noConversion"/>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tabColor theme="0"/>
  </sheetPr>
  <dimension ref="A1:AA44"/>
  <sheetViews>
    <sheetView showGridLines="0" showOutlineSymbols="0" showWhiteSpace="0" workbookViewId="0"/>
  </sheetViews>
  <sheetFormatPr baseColWidth="10" defaultColWidth="0" defaultRowHeight="15" zeroHeight="1" x14ac:dyDescent="0.25"/>
  <cols>
    <col min="1" max="1" width="16" style="217" customWidth="1"/>
    <col min="2" max="2" width="20.140625" style="217" customWidth="1"/>
    <col min="3" max="3" width="38.85546875" style="217" customWidth="1"/>
    <col min="4" max="4" width="16" style="217" customWidth="1"/>
    <col min="5" max="5" width="13.85546875" style="217" customWidth="1"/>
    <col min="6" max="6" width="15" style="218" bestFit="1" customWidth="1"/>
    <col min="7" max="7" width="35" style="218" customWidth="1"/>
    <col min="8" max="8" width="40.5703125" style="215" hidden="1"/>
    <col min="9" max="15" width="15.85546875" style="215" hidden="1"/>
    <col min="16" max="27" width="11.140625" style="215" hidden="1"/>
    <col min="28" max="16384" width="11.140625" style="216" hidden="1"/>
  </cols>
  <sheetData>
    <row r="1" spans="1:11" ht="15.75" x14ac:dyDescent="0.25">
      <c r="A1" s="594" t="str">
        <f>CONCATENATE("GASTOS SUBTITULOS 21 Y 22 BEP AÑO ",RIGHT(PARAMETROS!B3,4)-3)</f>
        <v>GASTOS SUBTITULOS 21 Y 22 BEP AÑO 2023</v>
      </c>
      <c r="B1" s="595"/>
      <c r="C1" s="595"/>
      <c r="D1" s="596" t="str">
        <f>+PARAMETROS!H3</f>
        <v>Ver:5 20251231</v>
      </c>
      <c r="E1" s="595"/>
      <c r="F1" s="597"/>
      <c r="G1" s="597"/>
    </row>
    <row r="2" spans="1:11" x14ac:dyDescent="0.25">
      <c r="A2" s="582" t="str">
        <f>CONCATENATE("Fuente: INFORMACION BEP MUNICIPAL ",RIGHT(PARAMETROS!B3,4)-3," 
(Reglamento Cálculo indica :""año anteprecedente al del cálculo"") - 
UNIDAD DE INFORMACION MUNICIPAL / SINIM")</f>
        <v>Fuente: INFORMACION BEP MUNICIPAL 2023 
(Reglamento Cálculo indica :"año anteprecedente al del cálculo") - 
UNIDAD DE INFORMACION MUNICIPAL / SINIM</v>
      </c>
      <c r="B2" s="595"/>
      <c r="C2" s="595"/>
      <c r="D2" s="595"/>
      <c r="E2" s="595"/>
      <c r="F2" s="597"/>
      <c r="G2" s="597"/>
    </row>
    <row r="3" spans="1:11" ht="15.75" x14ac:dyDescent="0.25">
      <c r="A3" s="594" t="s">
        <v>539</v>
      </c>
      <c r="B3" s="595"/>
      <c r="C3" s="595"/>
      <c r="D3" s="595"/>
      <c r="E3" s="595"/>
      <c r="F3" s="597"/>
      <c r="G3" s="597"/>
    </row>
    <row r="4" spans="1:11" x14ac:dyDescent="0.25">
      <c r="A4" s="595"/>
      <c r="B4" s="595"/>
      <c r="C4" s="595"/>
      <c r="D4" s="595"/>
      <c r="E4" s="595"/>
      <c r="F4" s="597"/>
      <c r="G4" s="597"/>
      <c r="J4" s="219"/>
      <c r="K4" s="219"/>
    </row>
    <row r="5" spans="1:11" x14ac:dyDescent="0.25">
      <c r="A5" s="595"/>
      <c r="B5" s="595"/>
      <c r="C5" s="595"/>
      <c r="D5" s="595"/>
      <c r="E5" s="595"/>
      <c r="F5" s="597"/>
      <c r="G5" s="597"/>
    </row>
    <row r="6" spans="1:11" x14ac:dyDescent="0.25">
      <c r="A6" s="598"/>
      <c r="B6" s="595"/>
      <c r="C6" s="595"/>
      <c r="D6" s="595"/>
      <c r="E6" s="595"/>
      <c r="F6" s="597"/>
      <c r="G6" s="597"/>
    </row>
    <row r="7" spans="1:11" x14ac:dyDescent="0.25">
      <c r="B7" s="220" t="s">
        <v>330</v>
      </c>
      <c r="C7" s="220" t="s">
        <v>331</v>
      </c>
      <c r="D7" s="220" t="s">
        <v>332</v>
      </c>
      <c r="E7" s="220" t="s">
        <v>338</v>
      </c>
    </row>
    <row r="8" spans="1:11" x14ac:dyDescent="0.25">
      <c r="B8" s="221" t="s">
        <v>333</v>
      </c>
      <c r="C8" s="221" t="s">
        <v>334</v>
      </c>
      <c r="D8" s="222">
        <f>+O19</f>
        <v>10509432</v>
      </c>
      <c r="E8" s="396" t="s">
        <v>339</v>
      </c>
      <c r="H8" s="223"/>
      <c r="I8" s="223"/>
      <c r="J8" s="224"/>
      <c r="K8" s="224"/>
    </row>
    <row r="9" spans="1:11" x14ac:dyDescent="0.25">
      <c r="B9" s="221" t="s">
        <v>335</v>
      </c>
      <c r="C9" s="221" t="s">
        <v>336</v>
      </c>
      <c r="D9" s="222">
        <f>+O20</f>
        <v>3609418</v>
      </c>
      <c r="E9" s="396" t="s">
        <v>339</v>
      </c>
    </row>
    <row r="10" spans="1:11" ht="15.75" thickBot="1" x14ac:dyDescent="0.3"/>
    <row r="11" spans="1:11" x14ac:dyDescent="0.25">
      <c r="C11" s="225" t="str">
        <f>CONCATENATE("D. 1684 / 2014 - ",PARAMETROS!B3)</f>
        <v>D. 1684 / 2014 - FCM 2026</v>
      </c>
      <c r="D11" s="226"/>
      <c r="I11" s="227"/>
    </row>
    <row r="12" spans="1:11" ht="15.75" thickBot="1" x14ac:dyDescent="0.3">
      <c r="C12" s="228">
        <v>2</v>
      </c>
      <c r="D12" s="229">
        <f>(D8+D9)*C12</f>
        <v>28237700</v>
      </c>
      <c r="F12" s="230"/>
      <c r="G12" s="231"/>
    </row>
    <row r="13" spans="1:11" ht="15.75" thickBot="1" x14ac:dyDescent="0.3">
      <c r="C13" s="232" t="str">
        <f>CONCATENATE("Monto Ley nº 19704 Año ",RIGHT(PARAMETROS!B3,4))</f>
        <v>Monto Ley nº 19704 Año 2026</v>
      </c>
      <c r="D13" s="233"/>
      <c r="F13" s="234"/>
      <c r="G13" s="231"/>
    </row>
    <row r="14" spans="1:11" x14ac:dyDescent="0.25">
      <c r="I14" s="227"/>
      <c r="J14" s="227"/>
    </row>
    <row r="15" spans="1:11" ht="45.75" x14ac:dyDescent="0.25">
      <c r="C15" s="235" t="s">
        <v>337</v>
      </c>
      <c r="D15" s="236" t="str">
        <f>CONCATENATE("Flujo Ley nº 19.704 ISLA DE PASCUA año ",RIGHT(PARAMETROS!B3,4)," M $")</f>
        <v>Flujo Ley nº 19.704 ISLA DE PASCUA año 2026 M $</v>
      </c>
    </row>
    <row r="16" spans="1:11" x14ac:dyDescent="0.25">
      <c r="B16" s="237">
        <v>1</v>
      </c>
      <c r="C16" s="238">
        <f>DATE(RIGHT(PARAMETROS!$B$3,4),B16,1)</f>
        <v>46023</v>
      </c>
      <c r="D16" s="239">
        <f>INT($D$12/12)+IF(MOD($D$12,12)&gt;=B16,1,0)</f>
        <v>2353142</v>
      </c>
      <c r="E16" s="240"/>
      <c r="F16" s="241"/>
    </row>
    <row r="17" spans="2:15" x14ac:dyDescent="0.25">
      <c r="B17" s="237">
        <v>2</v>
      </c>
      <c r="C17" s="238">
        <f>DATE(RIGHT(PARAMETROS!$B$3,4),B17,1)</f>
        <v>46054</v>
      </c>
      <c r="D17" s="239">
        <f t="shared" ref="D17:D27" si="0">INT($D$12/12)+IF(MOD($D$12,12)&gt;=B17,1,0)</f>
        <v>2353142</v>
      </c>
      <c r="E17" s="240"/>
      <c r="F17" s="241"/>
      <c r="G17" s="231"/>
    </row>
    <row r="18" spans="2:15" x14ac:dyDescent="0.25">
      <c r="B18" s="237">
        <v>3</v>
      </c>
      <c r="C18" s="238">
        <f>DATE(RIGHT(PARAMETROS!$B$3,4),B18,1)</f>
        <v>46082</v>
      </c>
      <c r="D18" s="239">
        <f t="shared" si="0"/>
        <v>2353142</v>
      </c>
      <c r="E18" s="240"/>
      <c r="F18" s="241"/>
      <c r="G18" s="231"/>
      <c r="H18" s="215" t="s">
        <v>518</v>
      </c>
      <c r="I18" s="219" t="s">
        <v>515</v>
      </c>
      <c r="J18" s="219" t="s">
        <v>516</v>
      </c>
      <c r="K18" s="219" t="s">
        <v>520</v>
      </c>
      <c r="L18" s="215" t="s">
        <v>545</v>
      </c>
      <c r="M18" s="219" t="s">
        <v>705</v>
      </c>
      <c r="N18" s="215" t="s">
        <v>707</v>
      </c>
      <c r="O18" s="219" t="s">
        <v>1035</v>
      </c>
    </row>
    <row r="19" spans="2:15" x14ac:dyDescent="0.25">
      <c r="B19" s="237">
        <v>4</v>
      </c>
      <c r="C19" s="238">
        <f>DATE(RIGHT(PARAMETROS!$B$3,4),B19,1)</f>
        <v>46113</v>
      </c>
      <c r="D19" s="239">
        <f t="shared" si="0"/>
        <v>2353142</v>
      </c>
      <c r="E19" s="240"/>
      <c r="F19" s="241"/>
      <c r="G19" s="231"/>
      <c r="H19" s="215" t="s">
        <v>334</v>
      </c>
      <c r="I19" s="242">
        <v>2350680</v>
      </c>
      <c r="J19" s="242">
        <v>2671573</v>
      </c>
      <c r="K19" s="242">
        <v>3373919</v>
      </c>
      <c r="L19" s="242">
        <v>4701095</v>
      </c>
      <c r="M19" s="243">
        <v>5912854</v>
      </c>
      <c r="N19" s="243">
        <v>6113675</v>
      </c>
      <c r="O19" s="243">
        <v>10509432</v>
      </c>
    </row>
    <row r="20" spans="2:15" x14ac:dyDescent="0.25">
      <c r="B20" s="237">
        <v>5</v>
      </c>
      <c r="C20" s="238">
        <f>DATE(RIGHT(PARAMETROS!$B$3,4),B20,1)</f>
        <v>46143</v>
      </c>
      <c r="D20" s="239">
        <f t="shared" si="0"/>
        <v>2353142</v>
      </c>
      <c r="E20" s="240"/>
      <c r="F20" s="241"/>
      <c r="G20" s="231"/>
      <c r="H20" s="215" t="s">
        <v>336</v>
      </c>
      <c r="I20" s="242">
        <v>1806459</v>
      </c>
      <c r="J20" s="242">
        <v>2398574</v>
      </c>
      <c r="K20" s="242">
        <v>2838523</v>
      </c>
      <c r="L20" s="242">
        <v>3040142</v>
      </c>
      <c r="M20" s="243">
        <v>3695412</v>
      </c>
      <c r="N20" s="243">
        <v>4935208</v>
      </c>
      <c r="O20" s="243">
        <v>3609418</v>
      </c>
    </row>
    <row r="21" spans="2:15" x14ac:dyDescent="0.25">
      <c r="B21" s="237">
        <v>6</v>
      </c>
      <c r="C21" s="238">
        <f>DATE(RIGHT(PARAMETROS!$B$3,4),B21,1)</f>
        <v>46174</v>
      </c>
      <c r="D21" s="239">
        <f t="shared" si="0"/>
        <v>2353142</v>
      </c>
      <c r="E21" s="240"/>
      <c r="F21" s="241"/>
      <c r="G21" s="231"/>
      <c r="I21" s="242">
        <f t="shared" ref="I21:N21" si="1">+I19+I20</f>
        <v>4157139</v>
      </c>
      <c r="J21" s="242">
        <f t="shared" si="1"/>
        <v>5070147</v>
      </c>
      <c r="K21" s="242">
        <f t="shared" si="1"/>
        <v>6212442</v>
      </c>
      <c r="L21" s="242">
        <f t="shared" si="1"/>
        <v>7741237</v>
      </c>
      <c r="M21" s="242">
        <f t="shared" si="1"/>
        <v>9608266</v>
      </c>
      <c r="N21" s="242">
        <f t="shared" si="1"/>
        <v>11048883</v>
      </c>
      <c r="O21" s="389">
        <f>SUM(O19:O20)</f>
        <v>14118850</v>
      </c>
    </row>
    <row r="22" spans="2:15" x14ac:dyDescent="0.25">
      <c r="B22" s="237">
        <v>7</v>
      </c>
      <c r="C22" s="238">
        <f>DATE(RIGHT(PARAMETROS!$B$3,4),B22,1)</f>
        <v>46204</v>
      </c>
      <c r="D22" s="239">
        <f t="shared" si="0"/>
        <v>2353142</v>
      </c>
      <c r="E22" s="240"/>
      <c r="F22" s="241"/>
      <c r="G22" s="231"/>
      <c r="H22" s="215" t="s">
        <v>1095</v>
      </c>
      <c r="I22" s="219" t="s">
        <v>517</v>
      </c>
      <c r="J22" s="215" t="s">
        <v>519</v>
      </c>
    </row>
    <row r="23" spans="2:15" x14ac:dyDescent="0.25">
      <c r="B23" s="237">
        <v>8</v>
      </c>
      <c r="C23" s="238">
        <f>DATE(RIGHT(PARAMETROS!$B$3,4),B23,1)</f>
        <v>46235</v>
      </c>
      <c r="D23" s="239">
        <f t="shared" si="0"/>
        <v>2353142</v>
      </c>
      <c r="E23" s="240"/>
      <c r="F23" s="241"/>
      <c r="G23" s="231"/>
      <c r="H23" s="215">
        <v>2</v>
      </c>
      <c r="I23" s="219">
        <f>+I21</f>
        <v>4157139</v>
      </c>
      <c r="J23" s="215" t="s">
        <v>514</v>
      </c>
      <c r="K23" s="242">
        <f t="shared" ref="K23:K29" si="2">+I23*H23</f>
        <v>8314278</v>
      </c>
      <c r="L23" s="242"/>
    </row>
    <row r="24" spans="2:15" x14ac:dyDescent="0.25">
      <c r="B24" s="237">
        <v>9</v>
      </c>
      <c r="C24" s="238">
        <f>DATE(RIGHT(PARAMETROS!$B$3,4),B24,1)</f>
        <v>46266</v>
      </c>
      <c r="D24" s="239">
        <f t="shared" si="0"/>
        <v>2353141</v>
      </c>
      <c r="E24" s="240"/>
      <c r="F24" s="241"/>
      <c r="G24" s="231"/>
      <c r="H24" s="215">
        <v>2</v>
      </c>
      <c r="I24" s="219">
        <f>+J21</f>
        <v>5070147</v>
      </c>
      <c r="J24" s="215" t="s">
        <v>513</v>
      </c>
      <c r="K24" s="242">
        <f t="shared" si="2"/>
        <v>10140294</v>
      </c>
      <c r="L24" s="244">
        <f>+K24/K23-1</f>
        <v>0.21962412130073106</v>
      </c>
      <c r="M24" s="389">
        <f>+K24-K23</f>
        <v>1826016</v>
      </c>
    </row>
    <row r="25" spans="2:15" x14ac:dyDescent="0.25">
      <c r="B25" s="237">
        <v>10</v>
      </c>
      <c r="C25" s="238">
        <f>DATE(RIGHT(PARAMETROS!$B$3,4),B25,1)</f>
        <v>46296</v>
      </c>
      <c r="D25" s="239">
        <f t="shared" si="0"/>
        <v>2353141</v>
      </c>
      <c r="E25" s="240"/>
      <c r="F25" s="241"/>
      <c r="G25" s="231"/>
      <c r="H25" s="215">
        <v>2</v>
      </c>
      <c r="I25" s="219">
        <f>+K21</f>
        <v>6212442</v>
      </c>
      <c r="J25" s="215" t="s">
        <v>521</v>
      </c>
      <c r="K25" s="242">
        <f t="shared" si="2"/>
        <v>12424884</v>
      </c>
      <c r="L25" s="244">
        <f t="shared" ref="L25:L29" si="3">+K25/K24-1</f>
        <v>0.22529820141309509</v>
      </c>
      <c r="M25" s="389">
        <f t="shared" ref="M25:M29" si="4">+K25-K24</f>
        <v>2284590</v>
      </c>
    </row>
    <row r="26" spans="2:15" x14ac:dyDescent="0.25">
      <c r="B26" s="237">
        <v>11</v>
      </c>
      <c r="C26" s="238">
        <f>DATE(RIGHT(PARAMETROS!$B$3,4),B26,1)</f>
        <v>46327</v>
      </c>
      <c r="D26" s="239">
        <f t="shared" si="0"/>
        <v>2353141</v>
      </c>
      <c r="E26" s="240"/>
      <c r="F26" s="241"/>
      <c r="G26" s="231"/>
      <c r="H26" s="215">
        <v>2</v>
      </c>
      <c r="I26" s="219">
        <f>+L21</f>
        <v>7741237</v>
      </c>
      <c r="J26" s="215" t="s">
        <v>542</v>
      </c>
      <c r="K26" s="242">
        <f t="shared" si="2"/>
        <v>15482474</v>
      </c>
      <c r="L26" s="244">
        <f t="shared" si="3"/>
        <v>0.24608599967613376</v>
      </c>
      <c r="M26" s="389">
        <f t="shared" si="4"/>
        <v>3057590</v>
      </c>
    </row>
    <row r="27" spans="2:15" x14ac:dyDescent="0.25">
      <c r="B27" s="237">
        <v>12</v>
      </c>
      <c r="C27" s="238">
        <f>DATE(RIGHT(PARAMETROS!$B$3,4),B27,1)</f>
        <v>46357</v>
      </c>
      <c r="D27" s="239">
        <f t="shared" si="0"/>
        <v>2353141</v>
      </c>
      <c r="E27" s="240"/>
      <c r="F27" s="241"/>
      <c r="G27" s="231"/>
      <c r="H27" s="215">
        <v>2</v>
      </c>
      <c r="I27" s="219">
        <f>+M21</f>
        <v>9608266</v>
      </c>
      <c r="J27" s="215" t="s">
        <v>706</v>
      </c>
      <c r="K27" s="242">
        <f t="shared" si="2"/>
        <v>19216532</v>
      </c>
      <c r="L27" s="244">
        <f t="shared" si="3"/>
        <v>0.24117967193098466</v>
      </c>
      <c r="M27" s="389">
        <f t="shared" si="4"/>
        <v>3734058</v>
      </c>
    </row>
    <row r="28" spans="2:15" x14ac:dyDescent="0.25">
      <c r="C28" s="245"/>
      <c r="D28" s="245"/>
      <c r="E28" s="245"/>
      <c r="G28" s="231"/>
      <c r="H28" s="215">
        <v>2</v>
      </c>
      <c r="I28" s="219">
        <f>+N21</f>
        <v>11048883</v>
      </c>
      <c r="J28" s="215" t="s">
        <v>637</v>
      </c>
      <c r="K28" s="242">
        <f t="shared" si="2"/>
        <v>22097766</v>
      </c>
      <c r="L28" s="244">
        <f t="shared" si="3"/>
        <v>0.14993517040431636</v>
      </c>
      <c r="M28" s="389">
        <f t="shared" si="4"/>
        <v>2881234</v>
      </c>
    </row>
    <row r="29" spans="2:15" x14ac:dyDescent="0.25">
      <c r="C29" s="246" t="s">
        <v>320</v>
      </c>
      <c r="D29" s="247">
        <f>SUM(D16:D28)</f>
        <v>28237700</v>
      </c>
      <c r="E29" s="248"/>
      <c r="F29" s="234"/>
      <c r="G29" s="231"/>
      <c r="H29" s="215">
        <v>2</v>
      </c>
      <c r="I29" s="242">
        <f>+O21</f>
        <v>14118850</v>
      </c>
      <c r="J29" s="215" t="s">
        <v>1034</v>
      </c>
      <c r="K29" s="242">
        <f t="shared" si="2"/>
        <v>28237700</v>
      </c>
      <c r="L29" s="244">
        <f t="shared" si="3"/>
        <v>0.27785315492977891</v>
      </c>
      <c r="M29" s="389">
        <f t="shared" si="4"/>
        <v>6139934</v>
      </c>
    </row>
    <row r="30" spans="2:15" x14ac:dyDescent="0.25"/>
    <row r="31" spans="2:15" hidden="1" x14ac:dyDescent="0.25">
      <c r="J31" s="242"/>
      <c r="K31" s="242"/>
    </row>
    <row r="32" spans="2:15" hidden="1" x14ac:dyDescent="0.25">
      <c r="J32" s="242"/>
      <c r="K32" s="242"/>
    </row>
    <row r="33" spans="10:11" hidden="1" x14ac:dyDescent="0.25">
      <c r="J33" s="242"/>
      <c r="K33" s="242"/>
    </row>
    <row r="34" spans="10:11" hidden="1" x14ac:dyDescent="0.25">
      <c r="J34" s="242"/>
      <c r="K34" s="242"/>
    </row>
    <row r="35" spans="10:11" hidden="1" x14ac:dyDescent="0.25">
      <c r="J35" s="242"/>
      <c r="K35" s="242"/>
    </row>
    <row r="36" spans="10:11" hidden="1" x14ac:dyDescent="0.25">
      <c r="J36" s="242"/>
      <c r="K36" s="242"/>
    </row>
    <row r="37" spans="10:11" hidden="1" x14ac:dyDescent="0.25">
      <c r="J37" s="242"/>
      <c r="K37" s="242"/>
    </row>
    <row r="38" spans="10:11" hidden="1" x14ac:dyDescent="0.25">
      <c r="J38" s="242"/>
      <c r="K38" s="242"/>
    </row>
    <row r="39" spans="10:11" hidden="1" x14ac:dyDescent="0.25">
      <c r="J39" s="242"/>
      <c r="K39" s="242"/>
    </row>
    <row r="40" spans="10:11" hidden="1" x14ac:dyDescent="0.25">
      <c r="J40" s="242"/>
      <c r="K40" s="242"/>
    </row>
    <row r="41" spans="10:11" hidden="1" x14ac:dyDescent="0.25">
      <c r="J41" s="242"/>
      <c r="K41" s="242"/>
    </row>
    <row r="42" spans="10:11" hidden="1" x14ac:dyDescent="0.25">
      <c r="J42" s="242"/>
      <c r="K42" s="242"/>
    </row>
    <row r="43" spans="10:11" hidden="1" x14ac:dyDescent="0.25">
      <c r="J43" s="242"/>
      <c r="K43" s="242"/>
    </row>
    <row r="44" spans="10:11" hidden="1" x14ac:dyDescent="0.25">
      <c r="J44" s="242"/>
      <c r="K44" s="242"/>
    </row>
  </sheetData>
  <sheetProtection algorithmName="SHA-512" hashValue="TmzL6hbTf/bfX+dIMpkRhv85BHtRwS8CofQNw2BgVvCHZW7gAwOkUfhZqX8QpRzKz0vvlKsJNa282f4OZ9Y/5w==" saltValue="FwB7Hy1OFNfumo92sD/tYw==" spinCount="100000" sheet="1" objects="1" scenarios="1"/>
  <phoneticPr fontId="9"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0614-9821-47DC-A657-1AB4D606168C}">
  <sheetPr codeName="Hoja3">
    <tabColor theme="0"/>
  </sheetPr>
  <dimension ref="A1:N176"/>
  <sheetViews>
    <sheetView showOutlineSymbols="0" showWhiteSpace="0" topLeftCell="G8" workbookViewId="0">
      <selection activeCell="G8" sqref="A1:XFD1048576"/>
    </sheetView>
  </sheetViews>
  <sheetFormatPr baseColWidth="10" defaultColWidth="0" defaultRowHeight="3" customHeight="1" x14ac:dyDescent="0.25"/>
  <cols>
    <col min="1" max="6" width="0" hidden="1" customWidth="1"/>
    <col min="7" max="8" width="11.42578125" customWidth="1"/>
    <col min="9" max="9" width="13.85546875" customWidth="1"/>
    <col min="10" max="10" width="24.42578125" customWidth="1"/>
    <col min="11" max="11" width="11.42578125" customWidth="1"/>
    <col min="12" max="12" width="18.5703125" style="117" customWidth="1"/>
    <col min="13" max="13" width="14.85546875" bestFit="1" customWidth="1"/>
    <col min="14" max="14" width="15.5703125" hidden="1"/>
    <col min="15" max="16384" width="11.42578125" hidden="1"/>
  </cols>
  <sheetData>
    <row r="1" spans="8:14" ht="3" customHeight="1" thickBot="1" x14ac:dyDescent="0.3">
      <c r="H1" s="589"/>
      <c r="I1" s="590"/>
      <c r="J1" s="591" t="str">
        <f>+PARAMETROS!B32</f>
        <v>FCMi 2026</v>
      </c>
      <c r="K1" s="592">
        <f>COUNTIF(K3:K113,"Sí")</f>
        <v>45</v>
      </c>
      <c r="L1" s="593">
        <v>0.4</v>
      </c>
    </row>
    <row r="2" spans="8:14" ht="3" customHeight="1" thickBot="1" x14ac:dyDescent="0.3">
      <c r="H2" s="435" t="s">
        <v>1023</v>
      </c>
      <c r="I2" s="436" t="s">
        <v>1120</v>
      </c>
      <c r="J2" s="436" t="s">
        <v>544</v>
      </c>
      <c r="K2" s="436" t="s">
        <v>1024</v>
      </c>
      <c r="L2" s="437" t="s">
        <v>1026</v>
      </c>
    </row>
    <row r="3" spans="8:14" ht="3" customHeight="1" x14ac:dyDescent="0.25">
      <c r="H3" s="378">
        <v>1101</v>
      </c>
      <c r="I3" s="379" t="s">
        <v>1121</v>
      </c>
      <c r="J3" s="379" t="s">
        <v>1038</v>
      </c>
      <c r="K3" s="380" t="s">
        <v>1025</v>
      </c>
      <c r="L3" s="434">
        <v>2E-3</v>
      </c>
      <c r="N3" s="96"/>
    </row>
    <row r="4" spans="8:14" ht="3" customHeight="1" x14ac:dyDescent="0.25">
      <c r="H4" s="378">
        <v>1405</v>
      </c>
      <c r="I4" s="379" t="s">
        <v>1121</v>
      </c>
      <c r="J4" s="379" t="s">
        <v>1039</v>
      </c>
      <c r="K4" s="380" t="s">
        <v>1025</v>
      </c>
      <c r="L4" s="429">
        <v>2.1327480500000001E-3</v>
      </c>
      <c r="N4" s="96"/>
    </row>
    <row r="5" spans="8:14" ht="3" customHeight="1" x14ac:dyDescent="0.25">
      <c r="H5" s="378">
        <v>2101</v>
      </c>
      <c r="I5" s="379" t="s">
        <v>1121</v>
      </c>
      <c r="J5" s="379" t="s">
        <v>1040</v>
      </c>
      <c r="K5" s="380" t="s">
        <v>1025</v>
      </c>
      <c r="L5" s="429">
        <v>1.364504029E-2</v>
      </c>
      <c r="N5" s="96"/>
    </row>
    <row r="6" spans="8:14" ht="3" customHeight="1" x14ac:dyDescent="0.25">
      <c r="H6" s="378">
        <v>2102</v>
      </c>
      <c r="I6" s="379" t="s">
        <v>1121</v>
      </c>
      <c r="J6" s="379" t="s">
        <v>1041</v>
      </c>
      <c r="K6" s="380" t="s">
        <v>1025</v>
      </c>
      <c r="L6" s="429">
        <v>3.97959627E-3</v>
      </c>
      <c r="N6" s="96"/>
    </row>
    <row r="7" spans="8:14" ht="3" customHeight="1" x14ac:dyDescent="0.25">
      <c r="H7" s="378">
        <v>2103</v>
      </c>
      <c r="I7" s="379" t="s">
        <v>1121</v>
      </c>
      <c r="J7" s="379" t="s">
        <v>1042</v>
      </c>
      <c r="K7" s="380" t="s">
        <v>1025</v>
      </c>
      <c r="L7" s="429">
        <v>6.4973653300000002E-3</v>
      </c>
      <c r="N7" s="96"/>
    </row>
    <row r="8" spans="8:14" ht="3" customHeight="1" x14ac:dyDescent="0.25">
      <c r="H8" s="378">
        <v>2104</v>
      </c>
      <c r="I8" s="379" t="s">
        <v>1121</v>
      </c>
      <c r="J8" s="379" t="s">
        <v>1043</v>
      </c>
      <c r="K8" s="380" t="s">
        <v>1025</v>
      </c>
      <c r="L8" s="429">
        <v>6.5307305399999998E-3</v>
      </c>
      <c r="N8" s="96"/>
    </row>
    <row r="9" spans="8:14" ht="3" customHeight="1" x14ac:dyDescent="0.25">
      <c r="H9" s="378">
        <v>2201</v>
      </c>
      <c r="I9" s="379" t="s">
        <v>1121</v>
      </c>
      <c r="J9" s="379" t="s">
        <v>1044</v>
      </c>
      <c r="K9" s="380" t="s">
        <v>1025</v>
      </c>
      <c r="L9" s="429">
        <v>6.1408269410000001E-2</v>
      </c>
      <c r="N9" s="96"/>
    </row>
    <row r="10" spans="8:14" ht="3" customHeight="1" x14ac:dyDescent="0.25">
      <c r="H10" s="378">
        <v>2202</v>
      </c>
      <c r="I10" s="379" t="s">
        <v>1121</v>
      </c>
      <c r="J10" s="379" t="s">
        <v>1045</v>
      </c>
      <c r="K10" s="380" t="s">
        <v>1025</v>
      </c>
      <c r="L10" s="429">
        <v>4.3795619999999999E-4</v>
      </c>
      <c r="N10" s="96"/>
    </row>
    <row r="11" spans="8:14" ht="3" customHeight="1" x14ac:dyDescent="0.25">
      <c r="H11" s="378">
        <v>2203</v>
      </c>
      <c r="I11" s="379" t="s">
        <v>1121</v>
      </c>
      <c r="J11" s="379" t="s">
        <v>1117</v>
      </c>
      <c r="K11" s="380" t="s">
        <v>1025</v>
      </c>
      <c r="L11" s="429">
        <v>8.7591240999999995E-4</v>
      </c>
      <c r="N11" s="96"/>
    </row>
    <row r="12" spans="8:14" ht="3" customHeight="1" x14ac:dyDescent="0.25">
      <c r="H12" s="378">
        <v>2301</v>
      </c>
      <c r="I12" s="379" t="s">
        <v>1121</v>
      </c>
      <c r="J12" s="379" t="s">
        <v>1047</v>
      </c>
      <c r="K12" s="380" t="s">
        <v>1025</v>
      </c>
      <c r="L12" s="429">
        <v>3.18226601E-3</v>
      </c>
      <c r="N12" s="96"/>
    </row>
    <row r="13" spans="8:14" ht="3" customHeight="1" x14ac:dyDescent="0.25">
      <c r="H13" s="378">
        <v>2302</v>
      </c>
      <c r="I13" s="379" t="s">
        <v>1121</v>
      </c>
      <c r="J13" s="379" t="s">
        <v>1048</v>
      </c>
      <c r="K13" s="380" t="s">
        <v>1025</v>
      </c>
      <c r="L13" s="429">
        <v>1.62022221E-3</v>
      </c>
      <c r="N13" s="96"/>
    </row>
    <row r="14" spans="8:14" ht="3" customHeight="1" x14ac:dyDescent="0.25">
      <c r="H14" s="378">
        <v>3101</v>
      </c>
      <c r="I14" s="379" t="s">
        <v>1121</v>
      </c>
      <c r="J14" s="379" t="s">
        <v>1052</v>
      </c>
      <c r="K14" s="380" t="s">
        <v>1025</v>
      </c>
      <c r="L14" s="429">
        <v>3.4181601729999997E-2</v>
      </c>
      <c r="N14" s="96"/>
    </row>
    <row r="15" spans="8:14" ht="3" customHeight="1" x14ac:dyDescent="0.25">
      <c r="H15" s="378">
        <v>3102</v>
      </c>
      <c r="I15" s="379" t="s">
        <v>1121</v>
      </c>
      <c r="J15" s="379" t="s">
        <v>1050</v>
      </c>
      <c r="K15" s="380" t="s">
        <v>1025</v>
      </c>
      <c r="L15" s="429">
        <v>3.0389512099999998E-3</v>
      </c>
      <c r="N15" s="96"/>
    </row>
    <row r="16" spans="8:14" ht="3" customHeight="1" x14ac:dyDescent="0.25">
      <c r="H16" s="378">
        <v>3103</v>
      </c>
      <c r="I16" s="379" t="s">
        <v>1121</v>
      </c>
      <c r="J16" s="379" t="s">
        <v>1056</v>
      </c>
      <c r="K16" s="380" t="s">
        <v>1025</v>
      </c>
      <c r="L16" s="429">
        <v>3.2240938390000001E-2</v>
      </c>
      <c r="N16" s="96"/>
    </row>
    <row r="17" spans="8:14" ht="3" customHeight="1" x14ac:dyDescent="0.25">
      <c r="H17" s="378">
        <v>3201</v>
      </c>
      <c r="I17" s="379" t="s">
        <v>1121</v>
      </c>
      <c r="J17" s="379" t="s">
        <v>1051</v>
      </c>
      <c r="K17" s="380" t="s">
        <v>1025</v>
      </c>
      <c r="L17" s="429">
        <v>6.7402527999999998E-3</v>
      </c>
      <c r="N17" s="96"/>
    </row>
    <row r="18" spans="8:14" ht="3" customHeight="1" x14ac:dyDescent="0.25">
      <c r="H18" s="378">
        <v>3202</v>
      </c>
      <c r="I18" s="379" t="s">
        <v>1121</v>
      </c>
      <c r="J18" s="379" t="s">
        <v>1118</v>
      </c>
      <c r="K18" s="380" t="s">
        <v>1025</v>
      </c>
      <c r="L18" s="429">
        <v>1.476966146E-2</v>
      </c>
      <c r="N18" s="96"/>
    </row>
    <row r="19" spans="8:14" ht="3" customHeight="1" x14ac:dyDescent="0.25">
      <c r="H19" s="378">
        <v>3301</v>
      </c>
      <c r="I19" s="379" t="s">
        <v>1121</v>
      </c>
      <c r="J19" s="379" t="s">
        <v>1057</v>
      </c>
      <c r="K19" s="380" t="s">
        <v>1025</v>
      </c>
      <c r="L19" s="429">
        <v>3.0815049E-3</v>
      </c>
      <c r="N19" s="96"/>
    </row>
    <row r="20" spans="8:14" ht="3" customHeight="1" x14ac:dyDescent="0.25">
      <c r="H20" s="378">
        <v>3303</v>
      </c>
      <c r="I20" s="379" t="s">
        <v>1121</v>
      </c>
      <c r="J20" s="379" t="s">
        <v>1054</v>
      </c>
      <c r="K20" s="380" t="s">
        <v>1025</v>
      </c>
      <c r="L20" s="429">
        <v>6.4589010600000002E-3</v>
      </c>
      <c r="N20" s="96"/>
    </row>
    <row r="21" spans="8:14" ht="3" customHeight="1" x14ac:dyDescent="0.25">
      <c r="H21" s="378">
        <v>3304</v>
      </c>
      <c r="I21" s="379" t="s">
        <v>1121</v>
      </c>
      <c r="J21" s="379" t="s">
        <v>1055</v>
      </c>
      <c r="K21" s="380" t="s">
        <v>1025</v>
      </c>
      <c r="L21" s="429">
        <v>3.4533229749999998E-2</v>
      </c>
      <c r="N21" s="96"/>
    </row>
    <row r="22" spans="8:14" ht="3" customHeight="1" x14ac:dyDescent="0.25">
      <c r="H22" s="378">
        <v>4101</v>
      </c>
      <c r="I22" s="379" t="s">
        <v>1121</v>
      </c>
      <c r="J22" s="379" t="s">
        <v>1059</v>
      </c>
      <c r="K22" s="380" t="s">
        <v>1025</v>
      </c>
      <c r="L22" s="429">
        <v>6.8629066900000001E-3</v>
      </c>
      <c r="N22" s="96"/>
    </row>
    <row r="23" spans="8:14" ht="3" customHeight="1" x14ac:dyDescent="0.25">
      <c r="H23" s="378">
        <v>4102</v>
      </c>
      <c r="I23" s="379" t="s">
        <v>1121</v>
      </c>
      <c r="J23" s="379" t="s">
        <v>1058</v>
      </c>
      <c r="K23" s="380" t="s">
        <v>1025</v>
      </c>
      <c r="L23" s="429">
        <v>6.5257676799999999E-3</v>
      </c>
      <c r="N23" s="96"/>
    </row>
    <row r="24" spans="8:14" ht="3" customHeight="1" x14ac:dyDescent="0.25">
      <c r="H24" s="378">
        <v>4103</v>
      </c>
      <c r="I24" s="379" t="s">
        <v>1121</v>
      </c>
      <c r="J24" s="379" t="s">
        <v>1060</v>
      </c>
      <c r="K24" s="380" t="s">
        <v>1025</v>
      </c>
      <c r="L24" s="429">
        <v>2.033947069E-2</v>
      </c>
      <c r="N24" s="96"/>
    </row>
    <row r="25" spans="8:14" ht="3" customHeight="1" x14ac:dyDescent="0.25">
      <c r="H25" s="378">
        <v>4104</v>
      </c>
      <c r="I25" s="379" t="s">
        <v>1121</v>
      </c>
      <c r="J25" s="379" t="s">
        <v>1061</v>
      </c>
      <c r="K25" s="380" t="s">
        <v>1025</v>
      </c>
      <c r="L25" s="429">
        <v>3.83704866E-3</v>
      </c>
      <c r="N25" s="96"/>
    </row>
    <row r="26" spans="8:14" ht="3" customHeight="1" x14ac:dyDescent="0.25">
      <c r="H26" s="378">
        <v>4201</v>
      </c>
      <c r="I26" s="379" t="s">
        <v>1121</v>
      </c>
      <c r="J26" s="379" t="s">
        <v>1062</v>
      </c>
      <c r="K26" s="380" t="s">
        <v>1025</v>
      </c>
      <c r="L26" s="429">
        <v>7.3262766299999997E-3</v>
      </c>
      <c r="N26" s="96"/>
    </row>
    <row r="27" spans="8:14" ht="3" customHeight="1" x14ac:dyDescent="0.25">
      <c r="H27" s="378">
        <v>4202</v>
      </c>
      <c r="I27" s="379" t="s">
        <v>1121</v>
      </c>
      <c r="J27" s="379" t="s">
        <v>1063</v>
      </c>
      <c r="K27" s="380" t="s">
        <v>1025</v>
      </c>
      <c r="L27" s="429">
        <v>1.02026342E-3</v>
      </c>
      <c r="N27" s="96"/>
    </row>
    <row r="28" spans="8:14" ht="3" customHeight="1" x14ac:dyDescent="0.25">
      <c r="H28" s="378">
        <v>4203</v>
      </c>
      <c r="I28" s="379" t="s">
        <v>1121</v>
      </c>
      <c r="J28" s="379" t="s">
        <v>1064</v>
      </c>
      <c r="K28" s="380" t="s">
        <v>1025</v>
      </c>
      <c r="L28" s="429">
        <v>3.5419294699999999E-3</v>
      </c>
      <c r="N28" s="96"/>
    </row>
    <row r="29" spans="8:14" ht="3" customHeight="1" x14ac:dyDescent="0.25">
      <c r="H29" s="378">
        <v>4204</v>
      </c>
      <c r="I29" s="379" t="s">
        <v>1121</v>
      </c>
      <c r="J29" s="379" t="s">
        <v>1065</v>
      </c>
      <c r="K29" s="380" t="s">
        <v>1025</v>
      </c>
      <c r="L29" s="429">
        <v>6.7222019100000004E-3</v>
      </c>
      <c r="N29" s="96"/>
    </row>
    <row r="30" spans="8:14" ht="3" customHeight="1" x14ac:dyDescent="0.25">
      <c r="H30" s="378">
        <v>4302</v>
      </c>
      <c r="I30" s="379" t="s">
        <v>1121</v>
      </c>
      <c r="J30" s="379" t="s">
        <v>1066</v>
      </c>
      <c r="K30" s="380" t="s">
        <v>1025</v>
      </c>
      <c r="L30" s="429">
        <v>2.9334703000000002E-3</v>
      </c>
      <c r="N30" s="96"/>
    </row>
    <row r="31" spans="8:14" ht="3" customHeight="1" x14ac:dyDescent="0.25">
      <c r="H31" s="378">
        <v>4303</v>
      </c>
      <c r="I31" s="379" t="s">
        <v>1121</v>
      </c>
      <c r="J31" s="379" t="s">
        <v>1067</v>
      </c>
      <c r="K31" s="380" t="s">
        <v>1025</v>
      </c>
      <c r="L31" s="429">
        <v>1.3087206699999999E-3</v>
      </c>
      <c r="N31" s="96"/>
    </row>
    <row r="32" spans="8:14" ht="3" customHeight="1" x14ac:dyDescent="0.25">
      <c r="H32" s="378">
        <v>4304</v>
      </c>
      <c r="I32" s="379" t="s">
        <v>1121</v>
      </c>
      <c r="J32" s="379" t="s">
        <v>1068</v>
      </c>
      <c r="K32" s="380" t="s">
        <v>1025</v>
      </c>
      <c r="L32" s="429">
        <v>2.3482526000000001E-3</v>
      </c>
      <c r="N32" s="96"/>
    </row>
    <row r="33" spans="8:14" ht="3" customHeight="1" x14ac:dyDescent="0.25">
      <c r="H33" s="378">
        <v>5105</v>
      </c>
      <c r="I33" s="379" t="s">
        <v>1121</v>
      </c>
      <c r="J33" s="379" t="s">
        <v>1070</v>
      </c>
      <c r="K33" s="380" t="s">
        <v>1025</v>
      </c>
      <c r="L33" s="429">
        <v>1.4008964630000001E-2</v>
      </c>
      <c r="N33" s="96"/>
    </row>
    <row r="34" spans="8:14" ht="3" customHeight="1" x14ac:dyDescent="0.25">
      <c r="H34" s="378">
        <v>5107</v>
      </c>
      <c r="I34" s="379" t="s">
        <v>1121</v>
      </c>
      <c r="J34" s="379" t="s">
        <v>1071</v>
      </c>
      <c r="K34" s="380" t="s">
        <v>1025</v>
      </c>
      <c r="L34" s="429">
        <v>1.099392835E-2</v>
      </c>
      <c r="N34" s="96"/>
    </row>
    <row r="35" spans="8:14" ht="3" customHeight="1" x14ac:dyDescent="0.25">
      <c r="H35" s="378">
        <v>5301</v>
      </c>
      <c r="I35" s="379" t="s">
        <v>1121</v>
      </c>
      <c r="J35" s="379" t="s">
        <v>1072</v>
      </c>
      <c r="K35" s="380" t="s">
        <v>1025</v>
      </c>
      <c r="L35" s="429">
        <v>6.3399584800000004E-3</v>
      </c>
      <c r="N35" s="96"/>
    </row>
    <row r="36" spans="8:14" ht="3" customHeight="1" x14ac:dyDescent="0.25">
      <c r="H36" s="378">
        <v>5302</v>
      </c>
      <c r="I36" s="379" t="s">
        <v>1121</v>
      </c>
      <c r="J36" s="379" t="s">
        <v>1073</v>
      </c>
      <c r="K36" s="380" t="s">
        <v>1025</v>
      </c>
      <c r="L36" s="429">
        <v>1.1166469899999999E-3</v>
      </c>
      <c r="N36" s="96"/>
    </row>
    <row r="37" spans="8:14" ht="3" customHeight="1" x14ac:dyDescent="0.25">
      <c r="H37" s="378">
        <v>5402</v>
      </c>
      <c r="I37" s="379" t="s">
        <v>1121</v>
      </c>
      <c r="J37" s="379" t="s">
        <v>1074</v>
      </c>
      <c r="K37" s="380" t="s">
        <v>1025</v>
      </c>
      <c r="L37" s="429">
        <v>9.6120116500000002E-3</v>
      </c>
      <c r="N37" s="96"/>
    </row>
    <row r="38" spans="8:14" ht="3" customHeight="1" x14ac:dyDescent="0.25">
      <c r="H38" s="378">
        <v>5404</v>
      </c>
      <c r="I38" s="379" t="s">
        <v>1121</v>
      </c>
      <c r="J38" s="379" t="s">
        <v>1119</v>
      </c>
      <c r="K38" s="380" t="s">
        <v>1025</v>
      </c>
      <c r="L38" s="429">
        <v>2.37253127E-3</v>
      </c>
      <c r="N38" s="96"/>
    </row>
    <row r="39" spans="8:14" ht="3" customHeight="1" x14ac:dyDescent="0.25">
      <c r="H39" s="378">
        <v>5506</v>
      </c>
      <c r="I39" s="379" t="s">
        <v>1121</v>
      </c>
      <c r="J39" s="379" t="s">
        <v>1076</v>
      </c>
      <c r="K39" s="380" t="s">
        <v>1025</v>
      </c>
      <c r="L39" s="429">
        <v>6.32933461E-3</v>
      </c>
      <c r="N39" s="96"/>
    </row>
    <row r="40" spans="8:14" ht="3" customHeight="1" x14ac:dyDescent="0.25">
      <c r="H40" s="378">
        <v>5701</v>
      </c>
      <c r="I40" s="379" t="s">
        <v>1121</v>
      </c>
      <c r="J40" s="379" t="s">
        <v>1077</v>
      </c>
      <c r="K40" s="380" t="s">
        <v>1025</v>
      </c>
      <c r="L40" s="429">
        <v>2.7626905799999998E-3</v>
      </c>
      <c r="N40" s="96"/>
    </row>
    <row r="41" spans="8:14" ht="3" customHeight="1" x14ac:dyDescent="0.25">
      <c r="H41" s="378">
        <v>5702</v>
      </c>
      <c r="I41" s="379" t="s">
        <v>1121</v>
      </c>
      <c r="J41" s="379" t="s">
        <v>1078</v>
      </c>
      <c r="K41" s="380" t="s">
        <v>1025</v>
      </c>
      <c r="L41" s="429">
        <v>1.158419112E-2</v>
      </c>
      <c r="N41" s="96"/>
    </row>
    <row r="42" spans="8:14" ht="3" customHeight="1" x14ac:dyDescent="0.25">
      <c r="H42" s="378">
        <v>6101</v>
      </c>
      <c r="I42" s="379" t="s">
        <v>1121</v>
      </c>
      <c r="J42" s="379" t="s">
        <v>1079</v>
      </c>
      <c r="K42" s="380" t="s">
        <v>1025</v>
      </c>
      <c r="L42" s="429">
        <v>7.8838121300000008E-3</v>
      </c>
      <c r="N42" s="96"/>
    </row>
    <row r="43" spans="8:14" ht="3" customHeight="1" x14ac:dyDescent="0.25">
      <c r="H43" s="378">
        <v>6104</v>
      </c>
      <c r="I43" s="379" t="s">
        <v>1121</v>
      </c>
      <c r="J43" s="379" t="s">
        <v>1080</v>
      </c>
      <c r="K43" s="380" t="s">
        <v>1025</v>
      </c>
      <c r="L43" s="429">
        <v>3.8600500300000002E-3</v>
      </c>
      <c r="N43" s="96"/>
    </row>
    <row r="44" spans="8:14" ht="3" customHeight="1" x14ac:dyDescent="0.25">
      <c r="H44" s="378">
        <v>6105</v>
      </c>
      <c r="I44" s="379" t="s">
        <v>1121</v>
      </c>
      <c r="J44" s="379" t="s">
        <v>1081</v>
      </c>
      <c r="K44" s="380" t="s">
        <v>1025</v>
      </c>
      <c r="L44" s="429">
        <v>3.6257411399999999E-3</v>
      </c>
      <c r="N44" s="96"/>
    </row>
    <row r="45" spans="8:14" ht="3" customHeight="1" x14ac:dyDescent="0.25">
      <c r="H45" s="378">
        <v>6108</v>
      </c>
      <c r="I45" s="379" t="s">
        <v>1121</v>
      </c>
      <c r="J45" s="379" t="s">
        <v>1082</v>
      </c>
      <c r="K45" s="380" t="s">
        <v>1025</v>
      </c>
      <c r="L45" s="429">
        <v>1.51051673E-2</v>
      </c>
      <c r="N45" s="96"/>
    </row>
    <row r="46" spans="8:14" ht="3" customHeight="1" x14ac:dyDescent="0.25">
      <c r="H46" s="378">
        <v>6116</v>
      </c>
      <c r="I46" s="379" t="s">
        <v>1121</v>
      </c>
      <c r="J46" s="379" t="s">
        <v>1083</v>
      </c>
      <c r="K46" s="380" t="s">
        <v>1025</v>
      </c>
      <c r="L46" s="429">
        <v>4.1982391199999998E-3</v>
      </c>
      <c r="N46" s="96"/>
    </row>
    <row r="47" spans="8:14" ht="3" customHeight="1" thickBot="1" x14ac:dyDescent="0.3">
      <c r="H47" s="430">
        <v>6203</v>
      </c>
      <c r="I47" s="431" t="s">
        <v>1121</v>
      </c>
      <c r="J47" s="431" t="s">
        <v>1084</v>
      </c>
      <c r="K47" s="432" t="s">
        <v>1025</v>
      </c>
      <c r="L47" s="433">
        <v>8.5275860000000005E-5</v>
      </c>
      <c r="N47" s="96"/>
    </row>
    <row r="48" spans="8:14" ht="3" customHeight="1" x14ac:dyDescent="0.25">
      <c r="L48"/>
    </row>
    <row r="49" spans="12:12" ht="3" customHeight="1" x14ac:dyDescent="0.25">
      <c r="L49"/>
    </row>
    <row r="50" spans="12:12" ht="3" customHeight="1" x14ac:dyDescent="0.25">
      <c r="L50"/>
    </row>
    <row r="51" spans="12:12" ht="3" customHeight="1" x14ac:dyDescent="0.25">
      <c r="L51"/>
    </row>
    <row r="52" spans="12:12" ht="3" customHeight="1" x14ac:dyDescent="0.25">
      <c r="L52"/>
    </row>
    <row r="53" spans="12:12" ht="3" customHeight="1" x14ac:dyDescent="0.25">
      <c r="L53"/>
    </row>
    <row r="54" spans="12:12" ht="3" customHeight="1" x14ac:dyDescent="0.25">
      <c r="L54"/>
    </row>
    <row r="55" spans="12:12" ht="3" customHeight="1" x14ac:dyDescent="0.25">
      <c r="L55"/>
    </row>
    <row r="56" spans="12:12" ht="3" customHeight="1" x14ac:dyDescent="0.25">
      <c r="L56"/>
    </row>
    <row r="57" spans="12:12" ht="3" customHeight="1" x14ac:dyDescent="0.25">
      <c r="L57"/>
    </row>
    <row r="58" spans="12:12" ht="3" customHeight="1" x14ac:dyDescent="0.25">
      <c r="L58"/>
    </row>
    <row r="59" spans="12:12" ht="3" customHeight="1" x14ac:dyDescent="0.25">
      <c r="L59"/>
    </row>
    <row r="60" spans="12:12" ht="3" customHeight="1" x14ac:dyDescent="0.25">
      <c r="L60"/>
    </row>
    <row r="61" spans="12:12" ht="3" customHeight="1" x14ac:dyDescent="0.25">
      <c r="L61"/>
    </row>
    <row r="62" spans="12:12" ht="3" customHeight="1" x14ac:dyDescent="0.25">
      <c r="L62"/>
    </row>
    <row r="63" spans="12:12" ht="3" customHeight="1" x14ac:dyDescent="0.25">
      <c r="L63"/>
    </row>
    <row r="64" spans="12:12" ht="3" customHeight="1" x14ac:dyDescent="0.25">
      <c r="L64"/>
    </row>
    <row r="65" spans="12:12" ht="3" customHeight="1" x14ac:dyDescent="0.25">
      <c r="L65"/>
    </row>
    <row r="66" spans="12:12" ht="3" customHeight="1" x14ac:dyDescent="0.25">
      <c r="L66"/>
    </row>
    <row r="67" spans="12:12" ht="3" customHeight="1" x14ac:dyDescent="0.25">
      <c r="L67"/>
    </row>
    <row r="68" spans="12:12" ht="3" customHeight="1" x14ac:dyDescent="0.25">
      <c r="L68"/>
    </row>
    <row r="69" spans="12:12" ht="3" customHeight="1" x14ac:dyDescent="0.25">
      <c r="L69"/>
    </row>
    <row r="70" spans="12:12" ht="3" customHeight="1" x14ac:dyDescent="0.25">
      <c r="L70"/>
    </row>
    <row r="71" spans="12:12" ht="3" customHeight="1" x14ac:dyDescent="0.25">
      <c r="L71"/>
    </row>
    <row r="72" spans="12:12" ht="3" customHeight="1" x14ac:dyDescent="0.25">
      <c r="L72"/>
    </row>
    <row r="73" spans="12:12" ht="3" customHeight="1" x14ac:dyDescent="0.25">
      <c r="L73"/>
    </row>
    <row r="74" spans="12:12" ht="3" customHeight="1" x14ac:dyDescent="0.25">
      <c r="L74"/>
    </row>
    <row r="75" spans="12:12" ht="3" customHeight="1" x14ac:dyDescent="0.25">
      <c r="L75"/>
    </row>
    <row r="76" spans="12:12" ht="3" customHeight="1" x14ac:dyDescent="0.25">
      <c r="L76"/>
    </row>
    <row r="77" spans="12:12" ht="3" customHeight="1" x14ac:dyDescent="0.25">
      <c r="L77"/>
    </row>
    <row r="78" spans="12:12" ht="3" customHeight="1" x14ac:dyDescent="0.25">
      <c r="L78"/>
    </row>
    <row r="79" spans="12:12" ht="3" customHeight="1" x14ac:dyDescent="0.25">
      <c r="L79"/>
    </row>
    <row r="80" spans="12:12" ht="3" customHeight="1" x14ac:dyDescent="0.25">
      <c r="L80"/>
    </row>
    <row r="81" spans="12:12" ht="3" customHeight="1" x14ac:dyDescent="0.25">
      <c r="L81"/>
    </row>
    <row r="82" spans="12:12" ht="3" customHeight="1" x14ac:dyDescent="0.25">
      <c r="L82"/>
    </row>
    <row r="83" spans="12:12" ht="3" customHeight="1" x14ac:dyDescent="0.25">
      <c r="L83"/>
    </row>
    <row r="84" spans="12:12" ht="3" customHeight="1" x14ac:dyDescent="0.25">
      <c r="L84"/>
    </row>
    <row r="85" spans="12:12" ht="3" customHeight="1" x14ac:dyDescent="0.25">
      <c r="L85"/>
    </row>
    <row r="86" spans="12:12" ht="3" customHeight="1" x14ac:dyDescent="0.25">
      <c r="L86"/>
    </row>
    <row r="87" spans="12:12" ht="3" customHeight="1" x14ac:dyDescent="0.25">
      <c r="L87"/>
    </row>
    <row r="88" spans="12:12" ht="3" customHeight="1" x14ac:dyDescent="0.25">
      <c r="L88"/>
    </row>
    <row r="89" spans="12:12" ht="3" customHeight="1" x14ac:dyDescent="0.25">
      <c r="L89"/>
    </row>
    <row r="90" spans="12:12" ht="3" customHeight="1" x14ac:dyDescent="0.25">
      <c r="L90"/>
    </row>
    <row r="91" spans="12:12" ht="3" customHeight="1" x14ac:dyDescent="0.25">
      <c r="L91"/>
    </row>
    <row r="92" spans="12:12" ht="3" customHeight="1" x14ac:dyDescent="0.25">
      <c r="L92"/>
    </row>
    <row r="93" spans="12:12" ht="3" customHeight="1" x14ac:dyDescent="0.25">
      <c r="L93"/>
    </row>
    <row r="94" spans="12:12" ht="3" customHeight="1" x14ac:dyDescent="0.25">
      <c r="L94"/>
    </row>
    <row r="95" spans="12:12" ht="3" customHeight="1" x14ac:dyDescent="0.25">
      <c r="L95"/>
    </row>
    <row r="96" spans="12:12" ht="3" customHeight="1" x14ac:dyDescent="0.25">
      <c r="L96"/>
    </row>
    <row r="97" spans="12:12" ht="3" customHeight="1" x14ac:dyDescent="0.25">
      <c r="L97"/>
    </row>
    <row r="98" spans="12:12" ht="3" customHeight="1" x14ac:dyDescent="0.25">
      <c r="L98"/>
    </row>
    <row r="99" spans="12:12" ht="3" customHeight="1" x14ac:dyDescent="0.25">
      <c r="L99"/>
    </row>
    <row r="100" spans="12:12" ht="3" customHeight="1" x14ac:dyDescent="0.25">
      <c r="L100"/>
    </row>
    <row r="101" spans="12:12" ht="3" customHeight="1" x14ac:dyDescent="0.25">
      <c r="L101"/>
    </row>
    <row r="102" spans="12:12" ht="3" customHeight="1" x14ac:dyDescent="0.25">
      <c r="L102"/>
    </row>
    <row r="103" spans="12:12" ht="3" customHeight="1" x14ac:dyDescent="0.25">
      <c r="L103"/>
    </row>
    <row r="104" spans="12:12" ht="3" customHeight="1" x14ac:dyDescent="0.25">
      <c r="L104"/>
    </row>
    <row r="105" spans="12:12" ht="3" customHeight="1" x14ac:dyDescent="0.25">
      <c r="L105"/>
    </row>
    <row r="106" spans="12:12" ht="3" customHeight="1" x14ac:dyDescent="0.25">
      <c r="L106"/>
    </row>
    <row r="107" spans="12:12" ht="3" customHeight="1" x14ac:dyDescent="0.25">
      <c r="L107"/>
    </row>
    <row r="108" spans="12:12" ht="3" customHeight="1" x14ac:dyDescent="0.25">
      <c r="L108"/>
    </row>
    <row r="109" spans="12:12" ht="3" customHeight="1" x14ac:dyDescent="0.25">
      <c r="L109"/>
    </row>
    <row r="110" spans="12:12" ht="3" customHeight="1" x14ac:dyDescent="0.25">
      <c r="L110"/>
    </row>
    <row r="111" spans="12:12" ht="3" customHeight="1" x14ac:dyDescent="0.25">
      <c r="L111"/>
    </row>
    <row r="112" spans="12:12" ht="3" customHeight="1" x14ac:dyDescent="0.25">
      <c r="L112"/>
    </row>
    <row r="113" spans="12:12" ht="3" customHeight="1" x14ac:dyDescent="0.25">
      <c r="L113"/>
    </row>
    <row r="114" spans="12:12" ht="3" customHeight="1" x14ac:dyDescent="0.25">
      <c r="L114"/>
    </row>
    <row r="115" spans="12:12" ht="3" customHeight="1" x14ac:dyDescent="0.25">
      <c r="L115"/>
    </row>
    <row r="116" spans="12:12" ht="3" customHeight="1" x14ac:dyDescent="0.25">
      <c r="L116"/>
    </row>
    <row r="117" spans="12:12" ht="3" customHeight="1" x14ac:dyDescent="0.25">
      <c r="L117"/>
    </row>
    <row r="118" spans="12:12" ht="3" customHeight="1" x14ac:dyDescent="0.25">
      <c r="L118"/>
    </row>
    <row r="119" spans="12:12" ht="3" customHeight="1" x14ac:dyDescent="0.25">
      <c r="L119"/>
    </row>
    <row r="120" spans="12:12" ht="3" customHeight="1" x14ac:dyDescent="0.25">
      <c r="L120"/>
    </row>
    <row r="121" spans="12:12" ht="3" customHeight="1" x14ac:dyDescent="0.25">
      <c r="L121"/>
    </row>
    <row r="122" spans="12:12" ht="3" customHeight="1" x14ac:dyDescent="0.25">
      <c r="L122"/>
    </row>
    <row r="123" spans="12:12" ht="3" customHeight="1" x14ac:dyDescent="0.25">
      <c r="L123"/>
    </row>
    <row r="124" spans="12:12" ht="3" customHeight="1" x14ac:dyDescent="0.25">
      <c r="L124"/>
    </row>
    <row r="125" spans="12:12" ht="3" customHeight="1" x14ac:dyDescent="0.25">
      <c r="L125"/>
    </row>
    <row r="126" spans="12:12" ht="3" customHeight="1" x14ac:dyDescent="0.25">
      <c r="L126"/>
    </row>
    <row r="127" spans="12:12" ht="3" customHeight="1" x14ac:dyDescent="0.25">
      <c r="L127"/>
    </row>
    <row r="128" spans="12:12" ht="3" customHeight="1" x14ac:dyDescent="0.25">
      <c r="L128"/>
    </row>
    <row r="129" spans="12:12" ht="3" customHeight="1" x14ac:dyDescent="0.25">
      <c r="L129"/>
    </row>
    <row r="130" spans="12:12" ht="3" customHeight="1" x14ac:dyDescent="0.25">
      <c r="L130"/>
    </row>
    <row r="131" spans="12:12" ht="3" customHeight="1" x14ac:dyDescent="0.25">
      <c r="L131"/>
    </row>
    <row r="132" spans="12:12" ht="3" customHeight="1" x14ac:dyDescent="0.25">
      <c r="L132"/>
    </row>
    <row r="133" spans="12:12" ht="3" customHeight="1" x14ac:dyDescent="0.25">
      <c r="L133"/>
    </row>
    <row r="134" spans="12:12" ht="3" customHeight="1" x14ac:dyDescent="0.25">
      <c r="L134"/>
    </row>
    <row r="135" spans="12:12" ht="3" customHeight="1" x14ac:dyDescent="0.25">
      <c r="L135"/>
    </row>
    <row r="136" spans="12:12" ht="3" customHeight="1" x14ac:dyDescent="0.25">
      <c r="L136"/>
    </row>
    <row r="137" spans="12:12" ht="3" customHeight="1" x14ac:dyDescent="0.25">
      <c r="L137"/>
    </row>
    <row r="138" spans="12:12" ht="3" customHeight="1" x14ac:dyDescent="0.25">
      <c r="L138"/>
    </row>
    <row r="139" spans="12:12" ht="3" customHeight="1" x14ac:dyDescent="0.25">
      <c r="L139"/>
    </row>
    <row r="140" spans="12:12" ht="3" customHeight="1" x14ac:dyDescent="0.25">
      <c r="L140"/>
    </row>
    <row r="141" spans="12:12" ht="3" customHeight="1" x14ac:dyDescent="0.25">
      <c r="L141"/>
    </row>
    <row r="142" spans="12:12" ht="3" customHeight="1" x14ac:dyDescent="0.25">
      <c r="L142"/>
    </row>
    <row r="143" spans="12:12" ht="3" customHeight="1" x14ac:dyDescent="0.25">
      <c r="L143"/>
    </row>
    <row r="144" spans="12:12" ht="3" customHeight="1" x14ac:dyDescent="0.25">
      <c r="L144"/>
    </row>
    <row r="145" spans="12:12" ht="3" customHeight="1" x14ac:dyDescent="0.25">
      <c r="L145"/>
    </row>
    <row r="146" spans="12:12" ht="3" customHeight="1" x14ac:dyDescent="0.25">
      <c r="L146"/>
    </row>
    <row r="147" spans="12:12" ht="3" customHeight="1" x14ac:dyDescent="0.25">
      <c r="L147"/>
    </row>
    <row r="148" spans="12:12" ht="3" customHeight="1" x14ac:dyDescent="0.25">
      <c r="L148"/>
    </row>
    <row r="149" spans="12:12" ht="3" customHeight="1" x14ac:dyDescent="0.25">
      <c r="L149"/>
    </row>
    <row r="150" spans="12:12" ht="3" customHeight="1" x14ac:dyDescent="0.25">
      <c r="L150"/>
    </row>
    <row r="151" spans="12:12" ht="3" customHeight="1" x14ac:dyDescent="0.25">
      <c r="L151"/>
    </row>
    <row r="152" spans="12:12" ht="3" customHeight="1" x14ac:dyDescent="0.25">
      <c r="L152"/>
    </row>
    <row r="153" spans="12:12" ht="3" customHeight="1" x14ac:dyDescent="0.25">
      <c r="L153"/>
    </row>
    <row r="154" spans="12:12" ht="3" customHeight="1" x14ac:dyDescent="0.25">
      <c r="L154"/>
    </row>
    <row r="155" spans="12:12" ht="3" customHeight="1" x14ac:dyDescent="0.25">
      <c r="L155"/>
    </row>
    <row r="156" spans="12:12" ht="3" customHeight="1" x14ac:dyDescent="0.25">
      <c r="L156"/>
    </row>
    <row r="157" spans="12:12" ht="3" customHeight="1" x14ac:dyDescent="0.25">
      <c r="L157"/>
    </row>
    <row r="158" spans="12:12" ht="3" customHeight="1" x14ac:dyDescent="0.25">
      <c r="L158"/>
    </row>
    <row r="159" spans="12:12" ht="3" customHeight="1" x14ac:dyDescent="0.25">
      <c r="L159"/>
    </row>
    <row r="160" spans="12:12" ht="3" customHeight="1" x14ac:dyDescent="0.25">
      <c r="L160"/>
    </row>
    <row r="161" spans="12:12" ht="3" customHeight="1" x14ac:dyDescent="0.25">
      <c r="L161"/>
    </row>
    <row r="162" spans="12:12" ht="3" customHeight="1" x14ac:dyDescent="0.25">
      <c r="L162"/>
    </row>
    <row r="163" spans="12:12" ht="3" customHeight="1" x14ac:dyDescent="0.25">
      <c r="L163"/>
    </row>
    <row r="164" spans="12:12" ht="3" customHeight="1" x14ac:dyDescent="0.25">
      <c r="L164"/>
    </row>
    <row r="165" spans="12:12" ht="3" customHeight="1" x14ac:dyDescent="0.25">
      <c r="L165"/>
    </row>
    <row r="166" spans="12:12" ht="3" customHeight="1" x14ac:dyDescent="0.25">
      <c r="L166"/>
    </row>
    <row r="167" spans="12:12" ht="3" customHeight="1" x14ac:dyDescent="0.25">
      <c r="L167"/>
    </row>
    <row r="168" spans="12:12" ht="3" customHeight="1" x14ac:dyDescent="0.25">
      <c r="L168"/>
    </row>
    <row r="169" spans="12:12" ht="3" customHeight="1" x14ac:dyDescent="0.25">
      <c r="L169"/>
    </row>
    <row r="170" spans="12:12" ht="3" customHeight="1" x14ac:dyDescent="0.25">
      <c r="L170"/>
    </row>
    <row r="171" spans="12:12" ht="3" customHeight="1" x14ac:dyDescent="0.25">
      <c r="L171"/>
    </row>
    <row r="172" spans="12:12" ht="3" customHeight="1" x14ac:dyDescent="0.25">
      <c r="L172"/>
    </row>
    <row r="173" spans="12:12" ht="3" customHeight="1" x14ac:dyDescent="0.25">
      <c r="L173"/>
    </row>
    <row r="174" spans="12:12" ht="3" customHeight="1" x14ac:dyDescent="0.25">
      <c r="L174"/>
    </row>
    <row r="175" spans="12:12" ht="3" customHeight="1" x14ac:dyDescent="0.25">
      <c r="L175"/>
    </row>
    <row r="176" spans="12:12" ht="3" customHeight="1" x14ac:dyDescent="0.25">
      <c r="L176"/>
    </row>
  </sheetData>
  <sheetProtection algorithmName="SHA-512" hashValue="wiJGNBO1Vkh4XGiBeDE99QaHUma7wLrW/+zeFVMP1srHn7oNR0LTtpplgUMo3ecBsc2OsWvUY7vBr3XbvIj0MA==" saltValue="922FoG8QbgSHhqpc2dC/Uw==" spinCount="100000" sheet="1" objects="1" scenarios="1" selectLockedCells="1" selectUnlockedCells="1"/>
  <sortState xmlns:xlrd2="http://schemas.microsoft.com/office/spreadsheetml/2017/richdata2" ref="O3:S47">
    <sortCondition ref="O3:O47"/>
  </sortState>
  <phoneticPr fontId="36" type="noConversion"/>
  <conditionalFormatting sqref="K3:K47">
    <cfRule type="cellIs" dxfId="4" priority="2" operator="equal">
      <formula>"Sí"</formula>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96572-E07D-41A9-9E91-D2C5CDA67E2E}">
  <sheetPr codeName="Hoja7">
    <tabColor theme="3" tint="0.39997558519241921"/>
  </sheetPr>
  <dimension ref="A1:AQ355"/>
  <sheetViews>
    <sheetView showOutlineSymbols="0" showWhiteSpace="0" workbookViewId="0">
      <selection sqref="A1:XFD1048576"/>
    </sheetView>
  </sheetViews>
  <sheetFormatPr baseColWidth="10" defaultColWidth="0" defaultRowHeight="3" customHeight="1" outlineLevelCol="1" x14ac:dyDescent="0.25"/>
  <cols>
    <col min="1" max="1" width="17.140625" customWidth="1"/>
    <col min="2" max="2" width="11.5703125" customWidth="1"/>
    <col min="3" max="3" width="25.85546875" bestFit="1" customWidth="1"/>
    <col min="4" max="4" width="15.42578125" style="31" bestFit="1" customWidth="1" outlineLevel="1"/>
    <col min="5" max="5" width="14.7109375" style="31" bestFit="1" customWidth="1" outlineLevel="1"/>
    <col min="6" max="6" width="15.140625" bestFit="1" customWidth="1" outlineLevel="1"/>
    <col min="7" max="7" width="15.7109375" style="95" bestFit="1" customWidth="1" outlineLevel="1"/>
    <col min="8" max="8" width="12.7109375" bestFit="1" customWidth="1" outlineLevel="1"/>
    <col min="9" max="9" width="12.85546875" customWidth="1" outlineLevel="1"/>
    <col min="10" max="10" width="21.42578125" bestFit="1" customWidth="1" outlineLevel="1"/>
    <col min="11" max="11" width="20.7109375" bestFit="1" customWidth="1"/>
    <col min="12" max="12" width="17" style="31" bestFit="1" customWidth="1" outlineLevel="1"/>
    <col min="13" max="13" width="13.140625" bestFit="1" customWidth="1" outlineLevel="1"/>
    <col min="14" max="14" width="16.85546875" style="31" customWidth="1" outlineLevel="1"/>
    <col min="15" max="15" width="22.28515625" bestFit="1" customWidth="1" outlineLevel="1"/>
    <col min="16" max="16" width="22.28515625" bestFit="1" customWidth="1"/>
    <col min="17" max="17" width="13.7109375" style="31" bestFit="1" customWidth="1" outlineLevel="1"/>
    <col min="18" max="18" width="12.140625" style="31" bestFit="1" customWidth="1" outlineLevel="1"/>
    <col min="19" max="20" width="22.28515625" bestFit="1" customWidth="1" outlineLevel="1"/>
    <col min="21" max="21" width="22.28515625" bestFit="1" customWidth="1"/>
    <col min="22" max="22" width="22" bestFit="1" customWidth="1" outlineLevel="1"/>
    <col min="23" max="23" width="16.28515625" bestFit="1" customWidth="1" outlineLevel="1"/>
    <col min="24" max="24" width="17.85546875" style="31" bestFit="1" customWidth="1" outlineLevel="1"/>
    <col min="25" max="25" width="20.7109375" bestFit="1" customWidth="1" outlineLevel="1"/>
    <col min="26" max="26" width="22.28515625" bestFit="1" customWidth="1"/>
    <col min="27" max="27" width="21.7109375" bestFit="1" customWidth="1"/>
    <col min="28" max="28" width="23.5703125" bestFit="1" customWidth="1" outlineLevel="1"/>
    <col min="29" max="29" width="18" bestFit="1" customWidth="1" outlineLevel="1"/>
    <col min="30" max="32" width="23.5703125" bestFit="1" customWidth="1" outlineLevel="1"/>
    <col min="33" max="33" width="23.7109375" bestFit="1" customWidth="1" outlineLevel="1"/>
    <col min="34" max="34" width="15" customWidth="1" outlineLevel="1"/>
    <col min="35" max="37" width="15" customWidth="1"/>
    <col min="38" max="38" width="15" hidden="1" customWidth="1"/>
    <col min="39" max="43" width="0" hidden="1" customWidth="1"/>
    <col min="44" max="16384" width="11.5703125" hidden="1"/>
  </cols>
  <sheetData>
    <row r="1" spans="1:43" ht="3" customHeight="1" x14ac:dyDescent="0.25">
      <c r="C1" s="103"/>
      <c r="D1" s="131">
        <f>COLUMN()</f>
        <v>4</v>
      </c>
      <c r="E1" s="131">
        <f>COLUMN()</f>
        <v>5</v>
      </c>
      <c r="F1" s="131">
        <f>COLUMN()</f>
        <v>6</v>
      </c>
      <c r="G1" s="131">
        <f>COLUMN()</f>
        <v>7</v>
      </c>
      <c r="H1" s="131">
        <f>COLUMN()</f>
        <v>8</v>
      </c>
      <c r="I1" s="131">
        <f>COLUMN()</f>
        <v>9</v>
      </c>
      <c r="J1" s="131">
        <f>COLUMN()</f>
        <v>10</v>
      </c>
      <c r="K1" s="131">
        <f>COLUMN()</f>
        <v>11</v>
      </c>
      <c r="L1" s="131">
        <f>COLUMN()</f>
        <v>12</v>
      </c>
      <c r="M1" s="131">
        <f>COLUMN()</f>
        <v>13</v>
      </c>
      <c r="N1" s="131">
        <f>COLUMN()</f>
        <v>14</v>
      </c>
      <c r="O1" s="131">
        <f>COLUMN()</f>
        <v>15</v>
      </c>
      <c r="P1" s="131">
        <f>COLUMN()</f>
        <v>16</v>
      </c>
      <c r="Q1" s="131">
        <f>COLUMN()</f>
        <v>17</v>
      </c>
      <c r="R1" s="131">
        <f>COLUMN()</f>
        <v>18</v>
      </c>
      <c r="S1" s="131">
        <f>COLUMN()</f>
        <v>19</v>
      </c>
      <c r="T1" s="131">
        <f>COLUMN()</f>
        <v>20</v>
      </c>
      <c r="U1" s="131">
        <f>COLUMN()</f>
        <v>21</v>
      </c>
      <c r="V1" s="131">
        <f>COLUMN()</f>
        <v>22</v>
      </c>
      <c r="W1" s="131">
        <f>COLUMN()</f>
        <v>23</v>
      </c>
      <c r="X1" s="131">
        <f>COLUMN()</f>
        <v>24</v>
      </c>
      <c r="Y1" s="131">
        <f>COLUMN()</f>
        <v>25</v>
      </c>
      <c r="Z1" s="131">
        <f>COLUMN()</f>
        <v>26</v>
      </c>
      <c r="AA1" s="131">
        <f>COLUMN()</f>
        <v>27</v>
      </c>
      <c r="AB1" s="131">
        <f>COLUMN()</f>
        <v>28</v>
      </c>
      <c r="AC1" s="131">
        <f>COLUMN()</f>
        <v>29</v>
      </c>
      <c r="AD1" s="131">
        <f>COLUMN()</f>
        <v>30</v>
      </c>
      <c r="AE1" s="131">
        <f>COLUMN()</f>
        <v>31</v>
      </c>
      <c r="AF1" s="131">
        <f>COLUMN()</f>
        <v>32</v>
      </c>
      <c r="AG1" s="131">
        <f>COLUMN()</f>
        <v>33</v>
      </c>
      <c r="AI1" s="31"/>
      <c r="AM1" s="31"/>
      <c r="AN1" s="31"/>
      <c r="AP1" s="31"/>
      <c r="AQ1" s="31"/>
    </row>
    <row r="2" spans="1:43" s="104" customFormat="1" ht="3" customHeight="1" x14ac:dyDescent="0.25">
      <c r="C2" s="373"/>
      <c r="D2" s="101" t="s">
        <v>639</v>
      </c>
      <c r="E2" s="101" t="s">
        <v>640</v>
      </c>
      <c r="F2" s="104" t="s">
        <v>641</v>
      </c>
      <c r="G2" s="113" t="s">
        <v>642</v>
      </c>
      <c r="H2" s="104" t="s">
        <v>643</v>
      </c>
      <c r="I2" s="104" t="s">
        <v>644</v>
      </c>
      <c r="J2" s="104" t="s">
        <v>645</v>
      </c>
      <c r="K2" s="101" t="s">
        <v>646</v>
      </c>
      <c r="L2" s="101" t="s">
        <v>647</v>
      </c>
      <c r="M2" s="104" t="s">
        <v>648</v>
      </c>
      <c r="N2" s="101" t="s">
        <v>649</v>
      </c>
      <c r="O2" s="104" t="s">
        <v>650</v>
      </c>
      <c r="P2" s="104" t="s">
        <v>651</v>
      </c>
      <c r="Q2" s="101" t="s">
        <v>652</v>
      </c>
      <c r="R2" s="101" t="s">
        <v>653</v>
      </c>
      <c r="S2" s="104" t="s">
        <v>654</v>
      </c>
      <c r="T2" s="104" t="s">
        <v>655</v>
      </c>
      <c r="U2" s="104" t="s">
        <v>656</v>
      </c>
      <c r="V2" s="104" t="s">
        <v>657</v>
      </c>
      <c r="W2" s="101" t="s">
        <v>658</v>
      </c>
      <c r="X2" s="104" t="s">
        <v>659</v>
      </c>
      <c r="Y2" s="104" t="s">
        <v>660</v>
      </c>
      <c r="Z2" s="104" t="s">
        <v>661</v>
      </c>
      <c r="AA2" s="104" t="s">
        <v>662</v>
      </c>
      <c r="AB2" s="104" t="s">
        <v>664</v>
      </c>
      <c r="AC2" s="104" t="s">
        <v>665</v>
      </c>
      <c r="AD2" s="104" t="s">
        <v>1019</v>
      </c>
      <c r="AE2" s="104" t="s">
        <v>1018</v>
      </c>
      <c r="AF2" s="104" t="s">
        <v>1020</v>
      </c>
      <c r="AG2" s="104" t="s">
        <v>1021</v>
      </c>
      <c r="AI2" s="101"/>
      <c r="AM2" s="101"/>
      <c r="AN2" s="101"/>
      <c r="AP2" s="101"/>
      <c r="AQ2" s="101"/>
    </row>
    <row r="3" spans="1:43" ht="3" customHeight="1" x14ac:dyDescent="0.25">
      <c r="C3" s="373"/>
    </row>
    <row r="4" spans="1:43" ht="3" customHeight="1" thickBot="1" x14ac:dyDescent="0.3">
      <c r="C4" s="373"/>
      <c r="AC4" s="6"/>
    </row>
    <row r="5" spans="1:43" ht="3" customHeight="1" thickBot="1" x14ac:dyDescent="0.3">
      <c r="AB5" s="348" t="str">
        <f>IF(AB7&lt;&gt;AB6,"Ajustar","")</f>
        <v>Ajustar</v>
      </c>
      <c r="AC5" s="349">
        <f>+AB6-AB7</f>
        <v>-2</v>
      </c>
      <c r="AD5" s="6"/>
      <c r="AE5" s="6"/>
      <c r="AF5" s="6"/>
      <c r="AG5" s="6"/>
    </row>
    <row r="6" spans="1:43" ht="3" customHeight="1" thickBot="1" x14ac:dyDescent="0.35">
      <c r="A6" s="118" t="s">
        <v>678</v>
      </c>
      <c r="B6" s="119"/>
      <c r="C6" s="119"/>
      <c r="D6" s="120" t="str">
        <f>+PARAMETROS!B21</f>
        <v>FET 2026</v>
      </c>
      <c r="G6" s="112" t="s">
        <v>1097</v>
      </c>
      <c r="H6" s="6" t="s">
        <v>1098</v>
      </c>
      <c r="AB6" s="128">
        <f>+PARAMETROS!H24</f>
        <v>171617500000</v>
      </c>
      <c r="AC6" s="350">
        <f>IF(AC5&lt;0,LARGE($AB$9:$AB$354,1),IF(AB6=AB7,0,SMALL($AB$9:$AB$354,COUNTIF($AB$9:$AB$354,"&lt;=0")+1)))</f>
        <v>7541443754</v>
      </c>
      <c r="AD6" s="347"/>
      <c r="AE6" s="347"/>
      <c r="AF6" s="347"/>
      <c r="AG6" s="347"/>
    </row>
    <row r="7" spans="1:43" ht="3" customHeight="1" thickBot="1" x14ac:dyDescent="0.3">
      <c r="G7" s="116">
        <f>+PARAMETROS!H27</f>
        <v>0.8</v>
      </c>
      <c r="H7" s="111">
        <f>+PARAMETROS!H28</f>
        <v>0.5</v>
      </c>
      <c r="I7" s="115">
        <f>COUNTIF($I$9:$I$354,"SI")</f>
        <v>302</v>
      </c>
      <c r="K7" s="99">
        <f>+PARAMETROS!D25</f>
        <v>0.5</v>
      </c>
      <c r="L7" s="102">
        <f>SUM($L$9:$L$354)</f>
        <v>10732717</v>
      </c>
      <c r="N7" s="102">
        <f>SUM($N$9:$N$354)</f>
        <v>825955</v>
      </c>
      <c r="P7" s="99">
        <f>+PARAMETROS!D26</f>
        <v>0.1</v>
      </c>
      <c r="Q7" s="31">
        <f>SUM(Q9:Q354)</f>
        <v>3426598</v>
      </c>
      <c r="R7" s="31">
        <f>SUM(R9:R354)</f>
        <v>4656197</v>
      </c>
      <c r="S7" s="124">
        <f>SUM(S9:S354)</f>
        <v>0.76437025644980039</v>
      </c>
      <c r="T7" s="124"/>
      <c r="U7" s="99">
        <f>+PARAMETROS!D27</f>
        <v>0.2</v>
      </c>
      <c r="V7" s="102">
        <f>SUM(V9:V354)</f>
        <v>1146933141</v>
      </c>
      <c r="W7" s="123">
        <f>ROUND(V7/L7,2)</f>
        <v>106.86</v>
      </c>
      <c r="X7" s="102">
        <f>SUM($X$9:$X$354)</f>
        <v>271341184</v>
      </c>
      <c r="Z7" s="99">
        <f>+PARAMETROS!D28</f>
        <v>0.2</v>
      </c>
      <c r="AA7" s="127">
        <f>+Z7+U7+P7+K7</f>
        <v>1</v>
      </c>
      <c r="AB7" s="129">
        <f>SUM(AB9:AB354)</f>
        <v>171617500002</v>
      </c>
      <c r="AC7" s="351">
        <f>SUM(AC9:AC354)</f>
        <v>171617500000</v>
      </c>
      <c r="AD7" s="347">
        <f>SUM(AD9:AD354)</f>
        <v>42904375042</v>
      </c>
      <c r="AE7" s="347">
        <f t="shared" ref="AE7:AG7" si="0">SUM(AE9:AE354)</f>
        <v>42904375042</v>
      </c>
      <c r="AF7" s="347">
        <f t="shared" si="0"/>
        <v>42904375042</v>
      </c>
      <c r="AG7" s="347">
        <f t="shared" si="0"/>
        <v>42904374874</v>
      </c>
    </row>
    <row r="8" spans="1:43" ht="3" customHeight="1" thickBot="1" x14ac:dyDescent="0.3">
      <c r="A8" s="97" t="s">
        <v>638</v>
      </c>
      <c r="B8" s="97" t="s">
        <v>340</v>
      </c>
      <c r="C8" s="97" t="s">
        <v>544</v>
      </c>
      <c r="D8" s="100" t="str">
        <f>+DATA!O4</f>
        <v>IPP FET
(V+T) 2024</v>
      </c>
      <c r="E8" s="125" t="str">
        <f>+DATA!T4</f>
        <v>Total FCM - TGR (M$) Año 2024 (FET)</v>
      </c>
      <c r="F8" s="98" t="s">
        <v>672</v>
      </c>
      <c r="G8" s="114" t="s">
        <v>677</v>
      </c>
      <c r="H8" s="98" t="s">
        <v>671</v>
      </c>
      <c r="I8" s="98" t="s">
        <v>676</v>
      </c>
      <c r="J8" s="98" t="str">
        <f>+COEF_FCM!D8</f>
        <v>INDICADOR PARTES IGUALES</v>
      </c>
      <c r="K8" s="105" t="str">
        <f>+COEF_FCM!E8</f>
        <v>PONDERACION INDICADOR PARTES IGUALES</v>
      </c>
      <c r="L8" s="100" t="str">
        <f>+DATA!D4</f>
        <v>Población Comunal, Estimada por el INE (N° ) Año 2024</v>
      </c>
      <c r="M8" s="100" t="str">
        <f>+DATA!E4</f>
        <v>Estimación de Porcentaje de Personas Pobres, Encuesta CASEN</v>
      </c>
      <c r="N8" s="106" t="str">
        <f>+COEF_FCM!H8</f>
        <v>NÚMERO DE POBRES POR Comuna (EN BASE A INFORMACIÓN CASEN)</v>
      </c>
      <c r="O8" s="98" t="str">
        <f>+COEF_FCM!I8</f>
        <v>INDICADOR POBREZA</v>
      </c>
      <c r="P8" s="105" t="str">
        <f>+COEF_FCM!J8</f>
        <v>PONDERACION INDICADOR POBREZA</v>
      </c>
      <c r="Q8" s="100" t="str">
        <f>+DATA!G4</f>
        <v>TOTAL 
PREDIOS 
EXENTOS 
Comuna
 AÑO 2024 (N° ) 
(PXci)</v>
      </c>
      <c r="R8" s="100" t="str">
        <f>+DATA!H4</f>
        <v>TOTAL PREDIOS 
por Comuna 
AÑO 2024 (N° ) 
(PTci)</v>
      </c>
      <c r="S8" s="98" t="s">
        <v>680</v>
      </c>
      <c r="T8" s="98" t="str">
        <f>+COEF_FCM!R8</f>
        <v>INDICADOR PREDIOS</v>
      </c>
      <c r="U8" s="105" t="s">
        <v>323</v>
      </c>
      <c r="V8" s="355" t="str">
        <f>+COEF_FCM!X8</f>
        <v>IPP FET
(V+T) 2024</v>
      </c>
      <c r="W8" s="98" t="str">
        <f>"IPP percápita 
("&amp;
LEFT(V8,9)&amp;"/"&amp;L8&amp;")"</f>
        <v>IPP percápita 
(IPP FET
(/Población Comunal, Estimada por el INE (N° ) Año 2024)</v>
      </c>
      <c r="X8" s="106" t="str">
        <f>+COEF_FCM!AD8</f>
        <v>DISTANCIA IPP PROMEDIO x POBLACIÓN</v>
      </c>
      <c r="Y8" s="106" t="str">
        <f>+COEF_FCM!AE8</f>
        <v>COEFICIENTE INGRESO PROPIO PERMANENTE</v>
      </c>
      <c r="Z8" s="105" t="str">
        <f>+COEF_FCM!AF8</f>
        <v>PONDERACION INDICADOR IPP</v>
      </c>
      <c r="AA8" s="105" t="str">
        <f>"COEFICIENTE 
FET "&amp;RIGHT(PARAMETROS!B3,4)</f>
        <v>COEFICIENTE 
FET 2026</v>
      </c>
      <c r="AB8" s="106" t="s">
        <v>681</v>
      </c>
      <c r="AC8" s="106" t="s">
        <v>1013</v>
      </c>
      <c r="AD8" s="352" t="s">
        <v>1014</v>
      </c>
      <c r="AE8" s="352" t="s">
        <v>1015</v>
      </c>
      <c r="AF8" s="353" t="s">
        <v>1016</v>
      </c>
      <c r="AG8" s="354" t="s">
        <v>1017</v>
      </c>
    </row>
    <row r="9" spans="1:43" ht="3" customHeight="1" x14ac:dyDescent="0.25">
      <c r="A9">
        <v>1101</v>
      </c>
      <c r="B9">
        <v>1201</v>
      </c>
      <c r="C9" t="s">
        <v>54</v>
      </c>
      <c r="D9" s="31">
        <f>+DATA!O5</f>
        <v>47463055</v>
      </c>
      <c r="E9" s="31">
        <f>+DATA!T5</f>
        <v>7042583.4210000001</v>
      </c>
      <c r="F9" s="38">
        <f t="shared" ref="F9:F72" si="1">+D9+E9</f>
        <v>54505638.421000004</v>
      </c>
      <c r="G9" s="112">
        <f t="shared" ref="G9:G72" si="2">_xlfn.PERCENTRANK.INC($F$9:$F$354,F9,3)</f>
        <v>0.94199999999999995</v>
      </c>
      <c r="H9" s="95">
        <f t="shared" ref="H9:H72" si="3">IFERROR(ROUND(E9/F9,4),0)</f>
        <v>0.12920000000000001</v>
      </c>
      <c r="I9" s="6" t="str">
        <f t="shared" ref="I9:I72" si="4">IF(D9=0,"NO",IF(OR(G9&lt;=$G$7,H9&gt;$H$7),"SI","NO"))</f>
        <v>NO</v>
      </c>
      <c r="J9" s="117">
        <f t="shared" ref="J9:J72" si="5">IF(I9="SI",ROUND(1/$I$7,DEC),0)</f>
        <v>0</v>
      </c>
      <c r="K9" s="117">
        <f t="shared" ref="K9:K72" si="6">+J9*$K$7</f>
        <v>0</v>
      </c>
      <c r="L9" s="31">
        <f>IF(I9="SI",VLOOKUP(A9,DATA!$A$4:$D$350,4,0),0)</f>
        <v>0</v>
      </c>
      <c r="M9" s="95">
        <f>IF(I9="SI",VLOOKUP(A9,DATA!$A$4:$E$350,5,0),0)</f>
        <v>0</v>
      </c>
      <c r="N9" s="31">
        <f t="shared" ref="N9:N72" si="7">ROUND(L9*M9,0)</f>
        <v>0</v>
      </c>
      <c r="O9" s="117">
        <f t="shared" ref="O9:O72" si="8">ROUND(N9/$N$7,DEC)</f>
        <v>0</v>
      </c>
      <c r="P9" s="117">
        <f t="shared" ref="P9:P72" si="9">ROUND(O9*$P$7,DEC)</f>
        <v>0</v>
      </c>
      <c r="Q9" s="31">
        <f>IF(I9="SI",VLOOKUP(A9,DATA!$A$4:$G$350,7,0),0)</f>
        <v>0</v>
      </c>
      <c r="R9" s="31">
        <f>IF(I9="SI",VLOOKUP(A9,DATA!$A$4:$H$350,8,0),0)</f>
        <v>0</v>
      </c>
      <c r="S9" s="117">
        <f t="shared" ref="S9:S72" si="10">IF(R9=0,0,ROUND((Q9/$Q$7)*(Q9/R9),DEC))</f>
        <v>0</v>
      </c>
      <c r="T9" s="117">
        <f t="shared" ref="T9:T72" si="11">+S9/$S$7</f>
        <v>0</v>
      </c>
      <c r="U9" s="117">
        <f t="shared" ref="U9:U72" si="12">ROUND(T9*$U$7,DEC)</f>
        <v>0</v>
      </c>
      <c r="V9" s="31">
        <f>IF(I9="SI",VLOOKUP(A9,COEF_FCM!$A$8:$X$354,24,0),0)</f>
        <v>0</v>
      </c>
      <c r="W9" s="121">
        <f t="shared" ref="W9:W72" si="13">IFERROR(ROUND(V9/L9,2),0)</f>
        <v>0</v>
      </c>
      <c r="X9" s="31">
        <f>IF(AND(W9&gt;0,W9&lt;$W$7),ROUND(($W$7-W9)*L9,PARAMETROS!$L$8),0)</f>
        <v>0</v>
      </c>
      <c r="Y9" s="122">
        <f t="shared" ref="Y9:Y72" si="14">ROUND(X9/$X$7,DEC)</f>
        <v>0</v>
      </c>
      <c r="Z9" s="117">
        <f t="shared" ref="Z9:Z72" si="15">ROUND(Y9*$Z$7,DEC)</f>
        <v>0</v>
      </c>
      <c r="AA9" s="96">
        <f t="shared" ref="AA9:AA72" si="16">+K9+P9+U9+Z9</f>
        <v>0</v>
      </c>
      <c r="AB9" s="31">
        <f>ROUND(AA9*PARAMETROS!$H$24,0)</f>
        <v>0</v>
      </c>
      <c r="AC9" s="31">
        <f t="shared" ref="AC9:AC72" si="17">IF(AB9=$AC$6,AB9+$AC$5,AB9)</f>
        <v>0</v>
      </c>
      <c r="AD9" s="31">
        <f t="shared" ref="AD9:AD72" si="18">ROUND(AC9/4,0)</f>
        <v>0</v>
      </c>
      <c r="AE9" s="31">
        <f t="shared" ref="AE9:AF28" si="19">+AD9</f>
        <v>0</v>
      </c>
      <c r="AF9" s="31">
        <f t="shared" si="19"/>
        <v>0</v>
      </c>
      <c r="AG9" s="31">
        <f t="shared" ref="AG9:AG72" si="20">+AC9-AD9-AE9-AF9</f>
        <v>0</v>
      </c>
    </row>
    <row r="10" spans="1:43" ht="3" customHeight="1" x14ac:dyDescent="0.25">
      <c r="A10">
        <v>1107</v>
      </c>
      <c r="B10">
        <v>1211</v>
      </c>
      <c r="C10" t="s">
        <v>60</v>
      </c>
      <c r="D10" s="31">
        <f>+DATA!O6</f>
        <v>7784736</v>
      </c>
      <c r="E10" s="31">
        <f>+DATA!T6</f>
        <v>18343696.063999999</v>
      </c>
      <c r="F10" s="38">
        <f t="shared" si="1"/>
        <v>26128432.063999999</v>
      </c>
      <c r="G10" s="112">
        <f t="shared" si="2"/>
        <v>0.85699999999999998</v>
      </c>
      <c r="H10" s="95">
        <f t="shared" si="3"/>
        <v>0.70209999999999995</v>
      </c>
      <c r="I10" s="6" t="str">
        <f t="shared" si="4"/>
        <v>SI</v>
      </c>
      <c r="J10" s="117">
        <f t="shared" si="5"/>
        <v>3.3112582781000001E-3</v>
      </c>
      <c r="K10" s="117">
        <f t="shared" si="6"/>
        <v>1.6556291390500001E-3</v>
      </c>
      <c r="L10" s="31">
        <f>IF(I10="SI",VLOOKUP(A10,DATA!$A$4:$D$350,4,0),0)</f>
        <v>143294</v>
      </c>
      <c r="M10" s="95">
        <f>IF(I10="SI",VLOOKUP(A10,DATA!$A$4:$E$350,5,0),0)</f>
        <v>0.15263439519693811</v>
      </c>
      <c r="N10" s="31">
        <f t="shared" si="7"/>
        <v>21872</v>
      </c>
      <c r="O10" s="117">
        <f t="shared" si="8"/>
        <v>2.6480861548100001E-2</v>
      </c>
      <c r="P10" s="117">
        <f t="shared" si="9"/>
        <v>2.6480861548000001E-3</v>
      </c>
      <c r="Q10" s="31">
        <f>IF(I10="SI",VLOOKUP(A10,DATA!$A$4:$G$350,7,0),0)</f>
        <v>29915</v>
      </c>
      <c r="R10" s="31">
        <f>IF(I10="SI",VLOOKUP(A10,DATA!$A$4:$H$350,8,0),0)</f>
        <v>33813</v>
      </c>
      <c r="S10" s="117">
        <f t="shared" si="10"/>
        <v>7.7238023681000002E-3</v>
      </c>
      <c r="T10" s="117">
        <f t="shared" si="11"/>
        <v>1.0104791889697578E-2</v>
      </c>
      <c r="U10" s="117">
        <f t="shared" si="12"/>
        <v>2.0209583779000001E-3</v>
      </c>
      <c r="V10" s="31">
        <f>IF(I10="SI",VLOOKUP(A10,COEF_FCM!$A$8:$X$354,24,0),0)</f>
        <v>7784736</v>
      </c>
      <c r="W10" s="121">
        <f t="shared" si="13"/>
        <v>54.33</v>
      </c>
      <c r="X10" s="31">
        <f>IF(AND(W10&gt;0,W10&lt;$W$7),ROUND(($W$7-W10)*L10,PARAMETROS!$L$8),0)</f>
        <v>7527234</v>
      </c>
      <c r="Y10" s="122">
        <f t="shared" si="14"/>
        <v>2.7740846004400001E-2</v>
      </c>
      <c r="Z10" s="117">
        <f t="shared" si="15"/>
        <v>5.5481692009000001E-3</v>
      </c>
      <c r="AA10" s="96">
        <f t="shared" si="16"/>
        <v>1.1872842872650001E-2</v>
      </c>
      <c r="AB10" s="31">
        <f>ROUND(AA10*PARAMETROS!$H$24,0)</f>
        <v>2037587612</v>
      </c>
      <c r="AC10" s="31">
        <f t="shared" si="17"/>
        <v>2037587612</v>
      </c>
      <c r="AD10" s="31">
        <f t="shared" si="18"/>
        <v>509396903</v>
      </c>
      <c r="AE10" s="31">
        <f t="shared" si="19"/>
        <v>509396903</v>
      </c>
      <c r="AF10" s="31">
        <f t="shared" si="19"/>
        <v>509396903</v>
      </c>
      <c r="AG10" s="31">
        <f t="shared" si="20"/>
        <v>509396903</v>
      </c>
    </row>
    <row r="11" spans="1:43" ht="3" customHeight="1" x14ac:dyDescent="0.25">
      <c r="A11">
        <v>1401</v>
      </c>
      <c r="B11">
        <v>1204</v>
      </c>
      <c r="C11" t="s">
        <v>56</v>
      </c>
      <c r="D11" s="31">
        <f>+DATA!O7</f>
        <v>7971392</v>
      </c>
      <c r="E11" s="31">
        <f>+DATA!T7</f>
        <v>3876729.787</v>
      </c>
      <c r="F11" s="38">
        <f t="shared" si="1"/>
        <v>11848121.787</v>
      </c>
      <c r="G11" s="112">
        <f t="shared" si="2"/>
        <v>0.64600000000000002</v>
      </c>
      <c r="H11" s="95">
        <f t="shared" si="3"/>
        <v>0.32719999999999999</v>
      </c>
      <c r="I11" s="6" t="str">
        <f t="shared" si="4"/>
        <v>SI</v>
      </c>
      <c r="J11" s="117">
        <f t="shared" si="5"/>
        <v>3.3112582781000001E-3</v>
      </c>
      <c r="K11" s="117">
        <f t="shared" si="6"/>
        <v>1.6556291390500001E-3</v>
      </c>
      <c r="L11" s="31">
        <f>IF(I11="SI",VLOOKUP(A11,DATA!$A$4:$D$350,4,0),0)</f>
        <v>18713</v>
      </c>
      <c r="M11" s="95">
        <f>IF(I11="SI",VLOOKUP(A11,DATA!$A$4:$E$350,5,0),0)</f>
        <v>0.15334397144922859</v>
      </c>
      <c r="N11" s="31">
        <f t="shared" si="7"/>
        <v>2870</v>
      </c>
      <c r="O11" s="117">
        <f t="shared" si="8"/>
        <v>3.4747655744000001E-3</v>
      </c>
      <c r="P11" s="117">
        <f t="shared" si="9"/>
        <v>3.4747655740000001E-4</v>
      </c>
      <c r="Q11" s="31">
        <f>IF(I11="SI",VLOOKUP(A11,DATA!$A$4:$G$350,7,0),0)</f>
        <v>10816</v>
      </c>
      <c r="R11" s="31">
        <f>IF(I11="SI",VLOOKUP(A11,DATA!$A$4:$H$350,8,0),0)</f>
        <v>12594</v>
      </c>
      <c r="S11" s="117">
        <f t="shared" si="10"/>
        <v>2.7108563906999999E-3</v>
      </c>
      <c r="T11" s="117">
        <f t="shared" si="11"/>
        <v>3.5465226018747287E-3</v>
      </c>
      <c r="U11" s="117">
        <f t="shared" si="12"/>
        <v>7.0930452040000001E-4</v>
      </c>
      <c r="V11" s="31">
        <f>IF(I11="SI",VLOOKUP(A11,COEF_FCM!$A$8:$X$354,24,0),0)</f>
        <v>7971392</v>
      </c>
      <c r="W11" s="121">
        <f t="shared" si="13"/>
        <v>425.98</v>
      </c>
      <c r="X11" s="31">
        <f>IF(AND(W11&gt;0,W11&lt;$W$7),ROUND(($W$7-W11)*L11,PARAMETROS!$L$8),0)</f>
        <v>0</v>
      </c>
      <c r="Y11" s="122">
        <f t="shared" si="14"/>
        <v>0</v>
      </c>
      <c r="Z11" s="117">
        <f t="shared" si="15"/>
        <v>0</v>
      </c>
      <c r="AA11" s="96">
        <f t="shared" si="16"/>
        <v>2.7124102168499999E-3</v>
      </c>
      <c r="AB11" s="31">
        <f>ROUND(AA11*PARAMETROS!$H$24,0)</f>
        <v>465497060</v>
      </c>
      <c r="AC11" s="31">
        <f t="shared" si="17"/>
        <v>465497060</v>
      </c>
      <c r="AD11" s="31">
        <f t="shared" si="18"/>
        <v>116374265</v>
      </c>
      <c r="AE11" s="31">
        <f t="shared" si="19"/>
        <v>116374265</v>
      </c>
      <c r="AF11" s="31">
        <f t="shared" si="19"/>
        <v>116374265</v>
      </c>
      <c r="AG11" s="31">
        <f t="shared" si="20"/>
        <v>116374265</v>
      </c>
    </row>
    <row r="12" spans="1:43" ht="3" customHeight="1" x14ac:dyDescent="0.25">
      <c r="A12">
        <v>1402</v>
      </c>
      <c r="B12">
        <v>1208</v>
      </c>
      <c r="C12" t="s">
        <v>58</v>
      </c>
      <c r="D12" s="31">
        <f>+DATA!O8</f>
        <v>142731</v>
      </c>
      <c r="E12" s="31">
        <f>+DATA!T8</f>
        <v>2498460.102</v>
      </c>
      <c r="F12" s="38">
        <f t="shared" si="1"/>
        <v>2641191.102</v>
      </c>
      <c r="G12" s="112">
        <f t="shared" si="2"/>
        <v>3.6999999999999998E-2</v>
      </c>
      <c r="H12" s="95">
        <f t="shared" si="3"/>
        <v>0.94599999999999995</v>
      </c>
      <c r="I12" s="6" t="str">
        <f t="shared" si="4"/>
        <v>SI</v>
      </c>
      <c r="J12" s="117">
        <f t="shared" si="5"/>
        <v>3.3112582781000001E-3</v>
      </c>
      <c r="K12" s="117">
        <f t="shared" si="6"/>
        <v>1.6556291390500001E-3</v>
      </c>
      <c r="L12" s="31">
        <f>IF(I12="SI",VLOOKUP(A12,DATA!$A$4:$D$350,4,0),0)</f>
        <v>1374</v>
      </c>
      <c r="M12" s="95">
        <f>IF(I12="SI",VLOOKUP(A12,DATA!$A$4:$E$350,5,0),0)</f>
        <v>0.24036468504276171</v>
      </c>
      <c r="N12" s="31">
        <f t="shared" si="7"/>
        <v>330</v>
      </c>
      <c r="O12" s="117">
        <f t="shared" si="8"/>
        <v>3.9953750510000001E-4</v>
      </c>
      <c r="P12" s="117">
        <f t="shared" si="9"/>
        <v>3.9953750499999998E-5</v>
      </c>
      <c r="Q12" s="31">
        <f>IF(I12="SI",VLOOKUP(A12,DATA!$A$4:$G$350,7,0),0)</f>
        <v>1876</v>
      </c>
      <c r="R12" s="31">
        <f>IF(I12="SI",VLOOKUP(A12,DATA!$A$4:$H$350,8,0),0)</f>
        <v>1921</v>
      </c>
      <c r="S12" s="117">
        <f t="shared" si="10"/>
        <v>5.3465686329999995E-4</v>
      </c>
      <c r="T12" s="117">
        <f t="shared" si="11"/>
        <v>6.9947366317374914E-4</v>
      </c>
      <c r="U12" s="117">
        <f t="shared" si="12"/>
        <v>1.398947326E-4</v>
      </c>
      <c r="V12" s="31">
        <f>IF(I12="SI",VLOOKUP(A12,COEF_FCM!$A$8:$X$354,24,0),0)</f>
        <v>142731</v>
      </c>
      <c r="W12" s="121">
        <f t="shared" si="13"/>
        <v>103.88</v>
      </c>
      <c r="X12" s="31">
        <f>IF(AND(W12&gt;0,W12&lt;$W$7),ROUND(($W$7-W12)*L12,PARAMETROS!$L$8),0)</f>
        <v>4095</v>
      </c>
      <c r="Y12" s="122">
        <f t="shared" si="14"/>
        <v>1.5091700899999999E-5</v>
      </c>
      <c r="Z12" s="117">
        <f t="shared" si="15"/>
        <v>3.0183402000000001E-6</v>
      </c>
      <c r="AA12" s="96">
        <f t="shared" si="16"/>
        <v>1.8384959623499999E-3</v>
      </c>
      <c r="AB12" s="31">
        <f>ROUND(AA12*PARAMETROS!$H$24,0)</f>
        <v>315518081</v>
      </c>
      <c r="AC12" s="31">
        <f t="shared" si="17"/>
        <v>315518081</v>
      </c>
      <c r="AD12" s="31">
        <f t="shared" si="18"/>
        <v>78879520</v>
      </c>
      <c r="AE12" s="31">
        <f t="shared" si="19"/>
        <v>78879520</v>
      </c>
      <c r="AF12" s="31">
        <f t="shared" si="19"/>
        <v>78879520</v>
      </c>
      <c r="AG12" s="31">
        <f t="shared" si="20"/>
        <v>78879521</v>
      </c>
    </row>
    <row r="13" spans="1:43" ht="3" customHeight="1" x14ac:dyDescent="0.25">
      <c r="A13">
        <v>1403</v>
      </c>
      <c r="B13">
        <v>1210</v>
      </c>
      <c r="C13" t="s">
        <v>59</v>
      </c>
      <c r="D13" s="31">
        <f>+DATA!O9</f>
        <v>687213</v>
      </c>
      <c r="E13" s="31">
        <f>+DATA!T9</f>
        <v>1972637.115</v>
      </c>
      <c r="F13" s="38">
        <f t="shared" si="1"/>
        <v>2659850.1150000002</v>
      </c>
      <c r="G13" s="112">
        <f t="shared" si="2"/>
        <v>0.04</v>
      </c>
      <c r="H13" s="95">
        <f t="shared" si="3"/>
        <v>0.74160000000000004</v>
      </c>
      <c r="I13" s="6" t="str">
        <f t="shared" si="4"/>
        <v>SI</v>
      </c>
      <c r="J13" s="117">
        <f t="shared" si="5"/>
        <v>3.3112582781000001E-3</v>
      </c>
      <c r="K13" s="117">
        <f t="shared" si="6"/>
        <v>1.6556291390500001E-3</v>
      </c>
      <c r="L13" s="31">
        <f>IF(I13="SI",VLOOKUP(A13,DATA!$A$4:$D$350,4,0),0)</f>
        <v>1558</v>
      </c>
      <c r="M13" s="95">
        <f>IF(I13="SI",VLOOKUP(A13,DATA!$A$4:$E$350,5,0),0)</f>
        <v>0.22253521986331601</v>
      </c>
      <c r="N13" s="31">
        <f t="shared" si="7"/>
        <v>347</v>
      </c>
      <c r="O13" s="117">
        <f t="shared" si="8"/>
        <v>4.2011974019999997E-4</v>
      </c>
      <c r="P13" s="117">
        <f t="shared" si="9"/>
        <v>4.2011973999999999E-5</v>
      </c>
      <c r="Q13" s="31">
        <f>IF(I13="SI",VLOOKUP(A13,DATA!$A$4:$G$350,7,0),0)</f>
        <v>909</v>
      </c>
      <c r="R13" s="31">
        <f>IF(I13="SI",VLOOKUP(A13,DATA!$A$4:$H$350,8,0),0)</f>
        <v>1129</v>
      </c>
      <c r="S13" s="117">
        <f t="shared" si="10"/>
        <v>2.1358495989999999E-4</v>
      </c>
      <c r="T13" s="117">
        <f t="shared" si="11"/>
        <v>2.7942604791036512E-4</v>
      </c>
      <c r="U13" s="117">
        <f t="shared" si="12"/>
        <v>5.5885209599999999E-5</v>
      </c>
      <c r="V13" s="31">
        <f>IF(I13="SI",VLOOKUP(A13,COEF_FCM!$A$8:$X$354,24,0),0)</f>
        <v>687213</v>
      </c>
      <c r="W13" s="121">
        <f t="shared" si="13"/>
        <v>441.09</v>
      </c>
      <c r="X13" s="31">
        <f>IF(AND(W13&gt;0,W13&lt;$W$7),ROUND(($W$7-W13)*L13,PARAMETROS!$L$8),0)</f>
        <v>0</v>
      </c>
      <c r="Y13" s="122">
        <f t="shared" si="14"/>
        <v>0</v>
      </c>
      <c r="Z13" s="117">
        <f t="shared" si="15"/>
        <v>0</v>
      </c>
      <c r="AA13" s="96">
        <f t="shared" si="16"/>
        <v>1.7535263226500001E-3</v>
      </c>
      <c r="AB13" s="31">
        <f>ROUND(AA13*PARAMETROS!$H$24,0)</f>
        <v>300935804</v>
      </c>
      <c r="AC13" s="31">
        <f t="shared" si="17"/>
        <v>300935804</v>
      </c>
      <c r="AD13" s="31">
        <f t="shared" si="18"/>
        <v>75233951</v>
      </c>
      <c r="AE13" s="31">
        <f t="shared" si="19"/>
        <v>75233951</v>
      </c>
      <c r="AF13" s="31">
        <f t="shared" si="19"/>
        <v>75233951</v>
      </c>
      <c r="AG13" s="31">
        <f t="shared" si="20"/>
        <v>75233951</v>
      </c>
    </row>
    <row r="14" spans="1:43" ht="3" customHeight="1" x14ac:dyDescent="0.25">
      <c r="A14">
        <v>1404</v>
      </c>
      <c r="B14">
        <v>1206</v>
      </c>
      <c r="C14" t="s">
        <v>57</v>
      </c>
      <c r="D14" s="31">
        <f>+DATA!O10</f>
        <v>2293714</v>
      </c>
      <c r="E14" s="31">
        <f>+DATA!T10</f>
        <v>2758937.4</v>
      </c>
      <c r="F14" s="38">
        <f t="shared" si="1"/>
        <v>5052651.4000000004</v>
      </c>
      <c r="G14" s="112">
        <f t="shared" si="2"/>
        <v>0.28899999999999998</v>
      </c>
      <c r="H14" s="95">
        <f t="shared" si="3"/>
        <v>0.54600000000000004</v>
      </c>
      <c r="I14" s="6" t="str">
        <f t="shared" si="4"/>
        <v>SI</v>
      </c>
      <c r="J14" s="117">
        <f t="shared" si="5"/>
        <v>3.3112582781000001E-3</v>
      </c>
      <c r="K14" s="117">
        <f t="shared" si="6"/>
        <v>1.6556291390500001E-3</v>
      </c>
      <c r="L14" s="31">
        <f>IF(I14="SI",VLOOKUP(A14,DATA!$A$4:$D$350,4,0),0)</f>
        <v>3095</v>
      </c>
      <c r="M14" s="95">
        <f>IF(I14="SI",VLOOKUP(A14,DATA!$A$4:$E$350,5,0),0)</f>
        <v>0.18065871940513911</v>
      </c>
      <c r="N14" s="31">
        <f t="shared" si="7"/>
        <v>559</v>
      </c>
      <c r="O14" s="117">
        <f t="shared" si="8"/>
        <v>6.7679231920000004E-4</v>
      </c>
      <c r="P14" s="117">
        <f t="shared" si="9"/>
        <v>6.7679231900000003E-5</v>
      </c>
      <c r="Q14" s="31">
        <f>IF(I14="SI",VLOOKUP(A14,DATA!$A$4:$G$350,7,0),0)</f>
        <v>5026</v>
      </c>
      <c r="R14" s="31">
        <f>IF(I14="SI",VLOOKUP(A14,DATA!$A$4:$H$350,8,0),0)</f>
        <v>5200</v>
      </c>
      <c r="S14" s="117">
        <f t="shared" si="10"/>
        <v>1.4176808332E-3</v>
      </c>
      <c r="T14" s="117">
        <f t="shared" si="11"/>
        <v>1.8547043415642187E-3</v>
      </c>
      <c r="U14" s="117">
        <f t="shared" si="12"/>
        <v>3.7094086829999998E-4</v>
      </c>
      <c r="V14" s="31">
        <f>IF(I14="SI",VLOOKUP(A14,COEF_FCM!$A$8:$X$354,24,0),0)</f>
        <v>2293714</v>
      </c>
      <c r="W14" s="121">
        <f t="shared" si="13"/>
        <v>741.1</v>
      </c>
      <c r="X14" s="31">
        <f>IF(AND(W14&gt;0,W14&lt;$W$7),ROUND(($W$7-W14)*L14,PARAMETROS!$L$8),0)</f>
        <v>0</v>
      </c>
      <c r="Y14" s="122">
        <f t="shared" si="14"/>
        <v>0</v>
      </c>
      <c r="Z14" s="117">
        <f t="shared" si="15"/>
        <v>0</v>
      </c>
      <c r="AA14" s="96">
        <f t="shared" si="16"/>
        <v>2.0942492392500003E-3</v>
      </c>
      <c r="AB14" s="31">
        <f>ROUND(AA14*PARAMETROS!$H$24,0)</f>
        <v>359409819</v>
      </c>
      <c r="AC14" s="31">
        <f t="shared" si="17"/>
        <v>359409819</v>
      </c>
      <c r="AD14" s="31">
        <f t="shared" si="18"/>
        <v>89852455</v>
      </c>
      <c r="AE14" s="31">
        <f t="shared" si="19"/>
        <v>89852455</v>
      </c>
      <c r="AF14" s="31">
        <f t="shared" si="19"/>
        <v>89852455</v>
      </c>
      <c r="AG14" s="31">
        <f t="shared" si="20"/>
        <v>89852454</v>
      </c>
    </row>
    <row r="15" spans="1:43" ht="3" customHeight="1" x14ac:dyDescent="0.25">
      <c r="A15">
        <v>1405</v>
      </c>
      <c r="B15">
        <v>1203</v>
      </c>
      <c r="C15" t="s">
        <v>55</v>
      </c>
      <c r="D15" s="31">
        <f>+DATA!O11</f>
        <v>5592051</v>
      </c>
      <c r="E15" s="31">
        <f>+DATA!T11</f>
        <v>2423232.9160000002</v>
      </c>
      <c r="F15" s="38">
        <f t="shared" si="1"/>
        <v>8015283.9160000002</v>
      </c>
      <c r="G15" s="112">
        <f t="shared" si="2"/>
        <v>0.498</v>
      </c>
      <c r="H15" s="95">
        <f t="shared" si="3"/>
        <v>0.30230000000000001</v>
      </c>
      <c r="I15" s="6" t="str">
        <f t="shared" si="4"/>
        <v>SI</v>
      </c>
      <c r="J15" s="117">
        <f t="shared" si="5"/>
        <v>3.3112582781000001E-3</v>
      </c>
      <c r="K15" s="117">
        <f t="shared" si="6"/>
        <v>1.6556291390500001E-3</v>
      </c>
      <c r="L15" s="31">
        <f>IF(I15="SI",VLOOKUP(A15,DATA!$A$4:$D$350,4,0),0)</f>
        <v>6291</v>
      </c>
      <c r="M15" s="95">
        <f>IF(I15="SI",VLOOKUP(A15,DATA!$A$4:$E$350,5,0),0)</f>
        <v>0.1073139711951238</v>
      </c>
      <c r="N15" s="31">
        <f t="shared" si="7"/>
        <v>675</v>
      </c>
      <c r="O15" s="117">
        <f t="shared" si="8"/>
        <v>8.172358058E-4</v>
      </c>
      <c r="P15" s="117">
        <f t="shared" si="9"/>
        <v>8.1723580600000006E-5</v>
      </c>
      <c r="Q15" s="31">
        <f>IF(I15="SI",VLOOKUP(A15,DATA!$A$4:$G$350,7,0),0)</f>
        <v>3351</v>
      </c>
      <c r="R15" s="31">
        <f>IF(I15="SI",VLOOKUP(A15,DATA!$A$4:$H$350,8,0),0)</f>
        <v>4342</v>
      </c>
      <c r="S15" s="117">
        <f t="shared" si="10"/>
        <v>7.5473741399999998E-4</v>
      </c>
      <c r="T15" s="117">
        <f t="shared" si="11"/>
        <v>9.8739767492453043E-4</v>
      </c>
      <c r="U15" s="117">
        <f t="shared" si="12"/>
        <v>1.97479535E-4</v>
      </c>
      <c r="V15" s="31">
        <f>IF(I15="SI",VLOOKUP(A15,COEF_FCM!$A$8:$X$354,24,0),0)</f>
        <v>5592051</v>
      </c>
      <c r="W15" s="121">
        <f t="shared" si="13"/>
        <v>888.9</v>
      </c>
      <c r="X15" s="31">
        <f>IF(AND(W15&gt;0,W15&lt;$W$7),ROUND(($W$7-W15)*L15,PARAMETROS!$L$8),0)</f>
        <v>0</v>
      </c>
      <c r="Y15" s="122">
        <f t="shared" si="14"/>
        <v>0</v>
      </c>
      <c r="Z15" s="117">
        <f t="shared" si="15"/>
        <v>0</v>
      </c>
      <c r="AA15" s="96">
        <f t="shared" si="16"/>
        <v>1.9348322546500001E-3</v>
      </c>
      <c r="AB15" s="31">
        <f>ROUND(AA15*PARAMETROS!$H$24,0)</f>
        <v>332051074</v>
      </c>
      <c r="AC15" s="31">
        <f t="shared" si="17"/>
        <v>332051074</v>
      </c>
      <c r="AD15" s="31">
        <f t="shared" si="18"/>
        <v>83012769</v>
      </c>
      <c r="AE15" s="31">
        <f t="shared" si="19"/>
        <v>83012769</v>
      </c>
      <c r="AF15" s="31">
        <f t="shared" si="19"/>
        <v>83012769</v>
      </c>
      <c r="AG15" s="31">
        <f t="shared" si="20"/>
        <v>83012767</v>
      </c>
    </row>
    <row r="16" spans="1:43" ht="3" customHeight="1" x14ac:dyDescent="0.25">
      <c r="A16">
        <v>2101</v>
      </c>
      <c r="B16">
        <v>2201</v>
      </c>
      <c r="C16" t="s">
        <v>64</v>
      </c>
      <c r="D16" s="31">
        <f>+DATA!O12</f>
        <v>74332575</v>
      </c>
      <c r="E16" s="31">
        <f>+DATA!T12</f>
        <v>18468262.109999999</v>
      </c>
      <c r="F16" s="38">
        <f t="shared" si="1"/>
        <v>92800837.109999999</v>
      </c>
      <c r="G16" s="112">
        <f t="shared" si="2"/>
        <v>0.97899999999999998</v>
      </c>
      <c r="H16" s="95">
        <f t="shared" si="3"/>
        <v>0.19900000000000001</v>
      </c>
      <c r="I16" s="6" t="str">
        <f t="shared" si="4"/>
        <v>NO</v>
      </c>
      <c r="J16" s="117">
        <f t="shared" si="5"/>
        <v>0</v>
      </c>
      <c r="K16" s="117">
        <f t="shared" si="6"/>
        <v>0</v>
      </c>
      <c r="L16" s="31">
        <f>IF(I16="SI",VLOOKUP(A16,DATA!$A$4:$D$350,4,0),0)</f>
        <v>0</v>
      </c>
      <c r="M16" s="95">
        <f>IF(I16="SI",VLOOKUP(A16,DATA!$A$4:$E$350,5,0),0)</f>
        <v>0</v>
      </c>
      <c r="N16" s="31">
        <f t="shared" si="7"/>
        <v>0</v>
      </c>
      <c r="O16" s="117">
        <f t="shared" si="8"/>
        <v>0</v>
      </c>
      <c r="P16" s="117">
        <f t="shared" si="9"/>
        <v>0</v>
      </c>
      <c r="Q16" s="31">
        <f>IF(I16="SI",VLOOKUP(A16,DATA!$A$4:$G$350,7,0),0)</f>
        <v>0</v>
      </c>
      <c r="R16" s="31">
        <f>IF(I16="SI",VLOOKUP(A16,DATA!$A$4:$H$350,8,0),0)</f>
        <v>0</v>
      </c>
      <c r="S16" s="117">
        <f t="shared" si="10"/>
        <v>0</v>
      </c>
      <c r="T16" s="117">
        <f t="shared" si="11"/>
        <v>0</v>
      </c>
      <c r="U16" s="117">
        <f t="shared" si="12"/>
        <v>0</v>
      </c>
      <c r="V16" s="31">
        <f>IF(I16="SI",VLOOKUP(A16,COEF_FCM!$A$8:$X$354,24,0),0)</f>
        <v>0</v>
      </c>
      <c r="W16" s="121">
        <f t="shared" si="13"/>
        <v>0</v>
      </c>
      <c r="X16" s="31">
        <f>IF(AND(W16&gt;0,W16&lt;$W$7),ROUND(($W$7-W16)*L16,PARAMETROS!$L$8),0)</f>
        <v>0</v>
      </c>
      <c r="Y16" s="122">
        <f t="shared" si="14"/>
        <v>0</v>
      </c>
      <c r="Z16" s="117">
        <f t="shared" si="15"/>
        <v>0</v>
      </c>
      <c r="AA16" s="96">
        <f t="shared" si="16"/>
        <v>0</v>
      </c>
      <c r="AB16" s="31">
        <f>ROUND(AA16*PARAMETROS!$H$24,0)</f>
        <v>0</v>
      </c>
      <c r="AC16" s="31">
        <f t="shared" si="17"/>
        <v>0</v>
      </c>
      <c r="AD16" s="31">
        <f t="shared" si="18"/>
        <v>0</v>
      </c>
      <c r="AE16" s="31">
        <f t="shared" si="19"/>
        <v>0</v>
      </c>
      <c r="AF16" s="31">
        <f t="shared" si="19"/>
        <v>0</v>
      </c>
      <c r="AG16" s="31">
        <f t="shared" si="20"/>
        <v>0</v>
      </c>
    </row>
    <row r="17" spans="1:33" ht="3" customHeight="1" x14ac:dyDescent="0.25">
      <c r="A17">
        <v>2102</v>
      </c>
      <c r="B17">
        <v>2203</v>
      </c>
      <c r="C17" t="s">
        <v>66</v>
      </c>
      <c r="D17" s="31">
        <f>+DATA!O13</f>
        <v>8869794</v>
      </c>
      <c r="E17" s="31">
        <f>+DATA!T13</f>
        <v>2759543.088</v>
      </c>
      <c r="F17" s="38">
        <f t="shared" si="1"/>
        <v>11629337.088</v>
      </c>
      <c r="G17" s="112">
        <f t="shared" si="2"/>
        <v>0.63700000000000001</v>
      </c>
      <c r="H17" s="95">
        <f t="shared" si="3"/>
        <v>0.23730000000000001</v>
      </c>
      <c r="I17" s="6" t="str">
        <f t="shared" si="4"/>
        <v>SI</v>
      </c>
      <c r="J17" s="117">
        <f t="shared" si="5"/>
        <v>3.3112582781000001E-3</v>
      </c>
      <c r="K17" s="117">
        <f t="shared" si="6"/>
        <v>1.6556291390500001E-3</v>
      </c>
      <c r="L17" s="31">
        <f>IF(I17="SI",VLOOKUP(A17,DATA!$A$4:$D$350,4,0),0)</f>
        <v>15877</v>
      </c>
      <c r="M17" s="95">
        <f>IF(I17="SI",VLOOKUP(A17,DATA!$A$4:$E$350,5,0),0)</f>
        <v>7.1397404410535312E-2</v>
      </c>
      <c r="N17" s="31">
        <f t="shared" si="7"/>
        <v>1134</v>
      </c>
      <c r="O17" s="117">
        <f t="shared" si="8"/>
        <v>1.3729561537999999E-3</v>
      </c>
      <c r="P17" s="117">
        <f t="shared" si="9"/>
        <v>1.3729561540000001E-4</v>
      </c>
      <c r="Q17" s="31">
        <f>IF(I17="SI",VLOOKUP(A17,DATA!$A$4:$G$350,7,0),0)</f>
        <v>4841</v>
      </c>
      <c r="R17" s="31">
        <f>IF(I17="SI",VLOOKUP(A17,DATA!$A$4:$H$350,8,0),0)</f>
        <v>5602</v>
      </c>
      <c r="S17" s="117">
        <f t="shared" si="10"/>
        <v>1.2208544871E-3</v>
      </c>
      <c r="T17" s="117">
        <f t="shared" si="11"/>
        <v>1.5972030266724266E-3</v>
      </c>
      <c r="U17" s="117">
        <f t="shared" si="12"/>
        <v>3.194406053E-4</v>
      </c>
      <c r="V17" s="31">
        <f>IF(I17="SI",VLOOKUP(A17,COEF_FCM!$A$8:$X$354,24,0),0)</f>
        <v>8869794</v>
      </c>
      <c r="W17" s="121">
        <f t="shared" si="13"/>
        <v>558.66</v>
      </c>
      <c r="X17" s="31">
        <f>IF(AND(W17&gt;0,W17&lt;$W$7),ROUND(($W$7-W17)*L17,PARAMETROS!$L$8),0)</f>
        <v>0</v>
      </c>
      <c r="Y17" s="122">
        <f t="shared" si="14"/>
        <v>0</v>
      </c>
      <c r="Z17" s="117">
        <f t="shared" si="15"/>
        <v>0</v>
      </c>
      <c r="AA17" s="96">
        <f t="shared" si="16"/>
        <v>2.1123653597499999E-3</v>
      </c>
      <c r="AB17" s="31">
        <f>ROUND(AA17*PARAMETROS!$H$24,0)</f>
        <v>362518862</v>
      </c>
      <c r="AC17" s="31">
        <f t="shared" si="17"/>
        <v>362518862</v>
      </c>
      <c r="AD17" s="31">
        <f t="shared" si="18"/>
        <v>90629716</v>
      </c>
      <c r="AE17" s="31">
        <f t="shared" si="19"/>
        <v>90629716</v>
      </c>
      <c r="AF17" s="31">
        <f t="shared" si="19"/>
        <v>90629716</v>
      </c>
      <c r="AG17" s="31">
        <f t="shared" si="20"/>
        <v>90629714</v>
      </c>
    </row>
    <row r="18" spans="1:33" ht="3" customHeight="1" x14ac:dyDescent="0.25">
      <c r="A18">
        <v>2103</v>
      </c>
      <c r="B18">
        <v>2206</v>
      </c>
      <c r="C18" t="s">
        <v>67</v>
      </c>
      <c r="D18" s="31">
        <f>+DATA!O14</f>
        <v>13774988</v>
      </c>
      <c r="E18" s="31">
        <f>+DATA!T14</f>
        <v>2061277.3870000001</v>
      </c>
      <c r="F18" s="38">
        <f t="shared" si="1"/>
        <v>15836265.387</v>
      </c>
      <c r="G18" s="112">
        <f t="shared" si="2"/>
        <v>0.72099999999999997</v>
      </c>
      <c r="H18" s="95">
        <f t="shared" si="3"/>
        <v>0.13020000000000001</v>
      </c>
      <c r="I18" s="6" t="str">
        <f t="shared" si="4"/>
        <v>SI</v>
      </c>
      <c r="J18" s="117">
        <f t="shared" si="5"/>
        <v>3.3112582781000001E-3</v>
      </c>
      <c r="K18" s="117">
        <f t="shared" si="6"/>
        <v>1.6556291390500001E-3</v>
      </c>
      <c r="L18" s="31">
        <f>IF(I18="SI",VLOOKUP(A18,DATA!$A$4:$D$350,4,0),0)</f>
        <v>1800</v>
      </c>
      <c r="M18" s="95">
        <f>IF(I18="SI",VLOOKUP(A18,DATA!$A$4:$E$350,5,0),0)</f>
        <v>2.1060184458724391E-2</v>
      </c>
      <c r="N18" s="31">
        <f t="shared" si="7"/>
        <v>38</v>
      </c>
      <c r="O18" s="117">
        <f t="shared" si="8"/>
        <v>4.6007349100000001E-5</v>
      </c>
      <c r="P18" s="117">
        <f t="shared" si="9"/>
        <v>4.6007348999999998E-6</v>
      </c>
      <c r="Q18" s="31">
        <f>IF(I18="SI",VLOOKUP(A18,DATA!$A$4:$G$350,7,0),0)</f>
        <v>934</v>
      </c>
      <c r="R18" s="31">
        <f>IF(I18="SI",VLOOKUP(A18,DATA!$A$4:$H$350,8,0),0)</f>
        <v>1179</v>
      </c>
      <c r="S18" s="117">
        <f t="shared" si="10"/>
        <v>2.1593189210000001E-4</v>
      </c>
      <c r="T18" s="117">
        <f t="shared" si="11"/>
        <v>2.8249646068505968E-4</v>
      </c>
      <c r="U18" s="117">
        <f t="shared" si="12"/>
        <v>5.6499292099999999E-5</v>
      </c>
      <c r="V18" s="31">
        <f>IF(I18="SI",VLOOKUP(A18,COEF_FCM!$A$8:$X$354,24,0),0)</f>
        <v>13774988</v>
      </c>
      <c r="W18" s="121">
        <f t="shared" si="13"/>
        <v>7652.77</v>
      </c>
      <c r="X18" s="31">
        <f>IF(AND(W18&gt;0,W18&lt;$W$7),ROUND(($W$7-W18)*L18,PARAMETROS!$L$8),0)</f>
        <v>0</v>
      </c>
      <c r="Y18" s="122">
        <f t="shared" si="14"/>
        <v>0</v>
      </c>
      <c r="Z18" s="117">
        <f t="shared" si="15"/>
        <v>0</v>
      </c>
      <c r="AA18" s="96">
        <f t="shared" si="16"/>
        <v>1.7167291660500001E-3</v>
      </c>
      <c r="AB18" s="31">
        <f>ROUND(AA18*PARAMETROS!$H$24,0)</f>
        <v>294620768</v>
      </c>
      <c r="AC18" s="31">
        <f t="shared" si="17"/>
        <v>294620768</v>
      </c>
      <c r="AD18" s="31">
        <f t="shared" si="18"/>
        <v>73655192</v>
      </c>
      <c r="AE18" s="31">
        <f t="shared" si="19"/>
        <v>73655192</v>
      </c>
      <c r="AF18" s="31">
        <f t="shared" si="19"/>
        <v>73655192</v>
      </c>
      <c r="AG18" s="31">
        <f t="shared" si="20"/>
        <v>73655192</v>
      </c>
    </row>
    <row r="19" spans="1:33" ht="3" customHeight="1" x14ac:dyDescent="0.25">
      <c r="A19">
        <v>2104</v>
      </c>
      <c r="B19">
        <v>2202</v>
      </c>
      <c r="C19" t="s">
        <v>65</v>
      </c>
      <c r="D19" s="31">
        <f>+DATA!O15</f>
        <v>5450341</v>
      </c>
      <c r="E19" s="31">
        <f>+DATA!T15</f>
        <v>2709399.5350000001</v>
      </c>
      <c r="F19" s="38">
        <f t="shared" si="1"/>
        <v>8159740.5350000001</v>
      </c>
      <c r="G19" s="112">
        <f t="shared" si="2"/>
        <v>0.51500000000000001</v>
      </c>
      <c r="H19" s="95">
        <f t="shared" si="3"/>
        <v>0.33200000000000002</v>
      </c>
      <c r="I19" s="6" t="str">
        <f t="shared" si="4"/>
        <v>SI</v>
      </c>
      <c r="J19" s="117">
        <f t="shared" si="5"/>
        <v>3.3112582781000001E-3</v>
      </c>
      <c r="K19" s="117">
        <f t="shared" si="6"/>
        <v>1.6556291390500001E-3</v>
      </c>
      <c r="L19" s="31">
        <f>IF(I19="SI",VLOOKUP(A19,DATA!$A$4:$D$350,4,0),0)</f>
        <v>13967</v>
      </c>
      <c r="M19" s="95">
        <f>IF(I19="SI",VLOOKUP(A19,DATA!$A$4:$E$350,5,0),0)</f>
        <v>0.11480221609318229</v>
      </c>
      <c r="N19" s="31">
        <f t="shared" si="7"/>
        <v>1603</v>
      </c>
      <c r="O19" s="117">
        <f t="shared" si="8"/>
        <v>1.9407836988999999E-3</v>
      </c>
      <c r="P19" s="117">
        <f t="shared" si="9"/>
        <v>1.9407836989999999E-4</v>
      </c>
      <c r="Q19" s="31">
        <f>IF(I19="SI",VLOOKUP(A19,DATA!$A$4:$G$350,7,0),0)</f>
        <v>4165</v>
      </c>
      <c r="R19" s="31">
        <f>IF(I19="SI",VLOOKUP(A19,DATA!$A$4:$H$350,8,0),0)</f>
        <v>4454</v>
      </c>
      <c r="S19" s="117">
        <f t="shared" si="10"/>
        <v>1.1366235282E-3</v>
      </c>
      <c r="T19" s="117">
        <f t="shared" si="11"/>
        <v>1.4870064848927663E-3</v>
      </c>
      <c r="U19" s="117">
        <f t="shared" si="12"/>
        <v>2.9740129699999999E-4</v>
      </c>
      <c r="V19" s="31">
        <f>IF(I19="SI",VLOOKUP(A19,COEF_FCM!$A$8:$X$354,24,0),0)</f>
        <v>5450341</v>
      </c>
      <c r="W19" s="121">
        <f t="shared" si="13"/>
        <v>390.23</v>
      </c>
      <c r="X19" s="31">
        <f>IF(AND(W19&gt;0,W19&lt;$W$7),ROUND(($W$7-W19)*L19,PARAMETROS!$L$8),0)</f>
        <v>0</v>
      </c>
      <c r="Y19" s="122">
        <f t="shared" si="14"/>
        <v>0</v>
      </c>
      <c r="Z19" s="117">
        <f t="shared" si="15"/>
        <v>0</v>
      </c>
      <c r="AA19" s="96">
        <f t="shared" si="16"/>
        <v>2.1471088059500003E-3</v>
      </c>
      <c r="AB19" s="31">
        <f>ROUND(AA19*PARAMETROS!$H$24,0)</f>
        <v>368481446</v>
      </c>
      <c r="AC19" s="31">
        <f t="shared" si="17"/>
        <v>368481446</v>
      </c>
      <c r="AD19" s="31">
        <f t="shared" si="18"/>
        <v>92120362</v>
      </c>
      <c r="AE19" s="31">
        <f t="shared" si="19"/>
        <v>92120362</v>
      </c>
      <c r="AF19" s="31">
        <f t="shared" si="19"/>
        <v>92120362</v>
      </c>
      <c r="AG19" s="31">
        <f t="shared" si="20"/>
        <v>92120360</v>
      </c>
    </row>
    <row r="20" spans="1:33" ht="3" customHeight="1" x14ac:dyDescent="0.25">
      <c r="A20">
        <v>2201</v>
      </c>
      <c r="B20">
        <v>2301</v>
      </c>
      <c r="C20" t="s">
        <v>68</v>
      </c>
      <c r="D20" s="31">
        <f>+DATA!O16</f>
        <v>28364299</v>
      </c>
      <c r="E20" s="31">
        <f>+DATA!T16</f>
        <v>11951375.767999999</v>
      </c>
      <c r="F20" s="38">
        <f t="shared" si="1"/>
        <v>40315674.767999999</v>
      </c>
      <c r="G20" s="112">
        <f t="shared" si="2"/>
        <v>0.91</v>
      </c>
      <c r="H20" s="95">
        <f t="shared" si="3"/>
        <v>0.2964</v>
      </c>
      <c r="I20" s="6" t="str">
        <f t="shared" si="4"/>
        <v>NO</v>
      </c>
      <c r="J20" s="117">
        <f t="shared" si="5"/>
        <v>0</v>
      </c>
      <c r="K20" s="117">
        <f t="shared" si="6"/>
        <v>0</v>
      </c>
      <c r="L20" s="31">
        <f>IF(I20="SI",VLOOKUP(A20,DATA!$A$4:$D$350,4,0),0)</f>
        <v>0</v>
      </c>
      <c r="M20" s="95">
        <f>IF(I20="SI",VLOOKUP(A20,DATA!$A$4:$E$350,5,0),0)</f>
        <v>0</v>
      </c>
      <c r="N20" s="31">
        <f t="shared" si="7"/>
        <v>0</v>
      </c>
      <c r="O20" s="117">
        <f t="shared" si="8"/>
        <v>0</v>
      </c>
      <c r="P20" s="117">
        <f t="shared" si="9"/>
        <v>0</v>
      </c>
      <c r="Q20" s="31">
        <f>IF(I20="SI",VLOOKUP(A20,DATA!$A$4:$G$350,7,0),0)</f>
        <v>0</v>
      </c>
      <c r="R20" s="31">
        <f>IF(I20="SI",VLOOKUP(A20,DATA!$A$4:$H$350,8,0),0)</f>
        <v>0</v>
      </c>
      <c r="S20" s="117">
        <f t="shared" si="10"/>
        <v>0</v>
      </c>
      <c r="T20" s="117">
        <f t="shared" si="11"/>
        <v>0</v>
      </c>
      <c r="U20" s="117">
        <f t="shared" si="12"/>
        <v>0</v>
      </c>
      <c r="V20" s="31">
        <f>IF(I20="SI",VLOOKUP(A20,COEF_FCM!$A$8:$X$354,24,0),0)</f>
        <v>0</v>
      </c>
      <c r="W20" s="121">
        <f t="shared" si="13"/>
        <v>0</v>
      </c>
      <c r="X20" s="31">
        <f>IF(AND(W20&gt;0,W20&lt;$W$7),ROUND(($W$7-W20)*L20,PARAMETROS!$L$8),0)</f>
        <v>0</v>
      </c>
      <c r="Y20" s="122">
        <f t="shared" si="14"/>
        <v>0</v>
      </c>
      <c r="Z20" s="117">
        <f t="shared" si="15"/>
        <v>0</v>
      </c>
      <c r="AA20" s="96">
        <f t="shared" si="16"/>
        <v>0</v>
      </c>
      <c r="AB20" s="31">
        <f>ROUND(AA20*PARAMETROS!$H$24,0)</f>
        <v>0</v>
      </c>
      <c r="AC20" s="31">
        <f t="shared" si="17"/>
        <v>0</v>
      </c>
      <c r="AD20" s="31">
        <f t="shared" si="18"/>
        <v>0</v>
      </c>
      <c r="AE20" s="31">
        <f t="shared" si="19"/>
        <v>0</v>
      </c>
      <c r="AF20" s="31">
        <f t="shared" si="19"/>
        <v>0</v>
      </c>
      <c r="AG20" s="31">
        <f t="shared" si="20"/>
        <v>0</v>
      </c>
    </row>
    <row r="21" spans="1:33" ht="3" customHeight="1" x14ac:dyDescent="0.25">
      <c r="A21">
        <v>2202</v>
      </c>
      <c r="B21">
        <v>2302</v>
      </c>
      <c r="C21" t="s">
        <v>27</v>
      </c>
      <c r="D21" s="31">
        <f>+DATA!O17</f>
        <v>1255041</v>
      </c>
      <c r="E21" s="31">
        <f>+DATA!T17</f>
        <v>2168769.9679999999</v>
      </c>
      <c r="F21" s="38">
        <f t="shared" si="1"/>
        <v>3423810.9679999999</v>
      </c>
      <c r="G21" s="112">
        <f t="shared" si="2"/>
        <v>0.10100000000000001</v>
      </c>
      <c r="H21" s="95">
        <f t="shared" si="3"/>
        <v>0.63339999999999996</v>
      </c>
      <c r="I21" s="6" t="str">
        <f t="shared" si="4"/>
        <v>SI</v>
      </c>
      <c r="J21" s="117">
        <f t="shared" si="5"/>
        <v>3.3112582781000001E-3</v>
      </c>
      <c r="K21" s="117">
        <f t="shared" si="6"/>
        <v>1.6556291390500001E-3</v>
      </c>
      <c r="L21" s="31">
        <f>IF(I21="SI",VLOOKUP(A21,DATA!$A$4:$D$350,4,0),0)</f>
        <v>269</v>
      </c>
      <c r="M21" s="95">
        <f>IF(I21="SI",VLOOKUP(A21,DATA!$A$4:$E$350,5,0),0)</f>
        <v>8.7212215477328936E-2</v>
      </c>
      <c r="N21" s="31">
        <f t="shared" si="7"/>
        <v>23</v>
      </c>
      <c r="O21" s="117">
        <f t="shared" si="8"/>
        <v>2.78465534E-5</v>
      </c>
      <c r="P21" s="117">
        <f t="shared" si="9"/>
        <v>2.7846552999999998E-6</v>
      </c>
      <c r="Q21" s="31">
        <f>IF(I21="SI",VLOOKUP(A21,DATA!$A$4:$G$350,7,0),0)</f>
        <v>185</v>
      </c>
      <c r="R21" s="31">
        <f>IF(I21="SI",VLOOKUP(A21,DATA!$A$4:$H$350,8,0),0)</f>
        <v>198</v>
      </c>
      <c r="S21" s="117">
        <f t="shared" si="10"/>
        <v>5.0444649599999998E-5</v>
      </c>
      <c r="T21" s="117">
        <f t="shared" si="11"/>
        <v>6.599504516867988E-5</v>
      </c>
      <c r="U21" s="117">
        <f t="shared" si="12"/>
        <v>1.3199009E-5</v>
      </c>
      <c r="V21" s="31">
        <f>IF(I21="SI",VLOOKUP(A21,COEF_FCM!$A$8:$X$354,24,0),0)</f>
        <v>1255041</v>
      </c>
      <c r="W21" s="121">
        <f t="shared" si="13"/>
        <v>4665.58</v>
      </c>
      <c r="X21" s="31">
        <f>IF(AND(W21&gt;0,W21&lt;$W$7),ROUND(($W$7-W21)*L21,PARAMETROS!$L$8),0)</f>
        <v>0</v>
      </c>
      <c r="Y21" s="122">
        <f t="shared" si="14"/>
        <v>0</v>
      </c>
      <c r="Z21" s="117">
        <f t="shared" si="15"/>
        <v>0</v>
      </c>
      <c r="AA21" s="96">
        <f t="shared" si="16"/>
        <v>1.6716128033500001E-3</v>
      </c>
      <c r="AB21" s="31">
        <f>ROUND(AA21*PARAMETROS!$H$24,0)</f>
        <v>286878010</v>
      </c>
      <c r="AC21" s="31">
        <f t="shared" si="17"/>
        <v>286878010</v>
      </c>
      <c r="AD21" s="31">
        <f t="shared" si="18"/>
        <v>71719503</v>
      </c>
      <c r="AE21" s="31">
        <f t="shared" si="19"/>
        <v>71719503</v>
      </c>
      <c r="AF21" s="31">
        <f t="shared" si="19"/>
        <v>71719503</v>
      </c>
      <c r="AG21" s="31">
        <f t="shared" si="20"/>
        <v>71719501</v>
      </c>
    </row>
    <row r="22" spans="1:33" ht="3" customHeight="1" x14ac:dyDescent="0.25">
      <c r="A22">
        <v>2203</v>
      </c>
      <c r="B22">
        <v>2303</v>
      </c>
      <c r="C22" t="s">
        <v>69</v>
      </c>
      <c r="D22" s="31">
        <f>+DATA!O18</f>
        <v>6674338</v>
      </c>
      <c r="E22" s="31">
        <f>+DATA!T18</f>
        <v>6683005.2939999998</v>
      </c>
      <c r="F22" s="38">
        <f t="shared" si="1"/>
        <v>13357343.294</v>
      </c>
      <c r="G22" s="112">
        <f t="shared" si="2"/>
        <v>0.68600000000000005</v>
      </c>
      <c r="H22" s="95">
        <f t="shared" si="3"/>
        <v>0.50029999999999997</v>
      </c>
      <c r="I22" s="6" t="str">
        <f t="shared" si="4"/>
        <v>SI</v>
      </c>
      <c r="J22" s="117">
        <f t="shared" si="5"/>
        <v>3.3112582781000001E-3</v>
      </c>
      <c r="K22" s="117">
        <f t="shared" si="6"/>
        <v>1.6556291390500001E-3</v>
      </c>
      <c r="L22" s="31">
        <f>IF(I22="SI",VLOOKUP(A22,DATA!$A$4:$D$350,4,0),0)</f>
        <v>11030</v>
      </c>
      <c r="M22" s="95">
        <f>IF(I22="SI",VLOOKUP(A22,DATA!$A$4:$E$350,5,0),0)</f>
        <v>4.8730078667678887E-2</v>
      </c>
      <c r="N22" s="31">
        <f t="shared" si="7"/>
        <v>537</v>
      </c>
      <c r="O22" s="117">
        <f t="shared" si="8"/>
        <v>6.5015648550000005E-4</v>
      </c>
      <c r="P22" s="117">
        <f t="shared" si="9"/>
        <v>6.5015648600000002E-5</v>
      </c>
      <c r="Q22" s="31">
        <f>IF(I22="SI",VLOOKUP(A22,DATA!$A$4:$G$350,7,0),0)</f>
        <v>5524</v>
      </c>
      <c r="R22" s="31">
        <f>IF(I22="SI",VLOOKUP(A22,DATA!$A$4:$H$350,8,0),0)</f>
        <v>6138</v>
      </c>
      <c r="S22" s="117">
        <f t="shared" si="10"/>
        <v>1.4508325770000001E-3</v>
      </c>
      <c r="T22" s="117">
        <f t="shared" si="11"/>
        <v>1.8980756573895843E-3</v>
      </c>
      <c r="U22" s="117">
        <f t="shared" si="12"/>
        <v>3.7961513149999999E-4</v>
      </c>
      <c r="V22" s="31">
        <f>IF(I22="SI",VLOOKUP(A22,COEF_FCM!$A$8:$X$354,24,0),0)</f>
        <v>6674338</v>
      </c>
      <c r="W22" s="121">
        <f t="shared" si="13"/>
        <v>605.11</v>
      </c>
      <c r="X22" s="31">
        <f>IF(AND(W22&gt;0,W22&lt;$W$7),ROUND(($W$7-W22)*L22,PARAMETROS!$L$8),0)</f>
        <v>0</v>
      </c>
      <c r="Y22" s="122">
        <f t="shared" si="14"/>
        <v>0</v>
      </c>
      <c r="Z22" s="117">
        <f t="shared" si="15"/>
        <v>0</v>
      </c>
      <c r="AA22" s="96">
        <f t="shared" si="16"/>
        <v>2.1002599191500002E-3</v>
      </c>
      <c r="AB22" s="31">
        <f>ROUND(AA22*PARAMETROS!$H$24,0)</f>
        <v>360441357</v>
      </c>
      <c r="AC22" s="31">
        <f t="shared" si="17"/>
        <v>360441357</v>
      </c>
      <c r="AD22" s="31">
        <f t="shared" si="18"/>
        <v>90110339</v>
      </c>
      <c r="AE22" s="31">
        <f t="shared" si="19"/>
        <v>90110339</v>
      </c>
      <c r="AF22" s="31">
        <f t="shared" si="19"/>
        <v>90110339</v>
      </c>
      <c r="AG22" s="31">
        <f t="shared" si="20"/>
        <v>90110340</v>
      </c>
    </row>
    <row r="23" spans="1:33" ht="3" customHeight="1" x14ac:dyDescent="0.25">
      <c r="A23">
        <v>2301</v>
      </c>
      <c r="B23">
        <v>2101</v>
      </c>
      <c r="C23" t="s">
        <v>63</v>
      </c>
      <c r="D23" s="31">
        <f>+DATA!O19</f>
        <v>3264150</v>
      </c>
      <c r="E23" s="31">
        <f>+DATA!T19</f>
        <v>5676553.6600000001</v>
      </c>
      <c r="F23" s="38">
        <f t="shared" si="1"/>
        <v>8940703.6600000001</v>
      </c>
      <c r="G23" s="112">
        <f t="shared" si="2"/>
        <v>0.55000000000000004</v>
      </c>
      <c r="H23" s="95">
        <f t="shared" si="3"/>
        <v>0.63490000000000002</v>
      </c>
      <c r="I23" s="6" t="str">
        <f t="shared" si="4"/>
        <v>SI</v>
      </c>
      <c r="J23" s="117">
        <f t="shared" si="5"/>
        <v>3.3112582781000001E-3</v>
      </c>
      <c r="K23" s="117">
        <f t="shared" si="6"/>
        <v>1.6556291390500001E-3</v>
      </c>
      <c r="L23" s="31">
        <f>IF(I23="SI",VLOOKUP(A23,DATA!$A$4:$D$350,4,0),0)</f>
        <v>28354</v>
      </c>
      <c r="M23" s="95">
        <f>IF(I23="SI",VLOOKUP(A23,DATA!$A$4:$E$350,5,0),0)</f>
        <v>0.10427636654800319</v>
      </c>
      <c r="N23" s="31">
        <f t="shared" si="7"/>
        <v>2957</v>
      </c>
      <c r="O23" s="117">
        <f t="shared" si="8"/>
        <v>3.5800981893999999E-3</v>
      </c>
      <c r="P23" s="117">
        <f t="shared" si="9"/>
        <v>3.5800981890000001E-4</v>
      </c>
      <c r="Q23" s="31">
        <f>IF(I23="SI",VLOOKUP(A23,DATA!$A$4:$G$350,7,0),0)</f>
        <v>9446</v>
      </c>
      <c r="R23" s="31">
        <f>IF(I23="SI",VLOOKUP(A23,DATA!$A$4:$H$350,8,0),0)</f>
        <v>10106</v>
      </c>
      <c r="S23" s="117">
        <f t="shared" si="10"/>
        <v>2.5766381429E-3</v>
      </c>
      <c r="T23" s="117">
        <f t="shared" si="11"/>
        <v>3.3709293646085499E-3</v>
      </c>
      <c r="U23" s="117">
        <f t="shared" si="12"/>
        <v>6.741858729E-4</v>
      </c>
      <c r="V23" s="31">
        <f>IF(I23="SI",VLOOKUP(A23,COEF_FCM!$A$8:$X$354,24,0),0)</f>
        <v>3264150</v>
      </c>
      <c r="W23" s="121">
        <f t="shared" si="13"/>
        <v>115.12</v>
      </c>
      <c r="X23" s="31">
        <f>IF(AND(W23&gt;0,W23&lt;$W$7),ROUND(($W$7-W23)*L23,PARAMETROS!$L$8),0)</f>
        <v>0</v>
      </c>
      <c r="Y23" s="122">
        <f t="shared" si="14"/>
        <v>0</v>
      </c>
      <c r="Z23" s="117">
        <f t="shared" si="15"/>
        <v>0</v>
      </c>
      <c r="AA23" s="96">
        <f t="shared" si="16"/>
        <v>2.68782483085E-3</v>
      </c>
      <c r="AB23" s="31">
        <f>ROUND(AA23*PARAMETROS!$H$24,0)</f>
        <v>461277778</v>
      </c>
      <c r="AC23" s="31">
        <f t="shared" si="17"/>
        <v>461277778</v>
      </c>
      <c r="AD23" s="31">
        <f t="shared" si="18"/>
        <v>115319445</v>
      </c>
      <c r="AE23" s="31">
        <f t="shared" si="19"/>
        <v>115319445</v>
      </c>
      <c r="AF23" s="31">
        <f t="shared" si="19"/>
        <v>115319445</v>
      </c>
      <c r="AG23" s="31">
        <f t="shared" si="20"/>
        <v>115319443</v>
      </c>
    </row>
    <row r="24" spans="1:33" ht="3" customHeight="1" x14ac:dyDescent="0.25">
      <c r="A24">
        <v>2302</v>
      </c>
      <c r="B24">
        <v>2103</v>
      </c>
      <c r="C24" t="s">
        <v>374</v>
      </c>
      <c r="D24" s="31">
        <f>+DATA!O20</f>
        <v>6646122</v>
      </c>
      <c r="E24" s="31">
        <f>+DATA!T20</f>
        <v>1974218.2339999999</v>
      </c>
      <c r="F24" s="38">
        <f t="shared" si="1"/>
        <v>8620340.2339999992</v>
      </c>
      <c r="G24" s="112">
        <f t="shared" si="2"/>
        <v>0.53900000000000003</v>
      </c>
      <c r="H24" s="95">
        <f t="shared" si="3"/>
        <v>0.22900000000000001</v>
      </c>
      <c r="I24" s="6" t="str">
        <f t="shared" si="4"/>
        <v>SI</v>
      </c>
      <c r="J24" s="117">
        <f t="shared" si="5"/>
        <v>3.3112582781000001E-3</v>
      </c>
      <c r="K24" s="117">
        <f t="shared" si="6"/>
        <v>1.6556291390500001E-3</v>
      </c>
      <c r="L24" s="31">
        <f>IF(I24="SI",VLOOKUP(A24,DATA!$A$4:$D$350,4,0),0)</f>
        <v>6507</v>
      </c>
      <c r="M24" s="95">
        <f>IF(I24="SI",VLOOKUP(A24,DATA!$A$4:$E$350,5,0),0)</f>
        <v>5.5513796245607212E-2</v>
      </c>
      <c r="N24" s="31">
        <f t="shared" si="7"/>
        <v>361</v>
      </c>
      <c r="O24" s="117">
        <f t="shared" si="8"/>
        <v>4.370698162E-4</v>
      </c>
      <c r="P24" s="117">
        <f t="shared" si="9"/>
        <v>4.3706981599999998E-5</v>
      </c>
      <c r="Q24" s="31">
        <f>IF(I24="SI",VLOOKUP(A24,DATA!$A$4:$G$350,7,0),0)</f>
        <v>492</v>
      </c>
      <c r="R24" s="31">
        <f>IF(I24="SI",VLOOKUP(A24,DATA!$A$4:$H$350,8,0),0)</f>
        <v>585</v>
      </c>
      <c r="S24" s="117">
        <f t="shared" si="10"/>
        <v>1.2075668499999999E-4</v>
      </c>
      <c r="T24" s="117">
        <f t="shared" si="11"/>
        <v>1.579819256192246E-4</v>
      </c>
      <c r="U24" s="117">
        <f t="shared" si="12"/>
        <v>3.1596385099999998E-5</v>
      </c>
      <c r="V24" s="31">
        <f>IF(I24="SI",VLOOKUP(A24,COEF_FCM!$A$8:$X$354,24,0),0)</f>
        <v>6646122</v>
      </c>
      <c r="W24" s="121">
        <f t="shared" si="13"/>
        <v>1021.38</v>
      </c>
      <c r="X24" s="31">
        <f>IF(AND(W24&gt;0,W24&lt;$W$7),ROUND(($W$7-W24)*L24,PARAMETROS!$L$8),0)</f>
        <v>0</v>
      </c>
      <c r="Y24" s="122">
        <f t="shared" si="14"/>
        <v>0</v>
      </c>
      <c r="Z24" s="117">
        <f t="shared" si="15"/>
        <v>0</v>
      </c>
      <c r="AA24" s="96">
        <f t="shared" si="16"/>
        <v>1.73093250575E-3</v>
      </c>
      <c r="AB24" s="31">
        <f>ROUND(AA24*PARAMETROS!$H$24,0)</f>
        <v>297058309</v>
      </c>
      <c r="AC24" s="31">
        <f t="shared" si="17"/>
        <v>297058309</v>
      </c>
      <c r="AD24" s="31">
        <f t="shared" si="18"/>
        <v>74264577</v>
      </c>
      <c r="AE24" s="31">
        <f t="shared" si="19"/>
        <v>74264577</v>
      </c>
      <c r="AF24" s="31">
        <f t="shared" si="19"/>
        <v>74264577</v>
      </c>
      <c r="AG24" s="31">
        <f t="shared" si="20"/>
        <v>74264578</v>
      </c>
    </row>
    <row r="25" spans="1:33" ht="3" customHeight="1" x14ac:dyDescent="0.25">
      <c r="A25">
        <v>3101</v>
      </c>
      <c r="B25">
        <v>3201</v>
      </c>
      <c r="C25" t="s">
        <v>375</v>
      </c>
      <c r="D25" s="31">
        <f>+DATA!O21</f>
        <v>26253692</v>
      </c>
      <c r="E25" s="31">
        <f>+DATA!T21</f>
        <v>16441420.776000001</v>
      </c>
      <c r="F25" s="38">
        <f t="shared" si="1"/>
        <v>42695112.776000001</v>
      </c>
      <c r="G25" s="112">
        <f t="shared" si="2"/>
        <v>0.91300000000000003</v>
      </c>
      <c r="H25" s="95">
        <f t="shared" si="3"/>
        <v>0.3851</v>
      </c>
      <c r="I25" s="6" t="str">
        <f t="shared" si="4"/>
        <v>NO</v>
      </c>
      <c r="J25" s="117">
        <f t="shared" si="5"/>
        <v>0</v>
      </c>
      <c r="K25" s="117">
        <f t="shared" si="6"/>
        <v>0</v>
      </c>
      <c r="L25" s="31">
        <f>IF(I25="SI",VLOOKUP(A25,DATA!$A$4:$D$350,4,0),0)</f>
        <v>0</v>
      </c>
      <c r="M25" s="95">
        <f>IF(I25="SI",VLOOKUP(A25,DATA!$A$4:$E$350,5,0),0)</f>
        <v>0</v>
      </c>
      <c r="N25" s="31">
        <f t="shared" si="7"/>
        <v>0</v>
      </c>
      <c r="O25" s="117">
        <f t="shared" si="8"/>
        <v>0</v>
      </c>
      <c r="P25" s="117">
        <f t="shared" si="9"/>
        <v>0</v>
      </c>
      <c r="Q25" s="31">
        <f>IF(I25="SI",VLOOKUP(A25,DATA!$A$4:$G$350,7,0),0)</f>
        <v>0</v>
      </c>
      <c r="R25" s="31">
        <f>IF(I25="SI",VLOOKUP(A25,DATA!$A$4:$H$350,8,0),0)</f>
        <v>0</v>
      </c>
      <c r="S25" s="117">
        <f t="shared" si="10"/>
        <v>0</v>
      </c>
      <c r="T25" s="117">
        <f t="shared" si="11"/>
        <v>0</v>
      </c>
      <c r="U25" s="117">
        <f t="shared" si="12"/>
        <v>0</v>
      </c>
      <c r="V25" s="31">
        <f>IF(I25="SI",VLOOKUP(A25,COEF_FCM!$A$8:$X$354,24,0),0)</f>
        <v>0</v>
      </c>
      <c r="W25" s="121">
        <f t="shared" si="13"/>
        <v>0</v>
      </c>
      <c r="X25" s="31">
        <f>IF(AND(W25&gt;0,W25&lt;$W$7),ROUND(($W$7-W25)*L25,PARAMETROS!$L$8),0)</f>
        <v>0</v>
      </c>
      <c r="Y25" s="122">
        <f t="shared" si="14"/>
        <v>0</v>
      </c>
      <c r="Z25" s="117">
        <f t="shared" si="15"/>
        <v>0</v>
      </c>
      <c r="AA25" s="96">
        <f t="shared" si="16"/>
        <v>0</v>
      </c>
      <c r="AB25" s="31">
        <f>ROUND(AA25*PARAMETROS!$H$24,0)</f>
        <v>0</v>
      </c>
      <c r="AC25" s="31">
        <f t="shared" si="17"/>
        <v>0</v>
      </c>
      <c r="AD25" s="31">
        <f t="shared" si="18"/>
        <v>0</v>
      </c>
      <c r="AE25" s="31">
        <f t="shared" si="19"/>
        <v>0</v>
      </c>
      <c r="AF25" s="31">
        <f t="shared" si="19"/>
        <v>0</v>
      </c>
      <c r="AG25" s="31">
        <f t="shared" si="20"/>
        <v>0</v>
      </c>
    </row>
    <row r="26" spans="1:33" ht="3" customHeight="1" x14ac:dyDescent="0.25">
      <c r="A26">
        <v>3102</v>
      </c>
      <c r="B26">
        <v>3202</v>
      </c>
      <c r="C26" t="s">
        <v>72</v>
      </c>
      <c r="D26" s="31">
        <f>+DATA!O22</f>
        <v>3543232</v>
      </c>
      <c r="E26" s="31">
        <f>+DATA!T22</f>
        <v>9403813.534</v>
      </c>
      <c r="F26" s="38">
        <f t="shared" si="1"/>
        <v>12947045.534</v>
      </c>
      <c r="G26" s="112">
        <f t="shared" si="2"/>
        <v>0.66600000000000004</v>
      </c>
      <c r="H26" s="95">
        <f t="shared" si="3"/>
        <v>0.72629999999999995</v>
      </c>
      <c r="I26" s="6" t="str">
        <f t="shared" si="4"/>
        <v>SI</v>
      </c>
      <c r="J26" s="117">
        <f t="shared" si="5"/>
        <v>3.3112582781000001E-3</v>
      </c>
      <c r="K26" s="117">
        <f t="shared" si="6"/>
        <v>1.6556291390500001E-3</v>
      </c>
      <c r="L26" s="31">
        <f>IF(I26="SI",VLOOKUP(A26,DATA!$A$4:$D$350,4,0),0)</f>
        <v>19964</v>
      </c>
      <c r="M26" s="95">
        <f>IF(I26="SI",VLOOKUP(A26,DATA!$A$4:$E$350,5,0),0)</f>
        <v>4.1111214166464051E-2</v>
      </c>
      <c r="N26" s="31">
        <f t="shared" si="7"/>
        <v>821</v>
      </c>
      <c r="O26" s="117">
        <f t="shared" si="8"/>
        <v>9.9400088380000007E-4</v>
      </c>
      <c r="P26" s="117">
        <f t="shared" si="9"/>
        <v>9.9400088399999997E-5</v>
      </c>
      <c r="Q26" s="31">
        <f>IF(I26="SI",VLOOKUP(A26,DATA!$A$4:$G$350,7,0),0)</f>
        <v>8138</v>
      </c>
      <c r="R26" s="31">
        <f>IF(I26="SI",VLOOKUP(A26,DATA!$A$4:$H$350,8,0),0)</f>
        <v>10147</v>
      </c>
      <c r="S26" s="117">
        <f t="shared" si="10"/>
        <v>1.9047349625E-3</v>
      </c>
      <c r="T26" s="117">
        <f t="shared" si="11"/>
        <v>2.4919009425441877E-3</v>
      </c>
      <c r="U26" s="117">
        <f t="shared" si="12"/>
        <v>4.9838018849999999E-4</v>
      </c>
      <c r="V26" s="31">
        <f>IF(I26="SI",VLOOKUP(A26,COEF_FCM!$A$8:$X$354,24,0),0)</f>
        <v>3543232</v>
      </c>
      <c r="W26" s="121">
        <f t="shared" si="13"/>
        <v>177.48</v>
      </c>
      <c r="X26" s="31">
        <f>IF(AND(W26&gt;0,W26&lt;$W$7),ROUND(($W$7-W26)*L26,PARAMETROS!$L$8),0)</f>
        <v>0</v>
      </c>
      <c r="Y26" s="122">
        <f t="shared" si="14"/>
        <v>0</v>
      </c>
      <c r="Z26" s="117">
        <f t="shared" si="15"/>
        <v>0</v>
      </c>
      <c r="AA26" s="96">
        <f t="shared" si="16"/>
        <v>2.2534094159499998E-3</v>
      </c>
      <c r="AB26" s="31">
        <f>ROUND(AA26*PARAMETROS!$H$24,0)</f>
        <v>386724490</v>
      </c>
      <c r="AC26" s="31">
        <f t="shared" si="17"/>
        <v>386724490</v>
      </c>
      <c r="AD26" s="31">
        <f t="shared" si="18"/>
        <v>96681123</v>
      </c>
      <c r="AE26" s="31">
        <f t="shared" si="19"/>
        <v>96681123</v>
      </c>
      <c r="AF26" s="31">
        <f t="shared" si="19"/>
        <v>96681123</v>
      </c>
      <c r="AG26" s="31">
        <f t="shared" si="20"/>
        <v>96681121</v>
      </c>
    </row>
    <row r="27" spans="1:33" ht="3" customHeight="1" x14ac:dyDescent="0.25">
      <c r="A27">
        <v>3103</v>
      </c>
      <c r="B27">
        <v>3203</v>
      </c>
      <c r="C27" t="s">
        <v>73</v>
      </c>
      <c r="D27" s="31">
        <f>+DATA!O23</f>
        <v>7458135</v>
      </c>
      <c r="E27" s="31">
        <f>+DATA!T23</f>
        <v>2585015.3560000001</v>
      </c>
      <c r="F27" s="38">
        <f t="shared" si="1"/>
        <v>10043150.356000001</v>
      </c>
      <c r="G27" s="112">
        <f t="shared" si="2"/>
        <v>0.6</v>
      </c>
      <c r="H27" s="95">
        <f t="shared" si="3"/>
        <v>0.25740000000000002</v>
      </c>
      <c r="I27" s="6" t="str">
        <f t="shared" si="4"/>
        <v>SI</v>
      </c>
      <c r="J27" s="117">
        <f t="shared" si="5"/>
        <v>3.3112582781000001E-3</v>
      </c>
      <c r="K27" s="117">
        <f t="shared" si="6"/>
        <v>1.6556291390500001E-3</v>
      </c>
      <c r="L27" s="31">
        <f>IF(I27="SI",VLOOKUP(A27,DATA!$A$4:$D$350,4,0),0)</f>
        <v>14431</v>
      </c>
      <c r="M27" s="95">
        <f>IF(I27="SI",VLOOKUP(A27,DATA!$A$4:$E$350,5,0),0)</f>
        <v>6.874896010670549E-2</v>
      </c>
      <c r="N27" s="31">
        <f t="shared" si="7"/>
        <v>992</v>
      </c>
      <c r="O27" s="117">
        <f t="shared" si="8"/>
        <v>1.2010339546E-3</v>
      </c>
      <c r="P27" s="117">
        <f t="shared" si="9"/>
        <v>1.201033955E-4</v>
      </c>
      <c r="Q27" s="31">
        <f>IF(I27="SI",VLOOKUP(A27,DATA!$A$4:$G$350,7,0),0)</f>
        <v>3624</v>
      </c>
      <c r="R27" s="31">
        <f>IF(I27="SI",VLOOKUP(A27,DATA!$A$4:$H$350,8,0),0)</f>
        <v>4394</v>
      </c>
      <c r="S27" s="117">
        <f t="shared" si="10"/>
        <v>8.7227448360000003E-4</v>
      </c>
      <c r="T27" s="117">
        <f t="shared" si="11"/>
        <v>1.141167485573513E-3</v>
      </c>
      <c r="U27" s="117">
        <f t="shared" si="12"/>
        <v>2.2823349709999999E-4</v>
      </c>
      <c r="V27" s="31">
        <f>IF(I27="SI",VLOOKUP(A27,COEF_FCM!$A$8:$X$354,24,0),0)</f>
        <v>7458135</v>
      </c>
      <c r="W27" s="121">
        <f t="shared" si="13"/>
        <v>516.80999999999995</v>
      </c>
      <c r="X27" s="31">
        <f>IF(AND(W27&gt;0,W27&lt;$W$7),ROUND(($W$7-W27)*L27,PARAMETROS!$L$8),0)</f>
        <v>0</v>
      </c>
      <c r="Y27" s="122">
        <f t="shared" si="14"/>
        <v>0</v>
      </c>
      <c r="Z27" s="117">
        <f t="shared" si="15"/>
        <v>0</v>
      </c>
      <c r="AA27" s="96">
        <f t="shared" si="16"/>
        <v>2.0039660316500001E-3</v>
      </c>
      <c r="AB27" s="31">
        <f>ROUND(AA27*PARAMETROS!$H$24,0)</f>
        <v>343915640</v>
      </c>
      <c r="AC27" s="31">
        <f t="shared" si="17"/>
        <v>343915640</v>
      </c>
      <c r="AD27" s="31">
        <f t="shared" si="18"/>
        <v>85978910</v>
      </c>
      <c r="AE27" s="31">
        <f t="shared" si="19"/>
        <v>85978910</v>
      </c>
      <c r="AF27" s="31">
        <f t="shared" si="19"/>
        <v>85978910</v>
      </c>
      <c r="AG27" s="31">
        <f t="shared" si="20"/>
        <v>85978910</v>
      </c>
    </row>
    <row r="28" spans="1:33" ht="3" customHeight="1" x14ac:dyDescent="0.25">
      <c r="A28">
        <v>3201</v>
      </c>
      <c r="B28">
        <v>3101</v>
      </c>
      <c r="C28" t="s">
        <v>70</v>
      </c>
      <c r="D28" s="31">
        <f>+DATA!O24</f>
        <v>3063852</v>
      </c>
      <c r="E28" s="31">
        <f>+DATA!T24</f>
        <v>2931625.85</v>
      </c>
      <c r="F28" s="38">
        <f t="shared" si="1"/>
        <v>5995477.8499999996</v>
      </c>
      <c r="G28" s="112">
        <f t="shared" si="2"/>
        <v>0.40799999999999997</v>
      </c>
      <c r="H28" s="95">
        <f t="shared" si="3"/>
        <v>0.48899999999999999</v>
      </c>
      <c r="I28" s="6" t="str">
        <f t="shared" si="4"/>
        <v>SI</v>
      </c>
      <c r="J28" s="117">
        <f t="shared" si="5"/>
        <v>3.3112582781000001E-3</v>
      </c>
      <c r="K28" s="117">
        <f t="shared" si="6"/>
        <v>1.6556291390500001E-3</v>
      </c>
      <c r="L28" s="31">
        <f>IF(I28="SI",VLOOKUP(A28,DATA!$A$4:$D$350,4,0),0)</f>
        <v>13017</v>
      </c>
      <c r="M28" s="95">
        <f>IF(I28="SI",VLOOKUP(A28,DATA!$A$4:$E$350,5,0),0)</f>
        <v>0.1146199488480459</v>
      </c>
      <c r="N28" s="31">
        <f t="shared" si="7"/>
        <v>1492</v>
      </c>
      <c r="O28" s="117">
        <f t="shared" si="8"/>
        <v>1.8063938107999999E-3</v>
      </c>
      <c r="P28" s="117">
        <f t="shared" si="9"/>
        <v>1.8063938109999999E-4</v>
      </c>
      <c r="Q28" s="31">
        <f>IF(I28="SI",VLOOKUP(A28,DATA!$A$4:$G$350,7,0),0)</f>
        <v>5017</v>
      </c>
      <c r="R28" s="31">
        <f>IF(I28="SI",VLOOKUP(A28,DATA!$A$4:$H$350,8,0),0)</f>
        <v>5582</v>
      </c>
      <c r="S28" s="117">
        <f t="shared" si="10"/>
        <v>1.3159373477E-3</v>
      </c>
      <c r="T28" s="117">
        <f t="shared" si="11"/>
        <v>1.7215967479059324E-3</v>
      </c>
      <c r="U28" s="117">
        <f t="shared" si="12"/>
        <v>3.4431934959999999E-4</v>
      </c>
      <c r="V28" s="31">
        <f>IF(I28="SI",VLOOKUP(A28,COEF_FCM!$A$8:$X$354,24,0),0)</f>
        <v>3063852</v>
      </c>
      <c r="W28" s="121">
        <f t="shared" si="13"/>
        <v>235.37</v>
      </c>
      <c r="X28" s="31">
        <f>IF(AND(W28&gt;0,W28&lt;$W$7),ROUND(($W$7-W28)*L28,PARAMETROS!$L$8),0)</f>
        <v>0</v>
      </c>
      <c r="Y28" s="122">
        <f t="shared" si="14"/>
        <v>0</v>
      </c>
      <c r="Z28" s="117">
        <f t="shared" si="15"/>
        <v>0</v>
      </c>
      <c r="AA28" s="96">
        <f t="shared" si="16"/>
        <v>2.1805878697500002E-3</v>
      </c>
      <c r="AB28" s="31">
        <f>ROUND(AA28*PARAMETROS!$H$24,0)</f>
        <v>374227039</v>
      </c>
      <c r="AC28" s="31">
        <f t="shared" si="17"/>
        <v>374227039</v>
      </c>
      <c r="AD28" s="31">
        <f t="shared" si="18"/>
        <v>93556760</v>
      </c>
      <c r="AE28" s="31">
        <f t="shared" si="19"/>
        <v>93556760</v>
      </c>
      <c r="AF28" s="31">
        <f t="shared" si="19"/>
        <v>93556760</v>
      </c>
      <c r="AG28" s="31">
        <f t="shared" si="20"/>
        <v>93556759</v>
      </c>
    </row>
    <row r="29" spans="1:33" ht="3" customHeight="1" x14ac:dyDescent="0.25">
      <c r="A29">
        <v>3202</v>
      </c>
      <c r="B29">
        <v>3102</v>
      </c>
      <c r="C29" t="s">
        <v>71</v>
      </c>
      <c r="D29" s="31">
        <f>+DATA!O25</f>
        <v>5348541</v>
      </c>
      <c r="E29" s="31">
        <f>+DATA!T25</f>
        <v>2454439.8289999999</v>
      </c>
      <c r="F29" s="38">
        <f t="shared" si="1"/>
        <v>7802980.8289999999</v>
      </c>
      <c r="G29" s="112">
        <f t="shared" si="2"/>
        <v>0.48599999999999999</v>
      </c>
      <c r="H29" s="95">
        <f t="shared" si="3"/>
        <v>0.31459999999999999</v>
      </c>
      <c r="I29" s="6" t="str">
        <f t="shared" si="4"/>
        <v>SI</v>
      </c>
      <c r="J29" s="117">
        <f t="shared" si="5"/>
        <v>3.3112582781000001E-3</v>
      </c>
      <c r="K29" s="117">
        <f t="shared" si="6"/>
        <v>1.6556291390500001E-3</v>
      </c>
      <c r="L29" s="31">
        <f>IF(I29="SI",VLOOKUP(A29,DATA!$A$4:$D$350,4,0),0)</f>
        <v>13909</v>
      </c>
      <c r="M29" s="95">
        <f>IF(I29="SI",VLOOKUP(A29,DATA!$A$4:$E$350,5,0),0)</f>
        <v>5.6804255654079823E-2</v>
      </c>
      <c r="N29" s="31">
        <f t="shared" si="7"/>
        <v>790</v>
      </c>
      <c r="O29" s="117">
        <f t="shared" si="8"/>
        <v>9.5646857269999998E-4</v>
      </c>
      <c r="P29" s="117">
        <f t="shared" si="9"/>
        <v>9.5646857300000005E-5</v>
      </c>
      <c r="Q29" s="31">
        <f>IF(I29="SI",VLOOKUP(A29,DATA!$A$4:$G$350,7,0),0)</f>
        <v>3221</v>
      </c>
      <c r="R29" s="31">
        <f>IF(I29="SI",VLOOKUP(A29,DATA!$A$4:$H$350,8,0),0)</f>
        <v>3795</v>
      </c>
      <c r="S29" s="117">
        <f t="shared" si="10"/>
        <v>7.9782292680000003E-4</v>
      </c>
      <c r="T29" s="117">
        <f t="shared" si="11"/>
        <v>1.0437650079499093E-3</v>
      </c>
      <c r="U29" s="117">
        <f t="shared" si="12"/>
        <v>2.087530016E-4</v>
      </c>
      <c r="V29" s="31">
        <f>IF(I29="SI",VLOOKUP(A29,COEF_FCM!$A$8:$X$354,24,0),0)</f>
        <v>5348541</v>
      </c>
      <c r="W29" s="121">
        <f t="shared" si="13"/>
        <v>384.54</v>
      </c>
      <c r="X29" s="31">
        <f>IF(AND(W29&gt;0,W29&lt;$W$7),ROUND(($W$7-W29)*L29,PARAMETROS!$L$8),0)</f>
        <v>0</v>
      </c>
      <c r="Y29" s="122">
        <f t="shared" si="14"/>
        <v>0</v>
      </c>
      <c r="Z29" s="117">
        <f t="shared" si="15"/>
        <v>0</v>
      </c>
      <c r="AA29" s="96">
        <f t="shared" si="16"/>
        <v>1.9600289979500004E-3</v>
      </c>
      <c r="AB29" s="31">
        <f>ROUND(AA29*PARAMETROS!$H$24,0)</f>
        <v>336375277</v>
      </c>
      <c r="AC29" s="31">
        <f t="shared" si="17"/>
        <v>336375277</v>
      </c>
      <c r="AD29" s="31">
        <f t="shared" si="18"/>
        <v>84093819</v>
      </c>
      <c r="AE29" s="31">
        <f t="shared" ref="AE29:AF48" si="21">+AD29</f>
        <v>84093819</v>
      </c>
      <c r="AF29" s="31">
        <f t="shared" si="21"/>
        <v>84093819</v>
      </c>
      <c r="AG29" s="31">
        <f t="shared" si="20"/>
        <v>84093820</v>
      </c>
    </row>
    <row r="30" spans="1:33" ht="3" customHeight="1" x14ac:dyDescent="0.25">
      <c r="A30">
        <v>3301</v>
      </c>
      <c r="B30">
        <v>3301</v>
      </c>
      <c r="C30" t="s">
        <v>74</v>
      </c>
      <c r="D30" s="31">
        <f>+DATA!O26</f>
        <v>6253296</v>
      </c>
      <c r="E30" s="31">
        <f>+DATA!T26</f>
        <v>8834996.1009999998</v>
      </c>
      <c r="F30" s="38">
        <f t="shared" si="1"/>
        <v>15088292.101</v>
      </c>
      <c r="G30" s="112">
        <f t="shared" si="2"/>
        <v>0.71299999999999997</v>
      </c>
      <c r="H30" s="95">
        <f t="shared" si="3"/>
        <v>0.58560000000000001</v>
      </c>
      <c r="I30" s="6" t="str">
        <f t="shared" si="4"/>
        <v>SI</v>
      </c>
      <c r="J30" s="117">
        <f t="shared" si="5"/>
        <v>3.3112582781000001E-3</v>
      </c>
      <c r="K30" s="117">
        <f t="shared" si="6"/>
        <v>1.6556291390500001E-3</v>
      </c>
      <c r="L30" s="31">
        <f>IF(I30="SI",VLOOKUP(A30,DATA!$A$4:$D$350,4,0),0)</f>
        <v>57360</v>
      </c>
      <c r="M30" s="95">
        <f>IF(I30="SI",VLOOKUP(A30,DATA!$A$4:$E$350,5,0),0)</f>
        <v>0.10727825897008141</v>
      </c>
      <c r="N30" s="31">
        <f t="shared" si="7"/>
        <v>6153</v>
      </c>
      <c r="O30" s="117">
        <f t="shared" si="8"/>
        <v>7.4495583900000004E-3</v>
      </c>
      <c r="P30" s="117">
        <f t="shared" si="9"/>
        <v>7.4495583899999995E-4</v>
      </c>
      <c r="Q30" s="31">
        <f>IF(I30="SI",VLOOKUP(A30,DATA!$A$4:$G$350,7,0),0)</f>
        <v>18999</v>
      </c>
      <c r="R30" s="31">
        <f>IF(I30="SI",VLOOKUP(A30,DATA!$A$4:$H$350,8,0),0)</f>
        <v>23264</v>
      </c>
      <c r="S30" s="117">
        <f t="shared" si="10"/>
        <v>4.5280784162000003E-3</v>
      </c>
      <c r="T30" s="117">
        <f t="shared" si="11"/>
        <v>5.923933300637764E-3</v>
      </c>
      <c r="U30" s="117">
        <f t="shared" si="12"/>
        <v>1.1847866601E-3</v>
      </c>
      <c r="V30" s="31">
        <f>IF(I30="SI",VLOOKUP(A30,COEF_FCM!$A$8:$X$354,24,0),0)</f>
        <v>6253296</v>
      </c>
      <c r="W30" s="121">
        <f t="shared" si="13"/>
        <v>109.02</v>
      </c>
      <c r="X30" s="31">
        <f>IF(AND(W30&gt;0,W30&lt;$W$7),ROUND(($W$7-W30)*L30,PARAMETROS!$L$8),0)</f>
        <v>0</v>
      </c>
      <c r="Y30" s="122">
        <f t="shared" si="14"/>
        <v>0</v>
      </c>
      <c r="Z30" s="117">
        <f t="shared" si="15"/>
        <v>0</v>
      </c>
      <c r="AA30" s="96">
        <f t="shared" si="16"/>
        <v>3.5853716381500002E-3</v>
      </c>
      <c r="AB30" s="31">
        <f>ROUND(AA30*PARAMETROS!$H$24,0)</f>
        <v>615312517</v>
      </c>
      <c r="AC30" s="31">
        <f t="shared" si="17"/>
        <v>615312517</v>
      </c>
      <c r="AD30" s="31">
        <f t="shared" si="18"/>
        <v>153828129</v>
      </c>
      <c r="AE30" s="31">
        <f t="shared" si="21"/>
        <v>153828129</v>
      </c>
      <c r="AF30" s="31">
        <f t="shared" si="21"/>
        <v>153828129</v>
      </c>
      <c r="AG30" s="31">
        <f t="shared" si="20"/>
        <v>153828130</v>
      </c>
    </row>
    <row r="31" spans="1:33" ht="3" customHeight="1" x14ac:dyDescent="0.25">
      <c r="A31">
        <v>3302</v>
      </c>
      <c r="B31">
        <v>3304</v>
      </c>
      <c r="C31" t="s">
        <v>77</v>
      </c>
      <c r="D31" s="31">
        <f>+DATA!O27</f>
        <v>1333027</v>
      </c>
      <c r="E31" s="31">
        <f>+DATA!T27</f>
        <v>2717643.8829999999</v>
      </c>
      <c r="F31" s="38">
        <f t="shared" si="1"/>
        <v>4050670.8829999999</v>
      </c>
      <c r="G31" s="112">
        <f t="shared" si="2"/>
        <v>0.16200000000000001</v>
      </c>
      <c r="H31" s="95">
        <f t="shared" si="3"/>
        <v>0.67090000000000005</v>
      </c>
      <c r="I31" s="6" t="str">
        <f t="shared" si="4"/>
        <v>SI</v>
      </c>
      <c r="J31" s="117">
        <f t="shared" si="5"/>
        <v>3.3112582781000001E-3</v>
      </c>
      <c r="K31" s="117">
        <f t="shared" si="6"/>
        <v>1.6556291390500001E-3</v>
      </c>
      <c r="L31" s="31">
        <f>IF(I31="SI",VLOOKUP(A31,DATA!$A$4:$D$350,4,0),0)</f>
        <v>5781</v>
      </c>
      <c r="M31" s="95">
        <f>IF(I31="SI",VLOOKUP(A31,DATA!$A$4:$E$350,5,0),0)</f>
        <v>0.15061128911529911</v>
      </c>
      <c r="N31" s="31">
        <f t="shared" si="7"/>
        <v>871</v>
      </c>
      <c r="O31" s="117">
        <f t="shared" si="8"/>
        <v>1.0545368693999999E-3</v>
      </c>
      <c r="P31" s="117">
        <f t="shared" si="9"/>
        <v>1.054536869E-4</v>
      </c>
      <c r="Q31" s="31">
        <f>IF(I31="SI",VLOOKUP(A31,DATA!$A$4:$G$350,7,0),0)</f>
        <v>3573</v>
      </c>
      <c r="R31" s="31">
        <f>IF(I31="SI",VLOOKUP(A31,DATA!$A$4:$H$350,8,0),0)</f>
        <v>3954</v>
      </c>
      <c r="S31" s="117">
        <f t="shared" si="10"/>
        <v>9.4225013939999995E-4</v>
      </c>
      <c r="T31" s="117">
        <f t="shared" si="11"/>
        <v>1.2327142918621425E-3</v>
      </c>
      <c r="U31" s="117">
        <f t="shared" si="12"/>
        <v>2.4654285839999999E-4</v>
      </c>
      <c r="V31" s="31">
        <f>IF(I31="SI",VLOOKUP(A31,COEF_FCM!$A$8:$X$354,24,0),0)</f>
        <v>1333027</v>
      </c>
      <c r="W31" s="121">
        <f t="shared" si="13"/>
        <v>230.59</v>
      </c>
      <c r="X31" s="31">
        <f>IF(AND(W31&gt;0,W31&lt;$W$7),ROUND(($W$7-W31)*L31,PARAMETROS!$L$8),0)</f>
        <v>0</v>
      </c>
      <c r="Y31" s="122">
        <f t="shared" si="14"/>
        <v>0</v>
      </c>
      <c r="Z31" s="117">
        <f t="shared" si="15"/>
        <v>0</v>
      </c>
      <c r="AA31" s="96">
        <f t="shared" si="16"/>
        <v>2.0076256843500001E-3</v>
      </c>
      <c r="AB31" s="31">
        <f>ROUND(AA31*PARAMETROS!$H$24,0)</f>
        <v>344543701</v>
      </c>
      <c r="AC31" s="31">
        <f t="shared" si="17"/>
        <v>344543701</v>
      </c>
      <c r="AD31" s="31">
        <f t="shared" si="18"/>
        <v>86135925</v>
      </c>
      <c r="AE31" s="31">
        <f t="shared" si="21"/>
        <v>86135925</v>
      </c>
      <c r="AF31" s="31">
        <f t="shared" si="21"/>
        <v>86135925</v>
      </c>
      <c r="AG31" s="31">
        <f t="shared" si="20"/>
        <v>86135926</v>
      </c>
    </row>
    <row r="32" spans="1:33" ht="3" customHeight="1" x14ac:dyDescent="0.25">
      <c r="A32">
        <v>3303</v>
      </c>
      <c r="B32">
        <v>3302</v>
      </c>
      <c r="C32" t="s">
        <v>75</v>
      </c>
      <c r="D32" s="31">
        <f>+DATA!O28</f>
        <v>1304181</v>
      </c>
      <c r="E32" s="31">
        <f>+DATA!T28</f>
        <v>2644144.5520000001</v>
      </c>
      <c r="F32" s="38">
        <f t="shared" si="1"/>
        <v>3948325.5520000001</v>
      </c>
      <c r="G32" s="112">
        <f t="shared" si="2"/>
        <v>0.14199999999999999</v>
      </c>
      <c r="H32" s="95">
        <f t="shared" si="3"/>
        <v>0.66969999999999996</v>
      </c>
      <c r="I32" s="6" t="str">
        <f t="shared" si="4"/>
        <v>SI</v>
      </c>
      <c r="J32" s="117">
        <f t="shared" si="5"/>
        <v>3.3112582781000001E-3</v>
      </c>
      <c r="K32" s="117">
        <f t="shared" si="6"/>
        <v>1.6556291390500001E-3</v>
      </c>
      <c r="L32" s="31">
        <f>IF(I32="SI",VLOOKUP(A32,DATA!$A$4:$D$350,4,0),0)</f>
        <v>7840</v>
      </c>
      <c r="M32" s="95">
        <f>IF(I32="SI",VLOOKUP(A32,DATA!$A$4:$E$350,5,0),0)</f>
        <v>0.1338693829029102</v>
      </c>
      <c r="N32" s="31">
        <f t="shared" si="7"/>
        <v>1050</v>
      </c>
      <c r="O32" s="117">
        <f t="shared" si="8"/>
        <v>1.2712556978999999E-3</v>
      </c>
      <c r="P32" s="117">
        <f t="shared" si="9"/>
        <v>1.271255698E-4</v>
      </c>
      <c r="Q32" s="31">
        <f>IF(I32="SI",VLOOKUP(A32,DATA!$A$4:$G$350,7,0),0)</f>
        <v>2840</v>
      </c>
      <c r="R32" s="31">
        <f>IF(I32="SI",VLOOKUP(A32,DATA!$A$4:$H$350,8,0),0)</f>
        <v>3321</v>
      </c>
      <c r="S32" s="117">
        <f t="shared" si="10"/>
        <v>7.0876889100000005E-4</v>
      </c>
      <c r="T32" s="117">
        <f t="shared" si="11"/>
        <v>9.2725859623574722E-4</v>
      </c>
      <c r="U32" s="117">
        <f t="shared" si="12"/>
        <v>1.8545171920000001E-4</v>
      </c>
      <c r="V32" s="31">
        <f>IF(I32="SI",VLOOKUP(A32,COEF_FCM!$A$8:$X$354,24,0),0)</f>
        <v>1304181</v>
      </c>
      <c r="W32" s="121">
        <f t="shared" si="13"/>
        <v>166.35</v>
      </c>
      <c r="X32" s="31">
        <f>IF(AND(W32&gt;0,W32&lt;$W$7),ROUND(($W$7-W32)*L32,PARAMETROS!$L$8),0)</f>
        <v>0</v>
      </c>
      <c r="Y32" s="122">
        <f t="shared" si="14"/>
        <v>0</v>
      </c>
      <c r="Z32" s="117">
        <f t="shared" si="15"/>
        <v>0</v>
      </c>
      <c r="AA32" s="96">
        <f t="shared" si="16"/>
        <v>1.9682064280500001E-3</v>
      </c>
      <c r="AB32" s="31">
        <f>ROUND(AA32*PARAMETROS!$H$24,0)</f>
        <v>337778667</v>
      </c>
      <c r="AC32" s="31">
        <f t="shared" si="17"/>
        <v>337778667</v>
      </c>
      <c r="AD32" s="31">
        <f t="shared" si="18"/>
        <v>84444667</v>
      </c>
      <c r="AE32" s="31">
        <f t="shared" si="21"/>
        <v>84444667</v>
      </c>
      <c r="AF32" s="31">
        <f t="shared" si="21"/>
        <v>84444667</v>
      </c>
      <c r="AG32" s="31">
        <f t="shared" si="20"/>
        <v>84444666</v>
      </c>
    </row>
    <row r="33" spans="1:33" ht="3" customHeight="1" x14ac:dyDescent="0.25">
      <c r="A33">
        <v>3304</v>
      </c>
      <c r="B33">
        <v>3303</v>
      </c>
      <c r="C33" t="s">
        <v>76</v>
      </c>
      <c r="D33" s="31">
        <f>+DATA!O29</f>
        <v>2389550</v>
      </c>
      <c r="E33" s="31">
        <f>+DATA!T29</f>
        <v>3414152.7409999999</v>
      </c>
      <c r="F33" s="38">
        <f t="shared" si="1"/>
        <v>5803702.7410000004</v>
      </c>
      <c r="G33" s="112">
        <f t="shared" si="2"/>
        <v>0.376</v>
      </c>
      <c r="H33" s="95">
        <f t="shared" si="3"/>
        <v>0.58830000000000005</v>
      </c>
      <c r="I33" s="6" t="str">
        <f t="shared" si="4"/>
        <v>SI</v>
      </c>
      <c r="J33" s="117">
        <f t="shared" si="5"/>
        <v>3.3112582781000001E-3</v>
      </c>
      <c r="K33" s="117">
        <f t="shared" si="6"/>
        <v>1.6556291390500001E-3</v>
      </c>
      <c r="L33" s="31">
        <f>IF(I33="SI",VLOOKUP(A33,DATA!$A$4:$D$350,4,0),0)</f>
        <v>11590</v>
      </c>
      <c r="M33" s="95">
        <f>IF(I33="SI",VLOOKUP(A33,DATA!$A$4:$E$350,5,0),0)</f>
        <v>0.11374127862958169</v>
      </c>
      <c r="N33" s="31">
        <f t="shared" si="7"/>
        <v>1318</v>
      </c>
      <c r="O33" s="117">
        <f t="shared" si="8"/>
        <v>1.5957285809E-3</v>
      </c>
      <c r="P33" s="117">
        <f t="shared" si="9"/>
        <v>1.5957285809999999E-4</v>
      </c>
      <c r="Q33" s="31">
        <f>IF(I33="SI",VLOOKUP(A33,DATA!$A$4:$G$350,7,0),0)</f>
        <v>4598</v>
      </c>
      <c r="R33" s="31">
        <f>IF(I33="SI",VLOOKUP(A33,DATA!$A$4:$H$350,8,0),0)</f>
        <v>5341</v>
      </c>
      <c r="S33" s="117">
        <f t="shared" si="10"/>
        <v>1.1551867498E-3</v>
      </c>
      <c r="T33" s="117">
        <f t="shared" si="11"/>
        <v>1.511292125841459E-3</v>
      </c>
      <c r="U33" s="117">
        <f t="shared" si="12"/>
        <v>3.0225842520000001E-4</v>
      </c>
      <c r="V33" s="31">
        <f>IF(I33="SI",VLOOKUP(A33,COEF_FCM!$A$8:$X$354,24,0),0)</f>
        <v>2389550</v>
      </c>
      <c r="W33" s="121">
        <f t="shared" si="13"/>
        <v>206.17</v>
      </c>
      <c r="X33" s="31">
        <f>IF(AND(W33&gt;0,W33&lt;$W$7),ROUND(($W$7-W33)*L33,PARAMETROS!$L$8),0)</f>
        <v>0</v>
      </c>
      <c r="Y33" s="122">
        <f t="shared" si="14"/>
        <v>0</v>
      </c>
      <c r="Z33" s="117">
        <f t="shared" si="15"/>
        <v>0</v>
      </c>
      <c r="AA33" s="96">
        <f t="shared" si="16"/>
        <v>2.1174604223499999E-3</v>
      </c>
      <c r="AB33" s="31">
        <f>ROUND(AA33*PARAMETROS!$H$24,0)</f>
        <v>363393264</v>
      </c>
      <c r="AC33" s="31">
        <f t="shared" si="17"/>
        <v>363393264</v>
      </c>
      <c r="AD33" s="31">
        <f t="shared" si="18"/>
        <v>90848316</v>
      </c>
      <c r="AE33" s="31">
        <f t="shared" si="21"/>
        <v>90848316</v>
      </c>
      <c r="AF33" s="31">
        <f t="shared" si="21"/>
        <v>90848316</v>
      </c>
      <c r="AG33" s="31">
        <f t="shared" si="20"/>
        <v>90848316</v>
      </c>
    </row>
    <row r="34" spans="1:33" ht="3" customHeight="1" x14ac:dyDescent="0.25">
      <c r="A34">
        <v>4101</v>
      </c>
      <c r="B34">
        <v>4101</v>
      </c>
      <c r="C34" t="s">
        <v>78</v>
      </c>
      <c r="D34" s="31">
        <f>+DATA!O30</f>
        <v>36318399</v>
      </c>
      <c r="E34" s="31">
        <f>+DATA!T30</f>
        <v>15474048.626</v>
      </c>
      <c r="F34" s="38">
        <f t="shared" si="1"/>
        <v>51792447.626000002</v>
      </c>
      <c r="G34" s="112">
        <f t="shared" si="2"/>
        <v>0.93300000000000005</v>
      </c>
      <c r="H34" s="95">
        <f t="shared" si="3"/>
        <v>0.29880000000000001</v>
      </c>
      <c r="I34" s="6" t="str">
        <f t="shared" si="4"/>
        <v>NO</v>
      </c>
      <c r="J34" s="117">
        <f t="shared" si="5"/>
        <v>0</v>
      </c>
      <c r="K34" s="117">
        <f t="shared" si="6"/>
        <v>0</v>
      </c>
      <c r="L34" s="31">
        <f>IF(I34="SI",VLOOKUP(A34,DATA!$A$4:$D$350,4,0),0)</f>
        <v>0</v>
      </c>
      <c r="M34" s="95">
        <f>IF(I34="SI",VLOOKUP(A34,DATA!$A$4:$E$350,5,0),0)</f>
        <v>0</v>
      </c>
      <c r="N34" s="31">
        <f t="shared" si="7"/>
        <v>0</v>
      </c>
      <c r="O34" s="117">
        <f t="shared" si="8"/>
        <v>0</v>
      </c>
      <c r="P34" s="117">
        <f t="shared" si="9"/>
        <v>0</v>
      </c>
      <c r="Q34" s="31">
        <f>IF(I34="SI",VLOOKUP(A34,DATA!$A$4:$G$350,7,0),0)</f>
        <v>0</v>
      </c>
      <c r="R34" s="31">
        <f>IF(I34="SI",VLOOKUP(A34,DATA!$A$4:$H$350,8,0),0)</f>
        <v>0</v>
      </c>
      <c r="S34" s="117">
        <f t="shared" si="10"/>
        <v>0</v>
      </c>
      <c r="T34" s="117">
        <f t="shared" si="11"/>
        <v>0</v>
      </c>
      <c r="U34" s="117">
        <f t="shared" si="12"/>
        <v>0</v>
      </c>
      <c r="V34" s="31">
        <f>IF(I34="SI",VLOOKUP(A34,COEF_FCM!$A$8:$X$354,24,0),0)</f>
        <v>0</v>
      </c>
      <c r="W34" s="121">
        <f t="shared" si="13"/>
        <v>0</v>
      </c>
      <c r="X34" s="31">
        <f>IF(AND(W34&gt;0,W34&lt;$W$7),ROUND(($W$7-W34)*L34,PARAMETROS!$L$8),0)</f>
        <v>0</v>
      </c>
      <c r="Y34" s="122">
        <f t="shared" si="14"/>
        <v>0</v>
      </c>
      <c r="Z34" s="117">
        <f t="shared" si="15"/>
        <v>0</v>
      </c>
      <c r="AA34" s="96">
        <f t="shared" si="16"/>
        <v>0</v>
      </c>
      <c r="AB34" s="31">
        <f>ROUND(AA34*PARAMETROS!$H$24,0)</f>
        <v>0</v>
      </c>
      <c r="AC34" s="31">
        <f t="shared" si="17"/>
        <v>0</v>
      </c>
      <c r="AD34" s="31">
        <f t="shared" si="18"/>
        <v>0</v>
      </c>
      <c r="AE34" s="31">
        <f t="shared" si="21"/>
        <v>0</v>
      </c>
      <c r="AF34" s="31">
        <f t="shared" si="21"/>
        <v>0</v>
      </c>
      <c r="AG34" s="31">
        <f t="shared" si="20"/>
        <v>0</v>
      </c>
    </row>
    <row r="35" spans="1:33" ht="3" customHeight="1" x14ac:dyDescent="0.25">
      <c r="A35">
        <v>4102</v>
      </c>
      <c r="B35">
        <v>4103</v>
      </c>
      <c r="C35" t="s">
        <v>80</v>
      </c>
      <c r="D35" s="31">
        <f>+DATA!O31</f>
        <v>46773782</v>
      </c>
      <c r="E35" s="31">
        <f>+DATA!T31</f>
        <v>30386022</v>
      </c>
      <c r="F35" s="38">
        <f t="shared" si="1"/>
        <v>77159804</v>
      </c>
      <c r="G35" s="112">
        <f t="shared" si="2"/>
        <v>0.97099999999999997</v>
      </c>
      <c r="H35" s="95">
        <f t="shared" si="3"/>
        <v>0.39379999999999998</v>
      </c>
      <c r="I35" s="6" t="str">
        <f t="shared" si="4"/>
        <v>NO</v>
      </c>
      <c r="J35" s="117">
        <f t="shared" si="5"/>
        <v>0</v>
      </c>
      <c r="K35" s="117">
        <f t="shared" si="6"/>
        <v>0</v>
      </c>
      <c r="L35" s="31">
        <f>IF(I35="SI",VLOOKUP(A35,DATA!$A$4:$D$350,4,0),0)</f>
        <v>0</v>
      </c>
      <c r="M35" s="95">
        <f>IF(I35="SI",VLOOKUP(A35,DATA!$A$4:$E$350,5,0),0)</f>
        <v>0</v>
      </c>
      <c r="N35" s="31">
        <f t="shared" si="7"/>
        <v>0</v>
      </c>
      <c r="O35" s="117">
        <f t="shared" si="8"/>
        <v>0</v>
      </c>
      <c r="P35" s="117">
        <f t="shared" si="9"/>
        <v>0</v>
      </c>
      <c r="Q35" s="31">
        <f>IF(I35="SI",VLOOKUP(A35,DATA!$A$4:$G$350,7,0),0)</f>
        <v>0</v>
      </c>
      <c r="R35" s="31">
        <f>IF(I35="SI",VLOOKUP(A35,DATA!$A$4:$H$350,8,0),0)</f>
        <v>0</v>
      </c>
      <c r="S35" s="117">
        <f t="shared" si="10"/>
        <v>0</v>
      </c>
      <c r="T35" s="117">
        <f t="shared" si="11"/>
        <v>0</v>
      </c>
      <c r="U35" s="117">
        <f t="shared" si="12"/>
        <v>0</v>
      </c>
      <c r="V35" s="31">
        <f>IF(I35="SI",VLOOKUP(A35,COEF_FCM!$A$8:$X$354,24,0),0)</f>
        <v>0</v>
      </c>
      <c r="W35" s="121">
        <f t="shared" si="13"/>
        <v>0</v>
      </c>
      <c r="X35" s="31">
        <f>IF(AND(W35&gt;0,W35&lt;$W$7),ROUND(($W$7-W35)*L35,PARAMETROS!$L$8),0)</f>
        <v>0</v>
      </c>
      <c r="Y35" s="122">
        <f t="shared" si="14"/>
        <v>0</v>
      </c>
      <c r="Z35" s="117">
        <f t="shared" si="15"/>
        <v>0</v>
      </c>
      <c r="AA35" s="96">
        <f t="shared" si="16"/>
        <v>0</v>
      </c>
      <c r="AB35" s="31">
        <f>ROUND(AA35*PARAMETROS!$H$24,0)</f>
        <v>0</v>
      </c>
      <c r="AC35" s="31">
        <f t="shared" si="17"/>
        <v>0</v>
      </c>
      <c r="AD35" s="31">
        <f t="shared" si="18"/>
        <v>0</v>
      </c>
      <c r="AE35" s="31">
        <f t="shared" si="21"/>
        <v>0</v>
      </c>
      <c r="AF35" s="31">
        <f t="shared" si="21"/>
        <v>0</v>
      </c>
      <c r="AG35" s="31">
        <f t="shared" si="20"/>
        <v>0</v>
      </c>
    </row>
    <row r="36" spans="1:33" ht="3" customHeight="1" x14ac:dyDescent="0.25">
      <c r="A36">
        <v>4103</v>
      </c>
      <c r="B36">
        <v>4104</v>
      </c>
      <c r="C36" t="s">
        <v>81</v>
      </c>
      <c r="D36" s="31">
        <f>+DATA!O32</f>
        <v>1556394</v>
      </c>
      <c r="E36" s="31">
        <f>+DATA!T32</f>
        <v>3470435.696</v>
      </c>
      <c r="F36" s="38">
        <f t="shared" si="1"/>
        <v>5026829.6960000005</v>
      </c>
      <c r="G36" s="112">
        <f t="shared" si="2"/>
        <v>0.27800000000000002</v>
      </c>
      <c r="H36" s="95">
        <f t="shared" si="3"/>
        <v>0.69040000000000001</v>
      </c>
      <c r="I36" s="6" t="str">
        <f t="shared" si="4"/>
        <v>SI</v>
      </c>
      <c r="J36" s="117">
        <f t="shared" si="5"/>
        <v>3.3112582781000001E-3</v>
      </c>
      <c r="K36" s="117">
        <f t="shared" si="6"/>
        <v>1.6556291390500001E-3</v>
      </c>
      <c r="L36" s="31">
        <f>IF(I36="SI",VLOOKUP(A36,DATA!$A$4:$D$350,4,0),0)</f>
        <v>11836</v>
      </c>
      <c r="M36" s="95">
        <f>IF(I36="SI",VLOOKUP(A36,DATA!$A$4:$E$350,5,0),0)</f>
        <v>0.10450254705398181</v>
      </c>
      <c r="N36" s="31">
        <f t="shared" si="7"/>
        <v>1237</v>
      </c>
      <c r="O36" s="117">
        <f t="shared" si="8"/>
        <v>1.4976602842E-3</v>
      </c>
      <c r="P36" s="117">
        <f t="shared" si="9"/>
        <v>1.4976602840000001E-4</v>
      </c>
      <c r="Q36" s="31">
        <f>IF(I36="SI",VLOOKUP(A36,DATA!$A$4:$G$350,7,0),0)</f>
        <v>4472</v>
      </c>
      <c r="R36" s="31">
        <f>IF(I36="SI",VLOOKUP(A36,DATA!$A$4:$H$350,8,0),0)</f>
        <v>5128</v>
      </c>
      <c r="S36" s="117">
        <f t="shared" si="10"/>
        <v>1.1381314284999999E-3</v>
      </c>
      <c r="T36" s="117">
        <f t="shared" si="11"/>
        <v>1.4889792203403797E-3</v>
      </c>
      <c r="U36" s="117">
        <f t="shared" si="12"/>
        <v>2.9779584410000002E-4</v>
      </c>
      <c r="V36" s="31">
        <f>IF(I36="SI",VLOOKUP(A36,COEF_FCM!$A$8:$X$354,24,0),0)</f>
        <v>1556394</v>
      </c>
      <c r="W36" s="121">
        <f t="shared" si="13"/>
        <v>131.5</v>
      </c>
      <c r="X36" s="31">
        <f>IF(AND(W36&gt;0,W36&lt;$W$7),ROUND(($W$7-W36)*L36,PARAMETROS!$L$8),0)</f>
        <v>0</v>
      </c>
      <c r="Y36" s="122">
        <f t="shared" si="14"/>
        <v>0</v>
      </c>
      <c r="Z36" s="117">
        <f t="shared" si="15"/>
        <v>0</v>
      </c>
      <c r="AA36" s="96">
        <f t="shared" si="16"/>
        <v>2.10319101155E-3</v>
      </c>
      <c r="AB36" s="31">
        <f>ROUND(AA36*PARAMETROS!$H$24,0)</f>
        <v>360944383</v>
      </c>
      <c r="AC36" s="31">
        <f t="shared" si="17"/>
        <v>360944383</v>
      </c>
      <c r="AD36" s="31">
        <f t="shared" si="18"/>
        <v>90236096</v>
      </c>
      <c r="AE36" s="31">
        <f t="shared" si="21"/>
        <v>90236096</v>
      </c>
      <c r="AF36" s="31">
        <f t="shared" si="21"/>
        <v>90236096</v>
      </c>
      <c r="AG36" s="31">
        <f t="shared" si="20"/>
        <v>90236095</v>
      </c>
    </row>
    <row r="37" spans="1:33" ht="3" customHeight="1" x14ac:dyDescent="0.25">
      <c r="A37">
        <v>4104</v>
      </c>
      <c r="B37">
        <v>4102</v>
      </c>
      <c r="C37" t="s">
        <v>79</v>
      </c>
      <c r="D37" s="31">
        <f>+DATA!O33</f>
        <v>2122638</v>
      </c>
      <c r="E37" s="31">
        <f>+DATA!T33</f>
        <v>2683163.4270000001</v>
      </c>
      <c r="F37" s="38">
        <f t="shared" si="1"/>
        <v>4805801.4270000001</v>
      </c>
      <c r="G37" s="112">
        <f t="shared" si="2"/>
        <v>0.25700000000000001</v>
      </c>
      <c r="H37" s="95">
        <f t="shared" si="3"/>
        <v>0.55830000000000002</v>
      </c>
      <c r="I37" s="6" t="str">
        <f t="shared" si="4"/>
        <v>SI</v>
      </c>
      <c r="J37" s="117">
        <f t="shared" si="5"/>
        <v>3.3112582781000001E-3</v>
      </c>
      <c r="K37" s="117">
        <f t="shared" si="6"/>
        <v>1.6556291390500001E-3</v>
      </c>
      <c r="L37" s="31">
        <f>IF(I37="SI",VLOOKUP(A37,DATA!$A$4:$D$350,4,0),0)</f>
        <v>4533</v>
      </c>
      <c r="M37" s="95">
        <f>IF(I37="SI",VLOOKUP(A37,DATA!$A$4:$E$350,5,0),0)</f>
        <v>0.1074879738365082</v>
      </c>
      <c r="N37" s="31">
        <f t="shared" si="7"/>
        <v>487</v>
      </c>
      <c r="O37" s="117">
        <f t="shared" si="8"/>
        <v>5.8962049989999999E-4</v>
      </c>
      <c r="P37" s="117">
        <f t="shared" si="9"/>
        <v>5.8962049999999999E-5</v>
      </c>
      <c r="Q37" s="31">
        <f>IF(I37="SI",VLOOKUP(A37,DATA!$A$4:$G$350,7,0),0)</f>
        <v>5078</v>
      </c>
      <c r="R37" s="31">
        <f>IF(I37="SI",VLOOKUP(A37,DATA!$A$4:$H$350,8,0),0)</f>
        <v>6724</v>
      </c>
      <c r="S37" s="117">
        <f t="shared" si="10"/>
        <v>1.1191660601000001E-3</v>
      </c>
      <c r="T37" s="117">
        <f t="shared" si="11"/>
        <v>1.4641674642052228E-3</v>
      </c>
      <c r="U37" s="117">
        <f t="shared" si="12"/>
        <v>2.9283349280000002E-4</v>
      </c>
      <c r="V37" s="31">
        <f>IF(I37="SI",VLOOKUP(A37,COEF_FCM!$A$8:$X$354,24,0),0)</f>
        <v>2122638</v>
      </c>
      <c r="W37" s="121">
        <f t="shared" si="13"/>
        <v>468.26</v>
      </c>
      <c r="X37" s="31">
        <f>IF(AND(W37&gt;0,W37&lt;$W$7),ROUND(($W$7-W37)*L37,PARAMETROS!$L$8),0)</f>
        <v>0</v>
      </c>
      <c r="Y37" s="122">
        <f t="shared" si="14"/>
        <v>0</v>
      </c>
      <c r="Z37" s="117">
        <f t="shared" si="15"/>
        <v>0</v>
      </c>
      <c r="AA37" s="96">
        <f t="shared" si="16"/>
        <v>2.0074246818500003E-3</v>
      </c>
      <c r="AB37" s="31">
        <f>ROUND(AA37*PARAMETROS!$H$24,0)</f>
        <v>344509205</v>
      </c>
      <c r="AC37" s="31">
        <f t="shared" si="17"/>
        <v>344509205</v>
      </c>
      <c r="AD37" s="31">
        <f t="shared" si="18"/>
        <v>86127301</v>
      </c>
      <c r="AE37" s="31">
        <f t="shared" si="21"/>
        <v>86127301</v>
      </c>
      <c r="AF37" s="31">
        <f t="shared" si="21"/>
        <v>86127301</v>
      </c>
      <c r="AG37" s="31">
        <f t="shared" si="20"/>
        <v>86127302</v>
      </c>
    </row>
    <row r="38" spans="1:33" ht="3" customHeight="1" x14ac:dyDescent="0.25">
      <c r="A38">
        <v>4105</v>
      </c>
      <c r="B38">
        <v>4106</v>
      </c>
      <c r="C38" t="s">
        <v>28</v>
      </c>
      <c r="D38" s="31">
        <f>+DATA!O34</f>
        <v>2089482</v>
      </c>
      <c r="E38" s="31">
        <f>+DATA!T34</f>
        <v>3402026.09</v>
      </c>
      <c r="F38" s="38">
        <f t="shared" si="1"/>
        <v>5491508.0899999999</v>
      </c>
      <c r="G38" s="112">
        <f t="shared" si="2"/>
        <v>0.33900000000000002</v>
      </c>
      <c r="H38" s="95">
        <f t="shared" si="3"/>
        <v>0.61950000000000005</v>
      </c>
      <c r="I38" s="6" t="str">
        <f t="shared" si="4"/>
        <v>SI</v>
      </c>
      <c r="J38" s="117">
        <f t="shared" si="5"/>
        <v>3.3112582781000001E-3</v>
      </c>
      <c r="K38" s="117">
        <f t="shared" si="6"/>
        <v>1.6556291390500001E-3</v>
      </c>
      <c r="L38" s="31">
        <f>IF(I38="SI",VLOOKUP(A38,DATA!$A$4:$D$350,4,0),0)</f>
        <v>4709</v>
      </c>
      <c r="M38" s="95">
        <f>IF(I38="SI",VLOOKUP(A38,DATA!$A$4:$E$350,5,0),0)</f>
        <v>8.2919575691373634E-2</v>
      </c>
      <c r="N38" s="31">
        <f t="shared" si="7"/>
        <v>390</v>
      </c>
      <c r="O38" s="117">
        <f t="shared" si="8"/>
        <v>4.721806878E-4</v>
      </c>
      <c r="P38" s="117">
        <f t="shared" si="9"/>
        <v>4.72180688E-5</v>
      </c>
      <c r="Q38" s="31">
        <f>IF(I38="SI",VLOOKUP(A38,DATA!$A$4:$G$350,7,0),0)</f>
        <v>2632</v>
      </c>
      <c r="R38" s="31">
        <f>IF(I38="SI",VLOOKUP(A38,DATA!$A$4:$H$350,8,0),0)</f>
        <v>3473</v>
      </c>
      <c r="S38" s="117">
        <f t="shared" si="10"/>
        <v>5.821083506E-4</v>
      </c>
      <c r="T38" s="117">
        <f t="shared" si="11"/>
        <v>7.6155285437670564E-4</v>
      </c>
      <c r="U38" s="117">
        <f t="shared" si="12"/>
        <v>1.523105709E-4</v>
      </c>
      <c r="V38" s="31">
        <f>IF(I38="SI",VLOOKUP(A38,COEF_FCM!$A$8:$X$354,24,0),0)</f>
        <v>2089482</v>
      </c>
      <c r="W38" s="121">
        <f t="shared" si="13"/>
        <v>443.72</v>
      </c>
      <c r="X38" s="31">
        <f>IF(AND(W38&gt;0,W38&lt;$W$7),ROUND(($W$7-W38)*L38,PARAMETROS!$L$8),0)</f>
        <v>0</v>
      </c>
      <c r="Y38" s="122">
        <f t="shared" si="14"/>
        <v>0</v>
      </c>
      <c r="Z38" s="117">
        <f t="shared" si="15"/>
        <v>0</v>
      </c>
      <c r="AA38" s="96">
        <f t="shared" si="16"/>
        <v>1.8551577787499999E-3</v>
      </c>
      <c r="AB38" s="31">
        <f>ROUND(AA38*PARAMETROS!$H$24,0)</f>
        <v>318377540</v>
      </c>
      <c r="AC38" s="31">
        <f t="shared" si="17"/>
        <v>318377540</v>
      </c>
      <c r="AD38" s="31">
        <f t="shared" si="18"/>
        <v>79594385</v>
      </c>
      <c r="AE38" s="31">
        <f t="shared" si="21"/>
        <v>79594385</v>
      </c>
      <c r="AF38" s="31">
        <f t="shared" si="21"/>
        <v>79594385</v>
      </c>
      <c r="AG38" s="31">
        <f t="shared" si="20"/>
        <v>79594385</v>
      </c>
    </row>
    <row r="39" spans="1:33" ht="3" customHeight="1" x14ac:dyDescent="0.25">
      <c r="A39">
        <v>4106</v>
      </c>
      <c r="B39">
        <v>4105</v>
      </c>
      <c r="C39" t="s">
        <v>82</v>
      </c>
      <c r="D39" s="31">
        <f>+DATA!O35</f>
        <v>3082384</v>
      </c>
      <c r="E39" s="31">
        <f>+DATA!T35</f>
        <v>8919989.8159999996</v>
      </c>
      <c r="F39" s="38">
        <f t="shared" si="1"/>
        <v>12002373.816</v>
      </c>
      <c r="G39" s="112">
        <f t="shared" si="2"/>
        <v>0.64900000000000002</v>
      </c>
      <c r="H39" s="95">
        <f t="shared" si="3"/>
        <v>0.74319999999999997</v>
      </c>
      <c r="I39" s="6" t="str">
        <f t="shared" si="4"/>
        <v>SI</v>
      </c>
      <c r="J39" s="117">
        <f t="shared" si="5"/>
        <v>3.3112582781000001E-3</v>
      </c>
      <c r="K39" s="117">
        <f t="shared" si="6"/>
        <v>1.6556291390500001E-3</v>
      </c>
      <c r="L39" s="31">
        <f>IF(I39="SI",VLOOKUP(A39,DATA!$A$4:$D$350,4,0),0)</f>
        <v>30541</v>
      </c>
      <c r="M39" s="95">
        <f>IF(I39="SI",VLOOKUP(A39,DATA!$A$4:$E$350,5,0),0)</f>
        <v>0.1091485858372039</v>
      </c>
      <c r="N39" s="31">
        <f t="shared" si="7"/>
        <v>3334</v>
      </c>
      <c r="O39" s="117">
        <f t="shared" si="8"/>
        <v>4.0365395208999998E-3</v>
      </c>
      <c r="P39" s="117">
        <f t="shared" si="9"/>
        <v>4.0365395209999999E-4</v>
      </c>
      <c r="Q39" s="31">
        <f>IF(I39="SI",VLOOKUP(A39,DATA!$A$4:$G$350,7,0),0)</f>
        <v>11276</v>
      </c>
      <c r="R39" s="31">
        <f>IF(I39="SI",VLOOKUP(A39,DATA!$A$4:$H$350,8,0),0)</f>
        <v>14118</v>
      </c>
      <c r="S39" s="117">
        <f t="shared" si="10"/>
        <v>2.6282931294000001E-3</v>
      </c>
      <c r="T39" s="117">
        <f t="shared" si="11"/>
        <v>3.4385078529970401E-3</v>
      </c>
      <c r="U39" s="117">
        <f t="shared" si="12"/>
        <v>6.8770157059999996E-4</v>
      </c>
      <c r="V39" s="31">
        <f>IF(I39="SI",VLOOKUP(A39,COEF_FCM!$A$8:$X$354,24,0),0)</f>
        <v>3082384</v>
      </c>
      <c r="W39" s="121">
        <f t="shared" si="13"/>
        <v>100.93</v>
      </c>
      <c r="X39" s="31">
        <f>IF(AND(W39&gt;0,W39&lt;$W$7),ROUND(($W$7-W39)*L39,PARAMETROS!$L$8),0)</f>
        <v>181108</v>
      </c>
      <c r="Y39" s="122">
        <f t="shared" si="14"/>
        <v>6.6745488960000005E-4</v>
      </c>
      <c r="Z39" s="117">
        <f t="shared" si="15"/>
        <v>1.3349097789999999E-4</v>
      </c>
      <c r="AA39" s="96">
        <f t="shared" si="16"/>
        <v>2.8804756396500005E-3</v>
      </c>
      <c r="AB39" s="31">
        <f>ROUND(AA39*PARAMETROS!$H$24,0)</f>
        <v>494340028</v>
      </c>
      <c r="AC39" s="31">
        <f t="shared" si="17"/>
        <v>494340028</v>
      </c>
      <c r="AD39" s="31">
        <f t="shared" si="18"/>
        <v>123585007</v>
      </c>
      <c r="AE39" s="31">
        <f t="shared" si="21"/>
        <v>123585007</v>
      </c>
      <c r="AF39" s="31">
        <f t="shared" si="21"/>
        <v>123585007</v>
      </c>
      <c r="AG39" s="31">
        <f t="shared" si="20"/>
        <v>123585007</v>
      </c>
    </row>
    <row r="40" spans="1:33" ht="3" customHeight="1" x14ac:dyDescent="0.25">
      <c r="A40">
        <v>4201</v>
      </c>
      <c r="B40">
        <v>4301</v>
      </c>
      <c r="C40" t="s">
        <v>86</v>
      </c>
      <c r="D40" s="31">
        <f>+DATA!O36</f>
        <v>2700481</v>
      </c>
      <c r="E40" s="31">
        <f>+DATA!T36</f>
        <v>6931629.1679999996</v>
      </c>
      <c r="F40" s="38">
        <f t="shared" si="1"/>
        <v>9632110.1679999996</v>
      </c>
      <c r="G40" s="112">
        <f t="shared" si="2"/>
        <v>0.58199999999999996</v>
      </c>
      <c r="H40" s="95">
        <f t="shared" si="3"/>
        <v>0.71960000000000002</v>
      </c>
      <c r="I40" s="6" t="str">
        <f t="shared" si="4"/>
        <v>SI</v>
      </c>
      <c r="J40" s="117">
        <f t="shared" si="5"/>
        <v>3.3112582781000001E-3</v>
      </c>
      <c r="K40" s="117">
        <f t="shared" si="6"/>
        <v>1.6556291390500001E-3</v>
      </c>
      <c r="L40" s="31">
        <f>IF(I40="SI",VLOOKUP(A40,DATA!$A$4:$D$350,4,0),0)</f>
        <v>33021</v>
      </c>
      <c r="M40" s="95">
        <f>IF(I40="SI",VLOOKUP(A40,DATA!$A$4:$E$350,5,0),0)</f>
        <v>8.0524927147214931E-2</v>
      </c>
      <c r="N40" s="31">
        <f t="shared" si="7"/>
        <v>2659</v>
      </c>
      <c r="O40" s="117">
        <f t="shared" si="8"/>
        <v>3.2193037150999998E-3</v>
      </c>
      <c r="P40" s="117">
        <f t="shared" si="9"/>
        <v>3.2193037149999998E-4</v>
      </c>
      <c r="Q40" s="31">
        <f>IF(I40="SI",VLOOKUP(A40,DATA!$A$4:$G$350,7,0),0)</f>
        <v>11402</v>
      </c>
      <c r="R40" s="31">
        <f>IF(I40="SI",VLOOKUP(A40,DATA!$A$4:$H$350,8,0),0)</f>
        <v>14115</v>
      </c>
      <c r="S40" s="117">
        <f t="shared" si="10"/>
        <v>2.6879304907999999E-3</v>
      </c>
      <c r="T40" s="117">
        <f t="shared" si="11"/>
        <v>3.5165294150564953E-3</v>
      </c>
      <c r="U40" s="117">
        <f t="shared" si="12"/>
        <v>7.0330588300000004E-4</v>
      </c>
      <c r="V40" s="31">
        <f>IF(I40="SI",VLOOKUP(A40,COEF_FCM!$A$8:$X$354,24,0),0)</f>
        <v>2700481</v>
      </c>
      <c r="W40" s="121">
        <f t="shared" si="13"/>
        <v>81.78</v>
      </c>
      <c r="X40" s="31">
        <f>IF(AND(W40&gt;0,W40&lt;$W$7),ROUND(($W$7-W40)*L40,PARAMETROS!$L$8),0)</f>
        <v>828167</v>
      </c>
      <c r="Y40" s="122">
        <f t="shared" si="14"/>
        <v>3.0521242215999999E-3</v>
      </c>
      <c r="Z40" s="117">
        <f t="shared" si="15"/>
        <v>6.1042484429999996E-4</v>
      </c>
      <c r="AA40" s="96">
        <f t="shared" si="16"/>
        <v>3.2912902378499998E-3</v>
      </c>
      <c r="AB40" s="31">
        <f>ROUND(AA40*PARAMETROS!$H$24,0)</f>
        <v>564843002</v>
      </c>
      <c r="AC40" s="31">
        <f t="shared" si="17"/>
        <v>564843002</v>
      </c>
      <c r="AD40" s="31">
        <f t="shared" si="18"/>
        <v>141210751</v>
      </c>
      <c r="AE40" s="31">
        <f t="shared" si="21"/>
        <v>141210751</v>
      </c>
      <c r="AF40" s="31">
        <f t="shared" si="21"/>
        <v>141210751</v>
      </c>
      <c r="AG40" s="31">
        <f t="shared" si="20"/>
        <v>141210749</v>
      </c>
    </row>
    <row r="41" spans="1:33" ht="3" customHeight="1" x14ac:dyDescent="0.25">
      <c r="A41">
        <v>4202</v>
      </c>
      <c r="B41">
        <v>4304</v>
      </c>
      <c r="C41" t="s">
        <v>89</v>
      </c>
      <c r="D41" s="31">
        <f>+DATA!O37</f>
        <v>1195637</v>
      </c>
      <c r="E41" s="31">
        <f>+DATA!T37</f>
        <v>2855755.307</v>
      </c>
      <c r="F41" s="38">
        <f t="shared" si="1"/>
        <v>4051392.307</v>
      </c>
      <c r="G41" s="112">
        <f t="shared" si="2"/>
        <v>0.16500000000000001</v>
      </c>
      <c r="H41" s="95">
        <f t="shared" si="3"/>
        <v>0.70489999999999997</v>
      </c>
      <c r="I41" s="6" t="str">
        <f t="shared" si="4"/>
        <v>SI</v>
      </c>
      <c r="J41" s="117">
        <f t="shared" si="5"/>
        <v>3.3112582781000001E-3</v>
      </c>
      <c r="K41" s="117">
        <f t="shared" si="6"/>
        <v>1.6556291390500001E-3</v>
      </c>
      <c r="L41" s="31">
        <f>IF(I41="SI",VLOOKUP(A41,DATA!$A$4:$D$350,4,0),0)</f>
        <v>9509</v>
      </c>
      <c r="M41" s="95">
        <f>IF(I41="SI",VLOOKUP(A41,DATA!$A$4:$E$350,5,0),0)</f>
        <v>0.1631210174806921</v>
      </c>
      <c r="N41" s="31">
        <f t="shared" si="7"/>
        <v>1551</v>
      </c>
      <c r="O41" s="117">
        <f t="shared" si="8"/>
        <v>1.8778262738E-3</v>
      </c>
      <c r="P41" s="117">
        <f t="shared" si="9"/>
        <v>1.8778262740000001E-4</v>
      </c>
      <c r="Q41" s="31">
        <f>IF(I41="SI",VLOOKUP(A41,DATA!$A$4:$G$350,7,0),0)</f>
        <v>4423</v>
      </c>
      <c r="R41" s="31">
        <f>IF(I41="SI",VLOOKUP(A41,DATA!$A$4:$H$350,8,0),0)</f>
        <v>6450</v>
      </c>
      <c r="S41" s="117">
        <f t="shared" si="10"/>
        <v>8.8513804309999996E-4</v>
      </c>
      <c r="T41" s="117">
        <f t="shared" si="11"/>
        <v>1.1579964495362738E-3</v>
      </c>
      <c r="U41" s="117">
        <f t="shared" si="12"/>
        <v>2.315992899E-4</v>
      </c>
      <c r="V41" s="31">
        <f>IF(I41="SI",VLOOKUP(A41,COEF_FCM!$A$8:$X$354,24,0),0)</f>
        <v>1195637</v>
      </c>
      <c r="W41" s="121">
        <f t="shared" si="13"/>
        <v>125.74</v>
      </c>
      <c r="X41" s="31">
        <f>IF(AND(W41&gt;0,W41&lt;$W$7),ROUND(($W$7-W41)*L41,PARAMETROS!$L$8),0)</f>
        <v>0</v>
      </c>
      <c r="Y41" s="122">
        <f t="shared" si="14"/>
        <v>0</v>
      </c>
      <c r="Z41" s="117">
        <f t="shared" si="15"/>
        <v>0</v>
      </c>
      <c r="AA41" s="96">
        <f t="shared" si="16"/>
        <v>2.0750110563500001E-3</v>
      </c>
      <c r="AB41" s="31">
        <f>ROUND(AA41*PARAMETROS!$H$24,0)</f>
        <v>356108210</v>
      </c>
      <c r="AC41" s="31">
        <f t="shared" si="17"/>
        <v>356108210</v>
      </c>
      <c r="AD41" s="31">
        <f t="shared" si="18"/>
        <v>89027053</v>
      </c>
      <c r="AE41" s="31">
        <f t="shared" si="21"/>
        <v>89027053</v>
      </c>
      <c r="AF41" s="31">
        <f t="shared" si="21"/>
        <v>89027053</v>
      </c>
      <c r="AG41" s="31">
        <f t="shared" si="20"/>
        <v>89027051</v>
      </c>
    </row>
    <row r="42" spans="1:33" ht="3" customHeight="1" x14ac:dyDescent="0.25">
      <c r="A42">
        <v>4203</v>
      </c>
      <c r="B42">
        <v>4303</v>
      </c>
      <c r="C42" t="s">
        <v>88</v>
      </c>
      <c r="D42" s="31">
        <f>+DATA!O38</f>
        <v>3520226</v>
      </c>
      <c r="E42" s="31">
        <f>+DATA!T38</f>
        <v>11116533.354</v>
      </c>
      <c r="F42" s="38">
        <f t="shared" si="1"/>
        <v>14636759.354</v>
      </c>
      <c r="G42" s="112">
        <f t="shared" si="2"/>
        <v>0.71</v>
      </c>
      <c r="H42" s="95">
        <f t="shared" si="3"/>
        <v>0.75949999999999995</v>
      </c>
      <c r="I42" s="6" t="str">
        <f t="shared" si="4"/>
        <v>SI</v>
      </c>
      <c r="J42" s="117">
        <f t="shared" si="5"/>
        <v>3.3112582781000001E-3</v>
      </c>
      <c r="K42" s="117">
        <f t="shared" si="6"/>
        <v>1.6556291390500001E-3</v>
      </c>
      <c r="L42" s="31">
        <f>IF(I42="SI",VLOOKUP(A42,DATA!$A$4:$D$350,4,0),0)</f>
        <v>24408</v>
      </c>
      <c r="M42" s="95">
        <f>IF(I42="SI",VLOOKUP(A42,DATA!$A$4:$E$350,5,0),0)</f>
        <v>8.4524265276058747E-2</v>
      </c>
      <c r="N42" s="31">
        <f t="shared" si="7"/>
        <v>2063</v>
      </c>
      <c r="O42" s="117">
        <f t="shared" si="8"/>
        <v>2.4977147665E-3</v>
      </c>
      <c r="P42" s="117">
        <f t="shared" si="9"/>
        <v>2.4977147669999998E-4</v>
      </c>
      <c r="Q42" s="31">
        <f>IF(I42="SI",VLOOKUP(A42,DATA!$A$4:$G$350,7,0),0)</f>
        <v>11217</v>
      </c>
      <c r="R42" s="31">
        <f>IF(I42="SI",VLOOKUP(A42,DATA!$A$4:$H$350,8,0),0)</f>
        <v>16018</v>
      </c>
      <c r="S42" s="117">
        <f t="shared" si="10"/>
        <v>2.2923556275000001E-3</v>
      </c>
      <c r="T42" s="117">
        <f t="shared" si="11"/>
        <v>2.999012073215789E-3</v>
      </c>
      <c r="U42" s="117">
        <f t="shared" si="12"/>
        <v>5.9980241460000003E-4</v>
      </c>
      <c r="V42" s="31">
        <f>IF(I42="SI",VLOOKUP(A42,COEF_FCM!$A$8:$X$354,24,0),0)</f>
        <v>3520226</v>
      </c>
      <c r="W42" s="121">
        <f t="shared" si="13"/>
        <v>144.22</v>
      </c>
      <c r="X42" s="31">
        <f>IF(AND(W42&gt;0,W42&lt;$W$7),ROUND(($W$7-W42)*L42,PARAMETROS!$L$8),0)</f>
        <v>0</v>
      </c>
      <c r="Y42" s="122">
        <f t="shared" si="14"/>
        <v>0</v>
      </c>
      <c r="Z42" s="117">
        <f t="shared" si="15"/>
        <v>0</v>
      </c>
      <c r="AA42" s="96">
        <f t="shared" si="16"/>
        <v>2.50520303035E-3</v>
      </c>
      <c r="AB42" s="31">
        <f>ROUND(AA42*PARAMETROS!$H$24,0)</f>
        <v>429936681</v>
      </c>
      <c r="AC42" s="31">
        <f t="shared" si="17"/>
        <v>429936681</v>
      </c>
      <c r="AD42" s="31">
        <f t="shared" si="18"/>
        <v>107484170</v>
      </c>
      <c r="AE42" s="31">
        <f t="shared" si="21"/>
        <v>107484170</v>
      </c>
      <c r="AF42" s="31">
        <f t="shared" si="21"/>
        <v>107484170</v>
      </c>
      <c r="AG42" s="31">
        <f t="shared" si="20"/>
        <v>107484171</v>
      </c>
    </row>
    <row r="43" spans="1:33" ht="3" customHeight="1" x14ac:dyDescent="0.25">
      <c r="A43">
        <v>4204</v>
      </c>
      <c r="B43">
        <v>4302</v>
      </c>
      <c r="C43" t="s">
        <v>87</v>
      </c>
      <c r="D43" s="31">
        <f>+DATA!O39</f>
        <v>4404570</v>
      </c>
      <c r="E43" s="31">
        <f>+DATA!T39</f>
        <v>4891018.8169999998</v>
      </c>
      <c r="F43" s="38">
        <f t="shared" si="1"/>
        <v>9295588.8169999998</v>
      </c>
      <c r="G43" s="112">
        <f t="shared" si="2"/>
        <v>0.55600000000000005</v>
      </c>
      <c r="H43" s="95">
        <f t="shared" si="3"/>
        <v>0.5262</v>
      </c>
      <c r="I43" s="6" t="str">
        <f t="shared" si="4"/>
        <v>SI</v>
      </c>
      <c r="J43" s="117">
        <f t="shared" si="5"/>
        <v>3.3112582781000001E-3</v>
      </c>
      <c r="K43" s="117">
        <f t="shared" si="6"/>
        <v>1.6556291390500001E-3</v>
      </c>
      <c r="L43" s="31">
        <f>IF(I43="SI",VLOOKUP(A43,DATA!$A$4:$D$350,4,0),0)</f>
        <v>29916</v>
      </c>
      <c r="M43" s="95">
        <f>IF(I43="SI",VLOOKUP(A43,DATA!$A$4:$E$350,5,0),0)</f>
        <v>9.1075665513342632E-2</v>
      </c>
      <c r="N43" s="31">
        <f t="shared" si="7"/>
        <v>2725</v>
      </c>
      <c r="O43" s="117">
        <f t="shared" si="8"/>
        <v>3.2992112161000001E-3</v>
      </c>
      <c r="P43" s="117">
        <f t="shared" si="9"/>
        <v>3.2992112159999998E-4</v>
      </c>
      <c r="Q43" s="31">
        <f>IF(I43="SI",VLOOKUP(A43,DATA!$A$4:$G$350,7,0),0)</f>
        <v>11658</v>
      </c>
      <c r="R43" s="31">
        <f>IF(I43="SI",VLOOKUP(A43,DATA!$A$4:$H$350,8,0),0)</f>
        <v>14447</v>
      </c>
      <c r="S43" s="117">
        <f t="shared" si="10"/>
        <v>2.7454103847999998E-3</v>
      </c>
      <c r="T43" s="117">
        <f t="shared" si="11"/>
        <v>3.5917284347919982E-3</v>
      </c>
      <c r="U43" s="117">
        <f t="shared" si="12"/>
        <v>7.1834568699999997E-4</v>
      </c>
      <c r="V43" s="31">
        <f>IF(I43="SI",VLOOKUP(A43,COEF_FCM!$A$8:$X$354,24,0),0)</f>
        <v>4404570</v>
      </c>
      <c r="W43" s="121">
        <f t="shared" si="13"/>
        <v>147.22999999999999</v>
      </c>
      <c r="X43" s="31">
        <f>IF(AND(W43&gt;0,W43&lt;$W$7),ROUND(($W$7-W43)*L43,PARAMETROS!$L$8),0)</f>
        <v>0</v>
      </c>
      <c r="Y43" s="122">
        <f t="shared" si="14"/>
        <v>0</v>
      </c>
      <c r="Z43" s="117">
        <f t="shared" si="15"/>
        <v>0</v>
      </c>
      <c r="AA43" s="96">
        <f t="shared" si="16"/>
        <v>2.7038959476499997E-3</v>
      </c>
      <c r="AB43" s="31">
        <f>ROUND(AA43*PARAMETROS!$H$24,0)</f>
        <v>464035863</v>
      </c>
      <c r="AC43" s="31">
        <f t="shared" si="17"/>
        <v>464035863</v>
      </c>
      <c r="AD43" s="31">
        <f t="shared" si="18"/>
        <v>116008966</v>
      </c>
      <c r="AE43" s="31">
        <f t="shared" si="21"/>
        <v>116008966</v>
      </c>
      <c r="AF43" s="31">
        <f t="shared" si="21"/>
        <v>116008966</v>
      </c>
      <c r="AG43" s="31">
        <f t="shared" si="20"/>
        <v>116008965</v>
      </c>
    </row>
    <row r="44" spans="1:33" ht="3" customHeight="1" x14ac:dyDescent="0.25">
      <c r="A44">
        <v>4301</v>
      </c>
      <c r="B44">
        <v>4201</v>
      </c>
      <c r="C44" t="s">
        <v>83</v>
      </c>
      <c r="D44" s="31">
        <f>+DATA!O40</f>
        <v>10581423</v>
      </c>
      <c r="E44" s="31">
        <f>+DATA!T40</f>
        <v>19347446.850000001</v>
      </c>
      <c r="F44" s="38">
        <f t="shared" si="1"/>
        <v>29928869.850000001</v>
      </c>
      <c r="G44" s="112">
        <f t="shared" si="2"/>
        <v>0.86899999999999999</v>
      </c>
      <c r="H44" s="95">
        <f t="shared" si="3"/>
        <v>0.64639999999999997</v>
      </c>
      <c r="I44" s="6" t="str">
        <f t="shared" si="4"/>
        <v>SI</v>
      </c>
      <c r="J44" s="117">
        <f t="shared" si="5"/>
        <v>3.3112582781000001E-3</v>
      </c>
      <c r="K44" s="117">
        <f t="shared" si="6"/>
        <v>1.6556291390500001E-3</v>
      </c>
      <c r="L44" s="31">
        <f>IF(I44="SI",VLOOKUP(A44,DATA!$A$4:$D$350,4,0),0)</f>
        <v>124401</v>
      </c>
      <c r="M44" s="95">
        <f>IF(I44="SI",VLOOKUP(A44,DATA!$A$4:$E$350,5,0),0)</f>
        <v>9.5085124773698834E-2</v>
      </c>
      <c r="N44" s="31">
        <f t="shared" si="7"/>
        <v>11829</v>
      </c>
      <c r="O44" s="117">
        <f t="shared" si="8"/>
        <v>1.43216034772E-2</v>
      </c>
      <c r="P44" s="117">
        <f t="shared" si="9"/>
        <v>1.4321603476999999E-3</v>
      </c>
      <c r="Q44" s="31">
        <f>IF(I44="SI",VLOOKUP(A44,DATA!$A$4:$G$350,7,0),0)</f>
        <v>42511</v>
      </c>
      <c r="R44" s="31">
        <f>IF(I44="SI",VLOOKUP(A44,DATA!$A$4:$H$350,8,0),0)</f>
        <v>57148</v>
      </c>
      <c r="S44" s="117">
        <f t="shared" si="10"/>
        <v>9.2286558146000008E-3</v>
      </c>
      <c r="T44" s="117">
        <f t="shared" si="11"/>
        <v>1.2073541240947132E-2</v>
      </c>
      <c r="U44" s="117">
        <f t="shared" si="12"/>
        <v>2.4147082481999998E-3</v>
      </c>
      <c r="V44" s="31">
        <f>IF(I44="SI",VLOOKUP(A44,COEF_FCM!$A$8:$X$354,24,0),0)</f>
        <v>10581423</v>
      </c>
      <c r="W44" s="121">
        <f t="shared" si="13"/>
        <v>85.06</v>
      </c>
      <c r="X44" s="31">
        <f>IF(AND(W44&gt;0,W44&lt;$W$7),ROUND(($W$7-W44)*L44,PARAMETROS!$L$8),0)</f>
        <v>2711942</v>
      </c>
      <c r="Y44" s="122">
        <f t="shared" si="14"/>
        <v>9.9945830559999994E-3</v>
      </c>
      <c r="Z44" s="117">
        <f t="shared" si="15"/>
        <v>1.9989166111999998E-3</v>
      </c>
      <c r="AA44" s="96">
        <f t="shared" si="16"/>
        <v>7.5014143461500007E-3</v>
      </c>
      <c r="AB44" s="31">
        <f>ROUND(AA44*PARAMETROS!$H$24,0)</f>
        <v>1287373977</v>
      </c>
      <c r="AC44" s="31">
        <f t="shared" si="17"/>
        <v>1287373977</v>
      </c>
      <c r="AD44" s="31">
        <f t="shared" si="18"/>
        <v>321843494</v>
      </c>
      <c r="AE44" s="31">
        <f t="shared" si="21"/>
        <v>321843494</v>
      </c>
      <c r="AF44" s="31">
        <f t="shared" si="21"/>
        <v>321843494</v>
      </c>
      <c r="AG44" s="31">
        <f t="shared" si="20"/>
        <v>321843495</v>
      </c>
    </row>
    <row r="45" spans="1:33" ht="3" customHeight="1" x14ac:dyDescent="0.25">
      <c r="A45">
        <v>4302</v>
      </c>
      <c r="B45">
        <v>4205</v>
      </c>
      <c r="C45" t="s">
        <v>376</v>
      </c>
      <c r="D45" s="31">
        <f>+DATA!O41</f>
        <v>759952</v>
      </c>
      <c r="E45" s="31">
        <f>+DATA!T41</f>
        <v>4873889.2589999996</v>
      </c>
      <c r="F45" s="38">
        <f t="shared" si="1"/>
        <v>5633841.2589999996</v>
      </c>
      <c r="G45" s="112">
        <f t="shared" si="2"/>
        <v>0.35899999999999999</v>
      </c>
      <c r="H45" s="95">
        <f t="shared" si="3"/>
        <v>0.86509999999999998</v>
      </c>
      <c r="I45" s="6" t="str">
        <f t="shared" si="4"/>
        <v>SI</v>
      </c>
      <c r="J45" s="117">
        <f t="shared" si="5"/>
        <v>3.3112582781000001E-3</v>
      </c>
      <c r="K45" s="117">
        <f t="shared" si="6"/>
        <v>1.6556291390500001E-3</v>
      </c>
      <c r="L45" s="31">
        <f>IF(I45="SI",VLOOKUP(A45,DATA!$A$4:$D$350,4,0),0)</f>
        <v>13855</v>
      </c>
      <c r="M45" s="95">
        <f>IF(I45="SI",VLOOKUP(A45,DATA!$A$4:$E$350,5,0),0)</f>
        <v>0.1099473813298209</v>
      </c>
      <c r="N45" s="31">
        <f t="shared" si="7"/>
        <v>1523</v>
      </c>
      <c r="O45" s="117">
        <f t="shared" si="8"/>
        <v>1.8439261218999999E-3</v>
      </c>
      <c r="P45" s="117">
        <f t="shared" si="9"/>
        <v>1.843926122E-4</v>
      </c>
      <c r="Q45" s="31">
        <f>IF(I45="SI",VLOOKUP(A45,DATA!$A$4:$G$350,7,0),0)</f>
        <v>7891</v>
      </c>
      <c r="R45" s="31">
        <f>IF(I45="SI",VLOOKUP(A45,DATA!$A$4:$H$350,8,0),0)</f>
        <v>8852</v>
      </c>
      <c r="S45" s="117">
        <f t="shared" si="10"/>
        <v>2.0528609069999999E-3</v>
      </c>
      <c r="T45" s="117">
        <f t="shared" si="11"/>
        <v>2.6856891534931416E-3</v>
      </c>
      <c r="U45" s="117">
        <f t="shared" si="12"/>
        <v>5.3713783070000003E-4</v>
      </c>
      <c r="V45" s="31">
        <f>IF(I45="SI",VLOOKUP(A45,COEF_FCM!$A$8:$X$354,24,0),0)</f>
        <v>759952</v>
      </c>
      <c r="W45" s="121">
        <f t="shared" si="13"/>
        <v>54.85</v>
      </c>
      <c r="X45" s="31">
        <f>IF(AND(W45&gt;0,W45&lt;$W$7),ROUND(($W$7-W45)*L45,PARAMETROS!$L$8),0)</f>
        <v>720599</v>
      </c>
      <c r="Y45" s="122">
        <f t="shared" si="14"/>
        <v>2.6556934312999998E-3</v>
      </c>
      <c r="Z45" s="117">
        <f t="shared" si="15"/>
        <v>5.3113868630000002E-4</v>
      </c>
      <c r="AA45" s="96">
        <f t="shared" si="16"/>
        <v>2.90829826825E-3</v>
      </c>
      <c r="AB45" s="31">
        <f>ROUND(AA45*PARAMETROS!$H$24,0)</f>
        <v>499114878</v>
      </c>
      <c r="AC45" s="31">
        <f t="shared" si="17"/>
        <v>499114878</v>
      </c>
      <c r="AD45" s="31">
        <f t="shared" si="18"/>
        <v>124778720</v>
      </c>
      <c r="AE45" s="31">
        <f t="shared" si="21"/>
        <v>124778720</v>
      </c>
      <c r="AF45" s="31">
        <f t="shared" si="21"/>
        <v>124778720</v>
      </c>
      <c r="AG45" s="31">
        <f t="shared" si="20"/>
        <v>124778718</v>
      </c>
    </row>
    <row r="46" spans="1:33" ht="3" customHeight="1" x14ac:dyDescent="0.25">
      <c r="A46">
        <v>4303</v>
      </c>
      <c r="B46">
        <v>4203</v>
      </c>
      <c r="C46" t="s">
        <v>84</v>
      </c>
      <c r="D46" s="31">
        <f>+DATA!O42</f>
        <v>1927539</v>
      </c>
      <c r="E46" s="31">
        <f>+DATA!T42</f>
        <v>8319495.6169999996</v>
      </c>
      <c r="F46" s="38">
        <f t="shared" si="1"/>
        <v>10247034.616999999</v>
      </c>
      <c r="G46" s="112">
        <f t="shared" si="2"/>
        <v>0.60499999999999998</v>
      </c>
      <c r="H46" s="95">
        <f t="shared" si="3"/>
        <v>0.81189999999999996</v>
      </c>
      <c r="I46" s="6" t="str">
        <f t="shared" si="4"/>
        <v>SI</v>
      </c>
      <c r="J46" s="117">
        <f t="shared" si="5"/>
        <v>3.3112582781000001E-3</v>
      </c>
      <c r="K46" s="117">
        <f t="shared" si="6"/>
        <v>1.6556291390500001E-3</v>
      </c>
      <c r="L46" s="31">
        <f>IF(I46="SI",VLOOKUP(A46,DATA!$A$4:$D$350,4,0),0)</f>
        <v>32672</v>
      </c>
      <c r="M46" s="95">
        <f>IF(I46="SI",VLOOKUP(A46,DATA!$A$4:$E$350,5,0),0)</f>
        <v>0.127703937398395</v>
      </c>
      <c r="N46" s="31">
        <f t="shared" si="7"/>
        <v>4172</v>
      </c>
      <c r="O46" s="117">
        <f t="shared" si="8"/>
        <v>5.0511226399000001E-3</v>
      </c>
      <c r="P46" s="117">
        <f t="shared" si="9"/>
        <v>5.0511226399999997E-4</v>
      </c>
      <c r="Q46" s="31">
        <f>IF(I46="SI",VLOOKUP(A46,DATA!$A$4:$G$350,7,0),0)</f>
        <v>15424</v>
      </c>
      <c r="R46" s="31">
        <f>IF(I46="SI",VLOOKUP(A46,DATA!$A$4:$H$350,8,0),0)</f>
        <v>17381</v>
      </c>
      <c r="S46" s="117">
        <f t="shared" si="10"/>
        <v>3.9944419721999998E-3</v>
      </c>
      <c r="T46" s="117">
        <f t="shared" si="11"/>
        <v>5.2257946178500114E-3</v>
      </c>
      <c r="U46" s="117">
        <f t="shared" si="12"/>
        <v>1.0451589236000001E-3</v>
      </c>
      <c r="V46" s="31">
        <f>IF(I46="SI",VLOOKUP(A46,COEF_FCM!$A$8:$X$354,24,0),0)</f>
        <v>1927539</v>
      </c>
      <c r="W46" s="121">
        <f t="shared" si="13"/>
        <v>59</v>
      </c>
      <c r="X46" s="31">
        <f>IF(AND(W46&gt;0,W46&lt;$W$7),ROUND(($W$7-W46)*L46,PARAMETROS!$L$8),0)</f>
        <v>1563682</v>
      </c>
      <c r="Y46" s="122">
        <f t="shared" si="14"/>
        <v>5.7627890353999997E-3</v>
      </c>
      <c r="Z46" s="117">
        <f t="shared" si="15"/>
        <v>1.1525578070999999E-3</v>
      </c>
      <c r="AA46" s="96">
        <f t="shared" si="16"/>
        <v>4.3584581337499997E-3</v>
      </c>
      <c r="AB46" s="31">
        <f>ROUND(AA46*PARAMETROS!$H$24,0)</f>
        <v>747987689</v>
      </c>
      <c r="AC46" s="31">
        <f t="shared" si="17"/>
        <v>747987689</v>
      </c>
      <c r="AD46" s="31">
        <f t="shared" si="18"/>
        <v>186996922</v>
      </c>
      <c r="AE46" s="31">
        <f t="shared" si="21"/>
        <v>186996922</v>
      </c>
      <c r="AF46" s="31">
        <f t="shared" si="21"/>
        <v>186996922</v>
      </c>
      <c r="AG46" s="31">
        <f t="shared" si="20"/>
        <v>186996923</v>
      </c>
    </row>
    <row r="47" spans="1:33" ht="3" customHeight="1" x14ac:dyDescent="0.25">
      <c r="A47">
        <v>4304</v>
      </c>
      <c r="B47">
        <v>4204</v>
      </c>
      <c r="C47" t="s">
        <v>85</v>
      </c>
      <c r="D47" s="31">
        <f>+DATA!O43</f>
        <v>954709</v>
      </c>
      <c r="E47" s="31">
        <f>+DATA!T43</f>
        <v>3829124.6</v>
      </c>
      <c r="F47" s="38">
        <f t="shared" si="1"/>
        <v>4783833.5999999996</v>
      </c>
      <c r="G47" s="112">
        <f t="shared" si="2"/>
        <v>0.252</v>
      </c>
      <c r="H47" s="95">
        <f t="shared" si="3"/>
        <v>0.8004</v>
      </c>
      <c r="I47" s="6" t="str">
        <f t="shared" si="4"/>
        <v>SI</v>
      </c>
      <c r="J47" s="117">
        <f t="shared" si="5"/>
        <v>3.3112582781000001E-3</v>
      </c>
      <c r="K47" s="117">
        <f t="shared" si="6"/>
        <v>1.6556291390500001E-3</v>
      </c>
      <c r="L47" s="31">
        <f>IF(I47="SI",VLOOKUP(A47,DATA!$A$4:$D$350,4,0),0)</f>
        <v>12514</v>
      </c>
      <c r="M47" s="95">
        <f>IF(I47="SI",VLOOKUP(A47,DATA!$A$4:$E$350,5,0),0)</f>
        <v>0.14464948024439669</v>
      </c>
      <c r="N47" s="31">
        <f t="shared" si="7"/>
        <v>1810</v>
      </c>
      <c r="O47" s="117">
        <f t="shared" si="8"/>
        <v>2.1914026793000002E-3</v>
      </c>
      <c r="P47" s="117">
        <f t="shared" si="9"/>
        <v>2.191402679E-4</v>
      </c>
      <c r="Q47" s="31">
        <f>IF(I47="SI",VLOOKUP(A47,DATA!$A$4:$G$350,7,0),0)</f>
        <v>5478</v>
      </c>
      <c r="R47" s="31">
        <f>IF(I47="SI",VLOOKUP(A47,DATA!$A$4:$H$350,8,0),0)</f>
        <v>6639</v>
      </c>
      <c r="S47" s="117">
        <f t="shared" si="10"/>
        <v>1.3191015483999999E-3</v>
      </c>
      <c r="T47" s="117">
        <f t="shared" si="11"/>
        <v>1.7257363656805649E-3</v>
      </c>
      <c r="U47" s="117">
        <f t="shared" si="12"/>
        <v>3.4514727309999999E-4</v>
      </c>
      <c r="V47" s="31">
        <f>IF(I47="SI",VLOOKUP(A47,COEF_FCM!$A$8:$X$354,24,0),0)</f>
        <v>954709</v>
      </c>
      <c r="W47" s="121">
        <f t="shared" si="13"/>
        <v>76.290000000000006</v>
      </c>
      <c r="X47" s="31">
        <f>IF(AND(W47&gt;0,W47&lt;$W$7),ROUND(($W$7-W47)*L47,PARAMETROS!$L$8),0)</f>
        <v>382553</v>
      </c>
      <c r="Y47" s="122">
        <f t="shared" si="14"/>
        <v>1.4098596990000001E-3</v>
      </c>
      <c r="Z47" s="117">
        <f t="shared" si="15"/>
        <v>2.8197193979999998E-4</v>
      </c>
      <c r="AA47" s="96">
        <f t="shared" si="16"/>
        <v>2.5018886198500002E-3</v>
      </c>
      <c r="AB47" s="31">
        <f>ROUND(AA47*PARAMETROS!$H$24,0)</f>
        <v>429367870</v>
      </c>
      <c r="AC47" s="31">
        <f t="shared" si="17"/>
        <v>429367870</v>
      </c>
      <c r="AD47" s="31">
        <f t="shared" si="18"/>
        <v>107341968</v>
      </c>
      <c r="AE47" s="31">
        <f t="shared" si="21"/>
        <v>107341968</v>
      </c>
      <c r="AF47" s="31">
        <f t="shared" si="21"/>
        <v>107341968</v>
      </c>
      <c r="AG47" s="31">
        <f t="shared" si="20"/>
        <v>107341966</v>
      </c>
    </row>
    <row r="48" spans="1:33" ht="3" customHeight="1" x14ac:dyDescent="0.25">
      <c r="A48">
        <v>4305</v>
      </c>
      <c r="B48">
        <v>4206</v>
      </c>
      <c r="C48" t="s">
        <v>377</v>
      </c>
      <c r="D48" s="31">
        <f>+DATA!O44</f>
        <v>645033</v>
      </c>
      <c r="E48" s="31">
        <f>+DATA!T44</f>
        <v>2675397.1970000002</v>
      </c>
      <c r="F48" s="38">
        <f t="shared" si="1"/>
        <v>3320430.1970000002</v>
      </c>
      <c r="G48" s="112">
        <f t="shared" si="2"/>
        <v>8.5999999999999993E-2</v>
      </c>
      <c r="H48" s="95">
        <f t="shared" si="3"/>
        <v>0.80569999999999997</v>
      </c>
      <c r="I48" s="6" t="str">
        <f t="shared" si="4"/>
        <v>SI</v>
      </c>
      <c r="J48" s="117">
        <f t="shared" si="5"/>
        <v>3.3112582781000001E-3</v>
      </c>
      <c r="K48" s="117">
        <f t="shared" si="6"/>
        <v>1.6556291390500001E-3</v>
      </c>
      <c r="L48" s="31">
        <f>IF(I48="SI",VLOOKUP(A48,DATA!$A$4:$D$350,4,0),0)</f>
        <v>4308</v>
      </c>
      <c r="M48" s="95">
        <f>IF(I48="SI",VLOOKUP(A48,DATA!$A$4:$E$350,5,0),0)</f>
        <v>7.7679537884254357E-2</v>
      </c>
      <c r="N48" s="31">
        <f t="shared" si="7"/>
        <v>335</v>
      </c>
      <c r="O48" s="117">
        <f t="shared" si="8"/>
        <v>4.0559110360000001E-4</v>
      </c>
      <c r="P48" s="117">
        <f t="shared" si="9"/>
        <v>4.0559110400000003E-5</v>
      </c>
      <c r="Q48" s="31">
        <f>IF(I48="SI",VLOOKUP(A48,DATA!$A$4:$G$350,7,0),0)</f>
        <v>3184</v>
      </c>
      <c r="R48" s="31">
        <f>IF(I48="SI",VLOOKUP(A48,DATA!$A$4:$H$350,8,0),0)</f>
        <v>3585</v>
      </c>
      <c r="S48" s="117">
        <f t="shared" si="10"/>
        <v>8.2526571119999998E-4</v>
      </c>
      <c r="T48" s="117">
        <f t="shared" si="11"/>
        <v>1.0796674834432139E-3</v>
      </c>
      <c r="U48" s="117">
        <f t="shared" si="12"/>
        <v>2.159334967E-4</v>
      </c>
      <c r="V48" s="31">
        <f>IF(I48="SI",VLOOKUP(A48,COEF_FCM!$A$8:$X$354,24,0),0)</f>
        <v>645033</v>
      </c>
      <c r="W48" s="121">
        <f t="shared" si="13"/>
        <v>149.72999999999999</v>
      </c>
      <c r="X48" s="31">
        <f>IF(AND(W48&gt;0,W48&lt;$W$7),ROUND(($W$7-W48)*L48,PARAMETROS!$L$8),0)</f>
        <v>0</v>
      </c>
      <c r="Y48" s="122">
        <f t="shared" si="14"/>
        <v>0</v>
      </c>
      <c r="Z48" s="117">
        <f t="shared" si="15"/>
        <v>0</v>
      </c>
      <c r="AA48" s="96">
        <f t="shared" si="16"/>
        <v>1.91212174615E-3</v>
      </c>
      <c r="AB48" s="31">
        <f>ROUND(AA48*PARAMETROS!$H$24,0)</f>
        <v>328153554</v>
      </c>
      <c r="AC48" s="31">
        <f t="shared" si="17"/>
        <v>328153554</v>
      </c>
      <c r="AD48" s="31">
        <f t="shared" si="18"/>
        <v>82038389</v>
      </c>
      <c r="AE48" s="31">
        <f t="shared" si="21"/>
        <v>82038389</v>
      </c>
      <c r="AF48" s="31">
        <f t="shared" si="21"/>
        <v>82038389</v>
      </c>
      <c r="AG48" s="31">
        <f t="shared" si="20"/>
        <v>82038387</v>
      </c>
    </row>
    <row r="49" spans="1:33" ht="3" customHeight="1" x14ac:dyDescent="0.25">
      <c r="A49">
        <v>5101</v>
      </c>
      <c r="B49">
        <v>5301</v>
      </c>
      <c r="C49" t="s">
        <v>378</v>
      </c>
      <c r="D49" s="31">
        <f>+DATA!O45</f>
        <v>33633391</v>
      </c>
      <c r="E49" s="31">
        <f>+DATA!T45</f>
        <v>39387383.501999997</v>
      </c>
      <c r="F49" s="38">
        <f t="shared" si="1"/>
        <v>73020774.502000004</v>
      </c>
      <c r="G49" s="112">
        <f t="shared" si="2"/>
        <v>0.96199999999999997</v>
      </c>
      <c r="H49" s="95">
        <f t="shared" si="3"/>
        <v>0.53939999999999999</v>
      </c>
      <c r="I49" s="6" t="str">
        <f t="shared" si="4"/>
        <v>SI</v>
      </c>
      <c r="J49" s="117">
        <f t="shared" si="5"/>
        <v>3.3112582781000001E-3</v>
      </c>
      <c r="K49" s="117">
        <f t="shared" si="6"/>
        <v>1.6556291390500001E-3</v>
      </c>
      <c r="L49" s="31">
        <f>IF(I49="SI",VLOOKUP(A49,DATA!$A$4:$D$350,4,0),0)</f>
        <v>320816</v>
      </c>
      <c r="M49" s="95">
        <f>IF(I49="SI",VLOOKUP(A49,DATA!$A$4:$E$350,5,0),0)</f>
        <v>7.3763872862535398E-2</v>
      </c>
      <c r="N49" s="31">
        <f t="shared" si="7"/>
        <v>23665</v>
      </c>
      <c r="O49" s="117">
        <f t="shared" si="8"/>
        <v>2.8651681992400001E-2</v>
      </c>
      <c r="P49" s="117">
        <f t="shared" si="9"/>
        <v>2.8651681992000002E-3</v>
      </c>
      <c r="Q49" s="31">
        <f>IF(I49="SI",VLOOKUP(A49,DATA!$A$4:$G$350,7,0),0)</f>
        <v>89694</v>
      </c>
      <c r="R49" s="31">
        <f>IF(I49="SI",VLOOKUP(A49,DATA!$A$4:$H$350,8,0),0)</f>
        <v>128845</v>
      </c>
      <c r="S49" s="117">
        <f t="shared" si="10"/>
        <v>1.8222000643599998E-2</v>
      </c>
      <c r="T49" s="117">
        <f t="shared" si="11"/>
        <v>2.3839233002385565E-2</v>
      </c>
      <c r="U49" s="117">
        <f t="shared" si="12"/>
        <v>4.7678466004999996E-3</v>
      </c>
      <c r="V49" s="31">
        <f>IF(I49="SI",VLOOKUP(A49,COEF_FCM!$A$8:$X$354,24,0),0)</f>
        <v>33633391</v>
      </c>
      <c r="W49" s="121">
        <f t="shared" si="13"/>
        <v>104.84</v>
      </c>
      <c r="X49" s="31">
        <f>IF(AND(W49&gt;0,W49&lt;$W$7),ROUND(($W$7-W49)*L49,PARAMETROS!$L$8),0)</f>
        <v>648048</v>
      </c>
      <c r="Y49" s="122">
        <f t="shared" si="14"/>
        <v>2.3883141897E-3</v>
      </c>
      <c r="Z49" s="117">
        <f t="shared" si="15"/>
        <v>4.7766283789999999E-4</v>
      </c>
      <c r="AA49" s="96">
        <f t="shared" si="16"/>
        <v>9.7663067766500002E-3</v>
      </c>
      <c r="AB49" s="31">
        <f>ROUND(AA49*PARAMETROS!$H$24,0)</f>
        <v>1676069153</v>
      </c>
      <c r="AC49" s="31">
        <f t="shared" si="17"/>
        <v>1676069153</v>
      </c>
      <c r="AD49" s="31">
        <f t="shared" si="18"/>
        <v>419017288</v>
      </c>
      <c r="AE49" s="31">
        <f t="shared" ref="AE49:AF68" si="22">+AD49</f>
        <v>419017288</v>
      </c>
      <c r="AF49" s="31">
        <f t="shared" si="22"/>
        <v>419017288</v>
      </c>
      <c r="AG49" s="31">
        <f t="shared" si="20"/>
        <v>419017289</v>
      </c>
    </row>
    <row r="50" spans="1:33" ht="3" customHeight="1" x14ac:dyDescent="0.25">
      <c r="A50">
        <v>5102</v>
      </c>
      <c r="B50">
        <v>5305</v>
      </c>
      <c r="C50" t="s">
        <v>97</v>
      </c>
      <c r="D50" s="31">
        <f>+DATA!O46</f>
        <v>10311948</v>
      </c>
      <c r="E50" s="31">
        <f>+DATA!T46</f>
        <v>2885187.841</v>
      </c>
      <c r="F50" s="38">
        <f t="shared" si="1"/>
        <v>13197135.841</v>
      </c>
      <c r="G50" s="112">
        <f t="shared" si="2"/>
        <v>0.68400000000000005</v>
      </c>
      <c r="H50" s="95">
        <f t="shared" si="3"/>
        <v>0.21859999999999999</v>
      </c>
      <c r="I50" s="6" t="str">
        <f t="shared" si="4"/>
        <v>SI</v>
      </c>
      <c r="J50" s="117">
        <f t="shared" si="5"/>
        <v>3.3112582781000001E-3</v>
      </c>
      <c r="K50" s="117">
        <f t="shared" si="6"/>
        <v>1.6556291390500001E-3</v>
      </c>
      <c r="L50" s="31">
        <f>IF(I50="SI",VLOOKUP(A50,DATA!$A$4:$D$350,4,0),0)</f>
        <v>30543</v>
      </c>
      <c r="M50" s="95">
        <f>IF(I50="SI",VLOOKUP(A50,DATA!$A$4:$E$350,5,0),0)</f>
        <v>8.220609441285881E-2</v>
      </c>
      <c r="N50" s="31">
        <f t="shared" si="7"/>
        <v>2511</v>
      </c>
      <c r="O50" s="117">
        <f t="shared" si="8"/>
        <v>3.0401171977000002E-3</v>
      </c>
      <c r="P50" s="117">
        <f t="shared" si="9"/>
        <v>3.0401171980000001E-4</v>
      </c>
      <c r="Q50" s="31">
        <f>IF(I50="SI",VLOOKUP(A50,DATA!$A$4:$G$350,7,0),0)</f>
        <v>8135</v>
      </c>
      <c r="R50" s="31">
        <f>IF(I50="SI",VLOOKUP(A50,DATA!$A$4:$H$350,8,0),0)</f>
        <v>16055</v>
      </c>
      <c r="S50" s="117">
        <f t="shared" si="10"/>
        <v>1.2029335777E-3</v>
      </c>
      <c r="T50" s="117">
        <f t="shared" si="11"/>
        <v>1.573757701257443E-3</v>
      </c>
      <c r="U50" s="117">
        <f t="shared" si="12"/>
        <v>3.1475154029999999E-4</v>
      </c>
      <c r="V50" s="31">
        <f>IF(I50="SI",VLOOKUP(A50,COEF_FCM!$A$8:$X$354,24,0),0)</f>
        <v>10311948</v>
      </c>
      <c r="W50" s="121">
        <f t="shared" si="13"/>
        <v>337.62</v>
      </c>
      <c r="X50" s="31">
        <f>IF(AND(W50&gt;0,W50&lt;$W$7),ROUND(($W$7-W50)*L50,PARAMETROS!$L$8),0)</f>
        <v>0</v>
      </c>
      <c r="Y50" s="122">
        <f t="shared" si="14"/>
        <v>0</v>
      </c>
      <c r="Z50" s="117">
        <f t="shared" si="15"/>
        <v>0</v>
      </c>
      <c r="AA50" s="96">
        <f t="shared" si="16"/>
        <v>2.27439239915E-3</v>
      </c>
      <c r="AB50" s="31">
        <f>ROUND(AA50*PARAMETROS!$H$24,0)</f>
        <v>390325538</v>
      </c>
      <c r="AC50" s="31">
        <f t="shared" si="17"/>
        <v>390325538</v>
      </c>
      <c r="AD50" s="31">
        <f t="shared" si="18"/>
        <v>97581385</v>
      </c>
      <c r="AE50" s="31">
        <f t="shared" si="22"/>
        <v>97581385</v>
      </c>
      <c r="AF50" s="31">
        <f t="shared" si="22"/>
        <v>97581385</v>
      </c>
      <c r="AG50" s="31">
        <f t="shared" si="20"/>
        <v>97581383</v>
      </c>
    </row>
    <row r="51" spans="1:33" ht="3" customHeight="1" x14ac:dyDescent="0.25">
      <c r="A51">
        <v>5103</v>
      </c>
      <c r="B51">
        <v>5309</v>
      </c>
      <c r="C51" t="s">
        <v>379</v>
      </c>
      <c r="D51" s="31">
        <f>+DATA!O47</f>
        <v>14491259</v>
      </c>
      <c r="E51" s="31">
        <f>+DATA!T47</f>
        <v>2550551.7149999999</v>
      </c>
      <c r="F51" s="38">
        <f t="shared" si="1"/>
        <v>17041810.715</v>
      </c>
      <c r="G51" s="112">
        <f t="shared" si="2"/>
        <v>0.747</v>
      </c>
      <c r="H51" s="95">
        <f t="shared" si="3"/>
        <v>0.1497</v>
      </c>
      <c r="I51" s="6" t="str">
        <f t="shared" si="4"/>
        <v>SI</v>
      </c>
      <c r="J51" s="117">
        <f t="shared" si="5"/>
        <v>3.3112582781000001E-3</v>
      </c>
      <c r="K51" s="117">
        <f t="shared" si="6"/>
        <v>1.6556291390500001E-3</v>
      </c>
      <c r="L51" s="31">
        <f>IF(I51="SI",VLOOKUP(A51,DATA!$A$4:$D$350,4,0),0)</f>
        <v>48171</v>
      </c>
      <c r="M51" s="95">
        <f>IF(I51="SI",VLOOKUP(A51,DATA!$A$4:$E$350,5,0),0)</f>
        <v>2.717759424605647E-2</v>
      </c>
      <c r="N51" s="31">
        <f t="shared" si="7"/>
        <v>1309</v>
      </c>
      <c r="O51" s="117">
        <f t="shared" si="8"/>
        <v>1.5848321033999999E-3</v>
      </c>
      <c r="P51" s="117">
        <f t="shared" si="9"/>
        <v>1.584832103E-4</v>
      </c>
      <c r="Q51" s="31">
        <f>IF(I51="SI",VLOOKUP(A51,DATA!$A$4:$G$350,7,0),0)</f>
        <v>8196</v>
      </c>
      <c r="R51" s="31">
        <f>IF(I51="SI",VLOOKUP(A51,DATA!$A$4:$H$350,8,0),0)</f>
        <v>48006</v>
      </c>
      <c r="S51" s="117">
        <f t="shared" si="10"/>
        <v>4.0836190540000002E-4</v>
      </c>
      <c r="T51" s="117">
        <f t="shared" si="11"/>
        <v>5.3424620065239156E-4</v>
      </c>
      <c r="U51" s="117">
        <f t="shared" si="12"/>
        <v>1.068492401E-4</v>
      </c>
      <c r="V51" s="31">
        <f>IF(I51="SI",VLOOKUP(A51,COEF_FCM!$A$8:$X$354,24,0),0)</f>
        <v>14491259</v>
      </c>
      <c r="W51" s="121">
        <f t="shared" si="13"/>
        <v>300.83</v>
      </c>
      <c r="X51" s="31">
        <f>IF(AND(W51&gt;0,W51&lt;$W$7),ROUND(($W$7-W51)*L51,PARAMETROS!$L$8),0)</f>
        <v>0</v>
      </c>
      <c r="Y51" s="122">
        <f t="shared" si="14"/>
        <v>0</v>
      </c>
      <c r="Z51" s="117">
        <f t="shared" si="15"/>
        <v>0</v>
      </c>
      <c r="AA51" s="96">
        <f t="shared" si="16"/>
        <v>1.92096158945E-3</v>
      </c>
      <c r="AB51" s="31">
        <f>ROUND(AA51*PARAMETROS!$H$24,0)</f>
        <v>329670626</v>
      </c>
      <c r="AC51" s="31">
        <f t="shared" si="17"/>
        <v>329670626</v>
      </c>
      <c r="AD51" s="31">
        <f t="shared" si="18"/>
        <v>82417657</v>
      </c>
      <c r="AE51" s="31">
        <f t="shared" si="22"/>
        <v>82417657</v>
      </c>
      <c r="AF51" s="31">
        <f t="shared" si="22"/>
        <v>82417657</v>
      </c>
      <c r="AG51" s="31">
        <f t="shared" si="20"/>
        <v>82417655</v>
      </c>
    </row>
    <row r="52" spans="1:33" ht="3" customHeight="1" x14ac:dyDescent="0.25">
      <c r="A52">
        <v>5104</v>
      </c>
      <c r="B52">
        <v>5308</v>
      </c>
      <c r="C52" t="s">
        <v>380</v>
      </c>
      <c r="D52" s="31">
        <f>+DATA!O48</f>
        <v>147969</v>
      </c>
      <c r="E52" s="31">
        <f>+DATA!T48</f>
        <v>2064978.899</v>
      </c>
      <c r="F52" s="38">
        <f t="shared" si="1"/>
        <v>2212947.8990000002</v>
      </c>
      <c r="G52" s="112">
        <f t="shared" si="2"/>
        <v>1.7000000000000001E-2</v>
      </c>
      <c r="H52" s="95">
        <f t="shared" si="3"/>
        <v>0.93310000000000004</v>
      </c>
      <c r="I52" s="6" t="str">
        <f t="shared" si="4"/>
        <v>SI</v>
      </c>
      <c r="J52" s="117">
        <f t="shared" si="5"/>
        <v>3.3112582781000001E-3</v>
      </c>
      <c r="K52" s="117">
        <f t="shared" si="6"/>
        <v>1.6556291390500001E-3</v>
      </c>
      <c r="L52" s="31">
        <f>IF(I52="SI",VLOOKUP(A52,DATA!$A$4:$D$350,4,0),0)</f>
        <v>1104</v>
      </c>
      <c r="M52" s="95">
        <f>IF(I52="SI",VLOOKUP(A52,DATA!$A$4:$E$350,5,0),0)</f>
        <v>2.468741376426857E-2</v>
      </c>
      <c r="N52" s="31">
        <f t="shared" si="7"/>
        <v>27</v>
      </c>
      <c r="O52" s="117">
        <f t="shared" si="8"/>
        <v>3.2689432200000003E-5</v>
      </c>
      <c r="P52" s="117">
        <f t="shared" si="9"/>
        <v>3.2689432000000002E-6</v>
      </c>
      <c r="Q52" s="31">
        <f>IF(I52="SI",VLOOKUP(A52,DATA!$A$4:$G$350,7,0),0)</f>
        <v>380</v>
      </c>
      <c r="R52" s="31">
        <f>IF(I52="SI",VLOOKUP(A52,DATA!$A$4:$H$350,8,0),0)</f>
        <v>464</v>
      </c>
      <c r="S52" s="117">
        <f t="shared" si="10"/>
        <v>9.0820953199999998E-5</v>
      </c>
      <c r="T52" s="117">
        <f t="shared" si="11"/>
        <v>1.188180105565955E-4</v>
      </c>
      <c r="U52" s="117">
        <f t="shared" si="12"/>
        <v>2.3763602100000001E-5</v>
      </c>
      <c r="V52" s="31">
        <f>IF(I52="SI",VLOOKUP(A52,COEF_FCM!$A$8:$X$354,24,0),0)</f>
        <v>147969</v>
      </c>
      <c r="W52" s="121">
        <f t="shared" si="13"/>
        <v>134.03</v>
      </c>
      <c r="X52" s="31">
        <f>IF(AND(W52&gt;0,W52&lt;$W$7),ROUND(($W$7-W52)*L52,PARAMETROS!$L$8),0)</f>
        <v>0</v>
      </c>
      <c r="Y52" s="122">
        <f t="shared" si="14"/>
        <v>0</v>
      </c>
      <c r="Z52" s="117">
        <f t="shared" si="15"/>
        <v>0</v>
      </c>
      <c r="AA52" s="96">
        <f t="shared" si="16"/>
        <v>1.6826616843500001E-3</v>
      </c>
      <c r="AB52" s="31">
        <f>ROUND(AA52*PARAMETROS!$H$24,0)</f>
        <v>288774192</v>
      </c>
      <c r="AC52" s="31">
        <f t="shared" si="17"/>
        <v>288774192</v>
      </c>
      <c r="AD52" s="31">
        <f t="shared" si="18"/>
        <v>72193548</v>
      </c>
      <c r="AE52" s="31">
        <f t="shared" si="22"/>
        <v>72193548</v>
      </c>
      <c r="AF52" s="31">
        <f t="shared" si="22"/>
        <v>72193548</v>
      </c>
      <c r="AG52" s="31">
        <f t="shared" si="20"/>
        <v>72193548</v>
      </c>
    </row>
    <row r="53" spans="1:33" ht="3" customHeight="1" x14ac:dyDescent="0.25">
      <c r="A53">
        <v>5105</v>
      </c>
      <c r="B53">
        <v>5307</v>
      </c>
      <c r="C53" t="s">
        <v>381</v>
      </c>
      <c r="D53" s="31">
        <f>+DATA!O49</f>
        <v>8550433</v>
      </c>
      <c r="E53" s="31">
        <f>+DATA!T49</f>
        <v>2896860.3620000002</v>
      </c>
      <c r="F53" s="38">
        <f t="shared" si="1"/>
        <v>11447293.362</v>
      </c>
      <c r="G53" s="112">
        <f t="shared" si="2"/>
        <v>0.628</v>
      </c>
      <c r="H53" s="95">
        <f t="shared" si="3"/>
        <v>0.25309999999999999</v>
      </c>
      <c r="I53" s="6" t="str">
        <f t="shared" si="4"/>
        <v>SI</v>
      </c>
      <c r="J53" s="117">
        <f t="shared" si="5"/>
        <v>3.3112582781000001E-3</v>
      </c>
      <c r="K53" s="117">
        <f t="shared" si="6"/>
        <v>1.6556291390500001E-3</v>
      </c>
      <c r="L53" s="31">
        <f>IF(I53="SI",VLOOKUP(A53,DATA!$A$4:$D$350,4,0),0)</f>
        <v>21221</v>
      </c>
      <c r="M53" s="95">
        <f>IF(I53="SI",VLOOKUP(A53,DATA!$A$4:$E$350,5,0),0)</f>
        <v>3.2935928149776E-2</v>
      </c>
      <c r="N53" s="31">
        <f t="shared" si="7"/>
        <v>699</v>
      </c>
      <c r="O53" s="117">
        <f t="shared" si="8"/>
        <v>8.4629307889999995E-4</v>
      </c>
      <c r="P53" s="117">
        <f t="shared" si="9"/>
        <v>8.4629307900000003E-5</v>
      </c>
      <c r="Q53" s="31">
        <f>IF(I53="SI",VLOOKUP(A53,DATA!$A$4:$G$350,7,0),0)</f>
        <v>9380</v>
      </c>
      <c r="R53" s="31">
        <f>IF(I53="SI",VLOOKUP(A53,DATA!$A$4:$H$350,8,0),0)</f>
        <v>22628</v>
      </c>
      <c r="S53" s="117">
        <f t="shared" si="10"/>
        <v>1.1347399619999999E-3</v>
      </c>
      <c r="T53" s="117">
        <f t="shared" si="11"/>
        <v>1.484542278333044E-3</v>
      </c>
      <c r="U53" s="117">
        <f t="shared" si="12"/>
        <v>2.969084557E-4</v>
      </c>
      <c r="V53" s="31">
        <f>IF(I53="SI",VLOOKUP(A53,COEF_FCM!$A$8:$X$354,24,0),0)</f>
        <v>8550433</v>
      </c>
      <c r="W53" s="121">
        <f t="shared" si="13"/>
        <v>402.92</v>
      </c>
      <c r="X53" s="31">
        <f>IF(AND(W53&gt;0,W53&lt;$W$7),ROUND(($W$7-W53)*L53,PARAMETROS!$L$8),0)</f>
        <v>0</v>
      </c>
      <c r="Y53" s="122">
        <f t="shared" si="14"/>
        <v>0</v>
      </c>
      <c r="Z53" s="117">
        <f t="shared" si="15"/>
        <v>0</v>
      </c>
      <c r="AA53" s="96">
        <f t="shared" si="16"/>
        <v>2.0371669026500003E-3</v>
      </c>
      <c r="AB53" s="31">
        <f>ROUND(AA53*PARAMETROS!$H$24,0)</f>
        <v>349613491</v>
      </c>
      <c r="AC53" s="31">
        <f t="shared" si="17"/>
        <v>349613491</v>
      </c>
      <c r="AD53" s="31">
        <f t="shared" si="18"/>
        <v>87403373</v>
      </c>
      <c r="AE53" s="31">
        <f t="shared" si="22"/>
        <v>87403373</v>
      </c>
      <c r="AF53" s="31">
        <f t="shared" si="22"/>
        <v>87403373</v>
      </c>
      <c r="AG53" s="31">
        <f t="shared" si="20"/>
        <v>87403372</v>
      </c>
    </row>
    <row r="54" spans="1:33" ht="3" customHeight="1" x14ac:dyDescent="0.25">
      <c r="A54">
        <v>5107</v>
      </c>
      <c r="B54">
        <v>5306</v>
      </c>
      <c r="C54" t="s">
        <v>98</v>
      </c>
      <c r="D54" s="31">
        <f>+DATA!O50</f>
        <v>4630693</v>
      </c>
      <c r="E54" s="31">
        <f>+DATA!T50</f>
        <v>17865094.568999998</v>
      </c>
      <c r="F54" s="38">
        <f t="shared" si="1"/>
        <v>22495787.568999998</v>
      </c>
      <c r="G54" s="112">
        <f t="shared" si="2"/>
        <v>0.82599999999999996</v>
      </c>
      <c r="H54" s="95">
        <f t="shared" si="3"/>
        <v>0.79420000000000002</v>
      </c>
      <c r="I54" s="6" t="str">
        <f t="shared" si="4"/>
        <v>SI</v>
      </c>
      <c r="J54" s="117">
        <f t="shared" si="5"/>
        <v>3.3112582781000001E-3</v>
      </c>
      <c r="K54" s="117">
        <f t="shared" si="6"/>
        <v>1.6556291390500001E-3</v>
      </c>
      <c r="L54" s="31">
        <f>IF(I54="SI",VLOOKUP(A54,DATA!$A$4:$D$350,4,0),0)</f>
        <v>38613</v>
      </c>
      <c r="M54" s="95">
        <f>IF(I54="SI",VLOOKUP(A54,DATA!$A$4:$E$350,5,0),0)</f>
        <v>7.7221617901614942E-2</v>
      </c>
      <c r="N54" s="31">
        <f t="shared" si="7"/>
        <v>2982</v>
      </c>
      <c r="O54" s="117">
        <f t="shared" si="8"/>
        <v>3.6103661822000001E-3</v>
      </c>
      <c r="P54" s="117">
        <f t="shared" si="9"/>
        <v>3.610366182E-4</v>
      </c>
      <c r="Q54" s="31">
        <f>IF(I54="SI",VLOOKUP(A54,DATA!$A$4:$G$350,7,0),0)</f>
        <v>12779</v>
      </c>
      <c r="R54" s="31">
        <f>IF(I54="SI",VLOOKUP(A54,DATA!$A$4:$H$350,8,0),0)</f>
        <v>20266</v>
      </c>
      <c r="S54" s="117">
        <f t="shared" si="10"/>
        <v>2.3515950908999999E-3</v>
      </c>
      <c r="T54" s="117">
        <f t="shared" si="11"/>
        <v>3.0765130786514841E-3</v>
      </c>
      <c r="U54" s="117">
        <f t="shared" si="12"/>
        <v>6.1530261569999996E-4</v>
      </c>
      <c r="V54" s="31">
        <f>IF(I54="SI",VLOOKUP(A54,COEF_FCM!$A$8:$X$354,24,0),0)</f>
        <v>4630693</v>
      </c>
      <c r="W54" s="121">
        <f t="shared" si="13"/>
        <v>119.93</v>
      </c>
      <c r="X54" s="31">
        <f>IF(AND(W54&gt;0,W54&lt;$W$7),ROUND(($W$7-W54)*L54,PARAMETROS!$L$8),0)</f>
        <v>0</v>
      </c>
      <c r="Y54" s="122">
        <f t="shared" si="14"/>
        <v>0</v>
      </c>
      <c r="Z54" s="117">
        <f t="shared" si="15"/>
        <v>0</v>
      </c>
      <c r="AA54" s="96">
        <f t="shared" si="16"/>
        <v>2.63196837295E-3</v>
      </c>
      <c r="AB54" s="31">
        <f>ROUND(AA54*PARAMETROS!$H$24,0)</f>
        <v>451691832</v>
      </c>
      <c r="AC54" s="31">
        <f t="shared" si="17"/>
        <v>451691832</v>
      </c>
      <c r="AD54" s="31">
        <f t="shared" si="18"/>
        <v>112922958</v>
      </c>
      <c r="AE54" s="31">
        <f t="shared" si="22"/>
        <v>112922958</v>
      </c>
      <c r="AF54" s="31">
        <f t="shared" si="22"/>
        <v>112922958</v>
      </c>
      <c r="AG54" s="31">
        <f t="shared" si="20"/>
        <v>112922958</v>
      </c>
    </row>
    <row r="55" spans="1:33" ht="3" customHeight="1" x14ac:dyDescent="0.25">
      <c r="A55">
        <v>5109</v>
      </c>
      <c r="B55">
        <v>5302</v>
      </c>
      <c r="C55" t="s">
        <v>95</v>
      </c>
      <c r="D55" s="31">
        <f>+DATA!O51</f>
        <v>103483640</v>
      </c>
      <c r="E55" s="31">
        <f>+DATA!T51</f>
        <v>12721170.834000001</v>
      </c>
      <c r="F55" s="38">
        <f t="shared" si="1"/>
        <v>116204810.83400001</v>
      </c>
      <c r="G55" s="112">
        <f t="shared" si="2"/>
        <v>0.98799999999999999</v>
      </c>
      <c r="H55" s="95">
        <f t="shared" si="3"/>
        <v>0.1095</v>
      </c>
      <c r="I55" s="6" t="str">
        <f t="shared" si="4"/>
        <v>NO</v>
      </c>
      <c r="J55" s="117">
        <f t="shared" si="5"/>
        <v>0</v>
      </c>
      <c r="K55" s="117">
        <f t="shared" si="6"/>
        <v>0</v>
      </c>
      <c r="L55" s="31">
        <f>IF(I55="SI",VLOOKUP(A55,DATA!$A$4:$D$350,4,0),0)</f>
        <v>0</v>
      </c>
      <c r="M55" s="95">
        <f>IF(I55="SI",VLOOKUP(A55,DATA!$A$4:$E$350,5,0),0)</f>
        <v>0</v>
      </c>
      <c r="N55" s="31">
        <f t="shared" si="7"/>
        <v>0</v>
      </c>
      <c r="O55" s="117">
        <f t="shared" si="8"/>
        <v>0</v>
      </c>
      <c r="P55" s="117">
        <f t="shared" si="9"/>
        <v>0</v>
      </c>
      <c r="Q55" s="31">
        <f>IF(I55="SI",VLOOKUP(A55,DATA!$A$4:$G$350,7,0),0)</f>
        <v>0</v>
      </c>
      <c r="R55" s="31">
        <f>IF(I55="SI",VLOOKUP(A55,DATA!$A$4:$H$350,8,0),0)</f>
        <v>0</v>
      </c>
      <c r="S55" s="117">
        <f t="shared" si="10"/>
        <v>0</v>
      </c>
      <c r="T55" s="117">
        <f t="shared" si="11"/>
        <v>0</v>
      </c>
      <c r="U55" s="117">
        <f t="shared" si="12"/>
        <v>0</v>
      </c>
      <c r="V55" s="31">
        <f>IF(I55="SI",VLOOKUP(A55,COEF_FCM!$A$8:$X$354,24,0),0)</f>
        <v>0</v>
      </c>
      <c r="W55" s="121">
        <f t="shared" si="13"/>
        <v>0</v>
      </c>
      <c r="X55" s="31">
        <f>IF(AND(W55&gt;0,W55&lt;$W$7),ROUND(($W$7-W55)*L55,PARAMETROS!$L$8),0)</f>
        <v>0</v>
      </c>
      <c r="Y55" s="122">
        <f t="shared" si="14"/>
        <v>0</v>
      </c>
      <c r="Z55" s="117">
        <f t="shared" si="15"/>
        <v>0</v>
      </c>
      <c r="AA55" s="96">
        <f t="shared" si="16"/>
        <v>0</v>
      </c>
      <c r="AB55" s="31">
        <f>ROUND(AA55*PARAMETROS!$H$24,0)</f>
        <v>0</v>
      </c>
      <c r="AC55" s="31">
        <f t="shared" si="17"/>
        <v>0</v>
      </c>
      <c r="AD55" s="31">
        <f t="shared" si="18"/>
        <v>0</v>
      </c>
      <c r="AE55" s="31">
        <f t="shared" si="22"/>
        <v>0</v>
      </c>
      <c r="AF55" s="31">
        <f t="shared" si="22"/>
        <v>0</v>
      </c>
      <c r="AG55" s="31">
        <f t="shared" si="20"/>
        <v>0</v>
      </c>
    </row>
    <row r="56" spans="1:33" ht="3" customHeight="1" x14ac:dyDescent="0.25">
      <c r="A56">
        <v>5201</v>
      </c>
      <c r="B56">
        <v>5101</v>
      </c>
      <c r="C56" t="s">
        <v>504</v>
      </c>
      <c r="D56" s="31">
        <f>+DATA!O52</f>
        <v>202814</v>
      </c>
      <c r="E56" s="31">
        <f>+DATA!T52</f>
        <v>5723257.0060000001</v>
      </c>
      <c r="F56" s="38">
        <f t="shared" si="1"/>
        <v>5926071.0060000001</v>
      </c>
      <c r="G56" s="112">
        <f t="shared" si="2"/>
        <v>0.39700000000000002</v>
      </c>
      <c r="H56" s="95">
        <f t="shared" si="3"/>
        <v>0.96579999999999999</v>
      </c>
      <c r="I56" s="6" t="str">
        <f t="shared" si="4"/>
        <v>SI</v>
      </c>
      <c r="J56" s="117">
        <f t="shared" si="5"/>
        <v>3.3112582781000001E-3</v>
      </c>
      <c r="K56" s="117">
        <f t="shared" si="6"/>
        <v>1.6556291390500001E-3</v>
      </c>
      <c r="L56" s="31">
        <f>IF(I56="SI",VLOOKUP(A56,DATA!$A$4:$D$350,4,0),0)</f>
        <v>8872</v>
      </c>
      <c r="M56" s="95">
        <f>IF(I56="SI",VLOOKUP(A56,DATA!$A$4:$E$350,5,0),0)</f>
        <v>5.4286904186119159E-2</v>
      </c>
      <c r="N56" s="31">
        <f t="shared" si="7"/>
        <v>482</v>
      </c>
      <c r="O56" s="117">
        <f t="shared" si="8"/>
        <v>5.8356690130000001E-4</v>
      </c>
      <c r="P56" s="117">
        <f t="shared" si="9"/>
        <v>5.8356690100000001E-5</v>
      </c>
      <c r="Q56" s="31">
        <f>IF(I56="SI",VLOOKUP(A56,DATA!$A$4:$G$350,7,0),0)</f>
        <v>957</v>
      </c>
      <c r="R56" s="31">
        <f>IF(I56="SI",VLOOKUP(A56,DATA!$A$4:$H$350,8,0),0)</f>
        <v>957</v>
      </c>
      <c r="S56" s="117">
        <f t="shared" si="10"/>
        <v>2.7928575219999998E-4</v>
      </c>
      <c r="T56" s="117">
        <f t="shared" si="11"/>
        <v>3.6538019349048535E-4</v>
      </c>
      <c r="U56" s="117">
        <f t="shared" si="12"/>
        <v>7.3076038699999995E-5</v>
      </c>
      <c r="V56" s="31">
        <f>IF(I56="SI",VLOOKUP(A56,COEF_FCM!$A$8:$X$354,24,0),0)</f>
        <v>202814</v>
      </c>
      <c r="W56" s="121">
        <f t="shared" si="13"/>
        <v>22.86</v>
      </c>
      <c r="X56" s="31">
        <f>IF(AND(W56&gt;0,W56&lt;$W$7),ROUND(($W$7-W56)*L56,PARAMETROS!$L$8),0)</f>
        <v>745248</v>
      </c>
      <c r="Y56" s="122">
        <f t="shared" si="14"/>
        <v>2.7465347833000001E-3</v>
      </c>
      <c r="Z56" s="117">
        <f t="shared" si="15"/>
        <v>5.4930695669999998E-4</v>
      </c>
      <c r="AA56" s="96">
        <f t="shared" si="16"/>
        <v>2.33636882455E-3</v>
      </c>
      <c r="AB56" s="31">
        <f>ROUND(AA56*PARAMETROS!$H$24,0)</f>
        <v>400961777</v>
      </c>
      <c r="AC56" s="31">
        <f t="shared" si="17"/>
        <v>400961777</v>
      </c>
      <c r="AD56" s="31">
        <f t="shared" si="18"/>
        <v>100240444</v>
      </c>
      <c r="AE56" s="31">
        <f t="shared" si="22"/>
        <v>100240444</v>
      </c>
      <c r="AF56" s="31">
        <f t="shared" si="22"/>
        <v>100240444</v>
      </c>
      <c r="AG56" s="31">
        <f t="shared" si="20"/>
        <v>100240445</v>
      </c>
    </row>
    <row r="57" spans="1:33" ht="3" customHeight="1" x14ac:dyDescent="0.25">
      <c r="A57">
        <v>5301</v>
      </c>
      <c r="B57">
        <v>5701</v>
      </c>
      <c r="C57" t="s">
        <v>115</v>
      </c>
      <c r="D57" s="31">
        <f>+DATA!O53</f>
        <v>6943810</v>
      </c>
      <c r="E57" s="31">
        <f>+DATA!T53</f>
        <v>9901823.5739999991</v>
      </c>
      <c r="F57" s="38">
        <f t="shared" si="1"/>
        <v>16845633.574000001</v>
      </c>
      <c r="G57" s="112">
        <f t="shared" si="2"/>
        <v>0.74199999999999999</v>
      </c>
      <c r="H57" s="95">
        <f t="shared" si="3"/>
        <v>0.58779999999999999</v>
      </c>
      <c r="I57" s="6" t="str">
        <f t="shared" si="4"/>
        <v>SI</v>
      </c>
      <c r="J57" s="117">
        <f t="shared" si="5"/>
        <v>3.3112582781000001E-3</v>
      </c>
      <c r="K57" s="117">
        <f t="shared" si="6"/>
        <v>1.6556291390500001E-3</v>
      </c>
      <c r="L57" s="31">
        <f>IF(I57="SI",VLOOKUP(A57,DATA!$A$4:$D$350,4,0),0)</f>
        <v>68939</v>
      </c>
      <c r="M57" s="95">
        <f>IF(I57="SI",VLOOKUP(A57,DATA!$A$4:$E$350,5,0),0)</f>
        <v>8.1276749212604901E-2</v>
      </c>
      <c r="N57" s="31">
        <f t="shared" si="7"/>
        <v>5603</v>
      </c>
      <c r="O57" s="117">
        <f t="shared" si="8"/>
        <v>6.7836625482000004E-3</v>
      </c>
      <c r="P57" s="117">
        <f t="shared" si="9"/>
        <v>6.7836625480000002E-4</v>
      </c>
      <c r="Q57" s="31">
        <f>IF(I57="SI",VLOOKUP(A57,DATA!$A$4:$G$350,7,0),0)</f>
        <v>22510</v>
      </c>
      <c r="R57" s="31">
        <f>IF(I57="SI",VLOOKUP(A57,DATA!$A$4:$H$350,8,0),0)</f>
        <v>28150</v>
      </c>
      <c r="S57" s="117">
        <f t="shared" si="10"/>
        <v>5.2530245895000003E-3</v>
      </c>
      <c r="T57" s="117">
        <f t="shared" si="11"/>
        <v>6.8723560933653229E-3</v>
      </c>
      <c r="U57" s="117">
        <f t="shared" si="12"/>
        <v>1.3744712187000001E-3</v>
      </c>
      <c r="V57" s="31">
        <f>IF(I57="SI",VLOOKUP(A57,COEF_FCM!$A$8:$X$354,24,0),0)</f>
        <v>6943810</v>
      </c>
      <c r="W57" s="121">
        <f t="shared" si="13"/>
        <v>100.72</v>
      </c>
      <c r="X57" s="31">
        <f>IF(AND(W57&gt;0,W57&lt;$W$7),ROUND(($W$7-W57)*L57,PARAMETROS!$L$8),0)</f>
        <v>423285</v>
      </c>
      <c r="Y57" s="122">
        <f t="shared" si="14"/>
        <v>1.5599732918000001E-3</v>
      </c>
      <c r="Z57" s="117">
        <f t="shared" si="15"/>
        <v>3.119946584E-4</v>
      </c>
      <c r="AA57" s="96">
        <f t="shared" si="16"/>
        <v>4.0204612709499998E-3</v>
      </c>
      <c r="AB57" s="31">
        <f>ROUND(AA57*PARAMETROS!$H$24,0)</f>
        <v>689981512</v>
      </c>
      <c r="AC57" s="31">
        <f t="shared" si="17"/>
        <v>689981512</v>
      </c>
      <c r="AD57" s="31">
        <f t="shared" si="18"/>
        <v>172495378</v>
      </c>
      <c r="AE57" s="31">
        <f t="shared" si="22"/>
        <v>172495378</v>
      </c>
      <c r="AF57" s="31">
        <f t="shared" si="22"/>
        <v>172495378</v>
      </c>
      <c r="AG57" s="31">
        <f t="shared" si="20"/>
        <v>172495378</v>
      </c>
    </row>
    <row r="58" spans="1:33" ht="3" customHeight="1" x14ac:dyDescent="0.25">
      <c r="A58">
        <v>5302</v>
      </c>
      <c r="B58">
        <v>5702</v>
      </c>
      <c r="C58" t="s">
        <v>116</v>
      </c>
      <c r="D58" s="31">
        <f>+DATA!O54</f>
        <v>3371385</v>
      </c>
      <c r="E58" s="31">
        <f>+DATA!T54</f>
        <v>2659000.6189999999</v>
      </c>
      <c r="F58" s="38">
        <f t="shared" si="1"/>
        <v>6030385.6189999999</v>
      </c>
      <c r="G58" s="112">
        <f t="shared" si="2"/>
        <v>0.41099999999999998</v>
      </c>
      <c r="H58" s="95">
        <f t="shared" si="3"/>
        <v>0.44090000000000001</v>
      </c>
      <c r="I58" s="6" t="str">
        <f t="shared" si="4"/>
        <v>SI</v>
      </c>
      <c r="J58" s="117">
        <f t="shared" si="5"/>
        <v>3.3112582781000001E-3</v>
      </c>
      <c r="K58" s="117">
        <f t="shared" si="6"/>
        <v>1.6556291390500001E-3</v>
      </c>
      <c r="L58" s="31">
        <f>IF(I58="SI",VLOOKUP(A58,DATA!$A$4:$D$350,4,0),0)</f>
        <v>17673</v>
      </c>
      <c r="M58" s="95">
        <f>IF(I58="SI",VLOOKUP(A58,DATA!$A$4:$E$350,5,0),0)</f>
        <v>6.9963617704811215E-2</v>
      </c>
      <c r="N58" s="31">
        <f t="shared" si="7"/>
        <v>1236</v>
      </c>
      <c r="O58" s="117">
        <f t="shared" si="8"/>
        <v>1.4964495644E-3</v>
      </c>
      <c r="P58" s="117">
        <f t="shared" si="9"/>
        <v>1.4964495639999999E-4</v>
      </c>
      <c r="Q58" s="31">
        <f>IF(I58="SI",VLOOKUP(A58,DATA!$A$4:$G$350,7,0),0)</f>
        <v>4719</v>
      </c>
      <c r="R58" s="31">
        <f>IF(I58="SI",VLOOKUP(A58,DATA!$A$4:$H$350,8,0),0)</f>
        <v>6486</v>
      </c>
      <c r="S58" s="117">
        <f t="shared" si="10"/>
        <v>1.0019818466000001E-3</v>
      </c>
      <c r="T58" s="117">
        <f t="shared" si="11"/>
        <v>1.3108592833711403E-3</v>
      </c>
      <c r="U58" s="117">
        <f t="shared" si="12"/>
        <v>2.6217185670000001E-4</v>
      </c>
      <c r="V58" s="31">
        <f>IF(I58="SI",VLOOKUP(A58,COEF_FCM!$A$8:$X$354,24,0),0)</f>
        <v>3371385</v>
      </c>
      <c r="W58" s="121">
        <f t="shared" si="13"/>
        <v>190.76</v>
      </c>
      <c r="X58" s="31">
        <f>IF(AND(W58&gt;0,W58&lt;$W$7),ROUND(($W$7-W58)*L58,PARAMETROS!$L$8),0)</f>
        <v>0</v>
      </c>
      <c r="Y58" s="122">
        <f t="shared" si="14"/>
        <v>0</v>
      </c>
      <c r="Z58" s="117">
        <f t="shared" si="15"/>
        <v>0</v>
      </c>
      <c r="AA58" s="96">
        <f t="shared" si="16"/>
        <v>2.0674459521500001E-3</v>
      </c>
      <c r="AB58" s="31">
        <f>ROUND(AA58*PARAMETROS!$H$24,0)</f>
        <v>354809906</v>
      </c>
      <c r="AC58" s="31">
        <f t="shared" si="17"/>
        <v>354809906</v>
      </c>
      <c r="AD58" s="31">
        <f t="shared" si="18"/>
        <v>88702477</v>
      </c>
      <c r="AE58" s="31">
        <f t="shared" si="22"/>
        <v>88702477</v>
      </c>
      <c r="AF58" s="31">
        <f t="shared" si="22"/>
        <v>88702477</v>
      </c>
      <c r="AG58" s="31">
        <f t="shared" si="20"/>
        <v>88702475</v>
      </c>
    </row>
    <row r="59" spans="1:33" ht="3" customHeight="1" x14ac:dyDescent="0.25">
      <c r="A59">
        <v>5303</v>
      </c>
      <c r="B59">
        <v>5704</v>
      </c>
      <c r="C59" t="s">
        <v>118</v>
      </c>
      <c r="D59" s="31">
        <f>+DATA!O55</f>
        <v>7181684</v>
      </c>
      <c r="E59" s="31">
        <f>+DATA!T55</f>
        <v>2331167.9649999999</v>
      </c>
      <c r="F59" s="38">
        <f t="shared" si="1"/>
        <v>9512851.9649999999</v>
      </c>
      <c r="G59" s="112">
        <f t="shared" si="2"/>
        <v>0.57299999999999995</v>
      </c>
      <c r="H59" s="95">
        <f t="shared" si="3"/>
        <v>0.24510000000000001</v>
      </c>
      <c r="I59" s="6" t="str">
        <f t="shared" si="4"/>
        <v>SI</v>
      </c>
      <c r="J59" s="117">
        <f t="shared" si="5"/>
        <v>3.3112582781000001E-3</v>
      </c>
      <c r="K59" s="117">
        <f t="shared" si="6"/>
        <v>1.6556291390500001E-3</v>
      </c>
      <c r="L59" s="31">
        <f>IF(I59="SI",VLOOKUP(A59,DATA!$A$4:$D$350,4,0),0)</f>
        <v>12030</v>
      </c>
      <c r="M59" s="95">
        <f>IF(I59="SI",VLOOKUP(A59,DATA!$A$4:$E$350,5,0),0)</f>
        <v>8.1146428114205832E-2</v>
      </c>
      <c r="N59" s="31">
        <f t="shared" si="7"/>
        <v>976</v>
      </c>
      <c r="O59" s="117">
        <f t="shared" si="8"/>
        <v>1.1816624391999999E-3</v>
      </c>
      <c r="P59" s="117">
        <f t="shared" si="9"/>
        <v>1.181662439E-4</v>
      </c>
      <c r="Q59" s="31">
        <f>IF(I59="SI",VLOOKUP(A59,DATA!$A$4:$G$350,7,0),0)</f>
        <v>3485</v>
      </c>
      <c r="R59" s="31">
        <f>IF(I59="SI",VLOOKUP(A59,DATA!$A$4:$H$350,8,0),0)</f>
        <v>5482</v>
      </c>
      <c r="S59" s="117">
        <f t="shared" si="10"/>
        <v>6.4655187660000004E-4</v>
      </c>
      <c r="T59" s="117">
        <f t="shared" si="11"/>
        <v>8.4586216057513746E-4</v>
      </c>
      <c r="U59" s="117">
        <f t="shared" si="12"/>
        <v>1.691724321E-4</v>
      </c>
      <c r="V59" s="31">
        <f>IF(I59="SI",VLOOKUP(A59,COEF_FCM!$A$8:$X$354,24,0),0)</f>
        <v>7181684</v>
      </c>
      <c r="W59" s="121">
        <f t="shared" si="13"/>
        <v>596.98</v>
      </c>
      <c r="X59" s="31">
        <f>IF(AND(W59&gt;0,W59&lt;$W$7),ROUND(($W$7-W59)*L59,PARAMETROS!$L$8),0)</f>
        <v>0</v>
      </c>
      <c r="Y59" s="122">
        <f t="shared" si="14"/>
        <v>0</v>
      </c>
      <c r="Z59" s="117">
        <f t="shared" si="15"/>
        <v>0</v>
      </c>
      <c r="AA59" s="96">
        <f t="shared" si="16"/>
        <v>1.9429678150500002E-3</v>
      </c>
      <c r="AB59" s="31">
        <f>ROUND(AA59*PARAMETROS!$H$24,0)</f>
        <v>333447279</v>
      </c>
      <c r="AC59" s="31">
        <f t="shared" si="17"/>
        <v>333447279</v>
      </c>
      <c r="AD59" s="31">
        <f t="shared" si="18"/>
        <v>83361820</v>
      </c>
      <c r="AE59" s="31">
        <f t="shared" si="22"/>
        <v>83361820</v>
      </c>
      <c r="AF59" s="31">
        <f t="shared" si="22"/>
        <v>83361820</v>
      </c>
      <c r="AG59" s="31">
        <f t="shared" si="20"/>
        <v>83361819</v>
      </c>
    </row>
    <row r="60" spans="1:33" ht="3" customHeight="1" x14ac:dyDescent="0.25">
      <c r="A60">
        <v>5304</v>
      </c>
      <c r="B60">
        <v>5703</v>
      </c>
      <c r="C60" t="s">
        <v>117</v>
      </c>
      <c r="D60" s="31">
        <f>+DATA!O56</f>
        <v>2336653</v>
      </c>
      <c r="E60" s="31">
        <f>+DATA!T56</f>
        <v>4214427.9330000002</v>
      </c>
      <c r="F60" s="38">
        <f t="shared" si="1"/>
        <v>6551080.9330000002</v>
      </c>
      <c r="G60" s="112">
        <f t="shared" si="2"/>
        <v>0.45200000000000001</v>
      </c>
      <c r="H60" s="95">
        <f t="shared" si="3"/>
        <v>0.64329999999999998</v>
      </c>
      <c r="I60" s="6" t="str">
        <f t="shared" si="4"/>
        <v>SI</v>
      </c>
      <c r="J60" s="117">
        <f t="shared" si="5"/>
        <v>3.3112582781000001E-3</v>
      </c>
      <c r="K60" s="117">
        <f t="shared" si="6"/>
        <v>1.6556291390500001E-3</v>
      </c>
      <c r="L60" s="31">
        <f>IF(I60="SI",VLOOKUP(A60,DATA!$A$4:$D$350,4,0),0)</f>
        <v>21756</v>
      </c>
      <c r="M60" s="95">
        <f>IF(I60="SI",VLOOKUP(A60,DATA!$A$4:$E$350,5,0),0)</f>
        <v>8.4727971790834508E-2</v>
      </c>
      <c r="N60" s="31">
        <f t="shared" si="7"/>
        <v>1843</v>
      </c>
      <c r="O60" s="117">
        <f t="shared" si="8"/>
        <v>2.2313564298000002E-3</v>
      </c>
      <c r="P60" s="117">
        <f t="shared" si="9"/>
        <v>2.2313564299999999E-4</v>
      </c>
      <c r="Q60" s="31">
        <f>IF(I60="SI",VLOOKUP(A60,DATA!$A$4:$G$350,7,0),0)</f>
        <v>6201</v>
      </c>
      <c r="R60" s="31">
        <f>IF(I60="SI",VLOOKUP(A60,DATA!$A$4:$H$350,8,0),0)</f>
        <v>9370</v>
      </c>
      <c r="S60" s="117">
        <f t="shared" si="10"/>
        <v>1.1976246183E-3</v>
      </c>
      <c r="T60" s="117">
        <f t="shared" si="11"/>
        <v>1.5668121675253247E-3</v>
      </c>
      <c r="U60" s="117">
        <f t="shared" si="12"/>
        <v>3.1336243349999997E-4</v>
      </c>
      <c r="V60" s="31">
        <f>IF(I60="SI",VLOOKUP(A60,COEF_FCM!$A$8:$X$354,24,0),0)</f>
        <v>2336653</v>
      </c>
      <c r="W60" s="121">
        <f t="shared" si="13"/>
        <v>107.4</v>
      </c>
      <c r="X60" s="31">
        <f>IF(AND(W60&gt;0,W60&lt;$W$7),ROUND(($W$7-W60)*L60,PARAMETROS!$L$8),0)</f>
        <v>0</v>
      </c>
      <c r="Y60" s="122">
        <f t="shared" si="14"/>
        <v>0</v>
      </c>
      <c r="Z60" s="117">
        <f t="shared" si="15"/>
        <v>0</v>
      </c>
      <c r="AA60" s="96">
        <f t="shared" si="16"/>
        <v>2.19212721555E-3</v>
      </c>
      <c r="AB60" s="31">
        <f>ROUND(AA60*PARAMETROS!$H$24,0)</f>
        <v>376207392</v>
      </c>
      <c r="AC60" s="31">
        <f t="shared" si="17"/>
        <v>376207392</v>
      </c>
      <c r="AD60" s="31">
        <f t="shared" si="18"/>
        <v>94051848</v>
      </c>
      <c r="AE60" s="31">
        <f t="shared" si="22"/>
        <v>94051848</v>
      </c>
      <c r="AF60" s="31">
        <f t="shared" si="22"/>
        <v>94051848</v>
      </c>
      <c r="AG60" s="31">
        <f t="shared" si="20"/>
        <v>94051848</v>
      </c>
    </row>
    <row r="61" spans="1:33" ht="3" customHeight="1" x14ac:dyDescent="0.25">
      <c r="A61">
        <v>5401</v>
      </c>
      <c r="B61">
        <v>5201</v>
      </c>
      <c r="C61" t="s">
        <v>90</v>
      </c>
      <c r="D61" s="31">
        <f>+DATA!O57</f>
        <v>3852324</v>
      </c>
      <c r="E61" s="31">
        <f>+DATA!T57</f>
        <v>7660051.5259999996</v>
      </c>
      <c r="F61" s="38">
        <f t="shared" si="1"/>
        <v>11512375.526000001</v>
      </c>
      <c r="G61" s="112">
        <f t="shared" si="2"/>
        <v>0.63100000000000001</v>
      </c>
      <c r="H61" s="95">
        <f t="shared" si="3"/>
        <v>0.66539999999999999</v>
      </c>
      <c r="I61" s="6" t="str">
        <f t="shared" si="4"/>
        <v>SI</v>
      </c>
      <c r="J61" s="117">
        <f t="shared" si="5"/>
        <v>3.3112582781000001E-3</v>
      </c>
      <c r="K61" s="117">
        <f t="shared" si="6"/>
        <v>1.6556291390500001E-3</v>
      </c>
      <c r="L61" s="31">
        <f>IF(I61="SI",VLOOKUP(A61,DATA!$A$4:$D$350,4,0),0)</f>
        <v>38387</v>
      </c>
      <c r="M61" s="95">
        <f>IF(I61="SI",VLOOKUP(A61,DATA!$A$4:$E$350,5,0),0)</f>
        <v>8.1752102954614297E-2</v>
      </c>
      <c r="N61" s="31">
        <f t="shared" si="7"/>
        <v>3138</v>
      </c>
      <c r="O61" s="117">
        <f t="shared" si="8"/>
        <v>3.7992384572999999E-3</v>
      </c>
      <c r="P61" s="117">
        <f t="shared" si="9"/>
        <v>3.7992384569999999E-4</v>
      </c>
      <c r="Q61" s="31">
        <f>IF(I61="SI",VLOOKUP(A61,DATA!$A$4:$G$350,7,0),0)</f>
        <v>14204</v>
      </c>
      <c r="R61" s="31">
        <f>IF(I61="SI",VLOOKUP(A61,DATA!$A$4:$H$350,8,0),0)</f>
        <v>20746</v>
      </c>
      <c r="S61" s="117">
        <f t="shared" si="10"/>
        <v>2.8380745329999999E-3</v>
      </c>
      <c r="T61" s="117">
        <f t="shared" si="11"/>
        <v>3.7129578356197967E-3</v>
      </c>
      <c r="U61" s="117">
        <f t="shared" si="12"/>
        <v>7.4259156710000001E-4</v>
      </c>
      <c r="V61" s="31">
        <f>IF(I61="SI",VLOOKUP(A61,COEF_FCM!$A$8:$X$354,24,0),0)</f>
        <v>3852324</v>
      </c>
      <c r="W61" s="121">
        <f t="shared" si="13"/>
        <v>100.35</v>
      </c>
      <c r="X61" s="31">
        <f>IF(AND(W61&gt;0,W61&lt;$W$7),ROUND(($W$7-W61)*L61,PARAMETROS!$L$8),0)</f>
        <v>249899</v>
      </c>
      <c r="Y61" s="122">
        <f t="shared" si="14"/>
        <v>9.2097703830000001E-4</v>
      </c>
      <c r="Z61" s="117">
        <f t="shared" si="15"/>
        <v>1.8419540769999999E-4</v>
      </c>
      <c r="AA61" s="96">
        <f t="shared" si="16"/>
        <v>2.9623399595500003E-3</v>
      </c>
      <c r="AB61" s="31">
        <f>ROUND(AA61*PARAMETROS!$H$24,0)</f>
        <v>508389378</v>
      </c>
      <c r="AC61" s="31">
        <f t="shared" si="17"/>
        <v>508389378</v>
      </c>
      <c r="AD61" s="31">
        <f t="shared" si="18"/>
        <v>127097345</v>
      </c>
      <c r="AE61" s="31">
        <f t="shared" si="22"/>
        <v>127097345</v>
      </c>
      <c r="AF61" s="31">
        <f t="shared" si="22"/>
        <v>127097345</v>
      </c>
      <c r="AG61" s="31">
        <f t="shared" si="20"/>
        <v>127097343</v>
      </c>
    </row>
    <row r="62" spans="1:33" ht="3" customHeight="1" x14ac:dyDescent="0.25">
      <c r="A62">
        <v>5402</v>
      </c>
      <c r="B62">
        <v>5203</v>
      </c>
      <c r="C62" t="s">
        <v>92</v>
      </c>
      <c r="D62" s="31">
        <f>+DATA!O58</f>
        <v>1762633</v>
      </c>
      <c r="E62" s="31">
        <f>+DATA!T58</f>
        <v>4208989.4560000002</v>
      </c>
      <c r="F62" s="38">
        <f t="shared" si="1"/>
        <v>5971622.4560000002</v>
      </c>
      <c r="G62" s="112">
        <f t="shared" si="2"/>
        <v>0.40500000000000003</v>
      </c>
      <c r="H62" s="95">
        <f t="shared" si="3"/>
        <v>0.70479999999999998</v>
      </c>
      <c r="I62" s="6" t="str">
        <f t="shared" si="4"/>
        <v>SI</v>
      </c>
      <c r="J62" s="117">
        <f t="shared" si="5"/>
        <v>3.3112582781000001E-3</v>
      </c>
      <c r="K62" s="117">
        <f t="shared" si="6"/>
        <v>1.6556291390500001E-3</v>
      </c>
      <c r="L62" s="31">
        <f>IF(I62="SI",VLOOKUP(A62,DATA!$A$4:$D$350,4,0),0)</f>
        <v>20757</v>
      </c>
      <c r="M62" s="95">
        <f>IF(I62="SI",VLOOKUP(A62,DATA!$A$4:$E$350,5,0),0)</f>
        <v>8.9311136082705994E-2</v>
      </c>
      <c r="N62" s="31">
        <f t="shared" si="7"/>
        <v>1854</v>
      </c>
      <c r="O62" s="117">
        <f t="shared" si="8"/>
        <v>2.2446743467000002E-3</v>
      </c>
      <c r="P62" s="117">
        <f t="shared" si="9"/>
        <v>2.2446743470000001E-4</v>
      </c>
      <c r="Q62" s="31">
        <f>IF(I62="SI",VLOOKUP(A62,DATA!$A$4:$G$350,7,0),0)</f>
        <v>6995</v>
      </c>
      <c r="R62" s="31">
        <f>IF(I62="SI",VLOOKUP(A62,DATA!$A$4:$H$350,8,0),0)</f>
        <v>8629</v>
      </c>
      <c r="S62" s="117">
        <f t="shared" si="10"/>
        <v>1.6548240028000001E-3</v>
      </c>
      <c r="T62" s="117">
        <f t="shared" si="11"/>
        <v>2.1649508060216883E-3</v>
      </c>
      <c r="U62" s="117">
        <f t="shared" si="12"/>
        <v>4.3299016119999998E-4</v>
      </c>
      <c r="V62" s="31">
        <f>IF(I62="SI",VLOOKUP(A62,COEF_FCM!$A$8:$X$354,24,0),0)</f>
        <v>1762633</v>
      </c>
      <c r="W62" s="121">
        <f t="shared" si="13"/>
        <v>84.92</v>
      </c>
      <c r="X62" s="31">
        <f>IF(AND(W62&gt;0,W62&lt;$W$7),ROUND(($W$7-W62)*L62,PARAMETROS!$L$8),0)</f>
        <v>455409</v>
      </c>
      <c r="Y62" s="122">
        <f t="shared" si="14"/>
        <v>1.6783629867E-3</v>
      </c>
      <c r="Z62" s="117">
        <f t="shared" si="15"/>
        <v>3.3567259730000001E-4</v>
      </c>
      <c r="AA62" s="96">
        <f t="shared" si="16"/>
        <v>2.6487593322499997E-3</v>
      </c>
      <c r="AB62" s="31">
        <f>ROUND(AA62*PARAMETROS!$H$24,0)</f>
        <v>454573455</v>
      </c>
      <c r="AC62" s="31">
        <f t="shared" si="17"/>
        <v>454573455</v>
      </c>
      <c r="AD62" s="31">
        <f t="shared" si="18"/>
        <v>113643364</v>
      </c>
      <c r="AE62" s="31">
        <f t="shared" si="22"/>
        <v>113643364</v>
      </c>
      <c r="AF62" s="31">
        <f t="shared" si="22"/>
        <v>113643364</v>
      </c>
      <c r="AG62" s="31">
        <f t="shared" si="20"/>
        <v>113643363</v>
      </c>
    </row>
    <row r="63" spans="1:33" ht="3" customHeight="1" x14ac:dyDescent="0.25">
      <c r="A63">
        <v>5403</v>
      </c>
      <c r="B63">
        <v>5205</v>
      </c>
      <c r="C63" t="s">
        <v>94</v>
      </c>
      <c r="D63" s="31">
        <f>+DATA!O59</f>
        <v>3904826</v>
      </c>
      <c r="E63" s="31">
        <f>+DATA!T59</f>
        <v>2035207.371</v>
      </c>
      <c r="F63" s="38">
        <f t="shared" si="1"/>
        <v>5940033.3710000003</v>
      </c>
      <c r="G63" s="112">
        <f t="shared" si="2"/>
        <v>0.4</v>
      </c>
      <c r="H63" s="95">
        <f t="shared" si="3"/>
        <v>0.34260000000000002</v>
      </c>
      <c r="I63" s="6" t="str">
        <f t="shared" si="4"/>
        <v>SI</v>
      </c>
      <c r="J63" s="117">
        <f t="shared" si="5"/>
        <v>3.3112582781000001E-3</v>
      </c>
      <c r="K63" s="117">
        <f t="shared" si="6"/>
        <v>1.6556291390500001E-3</v>
      </c>
      <c r="L63" s="31">
        <f>IF(I63="SI",VLOOKUP(A63,DATA!$A$4:$D$350,4,0),0)</f>
        <v>6438</v>
      </c>
      <c r="M63" s="95">
        <f>IF(I63="SI",VLOOKUP(A63,DATA!$A$4:$E$350,5,0),0)</f>
        <v>7.2538349124714088E-2</v>
      </c>
      <c r="N63" s="31">
        <f t="shared" si="7"/>
        <v>467</v>
      </c>
      <c r="O63" s="117">
        <f t="shared" si="8"/>
        <v>5.6540610570000004E-4</v>
      </c>
      <c r="P63" s="117">
        <f t="shared" si="9"/>
        <v>5.6540610600000002E-5</v>
      </c>
      <c r="Q63" s="31">
        <f>IF(I63="SI",VLOOKUP(A63,DATA!$A$4:$G$350,7,0),0)</f>
        <v>3402</v>
      </c>
      <c r="R63" s="31">
        <f>IF(I63="SI",VLOOKUP(A63,DATA!$A$4:$H$350,8,0),0)</f>
        <v>11191</v>
      </c>
      <c r="S63" s="117">
        <f t="shared" si="10"/>
        <v>3.018120434E-4</v>
      </c>
      <c r="T63" s="117">
        <f t="shared" si="11"/>
        <v>3.9485058563345777E-4</v>
      </c>
      <c r="U63" s="117">
        <f t="shared" si="12"/>
        <v>7.8970117099999996E-5</v>
      </c>
      <c r="V63" s="31">
        <f>IF(I63="SI",VLOOKUP(A63,COEF_FCM!$A$8:$X$354,24,0),0)</f>
        <v>3904826</v>
      </c>
      <c r="W63" s="121">
        <f t="shared" si="13"/>
        <v>606.53</v>
      </c>
      <c r="X63" s="31">
        <f>IF(AND(W63&gt;0,W63&lt;$W$7),ROUND(($W$7-W63)*L63,PARAMETROS!$L$8),0)</f>
        <v>0</v>
      </c>
      <c r="Y63" s="122">
        <f t="shared" si="14"/>
        <v>0</v>
      </c>
      <c r="Z63" s="117">
        <f t="shared" si="15"/>
        <v>0</v>
      </c>
      <c r="AA63" s="96">
        <f t="shared" si="16"/>
        <v>1.7911398667500001E-3</v>
      </c>
      <c r="AB63" s="31">
        <f>ROUND(AA63*PARAMETROS!$H$24,0)</f>
        <v>307390946</v>
      </c>
      <c r="AC63" s="31">
        <f t="shared" si="17"/>
        <v>307390946</v>
      </c>
      <c r="AD63" s="31">
        <f t="shared" si="18"/>
        <v>76847737</v>
      </c>
      <c r="AE63" s="31">
        <f t="shared" si="22"/>
        <v>76847737</v>
      </c>
      <c r="AF63" s="31">
        <f t="shared" si="22"/>
        <v>76847737</v>
      </c>
      <c r="AG63" s="31">
        <f t="shared" si="20"/>
        <v>76847735</v>
      </c>
    </row>
    <row r="64" spans="1:33" ht="3" customHeight="1" x14ac:dyDescent="0.25">
      <c r="A64">
        <v>5404</v>
      </c>
      <c r="B64">
        <v>5202</v>
      </c>
      <c r="C64" t="s">
        <v>91</v>
      </c>
      <c r="D64" s="31">
        <f>+DATA!O60</f>
        <v>1732312</v>
      </c>
      <c r="E64" s="31">
        <f>+DATA!T60</f>
        <v>2857616.4330000002</v>
      </c>
      <c r="F64" s="38">
        <f t="shared" si="1"/>
        <v>4589928.4330000002</v>
      </c>
      <c r="G64" s="112">
        <f t="shared" si="2"/>
        <v>0.23100000000000001</v>
      </c>
      <c r="H64" s="95">
        <f t="shared" si="3"/>
        <v>0.62260000000000004</v>
      </c>
      <c r="I64" s="6" t="str">
        <f t="shared" si="4"/>
        <v>SI</v>
      </c>
      <c r="J64" s="117">
        <f t="shared" si="5"/>
        <v>3.3112582781000001E-3</v>
      </c>
      <c r="K64" s="117">
        <f t="shared" si="6"/>
        <v>1.6556291390500001E-3</v>
      </c>
      <c r="L64" s="31">
        <f>IF(I64="SI",VLOOKUP(A64,DATA!$A$4:$D$350,4,0),0)</f>
        <v>10633</v>
      </c>
      <c r="M64" s="95">
        <f>IF(I64="SI",VLOOKUP(A64,DATA!$A$4:$E$350,5,0),0)</f>
        <v>4.5377290448041709E-2</v>
      </c>
      <c r="N64" s="31">
        <f t="shared" si="7"/>
        <v>482</v>
      </c>
      <c r="O64" s="117">
        <f t="shared" si="8"/>
        <v>5.8356690130000001E-4</v>
      </c>
      <c r="P64" s="117">
        <f t="shared" si="9"/>
        <v>5.8356690100000001E-5</v>
      </c>
      <c r="Q64" s="31">
        <f>IF(I64="SI",VLOOKUP(A64,DATA!$A$4:$G$350,7,0),0)</f>
        <v>5228</v>
      </c>
      <c r="R64" s="31">
        <f>IF(I64="SI",VLOOKUP(A64,DATA!$A$4:$H$350,8,0),0)</f>
        <v>6013</v>
      </c>
      <c r="S64" s="117">
        <f t="shared" si="10"/>
        <v>1.326529147E-3</v>
      </c>
      <c r="T64" s="117">
        <f t="shared" si="11"/>
        <v>1.7354536441033261E-3</v>
      </c>
      <c r="U64" s="117">
        <f t="shared" si="12"/>
        <v>3.4709072879999999E-4</v>
      </c>
      <c r="V64" s="31">
        <f>IF(I64="SI",VLOOKUP(A64,COEF_FCM!$A$8:$X$354,24,0),0)</f>
        <v>1732312</v>
      </c>
      <c r="W64" s="121">
        <f t="shared" si="13"/>
        <v>162.91999999999999</v>
      </c>
      <c r="X64" s="31">
        <f>IF(AND(W64&gt;0,W64&lt;$W$7),ROUND(($W$7-W64)*L64,PARAMETROS!$L$8),0)</f>
        <v>0</v>
      </c>
      <c r="Y64" s="122">
        <f t="shared" si="14"/>
        <v>0</v>
      </c>
      <c r="Z64" s="117">
        <f t="shared" si="15"/>
        <v>0</v>
      </c>
      <c r="AA64" s="96">
        <f t="shared" si="16"/>
        <v>2.0610765579500002E-3</v>
      </c>
      <c r="AB64" s="31">
        <f>ROUND(AA64*PARAMETROS!$H$24,0)</f>
        <v>353716806</v>
      </c>
      <c r="AC64" s="31">
        <f t="shared" si="17"/>
        <v>353716806</v>
      </c>
      <c r="AD64" s="31">
        <f t="shared" si="18"/>
        <v>88429202</v>
      </c>
      <c r="AE64" s="31">
        <f t="shared" si="22"/>
        <v>88429202</v>
      </c>
      <c r="AF64" s="31">
        <f t="shared" si="22"/>
        <v>88429202</v>
      </c>
      <c r="AG64" s="31">
        <f t="shared" si="20"/>
        <v>88429200</v>
      </c>
    </row>
    <row r="65" spans="1:33" ht="3" customHeight="1" x14ac:dyDescent="0.25">
      <c r="A65">
        <v>5405</v>
      </c>
      <c r="B65">
        <v>5204</v>
      </c>
      <c r="C65" t="s">
        <v>93</v>
      </c>
      <c r="D65" s="31">
        <f>+DATA!O61</f>
        <v>20354468</v>
      </c>
      <c r="E65" s="31">
        <f>+DATA!T61</f>
        <v>1949449.851</v>
      </c>
      <c r="F65" s="38">
        <f t="shared" si="1"/>
        <v>22303917.851</v>
      </c>
      <c r="G65" s="112">
        <f t="shared" si="2"/>
        <v>0.82299999999999995</v>
      </c>
      <c r="H65" s="95">
        <f t="shared" si="3"/>
        <v>8.7400000000000005E-2</v>
      </c>
      <c r="I65" s="6" t="str">
        <f t="shared" si="4"/>
        <v>NO</v>
      </c>
      <c r="J65" s="117">
        <f t="shared" si="5"/>
        <v>0</v>
      </c>
      <c r="K65" s="117">
        <f t="shared" si="6"/>
        <v>0</v>
      </c>
      <c r="L65" s="31">
        <f>IF(I65="SI",VLOOKUP(A65,DATA!$A$4:$D$350,4,0),0)</f>
        <v>0</v>
      </c>
      <c r="M65" s="95">
        <f>IF(I65="SI",VLOOKUP(A65,DATA!$A$4:$E$350,5,0),0)</f>
        <v>0</v>
      </c>
      <c r="N65" s="31">
        <f t="shared" si="7"/>
        <v>0</v>
      </c>
      <c r="O65" s="117">
        <f t="shared" si="8"/>
        <v>0</v>
      </c>
      <c r="P65" s="117">
        <f t="shared" si="9"/>
        <v>0</v>
      </c>
      <c r="Q65" s="31">
        <f>IF(I65="SI",VLOOKUP(A65,DATA!$A$4:$G$350,7,0),0)</f>
        <v>0</v>
      </c>
      <c r="R65" s="31">
        <f>IF(I65="SI",VLOOKUP(A65,DATA!$A$4:$H$350,8,0),0)</f>
        <v>0</v>
      </c>
      <c r="S65" s="117">
        <f t="shared" si="10"/>
        <v>0</v>
      </c>
      <c r="T65" s="117">
        <f t="shared" si="11"/>
        <v>0</v>
      </c>
      <c r="U65" s="117">
        <f t="shared" si="12"/>
        <v>0</v>
      </c>
      <c r="V65" s="31">
        <f>IF(I65="SI",VLOOKUP(A65,COEF_FCM!$A$8:$X$354,24,0),0)</f>
        <v>0</v>
      </c>
      <c r="W65" s="121">
        <f t="shared" si="13"/>
        <v>0</v>
      </c>
      <c r="X65" s="31">
        <f>IF(AND(W65&gt;0,W65&lt;$W$7),ROUND(($W$7-W65)*L65,PARAMETROS!$L$8),0)</f>
        <v>0</v>
      </c>
      <c r="Y65" s="122">
        <f t="shared" si="14"/>
        <v>0</v>
      </c>
      <c r="Z65" s="117">
        <f t="shared" si="15"/>
        <v>0</v>
      </c>
      <c r="AA65" s="96">
        <f t="shared" si="16"/>
        <v>0</v>
      </c>
      <c r="AB65" s="31">
        <f>ROUND(AA65*PARAMETROS!$H$24,0)</f>
        <v>0</v>
      </c>
      <c r="AC65" s="31">
        <f t="shared" si="17"/>
        <v>0</v>
      </c>
      <c r="AD65" s="31">
        <f t="shared" si="18"/>
        <v>0</v>
      </c>
      <c r="AE65" s="31">
        <f t="shared" si="22"/>
        <v>0</v>
      </c>
      <c r="AF65" s="31">
        <f t="shared" si="22"/>
        <v>0</v>
      </c>
      <c r="AG65" s="31">
        <f t="shared" si="20"/>
        <v>0</v>
      </c>
    </row>
    <row r="66" spans="1:33" ht="3" customHeight="1" x14ac:dyDescent="0.25">
      <c r="A66">
        <v>5501</v>
      </c>
      <c r="B66">
        <v>5501</v>
      </c>
      <c r="C66" t="s">
        <v>105</v>
      </c>
      <c r="D66" s="31">
        <f>+DATA!O62</f>
        <v>9050435</v>
      </c>
      <c r="E66" s="31">
        <f>+DATA!T62</f>
        <v>12745271.639</v>
      </c>
      <c r="F66" s="38">
        <f t="shared" si="1"/>
        <v>21795706.638999999</v>
      </c>
      <c r="G66" s="112">
        <f t="shared" si="2"/>
        <v>0.81699999999999995</v>
      </c>
      <c r="H66" s="95">
        <f t="shared" si="3"/>
        <v>0.58479999999999999</v>
      </c>
      <c r="I66" s="6" t="str">
        <f t="shared" si="4"/>
        <v>SI</v>
      </c>
      <c r="J66" s="117">
        <f t="shared" si="5"/>
        <v>3.3112582781000001E-3</v>
      </c>
      <c r="K66" s="117">
        <f t="shared" si="6"/>
        <v>1.6556291390500001E-3</v>
      </c>
      <c r="L66" s="31">
        <f>IF(I66="SI",VLOOKUP(A66,DATA!$A$4:$D$350,4,0),0)</f>
        <v>100972</v>
      </c>
      <c r="M66" s="95">
        <f>IF(I66="SI",VLOOKUP(A66,DATA!$A$4:$E$350,5,0),0)</f>
        <v>5.2979224318787453E-2</v>
      </c>
      <c r="N66" s="31">
        <f t="shared" si="7"/>
        <v>5349</v>
      </c>
      <c r="O66" s="117">
        <f t="shared" si="8"/>
        <v>6.4761397413000002E-3</v>
      </c>
      <c r="P66" s="117">
        <f t="shared" si="9"/>
        <v>6.476139741E-4</v>
      </c>
      <c r="Q66" s="31">
        <f>IF(I66="SI",VLOOKUP(A66,DATA!$A$4:$G$350,7,0),0)</f>
        <v>33086</v>
      </c>
      <c r="R66" s="31">
        <f>IF(I66="SI",VLOOKUP(A66,DATA!$A$4:$H$350,8,0),0)</f>
        <v>40080</v>
      </c>
      <c r="S66" s="117">
        <f t="shared" si="10"/>
        <v>7.9707219756000001E-3</v>
      </c>
      <c r="T66" s="117">
        <f t="shared" si="11"/>
        <v>1.0427828540347545E-2</v>
      </c>
      <c r="U66" s="117">
        <f t="shared" si="12"/>
        <v>2.0855657080999998E-3</v>
      </c>
      <c r="V66" s="31">
        <f>IF(I66="SI",VLOOKUP(A66,COEF_FCM!$A$8:$X$354,24,0),0)</f>
        <v>9050435</v>
      </c>
      <c r="W66" s="121">
        <f t="shared" si="13"/>
        <v>89.63</v>
      </c>
      <c r="X66" s="31">
        <f>IF(AND(W66&gt;0,W66&lt;$W$7),ROUND(($W$7-W66)*L66,PARAMETROS!$L$8),0)</f>
        <v>1739748</v>
      </c>
      <c r="Y66" s="122">
        <f t="shared" si="14"/>
        <v>6.4116621530000001E-3</v>
      </c>
      <c r="Z66" s="117">
        <f t="shared" si="15"/>
        <v>1.2823324306000001E-3</v>
      </c>
      <c r="AA66" s="96">
        <f t="shared" si="16"/>
        <v>5.6711412518499994E-3</v>
      </c>
      <c r="AB66" s="31">
        <f>ROUND(AA66*PARAMETROS!$H$24,0)</f>
        <v>973267084</v>
      </c>
      <c r="AC66" s="31">
        <f t="shared" si="17"/>
        <v>973267084</v>
      </c>
      <c r="AD66" s="31">
        <f t="shared" si="18"/>
        <v>243316771</v>
      </c>
      <c r="AE66" s="31">
        <f t="shared" si="22"/>
        <v>243316771</v>
      </c>
      <c r="AF66" s="31">
        <f t="shared" si="22"/>
        <v>243316771</v>
      </c>
      <c r="AG66" s="31">
        <f t="shared" si="20"/>
        <v>243316771</v>
      </c>
    </row>
    <row r="67" spans="1:33" ht="3" customHeight="1" x14ac:dyDescent="0.25">
      <c r="A67">
        <v>5502</v>
      </c>
      <c r="B67">
        <v>5504</v>
      </c>
      <c r="C67" t="s">
        <v>108</v>
      </c>
      <c r="D67" s="31">
        <f>+DATA!O63</f>
        <v>4672987</v>
      </c>
      <c r="E67" s="31">
        <f>+DATA!T63</f>
        <v>8398283.3200000003</v>
      </c>
      <c r="F67" s="38">
        <f t="shared" si="1"/>
        <v>13071270.32</v>
      </c>
      <c r="G67" s="112">
        <f t="shared" si="2"/>
        <v>0.67500000000000004</v>
      </c>
      <c r="H67" s="95">
        <f t="shared" si="3"/>
        <v>0.64249999999999996</v>
      </c>
      <c r="I67" s="6" t="str">
        <f t="shared" si="4"/>
        <v>SI</v>
      </c>
      <c r="J67" s="117">
        <f t="shared" si="5"/>
        <v>3.3112582781000001E-3</v>
      </c>
      <c r="K67" s="117">
        <f t="shared" si="6"/>
        <v>1.6556291390500001E-3</v>
      </c>
      <c r="L67" s="31">
        <f>IF(I67="SI",VLOOKUP(A67,DATA!$A$4:$D$350,4,0),0)</f>
        <v>53902</v>
      </c>
      <c r="M67" s="95">
        <f>IF(I67="SI",VLOOKUP(A67,DATA!$A$4:$E$350,5,0),0)</f>
        <v>7.0913136234893731E-2</v>
      </c>
      <c r="N67" s="31">
        <f t="shared" si="7"/>
        <v>3822</v>
      </c>
      <c r="O67" s="117">
        <f t="shared" si="8"/>
        <v>4.6273707405000003E-3</v>
      </c>
      <c r="P67" s="117">
        <f t="shared" si="9"/>
        <v>4.6273707410000002E-4</v>
      </c>
      <c r="Q67" s="31">
        <f>IF(I67="SI",VLOOKUP(A67,DATA!$A$4:$G$350,7,0),0)</f>
        <v>16117</v>
      </c>
      <c r="R67" s="31">
        <f>IF(I67="SI",VLOOKUP(A67,DATA!$A$4:$H$350,8,0),0)</f>
        <v>18098</v>
      </c>
      <c r="S67" s="117">
        <f t="shared" si="10"/>
        <v>4.1886557701999996E-3</v>
      </c>
      <c r="T67" s="117">
        <f t="shared" si="11"/>
        <v>5.4798780235833094E-3</v>
      </c>
      <c r="U67" s="117">
        <f t="shared" si="12"/>
        <v>1.0959756047E-3</v>
      </c>
      <c r="V67" s="31">
        <f>IF(I67="SI",VLOOKUP(A67,COEF_FCM!$A$8:$X$354,24,0),0)</f>
        <v>4672987</v>
      </c>
      <c r="W67" s="121">
        <f t="shared" si="13"/>
        <v>86.69</v>
      </c>
      <c r="X67" s="31">
        <f>IF(AND(W67&gt;0,W67&lt;$W$7),ROUND(($W$7-W67)*L67,PARAMETROS!$L$8),0)</f>
        <v>1087203</v>
      </c>
      <c r="Y67" s="122">
        <f t="shared" si="14"/>
        <v>4.0067747326999999E-3</v>
      </c>
      <c r="Z67" s="117">
        <f t="shared" si="15"/>
        <v>8.0135494650000001E-4</v>
      </c>
      <c r="AA67" s="96">
        <f t="shared" si="16"/>
        <v>4.01569676435E-3</v>
      </c>
      <c r="AB67" s="31">
        <f>ROUND(AA67*PARAMETROS!$H$24,0)</f>
        <v>689163839</v>
      </c>
      <c r="AC67" s="31">
        <f t="shared" si="17"/>
        <v>689163839</v>
      </c>
      <c r="AD67" s="31">
        <f t="shared" si="18"/>
        <v>172290960</v>
      </c>
      <c r="AE67" s="31">
        <f t="shared" si="22"/>
        <v>172290960</v>
      </c>
      <c r="AF67" s="31">
        <f t="shared" si="22"/>
        <v>172290960</v>
      </c>
      <c r="AG67" s="31">
        <f t="shared" si="20"/>
        <v>172290959</v>
      </c>
    </row>
    <row r="68" spans="1:33" ht="3" customHeight="1" x14ac:dyDescent="0.25">
      <c r="A68">
        <v>5503</v>
      </c>
      <c r="B68">
        <v>5503</v>
      </c>
      <c r="C68" t="s">
        <v>107</v>
      </c>
      <c r="D68" s="31">
        <f>+DATA!O64</f>
        <v>2558619</v>
      </c>
      <c r="E68" s="31">
        <f>+DATA!T64</f>
        <v>3519412.713</v>
      </c>
      <c r="F68" s="38">
        <f t="shared" si="1"/>
        <v>6078031.7129999995</v>
      </c>
      <c r="G68" s="112">
        <f t="shared" si="2"/>
        <v>0.41399999999999998</v>
      </c>
      <c r="H68" s="95">
        <f t="shared" si="3"/>
        <v>0.57899999999999996</v>
      </c>
      <c r="I68" s="6" t="str">
        <f t="shared" si="4"/>
        <v>SI</v>
      </c>
      <c r="J68" s="117">
        <f t="shared" si="5"/>
        <v>3.3112582781000001E-3</v>
      </c>
      <c r="K68" s="117">
        <f t="shared" si="6"/>
        <v>1.6556291390500001E-3</v>
      </c>
      <c r="L68" s="31">
        <f>IF(I68="SI",VLOOKUP(A68,DATA!$A$4:$D$350,4,0),0)</f>
        <v>19464</v>
      </c>
      <c r="M68" s="95">
        <f>IF(I68="SI",VLOOKUP(A68,DATA!$A$4:$E$350,5,0),0)</f>
        <v>9.0847737238025292E-2</v>
      </c>
      <c r="N68" s="31">
        <f t="shared" si="7"/>
        <v>1768</v>
      </c>
      <c r="O68" s="117">
        <f t="shared" si="8"/>
        <v>2.1405524513999998E-3</v>
      </c>
      <c r="P68" s="117">
        <f t="shared" si="9"/>
        <v>2.140552451E-4</v>
      </c>
      <c r="Q68" s="31">
        <f>IF(I68="SI",VLOOKUP(A68,DATA!$A$4:$G$350,7,0),0)</f>
        <v>5438</v>
      </c>
      <c r="R68" s="31">
        <f>IF(I68="SI",VLOOKUP(A68,DATA!$A$4:$H$350,8,0),0)</f>
        <v>7917</v>
      </c>
      <c r="S68" s="117">
        <f t="shared" si="10"/>
        <v>1.0900705445999999E-3</v>
      </c>
      <c r="T68" s="117">
        <f t="shared" si="11"/>
        <v>1.4261027759805169E-3</v>
      </c>
      <c r="U68" s="117">
        <f t="shared" si="12"/>
        <v>2.852205552E-4</v>
      </c>
      <c r="V68" s="31">
        <f>IF(I68="SI",VLOOKUP(A68,COEF_FCM!$A$8:$X$354,24,0),0)</f>
        <v>2558619</v>
      </c>
      <c r="W68" s="121">
        <f t="shared" si="13"/>
        <v>131.44999999999999</v>
      </c>
      <c r="X68" s="31">
        <f>IF(AND(W68&gt;0,W68&lt;$W$7),ROUND(($W$7-W68)*L68,PARAMETROS!$L$8),0)</f>
        <v>0</v>
      </c>
      <c r="Y68" s="122">
        <f t="shared" si="14"/>
        <v>0</v>
      </c>
      <c r="Z68" s="117">
        <f t="shared" si="15"/>
        <v>0</v>
      </c>
      <c r="AA68" s="96">
        <f t="shared" si="16"/>
        <v>2.1549049393500001E-3</v>
      </c>
      <c r="AB68" s="31">
        <f>ROUND(AA68*PARAMETROS!$H$24,0)</f>
        <v>369819398</v>
      </c>
      <c r="AC68" s="31">
        <f t="shared" si="17"/>
        <v>369819398</v>
      </c>
      <c r="AD68" s="31">
        <f t="shared" si="18"/>
        <v>92454850</v>
      </c>
      <c r="AE68" s="31">
        <f t="shared" si="22"/>
        <v>92454850</v>
      </c>
      <c r="AF68" s="31">
        <f t="shared" si="22"/>
        <v>92454850</v>
      </c>
      <c r="AG68" s="31">
        <f t="shared" si="20"/>
        <v>92454848</v>
      </c>
    </row>
    <row r="69" spans="1:33" ht="3" customHeight="1" x14ac:dyDescent="0.25">
      <c r="A69">
        <v>5504</v>
      </c>
      <c r="B69">
        <v>5505</v>
      </c>
      <c r="C69" t="s">
        <v>109</v>
      </c>
      <c r="D69" s="31">
        <f>+DATA!O65</f>
        <v>2735857</v>
      </c>
      <c r="E69" s="31">
        <f>+DATA!T65</f>
        <v>3652236.497</v>
      </c>
      <c r="F69" s="38">
        <f t="shared" si="1"/>
        <v>6388093.4969999995</v>
      </c>
      <c r="G69" s="112">
        <f t="shared" si="2"/>
        <v>0.437</v>
      </c>
      <c r="H69" s="95">
        <f t="shared" si="3"/>
        <v>0.57169999999999999</v>
      </c>
      <c r="I69" s="6" t="str">
        <f t="shared" si="4"/>
        <v>SI</v>
      </c>
      <c r="J69" s="117">
        <f t="shared" si="5"/>
        <v>3.3112582781000001E-3</v>
      </c>
      <c r="K69" s="117">
        <f t="shared" si="6"/>
        <v>1.6556291390500001E-3</v>
      </c>
      <c r="L69" s="31">
        <f>IF(I69="SI",VLOOKUP(A69,DATA!$A$4:$D$350,4,0),0)</f>
        <v>27898</v>
      </c>
      <c r="M69" s="95">
        <f>IF(I69="SI",VLOOKUP(A69,DATA!$A$4:$E$350,5,0),0)</f>
        <v>3.1732843225444569E-2</v>
      </c>
      <c r="N69" s="31">
        <f t="shared" si="7"/>
        <v>885</v>
      </c>
      <c r="O69" s="117">
        <f t="shared" si="8"/>
        <v>1.0714869454E-3</v>
      </c>
      <c r="P69" s="117">
        <f t="shared" si="9"/>
        <v>1.071486945E-4</v>
      </c>
      <c r="Q69" s="31">
        <f>IF(I69="SI",VLOOKUP(A69,DATA!$A$4:$G$350,7,0),0)</f>
        <v>7050</v>
      </c>
      <c r="R69" s="31">
        <f>IF(I69="SI",VLOOKUP(A69,DATA!$A$4:$H$350,8,0),0)</f>
        <v>9691</v>
      </c>
      <c r="S69" s="117">
        <f t="shared" si="10"/>
        <v>1.4967404071000001E-3</v>
      </c>
      <c r="T69" s="117">
        <f t="shared" si="11"/>
        <v>1.9581353335905187E-3</v>
      </c>
      <c r="U69" s="117">
        <f t="shared" si="12"/>
        <v>3.9162706669999998E-4</v>
      </c>
      <c r="V69" s="31">
        <f>IF(I69="SI",VLOOKUP(A69,COEF_FCM!$A$8:$X$354,24,0),0)</f>
        <v>2735857</v>
      </c>
      <c r="W69" s="121">
        <f t="shared" si="13"/>
        <v>98.07</v>
      </c>
      <c r="X69" s="31">
        <f>IF(AND(W69&gt;0,W69&lt;$W$7),ROUND(($W$7-W69)*L69,PARAMETROS!$L$8),0)</f>
        <v>245223</v>
      </c>
      <c r="Y69" s="122">
        <f t="shared" si="14"/>
        <v>9.0374412159999998E-4</v>
      </c>
      <c r="Z69" s="117">
        <f t="shared" si="15"/>
        <v>1.807488243E-4</v>
      </c>
      <c r="AA69" s="96">
        <f t="shared" si="16"/>
        <v>2.3351537245499998E-3</v>
      </c>
      <c r="AB69" s="31">
        <f>ROUND(AA69*PARAMETROS!$H$24,0)</f>
        <v>400753244</v>
      </c>
      <c r="AC69" s="31">
        <f t="shared" si="17"/>
        <v>400753244</v>
      </c>
      <c r="AD69" s="31">
        <f t="shared" si="18"/>
        <v>100188311</v>
      </c>
      <c r="AE69" s="31">
        <f t="shared" ref="AE69:AF88" si="23">+AD69</f>
        <v>100188311</v>
      </c>
      <c r="AF69" s="31">
        <f t="shared" si="23"/>
        <v>100188311</v>
      </c>
      <c r="AG69" s="31">
        <f t="shared" si="20"/>
        <v>100188311</v>
      </c>
    </row>
    <row r="70" spans="1:33" ht="3" customHeight="1" x14ac:dyDescent="0.25">
      <c r="A70">
        <v>5506</v>
      </c>
      <c r="B70">
        <v>5502</v>
      </c>
      <c r="C70" t="s">
        <v>106</v>
      </c>
      <c r="D70" s="31">
        <f>+DATA!O66</f>
        <v>2382743</v>
      </c>
      <c r="E70" s="31">
        <f>+DATA!T66</f>
        <v>3960110.0520000001</v>
      </c>
      <c r="F70" s="38">
        <f t="shared" si="1"/>
        <v>6342853.0520000001</v>
      </c>
      <c r="G70" s="112">
        <f t="shared" si="2"/>
        <v>0.43099999999999999</v>
      </c>
      <c r="H70" s="95">
        <f t="shared" si="3"/>
        <v>0.62429999999999997</v>
      </c>
      <c r="I70" s="6" t="str">
        <f t="shared" si="4"/>
        <v>SI</v>
      </c>
      <c r="J70" s="117">
        <f t="shared" si="5"/>
        <v>3.3112582781000001E-3</v>
      </c>
      <c r="K70" s="117">
        <f t="shared" si="6"/>
        <v>1.6556291390500001E-3</v>
      </c>
      <c r="L70" s="31">
        <f>IF(I70="SI",VLOOKUP(A70,DATA!$A$4:$D$350,4,0),0)</f>
        <v>23645</v>
      </c>
      <c r="M70" s="95">
        <f>IF(I70="SI",VLOOKUP(A70,DATA!$A$4:$E$350,5,0),0)</f>
        <v>5.5620380743951918E-2</v>
      </c>
      <c r="N70" s="31">
        <f t="shared" si="7"/>
        <v>1315</v>
      </c>
      <c r="O70" s="117">
        <f t="shared" si="8"/>
        <v>1.5920964217000001E-3</v>
      </c>
      <c r="P70" s="117">
        <f t="shared" si="9"/>
        <v>1.5920964219999999E-4</v>
      </c>
      <c r="Q70" s="31">
        <f>IF(I70="SI",VLOOKUP(A70,DATA!$A$4:$G$350,7,0),0)</f>
        <v>6495</v>
      </c>
      <c r="R70" s="31">
        <f>IF(I70="SI",VLOOKUP(A70,DATA!$A$4:$H$350,8,0),0)</f>
        <v>8130</v>
      </c>
      <c r="S70" s="117">
        <f t="shared" si="10"/>
        <v>1.5142744971E-3</v>
      </c>
      <c r="T70" s="117">
        <f t="shared" si="11"/>
        <v>1.9810745961429872E-3</v>
      </c>
      <c r="U70" s="117">
        <f t="shared" si="12"/>
        <v>3.9621491920000001E-4</v>
      </c>
      <c r="V70" s="31">
        <f>IF(I70="SI",VLOOKUP(A70,COEF_FCM!$A$8:$X$354,24,0),0)</f>
        <v>2382743</v>
      </c>
      <c r="W70" s="121">
        <f t="shared" si="13"/>
        <v>100.77</v>
      </c>
      <c r="X70" s="31">
        <f>IF(AND(W70&gt;0,W70&lt;$W$7),ROUND(($W$7-W70)*L70,PARAMETROS!$L$8),0)</f>
        <v>143998</v>
      </c>
      <c r="Y70" s="122">
        <f t="shared" si="14"/>
        <v>5.3068980490000005E-4</v>
      </c>
      <c r="Z70" s="117">
        <f t="shared" si="15"/>
        <v>1.06137961E-4</v>
      </c>
      <c r="AA70" s="96">
        <f t="shared" si="16"/>
        <v>2.3171916614500004E-3</v>
      </c>
      <c r="AB70" s="31">
        <f>ROUND(AA70*PARAMETROS!$H$24,0)</f>
        <v>397670640</v>
      </c>
      <c r="AC70" s="31">
        <f t="shared" si="17"/>
        <v>397670640</v>
      </c>
      <c r="AD70" s="31">
        <f t="shared" si="18"/>
        <v>99417660</v>
      </c>
      <c r="AE70" s="31">
        <f t="shared" si="23"/>
        <v>99417660</v>
      </c>
      <c r="AF70" s="31">
        <f t="shared" si="23"/>
        <v>99417660</v>
      </c>
      <c r="AG70" s="31">
        <f t="shared" si="20"/>
        <v>99417660</v>
      </c>
    </row>
    <row r="71" spans="1:33" ht="3" customHeight="1" x14ac:dyDescent="0.25">
      <c r="A71">
        <v>5601</v>
      </c>
      <c r="B71">
        <v>5401</v>
      </c>
      <c r="C71" t="s">
        <v>99</v>
      </c>
      <c r="D71" s="31">
        <f>+DATA!O67</f>
        <v>11866198</v>
      </c>
      <c r="E71" s="31">
        <f>+DATA!T67</f>
        <v>12304345.452</v>
      </c>
      <c r="F71" s="38">
        <f t="shared" si="1"/>
        <v>24170543.452</v>
      </c>
      <c r="G71" s="112">
        <f t="shared" si="2"/>
        <v>0.83099999999999996</v>
      </c>
      <c r="H71" s="95">
        <f t="shared" si="3"/>
        <v>0.5091</v>
      </c>
      <c r="I71" s="6" t="str">
        <f t="shared" si="4"/>
        <v>SI</v>
      </c>
      <c r="J71" s="117">
        <f t="shared" si="5"/>
        <v>3.3112582781000001E-3</v>
      </c>
      <c r="K71" s="117">
        <f t="shared" si="6"/>
        <v>1.6556291390500001E-3</v>
      </c>
      <c r="L71" s="31">
        <f>IF(I71="SI",VLOOKUP(A71,DATA!$A$4:$D$350,4,0),0)</f>
        <v>98579</v>
      </c>
      <c r="M71" s="95">
        <f>IF(I71="SI",VLOOKUP(A71,DATA!$A$4:$E$350,5,0),0)</f>
        <v>6.6310995299159126E-2</v>
      </c>
      <c r="N71" s="31">
        <f t="shared" si="7"/>
        <v>6537</v>
      </c>
      <c r="O71" s="117">
        <f t="shared" si="8"/>
        <v>7.9144747595000006E-3</v>
      </c>
      <c r="P71" s="117">
        <f t="shared" si="9"/>
        <v>7.9144747599999997E-4</v>
      </c>
      <c r="Q71" s="31">
        <f>IF(I71="SI",VLOOKUP(A71,DATA!$A$4:$G$350,7,0),0)</f>
        <v>29730</v>
      </c>
      <c r="R71" s="31">
        <f>IF(I71="SI",VLOOKUP(A71,DATA!$A$4:$H$350,8,0),0)</f>
        <v>35874</v>
      </c>
      <c r="S71" s="117">
        <f t="shared" si="10"/>
        <v>7.1902974630000003E-3</v>
      </c>
      <c r="T71" s="117">
        <f t="shared" si="11"/>
        <v>9.4068252948461238E-3</v>
      </c>
      <c r="U71" s="117">
        <f t="shared" si="12"/>
        <v>1.8813650590000001E-3</v>
      </c>
      <c r="V71" s="31">
        <f>IF(I71="SI",VLOOKUP(A71,COEF_FCM!$A$8:$X$354,24,0),0)</f>
        <v>11866198</v>
      </c>
      <c r="W71" s="121">
        <f t="shared" si="13"/>
        <v>120.37</v>
      </c>
      <c r="X71" s="31">
        <f>IF(AND(W71&gt;0,W71&lt;$W$7),ROUND(($W$7-W71)*L71,PARAMETROS!$L$8),0)</f>
        <v>0</v>
      </c>
      <c r="Y71" s="122">
        <f t="shared" si="14"/>
        <v>0</v>
      </c>
      <c r="Z71" s="117">
        <f t="shared" si="15"/>
        <v>0</v>
      </c>
      <c r="AA71" s="96">
        <f t="shared" si="16"/>
        <v>4.3284416740500004E-3</v>
      </c>
      <c r="AB71" s="31">
        <f>ROUND(AA71*PARAMETROS!$H$24,0)</f>
        <v>742836339</v>
      </c>
      <c r="AC71" s="31">
        <f t="shared" si="17"/>
        <v>742836339</v>
      </c>
      <c r="AD71" s="31">
        <f t="shared" si="18"/>
        <v>185709085</v>
      </c>
      <c r="AE71" s="31">
        <f t="shared" si="23"/>
        <v>185709085</v>
      </c>
      <c r="AF71" s="31">
        <f t="shared" si="23"/>
        <v>185709085</v>
      </c>
      <c r="AG71" s="31">
        <f t="shared" si="20"/>
        <v>185709084</v>
      </c>
    </row>
    <row r="72" spans="1:33" ht="3" customHeight="1" x14ac:dyDescent="0.25">
      <c r="A72">
        <v>5602</v>
      </c>
      <c r="B72">
        <v>5406</v>
      </c>
      <c r="C72" t="s">
        <v>104</v>
      </c>
      <c r="D72" s="31">
        <f>+DATA!O68</f>
        <v>9376496</v>
      </c>
      <c r="E72" s="31">
        <f>+DATA!T68</f>
        <v>2362849.7059999998</v>
      </c>
      <c r="F72" s="38">
        <f t="shared" si="1"/>
        <v>11739345.706</v>
      </c>
      <c r="G72" s="112">
        <f t="shared" si="2"/>
        <v>0.64300000000000002</v>
      </c>
      <c r="H72" s="95">
        <f t="shared" si="3"/>
        <v>0.20130000000000001</v>
      </c>
      <c r="I72" s="6" t="str">
        <f t="shared" si="4"/>
        <v>SI</v>
      </c>
      <c r="J72" s="117">
        <f t="shared" si="5"/>
        <v>3.3112582781000001E-3</v>
      </c>
      <c r="K72" s="117">
        <f t="shared" si="6"/>
        <v>1.6556291390500001E-3</v>
      </c>
      <c r="L72" s="31">
        <f>IF(I72="SI",VLOOKUP(A72,DATA!$A$4:$D$350,4,0),0)</f>
        <v>16095</v>
      </c>
      <c r="M72" s="95">
        <f>IF(I72="SI",VLOOKUP(A72,DATA!$A$4:$E$350,5,0),0)</f>
        <v>6.0638679521410818E-2</v>
      </c>
      <c r="N72" s="31">
        <f t="shared" si="7"/>
        <v>976</v>
      </c>
      <c r="O72" s="117">
        <f t="shared" si="8"/>
        <v>1.1816624391999999E-3</v>
      </c>
      <c r="P72" s="117">
        <f t="shared" si="9"/>
        <v>1.181662439E-4</v>
      </c>
      <c r="Q72" s="31">
        <f>IF(I72="SI",VLOOKUP(A72,DATA!$A$4:$G$350,7,0),0)</f>
        <v>7975</v>
      </c>
      <c r="R72" s="31">
        <f>IF(I72="SI",VLOOKUP(A72,DATA!$A$4:$H$350,8,0),0)</f>
        <v>30924</v>
      </c>
      <c r="S72" s="117">
        <f t="shared" si="10"/>
        <v>6.0020908090000001E-4</v>
      </c>
      <c r="T72" s="117">
        <f t="shared" si="11"/>
        <v>7.8523343345113326E-4</v>
      </c>
      <c r="U72" s="117">
        <f t="shared" si="12"/>
        <v>1.5704668669999999E-4</v>
      </c>
      <c r="V72" s="31">
        <f>IF(I72="SI",VLOOKUP(A72,COEF_FCM!$A$8:$X$354,24,0),0)</f>
        <v>9376496</v>
      </c>
      <c r="W72" s="121">
        <f t="shared" si="13"/>
        <v>582.57000000000005</v>
      </c>
      <c r="X72" s="31">
        <f>IF(AND(W72&gt;0,W72&lt;$W$7),ROUND(($W$7-W72)*L72,PARAMETROS!$L$8),0)</f>
        <v>0</v>
      </c>
      <c r="Y72" s="122">
        <f t="shared" si="14"/>
        <v>0</v>
      </c>
      <c r="Z72" s="117">
        <f t="shared" si="15"/>
        <v>0</v>
      </c>
      <c r="AA72" s="96">
        <f t="shared" si="16"/>
        <v>1.9308420696500001E-3</v>
      </c>
      <c r="AB72" s="31">
        <f>ROUND(AA72*PARAMETROS!$H$24,0)</f>
        <v>331366289</v>
      </c>
      <c r="AC72" s="31">
        <f t="shared" si="17"/>
        <v>331366289</v>
      </c>
      <c r="AD72" s="31">
        <f t="shared" si="18"/>
        <v>82841572</v>
      </c>
      <c r="AE72" s="31">
        <f t="shared" si="23"/>
        <v>82841572</v>
      </c>
      <c r="AF72" s="31">
        <f t="shared" si="23"/>
        <v>82841572</v>
      </c>
      <c r="AG72" s="31">
        <f t="shared" si="20"/>
        <v>82841573</v>
      </c>
    </row>
    <row r="73" spans="1:33" ht="3" customHeight="1" x14ac:dyDescent="0.25">
      <c r="A73">
        <v>5603</v>
      </c>
      <c r="B73">
        <v>5403</v>
      </c>
      <c r="C73" t="s">
        <v>101</v>
      </c>
      <c r="D73" s="31">
        <f>+DATA!O69</f>
        <v>2207228</v>
      </c>
      <c r="E73" s="31">
        <f>+DATA!T69</f>
        <v>14938002.812000001</v>
      </c>
      <c r="F73" s="38">
        <f t="shared" ref="F73:F136" si="24">+D73+E73</f>
        <v>17145230.811999999</v>
      </c>
      <c r="G73" s="112">
        <f t="shared" ref="G73:G136" si="25">_xlfn.PERCENTRANK.INC($F$9:$F$354,F73,3)</f>
        <v>0.753</v>
      </c>
      <c r="H73" s="95">
        <f t="shared" ref="H73:H136" si="26">IFERROR(ROUND(E73/F73,4),0)</f>
        <v>0.87129999999999996</v>
      </c>
      <c r="I73" s="6" t="str">
        <f t="shared" ref="I73:I136" si="27">IF(D73=0,"NO",IF(OR(G73&lt;=$G$7,H73&gt;$H$7),"SI","NO"))</f>
        <v>SI</v>
      </c>
      <c r="J73" s="117">
        <f t="shared" ref="J73:J136" si="28">IF(I73="SI",ROUND(1/$I$7,DEC),0)</f>
        <v>3.3112582781000001E-3</v>
      </c>
      <c r="K73" s="117">
        <f t="shared" ref="K73:K136" si="29">+J73*$K$7</f>
        <v>1.6556291390500001E-3</v>
      </c>
      <c r="L73" s="31">
        <f>IF(I73="SI",VLOOKUP(A73,DATA!$A$4:$D$350,4,0),0)</f>
        <v>27065</v>
      </c>
      <c r="M73" s="95">
        <f>IF(I73="SI",VLOOKUP(A73,DATA!$A$4:$E$350,5,0),0)</f>
        <v>7.4217624086270806E-2</v>
      </c>
      <c r="N73" s="31">
        <f t="shared" ref="N73:N136" si="30">ROUND(L73*M73,0)</f>
        <v>2009</v>
      </c>
      <c r="O73" s="117">
        <f t="shared" ref="O73:O136" si="31">ROUND(N73/$N$7,DEC)</f>
        <v>2.4323359021E-3</v>
      </c>
      <c r="P73" s="117">
        <f t="shared" ref="P73:P136" si="32">ROUND(O73*$P$7,DEC)</f>
        <v>2.4323359019999999E-4</v>
      </c>
      <c r="Q73" s="31">
        <f>IF(I73="SI",VLOOKUP(A73,DATA!$A$4:$G$350,7,0),0)</f>
        <v>11066</v>
      </c>
      <c r="R73" s="31">
        <f>IF(I73="SI",VLOOKUP(A73,DATA!$A$4:$H$350,8,0),0)</f>
        <v>13287</v>
      </c>
      <c r="S73" s="117">
        <f t="shared" ref="S73:S136" si="33">IF(R73=0,0,ROUND((Q73/$Q$7)*(Q73/R73),DEC))</f>
        <v>2.6896219457000002E-3</v>
      </c>
      <c r="T73" s="117">
        <f t="shared" ref="T73:T136" si="34">+S73/$S$7</f>
        <v>3.5187422888381839E-3</v>
      </c>
      <c r="U73" s="117">
        <f t="shared" ref="U73:U136" si="35">ROUND(T73*$U$7,DEC)</f>
        <v>7.0374845779999997E-4</v>
      </c>
      <c r="V73" s="31">
        <f>IF(I73="SI",VLOOKUP(A73,COEF_FCM!$A$8:$X$354,24,0),0)</f>
        <v>2207228</v>
      </c>
      <c r="W73" s="121">
        <f t="shared" ref="W73:W136" si="36">IFERROR(ROUND(V73/L73,2),0)</f>
        <v>81.55</v>
      </c>
      <c r="X73" s="31">
        <f>IF(AND(W73&gt;0,W73&lt;$W$7),ROUND(($W$7-W73)*L73,PARAMETROS!$L$8),0)</f>
        <v>685015</v>
      </c>
      <c r="Y73" s="122">
        <f t="shared" ref="Y73:Y136" si="37">ROUND(X73/$X$7,DEC)</f>
        <v>2.5245522626000001E-3</v>
      </c>
      <c r="Z73" s="117">
        <f t="shared" ref="Z73:Z136" si="38">ROUND(Y73*$Z$7,DEC)</f>
        <v>5.0491045250000005E-4</v>
      </c>
      <c r="AA73" s="96">
        <f t="shared" ref="AA73:AA136" si="39">+K73+P73+U73+Z73</f>
        <v>3.10752163955E-3</v>
      </c>
      <c r="AB73" s="31">
        <f>ROUND(AA73*PARAMETROS!$H$24,0)</f>
        <v>533305095</v>
      </c>
      <c r="AC73" s="31">
        <f t="shared" ref="AC73:AC136" si="40">IF(AB73=$AC$6,AB73+$AC$5,AB73)</f>
        <v>533305095</v>
      </c>
      <c r="AD73" s="31">
        <f t="shared" ref="AD73:AD136" si="41">ROUND(AC73/4,0)</f>
        <v>133326274</v>
      </c>
      <c r="AE73" s="31">
        <f t="shared" si="23"/>
        <v>133326274</v>
      </c>
      <c r="AF73" s="31">
        <f t="shared" si="23"/>
        <v>133326274</v>
      </c>
      <c r="AG73" s="31">
        <f t="shared" ref="AG73:AG136" si="42">+AC73-AD73-AE73-AF73</f>
        <v>133326273</v>
      </c>
    </row>
    <row r="74" spans="1:33" ht="3" customHeight="1" x14ac:dyDescent="0.25">
      <c r="A74">
        <v>5604</v>
      </c>
      <c r="B74">
        <v>5405</v>
      </c>
      <c r="C74" t="s">
        <v>103</v>
      </c>
      <c r="D74" s="31">
        <f>+DATA!O70</f>
        <v>3469805</v>
      </c>
      <c r="E74" s="31">
        <f>+DATA!T70</f>
        <v>18809598.028999999</v>
      </c>
      <c r="F74" s="38">
        <f t="shared" si="24"/>
        <v>22279403.028999999</v>
      </c>
      <c r="G74" s="112">
        <f t="shared" si="25"/>
        <v>0.82</v>
      </c>
      <c r="H74" s="95">
        <f t="shared" si="26"/>
        <v>0.84430000000000005</v>
      </c>
      <c r="I74" s="6" t="str">
        <f t="shared" si="27"/>
        <v>SI</v>
      </c>
      <c r="J74" s="117">
        <f t="shared" si="28"/>
        <v>3.3112582781000001E-3</v>
      </c>
      <c r="K74" s="117">
        <f t="shared" si="29"/>
        <v>1.6556291390500001E-3</v>
      </c>
      <c r="L74" s="31">
        <f>IF(I74="SI",VLOOKUP(A74,DATA!$A$4:$D$350,4,0),0)</f>
        <v>18840</v>
      </c>
      <c r="M74" s="95">
        <f>IF(I74="SI",VLOOKUP(A74,DATA!$A$4:$E$350,5,0),0)</f>
        <v>8.9556034656926742E-2</v>
      </c>
      <c r="N74" s="31">
        <f t="shared" si="30"/>
        <v>1687</v>
      </c>
      <c r="O74" s="117">
        <f t="shared" si="31"/>
        <v>2.0424841547E-3</v>
      </c>
      <c r="P74" s="117">
        <f t="shared" si="32"/>
        <v>2.0424841549999999E-4</v>
      </c>
      <c r="Q74" s="31">
        <f>IF(I74="SI",VLOOKUP(A74,DATA!$A$4:$G$350,7,0),0)</f>
        <v>11940</v>
      </c>
      <c r="R74" s="31">
        <f>IF(I74="SI",VLOOKUP(A74,DATA!$A$4:$H$350,8,0),0)</f>
        <v>17430</v>
      </c>
      <c r="S74" s="117">
        <f t="shared" si="33"/>
        <v>2.3869763133999998E-3</v>
      </c>
      <c r="T74" s="117">
        <f t="shared" si="34"/>
        <v>3.1228011467722035E-3</v>
      </c>
      <c r="U74" s="117">
        <f t="shared" si="35"/>
        <v>6.245602294E-4</v>
      </c>
      <c r="V74" s="31">
        <f>IF(I74="SI",VLOOKUP(A74,COEF_FCM!$A$8:$X$354,24,0),0)</f>
        <v>3469805</v>
      </c>
      <c r="W74" s="121">
        <f t="shared" si="36"/>
        <v>184.17</v>
      </c>
      <c r="X74" s="31">
        <f>IF(AND(W74&gt;0,W74&lt;$W$7),ROUND(($W$7-W74)*L74,PARAMETROS!$L$8),0)</f>
        <v>0</v>
      </c>
      <c r="Y74" s="122">
        <f t="shared" si="37"/>
        <v>0</v>
      </c>
      <c r="Z74" s="117">
        <f t="shared" si="38"/>
        <v>0</v>
      </c>
      <c r="AA74" s="96">
        <f t="shared" si="39"/>
        <v>2.4844377839500003E-3</v>
      </c>
      <c r="AB74" s="31">
        <f>ROUND(AA74*PARAMETROS!$H$24,0)</f>
        <v>426373001</v>
      </c>
      <c r="AC74" s="31">
        <f t="shared" si="40"/>
        <v>426373001</v>
      </c>
      <c r="AD74" s="31">
        <f t="shared" si="41"/>
        <v>106593250</v>
      </c>
      <c r="AE74" s="31">
        <f t="shared" si="23"/>
        <v>106593250</v>
      </c>
      <c r="AF74" s="31">
        <f t="shared" si="23"/>
        <v>106593250</v>
      </c>
      <c r="AG74" s="31">
        <f t="shared" si="42"/>
        <v>106593251</v>
      </c>
    </row>
    <row r="75" spans="1:33" ht="3" customHeight="1" x14ac:dyDescent="0.25">
      <c r="A75">
        <v>5605</v>
      </c>
      <c r="B75">
        <v>5404</v>
      </c>
      <c r="C75" t="s">
        <v>102</v>
      </c>
      <c r="D75" s="31">
        <f>+DATA!O71</f>
        <v>2724821</v>
      </c>
      <c r="E75" s="31">
        <f>+DATA!T71</f>
        <v>17731237.168000001</v>
      </c>
      <c r="F75" s="38">
        <f t="shared" si="24"/>
        <v>20456058.168000001</v>
      </c>
      <c r="G75" s="112">
        <f t="shared" si="25"/>
        <v>0.79700000000000004</v>
      </c>
      <c r="H75" s="95">
        <f t="shared" si="26"/>
        <v>0.86680000000000001</v>
      </c>
      <c r="I75" s="6" t="str">
        <f t="shared" si="27"/>
        <v>SI</v>
      </c>
      <c r="J75" s="117">
        <f t="shared" si="28"/>
        <v>3.3112582781000001E-3</v>
      </c>
      <c r="K75" s="117">
        <f t="shared" si="29"/>
        <v>1.6556291390500001E-3</v>
      </c>
      <c r="L75" s="31">
        <f>IF(I75="SI",VLOOKUP(A75,DATA!$A$4:$D$350,4,0),0)</f>
        <v>15196</v>
      </c>
      <c r="M75" s="95">
        <f>IF(I75="SI",VLOOKUP(A75,DATA!$A$4:$E$350,5,0),0)</f>
        <v>3.3090255825937651E-2</v>
      </c>
      <c r="N75" s="31">
        <f t="shared" si="30"/>
        <v>503</v>
      </c>
      <c r="O75" s="117">
        <f t="shared" si="31"/>
        <v>6.0899201530000002E-4</v>
      </c>
      <c r="P75" s="117">
        <f t="shared" si="32"/>
        <v>6.0899201500000002E-5</v>
      </c>
      <c r="Q75" s="31">
        <f>IF(I75="SI",VLOOKUP(A75,DATA!$A$4:$G$350,7,0),0)</f>
        <v>12965</v>
      </c>
      <c r="R75" s="31">
        <f>IF(I75="SI",VLOOKUP(A75,DATA!$A$4:$H$350,8,0),0)</f>
        <v>17167</v>
      </c>
      <c r="S75" s="117">
        <f t="shared" si="33"/>
        <v>2.8575081518E-3</v>
      </c>
      <c r="T75" s="117">
        <f t="shared" si="34"/>
        <v>3.7383821880668184E-3</v>
      </c>
      <c r="U75" s="117">
        <f t="shared" si="35"/>
        <v>7.4767643760000003E-4</v>
      </c>
      <c r="V75" s="31">
        <f>IF(I75="SI",VLOOKUP(A75,COEF_FCM!$A$8:$X$354,24,0),0)</f>
        <v>2724821</v>
      </c>
      <c r="W75" s="121">
        <f t="shared" si="36"/>
        <v>179.31</v>
      </c>
      <c r="X75" s="31">
        <f>IF(AND(W75&gt;0,W75&lt;$W$7),ROUND(($W$7-W75)*L75,PARAMETROS!$L$8),0)</f>
        <v>0</v>
      </c>
      <c r="Y75" s="122">
        <f t="shared" si="37"/>
        <v>0</v>
      </c>
      <c r="Z75" s="117">
        <f t="shared" si="38"/>
        <v>0</v>
      </c>
      <c r="AA75" s="96">
        <f t="shared" si="39"/>
        <v>2.46420477815E-3</v>
      </c>
      <c r="AB75" s="31">
        <f>ROUND(AA75*PARAMETROS!$H$24,0)</f>
        <v>422900664</v>
      </c>
      <c r="AC75" s="31">
        <f t="shared" si="40"/>
        <v>422900664</v>
      </c>
      <c r="AD75" s="31">
        <f t="shared" si="41"/>
        <v>105725166</v>
      </c>
      <c r="AE75" s="31">
        <f t="shared" si="23"/>
        <v>105725166</v>
      </c>
      <c r="AF75" s="31">
        <f t="shared" si="23"/>
        <v>105725166</v>
      </c>
      <c r="AG75" s="31">
        <f t="shared" si="42"/>
        <v>105725166</v>
      </c>
    </row>
    <row r="76" spans="1:33" ht="3" customHeight="1" x14ac:dyDescent="0.25">
      <c r="A76">
        <v>5606</v>
      </c>
      <c r="B76">
        <v>5402</v>
      </c>
      <c r="C76" t="s">
        <v>100</v>
      </c>
      <c r="D76" s="31">
        <f>+DATA!O72</f>
        <v>17563428</v>
      </c>
      <c r="E76" s="31">
        <f>+DATA!T72</f>
        <v>2473739.514</v>
      </c>
      <c r="F76" s="38">
        <f t="shared" si="24"/>
        <v>20037167.513999999</v>
      </c>
      <c r="G76" s="112">
        <f t="shared" si="25"/>
        <v>0.79100000000000004</v>
      </c>
      <c r="H76" s="95">
        <f t="shared" si="26"/>
        <v>0.1235</v>
      </c>
      <c r="I76" s="6" t="str">
        <f t="shared" si="27"/>
        <v>SI</v>
      </c>
      <c r="J76" s="117">
        <f t="shared" si="28"/>
        <v>3.3112582781000001E-3</v>
      </c>
      <c r="K76" s="117">
        <f t="shared" si="29"/>
        <v>1.6556291390500001E-3</v>
      </c>
      <c r="L76" s="31">
        <f>IF(I76="SI",VLOOKUP(A76,DATA!$A$4:$D$350,4,0),0)</f>
        <v>12609</v>
      </c>
      <c r="M76" s="95">
        <f>IF(I76="SI",VLOOKUP(A76,DATA!$A$4:$E$350,5,0),0)</f>
        <v>5.9781776607428609E-2</v>
      </c>
      <c r="N76" s="31">
        <f t="shared" si="30"/>
        <v>754</v>
      </c>
      <c r="O76" s="117">
        <f t="shared" si="31"/>
        <v>9.1288266309999999E-4</v>
      </c>
      <c r="P76" s="117">
        <f t="shared" si="32"/>
        <v>9.1288266300000007E-5</v>
      </c>
      <c r="Q76" s="31">
        <f>IF(I76="SI",VLOOKUP(A76,DATA!$A$4:$G$350,7,0),0)</f>
        <v>6558</v>
      </c>
      <c r="R76" s="31">
        <f>IF(I76="SI",VLOOKUP(A76,DATA!$A$4:$H$350,8,0),0)</f>
        <v>15252</v>
      </c>
      <c r="S76" s="117">
        <f t="shared" si="33"/>
        <v>8.2291100629999997E-4</v>
      </c>
      <c r="T76" s="117">
        <f t="shared" si="34"/>
        <v>1.0765869019054959E-3</v>
      </c>
      <c r="U76" s="117">
        <f t="shared" si="35"/>
        <v>2.1531738039999999E-4</v>
      </c>
      <c r="V76" s="31">
        <f>IF(I76="SI",VLOOKUP(A76,COEF_FCM!$A$8:$X$354,24,0),0)</f>
        <v>17563428</v>
      </c>
      <c r="W76" s="121">
        <f t="shared" si="36"/>
        <v>1392.93</v>
      </c>
      <c r="X76" s="31">
        <f>IF(AND(W76&gt;0,W76&lt;$W$7),ROUND(($W$7-W76)*L76,PARAMETROS!$L$8),0)</f>
        <v>0</v>
      </c>
      <c r="Y76" s="122">
        <f t="shared" si="37"/>
        <v>0</v>
      </c>
      <c r="Z76" s="117">
        <f t="shared" si="38"/>
        <v>0</v>
      </c>
      <c r="AA76" s="96">
        <f t="shared" si="39"/>
        <v>1.96223478575E-3</v>
      </c>
      <c r="AB76" s="31">
        <f>ROUND(AA76*PARAMETROS!$H$24,0)</f>
        <v>336753828</v>
      </c>
      <c r="AC76" s="31">
        <f t="shared" si="40"/>
        <v>336753828</v>
      </c>
      <c r="AD76" s="31">
        <f t="shared" si="41"/>
        <v>84188457</v>
      </c>
      <c r="AE76" s="31">
        <f t="shared" si="23"/>
        <v>84188457</v>
      </c>
      <c r="AF76" s="31">
        <f t="shared" si="23"/>
        <v>84188457</v>
      </c>
      <c r="AG76" s="31">
        <f t="shared" si="42"/>
        <v>84188457</v>
      </c>
    </row>
    <row r="77" spans="1:33" ht="3" customHeight="1" x14ac:dyDescent="0.25">
      <c r="A77">
        <v>5701</v>
      </c>
      <c r="B77">
        <v>5601</v>
      </c>
      <c r="C77" t="s">
        <v>111</v>
      </c>
      <c r="D77" s="31">
        <f>+DATA!O73</f>
        <v>6795136</v>
      </c>
      <c r="E77" s="31">
        <f>+DATA!T73</f>
        <v>12056865.558</v>
      </c>
      <c r="F77" s="38">
        <f t="shared" si="24"/>
        <v>18852001.557999998</v>
      </c>
      <c r="G77" s="112">
        <f t="shared" si="25"/>
        <v>0.77100000000000002</v>
      </c>
      <c r="H77" s="95">
        <f t="shared" si="26"/>
        <v>0.63959999999999995</v>
      </c>
      <c r="I77" s="6" t="str">
        <f t="shared" si="27"/>
        <v>SI</v>
      </c>
      <c r="J77" s="117">
        <f t="shared" si="28"/>
        <v>3.3112582781000001E-3</v>
      </c>
      <c r="K77" s="117">
        <f t="shared" si="29"/>
        <v>1.6556291390500001E-3</v>
      </c>
      <c r="L77" s="31">
        <f>IF(I77="SI",VLOOKUP(A77,DATA!$A$4:$D$350,4,0),0)</f>
        <v>86838</v>
      </c>
      <c r="M77" s="95">
        <f>IF(I77="SI",VLOOKUP(A77,DATA!$A$4:$E$350,5,0),0)</f>
        <v>7.0200091599420145E-2</v>
      </c>
      <c r="N77" s="31">
        <f t="shared" si="30"/>
        <v>6096</v>
      </c>
      <c r="O77" s="117">
        <f t="shared" si="31"/>
        <v>7.3805473664000001E-3</v>
      </c>
      <c r="P77" s="117">
        <f t="shared" si="32"/>
        <v>7.3805473659999999E-4</v>
      </c>
      <c r="Q77" s="31">
        <f>IF(I77="SI",VLOOKUP(A77,DATA!$A$4:$G$350,7,0),0)</f>
        <v>25772</v>
      </c>
      <c r="R77" s="31">
        <f>IF(I77="SI",VLOOKUP(A77,DATA!$A$4:$H$350,8,0),0)</f>
        <v>32065</v>
      </c>
      <c r="S77" s="117">
        <f t="shared" si="33"/>
        <v>6.0450770961999996E-3</v>
      </c>
      <c r="T77" s="117">
        <f t="shared" si="34"/>
        <v>7.908571854008303E-3</v>
      </c>
      <c r="U77" s="117">
        <f t="shared" si="35"/>
        <v>1.5817143708E-3</v>
      </c>
      <c r="V77" s="31">
        <f>IF(I77="SI",VLOOKUP(A77,COEF_FCM!$A$8:$X$354,24,0),0)</f>
        <v>6795136</v>
      </c>
      <c r="W77" s="121">
        <f t="shared" si="36"/>
        <v>78.25</v>
      </c>
      <c r="X77" s="31">
        <f>IF(AND(W77&gt;0,W77&lt;$W$7),ROUND(($W$7-W77)*L77,PARAMETROS!$L$8),0)</f>
        <v>2484435</v>
      </c>
      <c r="Y77" s="122">
        <f t="shared" si="37"/>
        <v>9.1561294285999999E-3</v>
      </c>
      <c r="Z77" s="117">
        <f t="shared" si="38"/>
        <v>1.8312258857E-3</v>
      </c>
      <c r="AA77" s="96">
        <f t="shared" si="39"/>
        <v>5.80662413215E-3</v>
      </c>
      <c r="AB77" s="31">
        <f>ROUND(AA77*PARAMETROS!$H$24,0)</f>
        <v>996518317</v>
      </c>
      <c r="AC77" s="31">
        <f t="shared" si="40"/>
        <v>996518317</v>
      </c>
      <c r="AD77" s="31">
        <f t="shared" si="41"/>
        <v>249129579</v>
      </c>
      <c r="AE77" s="31">
        <f t="shared" si="23"/>
        <v>249129579</v>
      </c>
      <c r="AF77" s="31">
        <f t="shared" si="23"/>
        <v>249129579</v>
      </c>
      <c r="AG77" s="31">
        <f t="shared" si="42"/>
        <v>249129580</v>
      </c>
    </row>
    <row r="78" spans="1:33" ht="3" customHeight="1" x14ac:dyDescent="0.25">
      <c r="A78">
        <v>5702</v>
      </c>
      <c r="B78">
        <v>5603</v>
      </c>
      <c r="C78" t="s">
        <v>113</v>
      </c>
      <c r="D78" s="31">
        <f>+DATA!O74</f>
        <v>1881281</v>
      </c>
      <c r="E78" s="31">
        <f>+DATA!T74</f>
        <v>3320782.5819999999</v>
      </c>
      <c r="F78" s="38">
        <f t="shared" si="24"/>
        <v>5202063.5820000004</v>
      </c>
      <c r="G78" s="112">
        <f t="shared" si="25"/>
        <v>0.313</v>
      </c>
      <c r="H78" s="95">
        <f t="shared" si="26"/>
        <v>0.63839999999999997</v>
      </c>
      <c r="I78" s="6" t="str">
        <f t="shared" si="27"/>
        <v>SI</v>
      </c>
      <c r="J78" s="117">
        <f t="shared" si="28"/>
        <v>3.3112582781000001E-3</v>
      </c>
      <c r="K78" s="117">
        <f t="shared" si="29"/>
        <v>1.6556291390500001E-3</v>
      </c>
      <c r="L78" s="31">
        <f>IF(I78="SI",VLOOKUP(A78,DATA!$A$4:$D$350,4,0),0)</f>
        <v>15714</v>
      </c>
      <c r="M78" s="95">
        <f>IF(I78="SI",VLOOKUP(A78,DATA!$A$4:$E$350,5,0),0)</f>
        <v>0.1204219901044855</v>
      </c>
      <c r="N78" s="31">
        <f t="shared" si="30"/>
        <v>1892</v>
      </c>
      <c r="O78" s="117">
        <f t="shared" si="31"/>
        <v>2.2906816956999999E-3</v>
      </c>
      <c r="P78" s="117">
        <f t="shared" si="32"/>
        <v>2.290681696E-4</v>
      </c>
      <c r="Q78" s="31">
        <f>IF(I78="SI",VLOOKUP(A78,DATA!$A$4:$G$350,7,0),0)</f>
        <v>4949</v>
      </c>
      <c r="R78" s="31">
        <f>IF(I78="SI",VLOOKUP(A78,DATA!$A$4:$H$350,8,0),0)</f>
        <v>6477</v>
      </c>
      <c r="S78" s="117">
        <f t="shared" si="33"/>
        <v>1.1035648356E-3</v>
      </c>
      <c r="T78" s="117">
        <f t="shared" si="34"/>
        <v>1.4437569048351322E-3</v>
      </c>
      <c r="U78" s="117">
        <f t="shared" si="35"/>
        <v>2.8875138100000001E-4</v>
      </c>
      <c r="V78" s="31">
        <f>IF(I78="SI",VLOOKUP(A78,COEF_FCM!$A$8:$X$354,24,0),0)</f>
        <v>1881281</v>
      </c>
      <c r="W78" s="121">
        <f t="shared" si="36"/>
        <v>119.72</v>
      </c>
      <c r="X78" s="31">
        <f>IF(AND(W78&gt;0,W78&lt;$W$7),ROUND(($W$7-W78)*L78,PARAMETROS!$L$8),0)</f>
        <v>0</v>
      </c>
      <c r="Y78" s="122">
        <f t="shared" si="37"/>
        <v>0</v>
      </c>
      <c r="Z78" s="117">
        <f t="shared" si="38"/>
        <v>0</v>
      </c>
      <c r="AA78" s="96">
        <f t="shared" si="39"/>
        <v>2.17344868965E-3</v>
      </c>
      <c r="AB78" s="31">
        <f>ROUND(AA78*PARAMETROS!$H$24,0)</f>
        <v>373001830</v>
      </c>
      <c r="AC78" s="31">
        <f t="shared" si="40"/>
        <v>373001830</v>
      </c>
      <c r="AD78" s="31">
        <f t="shared" si="41"/>
        <v>93250458</v>
      </c>
      <c r="AE78" s="31">
        <f t="shared" si="23"/>
        <v>93250458</v>
      </c>
      <c r="AF78" s="31">
        <f t="shared" si="23"/>
        <v>93250458</v>
      </c>
      <c r="AG78" s="31">
        <f t="shared" si="42"/>
        <v>93250456</v>
      </c>
    </row>
    <row r="79" spans="1:33" ht="3" customHeight="1" x14ac:dyDescent="0.25">
      <c r="A79">
        <v>5703</v>
      </c>
      <c r="B79">
        <v>5606</v>
      </c>
      <c r="C79" t="s">
        <v>0</v>
      </c>
      <c r="D79" s="31">
        <f>+DATA!O75</f>
        <v>2221509</v>
      </c>
      <c r="E79" s="31">
        <f>+DATA!T75</f>
        <v>4749461.3969999999</v>
      </c>
      <c r="F79" s="38">
        <f t="shared" si="24"/>
        <v>6970970.3969999999</v>
      </c>
      <c r="G79" s="112">
        <f t="shared" si="25"/>
        <v>0.46600000000000003</v>
      </c>
      <c r="H79" s="95">
        <f t="shared" si="26"/>
        <v>0.68130000000000002</v>
      </c>
      <c r="I79" s="6" t="str">
        <f t="shared" si="27"/>
        <v>SI</v>
      </c>
      <c r="J79" s="117">
        <f t="shared" si="28"/>
        <v>3.3112582781000001E-3</v>
      </c>
      <c r="K79" s="117">
        <f t="shared" si="29"/>
        <v>1.6556291390500001E-3</v>
      </c>
      <c r="L79" s="31">
        <f>IF(I79="SI",VLOOKUP(A79,DATA!$A$4:$D$350,4,0),0)</f>
        <v>27286</v>
      </c>
      <c r="M79" s="95">
        <f>IF(I79="SI",VLOOKUP(A79,DATA!$A$4:$E$350,5,0),0)</f>
        <v>9.1859048888949135E-2</v>
      </c>
      <c r="N79" s="31">
        <f t="shared" si="30"/>
        <v>2506</v>
      </c>
      <c r="O79" s="117">
        <f t="shared" si="31"/>
        <v>3.0340635991000001E-3</v>
      </c>
      <c r="P79" s="117">
        <f t="shared" si="32"/>
        <v>3.0340635989999998E-4</v>
      </c>
      <c r="Q79" s="31">
        <f>IF(I79="SI",VLOOKUP(A79,DATA!$A$4:$G$350,7,0),0)</f>
        <v>7946</v>
      </c>
      <c r="R79" s="31">
        <f>IF(I79="SI",VLOOKUP(A79,DATA!$A$4:$H$350,8,0),0)</f>
        <v>10199</v>
      </c>
      <c r="S79" s="117">
        <f t="shared" si="33"/>
        <v>1.8066597643E-3</v>
      </c>
      <c r="T79" s="117">
        <f t="shared" si="34"/>
        <v>2.3635924462723406E-3</v>
      </c>
      <c r="U79" s="117">
        <f t="shared" si="35"/>
        <v>4.727184893E-4</v>
      </c>
      <c r="V79" s="31">
        <f>IF(I79="SI",VLOOKUP(A79,COEF_FCM!$A$8:$X$354,24,0),0)</f>
        <v>2221509</v>
      </c>
      <c r="W79" s="121">
        <f t="shared" si="36"/>
        <v>81.42</v>
      </c>
      <c r="X79" s="31">
        <f>IF(AND(W79&gt;0,W79&lt;$W$7),ROUND(($W$7-W79)*L79,PARAMETROS!$L$8),0)</f>
        <v>694156</v>
      </c>
      <c r="Y79" s="122">
        <f t="shared" si="37"/>
        <v>2.5582404771E-3</v>
      </c>
      <c r="Z79" s="117">
        <f t="shared" si="38"/>
        <v>5.1164809540000004E-4</v>
      </c>
      <c r="AA79" s="96">
        <f t="shared" si="39"/>
        <v>2.9434020836499996E-3</v>
      </c>
      <c r="AB79" s="31">
        <f>ROUND(AA79*PARAMETROS!$H$24,0)</f>
        <v>505139307</v>
      </c>
      <c r="AC79" s="31">
        <f t="shared" si="40"/>
        <v>505139307</v>
      </c>
      <c r="AD79" s="31">
        <f t="shared" si="41"/>
        <v>126284827</v>
      </c>
      <c r="AE79" s="31">
        <f t="shared" si="23"/>
        <v>126284827</v>
      </c>
      <c r="AF79" s="31">
        <f t="shared" si="23"/>
        <v>126284827</v>
      </c>
      <c r="AG79" s="31">
        <f t="shared" si="42"/>
        <v>126284826</v>
      </c>
    </row>
    <row r="80" spans="1:33" ht="3" customHeight="1" x14ac:dyDescent="0.25">
      <c r="A80">
        <v>5704</v>
      </c>
      <c r="B80">
        <v>5602</v>
      </c>
      <c r="C80" t="s">
        <v>112</v>
      </c>
      <c r="D80" s="31">
        <f>+DATA!O76</f>
        <v>1456728</v>
      </c>
      <c r="E80" s="31">
        <f>+DATA!T76</f>
        <v>2141183.8670000001</v>
      </c>
      <c r="F80" s="38">
        <f t="shared" si="24"/>
        <v>3597911.8670000001</v>
      </c>
      <c r="G80" s="112">
        <f t="shared" si="25"/>
        <v>0.121</v>
      </c>
      <c r="H80" s="95">
        <f t="shared" si="26"/>
        <v>0.59509999999999996</v>
      </c>
      <c r="I80" s="6" t="str">
        <f t="shared" si="27"/>
        <v>SI</v>
      </c>
      <c r="J80" s="117">
        <f t="shared" si="28"/>
        <v>3.3112582781000001E-3</v>
      </c>
      <c r="K80" s="117">
        <f t="shared" si="29"/>
        <v>1.6556291390500001E-3</v>
      </c>
      <c r="L80" s="31">
        <f>IF(I80="SI",VLOOKUP(A80,DATA!$A$4:$D$350,4,0),0)</f>
        <v>7841</v>
      </c>
      <c r="M80" s="95">
        <f>IF(I80="SI",VLOOKUP(A80,DATA!$A$4:$E$350,5,0),0)</f>
        <v>9.4899308833768473E-2</v>
      </c>
      <c r="N80" s="31">
        <f t="shared" si="30"/>
        <v>744</v>
      </c>
      <c r="O80" s="117">
        <f t="shared" si="31"/>
        <v>9.0077546600000002E-4</v>
      </c>
      <c r="P80" s="117">
        <f t="shared" si="32"/>
        <v>9.0077546600000002E-5</v>
      </c>
      <c r="Q80" s="31">
        <f>IF(I80="SI",VLOOKUP(A80,DATA!$A$4:$G$350,7,0),0)</f>
        <v>2001</v>
      </c>
      <c r="R80" s="31">
        <f>IF(I80="SI",VLOOKUP(A80,DATA!$A$4:$H$350,8,0),0)</f>
        <v>2962</v>
      </c>
      <c r="S80" s="117">
        <f t="shared" si="33"/>
        <v>3.944990539E-4</v>
      </c>
      <c r="T80" s="117">
        <f t="shared" si="34"/>
        <v>5.1610989644245602E-4</v>
      </c>
      <c r="U80" s="117">
        <f t="shared" si="35"/>
        <v>1.032219793E-4</v>
      </c>
      <c r="V80" s="31">
        <f>IF(I80="SI",VLOOKUP(A80,COEF_FCM!$A$8:$X$354,24,0),0)</f>
        <v>1456728</v>
      </c>
      <c r="W80" s="121">
        <f t="shared" si="36"/>
        <v>185.78</v>
      </c>
      <c r="X80" s="31">
        <f>IF(AND(W80&gt;0,W80&lt;$W$7),ROUND(($W$7-W80)*L80,PARAMETROS!$L$8),0)</f>
        <v>0</v>
      </c>
      <c r="Y80" s="122">
        <f t="shared" si="37"/>
        <v>0</v>
      </c>
      <c r="Z80" s="117">
        <f t="shared" si="38"/>
        <v>0</v>
      </c>
      <c r="AA80" s="96">
        <f t="shared" si="39"/>
        <v>1.8489286649499999E-3</v>
      </c>
      <c r="AB80" s="31">
        <f>ROUND(AA80*PARAMETROS!$H$24,0)</f>
        <v>317308515</v>
      </c>
      <c r="AC80" s="31">
        <f t="shared" si="40"/>
        <v>317308515</v>
      </c>
      <c r="AD80" s="31">
        <f t="shared" si="41"/>
        <v>79327129</v>
      </c>
      <c r="AE80" s="31">
        <f t="shared" si="23"/>
        <v>79327129</v>
      </c>
      <c r="AF80" s="31">
        <f t="shared" si="23"/>
        <v>79327129</v>
      </c>
      <c r="AG80" s="31">
        <f t="shared" si="42"/>
        <v>79327128</v>
      </c>
    </row>
    <row r="81" spans="1:33" ht="3" customHeight="1" x14ac:dyDescent="0.25">
      <c r="A81">
        <v>5705</v>
      </c>
      <c r="B81">
        <v>5604</v>
      </c>
      <c r="C81" t="s">
        <v>114</v>
      </c>
      <c r="D81" s="31">
        <f>+DATA!O77</f>
        <v>1379015</v>
      </c>
      <c r="E81" s="31">
        <f>+DATA!T77</f>
        <v>4303901.3140000002</v>
      </c>
      <c r="F81" s="38">
        <f t="shared" si="24"/>
        <v>5682916.3140000002</v>
      </c>
      <c r="G81" s="112">
        <f t="shared" si="25"/>
        <v>0.36199999999999999</v>
      </c>
      <c r="H81" s="95">
        <f t="shared" si="26"/>
        <v>0.75729999999999997</v>
      </c>
      <c r="I81" s="6" t="str">
        <f t="shared" si="27"/>
        <v>SI</v>
      </c>
      <c r="J81" s="117">
        <f t="shared" si="28"/>
        <v>3.3112582781000001E-3</v>
      </c>
      <c r="K81" s="117">
        <f t="shared" si="29"/>
        <v>1.6556291390500001E-3</v>
      </c>
      <c r="L81" s="31">
        <f>IF(I81="SI",VLOOKUP(A81,DATA!$A$4:$D$350,4,0),0)</f>
        <v>18023</v>
      </c>
      <c r="M81" s="95">
        <f>IF(I81="SI",VLOOKUP(A81,DATA!$A$4:$E$350,5,0),0)</f>
        <v>0.10026670029428</v>
      </c>
      <c r="N81" s="31">
        <f t="shared" si="30"/>
        <v>1807</v>
      </c>
      <c r="O81" s="117">
        <f t="shared" si="31"/>
        <v>2.1877705202000002E-3</v>
      </c>
      <c r="P81" s="117">
        <f t="shared" si="32"/>
        <v>2.1877705200000001E-4</v>
      </c>
      <c r="Q81" s="31">
        <f>IF(I81="SI",VLOOKUP(A81,DATA!$A$4:$G$350,7,0),0)</f>
        <v>6477</v>
      </c>
      <c r="R81" s="31">
        <f>IF(I81="SI",VLOOKUP(A81,DATA!$A$4:$H$350,8,0),0)</f>
        <v>7960</v>
      </c>
      <c r="S81" s="117">
        <f t="shared" si="33"/>
        <v>1.5380539497E-3</v>
      </c>
      <c r="T81" s="117">
        <f t="shared" si="34"/>
        <v>2.0121844573644933E-3</v>
      </c>
      <c r="U81" s="117">
        <f t="shared" si="35"/>
        <v>4.0243689150000001E-4</v>
      </c>
      <c r="V81" s="31">
        <f>IF(I81="SI",VLOOKUP(A81,COEF_FCM!$A$8:$X$354,24,0),0)</f>
        <v>1379015</v>
      </c>
      <c r="W81" s="121">
        <f t="shared" si="36"/>
        <v>76.510000000000005</v>
      </c>
      <c r="X81" s="31">
        <f>IF(AND(W81&gt;0,W81&lt;$W$7),ROUND(($W$7-W81)*L81,PARAMETROS!$L$8),0)</f>
        <v>546998</v>
      </c>
      <c r="Y81" s="122">
        <f t="shared" si="37"/>
        <v>2.0159048175000002E-3</v>
      </c>
      <c r="Z81" s="117">
        <f t="shared" si="38"/>
        <v>4.031809635E-4</v>
      </c>
      <c r="AA81" s="96">
        <f t="shared" si="39"/>
        <v>2.6800240460500002E-3</v>
      </c>
      <c r="AB81" s="31">
        <f>ROUND(AA81*PARAMETROS!$H$24,0)</f>
        <v>459939027</v>
      </c>
      <c r="AC81" s="31">
        <f t="shared" si="40"/>
        <v>459939027</v>
      </c>
      <c r="AD81" s="31">
        <f t="shared" si="41"/>
        <v>114984757</v>
      </c>
      <c r="AE81" s="31">
        <f t="shared" si="23"/>
        <v>114984757</v>
      </c>
      <c r="AF81" s="31">
        <f t="shared" si="23"/>
        <v>114984757</v>
      </c>
      <c r="AG81" s="31">
        <f t="shared" si="42"/>
        <v>114984756</v>
      </c>
    </row>
    <row r="82" spans="1:33" ht="3" customHeight="1" x14ac:dyDescent="0.25">
      <c r="A82">
        <v>5706</v>
      </c>
      <c r="B82">
        <v>5605</v>
      </c>
      <c r="C82" t="s">
        <v>382</v>
      </c>
      <c r="D82" s="31">
        <f>+DATA!O78</f>
        <v>1825928</v>
      </c>
      <c r="E82" s="31">
        <f>+DATA!T78</f>
        <v>3268942.0389999999</v>
      </c>
      <c r="F82" s="38">
        <f t="shared" si="24"/>
        <v>5094870.0389999999</v>
      </c>
      <c r="G82" s="112">
        <f t="shared" si="25"/>
        <v>0.29499999999999998</v>
      </c>
      <c r="H82" s="95">
        <f t="shared" si="26"/>
        <v>0.64159999999999995</v>
      </c>
      <c r="I82" s="6" t="str">
        <f t="shared" si="27"/>
        <v>SI</v>
      </c>
      <c r="J82" s="117">
        <f t="shared" si="28"/>
        <v>3.3112582781000001E-3</v>
      </c>
      <c r="K82" s="117">
        <f t="shared" si="29"/>
        <v>1.6556291390500001E-3</v>
      </c>
      <c r="L82" s="31">
        <f>IF(I82="SI",VLOOKUP(A82,DATA!$A$4:$D$350,4,0),0)</f>
        <v>16962</v>
      </c>
      <c r="M82" s="95">
        <f>IF(I82="SI",VLOOKUP(A82,DATA!$A$4:$E$350,5,0),0)</f>
        <v>8.9002955796483346E-2</v>
      </c>
      <c r="N82" s="31">
        <f t="shared" si="30"/>
        <v>1510</v>
      </c>
      <c r="O82" s="117">
        <f t="shared" si="31"/>
        <v>1.8281867655999999E-3</v>
      </c>
      <c r="P82" s="117">
        <f t="shared" si="32"/>
        <v>1.828186766E-4</v>
      </c>
      <c r="Q82" s="31">
        <f>IF(I82="SI",VLOOKUP(A82,DATA!$A$4:$G$350,7,0),0)</f>
        <v>5538</v>
      </c>
      <c r="R82" s="31">
        <f>IF(I82="SI",VLOOKUP(A82,DATA!$A$4:$H$350,8,0),0)</f>
        <v>6695</v>
      </c>
      <c r="S82" s="117">
        <f t="shared" si="33"/>
        <v>1.3368791941E-3</v>
      </c>
      <c r="T82" s="117">
        <f t="shared" si="34"/>
        <v>1.748994263996193E-3</v>
      </c>
      <c r="U82" s="117">
        <f t="shared" si="35"/>
        <v>3.4979885280000001E-4</v>
      </c>
      <c r="V82" s="31">
        <f>IF(I82="SI",VLOOKUP(A82,COEF_FCM!$A$8:$X$354,24,0),0)</f>
        <v>1825928</v>
      </c>
      <c r="W82" s="121">
        <f t="shared" si="36"/>
        <v>107.65</v>
      </c>
      <c r="X82" s="31">
        <f>IF(AND(W82&gt;0,W82&lt;$W$7),ROUND(($W$7-W82)*L82,PARAMETROS!$L$8),0)</f>
        <v>0</v>
      </c>
      <c r="Y82" s="122">
        <f t="shared" si="37"/>
        <v>0</v>
      </c>
      <c r="Z82" s="117">
        <f t="shared" si="38"/>
        <v>0</v>
      </c>
      <c r="AA82" s="96">
        <f t="shared" si="39"/>
        <v>2.1882466684499998E-3</v>
      </c>
      <c r="AB82" s="31">
        <f>ROUND(AA82*PARAMETROS!$H$24,0)</f>
        <v>375541423</v>
      </c>
      <c r="AC82" s="31">
        <f t="shared" si="40"/>
        <v>375541423</v>
      </c>
      <c r="AD82" s="31">
        <f t="shared" si="41"/>
        <v>93885356</v>
      </c>
      <c r="AE82" s="31">
        <f t="shared" si="23"/>
        <v>93885356</v>
      </c>
      <c r="AF82" s="31">
        <f t="shared" si="23"/>
        <v>93885356</v>
      </c>
      <c r="AG82" s="31">
        <f t="shared" si="42"/>
        <v>93885355</v>
      </c>
    </row>
    <row r="83" spans="1:33" ht="3" customHeight="1" x14ac:dyDescent="0.25">
      <c r="A83">
        <v>5801</v>
      </c>
      <c r="B83">
        <v>5304</v>
      </c>
      <c r="C83" t="s">
        <v>383</v>
      </c>
      <c r="D83" s="31">
        <f>+DATA!O79</f>
        <v>12449839</v>
      </c>
      <c r="E83" s="31">
        <f>+DATA!T79</f>
        <v>20762863.993000001</v>
      </c>
      <c r="F83" s="38">
        <f t="shared" si="24"/>
        <v>33212702.993000001</v>
      </c>
      <c r="G83" s="112">
        <f t="shared" si="25"/>
        <v>0.875</v>
      </c>
      <c r="H83" s="95">
        <f t="shared" si="26"/>
        <v>0.62509999999999999</v>
      </c>
      <c r="I83" s="6" t="str">
        <f t="shared" si="27"/>
        <v>SI</v>
      </c>
      <c r="J83" s="117">
        <f t="shared" si="28"/>
        <v>3.3112582781000001E-3</v>
      </c>
      <c r="K83" s="117">
        <f t="shared" si="29"/>
        <v>1.6556291390500001E-3</v>
      </c>
      <c r="L83" s="31">
        <f>IF(I83="SI",VLOOKUP(A83,DATA!$A$4:$D$350,4,0),0)</f>
        <v>173591</v>
      </c>
      <c r="M83" s="95">
        <f>IF(I83="SI",VLOOKUP(A83,DATA!$A$4:$E$350,5,0),0)</f>
        <v>5.5474518530662313E-2</v>
      </c>
      <c r="N83" s="31">
        <f t="shared" si="30"/>
        <v>9630</v>
      </c>
      <c r="O83" s="117">
        <f t="shared" si="31"/>
        <v>1.1659230829799999E-2</v>
      </c>
      <c r="P83" s="117">
        <f t="shared" si="32"/>
        <v>1.165923083E-3</v>
      </c>
      <c r="Q83" s="31">
        <f>IF(I83="SI",VLOOKUP(A83,DATA!$A$4:$G$350,7,0),0)</f>
        <v>47735</v>
      </c>
      <c r="R83" s="31">
        <f>IF(I83="SI",VLOOKUP(A83,DATA!$A$4:$H$350,8,0),0)</f>
        <v>68295</v>
      </c>
      <c r="S83" s="117">
        <f t="shared" si="33"/>
        <v>9.7369241607999993E-3</v>
      </c>
      <c r="T83" s="117">
        <f t="shared" si="34"/>
        <v>1.273849169121806E-2</v>
      </c>
      <c r="U83" s="117">
        <f t="shared" si="35"/>
        <v>2.5476983381999998E-3</v>
      </c>
      <c r="V83" s="31">
        <f>IF(I83="SI",VLOOKUP(A83,COEF_FCM!$A$8:$X$354,24,0),0)</f>
        <v>12449839</v>
      </c>
      <c r="W83" s="121">
        <f t="shared" si="36"/>
        <v>71.72</v>
      </c>
      <c r="X83" s="31">
        <f>IF(AND(W83&gt;0,W83&lt;$W$7),ROUND(($W$7-W83)*L83,PARAMETROS!$L$8),0)</f>
        <v>6099988</v>
      </c>
      <c r="Y83" s="122">
        <f t="shared" si="37"/>
        <v>2.2480877801400002E-2</v>
      </c>
      <c r="Z83" s="117">
        <f t="shared" si="38"/>
        <v>4.4961755602999998E-3</v>
      </c>
      <c r="AA83" s="96">
        <f t="shared" si="39"/>
        <v>9.8654261205500006E-3</v>
      </c>
      <c r="AB83" s="31">
        <f>ROUND(AA83*PARAMETROS!$H$24,0)</f>
        <v>1693079767</v>
      </c>
      <c r="AC83" s="31">
        <f t="shared" si="40"/>
        <v>1693079767</v>
      </c>
      <c r="AD83" s="31">
        <f t="shared" si="41"/>
        <v>423269942</v>
      </c>
      <c r="AE83" s="31">
        <f t="shared" si="23"/>
        <v>423269942</v>
      </c>
      <c r="AF83" s="31">
        <f t="shared" si="23"/>
        <v>423269942</v>
      </c>
      <c r="AG83" s="31">
        <f t="shared" si="42"/>
        <v>423269941</v>
      </c>
    </row>
    <row r="84" spans="1:33" ht="3" customHeight="1" x14ac:dyDescent="0.25">
      <c r="A84">
        <v>5802</v>
      </c>
      <c r="B84">
        <v>5506</v>
      </c>
      <c r="C84" t="s">
        <v>110</v>
      </c>
      <c r="D84" s="31">
        <f>+DATA!O80</f>
        <v>4232929</v>
      </c>
      <c r="E84" s="31">
        <f>+DATA!T80</f>
        <v>7922170.7010000004</v>
      </c>
      <c r="F84" s="38">
        <f t="shared" si="24"/>
        <v>12155099.701000001</v>
      </c>
      <c r="G84" s="112">
        <f t="shared" si="25"/>
        <v>0.65200000000000002</v>
      </c>
      <c r="H84" s="95">
        <f t="shared" si="26"/>
        <v>0.65180000000000005</v>
      </c>
      <c r="I84" s="6" t="str">
        <f t="shared" si="27"/>
        <v>SI</v>
      </c>
      <c r="J84" s="117">
        <f t="shared" si="28"/>
        <v>3.3112582781000001E-3</v>
      </c>
      <c r="K84" s="117">
        <f t="shared" si="29"/>
        <v>1.6556291390500001E-3</v>
      </c>
      <c r="L84" s="31">
        <f>IF(I84="SI",VLOOKUP(A84,DATA!$A$4:$D$350,4,0),0)</f>
        <v>51697</v>
      </c>
      <c r="M84" s="95">
        <f>IF(I84="SI",VLOOKUP(A84,DATA!$A$4:$E$350,5,0),0)</f>
        <v>6.8772582552954598E-2</v>
      </c>
      <c r="N84" s="31">
        <f t="shared" si="30"/>
        <v>3555</v>
      </c>
      <c r="O84" s="117">
        <f t="shared" si="31"/>
        <v>4.3041085773000004E-3</v>
      </c>
      <c r="P84" s="117">
        <f t="shared" si="32"/>
        <v>4.3041085769999999E-4</v>
      </c>
      <c r="Q84" s="31">
        <f>IF(I84="SI",VLOOKUP(A84,DATA!$A$4:$G$350,7,0),0)</f>
        <v>16455</v>
      </c>
      <c r="R84" s="31">
        <f>IF(I84="SI",VLOOKUP(A84,DATA!$A$4:$H$350,8,0),0)</f>
        <v>25479</v>
      </c>
      <c r="S84" s="117">
        <f t="shared" si="33"/>
        <v>3.1013461187E-3</v>
      </c>
      <c r="T84" s="117">
        <f t="shared" si="34"/>
        <v>4.0573872315552081E-3</v>
      </c>
      <c r="U84" s="117">
        <f t="shared" si="35"/>
        <v>8.114774463E-4</v>
      </c>
      <c r="V84" s="31">
        <f>IF(I84="SI",VLOOKUP(A84,COEF_FCM!$A$8:$X$354,24,0),0)</f>
        <v>4232929</v>
      </c>
      <c r="W84" s="121">
        <f t="shared" si="36"/>
        <v>81.88</v>
      </c>
      <c r="X84" s="31">
        <f>IF(AND(W84&gt;0,W84&lt;$W$7),ROUND(($W$7-W84)*L84,PARAMETROS!$L$8),0)</f>
        <v>1291391</v>
      </c>
      <c r="Y84" s="122">
        <f t="shared" si="37"/>
        <v>4.7592885863000003E-3</v>
      </c>
      <c r="Z84" s="117">
        <f t="shared" si="38"/>
        <v>9.5185771729999996E-4</v>
      </c>
      <c r="AA84" s="96">
        <f t="shared" si="39"/>
        <v>3.8493751603500001E-3</v>
      </c>
      <c r="AB84" s="31">
        <f>ROUND(AA84*PARAMETROS!$H$24,0)</f>
        <v>660620142</v>
      </c>
      <c r="AC84" s="31">
        <f t="shared" si="40"/>
        <v>660620142</v>
      </c>
      <c r="AD84" s="31">
        <f t="shared" si="41"/>
        <v>165155036</v>
      </c>
      <c r="AE84" s="31">
        <f t="shared" si="23"/>
        <v>165155036</v>
      </c>
      <c r="AF84" s="31">
        <f t="shared" si="23"/>
        <v>165155036</v>
      </c>
      <c r="AG84" s="31">
        <f t="shared" si="42"/>
        <v>165155034</v>
      </c>
    </row>
    <row r="85" spans="1:33" ht="3" customHeight="1" x14ac:dyDescent="0.25">
      <c r="A85">
        <v>5803</v>
      </c>
      <c r="B85">
        <v>5507</v>
      </c>
      <c r="C85" t="s">
        <v>384</v>
      </c>
      <c r="D85" s="31">
        <f>+DATA!O81</f>
        <v>2425150</v>
      </c>
      <c r="E85" s="31">
        <f>+DATA!T81</f>
        <v>3176285.8059999999</v>
      </c>
      <c r="F85" s="38">
        <f t="shared" si="24"/>
        <v>5601435.8059999999</v>
      </c>
      <c r="G85" s="112">
        <f t="shared" si="25"/>
        <v>0.35599999999999998</v>
      </c>
      <c r="H85" s="95">
        <f t="shared" si="26"/>
        <v>0.56699999999999995</v>
      </c>
      <c r="I85" s="6" t="str">
        <f t="shared" si="27"/>
        <v>SI</v>
      </c>
      <c r="J85" s="117">
        <f t="shared" si="28"/>
        <v>3.3112582781000001E-3</v>
      </c>
      <c r="K85" s="117">
        <f t="shared" si="29"/>
        <v>1.6556291390500001E-3</v>
      </c>
      <c r="L85" s="31">
        <f>IF(I85="SI",VLOOKUP(A85,DATA!$A$4:$D$350,4,0),0)</f>
        <v>20247</v>
      </c>
      <c r="M85" s="95">
        <f>IF(I85="SI",VLOOKUP(A85,DATA!$A$4:$E$350,5,0),0)</f>
        <v>7.4966975831422145E-2</v>
      </c>
      <c r="N85" s="31">
        <f t="shared" si="30"/>
        <v>1518</v>
      </c>
      <c r="O85" s="117">
        <f t="shared" si="31"/>
        <v>1.8378725233000001E-3</v>
      </c>
      <c r="P85" s="117">
        <f t="shared" si="32"/>
        <v>1.8378725229999999E-4</v>
      </c>
      <c r="Q85" s="31">
        <f>IF(I85="SI",VLOOKUP(A85,DATA!$A$4:$G$350,7,0),0)</f>
        <v>5829</v>
      </c>
      <c r="R85" s="31">
        <f>IF(I85="SI",VLOOKUP(A85,DATA!$A$4:$H$350,8,0),0)</f>
        <v>10110</v>
      </c>
      <c r="S85" s="117">
        <f t="shared" si="33"/>
        <v>9.8078496119999997E-4</v>
      </c>
      <c r="T85" s="117">
        <f t="shared" si="34"/>
        <v>1.2831281083010228E-3</v>
      </c>
      <c r="U85" s="117">
        <f t="shared" si="35"/>
        <v>2.5662562169999998E-4</v>
      </c>
      <c r="V85" s="31">
        <f>IF(I85="SI",VLOOKUP(A85,COEF_FCM!$A$8:$X$354,24,0),0)</f>
        <v>2425150</v>
      </c>
      <c r="W85" s="121">
        <f t="shared" si="36"/>
        <v>119.78</v>
      </c>
      <c r="X85" s="31">
        <f>IF(AND(W85&gt;0,W85&lt;$W$7),ROUND(($W$7-W85)*L85,PARAMETROS!$L$8),0)</f>
        <v>0</v>
      </c>
      <c r="Y85" s="122">
        <f t="shared" si="37"/>
        <v>0</v>
      </c>
      <c r="Z85" s="117">
        <f t="shared" si="38"/>
        <v>0</v>
      </c>
      <c r="AA85" s="96">
        <f t="shared" si="39"/>
        <v>2.0960420130500001E-3</v>
      </c>
      <c r="AB85" s="31">
        <f>ROUND(AA85*PARAMETROS!$H$24,0)</f>
        <v>359717490</v>
      </c>
      <c r="AC85" s="31">
        <f t="shared" si="40"/>
        <v>359717490</v>
      </c>
      <c r="AD85" s="31">
        <f t="shared" si="41"/>
        <v>89929373</v>
      </c>
      <c r="AE85" s="31">
        <f t="shared" si="23"/>
        <v>89929373</v>
      </c>
      <c r="AF85" s="31">
        <f t="shared" si="23"/>
        <v>89929373</v>
      </c>
      <c r="AG85" s="31">
        <f t="shared" si="42"/>
        <v>89929371</v>
      </c>
    </row>
    <row r="86" spans="1:33" ht="3" customHeight="1" x14ac:dyDescent="0.25">
      <c r="A86">
        <v>5804</v>
      </c>
      <c r="B86">
        <v>5303</v>
      </c>
      <c r="C86" t="s">
        <v>96</v>
      </c>
      <c r="D86" s="31">
        <f>+DATA!O82</f>
        <v>8770518</v>
      </c>
      <c r="E86" s="31">
        <f>+DATA!T82</f>
        <v>19654713.499000002</v>
      </c>
      <c r="F86" s="38">
        <f t="shared" si="24"/>
        <v>28425231.499000002</v>
      </c>
      <c r="G86" s="112">
        <f t="shared" si="25"/>
        <v>0.86299999999999999</v>
      </c>
      <c r="H86" s="95">
        <f t="shared" si="26"/>
        <v>0.6915</v>
      </c>
      <c r="I86" s="6" t="str">
        <f t="shared" si="27"/>
        <v>SI</v>
      </c>
      <c r="J86" s="117">
        <f t="shared" si="28"/>
        <v>3.3112582781000001E-3</v>
      </c>
      <c r="K86" s="117">
        <f t="shared" si="29"/>
        <v>1.6556291390500001E-3</v>
      </c>
      <c r="L86" s="31">
        <f>IF(I86="SI",VLOOKUP(A86,DATA!$A$4:$D$350,4,0),0)</f>
        <v>147418</v>
      </c>
      <c r="M86" s="95">
        <f>IF(I86="SI",VLOOKUP(A86,DATA!$A$4:$E$350,5,0),0)</f>
        <v>4.4426123224117632E-2</v>
      </c>
      <c r="N86" s="31">
        <f t="shared" si="30"/>
        <v>6549</v>
      </c>
      <c r="O86" s="117">
        <f t="shared" si="31"/>
        <v>7.9290033961000005E-3</v>
      </c>
      <c r="P86" s="117">
        <f t="shared" si="32"/>
        <v>7.9290033959999995E-4</v>
      </c>
      <c r="Q86" s="31">
        <f>IF(I86="SI",VLOOKUP(A86,DATA!$A$4:$G$350,7,0),0)</f>
        <v>41888</v>
      </c>
      <c r="R86" s="31">
        <f>IF(I86="SI",VLOOKUP(A86,DATA!$A$4:$H$350,8,0),0)</f>
        <v>54652</v>
      </c>
      <c r="S86" s="117">
        <f t="shared" si="33"/>
        <v>9.3693623039999997E-3</v>
      </c>
      <c r="T86" s="117">
        <f t="shared" si="34"/>
        <v>1.2257622827341566E-2</v>
      </c>
      <c r="U86" s="117">
        <f t="shared" si="35"/>
        <v>2.4515245655000002E-3</v>
      </c>
      <c r="V86" s="31">
        <f>IF(I86="SI",VLOOKUP(A86,COEF_FCM!$A$8:$X$354,24,0),0)</f>
        <v>8770518</v>
      </c>
      <c r="W86" s="121">
        <f t="shared" si="36"/>
        <v>59.49</v>
      </c>
      <c r="X86" s="31">
        <f>IF(AND(W86&gt;0,W86&lt;$W$7),ROUND(($W$7-W86)*L86,PARAMETROS!$L$8),0)</f>
        <v>6983191</v>
      </c>
      <c r="Y86" s="122">
        <f t="shared" si="37"/>
        <v>2.5735831535299999E-2</v>
      </c>
      <c r="Z86" s="117">
        <f t="shared" si="38"/>
        <v>5.1471663070999998E-3</v>
      </c>
      <c r="AA86" s="96">
        <f t="shared" si="39"/>
        <v>1.004722035125E-2</v>
      </c>
      <c r="AB86" s="31">
        <f>ROUND(AA86*PARAMETROS!$H$24,0)</f>
        <v>1724278839</v>
      </c>
      <c r="AC86" s="31">
        <f t="shared" si="40"/>
        <v>1724278839</v>
      </c>
      <c r="AD86" s="31">
        <f t="shared" si="41"/>
        <v>431069710</v>
      </c>
      <c r="AE86" s="31">
        <f t="shared" si="23"/>
        <v>431069710</v>
      </c>
      <c r="AF86" s="31">
        <f t="shared" si="23"/>
        <v>431069710</v>
      </c>
      <c r="AG86" s="31">
        <f t="shared" si="42"/>
        <v>431069709</v>
      </c>
    </row>
    <row r="87" spans="1:33" ht="3" customHeight="1" x14ac:dyDescent="0.25">
      <c r="A87">
        <v>6101</v>
      </c>
      <c r="B87">
        <v>6101</v>
      </c>
      <c r="C87" t="s">
        <v>119</v>
      </c>
      <c r="D87" s="31">
        <f>+DATA!O83</f>
        <v>28899132</v>
      </c>
      <c r="E87" s="31">
        <f>+DATA!T83</f>
        <v>25943786.555</v>
      </c>
      <c r="F87" s="38">
        <f t="shared" si="24"/>
        <v>54842918.555</v>
      </c>
      <c r="G87" s="112">
        <f t="shared" si="25"/>
        <v>0.94399999999999995</v>
      </c>
      <c r="H87" s="95">
        <f t="shared" si="26"/>
        <v>0.47310000000000002</v>
      </c>
      <c r="I87" s="6" t="str">
        <f t="shared" si="27"/>
        <v>NO</v>
      </c>
      <c r="J87" s="117">
        <f t="shared" si="28"/>
        <v>0</v>
      </c>
      <c r="K87" s="117">
        <f t="shared" si="29"/>
        <v>0</v>
      </c>
      <c r="L87" s="31">
        <f>IF(I87="SI",VLOOKUP(A87,DATA!$A$4:$D$350,4,0),0)</f>
        <v>0</v>
      </c>
      <c r="M87" s="95">
        <f>IF(I87="SI",VLOOKUP(A87,DATA!$A$4:$E$350,5,0),0)</f>
        <v>0</v>
      </c>
      <c r="N87" s="31">
        <f t="shared" si="30"/>
        <v>0</v>
      </c>
      <c r="O87" s="117">
        <f t="shared" si="31"/>
        <v>0</v>
      </c>
      <c r="P87" s="117">
        <f t="shared" si="32"/>
        <v>0</v>
      </c>
      <c r="Q87" s="31">
        <f>IF(I87="SI",VLOOKUP(A87,DATA!$A$4:$G$350,7,0),0)</f>
        <v>0</v>
      </c>
      <c r="R87" s="31">
        <f>IF(I87="SI",VLOOKUP(A87,DATA!$A$4:$H$350,8,0),0)</f>
        <v>0</v>
      </c>
      <c r="S87" s="117">
        <f t="shared" si="33"/>
        <v>0</v>
      </c>
      <c r="T87" s="117">
        <f t="shared" si="34"/>
        <v>0</v>
      </c>
      <c r="U87" s="117">
        <f t="shared" si="35"/>
        <v>0</v>
      </c>
      <c r="V87" s="31">
        <f>IF(I87="SI",VLOOKUP(A87,COEF_FCM!$A$8:$X$354,24,0),0)</f>
        <v>0</v>
      </c>
      <c r="W87" s="121">
        <f t="shared" si="36"/>
        <v>0</v>
      </c>
      <c r="X87" s="31">
        <f>IF(AND(W87&gt;0,W87&lt;$W$7),ROUND(($W$7-W87)*L87,PARAMETROS!$L$8),0)</f>
        <v>0</v>
      </c>
      <c r="Y87" s="122">
        <f t="shared" si="37"/>
        <v>0</v>
      </c>
      <c r="Z87" s="117">
        <f t="shared" si="38"/>
        <v>0</v>
      </c>
      <c r="AA87" s="96">
        <f t="shared" si="39"/>
        <v>0</v>
      </c>
      <c r="AB87" s="31">
        <f>ROUND(AA87*PARAMETROS!$H$24,0)</f>
        <v>0</v>
      </c>
      <c r="AC87" s="31">
        <f t="shared" si="40"/>
        <v>0</v>
      </c>
      <c r="AD87" s="31">
        <f t="shared" si="41"/>
        <v>0</v>
      </c>
      <c r="AE87" s="31">
        <f t="shared" si="23"/>
        <v>0</v>
      </c>
      <c r="AF87" s="31">
        <f t="shared" si="23"/>
        <v>0</v>
      </c>
      <c r="AG87" s="31">
        <f t="shared" si="42"/>
        <v>0</v>
      </c>
    </row>
    <row r="88" spans="1:33" ht="3" customHeight="1" x14ac:dyDescent="0.25">
      <c r="A88">
        <v>6102</v>
      </c>
      <c r="B88">
        <v>6107</v>
      </c>
      <c r="C88" t="s">
        <v>124</v>
      </c>
      <c r="D88" s="31">
        <f>+DATA!O84</f>
        <v>1461512</v>
      </c>
      <c r="E88" s="31">
        <f>+DATA!T84</f>
        <v>2837060.2549999999</v>
      </c>
      <c r="F88" s="38">
        <f t="shared" si="24"/>
        <v>4298572.2549999999</v>
      </c>
      <c r="G88" s="112">
        <f t="shared" si="25"/>
        <v>0.19700000000000001</v>
      </c>
      <c r="H88" s="95">
        <f t="shared" si="26"/>
        <v>0.66</v>
      </c>
      <c r="I88" s="6" t="str">
        <f t="shared" si="27"/>
        <v>SI</v>
      </c>
      <c r="J88" s="117">
        <f t="shared" si="28"/>
        <v>3.3112582781000001E-3</v>
      </c>
      <c r="K88" s="117">
        <f t="shared" si="29"/>
        <v>1.6556291390500001E-3</v>
      </c>
      <c r="L88" s="31">
        <f>IF(I88="SI",VLOOKUP(A88,DATA!$A$4:$D$350,4,0),0)</f>
        <v>14627</v>
      </c>
      <c r="M88" s="95">
        <f>IF(I88="SI",VLOOKUP(A88,DATA!$A$4:$E$350,5,0),0)</f>
        <v>5.5485426125954709E-2</v>
      </c>
      <c r="N88" s="31">
        <f t="shared" si="30"/>
        <v>812</v>
      </c>
      <c r="O88" s="117">
        <f t="shared" si="31"/>
        <v>9.8310440640000008E-4</v>
      </c>
      <c r="P88" s="117">
        <f t="shared" si="32"/>
        <v>9.8310440600000006E-5</v>
      </c>
      <c r="Q88" s="31">
        <f>IF(I88="SI",VLOOKUP(A88,DATA!$A$4:$G$350,7,0),0)</f>
        <v>3563</v>
      </c>
      <c r="R88" s="31">
        <f>IF(I88="SI",VLOOKUP(A88,DATA!$A$4:$H$350,8,0),0)</f>
        <v>5183</v>
      </c>
      <c r="S88" s="117">
        <f t="shared" si="33"/>
        <v>7.1480450150000004E-4</v>
      </c>
      <c r="T88" s="117">
        <f t="shared" si="34"/>
        <v>9.3515478325907945E-4</v>
      </c>
      <c r="U88" s="117">
        <f t="shared" si="35"/>
        <v>1.8703095670000001E-4</v>
      </c>
      <c r="V88" s="31">
        <f>IF(I88="SI",VLOOKUP(A88,COEF_FCM!$A$8:$X$354,24,0),0)</f>
        <v>1461512</v>
      </c>
      <c r="W88" s="121">
        <f t="shared" si="36"/>
        <v>99.92</v>
      </c>
      <c r="X88" s="31">
        <f>IF(AND(W88&gt;0,W88&lt;$W$7),ROUND(($W$7-W88)*L88,PARAMETROS!$L$8),0)</f>
        <v>101511</v>
      </c>
      <c r="Y88" s="122">
        <f t="shared" si="37"/>
        <v>3.7410834029999999E-4</v>
      </c>
      <c r="Z88" s="117">
        <f t="shared" si="38"/>
        <v>7.48216681E-5</v>
      </c>
      <c r="AA88" s="96">
        <f t="shared" si="39"/>
        <v>2.0157922044500001E-3</v>
      </c>
      <c r="AB88" s="31">
        <f>ROUND(AA88*PARAMETROS!$H$24,0)</f>
        <v>345945219</v>
      </c>
      <c r="AC88" s="31">
        <f t="shared" si="40"/>
        <v>345945219</v>
      </c>
      <c r="AD88" s="31">
        <f t="shared" si="41"/>
        <v>86486305</v>
      </c>
      <c r="AE88" s="31">
        <f t="shared" si="23"/>
        <v>86486305</v>
      </c>
      <c r="AF88" s="31">
        <f t="shared" si="23"/>
        <v>86486305</v>
      </c>
      <c r="AG88" s="31">
        <f t="shared" si="42"/>
        <v>86486304</v>
      </c>
    </row>
    <row r="89" spans="1:33" ht="3" customHeight="1" x14ac:dyDescent="0.25">
      <c r="A89">
        <v>6103</v>
      </c>
      <c r="B89">
        <v>6116</v>
      </c>
      <c r="C89" t="s">
        <v>131</v>
      </c>
      <c r="D89" s="31">
        <f>+DATA!O85</f>
        <v>769599</v>
      </c>
      <c r="E89" s="31">
        <f>+DATA!T85</f>
        <v>2610967.3939999999</v>
      </c>
      <c r="F89" s="38">
        <f t="shared" si="24"/>
        <v>3380566.3939999999</v>
      </c>
      <c r="G89" s="112">
        <f t="shared" si="25"/>
        <v>9.8000000000000004E-2</v>
      </c>
      <c r="H89" s="95">
        <f t="shared" si="26"/>
        <v>0.77229999999999999</v>
      </c>
      <c r="I89" s="6" t="str">
        <f t="shared" si="27"/>
        <v>SI</v>
      </c>
      <c r="J89" s="117">
        <f t="shared" si="28"/>
        <v>3.3112582781000001E-3</v>
      </c>
      <c r="K89" s="117">
        <f t="shared" si="29"/>
        <v>1.6556291390500001E-3</v>
      </c>
      <c r="L89" s="31">
        <f>IF(I89="SI",VLOOKUP(A89,DATA!$A$4:$D$350,4,0),0)</f>
        <v>8024</v>
      </c>
      <c r="M89" s="95">
        <f>IF(I89="SI",VLOOKUP(A89,DATA!$A$4:$E$350,5,0),0)</f>
        <v>9.8218825694775219E-2</v>
      </c>
      <c r="N89" s="31">
        <f t="shared" si="30"/>
        <v>788</v>
      </c>
      <c r="O89" s="117">
        <f t="shared" si="31"/>
        <v>9.5404713330000002E-4</v>
      </c>
      <c r="P89" s="117">
        <f t="shared" si="32"/>
        <v>9.5404713299999995E-5</v>
      </c>
      <c r="Q89" s="31">
        <f>IF(I89="SI",VLOOKUP(A89,DATA!$A$4:$G$350,7,0),0)</f>
        <v>3179</v>
      </c>
      <c r="R89" s="31">
        <f>IF(I89="SI",VLOOKUP(A89,DATA!$A$4:$H$350,8,0),0)</f>
        <v>4369</v>
      </c>
      <c r="S89" s="117">
        <f t="shared" si="33"/>
        <v>6.7504986389999998E-4</v>
      </c>
      <c r="T89" s="117">
        <f t="shared" si="34"/>
        <v>8.8314512267306355E-4</v>
      </c>
      <c r="U89" s="117">
        <f t="shared" si="35"/>
        <v>1.7662902449999999E-4</v>
      </c>
      <c r="V89" s="31">
        <f>IF(I89="SI",VLOOKUP(A89,COEF_FCM!$A$8:$X$354,24,0),0)</f>
        <v>769599</v>
      </c>
      <c r="W89" s="121">
        <f t="shared" si="36"/>
        <v>95.91</v>
      </c>
      <c r="X89" s="31">
        <f>IF(AND(W89&gt;0,W89&lt;$W$7),ROUND(($W$7-W89)*L89,PARAMETROS!$L$8),0)</f>
        <v>87863</v>
      </c>
      <c r="Y89" s="122">
        <f t="shared" si="37"/>
        <v>3.2381004129999999E-4</v>
      </c>
      <c r="Z89" s="117">
        <f t="shared" si="38"/>
        <v>6.4762008299999998E-5</v>
      </c>
      <c r="AA89" s="96">
        <f t="shared" si="39"/>
        <v>1.9924248851499998E-3</v>
      </c>
      <c r="AB89" s="31">
        <f>ROUND(AA89*PARAMETROS!$H$24,0)</f>
        <v>341934978</v>
      </c>
      <c r="AC89" s="31">
        <f t="shared" si="40"/>
        <v>341934978</v>
      </c>
      <c r="AD89" s="31">
        <f t="shared" si="41"/>
        <v>85483745</v>
      </c>
      <c r="AE89" s="31">
        <f t="shared" ref="AE89:AF108" si="43">+AD89</f>
        <v>85483745</v>
      </c>
      <c r="AF89" s="31">
        <f t="shared" si="43"/>
        <v>85483745</v>
      </c>
      <c r="AG89" s="31">
        <f t="shared" si="42"/>
        <v>85483743</v>
      </c>
    </row>
    <row r="90" spans="1:33" ht="3" customHeight="1" x14ac:dyDescent="0.25">
      <c r="A90">
        <v>6104</v>
      </c>
      <c r="B90">
        <v>6106</v>
      </c>
      <c r="C90" t="s">
        <v>123</v>
      </c>
      <c r="D90" s="31">
        <f>+DATA!O86</f>
        <v>1294862</v>
      </c>
      <c r="E90" s="31">
        <f>+DATA!T86</f>
        <v>4925661.6310000001</v>
      </c>
      <c r="F90" s="38">
        <f t="shared" si="24"/>
        <v>6220523.6310000001</v>
      </c>
      <c r="G90" s="112">
        <f t="shared" si="25"/>
        <v>0.42</v>
      </c>
      <c r="H90" s="95">
        <f t="shared" si="26"/>
        <v>0.79179999999999995</v>
      </c>
      <c r="I90" s="6" t="str">
        <f t="shared" si="27"/>
        <v>SI</v>
      </c>
      <c r="J90" s="117">
        <f t="shared" si="28"/>
        <v>3.3112582781000001E-3</v>
      </c>
      <c r="K90" s="117">
        <f t="shared" si="29"/>
        <v>1.6556291390500001E-3</v>
      </c>
      <c r="L90" s="31">
        <f>IF(I90="SI",VLOOKUP(A90,DATA!$A$4:$D$350,4,0),0)</f>
        <v>22143</v>
      </c>
      <c r="M90" s="95">
        <f>IF(I90="SI",VLOOKUP(A90,DATA!$A$4:$E$350,5,0),0)</f>
        <v>0.1002123568807099</v>
      </c>
      <c r="N90" s="31">
        <f t="shared" si="30"/>
        <v>2219</v>
      </c>
      <c r="O90" s="117">
        <f t="shared" si="31"/>
        <v>2.6865870417000001E-3</v>
      </c>
      <c r="P90" s="117">
        <f t="shared" si="32"/>
        <v>2.6865870419999998E-4</v>
      </c>
      <c r="Q90" s="31">
        <f>IF(I90="SI",VLOOKUP(A90,DATA!$A$4:$G$350,7,0),0)</f>
        <v>8234</v>
      </c>
      <c r="R90" s="31">
        <f>IF(I90="SI",VLOOKUP(A90,DATA!$A$4:$H$350,8,0),0)</f>
        <v>9925</v>
      </c>
      <c r="S90" s="117">
        <f t="shared" si="33"/>
        <v>1.9935542239999998E-3</v>
      </c>
      <c r="T90" s="117">
        <f t="shared" si="34"/>
        <v>2.6081002069066319E-3</v>
      </c>
      <c r="U90" s="117">
        <f t="shared" si="35"/>
        <v>5.2162004139999995E-4</v>
      </c>
      <c r="V90" s="31">
        <f>IF(I90="SI",VLOOKUP(A90,COEF_FCM!$A$8:$X$354,24,0),0)</f>
        <v>1294862</v>
      </c>
      <c r="W90" s="121">
        <f t="shared" si="36"/>
        <v>58.48</v>
      </c>
      <c r="X90" s="31">
        <f>IF(AND(W90&gt;0,W90&lt;$W$7),ROUND(($W$7-W90)*L90,PARAMETROS!$L$8),0)</f>
        <v>1071278</v>
      </c>
      <c r="Y90" s="122">
        <f t="shared" si="37"/>
        <v>3.9480847847000004E-3</v>
      </c>
      <c r="Z90" s="117">
        <f t="shared" si="38"/>
        <v>7.8961695690000003E-4</v>
      </c>
      <c r="AA90" s="96">
        <f t="shared" si="39"/>
        <v>3.2355248415499999E-3</v>
      </c>
      <c r="AB90" s="31">
        <f>ROUND(AA90*PARAMETROS!$H$24,0)</f>
        <v>555272684</v>
      </c>
      <c r="AC90" s="31">
        <f t="shared" si="40"/>
        <v>555272684</v>
      </c>
      <c r="AD90" s="31">
        <f t="shared" si="41"/>
        <v>138818171</v>
      </c>
      <c r="AE90" s="31">
        <f t="shared" si="43"/>
        <v>138818171</v>
      </c>
      <c r="AF90" s="31">
        <f t="shared" si="43"/>
        <v>138818171</v>
      </c>
      <c r="AG90" s="31">
        <f t="shared" si="42"/>
        <v>138818171</v>
      </c>
    </row>
    <row r="91" spans="1:33" ht="3" customHeight="1" x14ac:dyDescent="0.25">
      <c r="A91">
        <v>6105</v>
      </c>
      <c r="B91">
        <v>6105</v>
      </c>
      <c r="C91" t="s">
        <v>122</v>
      </c>
      <c r="D91" s="31">
        <f>+DATA!O87</f>
        <v>2035246</v>
      </c>
      <c r="E91" s="31">
        <f>+DATA!T87</f>
        <v>4231781.818</v>
      </c>
      <c r="F91" s="38">
        <f t="shared" si="24"/>
        <v>6267027.818</v>
      </c>
      <c r="G91" s="112">
        <f t="shared" si="25"/>
        <v>0.42799999999999999</v>
      </c>
      <c r="H91" s="95">
        <f t="shared" si="26"/>
        <v>0.67520000000000002</v>
      </c>
      <c r="I91" s="6" t="str">
        <f t="shared" si="27"/>
        <v>SI</v>
      </c>
      <c r="J91" s="117">
        <f t="shared" si="28"/>
        <v>3.3112582781000001E-3</v>
      </c>
      <c r="K91" s="117">
        <f t="shared" si="29"/>
        <v>1.6556291390500001E-3</v>
      </c>
      <c r="L91" s="31">
        <f>IF(I91="SI",VLOOKUP(A91,DATA!$A$4:$D$350,4,0),0)</f>
        <v>23647</v>
      </c>
      <c r="M91" s="95">
        <f>IF(I91="SI",VLOOKUP(A91,DATA!$A$4:$E$350,5,0),0)</f>
        <v>9.0615467517776771E-2</v>
      </c>
      <c r="N91" s="31">
        <f t="shared" si="30"/>
        <v>2143</v>
      </c>
      <c r="O91" s="117">
        <f t="shared" si="31"/>
        <v>2.5945723435E-3</v>
      </c>
      <c r="P91" s="117">
        <f t="shared" si="32"/>
        <v>2.594572344E-4</v>
      </c>
      <c r="Q91" s="31">
        <f>IF(I91="SI",VLOOKUP(A91,DATA!$A$4:$G$350,7,0),0)</f>
        <v>7158</v>
      </c>
      <c r="R91" s="31">
        <f>IF(I91="SI",VLOOKUP(A91,DATA!$A$4:$H$350,8,0),0)</f>
        <v>8804</v>
      </c>
      <c r="S91" s="117">
        <f t="shared" si="33"/>
        <v>1.6984008446999999E-3</v>
      </c>
      <c r="T91" s="117">
        <f t="shared" si="34"/>
        <v>2.2219609284490015E-3</v>
      </c>
      <c r="U91" s="117">
        <f t="shared" si="35"/>
        <v>4.4439218570000002E-4</v>
      </c>
      <c r="V91" s="31">
        <f>IF(I91="SI",VLOOKUP(A91,COEF_FCM!$A$8:$X$354,24,0),0)</f>
        <v>2035246</v>
      </c>
      <c r="W91" s="121">
        <f t="shared" si="36"/>
        <v>86.07</v>
      </c>
      <c r="X91" s="31">
        <f>IF(AND(W91&gt;0,W91&lt;$W$7),ROUND(($W$7-W91)*L91,PARAMETROS!$L$8),0)</f>
        <v>491621</v>
      </c>
      <c r="Y91" s="122">
        <f t="shared" si="37"/>
        <v>1.8118185848000001E-3</v>
      </c>
      <c r="Z91" s="117">
        <f t="shared" si="38"/>
        <v>3.6236371699999999E-4</v>
      </c>
      <c r="AA91" s="96">
        <f t="shared" si="39"/>
        <v>2.7218422761499999E-3</v>
      </c>
      <c r="AB91" s="31">
        <f>ROUND(AA91*PARAMETROS!$H$24,0)</f>
        <v>467115767</v>
      </c>
      <c r="AC91" s="31">
        <f t="shared" si="40"/>
        <v>467115767</v>
      </c>
      <c r="AD91" s="31">
        <f t="shared" si="41"/>
        <v>116778942</v>
      </c>
      <c r="AE91" s="31">
        <f t="shared" si="43"/>
        <v>116778942</v>
      </c>
      <c r="AF91" s="31">
        <f t="shared" si="43"/>
        <v>116778942</v>
      </c>
      <c r="AG91" s="31">
        <f t="shared" si="42"/>
        <v>116778941</v>
      </c>
    </row>
    <row r="92" spans="1:33" ht="3" customHeight="1" x14ac:dyDescent="0.25">
      <c r="A92">
        <v>6106</v>
      </c>
      <c r="B92">
        <v>6103</v>
      </c>
      <c r="C92" t="s">
        <v>120</v>
      </c>
      <c r="D92" s="31">
        <f>+DATA!O88</f>
        <v>2254649</v>
      </c>
      <c r="E92" s="31">
        <f>+DATA!T88</f>
        <v>5804282.3810000001</v>
      </c>
      <c r="F92" s="38">
        <f t="shared" si="24"/>
        <v>8058931.3810000001</v>
      </c>
      <c r="G92" s="112">
        <f t="shared" si="25"/>
        <v>0.50700000000000001</v>
      </c>
      <c r="H92" s="95">
        <f t="shared" si="26"/>
        <v>0.72019999999999995</v>
      </c>
      <c r="I92" s="6" t="str">
        <f t="shared" si="27"/>
        <v>SI</v>
      </c>
      <c r="J92" s="117">
        <f t="shared" si="28"/>
        <v>3.3112582781000001E-3</v>
      </c>
      <c r="K92" s="117">
        <f t="shared" si="29"/>
        <v>1.6556291390500001E-3</v>
      </c>
      <c r="L92" s="31">
        <f>IF(I92="SI",VLOOKUP(A92,DATA!$A$4:$D$350,4,0),0)</f>
        <v>38185</v>
      </c>
      <c r="M92" s="95">
        <f>IF(I92="SI",VLOOKUP(A92,DATA!$A$4:$E$350,5,0),0)</f>
        <v>5.272534982380029E-2</v>
      </c>
      <c r="N92" s="31">
        <f t="shared" si="30"/>
        <v>2013</v>
      </c>
      <c r="O92" s="117">
        <f t="shared" si="31"/>
        <v>2.4371787809E-3</v>
      </c>
      <c r="P92" s="117">
        <f t="shared" si="32"/>
        <v>2.437178781E-4</v>
      </c>
      <c r="Q92" s="31">
        <f>IF(I92="SI",VLOOKUP(A92,DATA!$A$4:$G$350,7,0),0)</f>
        <v>10223</v>
      </c>
      <c r="R92" s="31">
        <f>IF(I92="SI",VLOOKUP(A92,DATA!$A$4:$H$350,8,0),0)</f>
        <v>12618</v>
      </c>
      <c r="S92" s="117">
        <f t="shared" si="33"/>
        <v>2.4171468798E-3</v>
      </c>
      <c r="T92" s="117">
        <f t="shared" si="34"/>
        <v>3.1622722880750198E-3</v>
      </c>
      <c r="U92" s="117">
        <f t="shared" si="35"/>
        <v>6.3245445759999995E-4</v>
      </c>
      <c r="V92" s="31">
        <f>IF(I92="SI",VLOOKUP(A92,COEF_FCM!$A$8:$X$354,24,0),0)</f>
        <v>2254649</v>
      </c>
      <c r="W92" s="121">
        <f t="shared" si="36"/>
        <v>59.05</v>
      </c>
      <c r="X92" s="31">
        <f>IF(AND(W92&gt;0,W92&lt;$W$7),ROUND(($W$7-W92)*L92,PARAMETROS!$L$8),0)</f>
        <v>1825625</v>
      </c>
      <c r="Y92" s="122">
        <f t="shared" si="37"/>
        <v>6.7281529958E-3</v>
      </c>
      <c r="Z92" s="117">
        <f t="shared" si="38"/>
        <v>1.3456305992E-3</v>
      </c>
      <c r="AA92" s="96">
        <f t="shared" si="39"/>
        <v>3.8774320739499999E-3</v>
      </c>
      <c r="AB92" s="31">
        <f>ROUND(AA92*PARAMETROS!$H$24,0)</f>
        <v>665435199</v>
      </c>
      <c r="AC92" s="31">
        <f t="shared" si="40"/>
        <v>665435199</v>
      </c>
      <c r="AD92" s="31">
        <f t="shared" si="41"/>
        <v>166358800</v>
      </c>
      <c r="AE92" s="31">
        <f t="shared" si="43"/>
        <v>166358800</v>
      </c>
      <c r="AF92" s="31">
        <f t="shared" si="43"/>
        <v>166358800</v>
      </c>
      <c r="AG92" s="31">
        <f t="shared" si="42"/>
        <v>166358799</v>
      </c>
    </row>
    <row r="93" spans="1:33" ht="3" customHeight="1" x14ac:dyDescent="0.25">
      <c r="A93">
        <v>6107</v>
      </c>
      <c r="B93">
        <v>6109</v>
      </c>
      <c r="C93" t="s">
        <v>126</v>
      </c>
      <c r="D93" s="31">
        <f>+DATA!O89</f>
        <v>5441723</v>
      </c>
      <c r="E93" s="31">
        <f>+DATA!T89</f>
        <v>3151169.3569999998</v>
      </c>
      <c r="F93" s="38">
        <f t="shared" si="24"/>
        <v>8592892.3570000008</v>
      </c>
      <c r="G93" s="112">
        <f t="shared" si="25"/>
        <v>0.53300000000000003</v>
      </c>
      <c r="H93" s="95">
        <f t="shared" si="26"/>
        <v>0.36670000000000003</v>
      </c>
      <c r="I93" s="6" t="str">
        <f t="shared" si="27"/>
        <v>SI</v>
      </c>
      <c r="J93" s="117">
        <f t="shared" si="28"/>
        <v>3.3112582781000001E-3</v>
      </c>
      <c r="K93" s="117">
        <f t="shared" si="29"/>
        <v>1.6556291390500001E-3</v>
      </c>
      <c r="L93" s="31">
        <f>IF(I93="SI",VLOOKUP(A93,DATA!$A$4:$D$350,4,0),0)</f>
        <v>27749</v>
      </c>
      <c r="M93" s="95">
        <f>IF(I93="SI",VLOOKUP(A93,DATA!$A$4:$E$350,5,0),0)</f>
        <v>7.577006188229371E-2</v>
      </c>
      <c r="N93" s="31">
        <f t="shared" si="30"/>
        <v>2103</v>
      </c>
      <c r="O93" s="117">
        <f t="shared" si="31"/>
        <v>2.5461435549999998E-3</v>
      </c>
      <c r="P93" s="117">
        <f t="shared" si="32"/>
        <v>2.546143555E-4</v>
      </c>
      <c r="Q93" s="31">
        <f>IF(I93="SI",VLOOKUP(A93,DATA!$A$4:$G$350,7,0),0)</f>
        <v>9063</v>
      </c>
      <c r="R93" s="31">
        <f>IF(I93="SI",VLOOKUP(A93,DATA!$A$4:$H$350,8,0),0)</f>
        <v>15359</v>
      </c>
      <c r="S93" s="117">
        <f t="shared" si="33"/>
        <v>1.5606943657000001E-3</v>
      </c>
      <c r="T93" s="117">
        <f t="shared" si="34"/>
        <v>2.0418041551601082E-3</v>
      </c>
      <c r="U93" s="117">
        <f t="shared" si="35"/>
        <v>4.0836083100000001E-4</v>
      </c>
      <c r="V93" s="31">
        <f>IF(I93="SI",VLOOKUP(A93,COEF_FCM!$A$8:$X$354,24,0),0)</f>
        <v>5441723</v>
      </c>
      <c r="W93" s="121">
        <f t="shared" si="36"/>
        <v>196.11</v>
      </c>
      <c r="X93" s="31">
        <f>IF(AND(W93&gt;0,W93&lt;$W$7),ROUND(($W$7-W93)*L93,PARAMETROS!$L$8),0)</f>
        <v>0</v>
      </c>
      <c r="Y93" s="122">
        <f t="shared" si="37"/>
        <v>0</v>
      </c>
      <c r="Z93" s="117">
        <f t="shared" si="38"/>
        <v>0</v>
      </c>
      <c r="AA93" s="96">
        <f t="shared" si="39"/>
        <v>2.3186043255500003E-3</v>
      </c>
      <c r="AB93" s="31">
        <f>ROUND(AA93*PARAMETROS!$H$24,0)</f>
        <v>397913078</v>
      </c>
      <c r="AC93" s="31">
        <f t="shared" si="40"/>
        <v>397913078</v>
      </c>
      <c r="AD93" s="31">
        <f t="shared" si="41"/>
        <v>99478270</v>
      </c>
      <c r="AE93" s="31">
        <f t="shared" si="43"/>
        <v>99478270</v>
      </c>
      <c r="AF93" s="31">
        <f t="shared" si="43"/>
        <v>99478270</v>
      </c>
      <c r="AG93" s="31">
        <f t="shared" si="42"/>
        <v>99478268</v>
      </c>
    </row>
    <row r="94" spans="1:33" ht="3" customHeight="1" x14ac:dyDescent="0.25">
      <c r="A94">
        <v>6108</v>
      </c>
      <c r="B94">
        <v>6102</v>
      </c>
      <c r="C94" t="s">
        <v>385</v>
      </c>
      <c r="D94" s="31">
        <f>+DATA!O90</f>
        <v>9017577</v>
      </c>
      <c r="E94" s="31">
        <f>+DATA!T90</f>
        <v>3358081.4339999999</v>
      </c>
      <c r="F94" s="38">
        <f t="shared" si="24"/>
        <v>12375658.434</v>
      </c>
      <c r="G94" s="112">
        <f t="shared" si="25"/>
        <v>0.65500000000000003</v>
      </c>
      <c r="H94" s="95">
        <f t="shared" si="26"/>
        <v>0.27129999999999999</v>
      </c>
      <c r="I94" s="6" t="str">
        <f t="shared" si="27"/>
        <v>SI</v>
      </c>
      <c r="J94" s="117">
        <f t="shared" si="28"/>
        <v>3.3112582781000001E-3</v>
      </c>
      <c r="K94" s="117">
        <f t="shared" si="29"/>
        <v>1.6556291390500001E-3</v>
      </c>
      <c r="L94" s="31">
        <f>IF(I94="SI",VLOOKUP(A94,DATA!$A$4:$D$350,4,0),0)</f>
        <v>64751</v>
      </c>
      <c r="M94" s="95">
        <f>IF(I94="SI",VLOOKUP(A94,DATA!$A$4:$E$350,5,0),0)</f>
        <v>3.0424030078365551E-2</v>
      </c>
      <c r="N94" s="31">
        <f t="shared" si="30"/>
        <v>1970</v>
      </c>
      <c r="O94" s="117">
        <f t="shared" si="31"/>
        <v>2.3851178333000001E-3</v>
      </c>
      <c r="P94" s="117">
        <f t="shared" si="32"/>
        <v>2.3851178330000001E-4</v>
      </c>
      <c r="Q94" s="31">
        <f>IF(I94="SI",VLOOKUP(A94,DATA!$A$4:$G$350,7,0),0)</f>
        <v>12053</v>
      </c>
      <c r="R94" s="31">
        <f>IF(I94="SI",VLOOKUP(A94,DATA!$A$4:$H$350,8,0),0)</f>
        <v>24096</v>
      </c>
      <c r="S94" s="117">
        <f t="shared" si="33"/>
        <v>1.7594713583E-3</v>
      </c>
      <c r="T94" s="117">
        <f t="shared" si="34"/>
        <v>2.3018574355209128E-3</v>
      </c>
      <c r="U94" s="117">
        <f t="shared" si="35"/>
        <v>4.6037148709999998E-4</v>
      </c>
      <c r="V94" s="31">
        <f>IF(I94="SI",VLOOKUP(A94,COEF_FCM!$A$8:$X$354,24,0),0)</f>
        <v>9017577</v>
      </c>
      <c r="W94" s="121">
        <f t="shared" si="36"/>
        <v>139.27000000000001</v>
      </c>
      <c r="X94" s="31">
        <f>IF(AND(W94&gt;0,W94&lt;$W$7),ROUND(($W$7-W94)*L94,PARAMETROS!$L$8),0)</f>
        <v>0</v>
      </c>
      <c r="Y94" s="122">
        <f t="shared" si="37"/>
        <v>0</v>
      </c>
      <c r="Z94" s="117">
        <f t="shared" si="38"/>
        <v>0</v>
      </c>
      <c r="AA94" s="96">
        <f t="shared" si="39"/>
        <v>2.35451240945E-3</v>
      </c>
      <c r="AB94" s="31">
        <f>ROUND(AA94*PARAMETROS!$H$24,0)</f>
        <v>404075533</v>
      </c>
      <c r="AC94" s="31">
        <f t="shared" si="40"/>
        <v>404075533</v>
      </c>
      <c r="AD94" s="31">
        <f t="shared" si="41"/>
        <v>101018883</v>
      </c>
      <c r="AE94" s="31">
        <f t="shared" si="43"/>
        <v>101018883</v>
      </c>
      <c r="AF94" s="31">
        <f t="shared" si="43"/>
        <v>101018883</v>
      </c>
      <c r="AG94" s="31">
        <f t="shared" si="42"/>
        <v>101018884</v>
      </c>
    </row>
    <row r="95" spans="1:33" ht="3" customHeight="1" x14ac:dyDescent="0.25">
      <c r="A95">
        <v>6109</v>
      </c>
      <c r="B95">
        <v>6115</v>
      </c>
      <c r="C95" t="s">
        <v>130</v>
      </c>
      <c r="D95" s="31">
        <f>+DATA!O91</f>
        <v>1406581</v>
      </c>
      <c r="E95" s="31">
        <f>+DATA!T91</f>
        <v>3733020.54</v>
      </c>
      <c r="F95" s="38">
        <f t="shared" si="24"/>
        <v>5139601.54</v>
      </c>
      <c r="G95" s="112">
        <f t="shared" si="25"/>
        <v>0.30399999999999999</v>
      </c>
      <c r="H95" s="95">
        <f t="shared" si="26"/>
        <v>0.72629999999999995</v>
      </c>
      <c r="I95" s="6" t="str">
        <f t="shared" si="27"/>
        <v>SI</v>
      </c>
      <c r="J95" s="117">
        <f t="shared" si="28"/>
        <v>3.3112582781000001E-3</v>
      </c>
      <c r="K95" s="117">
        <f t="shared" si="29"/>
        <v>1.6556291390500001E-3</v>
      </c>
      <c r="L95" s="31">
        <f>IF(I95="SI",VLOOKUP(A95,DATA!$A$4:$D$350,4,0),0)</f>
        <v>14300</v>
      </c>
      <c r="M95" s="95">
        <f>IF(I95="SI",VLOOKUP(A95,DATA!$A$4:$E$350,5,0),0)</f>
        <v>9.7922458854994843E-2</v>
      </c>
      <c r="N95" s="31">
        <f t="shared" si="30"/>
        <v>1400</v>
      </c>
      <c r="O95" s="117">
        <f t="shared" si="31"/>
        <v>1.6950075972999999E-3</v>
      </c>
      <c r="P95" s="117">
        <f t="shared" si="32"/>
        <v>1.6950075970000001E-4</v>
      </c>
      <c r="Q95" s="31">
        <f>IF(I95="SI",VLOOKUP(A95,DATA!$A$4:$G$350,7,0),0)</f>
        <v>5211</v>
      </c>
      <c r="R95" s="31">
        <f>IF(I95="SI",VLOOKUP(A95,DATA!$A$4:$H$350,8,0),0)</f>
        <v>6715</v>
      </c>
      <c r="S95" s="117">
        <f t="shared" si="33"/>
        <v>1.1801384825000001E-3</v>
      </c>
      <c r="T95" s="117">
        <f t="shared" si="34"/>
        <v>1.5439356418462432E-3</v>
      </c>
      <c r="U95" s="117">
        <f t="shared" si="35"/>
        <v>3.0878712839999998E-4</v>
      </c>
      <c r="V95" s="31">
        <f>IF(I95="SI",VLOOKUP(A95,COEF_FCM!$A$8:$X$354,24,0),0)</f>
        <v>1406581</v>
      </c>
      <c r="W95" s="121">
        <f t="shared" si="36"/>
        <v>98.36</v>
      </c>
      <c r="X95" s="31">
        <f>IF(AND(W95&gt;0,W95&lt;$W$7),ROUND(($W$7-W95)*L95,PARAMETROS!$L$8),0)</f>
        <v>121550</v>
      </c>
      <c r="Y95" s="122">
        <f t="shared" si="37"/>
        <v>4.4796001180000001E-4</v>
      </c>
      <c r="Z95" s="117">
        <f t="shared" si="38"/>
        <v>8.9592002400000004E-5</v>
      </c>
      <c r="AA95" s="96">
        <f t="shared" si="39"/>
        <v>2.2235090295499998E-3</v>
      </c>
      <c r="AB95" s="31">
        <f>ROUND(AA95*PARAMETROS!$H$24,0)</f>
        <v>381593061</v>
      </c>
      <c r="AC95" s="31">
        <f t="shared" si="40"/>
        <v>381593061</v>
      </c>
      <c r="AD95" s="31">
        <f t="shared" si="41"/>
        <v>95398265</v>
      </c>
      <c r="AE95" s="31">
        <f t="shared" si="43"/>
        <v>95398265</v>
      </c>
      <c r="AF95" s="31">
        <f t="shared" si="43"/>
        <v>95398265</v>
      </c>
      <c r="AG95" s="31">
        <f t="shared" si="42"/>
        <v>95398266</v>
      </c>
    </row>
    <row r="96" spans="1:33" ht="3" customHeight="1" x14ac:dyDescent="0.25">
      <c r="A96">
        <v>6110</v>
      </c>
      <c r="B96">
        <v>6104</v>
      </c>
      <c r="C96" t="s">
        <v>121</v>
      </c>
      <c r="D96" s="31">
        <f>+DATA!O92</f>
        <v>15221392</v>
      </c>
      <c r="E96" s="31">
        <f>+DATA!T92</f>
        <v>3227871.952</v>
      </c>
      <c r="F96" s="38">
        <f t="shared" si="24"/>
        <v>18449263.952</v>
      </c>
      <c r="G96" s="112">
        <f t="shared" si="25"/>
        <v>0.76800000000000002</v>
      </c>
      <c r="H96" s="95">
        <f t="shared" si="26"/>
        <v>0.17499999999999999</v>
      </c>
      <c r="I96" s="6" t="str">
        <f t="shared" si="27"/>
        <v>SI</v>
      </c>
      <c r="J96" s="117">
        <f t="shared" si="28"/>
        <v>3.3112582781000001E-3</v>
      </c>
      <c r="K96" s="117">
        <f t="shared" si="29"/>
        <v>1.6556291390500001E-3</v>
      </c>
      <c r="L96" s="31">
        <f>IF(I96="SI",VLOOKUP(A96,DATA!$A$4:$D$350,4,0),0)</f>
        <v>28552</v>
      </c>
      <c r="M96" s="95">
        <f>IF(I96="SI",VLOOKUP(A96,DATA!$A$4:$E$350,5,0),0)</f>
        <v>7.3143987189589199E-2</v>
      </c>
      <c r="N96" s="31">
        <f t="shared" si="30"/>
        <v>2088</v>
      </c>
      <c r="O96" s="117">
        <f t="shared" si="31"/>
        <v>2.5279827594000001E-3</v>
      </c>
      <c r="P96" s="117">
        <f t="shared" si="32"/>
        <v>2.5279827589999999E-4</v>
      </c>
      <c r="Q96" s="31">
        <f>IF(I96="SI",VLOOKUP(A96,DATA!$A$4:$G$350,7,0),0)</f>
        <v>7340</v>
      </c>
      <c r="R96" s="31">
        <f>IF(I96="SI",VLOOKUP(A96,DATA!$A$4:$H$350,8,0),0)</f>
        <v>10696</v>
      </c>
      <c r="S96" s="117">
        <f t="shared" si="33"/>
        <v>1.4699669436000001E-3</v>
      </c>
      <c r="T96" s="117">
        <f t="shared" si="34"/>
        <v>1.9231085082083376E-3</v>
      </c>
      <c r="U96" s="117">
        <f t="shared" si="35"/>
        <v>3.8462170160000002E-4</v>
      </c>
      <c r="V96" s="31">
        <f>IF(I96="SI",VLOOKUP(A96,COEF_FCM!$A$8:$X$354,24,0),0)</f>
        <v>15221392</v>
      </c>
      <c r="W96" s="121">
        <f t="shared" si="36"/>
        <v>533.11</v>
      </c>
      <c r="X96" s="31">
        <f>IF(AND(W96&gt;0,W96&lt;$W$7),ROUND(($W$7-W96)*L96,PARAMETROS!$L$8),0)</f>
        <v>0</v>
      </c>
      <c r="Y96" s="122">
        <f t="shared" si="37"/>
        <v>0</v>
      </c>
      <c r="Z96" s="117">
        <f t="shared" si="38"/>
        <v>0</v>
      </c>
      <c r="AA96" s="96">
        <f t="shared" si="39"/>
        <v>2.2930491165499998E-3</v>
      </c>
      <c r="AB96" s="31">
        <f>ROUND(AA96*PARAMETROS!$H$24,0)</f>
        <v>393527357</v>
      </c>
      <c r="AC96" s="31">
        <f t="shared" si="40"/>
        <v>393527357</v>
      </c>
      <c r="AD96" s="31">
        <f t="shared" si="41"/>
        <v>98381839</v>
      </c>
      <c r="AE96" s="31">
        <f t="shared" si="43"/>
        <v>98381839</v>
      </c>
      <c r="AF96" s="31">
        <f t="shared" si="43"/>
        <v>98381839</v>
      </c>
      <c r="AG96" s="31">
        <f t="shared" si="42"/>
        <v>98381840</v>
      </c>
    </row>
    <row r="97" spans="1:33" ht="3" customHeight="1" x14ac:dyDescent="0.25">
      <c r="A97">
        <v>6111</v>
      </c>
      <c r="B97">
        <v>6114</v>
      </c>
      <c r="C97" t="s">
        <v>129</v>
      </c>
      <c r="D97" s="31">
        <f>+DATA!O93</f>
        <v>2095848</v>
      </c>
      <c r="E97" s="31">
        <f>+DATA!T93</f>
        <v>2469516.7119999998</v>
      </c>
      <c r="F97" s="38">
        <f t="shared" si="24"/>
        <v>4565364.7119999994</v>
      </c>
      <c r="G97" s="112">
        <f t="shared" si="25"/>
        <v>0.22800000000000001</v>
      </c>
      <c r="H97" s="95">
        <f t="shared" si="26"/>
        <v>0.54090000000000005</v>
      </c>
      <c r="I97" s="6" t="str">
        <f t="shared" si="27"/>
        <v>SI</v>
      </c>
      <c r="J97" s="117">
        <f t="shared" si="28"/>
        <v>3.3112582781000001E-3</v>
      </c>
      <c r="K97" s="117">
        <f t="shared" si="29"/>
        <v>1.6556291390500001E-3</v>
      </c>
      <c r="L97" s="31">
        <f>IF(I97="SI",VLOOKUP(A97,DATA!$A$4:$D$350,4,0),0)</f>
        <v>15007</v>
      </c>
      <c r="M97" s="95">
        <f>IF(I97="SI",VLOOKUP(A97,DATA!$A$4:$E$350,5,0),0)</f>
        <v>7.9633655473524023E-2</v>
      </c>
      <c r="N97" s="31">
        <f t="shared" si="30"/>
        <v>1195</v>
      </c>
      <c r="O97" s="117">
        <f t="shared" si="31"/>
        <v>1.4468100561999999E-3</v>
      </c>
      <c r="P97" s="117">
        <f t="shared" si="32"/>
        <v>1.446810056E-4</v>
      </c>
      <c r="Q97" s="31">
        <f>IF(I97="SI",VLOOKUP(A97,DATA!$A$4:$G$350,7,0),0)</f>
        <v>3022</v>
      </c>
      <c r="R97" s="31">
        <f>IF(I97="SI",VLOOKUP(A97,DATA!$A$4:$H$350,8,0),0)</f>
        <v>4756</v>
      </c>
      <c r="S97" s="117">
        <f t="shared" si="33"/>
        <v>5.603816647E-4</v>
      </c>
      <c r="T97" s="117">
        <f t="shared" si="34"/>
        <v>7.3312855906083093E-4</v>
      </c>
      <c r="U97" s="117">
        <f t="shared" si="35"/>
        <v>1.4662571179999999E-4</v>
      </c>
      <c r="V97" s="31">
        <f>IF(I97="SI",VLOOKUP(A97,COEF_FCM!$A$8:$X$354,24,0),0)</f>
        <v>2095848</v>
      </c>
      <c r="W97" s="121">
        <f t="shared" si="36"/>
        <v>139.66</v>
      </c>
      <c r="X97" s="31">
        <f>IF(AND(W97&gt;0,W97&lt;$W$7),ROUND(($W$7-W97)*L97,PARAMETROS!$L$8),0)</f>
        <v>0</v>
      </c>
      <c r="Y97" s="122">
        <f t="shared" si="37"/>
        <v>0</v>
      </c>
      <c r="Z97" s="117">
        <f t="shared" si="38"/>
        <v>0</v>
      </c>
      <c r="AA97" s="96">
        <f t="shared" si="39"/>
        <v>1.9469358564500002E-3</v>
      </c>
      <c r="AB97" s="31">
        <f>ROUND(AA97*PARAMETROS!$H$24,0)</f>
        <v>334128264</v>
      </c>
      <c r="AC97" s="31">
        <f t="shared" si="40"/>
        <v>334128264</v>
      </c>
      <c r="AD97" s="31">
        <f t="shared" si="41"/>
        <v>83532066</v>
      </c>
      <c r="AE97" s="31">
        <f t="shared" si="43"/>
        <v>83532066</v>
      </c>
      <c r="AF97" s="31">
        <f t="shared" si="43"/>
        <v>83532066</v>
      </c>
      <c r="AG97" s="31">
        <f t="shared" si="42"/>
        <v>83532066</v>
      </c>
    </row>
    <row r="98" spans="1:33" ht="3" customHeight="1" x14ac:dyDescent="0.25">
      <c r="A98">
        <v>6112</v>
      </c>
      <c r="B98">
        <v>6108</v>
      </c>
      <c r="C98" t="s">
        <v>125</v>
      </c>
      <c r="D98" s="31">
        <f>+DATA!O94</f>
        <v>1053133</v>
      </c>
      <c r="E98" s="31">
        <f>+DATA!T94</f>
        <v>3174526.7740000002</v>
      </c>
      <c r="F98" s="38">
        <f t="shared" si="24"/>
        <v>4227659.7740000002</v>
      </c>
      <c r="G98" s="112">
        <f t="shared" si="25"/>
        <v>0.185</v>
      </c>
      <c r="H98" s="95">
        <f t="shared" si="26"/>
        <v>0.75090000000000001</v>
      </c>
      <c r="I98" s="6" t="str">
        <f t="shared" si="27"/>
        <v>SI</v>
      </c>
      <c r="J98" s="117">
        <f t="shared" si="28"/>
        <v>3.3112582781000001E-3</v>
      </c>
      <c r="K98" s="117">
        <f t="shared" si="29"/>
        <v>1.6556291390500001E-3</v>
      </c>
      <c r="L98" s="31">
        <f>IF(I98="SI",VLOOKUP(A98,DATA!$A$4:$D$350,4,0),0)</f>
        <v>15028</v>
      </c>
      <c r="M98" s="95">
        <f>IF(I98="SI",VLOOKUP(A98,DATA!$A$4:$E$350,5,0),0)</f>
        <v>7.718469751227644E-2</v>
      </c>
      <c r="N98" s="31">
        <f t="shared" si="30"/>
        <v>1160</v>
      </c>
      <c r="O98" s="117">
        <f t="shared" si="31"/>
        <v>1.4044348663E-3</v>
      </c>
      <c r="P98" s="117">
        <f t="shared" si="32"/>
        <v>1.4044348660000001E-4</v>
      </c>
      <c r="Q98" s="31">
        <f>IF(I98="SI",VLOOKUP(A98,DATA!$A$4:$G$350,7,0),0)</f>
        <v>4350</v>
      </c>
      <c r="R98" s="31">
        <f>IF(I98="SI",VLOOKUP(A98,DATA!$A$4:$H$350,8,0),0)</f>
        <v>5475</v>
      </c>
      <c r="S98" s="117">
        <f t="shared" si="33"/>
        <v>1.0086284950000001E-3</v>
      </c>
      <c r="T98" s="117">
        <f t="shared" si="34"/>
        <v>1.3195548708091851E-3</v>
      </c>
      <c r="U98" s="117">
        <f t="shared" si="35"/>
        <v>2.6391097419999998E-4</v>
      </c>
      <c r="V98" s="31">
        <f>IF(I98="SI",VLOOKUP(A98,COEF_FCM!$A$8:$X$354,24,0),0)</f>
        <v>1053133</v>
      </c>
      <c r="W98" s="121">
        <f t="shared" si="36"/>
        <v>70.08</v>
      </c>
      <c r="X98" s="31">
        <f>IF(AND(W98&gt;0,W98&lt;$W$7),ROUND(($W$7-W98)*L98,PARAMETROS!$L$8),0)</f>
        <v>552730</v>
      </c>
      <c r="Y98" s="122">
        <f t="shared" si="37"/>
        <v>2.0370295134000001E-3</v>
      </c>
      <c r="Z98" s="117">
        <f t="shared" si="38"/>
        <v>4.0740590269999999E-4</v>
      </c>
      <c r="AA98" s="96">
        <f t="shared" si="39"/>
        <v>2.4673895025499998E-3</v>
      </c>
      <c r="AB98" s="31">
        <f>ROUND(AA98*PARAMETROS!$H$24,0)</f>
        <v>423447218</v>
      </c>
      <c r="AC98" s="31">
        <f t="shared" si="40"/>
        <v>423447218</v>
      </c>
      <c r="AD98" s="31">
        <f t="shared" si="41"/>
        <v>105861805</v>
      </c>
      <c r="AE98" s="31">
        <f t="shared" si="43"/>
        <v>105861805</v>
      </c>
      <c r="AF98" s="31">
        <f t="shared" si="43"/>
        <v>105861805</v>
      </c>
      <c r="AG98" s="31">
        <f t="shared" si="42"/>
        <v>105861803</v>
      </c>
    </row>
    <row r="99" spans="1:33" ht="3" customHeight="1" x14ac:dyDescent="0.25">
      <c r="A99">
        <v>6113</v>
      </c>
      <c r="B99">
        <v>6111</v>
      </c>
      <c r="C99" t="s">
        <v>127</v>
      </c>
      <c r="D99" s="31">
        <f>+DATA!O95</f>
        <v>1721510</v>
      </c>
      <c r="E99" s="31">
        <f>+DATA!T95</f>
        <v>4049753.0260000001</v>
      </c>
      <c r="F99" s="38">
        <f t="shared" si="24"/>
        <v>5771263.0260000005</v>
      </c>
      <c r="G99" s="112">
        <f t="shared" si="25"/>
        <v>0.371</v>
      </c>
      <c r="H99" s="95">
        <f t="shared" si="26"/>
        <v>0.70169999999999999</v>
      </c>
      <c r="I99" s="6" t="str">
        <f t="shared" si="27"/>
        <v>SI</v>
      </c>
      <c r="J99" s="117">
        <f t="shared" si="28"/>
        <v>3.3112582781000001E-3</v>
      </c>
      <c r="K99" s="117">
        <f t="shared" si="29"/>
        <v>1.6556291390500001E-3</v>
      </c>
      <c r="L99" s="31">
        <f>IF(I99="SI",VLOOKUP(A99,DATA!$A$4:$D$350,4,0),0)</f>
        <v>21074</v>
      </c>
      <c r="M99" s="95">
        <f>IF(I99="SI",VLOOKUP(A99,DATA!$A$4:$E$350,5,0),0)</f>
        <v>0.1092073031580498</v>
      </c>
      <c r="N99" s="31">
        <f t="shared" si="30"/>
        <v>2301</v>
      </c>
      <c r="O99" s="117">
        <f t="shared" si="31"/>
        <v>2.7858660581000002E-3</v>
      </c>
      <c r="P99" s="117">
        <f t="shared" si="32"/>
        <v>2.785866058E-4</v>
      </c>
      <c r="Q99" s="31">
        <f>IF(I99="SI",VLOOKUP(A99,DATA!$A$4:$G$350,7,0),0)</f>
        <v>7716</v>
      </c>
      <c r="R99" s="31">
        <f>IF(I99="SI",VLOOKUP(A99,DATA!$A$4:$H$350,8,0),0)</f>
        <v>10288</v>
      </c>
      <c r="S99" s="117">
        <f t="shared" si="33"/>
        <v>1.6888470721999999E-3</v>
      </c>
      <c r="T99" s="117">
        <f t="shared" si="34"/>
        <v>2.2094620479400011E-3</v>
      </c>
      <c r="U99" s="117">
        <f t="shared" si="35"/>
        <v>4.4189240960000001E-4</v>
      </c>
      <c r="V99" s="31">
        <f>IF(I99="SI",VLOOKUP(A99,COEF_FCM!$A$8:$X$354,24,0),0)</f>
        <v>1721510</v>
      </c>
      <c r="W99" s="121">
        <f t="shared" si="36"/>
        <v>81.69</v>
      </c>
      <c r="X99" s="31">
        <f>IF(AND(W99&gt;0,W99&lt;$W$7),ROUND(($W$7-W99)*L99,PARAMETROS!$L$8),0)</f>
        <v>530433</v>
      </c>
      <c r="Y99" s="122">
        <f t="shared" si="37"/>
        <v>1.9548562153000001E-3</v>
      </c>
      <c r="Z99" s="117">
        <f t="shared" si="38"/>
        <v>3.9097124309999998E-4</v>
      </c>
      <c r="AA99" s="96">
        <f t="shared" si="39"/>
        <v>2.7670793975500003E-3</v>
      </c>
      <c r="AB99" s="31">
        <f>ROUND(AA99*PARAMETROS!$H$24,0)</f>
        <v>474879249</v>
      </c>
      <c r="AC99" s="31">
        <f t="shared" si="40"/>
        <v>474879249</v>
      </c>
      <c r="AD99" s="31">
        <f t="shared" si="41"/>
        <v>118719812</v>
      </c>
      <c r="AE99" s="31">
        <f t="shared" si="43"/>
        <v>118719812</v>
      </c>
      <c r="AF99" s="31">
        <f t="shared" si="43"/>
        <v>118719812</v>
      </c>
      <c r="AG99" s="31">
        <f t="shared" si="42"/>
        <v>118719813</v>
      </c>
    </row>
    <row r="100" spans="1:33" ht="3" customHeight="1" x14ac:dyDescent="0.25">
      <c r="A100">
        <v>6114</v>
      </c>
      <c r="B100">
        <v>6117</v>
      </c>
      <c r="C100" t="s">
        <v>132</v>
      </c>
      <c r="D100" s="31">
        <f>+DATA!O96</f>
        <v>1422715</v>
      </c>
      <c r="E100" s="31">
        <f>+DATA!T96</f>
        <v>3274724.5410000002</v>
      </c>
      <c r="F100" s="38">
        <f t="shared" si="24"/>
        <v>4697439.5410000002</v>
      </c>
      <c r="G100" s="112">
        <f t="shared" si="25"/>
        <v>0.23699999999999999</v>
      </c>
      <c r="H100" s="95">
        <f t="shared" si="26"/>
        <v>0.69710000000000005</v>
      </c>
      <c r="I100" s="6" t="str">
        <f t="shared" si="27"/>
        <v>SI</v>
      </c>
      <c r="J100" s="117">
        <f t="shared" si="28"/>
        <v>3.3112582781000001E-3</v>
      </c>
      <c r="K100" s="117">
        <f t="shared" si="29"/>
        <v>1.6556291390500001E-3</v>
      </c>
      <c r="L100" s="31">
        <f>IF(I100="SI",VLOOKUP(A100,DATA!$A$4:$D$350,4,0),0)</f>
        <v>14288</v>
      </c>
      <c r="M100" s="95">
        <f>IF(I100="SI",VLOOKUP(A100,DATA!$A$4:$E$350,5,0),0)</f>
        <v>9.0363154259129164E-2</v>
      </c>
      <c r="N100" s="31">
        <f t="shared" si="30"/>
        <v>1291</v>
      </c>
      <c r="O100" s="117">
        <f t="shared" si="31"/>
        <v>1.5630391485999999E-3</v>
      </c>
      <c r="P100" s="117">
        <f t="shared" si="32"/>
        <v>1.563039149E-4</v>
      </c>
      <c r="Q100" s="31">
        <f>IF(I100="SI",VLOOKUP(A100,DATA!$A$4:$G$350,7,0),0)</f>
        <v>4843</v>
      </c>
      <c r="R100" s="31">
        <f>IF(I100="SI",VLOOKUP(A100,DATA!$A$4:$H$350,8,0),0)</f>
        <v>6177</v>
      </c>
      <c r="S100" s="117">
        <f t="shared" si="33"/>
        <v>1.1081235373E-3</v>
      </c>
      <c r="T100" s="117">
        <f t="shared" si="34"/>
        <v>1.4497209015520811E-3</v>
      </c>
      <c r="U100" s="117">
        <f t="shared" si="35"/>
        <v>2.8994418030000001E-4</v>
      </c>
      <c r="V100" s="31">
        <f>IF(I100="SI",VLOOKUP(A100,COEF_FCM!$A$8:$X$354,24,0),0)</f>
        <v>1422715</v>
      </c>
      <c r="W100" s="121">
        <f t="shared" si="36"/>
        <v>99.57</v>
      </c>
      <c r="X100" s="31">
        <f>IF(AND(W100&gt;0,W100&lt;$W$7),ROUND(($W$7-W100)*L100,PARAMETROS!$L$8),0)</f>
        <v>104160</v>
      </c>
      <c r="Y100" s="122">
        <f t="shared" si="37"/>
        <v>3.8387095710000003E-4</v>
      </c>
      <c r="Z100" s="117">
        <f t="shared" si="38"/>
        <v>7.6774191399999996E-5</v>
      </c>
      <c r="AA100" s="96">
        <f t="shared" si="39"/>
        <v>2.1786514256499998E-3</v>
      </c>
      <c r="AB100" s="31">
        <f>ROUND(AA100*PARAMETROS!$H$24,0)</f>
        <v>373894711</v>
      </c>
      <c r="AC100" s="31">
        <f t="shared" si="40"/>
        <v>373894711</v>
      </c>
      <c r="AD100" s="31">
        <f t="shared" si="41"/>
        <v>93473678</v>
      </c>
      <c r="AE100" s="31">
        <f t="shared" si="43"/>
        <v>93473678</v>
      </c>
      <c r="AF100" s="31">
        <f t="shared" si="43"/>
        <v>93473678</v>
      </c>
      <c r="AG100" s="31">
        <f t="shared" si="42"/>
        <v>93473677</v>
      </c>
    </row>
    <row r="101" spans="1:33" ht="3" customHeight="1" x14ac:dyDescent="0.25">
      <c r="A101">
        <v>6115</v>
      </c>
      <c r="B101">
        <v>6112</v>
      </c>
      <c r="C101" t="s">
        <v>128</v>
      </c>
      <c r="D101" s="31">
        <f>+DATA!O97</f>
        <v>6155098</v>
      </c>
      <c r="E101" s="31">
        <f>+DATA!T97</f>
        <v>9633603.1559999995</v>
      </c>
      <c r="F101" s="38">
        <f t="shared" si="24"/>
        <v>15788701.155999999</v>
      </c>
      <c r="G101" s="112">
        <f t="shared" si="25"/>
        <v>0.71799999999999997</v>
      </c>
      <c r="H101" s="95">
        <f t="shared" si="26"/>
        <v>0.61019999999999996</v>
      </c>
      <c r="I101" s="6" t="str">
        <f t="shared" si="27"/>
        <v>SI</v>
      </c>
      <c r="J101" s="117">
        <f t="shared" si="28"/>
        <v>3.3112582781000001E-3</v>
      </c>
      <c r="K101" s="117">
        <f t="shared" si="29"/>
        <v>1.6556291390500001E-3</v>
      </c>
      <c r="L101" s="31">
        <f>IF(I101="SI",VLOOKUP(A101,DATA!$A$4:$D$350,4,0),0)</f>
        <v>65786</v>
      </c>
      <c r="M101" s="95">
        <f>IF(I101="SI",VLOOKUP(A101,DATA!$A$4:$E$350,5,0),0)</f>
        <v>5.4330685554874338E-2</v>
      </c>
      <c r="N101" s="31">
        <f t="shared" si="30"/>
        <v>3574</v>
      </c>
      <c r="O101" s="117">
        <f t="shared" si="31"/>
        <v>4.3271122519000001E-3</v>
      </c>
      <c r="P101" s="117">
        <f t="shared" si="32"/>
        <v>4.3271122519999999E-4</v>
      </c>
      <c r="Q101" s="31">
        <f>IF(I101="SI",VLOOKUP(A101,DATA!$A$4:$G$350,7,0),0)</f>
        <v>21760</v>
      </c>
      <c r="R101" s="31">
        <f>IF(I101="SI",VLOOKUP(A101,DATA!$A$4:$H$350,8,0),0)</f>
        <v>25773</v>
      </c>
      <c r="S101" s="117">
        <f t="shared" si="33"/>
        <v>5.3615412446999999E-3</v>
      </c>
      <c r="T101" s="117">
        <f t="shared" si="34"/>
        <v>7.014324798039962E-3</v>
      </c>
      <c r="U101" s="117">
        <f t="shared" si="35"/>
        <v>1.4028649595999999E-3</v>
      </c>
      <c r="V101" s="31">
        <f>IF(I101="SI",VLOOKUP(A101,COEF_FCM!$A$8:$X$354,24,0),0)</f>
        <v>6155098</v>
      </c>
      <c r="W101" s="121">
        <f t="shared" si="36"/>
        <v>93.56</v>
      </c>
      <c r="X101" s="31">
        <f>IF(AND(W101&gt;0,W101&lt;$W$7),ROUND(($W$7-W101)*L101,PARAMETROS!$L$8),0)</f>
        <v>874954</v>
      </c>
      <c r="Y101" s="122">
        <f t="shared" si="37"/>
        <v>3.2245528935E-3</v>
      </c>
      <c r="Z101" s="117">
        <f t="shared" si="38"/>
        <v>6.4491057869999998E-4</v>
      </c>
      <c r="AA101" s="96">
        <f t="shared" si="39"/>
        <v>4.1361159025500001E-3</v>
      </c>
      <c r="AB101" s="31">
        <f>ROUND(AA101*PARAMETROS!$H$24,0)</f>
        <v>709829871</v>
      </c>
      <c r="AC101" s="31">
        <f t="shared" si="40"/>
        <v>709829871</v>
      </c>
      <c r="AD101" s="31">
        <f t="shared" si="41"/>
        <v>177457468</v>
      </c>
      <c r="AE101" s="31">
        <f t="shared" si="43"/>
        <v>177457468</v>
      </c>
      <c r="AF101" s="31">
        <f t="shared" si="43"/>
        <v>177457468</v>
      </c>
      <c r="AG101" s="31">
        <f t="shared" si="42"/>
        <v>177457467</v>
      </c>
    </row>
    <row r="102" spans="1:33" ht="3" customHeight="1" x14ac:dyDescent="0.25">
      <c r="A102">
        <v>6116</v>
      </c>
      <c r="B102">
        <v>6113</v>
      </c>
      <c r="C102" t="s">
        <v>499</v>
      </c>
      <c r="D102" s="31">
        <f>+DATA!O98</f>
        <v>5868811</v>
      </c>
      <c r="E102" s="31">
        <f>+DATA!T98</f>
        <v>3022901.5970000001</v>
      </c>
      <c r="F102" s="38">
        <f t="shared" si="24"/>
        <v>8891712.5969999991</v>
      </c>
      <c r="G102" s="112">
        <f t="shared" si="25"/>
        <v>0.54700000000000004</v>
      </c>
      <c r="H102" s="95">
        <f t="shared" si="26"/>
        <v>0.34</v>
      </c>
      <c r="I102" s="6" t="str">
        <f t="shared" si="27"/>
        <v>SI</v>
      </c>
      <c r="J102" s="117">
        <f t="shared" si="28"/>
        <v>3.3112582781000001E-3</v>
      </c>
      <c r="K102" s="117">
        <f t="shared" si="29"/>
        <v>1.6556291390500001E-3</v>
      </c>
      <c r="L102" s="31">
        <f>IF(I102="SI",VLOOKUP(A102,DATA!$A$4:$D$350,4,0),0)</f>
        <v>31724</v>
      </c>
      <c r="M102" s="95">
        <f>IF(I102="SI",VLOOKUP(A102,DATA!$A$4:$E$350,5,0),0)</f>
        <v>2.9791232299741021E-2</v>
      </c>
      <c r="N102" s="31">
        <f t="shared" si="30"/>
        <v>945</v>
      </c>
      <c r="O102" s="117">
        <f t="shared" si="31"/>
        <v>1.1441301282E-3</v>
      </c>
      <c r="P102" s="117">
        <f t="shared" si="32"/>
        <v>1.144130128E-4</v>
      </c>
      <c r="Q102" s="31">
        <f>IF(I102="SI",VLOOKUP(A102,DATA!$A$4:$G$350,7,0),0)</f>
        <v>7339</v>
      </c>
      <c r="R102" s="31">
        <f>IF(I102="SI",VLOOKUP(A102,DATA!$A$4:$H$350,8,0),0)</f>
        <v>11195</v>
      </c>
      <c r="S102" s="117">
        <f t="shared" si="33"/>
        <v>1.4040627591000001E-3</v>
      </c>
      <c r="T102" s="117">
        <f t="shared" si="34"/>
        <v>1.8368882714266252E-3</v>
      </c>
      <c r="U102" s="117">
        <f t="shared" si="35"/>
        <v>3.6737765429999998E-4</v>
      </c>
      <c r="V102" s="31">
        <f>IF(I102="SI",VLOOKUP(A102,COEF_FCM!$A$8:$X$354,24,0),0)</f>
        <v>5868811</v>
      </c>
      <c r="W102" s="121">
        <f t="shared" si="36"/>
        <v>185</v>
      </c>
      <c r="X102" s="31">
        <f>IF(AND(W102&gt;0,W102&lt;$W$7),ROUND(($W$7-W102)*L102,PARAMETROS!$L$8),0)</f>
        <v>0</v>
      </c>
      <c r="Y102" s="122">
        <f t="shared" si="37"/>
        <v>0</v>
      </c>
      <c r="Z102" s="117">
        <f t="shared" si="38"/>
        <v>0</v>
      </c>
      <c r="AA102" s="96">
        <f t="shared" si="39"/>
        <v>2.1374198061500003E-3</v>
      </c>
      <c r="AB102" s="31">
        <f>ROUND(AA102*PARAMETROS!$H$24,0)</f>
        <v>366818644</v>
      </c>
      <c r="AC102" s="31">
        <f t="shared" si="40"/>
        <v>366818644</v>
      </c>
      <c r="AD102" s="31">
        <f t="shared" si="41"/>
        <v>91704661</v>
      </c>
      <c r="AE102" s="31">
        <f t="shared" si="43"/>
        <v>91704661</v>
      </c>
      <c r="AF102" s="31">
        <f t="shared" si="43"/>
        <v>91704661</v>
      </c>
      <c r="AG102" s="31">
        <f t="shared" si="42"/>
        <v>91704661</v>
      </c>
    </row>
    <row r="103" spans="1:33" ht="3" customHeight="1" x14ac:dyDescent="0.25">
      <c r="A103">
        <v>6117</v>
      </c>
      <c r="B103">
        <v>6110</v>
      </c>
      <c r="C103" t="s">
        <v>316</v>
      </c>
      <c r="D103" s="31">
        <f>+DATA!O99</f>
        <v>4449991</v>
      </c>
      <c r="E103" s="31">
        <f>+DATA!T99</f>
        <v>9152729.1329999994</v>
      </c>
      <c r="F103" s="38">
        <f t="shared" si="24"/>
        <v>13602720.132999999</v>
      </c>
      <c r="G103" s="112">
        <f t="shared" si="25"/>
        <v>0.69499999999999995</v>
      </c>
      <c r="H103" s="95">
        <f t="shared" si="26"/>
        <v>0.67290000000000005</v>
      </c>
      <c r="I103" s="6" t="str">
        <f t="shared" si="27"/>
        <v>SI</v>
      </c>
      <c r="J103" s="117">
        <f t="shared" si="28"/>
        <v>3.3112582781000001E-3</v>
      </c>
      <c r="K103" s="117">
        <f t="shared" si="29"/>
        <v>1.6556291390500001E-3</v>
      </c>
      <c r="L103" s="31">
        <f>IF(I103="SI",VLOOKUP(A103,DATA!$A$4:$D$350,4,0),0)</f>
        <v>52289</v>
      </c>
      <c r="M103" s="95">
        <f>IF(I103="SI",VLOOKUP(A103,DATA!$A$4:$E$350,5,0),0)</f>
        <v>9.1985702540799727E-2</v>
      </c>
      <c r="N103" s="31">
        <f t="shared" si="30"/>
        <v>4810</v>
      </c>
      <c r="O103" s="117">
        <f t="shared" si="31"/>
        <v>5.8235618163000004E-3</v>
      </c>
      <c r="P103" s="117">
        <f t="shared" si="32"/>
        <v>5.8235618160000003E-4</v>
      </c>
      <c r="Q103" s="31">
        <f>IF(I103="SI",VLOOKUP(A103,DATA!$A$4:$G$350,7,0),0)</f>
        <v>16799</v>
      </c>
      <c r="R103" s="31">
        <f>IF(I103="SI",VLOOKUP(A103,DATA!$A$4:$H$350,8,0),0)</f>
        <v>22012</v>
      </c>
      <c r="S103" s="117">
        <f t="shared" si="33"/>
        <v>3.7414866416000002E-3</v>
      </c>
      <c r="T103" s="117">
        <f t="shared" si="34"/>
        <v>4.894861632865905E-3</v>
      </c>
      <c r="U103" s="117">
        <f t="shared" si="35"/>
        <v>9.7897232659999991E-4</v>
      </c>
      <c r="V103" s="31">
        <f>IF(I103="SI",VLOOKUP(A103,COEF_FCM!$A$8:$X$354,24,0),0)</f>
        <v>4449991</v>
      </c>
      <c r="W103" s="121">
        <f t="shared" si="36"/>
        <v>85.1</v>
      </c>
      <c r="X103" s="31">
        <f>IF(AND(W103&gt;0,W103&lt;$W$7),ROUND(($W$7-W103)*L103,PARAMETROS!$L$8),0)</f>
        <v>1137809</v>
      </c>
      <c r="Y103" s="122">
        <f t="shared" si="37"/>
        <v>4.1932779360000002E-3</v>
      </c>
      <c r="Z103" s="117">
        <f t="shared" si="38"/>
        <v>8.3865558719999999E-4</v>
      </c>
      <c r="AA103" s="96">
        <f t="shared" si="39"/>
        <v>4.0556132344499998E-3</v>
      </c>
      <c r="AB103" s="31">
        <f>ROUND(AA103*PARAMETROS!$H$24,0)</f>
        <v>696014204</v>
      </c>
      <c r="AC103" s="31">
        <f t="shared" si="40"/>
        <v>696014204</v>
      </c>
      <c r="AD103" s="31">
        <f t="shared" si="41"/>
        <v>174003551</v>
      </c>
      <c r="AE103" s="31">
        <f t="shared" si="43"/>
        <v>174003551</v>
      </c>
      <c r="AF103" s="31">
        <f t="shared" si="43"/>
        <v>174003551</v>
      </c>
      <c r="AG103" s="31">
        <f t="shared" si="42"/>
        <v>174003551</v>
      </c>
    </row>
    <row r="104" spans="1:33" ht="3" customHeight="1" x14ac:dyDescent="0.25">
      <c r="A104">
        <v>6201</v>
      </c>
      <c r="B104">
        <v>6301</v>
      </c>
      <c r="C104" t="s">
        <v>142</v>
      </c>
      <c r="D104" s="31">
        <f>+DATA!O100</f>
        <v>4139521</v>
      </c>
      <c r="E104" s="31">
        <f>+DATA!T100</f>
        <v>12220532.187000001</v>
      </c>
      <c r="F104" s="38">
        <f t="shared" si="24"/>
        <v>16360053.187000001</v>
      </c>
      <c r="G104" s="112">
        <f t="shared" si="25"/>
        <v>0.73599999999999999</v>
      </c>
      <c r="H104" s="95">
        <f t="shared" si="26"/>
        <v>0.747</v>
      </c>
      <c r="I104" s="6" t="str">
        <f t="shared" si="27"/>
        <v>SI</v>
      </c>
      <c r="J104" s="117">
        <f t="shared" si="28"/>
        <v>3.3112582781000001E-3</v>
      </c>
      <c r="K104" s="117">
        <f t="shared" si="29"/>
        <v>1.6556291390500001E-3</v>
      </c>
      <c r="L104" s="31">
        <f>IF(I104="SI",VLOOKUP(A104,DATA!$A$4:$D$350,4,0),0)</f>
        <v>18804</v>
      </c>
      <c r="M104" s="95">
        <f>IF(I104="SI",VLOOKUP(A104,DATA!$A$4:$E$350,5,0),0)</f>
        <v>6.8724151951301826E-2</v>
      </c>
      <c r="N104" s="31">
        <f t="shared" si="30"/>
        <v>1292</v>
      </c>
      <c r="O104" s="117">
        <f t="shared" si="31"/>
        <v>1.5642498683E-3</v>
      </c>
      <c r="P104" s="117">
        <f t="shared" si="32"/>
        <v>1.5642498680000001E-4</v>
      </c>
      <c r="Q104" s="31">
        <f>IF(I104="SI",VLOOKUP(A104,DATA!$A$4:$G$350,7,0),0)</f>
        <v>10595</v>
      </c>
      <c r="R104" s="31">
        <f>IF(I104="SI",VLOOKUP(A104,DATA!$A$4:$H$350,8,0),0)</f>
        <v>19058</v>
      </c>
      <c r="S104" s="117">
        <f t="shared" si="33"/>
        <v>1.718942868E-3</v>
      </c>
      <c r="T104" s="117">
        <f t="shared" si="34"/>
        <v>2.2488353693716633E-3</v>
      </c>
      <c r="U104" s="117">
        <f t="shared" si="35"/>
        <v>4.497670739E-4</v>
      </c>
      <c r="V104" s="31">
        <f>IF(I104="SI",VLOOKUP(A104,COEF_FCM!$A$8:$X$354,24,0),0)</f>
        <v>4139521</v>
      </c>
      <c r="W104" s="121">
        <f t="shared" si="36"/>
        <v>220.14</v>
      </c>
      <c r="X104" s="31">
        <f>IF(AND(W104&gt;0,W104&lt;$W$7),ROUND(($W$7-W104)*L104,PARAMETROS!$L$8),0)</f>
        <v>0</v>
      </c>
      <c r="Y104" s="122">
        <f t="shared" si="37"/>
        <v>0</v>
      </c>
      <c r="Z104" s="117">
        <f t="shared" si="38"/>
        <v>0</v>
      </c>
      <c r="AA104" s="96">
        <f t="shared" si="39"/>
        <v>2.2618211997500002E-3</v>
      </c>
      <c r="AB104" s="31">
        <f>ROUND(AA104*PARAMETROS!$H$24,0)</f>
        <v>388168100</v>
      </c>
      <c r="AC104" s="31">
        <f t="shared" si="40"/>
        <v>388168100</v>
      </c>
      <c r="AD104" s="31">
        <f t="shared" si="41"/>
        <v>97042025</v>
      </c>
      <c r="AE104" s="31">
        <f t="shared" si="43"/>
        <v>97042025</v>
      </c>
      <c r="AF104" s="31">
        <f t="shared" si="43"/>
        <v>97042025</v>
      </c>
      <c r="AG104" s="31">
        <f t="shared" si="42"/>
        <v>97042025</v>
      </c>
    </row>
    <row r="105" spans="1:33" ht="3" customHeight="1" x14ac:dyDescent="0.25">
      <c r="A105">
        <v>6202</v>
      </c>
      <c r="B105">
        <v>6304</v>
      </c>
      <c r="C105" t="s">
        <v>145</v>
      </c>
      <c r="D105" s="31">
        <f>+DATA!O101</f>
        <v>1938792</v>
      </c>
      <c r="E105" s="31">
        <f>+DATA!T101</f>
        <v>1961592.7039999999</v>
      </c>
      <c r="F105" s="38">
        <f t="shared" si="24"/>
        <v>3900384.7039999999</v>
      </c>
      <c r="G105" s="112">
        <f t="shared" si="25"/>
        <v>0.13900000000000001</v>
      </c>
      <c r="H105" s="95">
        <f t="shared" si="26"/>
        <v>0.50290000000000001</v>
      </c>
      <c r="I105" s="6" t="str">
        <f t="shared" si="27"/>
        <v>SI</v>
      </c>
      <c r="J105" s="117">
        <f t="shared" si="28"/>
        <v>3.3112582781000001E-3</v>
      </c>
      <c r="K105" s="117">
        <f t="shared" si="29"/>
        <v>1.6556291390500001E-3</v>
      </c>
      <c r="L105" s="31">
        <f>IF(I105="SI",VLOOKUP(A105,DATA!$A$4:$D$350,4,0),0)</f>
        <v>3098</v>
      </c>
      <c r="M105" s="95">
        <f>IF(I105="SI",VLOOKUP(A105,DATA!$A$4:$E$350,5,0),0)</f>
        <v>9.7283685469863657E-2</v>
      </c>
      <c r="N105" s="31">
        <f t="shared" si="30"/>
        <v>301</v>
      </c>
      <c r="O105" s="117">
        <f t="shared" si="31"/>
        <v>3.6442663339999998E-4</v>
      </c>
      <c r="P105" s="117">
        <f t="shared" si="32"/>
        <v>3.6442663300000003E-5</v>
      </c>
      <c r="Q105" s="31">
        <f>IF(I105="SI",VLOOKUP(A105,DATA!$A$4:$G$350,7,0),0)</f>
        <v>2038</v>
      </c>
      <c r="R105" s="31">
        <f>IF(I105="SI",VLOOKUP(A105,DATA!$A$4:$H$350,8,0),0)</f>
        <v>5849</v>
      </c>
      <c r="S105" s="117">
        <f t="shared" si="33"/>
        <v>2.0723522690000001E-4</v>
      </c>
      <c r="T105" s="117">
        <f t="shared" si="34"/>
        <v>2.7111890494343181E-4</v>
      </c>
      <c r="U105" s="117">
        <f t="shared" si="35"/>
        <v>5.4223781000000002E-5</v>
      </c>
      <c r="V105" s="31">
        <f>IF(I105="SI",VLOOKUP(A105,COEF_FCM!$A$8:$X$354,24,0),0)</f>
        <v>1938792</v>
      </c>
      <c r="W105" s="121">
        <f t="shared" si="36"/>
        <v>625.82000000000005</v>
      </c>
      <c r="X105" s="31">
        <f>IF(AND(W105&gt;0,W105&lt;$W$7),ROUND(($W$7-W105)*L105,PARAMETROS!$L$8),0)</f>
        <v>0</v>
      </c>
      <c r="Y105" s="122">
        <f t="shared" si="37"/>
        <v>0</v>
      </c>
      <c r="Z105" s="117">
        <f t="shared" si="38"/>
        <v>0</v>
      </c>
      <c r="AA105" s="96">
        <f t="shared" si="39"/>
        <v>1.7462955833500002E-3</v>
      </c>
      <c r="AB105" s="31">
        <f>ROUND(AA105*PARAMETROS!$H$24,0)</f>
        <v>299694882</v>
      </c>
      <c r="AC105" s="31">
        <f t="shared" si="40"/>
        <v>299694882</v>
      </c>
      <c r="AD105" s="31">
        <f t="shared" si="41"/>
        <v>74923721</v>
      </c>
      <c r="AE105" s="31">
        <f t="shared" si="43"/>
        <v>74923721</v>
      </c>
      <c r="AF105" s="31">
        <f t="shared" si="43"/>
        <v>74923721</v>
      </c>
      <c r="AG105" s="31">
        <f t="shared" si="42"/>
        <v>74923719</v>
      </c>
    </row>
    <row r="106" spans="1:33" ht="3" customHeight="1" x14ac:dyDescent="0.25">
      <c r="A106">
        <v>6203</v>
      </c>
      <c r="B106">
        <v>6303</v>
      </c>
      <c r="C106" t="s">
        <v>144</v>
      </c>
      <c r="D106" s="31">
        <f>+DATA!O102</f>
        <v>1755022</v>
      </c>
      <c r="E106" s="31">
        <f>+DATA!T102</f>
        <v>2117657.821</v>
      </c>
      <c r="F106" s="38">
        <f t="shared" si="24"/>
        <v>3872679.821</v>
      </c>
      <c r="G106" s="112">
        <f t="shared" si="25"/>
        <v>0.13600000000000001</v>
      </c>
      <c r="H106" s="95">
        <f t="shared" si="26"/>
        <v>0.54679999999999995</v>
      </c>
      <c r="I106" s="6" t="str">
        <f t="shared" si="27"/>
        <v>SI</v>
      </c>
      <c r="J106" s="117">
        <f t="shared" si="28"/>
        <v>3.3112582781000001E-3</v>
      </c>
      <c r="K106" s="117">
        <f t="shared" si="29"/>
        <v>1.6556291390500001E-3</v>
      </c>
      <c r="L106" s="31">
        <f>IF(I106="SI",VLOOKUP(A106,DATA!$A$4:$D$350,4,0),0)</f>
        <v>6949</v>
      </c>
      <c r="M106" s="95">
        <f>IF(I106="SI",VLOOKUP(A106,DATA!$A$4:$E$350,5,0),0)</f>
        <v>9.3722331906525666E-2</v>
      </c>
      <c r="N106" s="31">
        <f t="shared" si="30"/>
        <v>651</v>
      </c>
      <c r="O106" s="117">
        <f t="shared" si="31"/>
        <v>7.8817853270000005E-4</v>
      </c>
      <c r="P106" s="117">
        <f t="shared" si="32"/>
        <v>7.8817853299999996E-5</v>
      </c>
      <c r="Q106" s="31">
        <f>IF(I106="SI",VLOOKUP(A106,DATA!$A$4:$G$350,7,0),0)</f>
        <v>3409</v>
      </c>
      <c r="R106" s="31">
        <f>IF(I106="SI",VLOOKUP(A106,DATA!$A$4:$H$350,8,0),0)</f>
        <v>11138</v>
      </c>
      <c r="S106" s="117">
        <f t="shared" si="33"/>
        <v>3.0449743029999999E-4</v>
      </c>
      <c r="T106" s="117">
        <f t="shared" si="34"/>
        <v>3.9836378735388131E-4</v>
      </c>
      <c r="U106" s="117">
        <f t="shared" si="35"/>
        <v>7.9672757500000001E-5</v>
      </c>
      <c r="V106" s="31">
        <f>IF(I106="SI",VLOOKUP(A106,COEF_FCM!$A$8:$X$354,24,0),0)</f>
        <v>1755022</v>
      </c>
      <c r="W106" s="121">
        <f t="shared" si="36"/>
        <v>252.56</v>
      </c>
      <c r="X106" s="31">
        <f>IF(AND(W106&gt;0,W106&lt;$W$7),ROUND(($W$7-W106)*L106,PARAMETROS!$L$8),0)</f>
        <v>0</v>
      </c>
      <c r="Y106" s="122">
        <f t="shared" si="37"/>
        <v>0</v>
      </c>
      <c r="Z106" s="117">
        <f t="shared" si="38"/>
        <v>0</v>
      </c>
      <c r="AA106" s="96">
        <f t="shared" si="39"/>
        <v>1.8141197498500001E-3</v>
      </c>
      <c r="AB106" s="31">
        <f>ROUND(AA106*PARAMETROS!$H$24,0)</f>
        <v>311334696</v>
      </c>
      <c r="AC106" s="31">
        <f t="shared" si="40"/>
        <v>311334696</v>
      </c>
      <c r="AD106" s="31">
        <f t="shared" si="41"/>
        <v>77833674</v>
      </c>
      <c r="AE106" s="31">
        <f t="shared" si="43"/>
        <v>77833674</v>
      </c>
      <c r="AF106" s="31">
        <f t="shared" si="43"/>
        <v>77833674</v>
      </c>
      <c r="AG106" s="31">
        <f t="shared" si="42"/>
        <v>77833674</v>
      </c>
    </row>
    <row r="107" spans="1:33" ht="3" customHeight="1" x14ac:dyDescent="0.25">
      <c r="A107">
        <v>6204</v>
      </c>
      <c r="B107">
        <v>6305</v>
      </c>
      <c r="C107" t="s">
        <v>29</v>
      </c>
      <c r="D107" s="31">
        <f>+DATA!O103</f>
        <v>3667983</v>
      </c>
      <c r="E107" s="31">
        <f>+DATA!T103</f>
        <v>2246527.7220000001</v>
      </c>
      <c r="F107" s="38">
        <f t="shared" si="24"/>
        <v>5914510.7220000001</v>
      </c>
      <c r="G107" s="112">
        <f t="shared" si="25"/>
        <v>0.39100000000000001</v>
      </c>
      <c r="H107" s="95">
        <f t="shared" si="26"/>
        <v>0.37980000000000003</v>
      </c>
      <c r="I107" s="6" t="str">
        <f t="shared" si="27"/>
        <v>SI</v>
      </c>
      <c r="J107" s="117">
        <f t="shared" si="28"/>
        <v>3.3112582781000001E-3</v>
      </c>
      <c r="K107" s="117">
        <f t="shared" si="29"/>
        <v>1.6556291390500001E-3</v>
      </c>
      <c r="L107" s="31">
        <f>IF(I107="SI",VLOOKUP(A107,DATA!$A$4:$D$350,4,0),0)</f>
        <v>7715</v>
      </c>
      <c r="M107" s="95">
        <f>IF(I107="SI",VLOOKUP(A107,DATA!$A$4:$E$350,5,0),0)</f>
        <v>9.1528079315654876E-2</v>
      </c>
      <c r="N107" s="31">
        <f t="shared" si="30"/>
        <v>706</v>
      </c>
      <c r="O107" s="117">
        <f t="shared" si="31"/>
        <v>8.5476811689999999E-4</v>
      </c>
      <c r="P107" s="117">
        <f t="shared" si="32"/>
        <v>8.5476811699999999E-5</v>
      </c>
      <c r="Q107" s="31">
        <f>IF(I107="SI",VLOOKUP(A107,DATA!$A$4:$G$350,7,0),0)</f>
        <v>3808</v>
      </c>
      <c r="R107" s="31">
        <f>IF(I107="SI",VLOOKUP(A107,DATA!$A$4:$H$350,8,0),0)</f>
        <v>8710</v>
      </c>
      <c r="S107" s="117">
        <f t="shared" si="33"/>
        <v>4.8586159029999999E-4</v>
      </c>
      <c r="T107" s="117">
        <f t="shared" si="34"/>
        <v>6.3563644215649661E-4</v>
      </c>
      <c r="U107" s="117">
        <f t="shared" si="35"/>
        <v>1.271272884E-4</v>
      </c>
      <c r="V107" s="31">
        <f>IF(I107="SI",VLOOKUP(A107,COEF_FCM!$A$8:$X$354,24,0),0)</f>
        <v>3667983</v>
      </c>
      <c r="W107" s="121">
        <f t="shared" si="36"/>
        <v>475.44</v>
      </c>
      <c r="X107" s="31">
        <f>IF(AND(W107&gt;0,W107&lt;$W$7),ROUND(($W$7-W107)*L107,PARAMETROS!$L$8),0)</f>
        <v>0</v>
      </c>
      <c r="Y107" s="122">
        <f t="shared" si="37"/>
        <v>0</v>
      </c>
      <c r="Z107" s="117">
        <f t="shared" si="38"/>
        <v>0</v>
      </c>
      <c r="AA107" s="96">
        <f t="shared" si="39"/>
        <v>1.8682332391500001E-3</v>
      </c>
      <c r="AB107" s="31">
        <f>ROUND(AA107*PARAMETROS!$H$24,0)</f>
        <v>320621518</v>
      </c>
      <c r="AC107" s="31">
        <f t="shared" si="40"/>
        <v>320621518</v>
      </c>
      <c r="AD107" s="31">
        <f t="shared" si="41"/>
        <v>80155380</v>
      </c>
      <c r="AE107" s="31">
        <f t="shared" si="43"/>
        <v>80155380</v>
      </c>
      <c r="AF107" s="31">
        <f t="shared" si="43"/>
        <v>80155380</v>
      </c>
      <c r="AG107" s="31">
        <f t="shared" si="42"/>
        <v>80155378</v>
      </c>
    </row>
    <row r="108" spans="1:33" ht="3" customHeight="1" x14ac:dyDescent="0.25">
      <c r="A108">
        <v>6205</v>
      </c>
      <c r="B108">
        <v>6302</v>
      </c>
      <c r="C108" t="s">
        <v>143</v>
      </c>
      <c r="D108" s="31">
        <f>+DATA!O104</f>
        <v>857395</v>
      </c>
      <c r="E108" s="31">
        <f>+DATA!T104</f>
        <v>7188901.8729999997</v>
      </c>
      <c r="F108" s="38">
        <f t="shared" si="24"/>
        <v>8046296.8729999997</v>
      </c>
      <c r="G108" s="112">
        <f t="shared" si="25"/>
        <v>0.501</v>
      </c>
      <c r="H108" s="95">
        <f t="shared" si="26"/>
        <v>0.89339999999999997</v>
      </c>
      <c r="I108" s="6" t="str">
        <f t="shared" si="27"/>
        <v>SI</v>
      </c>
      <c r="J108" s="117">
        <f t="shared" si="28"/>
        <v>3.3112582781000001E-3</v>
      </c>
      <c r="K108" s="117">
        <f t="shared" si="29"/>
        <v>1.6556291390500001E-3</v>
      </c>
      <c r="L108" s="31">
        <f>IF(I108="SI",VLOOKUP(A108,DATA!$A$4:$D$350,4,0),0)</f>
        <v>7135</v>
      </c>
      <c r="M108" s="95">
        <f>IF(I108="SI",VLOOKUP(A108,DATA!$A$4:$E$350,5,0),0)</f>
        <v>0.12313941376562371</v>
      </c>
      <c r="N108" s="31">
        <f t="shared" si="30"/>
        <v>879</v>
      </c>
      <c r="O108" s="117">
        <f t="shared" si="31"/>
        <v>1.0642226271000001E-3</v>
      </c>
      <c r="P108" s="117">
        <f t="shared" si="32"/>
        <v>1.064222627E-4</v>
      </c>
      <c r="Q108" s="31">
        <f>IF(I108="SI",VLOOKUP(A108,DATA!$A$4:$G$350,7,0),0)</f>
        <v>5459</v>
      </c>
      <c r="R108" s="31">
        <f>IF(I108="SI",VLOOKUP(A108,DATA!$A$4:$H$350,8,0),0)</f>
        <v>9473</v>
      </c>
      <c r="S108" s="117">
        <f t="shared" si="33"/>
        <v>9.1806936189999997E-4</v>
      </c>
      <c r="T108" s="117">
        <f t="shared" si="34"/>
        <v>1.2010793907184087E-3</v>
      </c>
      <c r="U108" s="117">
        <f t="shared" si="35"/>
        <v>2.402158781E-4</v>
      </c>
      <c r="V108" s="31">
        <f>IF(I108="SI",VLOOKUP(A108,COEF_FCM!$A$8:$X$354,24,0),0)</f>
        <v>857395</v>
      </c>
      <c r="W108" s="121">
        <f t="shared" si="36"/>
        <v>120.17</v>
      </c>
      <c r="X108" s="31">
        <f>IF(AND(W108&gt;0,W108&lt;$W$7),ROUND(($W$7-W108)*L108,PARAMETROS!$L$8),0)</f>
        <v>0</v>
      </c>
      <c r="Y108" s="122">
        <f t="shared" si="37"/>
        <v>0</v>
      </c>
      <c r="Z108" s="117">
        <f t="shared" si="38"/>
        <v>0</v>
      </c>
      <c r="AA108" s="96">
        <f t="shared" si="39"/>
        <v>2.0022672798500002E-3</v>
      </c>
      <c r="AB108" s="31">
        <f>ROUND(AA108*PARAMETROS!$H$24,0)</f>
        <v>343624105</v>
      </c>
      <c r="AC108" s="31">
        <f t="shared" si="40"/>
        <v>343624105</v>
      </c>
      <c r="AD108" s="31">
        <f t="shared" si="41"/>
        <v>85906026</v>
      </c>
      <c r="AE108" s="31">
        <f t="shared" si="43"/>
        <v>85906026</v>
      </c>
      <c r="AF108" s="31">
        <f t="shared" si="43"/>
        <v>85906026</v>
      </c>
      <c r="AG108" s="31">
        <f t="shared" si="42"/>
        <v>85906027</v>
      </c>
    </row>
    <row r="109" spans="1:33" ht="3" customHeight="1" x14ac:dyDescent="0.25">
      <c r="A109">
        <v>6206</v>
      </c>
      <c r="B109">
        <v>6306</v>
      </c>
      <c r="C109" t="s">
        <v>146</v>
      </c>
      <c r="D109" s="31">
        <f>+DATA!O105</f>
        <v>616292</v>
      </c>
      <c r="E109" s="31">
        <f>+DATA!T105</f>
        <v>3872983.0210000002</v>
      </c>
      <c r="F109" s="38">
        <f t="shared" si="24"/>
        <v>4489275.0209999997</v>
      </c>
      <c r="G109" s="112">
        <f t="shared" si="25"/>
        <v>0.214</v>
      </c>
      <c r="H109" s="95">
        <f t="shared" si="26"/>
        <v>0.86270000000000002</v>
      </c>
      <c r="I109" s="6" t="str">
        <f t="shared" si="27"/>
        <v>SI</v>
      </c>
      <c r="J109" s="117">
        <f t="shared" si="28"/>
        <v>3.3112582781000001E-3</v>
      </c>
      <c r="K109" s="117">
        <f t="shared" si="29"/>
        <v>1.6556291390500001E-3</v>
      </c>
      <c r="L109" s="31">
        <f>IF(I109="SI",VLOOKUP(A109,DATA!$A$4:$D$350,4,0),0)</f>
        <v>6259</v>
      </c>
      <c r="M109" s="95">
        <f>IF(I109="SI",VLOOKUP(A109,DATA!$A$4:$E$350,5,0),0)</f>
        <v>0.1493725761650852</v>
      </c>
      <c r="N109" s="31">
        <f t="shared" si="30"/>
        <v>935</v>
      </c>
      <c r="O109" s="117">
        <f t="shared" si="31"/>
        <v>1.1320229310000001E-3</v>
      </c>
      <c r="P109" s="117">
        <f t="shared" si="32"/>
        <v>1.132022931E-4</v>
      </c>
      <c r="Q109" s="31">
        <f>IF(I109="SI",VLOOKUP(A109,DATA!$A$4:$G$350,7,0),0)</f>
        <v>5041</v>
      </c>
      <c r="R109" s="31">
        <f>IF(I109="SI",VLOOKUP(A109,DATA!$A$4:$H$350,8,0),0)</f>
        <v>12100</v>
      </c>
      <c r="S109" s="117">
        <f t="shared" si="33"/>
        <v>6.128932911E-4</v>
      </c>
      <c r="T109" s="117">
        <f t="shared" si="34"/>
        <v>8.0182776073293147E-4</v>
      </c>
      <c r="U109" s="117">
        <f t="shared" si="35"/>
        <v>1.6036555210000001E-4</v>
      </c>
      <c r="V109" s="31">
        <f>IF(I109="SI",VLOOKUP(A109,COEF_FCM!$A$8:$X$354,24,0),0)</f>
        <v>616292</v>
      </c>
      <c r="W109" s="121">
        <f t="shared" si="36"/>
        <v>98.46</v>
      </c>
      <c r="X109" s="31">
        <f>IF(AND(W109&gt;0,W109&lt;$W$7),ROUND(($W$7-W109)*L109,PARAMETROS!$L$8),0)</f>
        <v>52576</v>
      </c>
      <c r="Y109" s="122">
        <f t="shared" si="37"/>
        <v>1.937634355E-4</v>
      </c>
      <c r="Z109" s="117">
        <f t="shared" si="38"/>
        <v>3.8752687100000002E-5</v>
      </c>
      <c r="AA109" s="96">
        <f t="shared" si="39"/>
        <v>1.96794967135E-3</v>
      </c>
      <c r="AB109" s="31">
        <f>ROUND(AA109*PARAMETROS!$H$24,0)</f>
        <v>337734603</v>
      </c>
      <c r="AC109" s="31">
        <f t="shared" si="40"/>
        <v>337734603</v>
      </c>
      <c r="AD109" s="31">
        <f t="shared" si="41"/>
        <v>84433651</v>
      </c>
      <c r="AE109" s="31">
        <f t="shared" ref="AE109:AF128" si="44">+AD109</f>
        <v>84433651</v>
      </c>
      <c r="AF109" s="31">
        <f t="shared" si="44"/>
        <v>84433651</v>
      </c>
      <c r="AG109" s="31">
        <f t="shared" si="42"/>
        <v>84433650</v>
      </c>
    </row>
    <row r="110" spans="1:33" ht="3" customHeight="1" x14ac:dyDescent="0.25">
      <c r="A110">
        <v>6301</v>
      </c>
      <c r="B110">
        <v>6201</v>
      </c>
      <c r="C110" t="s">
        <v>133</v>
      </c>
      <c r="D110" s="31">
        <f>+DATA!O106</f>
        <v>10567254</v>
      </c>
      <c r="E110" s="31">
        <f>+DATA!T106</f>
        <v>9128861.0999999996</v>
      </c>
      <c r="F110" s="38">
        <f t="shared" si="24"/>
        <v>19696115.100000001</v>
      </c>
      <c r="G110" s="112">
        <f t="shared" si="25"/>
        <v>0.78800000000000003</v>
      </c>
      <c r="H110" s="95">
        <f t="shared" si="26"/>
        <v>0.46350000000000002</v>
      </c>
      <c r="I110" s="6" t="str">
        <f t="shared" si="27"/>
        <v>SI</v>
      </c>
      <c r="J110" s="117">
        <f t="shared" si="28"/>
        <v>3.3112582781000001E-3</v>
      </c>
      <c r="K110" s="117">
        <f t="shared" si="29"/>
        <v>1.6556291390500001E-3</v>
      </c>
      <c r="L110" s="31">
        <f>IF(I110="SI",VLOOKUP(A110,DATA!$A$4:$D$350,4,0),0)</f>
        <v>81117</v>
      </c>
      <c r="M110" s="95">
        <f>IF(I110="SI",VLOOKUP(A110,DATA!$A$4:$E$350,5,0),0)</f>
        <v>6.8084432905669331E-2</v>
      </c>
      <c r="N110" s="31">
        <f t="shared" si="30"/>
        <v>5523</v>
      </c>
      <c r="O110" s="117">
        <f t="shared" si="31"/>
        <v>6.6868049711999999E-3</v>
      </c>
      <c r="P110" s="117">
        <f t="shared" si="32"/>
        <v>6.686804971E-4</v>
      </c>
      <c r="Q110" s="31">
        <f>IF(I110="SI",VLOOKUP(A110,DATA!$A$4:$G$350,7,0),0)</f>
        <v>26380</v>
      </c>
      <c r="R110" s="31">
        <f>IF(I110="SI",VLOOKUP(A110,DATA!$A$4:$H$350,8,0),0)</f>
        <v>34431</v>
      </c>
      <c r="S110" s="117">
        <f t="shared" si="33"/>
        <v>5.8984348788999998E-3</v>
      </c>
      <c r="T110" s="117">
        <f t="shared" si="34"/>
        <v>7.7167247536500351E-3</v>
      </c>
      <c r="U110" s="117">
        <f t="shared" si="35"/>
        <v>1.5433449506999999E-3</v>
      </c>
      <c r="V110" s="31">
        <f>IF(I110="SI",VLOOKUP(A110,COEF_FCM!$A$8:$X$354,24,0),0)</f>
        <v>10567254</v>
      </c>
      <c r="W110" s="121">
        <f t="shared" si="36"/>
        <v>130.27000000000001</v>
      </c>
      <c r="X110" s="31">
        <f>IF(AND(W110&gt;0,W110&lt;$W$7),ROUND(($W$7-W110)*L110,PARAMETROS!$L$8),0)</f>
        <v>0</v>
      </c>
      <c r="Y110" s="122">
        <f t="shared" si="37"/>
        <v>0</v>
      </c>
      <c r="Z110" s="117">
        <f t="shared" si="38"/>
        <v>0</v>
      </c>
      <c r="AA110" s="96">
        <f t="shared" si="39"/>
        <v>3.8676545868499999E-3</v>
      </c>
      <c r="AB110" s="31">
        <f>ROUND(AA110*PARAMETROS!$H$24,0)</f>
        <v>663757211</v>
      </c>
      <c r="AC110" s="31">
        <f t="shared" si="40"/>
        <v>663757211</v>
      </c>
      <c r="AD110" s="31">
        <f t="shared" si="41"/>
        <v>165939303</v>
      </c>
      <c r="AE110" s="31">
        <f t="shared" si="44"/>
        <v>165939303</v>
      </c>
      <c r="AF110" s="31">
        <f t="shared" si="44"/>
        <v>165939303</v>
      </c>
      <c r="AG110" s="31">
        <f t="shared" si="42"/>
        <v>165939302</v>
      </c>
    </row>
    <row r="111" spans="1:33" ht="3" customHeight="1" x14ac:dyDescent="0.25">
      <c r="A111">
        <v>6302</v>
      </c>
      <c r="B111">
        <v>6209</v>
      </c>
      <c r="C111" t="s">
        <v>386</v>
      </c>
      <c r="D111" s="31">
        <f>+DATA!O107</f>
        <v>1024249</v>
      </c>
      <c r="E111" s="31">
        <f>+DATA!T107</f>
        <v>4018881.9750000001</v>
      </c>
      <c r="F111" s="38">
        <f t="shared" si="24"/>
        <v>5043130.9749999996</v>
      </c>
      <c r="G111" s="112">
        <f t="shared" si="25"/>
        <v>0.28599999999999998</v>
      </c>
      <c r="H111" s="95">
        <f t="shared" si="26"/>
        <v>0.79690000000000005</v>
      </c>
      <c r="I111" s="6" t="str">
        <f t="shared" si="27"/>
        <v>SI</v>
      </c>
      <c r="J111" s="117">
        <f t="shared" si="28"/>
        <v>3.3112582781000001E-3</v>
      </c>
      <c r="K111" s="117">
        <f t="shared" si="29"/>
        <v>1.6556291390500001E-3</v>
      </c>
      <c r="L111" s="31">
        <f>IF(I111="SI",VLOOKUP(A111,DATA!$A$4:$D$350,4,0),0)</f>
        <v>16148</v>
      </c>
      <c r="M111" s="95">
        <f>IF(I111="SI",VLOOKUP(A111,DATA!$A$4:$E$350,5,0),0)</f>
        <v>8.8650564388402422E-2</v>
      </c>
      <c r="N111" s="31">
        <f t="shared" si="30"/>
        <v>1432</v>
      </c>
      <c r="O111" s="117">
        <f t="shared" si="31"/>
        <v>1.7337506281E-3</v>
      </c>
      <c r="P111" s="117">
        <f t="shared" si="32"/>
        <v>1.7337506280000001E-4</v>
      </c>
      <c r="Q111" s="31">
        <f>IF(I111="SI",VLOOKUP(A111,DATA!$A$4:$G$350,7,0),0)</f>
        <v>6697</v>
      </c>
      <c r="R111" s="31">
        <f>IF(I111="SI",VLOOKUP(A111,DATA!$A$4:$H$350,8,0),0)</f>
        <v>9407</v>
      </c>
      <c r="S111" s="117">
        <f t="shared" si="33"/>
        <v>1.3913817312E-3</v>
      </c>
      <c r="T111" s="117">
        <f t="shared" si="34"/>
        <v>1.8202981074413095E-3</v>
      </c>
      <c r="U111" s="117">
        <f t="shared" si="35"/>
        <v>3.6405962149999997E-4</v>
      </c>
      <c r="V111" s="31">
        <f>IF(I111="SI",VLOOKUP(A111,COEF_FCM!$A$8:$X$354,24,0),0)</f>
        <v>1024249</v>
      </c>
      <c r="W111" s="121">
        <f t="shared" si="36"/>
        <v>63.43</v>
      </c>
      <c r="X111" s="31">
        <f>IF(AND(W111&gt;0,W111&lt;$W$7),ROUND(($W$7-W111)*L111,PARAMETROS!$L$8),0)</f>
        <v>701308</v>
      </c>
      <c r="Y111" s="122">
        <f t="shared" si="37"/>
        <v>2.5845984367999998E-3</v>
      </c>
      <c r="Z111" s="117">
        <f t="shared" si="38"/>
        <v>5.169196874E-4</v>
      </c>
      <c r="AA111" s="96">
        <f t="shared" si="39"/>
        <v>2.70998351075E-3</v>
      </c>
      <c r="AB111" s="31">
        <f>ROUND(AA111*PARAMETROS!$H$24,0)</f>
        <v>465080595</v>
      </c>
      <c r="AC111" s="31">
        <f t="shared" si="40"/>
        <v>465080595</v>
      </c>
      <c r="AD111" s="31">
        <f t="shared" si="41"/>
        <v>116270149</v>
      </c>
      <c r="AE111" s="31">
        <f t="shared" si="44"/>
        <v>116270149</v>
      </c>
      <c r="AF111" s="31">
        <f t="shared" si="44"/>
        <v>116270149</v>
      </c>
      <c r="AG111" s="31">
        <f t="shared" si="42"/>
        <v>116270148</v>
      </c>
    </row>
    <row r="112" spans="1:33" ht="3" customHeight="1" x14ac:dyDescent="0.25">
      <c r="A112">
        <v>6303</v>
      </c>
      <c r="B112">
        <v>6202</v>
      </c>
      <c r="C112" t="s">
        <v>134</v>
      </c>
      <c r="D112" s="31">
        <f>+DATA!O108</f>
        <v>3078140</v>
      </c>
      <c r="E112" s="31">
        <f>+DATA!T108</f>
        <v>6843141.5209999997</v>
      </c>
      <c r="F112" s="38">
        <f t="shared" si="24"/>
        <v>9921281.5209999997</v>
      </c>
      <c r="G112" s="112">
        <f t="shared" si="25"/>
        <v>0.58799999999999997</v>
      </c>
      <c r="H112" s="95">
        <f t="shared" si="26"/>
        <v>0.68969999999999998</v>
      </c>
      <c r="I112" s="6" t="str">
        <f t="shared" si="27"/>
        <v>SI</v>
      </c>
      <c r="J112" s="117">
        <f t="shared" si="28"/>
        <v>3.3112582781000001E-3</v>
      </c>
      <c r="K112" s="117">
        <f t="shared" si="29"/>
        <v>1.6556291390500001E-3</v>
      </c>
      <c r="L112" s="31">
        <f>IF(I112="SI",VLOOKUP(A112,DATA!$A$4:$D$350,4,0),0)</f>
        <v>38451</v>
      </c>
      <c r="M112" s="95">
        <f>IF(I112="SI",VLOOKUP(A112,DATA!$A$4:$E$350,5,0),0)</f>
        <v>8.5254408626254788E-2</v>
      </c>
      <c r="N112" s="31">
        <f t="shared" si="30"/>
        <v>3278</v>
      </c>
      <c r="O112" s="117">
        <f t="shared" si="31"/>
        <v>3.9687392170000002E-3</v>
      </c>
      <c r="P112" s="117">
        <f t="shared" si="32"/>
        <v>3.9687392170000002E-4</v>
      </c>
      <c r="Q112" s="31">
        <f>IF(I112="SI",VLOOKUP(A112,DATA!$A$4:$G$350,7,0),0)</f>
        <v>12033</v>
      </c>
      <c r="R112" s="31">
        <f>IF(I112="SI",VLOOKUP(A112,DATA!$A$4:$H$350,8,0),0)</f>
        <v>16916</v>
      </c>
      <c r="S112" s="117">
        <f t="shared" si="33"/>
        <v>2.4979687435999999E-3</v>
      </c>
      <c r="T112" s="117">
        <f t="shared" si="34"/>
        <v>3.2680088249405249E-3</v>
      </c>
      <c r="U112" s="117">
        <f t="shared" si="35"/>
        <v>6.5360176500000005E-4</v>
      </c>
      <c r="V112" s="31">
        <f>IF(I112="SI",VLOOKUP(A112,COEF_FCM!$A$8:$X$354,24,0),0)</f>
        <v>3078140</v>
      </c>
      <c r="W112" s="121">
        <f t="shared" si="36"/>
        <v>80.05</v>
      </c>
      <c r="X112" s="31">
        <f>IF(AND(W112&gt;0,W112&lt;$W$7),ROUND(($W$7-W112)*L112,PARAMETROS!$L$8),0)</f>
        <v>1030871</v>
      </c>
      <c r="Y112" s="122">
        <f t="shared" si="37"/>
        <v>3.7991689459000002E-3</v>
      </c>
      <c r="Z112" s="117">
        <f t="shared" si="38"/>
        <v>7.5983378919999996E-4</v>
      </c>
      <c r="AA112" s="96">
        <f t="shared" si="39"/>
        <v>3.4659386149500006E-3</v>
      </c>
      <c r="AB112" s="31">
        <f>ROUND(AA112*PARAMETROS!$H$24,0)</f>
        <v>594815720</v>
      </c>
      <c r="AC112" s="31">
        <f t="shared" si="40"/>
        <v>594815720</v>
      </c>
      <c r="AD112" s="31">
        <f t="shared" si="41"/>
        <v>148703930</v>
      </c>
      <c r="AE112" s="31">
        <f t="shared" si="44"/>
        <v>148703930</v>
      </c>
      <c r="AF112" s="31">
        <f t="shared" si="44"/>
        <v>148703930</v>
      </c>
      <c r="AG112" s="31">
        <f t="shared" si="42"/>
        <v>148703930</v>
      </c>
    </row>
    <row r="113" spans="1:33" ht="3" customHeight="1" x14ac:dyDescent="0.25">
      <c r="A113">
        <v>6304</v>
      </c>
      <c r="B113">
        <v>6206</v>
      </c>
      <c r="C113" t="s">
        <v>138</v>
      </c>
      <c r="D113" s="31">
        <f>+DATA!O109</f>
        <v>909421</v>
      </c>
      <c r="E113" s="31">
        <f>+DATA!T109</f>
        <v>2415744.5469999998</v>
      </c>
      <c r="F113" s="38">
        <f t="shared" si="24"/>
        <v>3325165.5469999998</v>
      </c>
      <c r="G113" s="112">
        <f t="shared" si="25"/>
        <v>8.8999999999999996E-2</v>
      </c>
      <c r="H113" s="95">
        <f t="shared" si="26"/>
        <v>0.72650000000000003</v>
      </c>
      <c r="I113" s="6" t="str">
        <f t="shared" si="27"/>
        <v>SI</v>
      </c>
      <c r="J113" s="117">
        <f t="shared" si="28"/>
        <v>3.3112582781000001E-3</v>
      </c>
      <c r="K113" s="117">
        <f t="shared" si="29"/>
        <v>1.6556291390500001E-3</v>
      </c>
      <c r="L113" s="31">
        <f>IF(I113="SI",VLOOKUP(A113,DATA!$A$4:$D$350,4,0),0)</f>
        <v>7454</v>
      </c>
      <c r="M113" s="95">
        <f>IF(I113="SI",VLOOKUP(A113,DATA!$A$4:$E$350,5,0),0)</f>
        <v>0.1145996711178917</v>
      </c>
      <c r="N113" s="31">
        <f t="shared" si="30"/>
        <v>854</v>
      </c>
      <c r="O113" s="117">
        <f t="shared" si="31"/>
        <v>1.0339546343E-3</v>
      </c>
      <c r="P113" s="117">
        <f t="shared" si="32"/>
        <v>1.0339546339999999E-4</v>
      </c>
      <c r="Q113" s="31">
        <f>IF(I113="SI",VLOOKUP(A113,DATA!$A$4:$G$350,7,0),0)</f>
        <v>3999</v>
      </c>
      <c r="R113" s="31">
        <f>IF(I113="SI",VLOOKUP(A113,DATA!$A$4:$H$350,8,0),0)</f>
        <v>6348</v>
      </c>
      <c r="S113" s="117">
        <f t="shared" si="33"/>
        <v>7.3519531879999997E-4</v>
      </c>
      <c r="T113" s="117">
        <f t="shared" si="34"/>
        <v>9.6183140643736381E-4</v>
      </c>
      <c r="U113" s="117">
        <f t="shared" si="35"/>
        <v>1.923662813E-4</v>
      </c>
      <c r="V113" s="31">
        <f>IF(I113="SI",VLOOKUP(A113,COEF_FCM!$A$8:$X$354,24,0),0)</f>
        <v>909421</v>
      </c>
      <c r="W113" s="121">
        <f t="shared" si="36"/>
        <v>122</v>
      </c>
      <c r="X113" s="31">
        <f>IF(AND(W113&gt;0,W113&lt;$W$7),ROUND(($W$7-W113)*L113,PARAMETROS!$L$8),0)</f>
        <v>0</v>
      </c>
      <c r="Y113" s="122">
        <f t="shared" si="37"/>
        <v>0</v>
      </c>
      <c r="Z113" s="117">
        <f t="shared" si="38"/>
        <v>0</v>
      </c>
      <c r="AA113" s="96">
        <f t="shared" si="39"/>
        <v>1.9513908837500002E-3</v>
      </c>
      <c r="AB113" s="31">
        <f>ROUND(AA113*PARAMETROS!$H$24,0)</f>
        <v>334892825</v>
      </c>
      <c r="AC113" s="31">
        <f t="shared" si="40"/>
        <v>334892825</v>
      </c>
      <c r="AD113" s="31">
        <f t="shared" si="41"/>
        <v>83723206</v>
      </c>
      <c r="AE113" s="31">
        <f t="shared" si="44"/>
        <v>83723206</v>
      </c>
      <c r="AF113" s="31">
        <f t="shared" si="44"/>
        <v>83723206</v>
      </c>
      <c r="AG113" s="31">
        <f t="shared" si="42"/>
        <v>83723207</v>
      </c>
    </row>
    <row r="114" spans="1:33" ht="3" customHeight="1" x14ac:dyDescent="0.25">
      <c r="A114">
        <v>6305</v>
      </c>
      <c r="B114">
        <v>6203</v>
      </c>
      <c r="C114" t="s">
        <v>135</v>
      </c>
      <c r="D114" s="31">
        <f>+DATA!O110</f>
        <v>2120466</v>
      </c>
      <c r="E114" s="31">
        <f>+DATA!T110</f>
        <v>3804168.7620000001</v>
      </c>
      <c r="F114" s="38">
        <f t="shared" si="24"/>
        <v>5924634.7620000001</v>
      </c>
      <c r="G114" s="112">
        <f t="shared" si="25"/>
        <v>0.39400000000000002</v>
      </c>
      <c r="H114" s="95">
        <f t="shared" si="26"/>
        <v>0.6421</v>
      </c>
      <c r="I114" s="6" t="str">
        <f t="shared" si="27"/>
        <v>SI</v>
      </c>
      <c r="J114" s="117">
        <f t="shared" si="28"/>
        <v>3.3112582781000001E-3</v>
      </c>
      <c r="K114" s="117">
        <f t="shared" si="29"/>
        <v>1.6556291390500001E-3</v>
      </c>
      <c r="L114" s="31">
        <f>IF(I114="SI",VLOOKUP(A114,DATA!$A$4:$D$350,4,0),0)</f>
        <v>19725</v>
      </c>
      <c r="M114" s="95">
        <f>IF(I114="SI",VLOOKUP(A114,DATA!$A$4:$E$350,5,0),0)</f>
        <v>8.9111872032271972E-2</v>
      </c>
      <c r="N114" s="31">
        <f t="shared" si="30"/>
        <v>1758</v>
      </c>
      <c r="O114" s="117">
        <f t="shared" si="31"/>
        <v>2.1284452543E-3</v>
      </c>
      <c r="P114" s="117">
        <f t="shared" si="32"/>
        <v>2.1284452539999999E-4</v>
      </c>
      <c r="Q114" s="31">
        <f>IF(I114="SI",VLOOKUP(A114,DATA!$A$4:$G$350,7,0),0)</f>
        <v>6417</v>
      </c>
      <c r="R114" s="31">
        <f>IF(I114="SI",VLOOKUP(A114,DATA!$A$4:$H$350,8,0),0)</f>
        <v>8154</v>
      </c>
      <c r="S114" s="117">
        <f t="shared" si="33"/>
        <v>1.4737717056000001E-3</v>
      </c>
      <c r="T114" s="117">
        <f t="shared" si="34"/>
        <v>1.9280861508728646E-3</v>
      </c>
      <c r="U114" s="117">
        <f t="shared" si="35"/>
        <v>3.856172302E-4</v>
      </c>
      <c r="V114" s="31">
        <f>IF(I114="SI",VLOOKUP(A114,COEF_FCM!$A$8:$X$354,24,0),0)</f>
        <v>2120466</v>
      </c>
      <c r="W114" s="121">
        <f t="shared" si="36"/>
        <v>107.5</v>
      </c>
      <c r="X114" s="31">
        <f>IF(AND(W114&gt;0,W114&lt;$W$7),ROUND(($W$7-W114)*L114,PARAMETROS!$L$8),0)</f>
        <v>0</v>
      </c>
      <c r="Y114" s="122">
        <f t="shared" si="37"/>
        <v>0</v>
      </c>
      <c r="Z114" s="117">
        <f t="shared" si="38"/>
        <v>0</v>
      </c>
      <c r="AA114" s="96">
        <f t="shared" si="39"/>
        <v>2.2540908946500002E-3</v>
      </c>
      <c r="AB114" s="31">
        <f>ROUND(AA114*PARAMETROS!$H$24,0)</f>
        <v>386841444</v>
      </c>
      <c r="AC114" s="31">
        <f t="shared" si="40"/>
        <v>386841444</v>
      </c>
      <c r="AD114" s="31">
        <f t="shared" si="41"/>
        <v>96710361</v>
      </c>
      <c r="AE114" s="31">
        <f t="shared" si="44"/>
        <v>96710361</v>
      </c>
      <c r="AF114" s="31">
        <f t="shared" si="44"/>
        <v>96710361</v>
      </c>
      <c r="AG114" s="31">
        <f t="shared" si="42"/>
        <v>96710361</v>
      </c>
    </row>
    <row r="115" spans="1:33" ht="3" customHeight="1" x14ac:dyDescent="0.25">
      <c r="A115">
        <v>6306</v>
      </c>
      <c r="B115">
        <v>6207</v>
      </c>
      <c r="C115" t="s">
        <v>139</v>
      </c>
      <c r="D115" s="31">
        <f>+DATA!O111</f>
        <v>2001231</v>
      </c>
      <c r="E115" s="31">
        <f>+DATA!T111</f>
        <v>2496268.9989999998</v>
      </c>
      <c r="F115" s="38">
        <f t="shared" si="24"/>
        <v>4497499.9989999998</v>
      </c>
      <c r="G115" s="112">
        <f t="shared" si="25"/>
        <v>0.217</v>
      </c>
      <c r="H115" s="95">
        <f t="shared" si="26"/>
        <v>0.55500000000000005</v>
      </c>
      <c r="I115" s="6" t="str">
        <f t="shared" si="27"/>
        <v>SI</v>
      </c>
      <c r="J115" s="117">
        <f t="shared" si="28"/>
        <v>3.3112582781000001E-3</v>
      </c>
      <c r="K115" s="117">
        <f t="shared" si="29"/>
        <v>1.6556291390500001E-3</v>
      </c>
      <c r="L115" s="31">
        <f>IF(I115="SI",VLOOKUP(A115,DATA!$A$4:$D$350,4,0),0)</f>
        <v>13597</v>
      </c>
      <c r="M115" s="95">
        <f>IF(I115="SI",VLOOKUP(A115,DATA!$A$4:$E$350,5,0),0)</f>
        <v>8.1198087588398138E-2</v>
      </c>
      <c r="N115" s="31">
        <f t="shared" si="30"/>
        <v>1104</v>
      </c>
      <c r="O115" s="117">
        <f t="shared" si="31"/>
        <v>1.3366345624E-3</v>
      </c>
      <c r="P115" s="117">
        <f t="shared" si="32"/>
        <v>1.3366345619999999E-4</v>
      </c>
      <c r="Q115" s="31">
        <f>IF(I115="SI",VLOOKUP(A115,DATA!$A$4:$G$350,7,0),0)</f>
        <v>4442</v>
      </c>
      <c r="R115" s="31">
        <f>IF(I115="SI",VLOOKUP(A115,DATA!$A$4:$H$350,8,0),0)</f>
        <v>6943</v>
      </c>
      <c r="S115" s="117">
        <f t="shared" si="33"/>
        <v>8.2936706689999999E-4</v>
      </c>
      <c r="T115" s="117">
        <f t="shared" si="34"/>
        <v>1.0850331497095193E-3</v>
      </c>
      <c r="U115" s="117">
        <f t="shared" si="35"/>
        <v>2.170066299E-4</v>
      </c>
      <c r="V115" s="31">
        <f>IF(I115="SI",VLOOKUP(A115,COEF_FCM!$A$8:$X$354,24,0),0)</f>
        <v>2001231</v>
      </c>
      <c r="W115" s="121">
        <f t="shared" si="36"/>
        <v>147.18</v>
      </c>
      <c r="X115" s="31">
        <f>IF(AND(W115&gt;0,W115&lt;$W$7),ROUND(($W$7-W115)*L115,PARAMETROS!$L$8),0)</f>
        <v>0</v>
      </c>
      <c r="Y115" s="122">
        <f t="shared" si="37"/>
        <v>0</v>
      </c>
      <c r="Z115" s="117">
        <f t="shared" si="38"/>
        <v>0</v>
      </c>
      <c r="AA115" s="96">
        <f t="shared" si="39"/>
        <v>2.0062992251499998E-3</v>
      </c>
      <c r="AB115" s="31">
        <f>ROUND(AA115*PARAMETROS!$H$24,0)</f>
        <v>344316057</v>
      </c>
      <c r="AC115" s="31">
        <f t="shared" si="40"/>
        <v>344316057</v>
      </c>
      <c r="AD115" s="31">
        <f t="shared" si="41"/>
        <v>86079014</v>
      </c>
      <c r="AE115" s="31">
        <f t="shared" si="44"/>
        <v>86079014</v>
      </c>
      <c r="AF115" s="31">
        <f t="shared" si="44"/>
        <v>86079014</v>
      </c>
      <c r="AG115" s="31">
        <f t="shared" si="42"/>
        <v>86079015</v>
      </c>
    </row>
    <row r="116" spans="1:33" ht="3" customHeight="1" x14ac:dyDescent="0.25">
      <c r="A116">
        <v>6307</v>
      </c>
      <c r="B116">
        <v>6208</v>
      </c>
      <c r="C116" t="s">
        <v>140</v>
      </c>
      <c r="D116" s="31">
        <f>+DATA!O112</f>
        <v>1667128</v>
      </c>
      <c r="E116" s="31">
        <f>+DATA!T112</f>
        <v>2659884.9330000002</v>
      </c>
      <c r="F116" s="38">
        <f t="shared" si="24"/>
        <v>4327012.9330000002</v>
      </c>
      <c r="G116" s="112">
        <f t="shared" si="25"/>
        <v>0.20499999999999999</v>
      </c>
      <c r="H116" s="95">
        <f t="shared" si="26"/>
        <v>0.61470000000000002</v>
      </c>
      <c r="I116" s="6" t="str">
        <f t="shared" si="27"/>
        <v>SI</v>
      </c>
      <c r="J116" s="117">
        <f t="shared" si="28"/>
        <v>3.3112582781000001E-3</v>
      </c>
      <c r="K116" s="117">
        <f t="shared" si="29"/>
        <v>1.6556291390500001E-3</v>
      </c>
      <c r="L116" s="31">
        <f>IF(I116="SI",VLOOKUP(A116,DATA!$A$4:$D$350,4,0),0)</f>
        <v>12174</v>
      </c>
      <c r="M116" s="95">
        <f>IF(I116="SI",VLOOKUP(A116,DATA!$A$4:$E$350,5,0),0)</f>
        <v>7.1815022430094327E-2</v>
      </c>
      <c r="N116" s="31">
        <f t="shared" si="30"/>
        <v>874</v>
      </c>
      <c r="O116" s="117">
        <f t="shared" si="31"/>
        <v>1.0581690286000001E-3</v>
      </c>
      <c r="P116" s="117">
        <f t="shared" si="32"/>
        <v>1.058169029E-4</v>
      </c>
      <c r="Q116" s="31">
        <f>IF(I116="SI",VLOOKUP(A116,DATA!$A$4:$G$350,7,0),0)</f>
        <v>4314</v>
      </c>
      <c r="R116" s="31">
        <f>IF(I116="SI",VLOOKUP(A116,DATA!$A$4:$H$350,8,0),0)</f>
        <v>7130</v>
      </c>
      <c r="S116" s="117">
        <f t="shared" si="33"/>
        <v>7.617414611E-4</v>
      </c>
      <c r="T116" s="117">
        <f t="shared" si="34"/>
        <v>9.9656083510887752E-4</v>
      </c>
      <c r="U116" s="117">
        <f t="shared" si="35"/>
        <v>1.99312167E-4</v>
      </c>
      <c r="V116" s="31">
        <f>IF(I116="SI",VLOOKUP(A116,COEF_FCM!$A$8:$X$354,24,0),0)</f>
        <v>1667128</v>
      </c>
      <c r="W116" s="121">
        <f t="shared" si="36"/>
        <v>136.94</v>
      </c>
      <c r="X116" s="31">
        <f>IF(AND(W116&gt;0,W116&lt;$W$7),ROUND(($W$7-W116)*L116,PARAMETROS!$L$8),0)</f>
        <v>0</v>
      </c>
      <c r="Y116" s="122">
        <f t="shared" si="37"/>
        <v>0</v>
      </c>
      <c r="Z116" s="117">
        <f t="shared" si="38"/>
        <v>0</v>
      </c>
      <c r="AA116" s="96">
        <f t="shared" si="39"/>
        <v>1.96075820895E-3</v>
      </c>
      <c r="AB116" s="31">
        <f>ROUND(AA116*PARAMETROS!$H$24,0)</f>
        <v>336500422</v>
      </c>
      <c r="AC116" s="31">
        <f t="shared" si="40"/>
        <v>336500422</v>
      </c>
      <c r="AD116" s="31">
        <f t="shared" si="41"/>
        <v>84125106</v>
      </c>
      <c r="AE116" s="31">
        <f t="shared" si="44"/>
        <v>84125106</v>
      </c>
      <c r="AF116" s="31">
        <f t="shared" si="44"/>
        <v>84125106</v>
      </c>
      <c r="AG116" s="31">
        <f t="shared" si="42"/>
        <v>84125104</v>
      </c>
    </row>
    <row r="117" spans="1:33" ht="3" customHeight="1" x14ac:dyDescent="0.25">
      <c r="A117">
        <v>6308</v>
      </c>
      <c r="B117">
        <v>6204</v>
      </c>
      <c r="C117" t="s">
        <v>136</v>
      </c>
      <c r="D117" s="31">
        <f>+DATA!O113</f>
        <v>920333</v>
      </c>
      <c r="E117" s="31">
        <f>+DATA!T113</f>
        <v>2526988.264</v>
      </c>
      <c r="F117" s="38">
        <f t="shared" si="24"/>
        <v>3447321.264</v>
      </c>
      <c r="G117" s="112">
        <f t="shared" si="25"/>
        <v>0.11</v>
      </c>
      <c r="H117" s="95">
        <f t="shared" si="26"/>
        <v>0.73299999999999998</v>
      </c>
      <c r="I117" s="6" t="str">
        <f t="shared" si="27"/>
        <v>SI</v>
      </c>
      <c r="J117" s="117">
        <f t="shared" si="28"/>
        <v>3.3112582781000001E-3</v>
      </c>
      <c r="K117" s="117">
        <f t="shared" si="29"/>
        <v>1.6556291390500001E-3</v>
      </c>
      <c r="L117" s="31">
        <f>IF(I117="SI",VLOOKUP(A117,DATA!$A$4:$D$350,4,0),0)</f>
        <v>9281</v>
      </c>
      <c r="M117" s="95">
        <f>IF(I117="SI",VLOOKUP(A117,DATA!$A$4:$E$350,5,0),0)</f>
        <v>9.5939497713638161E-2</v>
      </c>
      <c r="N117" s="31">
        <f t="shared" si="30"/>
        <v>890</v>
      </c>
      <c r="O117" s="117">
        <f t="shared" si="31"/>
        <v>1.0775405440000001E-3</v>
      </c>
      <c r="P117" s="117">
        <f t="shared" si="32"/>
        <v>1.0775405440000001E-4</v>
      </c>
      <c r="Q117" s="31">
        <f>IF(I117="SI",VLOOKUP(A117,DATA!$A$4:$G$350,7,0),0)</f>
        <v>2991</v>
      </c>
      <c r="R117" s="31">
        <f>IF(I117="SI",VLOOKUP(A117,DATA!$A$4:$H$350,8,0),0)</f>
        <v>4448</v>
      </c>
      <c r="S117" s="117">
        <f t="shared" si="33"/>
        <v>5.8695511340000001E-4</v>
      </c>
      <c r="T117" s="117">
        <f t="shared" si="34"/>
        <v>7.6789371178069641E-4</v>
      </c>
      <c r="U117" s="117">
        <f t="shared" si="35"/>
        <v>1.5357874240000001E-4</v>
      </c>
      <c r="V117" s="31">
        <f>IF(I117="SI",VLOOKUP(A117,COEF_FCM!$A$8:$X$354,24,0),0)</f>
        <v>920333</v>
      </c>
      <c r="W117" s="121">
        <f t="shared" si="36"/>
        <v>99.16</v>
      </c>
      <c r="X117" s="31">
        <f>IF(AND(W117&gt;0,W117&lt;$W$7),ROUND(($W$7-W117)*L117,PARAMETROS!$L$8),0)</f>
        <v>71464</v>
      </c>
      <c r="Y117" s="122">
        <f t="shared" si="37"/>
        <v>2.6337321500000002E-4</v>
      </c>
      <c r="Z117" s="117">
        <f t="shared" si="38"/>
        <v>5.2674643000000003E-5</v>
      </c>
      <c r="AA117" s="96">
        <f t="shared" si="39"/>
        <v>1.9696365788499999E-3</v>
      </c>
      <c r="AB117" s="31">
        <f>ROUND(AA117*PARAMETROS!$H$24,0)</f>
        <v>338024106</v>
      </c>
      <c r="AC117" s="31">
        <f t="shared" si="40"/>
        <v>338024106</v>
      </c>
      <c r="AD117" s="31">
        <f t="shared" si="41"/>
        <v>84506027</v>
      </c>
      <c r="AE117" s="31">
        <f t="shared" si="44"/>
        <v>84506027</v>
      </c>
      <c r="AF117" s="31">
        <f t="shared" si="44"/>
        <v>84506027</v>
      </c>
      <c r="AG117" s="31">
        <f t="shared" si="42"/>
        <v>84506025</v>
      </c>
    </row>
    <row r="118" spans="1:33" ht="3" customHeight="1" x14ac:dyDescent="0.25">
      <c r="A118">
        <v>6309</v>
      </c>
      <c r="B118">
        <v>6214</v>
      </c>
      <c r="C118" t="s">
        <v>141</v>
      </c>
      <c r="D118" s="31">
        <f>+DATA!O114</f>
        <v>622086</v>
      </c>
      <c r="E118" s="31">
        <f>+DATA!T114</f>
        <v>2056046.824</v>
      </c>
      <c r="F118" s="38">
        <f t="shared" si="24"/>
        <v>2678132.824</v>
      </c>
      <c r="G118" s="112">
        <f t="shared" si="25"/>
        <v>4.2999999999999997E-2</v>
      </c>
      <c r="H118" s="95">
        <f t="shared" si="26"/>
        <v>0.76770000000000005</v>
      </c>
      <c r="I118" s="6" t="str">
        <f t="shared" si="27"/>
        <v>SI</v>
      </c>
      <c r="J118" s="117">
        <f t="shared" si="28"/>
        <v>3.3112582781000001E-3</v>
      </c>
      <c r="K118" s="117">
        <f t="shared" si="29"/>
        <v>1.6556291390500001E-3</v>
      </c>
      <c r="L118" s="31">
        <f>IF(I118="SI",VLOOKUP(A118,DATA!$A$4:$D$350,4,0),0)</f>
        <v>3516</v>
      </c>
      <c r="M118" s="95">
        <f>IF(I118="SI",VLOOKUP(A118,DATA!$A$4:$E$350,5,0),0)</f>
        <v>0.1236410123484773</v>
      </c>
      <c r="N118" s="31">
        <f t="shared" si="30"/>
        <v>435</v>
      </c>
      <c r="O118" s="117">
        <f t="shared" si="31"/>
        <v>5.2666307489999996E-4</v>
      </c>
      <c r="P118" s="117">
        <f t="shared" si="32"/>
        <v>5.2666307499999998E-5</v>
      </c>
      <c r="Q118" s="31">
        <f>IF(I118="SI",VLOOKUP(A118,DATA!$A$4:$G$350,7,0),0)</f>
        <v>2130</v>
      </c>
      <c r="R118" s="31">
        <f>IF(I118="SI",VLOOKUP(A118,DATA!$A$4:$H$350,8,0),0)</f>
        <v>4798</v>
      </c>
      <c r="S118" s="117">
        <f t="shared" si="33"/>
        <v>2.7595343609999998E-4</v>
      </c>
      <c r="T118" s="117">
        <f t="shared" si="34"/>
        <v>3.6102063596992287E-4</v>
      </c>
      <c r="U118" s="117">
        <f t="shared" si="35"/>
        <v>7.2204127200000006E-5</v>
      </c>
      <c r="V118" s="31">
        <f>IF(I118="SI",VLOOKUP(A118,COEF_FCM!$A$8:$X$354,24,0),0)</f>
        <v>622086</v>
      </c>
      <c r="W118" s="121">
        <f t="shared" si="36"/>
        <v>176.93</v>
      </c>
      <c r="X118" s="31">
        <f>IF(AND(W118&gt;0,W118&lt;$W$7),ROUND(($W$7-W118)*L118,PARAMETROS!$L$8),0)</f>
        <v>0</v>
      </c>
      <c r="Y118" s="122">
        <f t="shared" si="37"/>
        <v>0</v>
      </c>
      <c r="Z118" s="117">
        <f t="shared" si="38"/>
        <v>0</v>
      </c>
      <c r="AA118" s="96">
        <f t="shared" si="39"/>
        <v>1.78049957375E-3</v>
      </c>
      <c r="AB118" s="31">
        <f>ROUND(AA118*PARAMETROS!$H$24,0)</f>
        <v>305564886</v>
      </c>
      <c r="AC118" s="31">
        <f t="shared" si="40"/>
        <v>305564886</v>
      </c>
      <c r="AD118" s="31">
        <f t="shared" si="41"/>
        <v>76391222</v>
      </c>
      <c r="AE118" s="31">
        <f t="shared" si="44"/>
        <v>76391222</v>
      </c>
      <c r="AF118" s="31">
        <f t="shared" si="44"/>
        <v>76391222</v>
      </c>
      <c r="AG118" s="31">
        <f t="shared" si="42"/>
        <v>76391220</v>
      </c>
    </row>
    <row r="119" spans="1:33" ht="3" customHeight="1" x14ac:dyDescent="0.25">
      <c r="A119">
        <v>6310</v>
      </c>
      <c r="B119">
        <v>6205</v>
      </c>
      <c r="C119" t="s">
        <v>137</v>
      </c>
      <c r="D119" s="31">
        <f>+DATA!O115</f>
        <v>6341179</v>
      </c>
      <c r="E119" s="31">
        <f>+DATA!T115</f>
        <v>5309093.426</v>
      </c>
      <c r="F119" s="38">
        <f t="shared" si="24"/>
        <v>11650272.425999999</v>
      </c>
      <c r="G119" s="112">
        <f t="shared" si="25"/>
        <v>0.64</v>
      </c>
      <c r="H119" s="95">
        <f t="shared" si="26"/>
        <v>0.45569999999999999</v>
      </c>
      <c r="I119" s="6" t="str">
        <f t="shared" si="27"/>
        <v>SI</v>
      </c>
      <c r="J119" s="117">
        <f t="shared" si="28"/>
        <v>3.3112582781000001E-3</v>
      </c>
      <c r="K119" s="117">
        <f t="shared" si="29"/>
        <v>1.6556291390500001E-3</v>
      </c>
      <c r="L119" s="31">
        <f>IF(I119="SI",VLOOKUP(A119,DATA!$A$4:$D$350,4,0),0)</f>
        <v>42582</v>
      </c>
      <c r="M119" s="95">
        <f>IF(I119="SI",VLOOKUP(A119,DATA!$A$4:$E$350,5,0),0)</f>
        <v>6.7019593799579363E-2</v>
      </c>
      <c r="N119" s="31">
        <f t="shared" si="30"/>
        <v>2854</v>
      </c>
      <c r="O119" s="117">
        <f t="shared" si="31"/>
        <v>3.4553940589999999E-3</v>
      </c>
      <c r="P119" s="117">
        <f t="shared" si="32"/>
        <v>3.4553940589999999E-4</v>
      </c>
      <c r="Q119" s="31">
        <f>IF(I119="SI",VLOOKUP(A119,DATA!$A$4:$G$350,7,0),0)</f>
        <v>14314</v>
      </c>
      <c r="R119" s="31">
        <f>IF(I119="SI",VLOOKUP(A119,DATA!$A$4:$H$350,8,0),0)</f>
        <v>20064</v>
      </c>
      <c r="S119" s="117">
        <f t="shared" si="33"/>
        <v>2.980172134E-3</v>
      </c>
      <c r="T119" s="117">
        <f t="shared" si="34"/>
        <v>3.8988593667180732E-3</v>
      </c>
      <c r="U119" s="117">
        <f t="shared" si="35"/>
        <v>7.7977187329999998E-4</v>
      </c>
      <c r="V119" s="31">
        <f>IF(I119="SI",VLOOKUP(A119,COEF_FCM!$A$8:$X$354,24,0),0)</f>
        <v>6341179</v>
      </c>
      <c r="W119" s="121">
        <f t="shared" si="36"/>
        <v>148.91999999999999</v>
      </c>
      <c r="X119" s="31">
        <f>IF(AND(W119&gt;0,W119&lt;$W$7),ROUND(($W$7-W119)*L119,PARAMETROS!$L$8),0)</f>
        <v>0</v>
      </c>
      <c r="Y119" s="122">
        <f t="shared" si="37"/>
        <v>0</v>
      </c>
      <c r="Z119" s="117">
        <f t="shared" si="38"/>
        <v>0</v>
      </c>
      <c r="AA119" s="96">
        <f t="shared" si="39"/>
        <v>2.7809404182500001E-3</v>
      </c>
      <c r="AB119" s="31">
        <f>ROUND(AA119*PARAMETROS!$H$24,0)</f>
        <v>477258042</v>
      </c>
      <c r="AC119" s="31">
        <f t="shared" si="40"/>
        <v>477258042</v>
      </c>
      <c r="AD119" s="31">
        <f t="shared" si="41"/>
        <v>119314511</v>
      </c>
      <c r="AE119" s="31">
        <f t="shared" si="44"/>
        <v>119314511</v>
      </c>
      <c r="AF119" s="31">
        <f t="shared" si="44"/>
        <v>119314511</v>
      </c>
      <c r="AG119" s="31">
        <f t="shared" si="42"/>
        <v>119314509</v>
      </c>
    </row>
    <row r="120" spans="1:33" ht="3" customHeight="1" x14ac:dyDescent="0.25">
      <c r="A120">
        <v>7101</v>
      </c>
      <c r="B120">
        <v>7201</v>
      </c>
      <c r="C120" t="s">
        <v>152</v>
      </c>
      <c r="D120" s="31">
        <f>+DATA!O116</f>
        <v>26741864</v>
      </c>
      <c r="E120" s="31">
        <f>+DATA!T116</f>
        <v>24292871.550000001</v>
      </c>
      <c r="F120" s="38">
        <f t="shared" si="24"/>
        <v>51034735.549999997</v>
      </c>
      <c r="G120" s="112">
        <f t="shared" si="25"/>
        <v>0.93</v>
      </c>
      <c r="H120" s="95">
        <f t="shared" si="26"/>
        <v>0.47599999999999998</v>
      </c>
      <c r="I120" s="6" t="str">
        <f t="shared" si="27"/>
        <v>NO</v>
      </c>
      <c r="J120" s="117">
        <f t="shared" si="28"/>
        <v>0</v>
      </c>
      <c r="K120" s="117">
        <f t="shared" si="29"/>
        <v>0</v>
      </c>
      <c r="L120" s="31">
        <f>IF(I120="SI",VLOOKUP(A120,DATA!$A$4:$D$350,4,0),0)</f>
        <v>0</v>
      </c>
      <c r="M120" s="95">
        <f>IF(I120="SI",VLOOKUP(A120,DATA!$A$4:$E$350,5,0),0)</f>
        <v>0</v>
      </c>
      <c r="N120" s="31">
        <f t="shared" si="30"/>
        <v>0</v>
      </c>
      <c r="O120" s="117">
        <f t="shared" si="31"/>
        <v>0</v>
      </c>
      <c r="P120" s="117">
        <f t="shared" si="32"/>
        <v>0</v>
      </c>
      <c r="Q120" s="31">
        <f>IF(I120="SI",VLOOKUP(A120,DATA!$A$4:$G$350,7,0),0)</f>
        <v>0</v>
      </c>
      <c r="R120" s="31">
        <f>IF(I120="SI",VLOOKUP(A120,DATA!$A$4:$H$350,8,0),0)</f>
        <v>0</v>
      </c>
      <c r="S120" s="117">
        <f t="shared" si="33"/>
        <v>0</v>
      </c>
      <c r="T120" s="117">
        <f t="shared" si="34"/>
        <v>0</v>
      </c>
      <c r="U120" s="117">
        <f t="shared" si="35"/>
        <v>0</v>
      </c>
      <c r="V120" s="31">
        <f>IF(I120="SI",VLOOKUP(A120,COEF_FCM!$A$8:$X$354,24,0),0)</f>
        <v>0</v>
      </c>
      <c r="W120" s="121">
        <f t="shared" si="36"/>
        <v>0</v>
      </c>
      <c r="X120" s="31">
        <f>IF(AND(W120&gt;0,W120&lt;$W$7),ROUND(($W$7-W120)*L120,PARAMETROS!$L$8),0)</f>
        <v>0</v>
      </c>
      <c r="Y120" s="122">
        <f t="shared" si="37"/>
        <v>0</v>
      </c>
      <c r="Z120" s="117">
        <f t="shared" si="38"/>
        <v>0</v>
      </c>
      <c r="AA120" s="96">
        <f t="shared" si="39"/>
        <v>0</v>
      </c>
      <c r="AB120" s="31">
        <f>ROUND(AA120*PARAMETROS!$H$24,0)</f>
        <v>0</v>
      </c>
      <c r="AC120" s="31">
        <f t="shared" si="40"/>
        <v>0</v>
      </c>
      <c r="AD120" s="31">
        <f t="shared" si="41"/>
        <v>0</v>
      </c>
      <c r="AE120" s="31">
        <f t="shared" si="44"/>
        <v>0</v>
      </c>
      <c r="AF120" s="31">
        <f t="shared" si="44"/>
        <v>0</v>
      </c>
      <c r="AG120" s="31">
        <f t="shared" si="42"/>
        <v>0</v>
      </c>
    </row>
    <row r="121" spans="1:33" ht="3" customHeight="1" x14ac:dyDescent="0.25">
      <c r="A121">
        <v>7102</v>
      </c>
      <c r="B121">
        <v>7208</v>
      </c>
      <c r="C121" t="s">
        <v>387</v>
      </c>
      <c r="D121" s="31">
        <f>+DATA!O117</f>
        <v>4703763</v>
      </c>
      <c r="E121" s="31">
        <f>+DATA!T117</f>
        <v>12490067.284</v>
      </c>
      <c r="F121" s="38">
        <f t="shared" si="24"/>
        <v>17193830.284000002</v>
      </c>
      <c r="G121" s="112">
        <f t="shared" si="25"/>
        <v>0.75600000000000001</v>
      </c>
      <c r="H121" s="95">
        <f t="shared" si="26"/>
        <v>0.72640000000000005</v>
      </c>
      <c r="I121" s="6" t="str">
        <f t="shared" si="27"/>
        <v>SI</v>
      </c>
      <c r="J121" s="117">
        <f t="shared" si="28"/>
        <v>3.3112582781000001E-3</v>
      </c>
      <c r="K121" s="117">
        <f t="shared" si="29"/>
        <v>1.6556291390500001E-3</v>
      </c>
      <c r="L121" s="31">
        <f>IF(I121="SI",VLOOKUP(A121,DATA!$A$4:$D$350,4,0),0)</f>
        <v>50646</v>
      </c>
      <c r="M121" s="95">
        <f>IF(I121="SI",VLOOKUP(A121,DATA!$A$4:$E$350,5,0),0)</f>
        <v>0.1081072542788957</v>
      </c>
      <c r="N121" s="31">
        <f t="shared" si="30"/>
        <v>5475</v>
      </c>
      <c r="O121" s="117">
        <f t="shared" si="31"/>
        <v>6.6286904250000001E-3</v>
      </c>
      <c r="P121" s="117">
        <f t="shared" si="32"/>
        <v>6.6286904250000001E-4</v>
      </c>
      <c r="Q121" s="31">
        <f>IF(I121="SI",VLOOKUP(A121,DATA!$A$4:$G$350,7,0),0)</f>
        <v>21854</v>
      </c>
      <c r="R121" s="31">
        <f>IF(I121="SI",VLOOKUP(A121,DATA!$A$4:$H$350,8,0),0)</f>
        <v>25665</v>
      </c>
      <c r="S121" s="117">
        <f t="shared" si="33"/>
        <v>5.4307205006999997E-3</v>
      </c>
      <c r="T121" s="117">
        <f t="shared" si="34"/>
        <v>7.1048297011497589E-3</v>
      </c>
      <c r="U121" s="117">
        <f t="shared" si="35"/>
        <v>1.4209659402E-3</v>
      </c>
      <c r="V121" s="31">
        <f>IF(I121="SI",VLOOKUP(A121,COEF_FCM!$A$8:$X$354,24,0),0)</f>
        <v>4703763</v>
      </c>
      <c r="W121" s="121">
        <f t="shared" si="36"/>
        <v>92.88</v>
      </c>
      <c r="X121" s="31">
        <f>IF(AND(W121&gt;0,W121&lt;$W$7),ROUND(($W$7-W121)*L121,PARAMETROS!$L$8),0)</f>
        <v>708031</v>
      </c>
      <c r="Y121" s="122">
        <f t="shared" si="37"/>
        <v>2.6093753612000002E-3</v>
      </c>
      <c r="Z121" s="117">
        <f t="shared" si="38"/>
        <v>5.2187507219999998E-4</v>
      </c>
      <c r="AA121" s="96">
        <f t="shared" si="39"/>
        <v>4.2613391939500004E-3</v>
      </c>
      <c r="AB121" s="31">
        <f>ROUND(AA121*PARAMETROS!$H$24,0)</f>
        <v>731320379</v>
      </c>
      <c r="AC121" s="31">
        <f t="shared" si="40"/>
        <v>731320379</v>
      </c>
      <c r="AD121" s="31">
        <f t="shared" si="41"/>
        <v>182830095</v>
      </c>
      <c r="AE121" s="31">
        <f t="shared" si="44"/>
        <v>182830095</v>
      </c>
      <c r="AF121" s="31">
        <f t="shared" si="44"/>
        <v>182830095</v>
      </c>
      <c r="AG121" s="31">
        <f t="shared" si="42"/>
        <v>182830094</v>
      </c>
    </row>
    <row r="122" spans="1:33" ht="3" customHeight="1" x14ac:dyDescent="0.25">
      <c r="A122">
        <v>7103</v>
      </c>
      <c r="B122">
        <v>7207</v>
      </c>
      <c r="C122" t="s">
        <v>157</v>
      </c>
      <c r="D122" s="31">
        <f>+DATA!O118</f>
        <v>879258</v>
      </c>
      <c r="E122" s="31">
        <f>+DATA!T118</f>
        <v>3952526.99</v>
      </c>
      <c r="F122" s="38">
        <f t="shared" si="24"/>
        <v>4831784.99</v>
      </c>
      <c r="G122" s="112">
        <f t="shared" si="25"/>
        <v>0.26300000000000001</v>
      </c>
      <c r="H122" s="95">
        <f t="shared" si="26"/>
        <v>0.81799999999999995</v>
      </c>
      <c r="I122" s="6" t="str">
        <f t="shared" si="27"/>
        <v>SI</v>
      </c>
      <c r="J122" s="117">
        <f t="shared" si="28"/>
        <v>3.3112582781000001E-3</v>
      </c>
      <c r="K122" s="117">
        <f t="shared" si="29"/>
        <v>1.6556291390500001E-3</v>
      </c>
      <c r="L122" s="31">
        <f>IF(I122="SI",VLOOKUP(A122,DATA!$A$4:$D$350,4,0),0)</f>
        <v>9136</v>
      </c>
      <c r="M122" s="95">
        <f>IF(I122="SI",VLOOKUP(A122,DATA!$A$4:$E$350,5,0),0)</f>
        <v>0.1409961701302721</v>
      </c>
      <c r="N122" s="31">
        <f t="shared" si="30"/>
        <v>1288</v>
      </c>
      <c r="O122" s="117">
        <f t="shared" si="31"/>
        <v>1.5594069894999999E-3</v>
      </c>
      <c r="P122" s="117">
        <f t="shared" si="32"/>
        <v>1.55940699E-4</v>
      </c>
      <c r="Q122" s="31">
        <f>IF(I122="SI",VLOOKUP(A122,DATA!$A$4:$G$350,7,0),0)</f>
        <v>9786</v>
      </c>
      <c r="R122" s="31">
        <f>IF(I122="SI",VLOOKUP(A122,DATA!$A$4:$H$350,8,0),0)</f>
        <v>11422</v>
      </c>
      <c r="S122" s="117">
        <f t="shared" si="33"/>
        <v>2.4468373993000001E-3</v>
      </c>
      <c r="T122" s="117">
        <f t="shared" si="34"/>
        <v>3.2011154001002065E-3</v>
      </c>
      <c r="U122" s="117">
        <f t="shared" si="35"/>
        <v>6.4022307999999999E-4</v>
      </c>
      <c r="V122" s="31">
        <f>IF(I122="SI",VLOOKUP(A122,COEF_FCM!$A$8:$X$354,24,0),0)</f>
        <v>879258</v>
      </c>
      <c r="W122" s="121">
        <f t="shared" si="36"/>
        <v>96.24</v>
      </c>
      <c r="X122" s="31">
        <f>IF(AND(W122&gt;0,W122&lt;$W$7),ROUND(($W$7-W122)*L122,PARAMETROS!$L$8),0)</f>
        <v>97024</v>
      </c>
      <c r="Y122" s="122">
        <f t="shared" si="37"/>
        <v>3.575719637E-4</v>
      </c>
      <c r="Z122" s="117">
        <f t="shared" si="38"/>
        <v>7.1514392699999993E-5</v>
      </c>
      <c r="AA122" s="96">
        <f t="shared" si="39"/>
        <v>2.5233073107500002E-3</v>
      </c>
      <c r="AB122" s="31">
        <f>ROUND(AA122*PARAMETROS!$H$24,0)</f>
        <v>433043692</v>
      </c>
      <c r="AC122" s="31">
        <f t="shared" si="40"/>
        <v>433043692</v>
      </c>
      <c r="AD122" s="31">
        <f t="shared" si="41"/>
        <v>108260923</v>
      </c>
      <c r="AE122" s="31">
        <f t="shared" si="44"/>
        <v>108260923</v>
      </c>
      <c r="AF122" s="31">
        <f t="shared" si="44"/>
        <v>108260923</v>
      </c>
      <c r="AG122" s="31">
        <f t="shared" si="42"/>
        <v>108260923</v>
      </c>
    </row>
    <row r="123" spans="1:33" ht="3" customHeight="1" x14ac:dyDescent="0.25">
      <c r="A123">
        <v>7104</v>
      </c>
      <c r="B123">
        <v>7209</v>
      </c>
      <c r="C123" t="s">
        <v>158</v>
      </c>
      <c r="D123" s="31">
        <f>+DATA!O119</f>
        <v>375912</v>
      </c>
      <c r="E123" s="31">
        <f>+DATA!T119</f>
        <v>2992244.6609999998</v>
      </c>
      <c r="F123" s="38">
        <f t="shared" si="24"/>
        <v>3368156.6609999998</v>
      </c>
      <c r="G123" s="112">
        <f t="shared" si="25"/>
        <v>9.5000000000000001E-2</v>
      </c>
      <c r="H123" s="95">
        <f t="shared" si="26"/>
        <v>0.88839999999999997</v>
      </c>
      <c r="I123" s="6" t="str">
        <f t="shared" si="27"/>
        <v>SI</v>
      </c>
      <c r="J123" s="117">
        <f t="shared" si="28"/>
        <v>3.3112582781000001E-3</v>
      </c>
      <c r="K123" s="117">
        <f t="shared" si="29"/>
        <v>1.6556291390500001E-3</v>
      </c>
      <c r="L123" s="31">
        <f>IF(I123="SI",VLOOKUP(A123,DATA!$A$4:$D$350,4,0),0)</f>
        <v>4176</v>
      </c>
      <c r="M123" s="95">
        <f>IF(I123="SI",VLOOKUP(A123,DATA!$A$4:$E$350,5,0),0)</f>
        <v>0.1258615159951405</v>
      </c>
      <c r="N123" s="31">
        <f t="shared" si="30"/>
        <v>526</v>
      </c>
      <c r="O123" s="117">
        <f t="shared" si="31"/>
        <v>6.3683856869999999E-4</v>
      </c>
      <c r="P123" s="117">
        <f t="shared" si="32"/>
        <v>6.3683856900000006E-5</v>
      </c>
      <c r="Q123" s="31">
        <f>IF(I123="SI",VLOOKUP(A123,DATA!$A$4:$G$350,7,0),0)</f>
        <v>5940</v>
      </c>
      <c r="R123" s="31">
        <f>IF(I123="SI",VLOOKUP(A123,DATA!$A$4:$H$350,8,0),0)</f>
        <v>6497</v>
      </c>
      <c r="S123" s="117">
        <f t="shared" si="33"/>
        <v>1.5848817558999999E-3</v>
      </c>
      <c r="T123" s="117">
        <f t="shared" si="34"/>
        <v>2.0734477074777257E-3</v>
      </c>
      <c r="U123" s="117">
        <f t="shared" si="35"/>
        <v>4.1468954149999999E-4</v>
      </c>
      <c r="V123" s="31">
        <f>IF(I123="SI",VLOOKUP(A123,COEF_FCM!$A$8:$X$354,24,0),0)</f>
        <v>375912</v>
      </c>
      <c r="W123" s="121">
        <f t="shared" si="36"/>
        <v>90.02</v>
      </c>
      <c r="X123" s="31">
        <f>IF(AND(W123&gt;0,W123&lt;$W$7),ROUND(($W$7-W123)*L123,PARAMETROS!$L$8),0)</f>
        <v>70324</v>
      </c>
      <c r="Y123" s="122">
        <f t="shared" si="37"/>
        <v>2.5917186239999998E-4</v>
      </c>
      <c r="Z123" s="117">
        <f t="shared" si="38"/>
        <v>5.1834372500000001E-5</v>
      </c>
      <c r="AA123" s="96">
        <f t="shared" si="39"/>
        <v>2.1858369099500004E-3</v>
      </c>
      <c r="AB123" s="31">
        <f>ROUND(AA123*PARAMETROS!$H$24,0)</f>
        <v>375127866</v>
      </c>
      <c r="AC123" s="31">
        <f t="shared" si="40"/>
        <v>375127866</v>
      </c>
      <c r="AD123" s="31">
        <f t="shared" si="41"/>
        <v>93781967</v>
      </c>
      <c r="AE123" s="31">
        <f t="shared" si="44"/>
        <v>93781967</v>
      </c>
      <c r="AF123" s="31">
        <f t="shared" si="44"/>
        <v>93781967</v>
      </c>
      <c r="AG123" s="31">
        <f t="shared" si="42"/>
        <v>93781965</v>
      </c>
    </row>
    <row r="124" spans="1:33" ht="3" customHeight="1" x14ac:dyDescent="0.25">
      <c r="A124">
        <v>7105</v>
      </c>
      <c r="B124">
        <v>7206</v>
      </c>
      <c r="C124" t="s">
        <v>156</v>
      </c>
      <c r="D124" s="31">
        <f>+DATA!O120</f>
        <v>3268397</v>
      </c>
      <c r="E124" s="31">
        <f>+DATA!T120</f>
        <v>10520719.58</v>
      </c>
      <c r="F124" s="38">
        <f t="shared" si="24"/>
        <v>13789116.58</v>
      </c>
      <c r="G124" s="112">
        <f t="shared" si="25"/>
        <v>0.70099999999999996</v>
      </c>
      <c r="H124" s="95">
        <f t="shared" si="26"/>
        <v>0.76300000000000001</v>
      </c>
      <c r="I124" s="6" t="str">
        <f t="shared" si="27"/>
        <v>SI</v>
      </c>
      <c r="J124" s="117">
        <f t="shared" si="28"/>
        <v>3.3112582781000001E-3</v>
      </c>
      <c r="K124" s="117">
        <f t="shared" si="29"/>
        <v>1.6556291390500001E-3</v>
      </c>
      <c r="L124" s="31">
        <f>IF(I124="SI",VLOOKUP(A124,DATA!$A$4:$D$350,4,0),0)</f>
        <v>68975</v>
      </c>
      <c r="M124" s="95">
        <f>IF(I124="SI",VLOOKUP(A124,DATA!$A$4:$E$350,5,0),0)</f>
        <v>9.0724960365216586E-2</v>
      </c>
      <c r="N124" s="31">
        <f t="shared" si="30"/>
        <v>6258</v>
      </c>
      <c r="O124" s="117">
        <f t="shared" si="31"/>
        <v>7.5766839597999997E-3</v>
      </c>
      <c r="P124" s="117">
        <f t="shared" si="32"/>
        <v>7.5766839600000001E-4</v>
      </c>
      <c r="Q124" s="31">
        <f>IF(I124="SI",VLOOKUP(A124,DATA!$A$4:$G$350,7,0),0)</f>
        <v>21651</v>
      </c>
      <c r="R124" s="31">
        <f>IF(I124="SI",VLOOKUP(A124,DATA!$A$4:$H$350,8,0),0)</f>
        <v>24689</v>
      </c>
      <c r="S124" s="117">
        <f t="shared" si="33"/>
        <v>5.5410142020000004E-3</v>
      </c>
      <c r="T124" s="117">
        <f t="shared" si="34"/>
        <v>7.2491232557057297E-3</v>
      </c>
      <c r="U124" s="117">
        <f t="shared" si="35"/>
        <v>1.4498246511E-3</v>
      </c>
      <c r="V124" s="31">
        <f>IF(I124="SI",VLOOKUP(A124,COEF_FCM!$A$8:$X$354,24,0),0)</f>
        <v>3268397</v>
      </c>
      <c r="W124" s="121">
        <f t="shared" si="36"/>
        <v>47.39</v>
      </c>
      <c r="X124" s="31">
        <f>IF(AND(W124&gt;0,W124&lt;$W$7),ROUND(($W$7-W124)*L124,PARAMETROS!$L$8),0)</f>
        <v>4101943</v>
      </c>
      <c r="Y124" s="122">
        <f t="shared" si="37"/>
        <v>1.51172886457E-2</v>
      </c>
      <c r="Z124" s="117">
        <f t="shared" si="38"/>
        <v>3.0234577290999998E-3</v>
      </c>
      <c r="AA124" s="96">
        <f t="shared" si="39"/>
        <v>6.8865799152499994E-3</v>
      </c>
      <c r="AB124" s="31">
        <f>ROUND(AA124*PARAMETROS!$H$24,0)</f>
        <v>1181857629</v>
      </c>
      <c r="AC124" s="31">
        <f t="shared" si="40"/>
        <v>1181857629</v>
      </c>
      <c r="AD124" s="31">
        <f t="shared" si="41"/>
        <v>295464407</v>
      </c>
      <c r="AE124" s="31">
        <f t="shared" si="44"/>
        <v>295464407</v>
      </c>
      <c r="AF124" s="31">
        <f t="shared" si="44"/>
        <v>295464407</v>
      </c>
      <c r="AG124" s="31">
        <f t="shared" si="42"/>
        <v>295464408</v>
      </c>
    </row>
    <row r="125" spans="1:33" ht="3" customHeight="1" x14ac:dyDescent="0.25">
      <c r="A125">
        <v>7106</v>
      </c>
      <c r="B125">
        <v>7203</v>
      </c>
      <c r="C125" t="s">
        <v>154</v>
      </c>
      <c r="D125" s="31">
        <f>+DATA!O121</f>
        <v>7345579</v>
      </c>
      <c r="E125" s="31">
        <f>+DATA!T121</f>
        <v>2502024.3689999999</v>
      </c>
      <c r="F125" s="38">
        <f t="shared" si="24"/>
        <v>9847603.368999999</v>
      </c>
      <c r="G125" s="112">
        <f t="shared" si="25"/>
        <v>0.58499999999999996</v>
      </c>
      <c r="H125" s="95">
        <f t="shared" si="26"/>
        <v>0.25409999999999999</v>
      </c>
      <c r="I125" s="6" t="str">
        <f t="shared" si="27"/>
        <v>SI</v>
      </c>
      <c r="J125" s="117">
        <f t="shared" si="28"/>
        <v>3.3112582781000001E-3</v>
      </c>
      <c r="K125" s="117">
        <f t="shared" si="29"/>
        <v>1.6556291390500001E-3</v>
      </c>
      <c r="L125" s="31">
        <f>IF(I125="SI",VLOOKUP(A125,DATA!$A$4:$D$350,4,0),0)</f>
        <v>9407</v>
      </c>
      <c r="M125" s="95">
        <f>IF(I125="SI",VLOOKUP(A125,DATA!$A$4:$E$350,5,0),0)</f>
        <v>0.11779844501492109</v>
      </c>
      <c r="N125" s="31">
        <f t="shared" si="30"/>
        <v>1108</v>
      </c>
      <c r="O125" s="117">
        <f t="shared" si="31"/>
        <v>1.3414774413E-3</v>
      </c>
      <c r="P125" s="117">
        <f t="shared" si="32"/>
        <v>1.341477441E-4</v>
      </c>
      <c r="Q125" s="31">
        <f>IF(I125="SI",VLOOKUP(A125,DATA!$A$4:$G$350,7,0),0)</f>
        <v>4119</v>
      </c>
      <c r="R125" s="31">
        <f>IF(I125="SI",VLOOKUP(A125,DATA!$A$4:$H$350,8,0),0)</f>
        <v>6152</v>
      </c>
      <c r="S125" s="117">
        <f t="shared" si="33"/>
        <v>8.0482989570000002E-4</v>
      </c>
      <c r="T125" s="117">
        <f t="shared" si="34"/>
        <v>1.0529319906273156E-3</v>
      </c>
      <c r="U125" s="117">
        <f t="shared" si="35"/>
        <v>2.1058639810000001E-4</v>
      </c>
      <c r="V125" s="31">
        <f>IF(I125="SI",VLOOKUP(A125,COEF_FCM!$A$8:$X$354,24,0),0)</f>
        <v>7345579</v>
      </c>
      <c r="W125" s="121">
        <f t="shared" si="36"/>
        <v>780.86</v>
      </c>
      <c r="X125" s="31">
        <f>IF(AND(W125&gt;0,W125&lt;$W$7),ROUND(($W$7-W125)*L125,PARAMETROS!$L$8),0)</f>
        <v>0</v>
      </c>
      <c r="Y125" s="122">
        <f t="shared" si="37"/>
        <v>0</v>
      </c>
      <c r="Z125" s="117">
        <f t="shared" si="38"/>
        <v>0</v>
      </c>
      <c r="AA125" s="96">
        <f t="shared" si="39"/>
        <v>2.0003632812500001E-3</v>
      </c>
      <c r="AB125" s="31">
        <f>ROUND(AA125*PARAMETROS!$H$24,0)</f>
        <v>343297345</v>
      </c>
      <c r="AC125" s="31">
        <f t="shared" si="40"/>
        <v>343297345</v>
      </c>
      <c r="AD125" s="31">
        <f t="shared" si="41"/>
        <v>85824336</v>
      </c>
      <c r="AE125" s="31">
        <f t="shared" si="44"/>
        <v>85824336</v>
      </c>
      <c r="AF125" s="31">
        <f t="shared" si="44"/>
        <v>85824336</v>
      </c>
      <c r="AG125" s="31">
        <f t="shared" si="42"/>
        <v>85824337</v>
      </c>
    </row>
    <row r="126" spans="1:33" ht="3" customHeight="1" x14ac:dyDescent="0.25">
      <c r="A126">
        <v>7107</v>
      </c>
      <c r="B126">
        <v>7205</v>
      </c>
      <c r="C126" t="s">
        <v>155</v>
      </c>
      <c r="D126" s="31">
        <f>+DATA!O122</f>
        <v>1433212</v>
      </c>
      <c r="E126" s="31">
        <f>+DATA!T122</f>
        <v>2572041.1549999998</v>
      </c>
      <c r="F126" s="38">
        <f t="shared" si="24"/>
        <v>4005253.1549999998</v>
      </c>
      <c r="G126" s="112">
        <f t="shared" si="25"/>
        <v>0.156</v>
      </c>
      <c r="H126" s="95">
        <f t="shared" si="26"/>
        <v>0.64219999999999999</v>
      </c>
      <c r="I126" s="6" t="str">
        <f t="shared" si="27"/>
        <v>SI</v>
      </c>
      <c r="J126" s="117">
        <f t="shared" si="28"/>
        <v>3.3112582781000001E-3</v>
      </c>
      <c r="K126" s="117">
        <f t="shared" si="29"/>
        <v>1.6556291390500001E-3</v>
      </c>
      <c r="L126" s="31">
        <f>IF(I126="SI",VLOOKUP(A126,DATA!$A$4:$D$350,4,0),0)</f>
        <v>8626</v>
      </c>
      <c r="M126" s="95">
        <f>IF(I126="SI",VLOOKUP(A126,DATA!$A$4:$E$350,5,0),0)</f>
        <v>0.1168547056300677</v>
      </c>
      <c r="N126" s="31">
        <f t="shared" si="30"/>
        <v>1008</v>
      </c>
      <c r="O126" s="117">
        <f t="shared" si="31"/>
        <v>1.22040547E-3</v>
      </c>
      <c r="P126" s="117">
        <f t="shared" si="32"/>
        <v>1.22040547E-4</v>
      </c>
      <c r="Q126" s="31">
        <f>IF(I126="SI",VLOOKUP(A126,DATA!$A$4:$G$350,7,0),0)</f>
        <v>4856</v>
      </c>
      <c r="R126" s="31">
        <f>IF(I126="SI",VLOOKUP(A126,DATA!$A$4:$H$350,8,0),0)</f>
        <v>6785</v>
      </c>
      <c r="S126" s="117">
        <f t="shared" si="33"/>
        <v>1.0142484369E-3</v>
      </c>
      <c r="T126" s="117">
        <f t="shared" si="34"/>
        <v>1.326907252528095E-3</v>
      </c>
      <c r="U126" s="117">
        <f t="shared" si="35"/>
        <v>2.6538145050000001E-4</v>
      </c>
      <c r="V126" s="31">
        <f>IF(I126="SI",VLOOKUP(A126,COEF_FCM!$A$8:$X$354,24,0),0)</f>
        <v>1433212</v>
      </c>
      <c r="W126" s="121">
        <f t="shared" si="36"/>
        <v>166.15</v>
      </c>
      <c r="X126" s="31">
        <f>IF(AND(W126&gt;0,W126&lt;$W$7),ROUND(($W$7-W126)*L126,PARAMETROS!$L$8),0)</f>
        <v>0</v>
      </c>
      <c r="Y126" s="122">
        <f t="shared" si="37"/>
        <v>0</v>
      </c>
      <c r="Z126" s="117">
        <f t="shared" si="38"/>
        <v>0</v>
      </c>
      <c r="AA126" s="96">
        <f t="shared" si="39"/>
        <v>2.0430511365500002E-3</v>
      </c>
      <c r="AB126" s="31">
        <f>ROUND(AA126*PARAMETROS!$H$24,0)</f>
        <v>350623328</v>
      </c>
      <c r="AC126" s="31">
        <f t="shared" si="40"/>
        <v>350623328</v>
      </c>
      <c r="AD126" s="31">
        <f t="shared" si="41"/>
        <v>87655832</v>
      </c>
      <c r="AE126" s="31">
        <f t="shared" si="44"/>
        <v>87655832</v>
      </c>
      <c r="AF126" s="31">
        <f t="shared" si="44"/>
        <v>87655832</v>
      </c>
      <c r="AG126" s="31">
        <f t="shared" si="42"/>
        <v>87655832</v>
      </c>
    </row>
    <row r="127" spans="1:33" ht="3" customHeight="1" x14ac:dyDescent="0.25">
      <c r="A127">
        <v>7108</v>
      </c>
      <c r="B127">
        <v>7204</v>
      </c>
      <c r="C127" t="s">
        <v>388</v>
      </c>
      <c r="D127" s="31">
        <f>+DATA!O123</f>
        <v>3584070</v>
      </c>
      <c r="E127" s="31">
        <f>+DATA!T123</f>
        <v>2801855.071</v>
      </c>
      <c r="F127" s="38">
        <f t="shared" si="24"/>
        <v>6385925.0710000005</v>
      </c>
      <c r="G127" s="112">
        <f t="shared" si="25"/>
        <v>0.434</v>
      </c>
      <c r="H127" s="95">
        <f t="shared" si="26"/>
        <v>0.43880000000000002</v>
      </c>
      <c r="I127" s="6" t="str">
        <f t="shared" si="27"/>
        <v>SI</v>
      </c>
      <c r="J127" s="117">
        <f t="shared" si="28"/>
        <v>3.3112582781000001E-3</v>
      </c>
      <c r="K127" s="117">
        <f t="shared" si="29"/>
        <v>1.6556291390500001E-3</v>
      </c>
      <c r="L127" s="31">
        <f>IF(I127="SI",VLOOKUP(A127,DATA!$A$4:$D$350,4,0),0)</f>
        <v>15129</v>
      </c>
      <c r="M127" s="95">
        <f>IF(I127="SI",VLOOKUP(A127,DATA!$A$4:$E$350,5,0),0)</f>
        <v>9.4034421118778799E-2</v>
      </c>
      <c r="N127" s="31">
        <f t="shared" si="30"/>
        <v>1423</v>
      </c>
      <c r="O127" s="117">
        <f t="shared" si="31"/>
        <v>1.7228541505999999E-3</v>
      </c>
      <c r="P127" s="117">
        <f t="shared" si="32"/>
        <v>1.7228541509999999E-4</v>
      </c>
      <c r="Q127" s="31">
        <f>IF(I127="SI",VLOOKUP(A127,DATA!$A$4:$G$350,7,0),0)</f>
        <v>5758</v>
      </c>
      <c r="R127" s="31">
        <f>IF(I127="SI",VLOOKUP(A127,DATA!$A$4:$H$350,8,0),0)</f>
        <v>7972</v>
      </c>
      <c r="S127" s="117">
        <f t="shared" si="33"/>
        <v>1.2137042536000001E-3</v>
      </c>
      <c r="T127" s="117">
        <f t="shared" si="34"/>
        <v>1.5878486157182249E-3</v>
      </c>
      <c r="U127" s="117">
        <f t="shared" si="35"/>
        <v>3.1756972309999998E-4</v>
      </c>
      <c r="V127" s="31">
        <f>IF(I127="SI",VLOOKUP(A127,COEF_FCM!$A$8:$X$354,24,0),0)</f>
        <v>3584070</v>
      </c>
      <c r="W127" s="121">
        <f t="shared" si="36"/>
        <v>236.9</v>
      </c>
      <c r="X127" s="31">
        <f>IF(AND(W127&gt;0,W127&lt;$W$7),ROUND(($W$7-W127)*L127,PARAMETROS!$L$8),0)</f>
        <v>0</v>
      </c>
      <c r="Y127" s="122">
        <f t="shared" si="37"/>
        <v>0</v>
      </c>
      <c r="Z127" s="117">
        <f t="shared" si="38"/>
        <v>0</v>
      </c>
      <c r="AA127" s="96">
        <f t="shared" si="39"/>
        <v>2.1454842772500003E-3</v>
      </c>
      <c r="AB127" s="31">
        <f>ROUND(AA127*PARAMETROS!$H$24,0)</f>
        <v>368202648</v>
      </c>
      <c r="AC127" s="31">
        <f t="shared" si="40"/>
        <v>368202648</v>
      </c>
      <c r="AD127" s="31">
        <f t="shared" si="41"/>
        <v>92050662</v>
      </c>
      <c r="AE127" s="31">
        <f t="shared" si="44"/>
        <v>92050662</v>
      </c>
      <c r="AF127" s="31">
        <f t="shared" si="44"/>
        <v>92050662</v>
      </c>
      <c r="AG127" s="31">
        <f t="shared" si="42"/>
        <v>92050662</v>
      </c>
    </row>
    <row r="128" spans="1:33" ht="3" customHeight="1" x14ac:dyDescent="0.25">
      <c r="A128">
        <v>7109</v>
      </c>
      <c r="B128">
        <v>7202</v>
      </c>
      <c r="C128" t="s">
        <v>153</v>
      </c>
      <c r="D128" s="31">
        <f>+DATA!O124</f>
        <v>3660344</v>
      </c>
      <c r="E128" s="31">
        <f>+DATA!T124</f>
        <v>9812201.3579999991</v>
      </c>
      <c r="F128" s="38">
        <f t="shared" si="24"/>
        <v>13472545.357999999</v>
      </c>
      <c r="G128" s="112">
        <f t="shared" si="25"/>
        <v>0.68899999999999995</v>
      </c>
      <c r="H128" s="95">
        <f t="shared" si="26"/>
        <v>0.72829999999999995</v>
      </c>
      <c r="I128" s="6" t="str">
        <f t="shared" si="27"/>
        <v>SI</v>
      </c>
      <c r="J128" s="117">
        <f t="shared" si="28"/>
        <v>3.3112582781000001E-3</v>
      </c>
      <c r="K128" s="117">
        <f t="shared" si="29"/>
        <v>1.6556291390500001E-3</v>
      </c>
      <c r="L128" s="31">
        <f>IF(I128="SI",VLOOKUP(A128,DATA!$A$4:$D$350,4,0),0)</f>
        <v>47999</v>
      </c>
      <c r="M128" s="95">
        <f>IF(I128="SI",VLOOKUP(A128,DATA!$A$4:$E$350,5,0),0)</f>
        <v>0.10529142433779549</v>
      </c>
      <c r="N128" s="31">
        <f t="shared" si="30"/>
        <v>5054</v>
      </c>
      <c r="O128" s="117">
        <f t="shared" si="31"/>
        <v>6.1189774261000002E-3</v>
      </c>
      <c r="P128" s="117">
        <f t="shared" si="32"/>
        <v>6.1189774259999997E-4</v>
      </c>
      <c r="Q128" s="31">
        <f>IF(I128="SI",VLOOKUP(A128,DATA!$A$4:$G$350,7,0),0)</f>
        <v>20986</v>
      </c>
      <c r="R128" s="31">
        <f>IF(I128="SI",VLOOKUP(A128,DATA!$A$4:$H$350,8,0),0)</f>
        <v>27616</v>
      </c>
      <c r="S128" s="117">
        <f t="shared" si="33"/>
        <v>4.6540967364999998E-3</v>
      </c>
      <c r="T128" s="117">
        <f t="shared" si="34"/>
        <v>6.0887988474544403E-3</v>
      </c>
      <c r="U128" s="117">
        <f t="shared" si="35"/>
        <v>1.2177597695000001E-3</v>
      </c>
      <c r="V128" s="31">
        <f>IF(I128="SI",VLOOKUP(A128,COEF_FCM!$A$8:$X$354,24,0),0)</f>
        <v>3660344</v>
      </c>
      <c r="W128" s="121">
        <f t="shared" si="36"/>
        <v>76.260000000000005</v>
      </c>
      <c r="X128" s="31">
        <f>IF(AND(W128&gt;0,W128&lt;$W$7),ROUND(($W$7-W128)*L128,PARAMETROS!$L$8),0)</f>
        <v>1468769</v>
      </c>
      <c r="Y128" s="122">
        <f t="shared" si="37"/>
        <v>5.4129969448000002E-3</v>
      </c>
      <c r="Z128" s="117">
        <f t="shared" si="38"/>
        <v>1.082599389E-3</v>
      </c>
      <c r="AA128" s="96">
        <f t="shared" si="39"/>
        <v>4.5678860401499998E-3</v>
      </c>
      <c r="AB128" s="31">
        <f>ROUND(AA128*PARAMETROS!$H$24,0)</f>
        <v>783929182</v>
      </c>
      <c r="AC128" s="31">
        <f t="shared" si="40"/>
        <v>783929182</v>
      </c>
      <c r="AD128" s="31">
        <f t="shared" si="41"/>
        <v>195982296</v>
      </c>
      <c r="AE128" s="31">
        <f t="shared" si="44"/>
        <v>195982296</v>
      </c>
      <c r="AF128" s="31">
        <f t="shared" si="44"/>
        <v>195982296</v>
      </c>
      <c r="AG128" s="31">
        <f t="shared" si="42"/>
        <v>195982294</v>
      </c>
    </row>
    <row r="129" spans="1:33" ht="3" customHeight="1" x14ac:dyDescent="0.25">
      <c r="A129">
        <v>7110</v>
      </c>
      <c r="B129">
        <v>7210</v>
      </c>
      <c r="C129" t="s">
        <v>159</v>
      </c>
      <c r="D129" s="31">
        <f>+DATA!O125</f>
        <v>1313650</v>
      </c>
      <c r="E129" s="31">
        <f>+DATA!T125</f>
        <v>2836684.5559999999</v>
      </c>
      <c r="F129" s="38">
        <f t="shared" si="24"/>
        <v>4150334.5559999999</v>
      </c>
      <c r="G129" s="112">
        <f t="shared" si="25"/>
        <v>0.182</v>
      </c>
      <c r="H129" s="95">
        <f t="shared" si="26"/>
        <v>0.6835</v>
      </c>
      <c r="I129" s="6" t="str">
        <f t="shared" si="27"/>
        <v>SI</v>
      </c>
      <c r="J129" s="117">
        <f t="shared" si="28"/>
        <v>3.3112582781000001E-3</v>
      </c>
      <c r="K129" s="117">
        <f t="shared" si="29"/>
        <v>1.6556291390500001E-3</v>
      </c>
      <c r="L129" s="31">
        <f>IF(I129="SI",VLOOKUP(A129,DATA!$A$4:$D$350,4,0),0)</f>
        <v>10399</v>
      </c>
      <c r="M129" s="95">
        <f>IF(I129="SI",VLOOKUP(A129,DATA!$A$4:$E$350,5,0),0)</f>
        <v>0.1126402723092326</v>
      </c>
      <c r="N129" s="31">
        <f t="shared" si="30"/>
        <v>1171</v>
      </c>
      <c r="O129" s="117">
        <f t="shared" si="31"/>
        <v>1.4177527831E-3</v>
      </c>
      <c r="P129" s="117">
        <f t="shared" si="32"/>
        <v>1.4177527830000001E-4</v>
      </c>
      <c r="Q129" s="31">
        <f>IF(I129="SI",VLOOKUP(A129,DATA!$A$4:$G$350,7,0),0)</f>
        <v>4731</v>
      </c>
      <c r="R129" s="31">
        <f>IF(I129="SI",VLOOKUP(A129,DATA!$A$4:$H$350,8,0),0)</f>
        <v>5965</v>
      </c>
      <c r="S129" s="117">
        <f t="shared" si="33"/>
        <v>1.0950458181999999E-3</v>
      </c>
      <c r="T129" s="117">
        <f t="shared" si="34"/>
        <v>1.4326117597590173E-3</v>
      </c>
      <c r="U129" s="117">
        <f t="shared" si="35"/>
        <v>2.8652235199999999E-4</v>
      </c>
      <c r="V129" s="31">
        <f>IF(I129="SI",VLOOKUP(A129,COEF_FCM!$A$8:$X$354,24,0),0)</f>
        <v>1313650</v>
      </c>
      <c r="W129" s="121">
        <f t="shared" si="36"/>
        <v>126.32</v>
      </c>
      <c r="X129" s="31">
        <f>IF(AND(W129&gt;0,W129&lt;$W$7),ROUND(($W$7-W129)*L129,PARAMETROS!$L$8),0)</f>
        <v>0</v>
      </c>
      <c r="Y129" s="122">
        <f t="shared" si="37"/>
        <v>0</v>
      </c>
      <c r="Z129" s="117">
        <f t="shared" si="38"/>
        <v>0</v>
      </c>
      <c r="AA129" s="96">
        <f t="shared" si="39"/>
        <v>2.0839267693500002E-3</v>
      </c>
      <c r="AB129" s="31">
        <f>ROUND(AA129*PARAMETROS!$H$24,0)</f>
        <v>357638302</v>
      </c>
      <c r="AC129" s="31">
        <f t="shared" si="40"/>
        <v>357638302</v>
      </c>
      <c r="AD129" s="31">
        <f t="shared" si="41"/>
        <v>89409576</v>
      </c>
      <c r="AE129" s="31">
        <f t="shared" ref="AE129:AF148" si="45">+AD129</f>
        <v>89409576</v>
      </c>
      <c r="AF129" s="31">
        <f t="shared" si="45"/>
        <v>89409576</v>
      </c>
      <c r="AG129" s="31">
        <f t="shared" si="42"/>
        <v>89409574</v>
      </c>
    </row>
    <row r="130" spans="1:33" ht="3" customHeight="1" x14ac:dyDescent="0.25">
      <c r="A130">
        <v>7201</v>
      </c>
      <c r="B130">
        <v>7401</v>
      </c>
      <c r="C130" t="s">
        <v>166</v>
      </c>
      <c r="D130" s="31">
        <f>+DATA!O126</f>
        <v>3461761</v>
      </c>
      <c r="E130" s="31">
        <f>+DATA!T126</f>
        <v>10120016.499</v>
      </c>
      <c r="F130" s="38">
        <f t="shared" si="24"/>
        <v>13581777.499</v>
      </c>
      <c r="G130" s="112">
        <f t="shared" si="25"/>
        <v>0.69199999999999995</v>
      </c>
      <c r="H130" s="95">
        <f t="shared" si="26"/>
        <v>0.74509999999999998</v>
      </c>
      <c r="I130" s="6" t="str">
        <f t="shared" si="27"/>
        <v>SI</v>
      </c>
      <c r="J130" s="117">
        <f t="shared" si="28"/>
        <v>3.3112582781000001E-3</v>
      </c>
      <c r="K130" s="117">
        <f t="shared" si="29"/>
        <v>1.6556291390500001E-3</v>
      </c>
      <c r="L130" s="31">
        <f>IF(I130="SI",VLOOKUP(A130,DATA!$A$4:$D$350,4,0),0)</f>
        <v>44446</v>
      </c>
      <c r="M130" s="95">
        <f>IF(I130="SI",VLOOKUP(A130,DATA!$A$4:$E$350,5,0),0)</f>
        <v>0.1157221024864185</v>
      </c>
      <c r="N130" s="31">
        <f t="shared" si="30"/>
        <v>5143</v>
      </c>
      <c r="O130" s="117">
        <f t="shared" si="31"/>
        <v>6.2267314805000001E-3</v>
      </c>
      <c r="P130" s="117">
        <f t="shared" si="32"/>
        <v>6.2267314809999995E-4</v>
      </c>
      <c r="Q130" s="31">
        <f>IF(I130="SI",VLOOKUP(A130,DATA!$A$4:$G$350,7,0),0)</f>
        <v>26718</v>
      </c>
      <c r="R130" s="31">
        <f>IF(I130="SI",VLOOKUP(A130,DATA!$A$4:$H$350,8,0),0)</f>
        <v>35043</v>
      </c>
      <c r="S130" s="117">
        <f t="shared" si="33"/>
        <v>5.9448849648000004E-3</v>
      </c>
      <c r="T130" s="117">
        <f t="shared" si="34"/>
        <v>7.7774938449484627E-3</v>
      </c>
      <c r="U130" s="117">
        <f t="shared" si="35"/>
        <v>1.555498769E-3</v>
      </c>
      <c r="V130" s="31">
        <f>IF(I130="SI",VLOOKUP(A130,COEF_FCM!$A$8:$X$354,24,0),0)</f>
        <v>3461761</v>
      </c>
      <c r="W130" s="121">
        <f t="shared" si="36"/>
        <v>77.89</v>
      </c>
      <c r="X130" s="31">
        <f>IF(AND(W130&gt;0,W130&lt;$W$7),ROUND(($W$7-W130)*L130,PARAMETROS!$L$8),0)</f>
        <v>1287601</v>
      </c>
      <c r="Y130" s="122">
        <f t="shared" si="37"/>
        <v>4.7453209315000003E-3</v>
      </c>
      <c r="Z130" s="117">
        <f t="shared" si="38"/>
        <v>9.4906418629999996E-4</v>
      </c>
      <c r="AA130" s="96">
        <f t="shared" si="39"/>
        <v>4.78286524245E-3</v>
      </c>
      <c r="AB130" s="31">
        <f>ROUND(AA130*PARAMETROS!$H$24,0)</f>
        <v>820823376</v>
      </c>
      <c r="AC130" s="31">
        <f t="shared" si="40"/>
        <v>820823376</v>
      </c>
      <c r="AD130" s="31">
        <f t="shared" si="41"/>
        <v>205205844</v>
      </c>
      <c r="AE130" s="31">
        <f t="shared" si="45"/>
        <v>205205844</v>
      </c>
      <c r="AF130" s="31">
        <f t="shared" si="45"/>
        <v>205205844</v>
      </c>
      <c r="AG130" s="31">
        <f t="shared" si="42"/>
        <v>205205844</v>
      </c>
    </row>
    <row r="131" spans="1:33" ht="3" customHeight="1" x14ac:dyDescent="0.25">
      <c r="A131">
        <v>7202</v>
      </c>
      <c r="B131">
        <v>7403</v>
      </c>
      <c r="C131" t="s">
        <v>168</v>
      </c>
      <c r="D131" s="31">
        <f>+DATA!O127</f>
        <v>696396</v>
      </c>
      <c r="E131" s="31">
        <f>+DATA!T127</f>
        <v>3826907.0060000001</v>
      </c>
      <c r="F131" s="38">
        <f t="shared" si="24"/>
        <v>4523303.0060000001</v>
      </c>
      <c r="G131" s="112">
        <f t="shared" si="25"/>
        <v>0.223</v>
      </c>
      <c r="H131" s="95">
        <f t="shared" si="26"/>
        <v>0.84599999999999997</v>
      </c>
      <c r="I131" s="6" t="str">
        <f t="shared" si="27"/>
        <v>SI</v>
      </c>
      <c r="J131" s="117">
        <f t="shared" si="28"/>
        <v>3.3112582781000001E-3</v>
      </c>
      <c r="K131" s="117">
        <f t="shared" si="29"/>
        <v>1.6556291390500001E-3</v>
      </c>
      <c r="L131" s="31">
        <f>IF(I131="SI",VLOOKUP(A131,DATA!$A$4:$D$350,4,0),0)</f>
        <v>9256</v>
      </c>
      <c r="M131" s="95">
        <f>IF(I131="SI",VLOOKUP(A131,DATA!$A$4:$E$350,5,0),0)</f>
        <v>0.14315558367829151</v>
      </c>
      <c r="N131" s="31">
        <f t="shared" si="30"/>
        <v>1325</v>
      </c>
      <c r="O131" s="117">
        <f t="shared" si="31"/>
        <v>1.6042036188E-3</v>
      </c>
      <c r="P131" s="117">
        <f t="shared" si="32"/>
        <v>1.604203619E-4</v>
      </c>
      <c r="Q131" s="31">
        <f>IF(I131="SI",VLOOKUP(A131,DATA!$A$4:$G$350,7,0),0)</f>
        <v>6825</v>
      </c>
      <c r="R131" s="31">
        <f>IF(I131="SI",VLOOKUP(A131,DATA!$A$4:$H$350,8,0),0)</f>
        <v>8256</v>
      </c>
      <c r="S131" s="117">
        <f t="shared" si="33"/>
        <v>1.6465406991999999E-3</v>
      </c>
      <c r="T131" s="117">
        <f t="shared" si="34"/>
        <v>2.1541140374136676E-3</v>
      </c>
      <c r="U131" s="117">
        <f t="shared" si="35"/>
        <v>4.308228075E-4</v>
      </c>
      <c r="V131" s="31">
        <f>IF(I131="SI",VLOOKUP(A131,COEF_FCM!$A$8:$X$354,24,0),0)</f>
        <v>696396</v>
      </c>
      <c r="W131" s="121">
        <f t="shared" si="36"/>
        <v>75.239999999999995</v>
      </c>
      <c r="X131" s="31">
        <f>IF(AND(W131&gt;0,W131&lt;$W$7),ROUND(($W$7-W131)*L131,PARAMETROS!$L$8),0)</f>
        <v>292675</v>
      </c>
      <c r="Y131" s="122">
        <f t="shared" si="37"/>
        <v>1.0786235826000001E-3</v>
      </c>
      <c r="Z131" s="117">
        <f t="shared" si="38"/>
        <v>2.1572471649999999E-4</v>
      </c>
      <c r="AA131" s="96">
        <f t="shared" si="39"/>
        <v>2.4625970249500004E-3</v>
      </c>
      <c r="AB131" s="31">
        <f>ROUND(AA131*PARAMETROS!$H$24,0)</f>
        <v>422624745</v>
      </c>
      <c r="AC131" s="31">
        <f t="shared" si="40"/>
        <v>422624745</v>
      </c>
      <c r="AD131" s="31">
        <f t="shared" si="41"/>
        <v>105656186</v>
      </c>
      <c r="AE131" s="31">
        <f t="shared" si="45"/>
        <v>105656186</v>
      </c>
      <c r="AF131" s="31">
        <f t="shared" si="45"/>
        <v>105656186</v>
      </c>
      <c r="AG131" s="31">
        <f t="shared" si="42"/>
        <v>105656187</v>
      </c>
    </row>
    <row r="132" spans="1:33" ht="3" customHeight="1" x14ac:dyDescent="0.25">
      <c r="A132">
        <v>7203</v>
      </c>
      <c r="B132">
        <v>7402</v>
      </c>
      <c r="C132" t="s">
        <v>167</v>
      </c>
      <c r="D132" s="31">
        <f>+DATA!O128</f>
        <v>1056585</v>
      </c>
      <c r="E132" s="31">
        <f>+DATA!T128</f>
        <v>8965051.2819999997</v>
      </c>
      <c r="F132" s="38">
        <f t="shared" si="24"/>
        <v>10021636.282</v>
      </c>
      <c r="G132" s="112">
        <f t="shared" si="25"/>
        <v>0.59699999999999998</v>
      </c>
      <c r="H132" s="95">
        <f t="shared" si="26"/>
        <v>0.89459999999999995</v>
      </c>
      <c r="I132" s="6" t="str">
        <f t="shared" si="27"/>
        <v>SI</v>
      </c>
      <c r="J132" s="117">
        <f t="shared" si="28"/>
        <v>3.3112582781000001E-3</v>
      </c>
      <c r="K132" s="117">
        <f t="shared" si="29"/>
        <v>1.6556291390500001E-3</v>
      </c>
      <c r="L132" s="31">
        <f>IF(I132="SI",VLOOKUP(A132,DATA!$A$4:$D$350,4,0),0)</f>
        <v>8444</v>
      </c>
      <c r="M132" s="95">
        <f>IF(I132="SI",VLOOKUP(A132,DATA!$A$4:$E$350,5,0),0)</f>
        <v>0.12788688657403871</v>
      </c>
      <c r="N132" s="31">
        <f t="shared" si="30"/>
        <v>1080</v>
      </c>
      <c r="O132" s="117">
        <f t="shared" si="31"/>
        <v>1.3075772893000001E-3</v>
      </c>
      <c r="P132" s="117">
        <f t="shared" si="32"/>
        <v>1.3075772889999999E-4</v>
      </c>
      <c r="Q132" s="31">
        <f>IF(I132="SI",VLOOKUP(A132,DATA!$A$4:$G$350,7,0),0)</f>
        <v>9292</v>
      </c>
      <c r="R132" s="31">
        <f>IF(I132="SI",VLOOKUP(A132,DATA!$A$4:$H$350,8,0),0)</f>
        <v>12930</v>
      </c>
      <c r="S132" s="117">
        <f t="shared" si="33"/>
        <v>1.9487526569000001E-3</v>
      </c>
      <c r="T132" s="117">
        <f t="shared" si="34"/>
        <v>2.549487817528629E-3</v>
      </c>
      <c r="U132" s="117">
        <f t="shared" si="35"/>
        <v>5.0989756349999996E-4</v>
      </c>
      <c r="V132" s="31">
        <f>IF(I132="SI",VLOOKUP(A132,COEF_FCM!$A$8:$X$354,24,0),0)</f>
        <v>1056585</v>
      </c>
      <c r="W132" s="121">
        <f t="shared" si="36"/>
        <v>125.13</v>
      </c>
      <c r="X132" s="31">
        <f>IF(AND(W132&gt;0,W132&lt;$W$7),ROUND(($W$7-W132)*L132,PARAMETROS!$L$8),0)</f>
        <v>0</v>
      </c>
      <c r="Y132" s="122">
        <f t="shared" si="37"/>
        <v>0</v>
      </c>
      <c r="Z132" s="117">
        <f t="shared" si="38"/>
        <v>0</v>
      </c>
      <c r="AA132" s="96">
        <f t="shared" si="39"/>
        <v>2.2962844314499999E-3</v>
      </c>
      <c r="AB132" s="31">
        <f>ROUND(AA132*PARAMETROS!$H$24,0)</f>
        <v>394082593</v>
      </c>
      <c r="AC132" s="31">
        <f t="shared" si="40"/>
        <v>394082593</v>
      </c>
      <c r="AD132" s="31">
        <f t="shared" si="41"/>
        <v>98520648</v>
      </c>
      <c r="AE132" s="31">
        <f t="shared" si="45"/>
        <v>98520648</v>
      </c>
      <c r="AF132" s="31">
        <f t="shared" si="45"/>
        <v>98520648</v>
      </c>
      <c r="AG132" s="31">
        <f t="shared" si="42"/>
        <v>98520649</v>
      </c>
    </row>
    <row r="133" spans="1:33" ht="3" customHeight="1" x14ac:dyDescent="0.25">
      <c r="A133">
        <v>7301</v>
      </c>
      <c r="B133">
        <v>7101</v>
      </c>
      <c r="C133" t="s">
        <v>389</v>
      </c>
      <c r="D133" s="31">
        <f>+DATA!O129</f>
        <v>19368212</v>
      </c>
      <c r="E133" s="31">
        <f>+DATA!T129</f>
        <v>17583083.122000001</v>
      </c>
      <c r="F133" s="38">
        <f t="shared" si="24"/>
        <v>36951295.122000001</v>
      </c>
      <c r="G133" s="112">
        <f t="shared" si="25"/>
        <v>0.89200000000000002</v>
      </c>
      <c r="H133" s="95">
        <f t="shared" si="26"/>
        <v>0.4758</v>
      </c>
      <c r="I133" s="6" t="str">
        <f t="shared" si="27"/>
        <v>NO</v>
      </c>
      <c r="J133" s="117">
        <f t="shared" si="28"/>
        <v>0</v>
      </c>
      <c r="K133" s="117">
        <f t="shared" si="29"/>
        <v>0</v>
      </c>
      <c r="L133" s="31">
        <f>IF(I133="SI",VLOOKUP(A133,DATA!$A$4:$D$350,4,0),0)</f>
        <v>0</v>
      </c>
      <c r="M133" s="95">
        <f>IF(I133="SI",VLOOKUP(A133,DATA!$A$4:$E$350,5,0),0)</f>
        <v>0</v>
      </c>
      <c r="N133" s="31">
        <f t="shared" si="30"/>
        <v>0</v>
      </c>
      <c r="O133" s="117">
        <f t="shared" si="31"/>
        <v>0</v>
      </c>
      <c r="P133" s="117">
        <f t="shared" si="32"/>
        <v>0</v>
      </c>
      <c r="Q133" s="31">
        <f>IF(I133="SI",VLOOKUP(A133,DATA!$A$4:$G$350,7,0),0)</f>
        <v>0</v>
      </c>
      <c r="R133" s="31">
        <f>IF(I133="SI",VLOOKUP(A133,DATA!$A$4:$H$350,8,0),0)</f>
        <v>0</v>
      </c>
      <c r="S133" s="117">
        <f t="shared" si="33"/>
        <v>0</v>
      </c>
      <c r="T133" s="117">
        <f t="shared" si="34"/>
        <v>0</v>
      </c>
      <c r="U133" s="117">
        <f t="shared" si="35"/>
        <v>0</v>
      </c>
      <c r="V133" s="31">
        <f>IF(I133="SI",VLOOKUP(A133,COEF_FCM!$A$8:$X$354,24,0),0)</f>
        <v>0</v>
      </c>
      <c r="W133" s="121">
        <f t="shared" si="36"/>
        <v>0</v>
      </c>
      <c r="X133" s="31">
        <f>IF(AND(W133&gt;0,W133&lt;$W$7),ROUND(($W$7-W133)*L133,PARAMETROS!$L$8),0)</f>
        <v>0</v>
      </c>
      <c r="Y133" s="122">
        <f t="shared" si="37"/>
        <v>0</v>
      </c>
      <c r="Z133" s="117">
        <f t="shared" si="38"/>
        <v>0</v>
      </c>
      <c r="AA133" s="96">
        <f t="shared" si="39"/>
        <v>0</v>
      </c>
      <c r="AB133" s="31">
        <f>ROUND(AA133*PARAMETROS!$H$24,0)</f>
        <v>0</v>
      </c>
      <c r="AC133" s="31">
        <f t="shared" si="40"/>
        <v>0</v>
      </c>
      <c r="AD133" s="31">
        <f t="shared" si="41"/>
        <v>0</v>
      </c>
      <c r="AE133" s="31">
        <f t="shared" si="45"/>
        <v>0</v>
      </c>
      <c r="AF133" s="31">
        <f t="shared" si="45"/>
        <v>0</v>
      </c>
      <c r="AG133" s="31">
        <f t="shared" si="42"/>
        <v>0</v>
      </c>
    </row>
    <row r="134" spans="1:33" ht="3" customHeight="1" x14ac:dyDescent="0.25">
      <c r="A134">
        <v>7302</v>
      </c>
      <c r="B134">
        <v>7107</v>
      </c>
      <c r="C134" t="s">
        <v>390</v>
      </c>
      <c r="D134" s="31">
        <f>+DATA!O130</f>
        <v>1233193</v>
      </c>
      <c r="E134" s="31">
        <f>+DATA!T130</f>
        <v>2872052.9279999998</v>
      </c>
      <c r="F134" s="38">
        <f t="shared" si="24"/>
        <v>4105245.9279999998</v>
      </c>
      <c r="G134" s="112">
        <f t="shared" si="25"/>
        <v>0.17599999999999999</v>
      </c>
      <c r="H134" s="95">
        <f t="shared" si="26"/>
        <v>0.6996</v>
      </c>
      <c r="I134" s="6" t="str">
        <f t="shared" si="27"/>
        <v>SI</v>
      </c>
      <c r="J134" s="117">
        <f t="shared" si="28"/>
        <v>3.3112582781000001E-3</v>
      </c>
      <c r="K134" s="117">
        <f t="shared" si="29"/>
        <v>1.6556291390500001E-3</v>
      </c>
      <c r="L134" s="31">
        <f>IF(I134="SI",VLOOKUP(A134,DATA!$A$4:$D$350,4,0),0)</f>
        <v>10225</v>
      </c>
      <c r="M134" s="95">
        <f>IF(I134="SI",VLOOKUP(A134,DATA!$A$4:$E$350,5,0),0)</f>
        <v>9.2095340671287829E-2</v>
      </c>
      <c r="N134" s="31">
        <f t="shared" si="30"/>
        <v>942</v>
      </c>
      <c r="O134" s="117">
        <f t="shared" si="31"/>
        <v>1.1404979689999999E-3</v>
      </c>
      <c r="P134" s="117">
        <f t="shared" si="32"/>
        <v>1.140497969E-4</v>
      </c>
      <c r="Q134" s="31">
        <f>IF(I134="SI",VLOOKUP(A134,DATA!$A$4:$G$350,7,0),0)</f>
        <v>6009</v>
      </c>
      <c r="R134" s="31">
        <f>IF(I134="SI",VLOOKUP(A134,DATA!$A$4:$H$350,8,0),0)</f>
        <v>8533</v>
      </c>
      <c r="S134" s="117">
        <f t="shared" si="33"/>
        <v>1.2349219367000001E-3</v>
      </c>
      <c r="T134" s="117">
        <f t="shared" si="34"/>
        <v>1.6156069997225265E-3</v>
      </c>
      <c r="U134" s="117">
        <f t="shared" si="35"/>
        <v>3.2312139989999999E-4</v>
      </c>
      <c r="V134" s="31">
        <f>IF(I134="SI",VLOOKUP(A134,COEF_FCM!$A$8:$X$354,24,0),0)</f>
        <v>1233193</v>
      </c>
      <c r="W134" s="121">
        <f t="shared" si="36"/>
        <v>120.61</v>
      </c>
      <c r="X134" s="31">
        <f>IF(AND(W134&gt;0,W134&lt;$W$7),ROUND(($W$7-W134)*L134,PARAMETROS!$L$8),0)</f>
        <v>0</v>
      </c>
      <c r="Y134" s="122">
        <f t="shared" si="37"/>
        <v>0</v>
      </c>
      <c r="Z134" s="117">
        <f t="shared" si="38"/>
        <v>0</v>
      </c>
      <c r="AA134" s="96">
        <f t="shared" si="39"/>
        <v>2.0928003358499998E-3</v>
      </c>
      <c r="AB134" s="31">
        <f>ROUND(AA134*PARAMETROS!$H$24,0)</f>
        <v>359161162</v>
      </c>
      <c r="AC134" s="31">
        <f t="shared" si="40"/>
        <v>359161162</v>
      </c>
      <c r="AD134" s="31">
        <f t="shared" si="41"/>
        <v>89790291</v>
      </c>
      <c r="AE134" s="31">
        <f t="shared" si="45"/>
        <v>89790291</v>
      </c>
      <c r="AF134" s="31">
        <f t="shared" si="45"/>
        <v>89790291</v>
      </c>
      <c r="AG134" s="31">
        <f t="shared" si="42"/>
        <v>89790289</v>
      </c>
    </row>
    <row r="135" spans="1:33" ht="3" customHeight="1" x14ac:dyDescent="0.25">
      <c r="A135">
        <v>7303</v>
      </c>
      <c r="B135">
        <v>7105</v>
      </c>
      <c r="C135" t="s">
        <v>391</v>
      </c>
      <c r="D135" s="31">
        <f>+DATA!O131</f>
        <v>1125209</v>
      </c>
      <c r="E135" s="31">
        <f>+DATA!T131</f>
        <v>5403307.9409999996</v>
      </c>
      <c r="F135" s="38">
        <f t="shared" si="24"/>
        <v>6528516.9409999996</v>
      </c>
      <c r="G135" s="112">
        <f t="shared" si="25"/>
        <v>0.44600000000000001</v>
      </c>
      <c r="H135" s="95">
        <f t="shared" si="26"/>
        <v>0.8276</v>
      </c>
      <c r="I135" s="6" t="str">
        <f t="shared" si="27"/>
        <v>SI</v>
      </c>
      <c r="J135" s="117">
        <f t="shared" si="28"/>
        <v>3.3112582781000001E-3</v>
      </c>
      <c r="K135" s="117">
        <f t="shared" si="29"/>
        <v>1.6556291390500001E-3</v>
      </c>
      <c r="L135" s="31">
        <f>IF(I135="SI",VLOOKUP(A135,DATA!$A$4:$D$350,4,0),0)</f>
        <v>6986</v>
      </c>
      <c r="M135" s="95">
        <f>IF(I135="SI",VLOOKUP(A135,DATA!$A$4:$E$350,5,0),0)</f>
        <v>7.3529089128023015E-2</v>
      </c>
      <c r="N135" s="31">
        <f t="shared" si="30"/>
        <v>514</v>
      </c>
      <c r="O135" s="117">
        <f t="shared" si="31"/>
        <v>6.2230993209999997E-4</v>
      </c>
      <c r="P135" s="117">
        <f t="shared" si="32"/>
        <v>6.2230993200000005E-5</v>
      </c>
      <c r="Q135" s="31">
        <f>IF(I135="SI",VLOOKUP(A135,DATA!$A$4:$G$350,7,0),0)</f>
        <v>3985</v>
      </c>
      <c r="R135" s="31">
        <f>IF(I135="SI",VLOOKUP(A135,DATA!$A$4:$H$350,8,0),0)</f>
        <v>5871</v>
      </c>
      <c r="S135" s="117">
        <f t="shared" si="33"/>
        <v>7.893714486E-4</v>
      </c>
      <c r="T135" s="117">
        <f t="shared" si="34"/>
        <v>1.0327082221465815E-3</v>
      </c>
      <c r="U135" s="117">
        <f t="shared" si="35"/>
        <v>2.0654164439999999E-4</v>
      </c>
      <c r="V135" s="31">
        <f>IF(I135="SI",VLOOKUP(A135,COEF_FCM!$A$8:$X$354,24,0),0)</f>
        <v>1125209</v>
      </c>
      <c r="W135" s="121">
        <f t="shared" si="36"/>
        <v>161.07</v>
      </c>
      <c r="X135" s="31">
        <f>IF(AND(W135&gt;0,W135&lt;$W$7),ROUND(($W$7-W135)*L135,PARAMETROS!$L$8),0)</f>
        <v>0</v>
      </c>
      <c r="Y135" s="122">
        <f t="shared" si="37"/>
        <v>0</v>
      </c>
      <c r="Z135" s="117">
        <f t="shared" si="38"/>
        <v>0</v>
      </c>
      <c r="AA135" s="96">
        <f t="shared" si="39"/>
        <v>1.92440177665E-3</v>
      </c>
      <c r="AB135" s="31">
        <f>ROUND(AA135*PARAMETROS!$H$24,0)</f>
        <v>330261022</v>
      </c>
      <c r="AC135" s="31">
        <f t="shared" si="40"/>
        <v>330261022</v>
      </c>
      <c r="AD135" s="31">
        <f t="shared" si="41"/>
        <v>82565256</v>
      </c>
      <c r="AE135" s="31">
        <f t="shared" si="45"/>
        <v>82565256</v>
      </c>
      <c r="AF135" s="31">
        <f t="shared" si="45"/>
        <v>82565256</v>
      </c>
      <c r="AG135" s="31">
        <f t="shared" si="42"/>
        <v>82565254</v>
      </c>
    </row>
    <row r="136" spans="1:33" ht="3" customHeight="1" x14ac:dyDescent="0.25">
      <c r="A136">
        <v>7304</v>
      </c>
      <c r="B136">
        <v>7108</v>
      </c>
      <c r="C136" t="s">
        <v>150</v>
      </c>
      <c r="D136" s="31">
        <f>+DATA!O132</f>
        <v>4145168</v>
      </c>
      <c r="E136" s="31">
        <f>+DATA!T132</f>
        <v>10419197.372</v>
      </c>
      <c r="F136" s="38">
        <f t="shared" si="24"/>
        <v>14564365.372</v>
      </c>
      <c r="G136" s="112">
        <f t="shared" si="25"/>
        <v>0.70699999999999996</v>
      </c>
      <c r="H136" s="95">
        <f t="shared" si="26"/>
        <v>0.71540000000000004</v>
      </c>
      <c r="I136" s="6" t="str">
        <f t="shared" si="27"/>
        <v>SI</v>
      </c>
      <c r="J136" s="117">
        <f t="shared" si="28"/>
        <v>3.3112582781000001E-3</v>
      </c>
      <c r="K136" s="117">
        <f t="shared" si="29"/>
        <v>1.6556291390500001E-3</v>
      </c>
      <c r="L136" s="31">
        <f>IF(I136="SI",VLOOKUP(A136,DATA!$A$4:$D$350,4,0),0)</f>
        <v>52088</v>
      </c>
      <c r="M136" s="95">
        <f>IF(I136="SI",VLOOKUP(A136,DATA!$A$4:$E$350,5,0),0)</f>
        <v>7.8718858790246787E-2</v>
      </c>
      <c r="N136" s="31">
        <f t="shared" si="30"/>
        <v>4100</v>
      </c>
      <c r="O136" s="117">
        <f t="shared" si="31"/>
        <v>4.9639508206000002E-3</v>
      </c>
      <c r="P136" s="117">
        <f t="shared" si="32"/>
        <v>4.9639508210000004E-4</v>
      </c>
      <c r="Q136" s="31">
        <f>IF(I136="SI",VLOOKUP(A136,DATA!$A$4:$G$350,7,0),0)</f>
        <v>17780</v>
      </c>
      <c r="R136" s="31">
        <f>IF(I136="SI",VLOOKUP(A136,DATA!$A$4:$H$350,8,0),0)</f>
        <v>21351</v>
      </c>
      <c r="S136" s="117">
        <f t="shared" si="33"/>
        <v>4.3209788012000001E-3</v>
      </c>
      <c r="T136" s="117">
        <f t="shared" si="34"/>
        <v>5.6529918122000837E-3</v>
      </c>
      <c r="U136" s="117">
        <f t="shared" si="35"/>
        <v>1.1305983624E-3</v>
      </c>
      <c r="V136" s="31">
        <f>IF(I136="SI",VLOOKUP(A136,COEF_FCM!$A$8:$X$354,24,0),0)</f>
        <v>4145168</v>
      </c>
      <c r="W136" s="121">
        <f t="shared" si="36"/>
        <v>79.58</v>
      </c>
      <c r="X136" s="31">
        <f>IF(AND(W136&gt;0,W136&lt;$W$7),ROUND(($W$7-W136)*L136,PARAMETROS!$L$8),0)</f>
        <v>1420961</v>
      </c>
      <c r="Y136" s="122">
        <f t="shared" si="37"/>
        <v>5.2368054824999998E-3</v>
      </c>
      <c r="Z136" s="117">
        <f t="shared" si="38"/>
        <v>1.0473610965E-3</v>
      </c>
      <c r="AA136" s="96">
        <f t="shared" si="39"/>
        <v>4.3299836800499997E-3</v>
      </c>
      <c r="AB136" s="31">
        <f>ROUND(AA136*PARAMETROS!$H$24,0)</f>
        <v>743100974</v>
      </c>
      <c r="AC136" s="31">
        <f t="shared" si="40"/>
        <v>743100974</v>
      </c>
      <c r="AD136" s="31">
        <f t="shared" si="41"/>
        <v>185775244</v>
      </c>
      <c r="AE136" s="31">
        <f t="shared" si="45"/>
        <v>185775244</v>
      </c>
      <c r="AF136" s="31">
        <f t="shared" si="45"/>
        <v>185775244</v>
      </c>
      <c r="AG136" s="31">
        <f t="shared" si="42"/>
        <v>185775242</v>
      </c>
    </row>
    <row r="137" spans="1:33" ht="3" customHeight="1" x14ac:dyDescent="0.25">
      <c r="A137">
        <v>7305</v>
      </c>
      <c r="B137">
        <v>7104</v>
      </c>
      <c r="C137" t="s">
        <v>149</v>
      </c>
      <c r="D137" s="31">
        <f>+DATA!O133</f>
        <v>1199154</v>
      </c>
      <c r="E137" s="31">
        <f>+DATA!T133</f>
        <v>2892288.2370000002</v>
      </c>
      <c r="F137" s="38">
        <f t="shared" ref="F137:F200" si="46">+D137+E137</f>
        <v>4091442.2370000002</v>
      </c>
      <c r="G137" s="112">
        <f t="shared" ref="G137:G200" si="47">_xlfn.PERCENTRANK.INC($F$9:$F$354,F137,3)</f>
        <v>0.17100000000000001</v>
      </c>
      <c r="H137" s="95">
        <f t="shared" ref="H137:H200" si="48">IFERROR(ROUND(E137/F137,4),0)</f>
        <v>0.70689999999999997</v>
      </c>
      <c r="I137" s="6" t="str">
        <f t="shared" ref="I137:I200" si="49">IF(D137=0,"NO",IF(OR(G137&lt;=$G$7,H137&gt;$H$7),"SI","NO"))</f>
        <v>SI</v>
      </c>
      <c r="J137" s="117">
        <f t="shared" ref="J137:J200" si="50">IF(I137="SI",ROUND(1/$I$7,DEC),0)</f>
        <v>3.3112582781000001E-3</v>
      </c>
      <c r="K137" s="117">
        <f t="shared" ref="K137:K200" si="51">+J137*$K$7</f>
        <v>1.6556291390500001E-3</v>
      </c>
      <c r="L137" s="31">
        <f>IF(I137="SI",VLOOKUP(A137,DATA!$A$4:$D$350,4,0),0)</f>
        <v>11753</v>
      </c>
      <c r="M137" s="95">
        <f>IF(I137="SI",VLOOKUP(A137,DATA!$A$4:$E$350,5,0),0)</f>
        <v>0.10469407758338831</v>
      </c>
      <c r="N137" s="31">
        <f t="shared" ref="N137:N200" si="52">ROUND(L137*M137,0)</f>
        <v>1230</v>
      </c>
      <c r="O137" s="117">
        <f t="shared" ref="O137:O200" si="53">ROUND(N137/$N$7,DEC)</f>
        <v>1.4891852461999999E-3</v>
      </c>
      <c r="P137" s="117">
        <f t="shared" ref="P137:P200" si="54">ROUND(O137*$P$7,DEC)</f>
        <v>1.489185246E-4</v>
      </c>
      <c r="Q137" s="31">
        <f>IF(I137="SI",VLOOKUP(A137,DATA!$A$4:$G$350,7,0),0)</f>
        <v>4763</v>
      </c>
      <c r="R137" s="31">
        <f>IF(I137="SI",VLOOKUP(A137,DATA!$A$4:$H$350,8,0),0)</f>
        <v>6061</v>
      </c>
      <c r="S137" s="117">
        <f t="shared" ref="S137:S200" si="55">IF(R137=0,0,ROUND((Q137/$Q$7)*(Q137/R137),DEC))</f>
        <v>1.0923296493E-3</v>
      </c>
      <c r="T137" s="117">
        <f t="shared" ref="T137:T200" si="56">+S137/$S$7</f>
        <v>1.4290582869791954E-3</v>
      </c>
      <c r="U137" s="117">
        <f t="shared" ref="U137:U200" si="57">ROUND(T137*$U$7,DEC)</f>
        <v>2.8581165740000002E-4</v>
      </c>
      <c r="V137" s="31">
        <f>IF(I137="SI",VLOOKUP(A137,COEF_FCM!$A$8:$X$354,24,0),0)</f>
        <v>1199154</v>
      </c>
      <c r="W137" s="121">
        <f t="shared" ref="W137:W200" si="58">IFERROR(ROUND(V137/L137,2),0)</f>
        <v>102.03</v>
      </c>
      <c r="X137" s="31">
        <f>IF(AND(W137&gt;0,W137&lt;$W$7),ROUND(($W$7-W137)*L137,PARAMETROS!$L$8),0)</f>
        <v>56767</v>
      </c>
      <c r="Y137" s="122">
        <f t="shared" ref="Y137:Y200" si="59">ROUND(X137/$X$7,DEC)</f>
        <v>2.0920893450000001E-4</v>
      </c>
      <c r="Z137" s="117">
        <f t="shared" ref="Z137:Z200" si="60">ROUND(Y137*$Z$7,DEC)</f>
        <v>4.1841786900000003E-5</v>
      </c>
      <c r="AA137" s="96">
        <f t="shared" ref="AA137:AA200" si="61">+K137+P137+U137+Z137</f>
        <v>2.1322011079499999E-3</v>
      </c>
      <c r="AB137" s="31">
        <f>ROUND(AA137*PARAMETROS!$H$24,0)</f>
        <v>365923024</v>
      </c>
      <c r="AC137" s="31">
        <f t="shared" ref="AC137:AC200" si="62">IF(AB137=$AC$6,AB137+$AC$5,AB137)</f>
        <v>365923024</v>
      </c>
      <c r="AD137" s="31">
        <f t="shared" ref="AD137:AD200" si="63">ROUND(AC137/4,0)</f>
        <v>91480756</v>
      </c>
      <c r="AE137" s="31">
        <f t="shared" si="45"/>
        <v>91480756</v>
      </c>
      <c r="AF137" s="31">
        <f t="shared" si="45"/>
        <v>91480756</v>
      </c>
      <c r="AG137" s="31">
        <f t="shared" ref="AG137:AG200" si="64">+AC137-AD137-AE137-AF137</f>
        <v>91480756</v>
      </c>
    </row>
    <row r="138" spans="1:33" ht="3" customHeight="1" x14ac:dyDescent="0.25">
      <c r="A138">
        <v>7306</v>
      </c>
      <c r="B138">
        <v>7103</v>
      </c>
      <c r="C138" t="s">
        <v>148</v>
      </c>
      <c r="D138" s="31">
        <f>+DATA!O134</f>
        <v>3019388</v>
      </c>
      <c r="E138" s="31">
        <f>+DATA!T134</f>
        <v>2837629.2420000001</v>
      </c>
      <c r="F138" s="38">
        <f t="shared" si="46"/>
        <v>5857017.2420000006</v>
      </c>
      <c r="G138" s="112">
        <f t="shared" si="47"/>
        <v>0.38800000000000001</v>
      </c>
      <c r="H138" s="95">
        <f t="shared" si="48"/>
        <v>0.48449999999999999</v>
      </c>
      <c r="I138" s="6" t="str">
        <f t="shared" si="49"/>
        <v>SI</v>
      </c>
      <c r="J138" s="117">
        <f t="shared" si="50"/>
        <v>3.3112582781000001E-3</v>
      </c>
      <c r="K138" s="117">
        <f t="shared" si="51"/>
        <v>1.6556291390500001E-3</v>
      </c>
      <c r="L138" s="31">
        <f>IF(I138="SI",VLOOKUP(A138,DATA!$A$4:$D$350,4,0),0)</f>
        <v>16925</v>
      </c>
      <c r="M138" s="95">
        <f>IF(I138="SI",VLOOKUP(A138,DATA!$A$4:$E$350,5,0),0)</f>
        <v>7.6502783400543367E-2</v>
      </c>
      <c r="N138" s="31">
        <f t="shared" si="52"/>
        <v>1295</v>
      </c>
      <c r="O138" s="117">
        <f t="shared" si="53"/>
        <v>1.5678820274999999E-3</v>
      </c>
      <c r="P138" s="117">
        <f t="shared" si="54"/>
        <v>1.5678820280000001E-4</v>
      </c>
      <c r="Q138" s="31">
        <f>IF(I138="SI",VLOOKUP(A138,DATA!$A$4:$G$350,7,0),0)</f>
        <v>6008</v>
      </c>
      <c r="R138" s="31">
        <f>IF(I138="SI",VLOOKUP(A138,DATA!$A$4:$H$350,8,0),0)</f>
        <v>8064</v>
      </c>
      <c r="S138" s="117">
        <f t="shared" si="55"/>
        <v>1.3063097605000001E-3</v>
      </c>
      <c r="T138" s="117">
        <f t="shared" si="56"/>
        <v>1.7090012980977252E-3</v>
      </c>
      <c r="U138" s="117">
        <f t="shared" si="57"/>
        <v>3.4180025959999998E-4</v>
      </c>
      <c r="V138" s="31">
        <f>IF(I138="SI",VLOOKUP(A138,COEF_FCM!$A$8:$X$354,24,0),0)</f>
        <v>3019388</v>
      </c>
      <c r="W138" s="121">
        <f t="shared" si="58"/>
        <v>178.4</v>
      </c>
      <c r="X138" s="31">
        <f>IF(AND(W138&gt;0,W138&lt;$W$7),ROUND(($W$7-W138)*L138,PARAMETROS!$L$8),0)</f>
        <v>0</v>
      </c>
      <c r="Y138" s="122">
        <f t="shared" si="59"/>
        <v>0</v>
      </c>
      <c r="Z138" s="117">
        <f t="shared" si="60"/>
        <v>0</v>
      </c>
      <c r="AA138" s="96">
        <f t="shared" si="61"/>
        <v>2.15421760145E-3</v>
      </c>
      <c r="AB138" s="31">
        <f>ROUND(AA138*PARAMETROS!$H$24,0)</f>
        <v>369701439</v>
      </c>
      <c r="AC138" s="31">
        <f t="shared" si="62"/>
        <v>369701439</v>
      </c>
      <c r="AD138" s="31">
        <f t="shared" si="63"/>
        <v>92425360</v>
      </c>
      <c r="AE138" s="31">
        <f t="shared" si="45"/>
        <v>92425360</v>
      </c>
      <c r="AF138" s="31">
        <f t="shared" si="45"/>
        <v>92425360</v>
      </c>
      <c r="AG138" s="31">
        <f t="shared" si="64"/>
        <v>92425359</v>
      </c>
    </row>
    <row r="139" spans="1:33" ht="3" customHeight="1" x14ac:dyDescent="0.25">
      <c r="A139">
        <v>7307</v>
      </c>
      <c r="B139">
        <v>7109</v>
      </c>
      <c r="C139" t="s">
        <v>151</v>
      </c>
      <c r="D139" s="31">
        <f>+DATA!O135</f>
        <v>4489891</v>
      </c>
      <c r="E139" s="31">
        <f>+DATA!T135</f>
        <v>3207024.625</v>
      </c>
      <c r="F139" s="38">
        <f t="shared" si="46"/>
        <v>7696915.625</v>
      </c>
      <c r="G139" s="112">
        <f t="shared" si="47"/>
        <v>0.48099999999999998</v>
      </c>
      <c r="H139" s="95">
        <f t="shared" si="48"/>
        <v>0.41670000000000001</v>
      </c>
      <c r="I139" s="6" t="str">
        <f t="shared" si="49"/>
        <v>SI</v>
      </c>
      <c r="J139" s="117">
        <f t="shared" si="50"/>
        <v>3.3112582781000001E-3</v>
      </c>
      <c r="K139" s="117">
        <f t="shared" si="51"/>
        <v>1.6556291390500001E-3</v>
      </c>
      <c r="L139" s="31">
        <f>IF(I139="SI",VLOOKUP(A139,DATA!$A$4:$D$350,4,0),0)</f>
        <v>19754</v>
      </c>
      <c r="M139" s="95">
        <f>IF(I139="SI",VLOOKUP(A139,DATA!$A$4:$E$350,5,0),0)</f>
        <v>8.7606056446404068E-2</v>
      </c>
      <c r="N139" s="31">
        <f t="shared" si="52"/>
        <v>1731</v>
      </c>
      <c r="O139" s="117">
        <f t="shared" si="53"/>
        <v>2.0957558220000001E-3</v>
      </c>
      <c r="P139" s="117">
        <f t="shared" si="54"/>
        <v>2.095755822E-4</v>
      </c>
      <c r="Q139" s="31">
        <f>IF(I139="SI",VLOOKUP(A139,DATA!$A$4:$G$350,7,0),0)</f>
        <v>6522</v>
      </c>
      <c r="R139" s="31">
        <f>IF(I139="SI",VLOOKUP(A139,DATA!$A$4:$H$350,8,0),0)</f>
        <v>8750</v>
      </c>
      <c r="S139" s="117">
        <f t="shared" si="55"/>
        <v>1.4186993797E-3</v>
      </c>
      <c r="T139" s="117">
        <f t="shared" si="56"/>
        <v>1.8560368718287148E-3</v>
      </c>
      <c r="U139" s="117">
        <f t="shared" si="57"/>
        <v>3.7120737440000001E-4</v>
      </c>
      <c r="V139" s="31">
        <f>IF(I139="SI",VLOOKUP(A139,COEF_FCM!$A$8:$X$354,24,0),0)</f>
        <v>4489891</v>
      </c>
      <c r="W139" s="121">
        <f t="shared" si="58"/>
        <v>227.29</v>
      </c>
      <c r="X139" s="31">
        <f>IF(AND(W139&gt;0,W139&lt;$W$7),ROUND(($W$7-W139)*L139,PARAMETROS!$L$8),0)</f>
        <v>0</v>
      </c>
      <c r="Y139" s="122">
        <f t="shared" si="59"/>
        <v>0</v>
      </c>
      <c r="Z139" s="117">
        <f t="shared" si="60"/>
        <v>0</v>
      </c>
      <c r="AA139" s="96">
        <f t="shared" si="61"/>
        <v>2.2364120956500002E-3</v>
      </c>
      <c r="AB139" s="31">
        <f>ROUND(AA139*PARAMETROS!$H$24,0)</f>
        <v>383807453</v>
      </c>
      <c r="AC139" s="31">
        <f t="shared" si="62"/>
        <v>383807453</v>
      </c>
      <c r="AD139" s="31">
        <f t="shared" si="63"/>
        <v>95951863</v>
      </c>
      <c r="AE139" s="31">
        <f t="shared" si="45"/>
        <v>95951863</v>
      </c>
      <c r="AF139" s="31">
        <f t="shared" si="45"/>
        <v>95951863</v>
      </c>
      <c r="AG139" s="31">
        <f t="shared" si="64"/>
        <v>95951864</v>
      </c>
    </row>
    <row r="140" spans="1:33" ht="3" customHeight="1" x14ac:dyDescent="0.25">
      <c r="A140">
        <v>7308</v>
      </c>
      <c r="B140">
        <v>7102</v>
      </c>
      <c r="C140" t="s">
        <v>147</v>
      </c>
      <c r="D140" s="31">
        <f>+DATA!O136</f>
        <v>3748220</v>
      </c>
      <c r="E140" s="31">
        <f>+DATA!T136</f>
        <v>4302549.2</v>
      </c>
      <c r="F140" s="38">
        <f t="shared" si="46"/>
        <v>8050769.2000000002</v>
      </c>
      <c r="G140" s="112">
        <f t="shared" si="47"/>
        <v>0.504</v>
      </c>
      <c r="H140" s="95">
        <f t="shared" si="48"/>
        <v>0.53439999999999999</v>
      </c>
      <c r="I140" s="6" t="str">
        <f t="shared" si="49"/>
        <v>SI</v>
      </c>
      <c r="J140" s="117">
        <f t="shared" si="50"/>
        <v>3.3112582781000001E-3</v>
      </c>
      <c r="K140" s="117">
        <f t="shared" si="51"/>
        <v>1.6556291390500001E-3</v>
      </c>
      <c r="L140" s="31">
        <f>IF(I140="SI",VLOOKUP(A140,DATA!$A$4:$D$350,4,0),0)</f>
        <v>31885</v>
      </c>
      <c r="M140" s="95">
        <f>IF(I140="SI",VLOOKUP(A140,DATA!$A$4:$E$350,5,0),0)</f>
        <v>7.5390641766713895E-2</v>
      </c>
      <c r="N140" s="31">
        <f t="shared" si="52"/>
        <v>2404</v>
      </c>
      <c r="O140" s="117">
        <f t="shared" si="53"/>
        <v>2.9105701883999999E-3</v>
      </c>
      <c r="P140" s="117">
        <f t="shared" si="54"/>
        <v>2.9105701880000002E-4</v>
      </c>
      <c r="Q140" s="31">
        <f>IF(I140="SI",VLOOKUP(A140,DATA!$A$4:$G$350,7,0),0)</f>
        <v>10859</v>
      </c>
      <c r="R140" s="31">
        <f>IF(I140="SI",VLOOKUP(A140,DATA!$A$4:$H$350,8,0),0)</f>
        <v>15271</v>
      </c>
      <c r="S140" s="117">
        <f t="shared" si="55"/>
        <v>2.2534557374000001E-3</v>
      </c>
      <c r="T140" s="117">
        <f t="shared" si="56"/>
        <v>2.9481206501498591E-3</v>
      </c>
      <c r="U140" s="117">
        <f t="shared" si="57"/>
        <v>5.8962412999999999E-4</v>
      </c>
      <c r="V140" s="31">
        <f>IF(I140="SI",VLOOKUP(A140,COEF_FCM!$A$8:$X$354,24,0),0)</f>
        <v>3748220</v>
      </c>
      <c r="W140" s="121">
        <f t="shared" si="58"/>
        <v>117.55</v>
      </c>
      <c r="X140" s="31">
        <f>IF(AND(W140&gt;0,W140&lt;$W$7),ROUND(($W$7-W140)*L140,PARAMETROS!$L$8),0)</f>
        <v>0</v>
      </c>
      <c r="Y140" s="122">
        <f t="shared" si="59"/>
        <v>0</v>
      </c>
      <c r="Z140" s="117">
        <f t="shared" si="60"/>
        <v>0</v>
      </c>
      <c r="AA140" s="96">
        <f t="shared" si="61"/>
        <v>2.5363102878499999E-3</v>
      </c>
      <c r="AB140" s="31">
        <f>ROUND(AA140*PARAMETROS!$H$24,0)</f>
        <v>435275231</v>
      </c>
      <c r="AC140" s="31">
        <f t="shared" si="62"/>
        <v>435275231</v>
      </c>
      <c r="AD140" s="31">
        <f t="shared" si="63"/>
        <v>108818808</v>
      </c>
      <c r="AE140" s="31">
        <f t="shared" si="45"/>
        <v>108818808</v>
      </c>
      <c r="AF140" s="31">
        <f t="shared" si="45"/>
        <v>108818808</v>
      </c>
      <c r="AG140" s="31">
        <f t="shared" si="64"/>
        <v>108818807</v>
      </c>
    </row>
    <row r="141" spans="1:33" ht="3" customHeight="1" x14ac:dyDescent="0.25">
      <c r="A141">
        <v>7309</v>
      </c>
      <c r="B141">
        <v>7106</v>
      </c>
      <c r="C141" t="s">
        <v>392</v>
      </c>
      <c r="D141" s="31">
        <f>+DATA!O137</f>
        <v>2825227</v>
      </c>
      <c r="E141" s="31">
        <f>+DATA!T137</f>
        <v>2198479.5729999999</v>
      </c>
      <c r="F141" s="38">
        <f t="shared" si="46"/>
        <v>5023706.5729999999</v>
      </c>
      <c r="G141" s="112">
        <f t="shared" si="47"/>
        <v>0.27500000000000002</v>
      </c>
      <c r="H141" s="95">
        <f t="shared" si="48"/>
        <v>0.43759999999999999</v>
      </c>
      <c r="I141" s="6" t="str">
        <f t="shared" si="49"/>
        <v>SI</v>
      </c>
      <c r="J141" s="117">
        <f t="shared" si="50"/>
        <v>3.3112582781000001E-3</v>
      </c>
      <c r="K141" s="117">
        <f t="shared" si="51"/>
        <v>1.6556291390500001E-3</v>
      </c>
      <c r="L141" s="31">
        <f>IF(I141="SI",VLOOKUP(A141,DATA!$A$4:$D$350,4,0),0)</f>
        <v>4311</v>
      </c>
      <c r="M141" s="95">
        <f>IF(I141="SI",VLOOKUP(A141,DATA!$A$4:$E$350,5,0),0)</f>
        <v>8.7216742405051353E-2</v>
      </c>
      <c r="N141" s="31">
        <f t="shared" si="52"/>
        <v>376</v>
      </c>
      <c r="O141" s="117">
        <f t="shared" si="53"/>
        <v>4.5523061179999997E-4</v>
      </c>
      <c r="P141" s="117">
        <f t="shared" si="54"/>
        <v>4.5523061200000001E-5</v>
      </c>
      <c r="Q141" s="31">
        <f>IF(I141="SI",VLOOKUP(A141,DATA!$A$4:$G$350,7,0),0)</f>
        <v>3307</v>
      </c>
      <c r="R141" s="31">
        <f>IF(I141="SI",VLOOKUP(A141,DATA!$A$4:$H$350,8,0),0)</f>
        <v>7050</v>
      </c>
      <c r="S141" s="117">
        <f t="shared" si="55"/>
        <v>4.527058595E-4</v>
      </c>
      <c r="T141" s="117">
        <f t="shared" si="56"/>
        <v>5.9225991027259605E-4</v>
      </c>
      <c r="U141" s="117">
        <f t="shared" si="57"/>
        <v>1.1845198210000001E-4</v>
      </c>
      <c r="V141" s="31">
        <f>IF(I141="SI",VLOOKUP(A141,COEF_FCM!$A$8:$X$354,24,0),0)</f>
        <v>2825227</v>
      </c>
      <c r="W141" s="121">
        <f t="shared" si="58"/>
        <v>655.35</v>
      </c>
      <c r="X141" s="31">
        <f>IF(AND(W141&gt;0,W141&lt;$W$7),ROUND(($W$7-W141)*L141,PARAMETROS!$L$8),0)</f>
        <v>0</v>
      </c>
      <c r="Y141" s="122">
        <f t="shared" si="59"/>
        <v>0</v>
      </c>
      <c r="Z141" s="117">
        <f t="shared" si="60"/>
        <v>0</v>
      </c>
      <c r="AA141" s="96">
        <f t="shared" si="61"/>
        <v>1.81960418235E-3</v>
      </c>
      <c r="AB141" s="31">
        <f>ROUND(AA141*PARAMETROS!$H$24,0)</f>
        <v>312275921</v>
      </c>
      <c r="AC141" s="31">
        <f t="shared" si="62"/>
        <v>312275921</v>
      </c>
      <c r="AD141" s="31">
        <f t="shared" si="63"/>
        <v>78068980</v>
      </c>
      <c r="AE141" s="31">
        <f t="shared" si="45"/>
        <v>78068980</v>
      </c>
      <c r="AF141" s="31">
        <f t="shared" si="45"/>
        <v>78068980</v>
      </c>
      <c r="AG141" s="31">
        <f t="shared" si="64"/>
        <v>78068981</v>
      </c>
    </row>
    <row r="142" spans="1:33" ht="3" customHeight="1" x14ac:dyDescent="0.25">
      <c r="A142">
        <v>7401</v>
      </c>
      <c r="B142">
        <v>7301</v>
      </c>
      <c r="C142" t="s">
        <v>160</v>
      </c>
      <c r="D142" s="31">
        <f>+DATA!O138</f>
        <v>7861559</v>
      </c>
      <c r="E142" s="31">
        <f>+DATA!T138</f>
        <v>16757754.732999999</v>
      </c>
      <c r="F142" s="38">
        <f t="shared" si="46"/>
        <v>24619313.732999999</v>
      </c>
      <c r="G142" s="112">
        <f t="shared" si="47"/>
        <v>0.83399999999999996</v>
      </c>
      <c r="H142" s="95">
        <f t="shared" si="48"/>
        <v>0.68069999999999997</v>
      </c>
      <c r="I142" s="6" t="str">
        <f t="shared" si="49"/>
        <v>SI</v>
      </c>
      <c r="J142" s="117">
        <f t="shared" si="50"/>
        <v>3.3112582781000001E-3</v>
      </c>
      <c r="K142" s="117">
        <f t="shared" si="51"/>
        <v>1.6556291390500001E-3</v>
      </c>
      <c r="L142" s="31">
        <f>IF(I142="SI",VLOOKUP(A142,DATA!$A$4:$D$350,4,0),0)</f>
        <v>103958</v>
      </c>
      <c r="M142" s="95">
        <f>IF(I142="SI",VLOOKUP(A142,DATA!$A$4:$E$350,5,0),0)</f>
        <v>8.8591955216916943E-2</v>
      </c>
      <c r="N142" s="31">
        <f t="shared" si="52"/>
        <v>9210</v>
      </c>
      <c r="O142" s="117">
        <f t="shared" si="53"/>
        <v>1.11507285506E-2</v>
      </c>
      <c r="P142" s="117">
        <f t="shared" si="54"/>
        <v>1.1150728551000001E-3</v>
      </c>
      <c r="Q142" s="31">
        <f>IF(I142="SI",VLOOKUP(A142,DATA!$A$4:$G$350,7,0),0)</f>
        <v>39071</v>
      </c>
      <c r="R142" s="31">
        <f>IF(I142="SI",VLOOKUP(A142,DATA!$A$4:$H$350,8,0),0)</f>
        <v>49576</v>
      </c>
      <c r="S142" s="117">
        <f t="shared" si="55"/>
        <v>8.9861655154999994E-3</v>
      </c>
      <c r="T142" s="117">
        <f t="shared" si="56"/>
        <v>1.1756299306094417E-2</v>
      </c>
      <c r="U142" s="117">
        <f t="shared" si="57"/>
        <v>2.3512598611999998E-3</v>
      </c>
      <c r="V142" s="31">
        <f>IF(I142="SI",VLOOKUP(A142,COEF_FCM!$A$8:$X$354,24,0),0)</f>
        <v>7861559</v>
      </c>
      <c r="W142" s="121">
        <f t="shared" si="58"/>
        <v>75.62</v>
      </c>
      <c r="X142" s="31">
        <f>IF(AND(W142&gt;0,W142&lt;$W$7),ROUND(($W$7-W142)*L142,PARAMETROS!$L$8),0)</f>
        <v>3247648</v>
      </c>
      <c r="Y142" s="122">
        <f t="shared" si="59"/>
        <v>1.19688723699E-2</v>
      </c>
      <c r="Z142" s="117">
        <f t="shared" si="60"/>
        <v>2.3937744739999998E-3</v>
      </c>
      <c r="AA142" s="96">
        <f t="shared" si="61"/>
        <v>7.5157363293500007E-3</v>
      </c>
      <c r="AB142" s="31">
        <f>ROUND(AA142*PARAMETROS!$H$24,0)</f>
        <v>1289831880</v>
      </c>
      <c r="AC142" s="31">
        <f t="shared" si="62"/>
        <v>1289831880</v>
      </c>
      <c r="AD142" s="31">
        <f t="shared" si="63"/>
        <v>322457970</v>
      </c>
      <c r="AE142" s="31">
        <f t="shared" si="45"/>
        <v>322457970</v>
      </c>
      <c r="AF142" s="31">
        <f t="shared" si="45"/>
        <v>322457970</v>
      </c>
      <c r="AG142" s="31">
        <f t="shared" si="64"/>
        <v>322457970</v>
      </c>
    </row>
    <row r="143" spans="1:33" ht="3" customHeight="1" x14ac:dyDescent="0.25">
      <c r="A143">
        <v>7402</v>
      </c>
      <c r="B143">
        <v>7303</v>
      </c>
      <c r="C143" t="s">
        <v>393</v>
      </c>
      <c r="D143" s="31">
        <f>+DATA!O139</f>
        <v>6754026</v>
      </c>
      <c r="E143" s="31">
        <f>+DATA!T139</f>
        <v>4795399.983</v>
      </c>
      <c r="F143" s="38">
        <f t="shared" si="46"/>
        <v>11549425.982999999</v>
      </c>
      <c r="G143" s="112">
        <f t="shared" si="47"/>
        <v>0.63400000000000001</v>
      </c>
      <c r="H143" s="95">
        <f t="shared" si="48"/>
        <v>0.41520000000000001</v>
      </c>
      <c r="I143" s="6" t="str">
        <f t="shared" si="49"/>
        <v>SI</v>
      </c>
      <c r="J143" s="117">
        <f t="shared" si="50"/>
        <v>3.3112582781000001E-3</v>
      </c>
      <c r="K143" s="117">
        <f t="shared" si="51"/>
        <v>1.6556291390500001E-3</v>
      </c>
      <c r="L143" s="31">
        <f>IF(I143="SI",VLOOKUP(A143,DATA!$A$4:$D$350,4,0),0)</f>
        <v>23479</v>
      </c>
      <c r="M143" s="95">
        <f>IF(I143="SI",VLOOKUP(A143,DATA!$A$4:$E$350,5,0),0)</f>
        <v>0.1181205973029969</v>
      </c>
      <c r="N143" s="31">
        <f t="shared" si="52"/>
        <v>2773</v>
      </c>
      <c r="O143" s="117">
        <f t="shared" si="53"/>
        <v>3.3573257623E-3</v>
      </c>
      <c r="P143" s="117">
        <f t="shared" si="54"/>
        <v>3.3573257619999998E-4</v>
      </c>
      <c r="Q143" s="31">
        <f>IF(I143="SI",VLOOKUP(A143,DATA!$A$4:$G$350,7,0),0)</f>
        <v>9995</v>
      </c>
      <c r="R143" s="31">
        <f>IF(I143="SI",VLOOKUP(A143,DATA!$A$4:$H$350,8,0),0)</f>
        <v>13903</v>
      </c>
      <c r="S143" s="117">
        <f t="shared" si="55"/>
        <v>2.0969782071000001E-3</v>
      </c>
      <c r="T143" s="117">
        <f t="shared" si="56"/>
        <v>2.7434063392780877E-3</v>
      </c>
      <c r="U143" s="117">
        <f t="shared" si="57"/>
        <v>5.4868126790000001E-4</v>
      </c>
      <c r="V143" s="31">
        <f>IF(I143="SI",VLOOKUP(A143,COEF_FCM!$A$8:$X$354,24,0),0)</f>
        <v>6754026</v>
      </c>
      <c r="W143" s="121">
        <f t="shared" si="58"/>
        <v>287.66000000000003</v>
      </c>
      <c r="X143" s="31">
        <f>IF(AND(W143&gt;0,W143&lt;$W$7),ROUND(($W$7-W143)*L143,PARAMETROS!$L$8),0)</f>
        <v>0</v>
      </c>
      <c r="Y143" s="122">
        <f t="shared" si="59"/>
        <v>0</v>
      </c>
      <c r="Z143" s="117">
        <f t="shared" si="60"/>
        <v>0</v>
      </c>
      <c r="AA143" s="96">
        <f t="shared" si="61"/>
        <v>2.5400429831499999E-3</v>
      </c>
      <c r="AB143" s="31">
        <f>ROUND(AA143*PARAMETROS!$H$24,0)</f>
        <v>435915827</v>
      </c>
      <c r="AC143" s="31">
        <f t="shared" si="62"/>
        <v>435915827</v>
      </c>
      <c r="AD143" s="31">
        <f t="shared" si="63"/>
        <v>108978957</v>
      </c>
      <c r="AE143" s="31">
        <f t="shared" si="45"/>
        <v>108978957</v>
      </c>
      <c r="AF143" s="31">
        <f t="shared" si="45"/>
        <v>108978957</v>
      </c>
      <c r="AG143" s="31">
        <f t="shared" si="64"/>
        <v>108978956</v>
      </c>
    </row>
    <row r="144" spans="1:33" ht="3" customHeight="1" x14ac:dyDescent="0.25">
      <c r="A144">
        <v>7403</v>
      </c>
      <c r="B144">
        <v>7304</v>
      </c>
      <c r="C144" t="s">
        <v>394</v>
      </c>
      <c r="D144" s="31">
        <f>+DATA!O140</f>
        <v>1720544</v>
      </c>
      <c r="E144" s="31">
        <f>+DATA!T140</f>
        <v>7720346.0760000004</v>
      </c>
      <c r="F144" s="38">
        <f t="shared" si="46"/>
        <v>9440890.0760000013</v>
      </c>
      <c r="G144" s="112">
        <f t="shared" si="47"/>
        <v>0.57099999999999995</v>
      </c>
      <c r="H144" s="95">
        <f t="shared" si="48"/>
        <v>0.81779999999999997</v>
      </c>
      <c r="I144" s="6" t="str">
        <f t="shared" si="49"/>
        <v>SI</v>
      </c>
      <c r="J144" s="117">
        <f t="shared" si="50"/>
        <v>3.3112582781000001E-3</v>
      </c>
      <c r="K144" s="117">
        <f t="shared" si="51"/>
        <v>1.6556291390500001E-3</v>
      </c>
      <c r="L144" s="31">
        <f>IF(I144="SI",VLOOKUP(A144,DATA!$A$4:$D$350,4,0),0)</f>
        <v>33666</v>
      </c>
      <c r="M144" s="95">
        <f>IF(I144="SI",VLOOKUP(A144,DATA!$A$4:$E$350,5,0),0)</f>
        <v>0.11610555102847631</v>
      </c>
      <c r="N144" s="31">
        <f t="shared" si="52"/>
        <v>3909</v>
      </c>
      <c r="O144" s="117">
        <f t="shared" si="53"/>
        <v>4.7327033554999997E-3</v>
      </c>
      <c r="P144" s="117">
        <f t="shared" si="54"/>
        <v>4.7327033560000002E-4</v>
      </c>
      <c r="Q144" s="31">
        <f>IF(I144="SI",VLOOKUP(A144,DATA!$A$4:$G$350,7,0),0)</f>
        <v>15640</v>
      </c>
      <c r="R144" s="31">
        <f>IF(I144="SI",VLOOKUP(A144,DATA!$A$4:$H$350,8,0),0)</f>
        <v>20852</v>
      </c>
      <c r="S144" s="117">
        <f t="shared" si="55"/>
        <v>3.4234392385999999E-3</v>
      </c>
      <c r="T144" s="117">
        <f t="shared" si="56"/>
        <v>4.4787708701546428E-3</v>
      </c>
      <c r="U144" s="117">
        <f t="shared" si="57"/>
        <v>8.9575417399999997E-4</v>
      </c>
      <c r="V144" s="31">
        <f>IF(I144="SI",VLOOKUP(A144,COEF_FCM!$A$8:$X$354,24,0),0)</f>
        <v>1720544</v>
      </c>
      <c r="W144" s="121">
        <f t="shared" si="58"/>
        <v>51.11</v>
      </c>
      <c r="X144" s="31">
        <f>IF(AND(W144&gt;0,W144&lt;$W$7),ROUND(($W$7-W144)*L144,PARAMETROS!$L$8),0)</f>
        <v>1876880</v>
      </c>
      <c r="Y144" s="122">
        <f t="shared" si="59"/>
        <v>6.9170480216999997E-3</v>
      </c>
      <c r="Z144" s="117">
        <f t="shared" si="60"/>
        <v>1.3834096043E-3</v>
      </c>
      <c r="AA144" s="96">
        <f t="shared" si="61"/>
        <v>4.4080632529499997E-3</v>
      </c>
      <c r="AB144" s="31">
        <f>ROUND(AA144*PARAMETROS!$H$24,0)</f>
        <v>756500795</v>
      </c>
      <c r="AC144" s="31">
        <f t="shared" si="62"/>
        <v>756500795</v>
      </c>
      <c r="AD144" s="31">
        <f t="shared" si="63"/>
        <v>189125199</v>
      </c>
      <c r="AE144" s="31">
        <f t="shared" si="45"/>
        <v>189125199</v>
      </c>
      <c r="AF144" s="31">
        <f t="shared" si="45"/>
        <v>189125199</v>
      </c>
      <c r="AG144" s="31">
        <f t="shared" si="64"/>
        <v>189125198</v>
      </c>
    </row>
    <row r="145" spans="1:33" ht="3" customHeight="1" x14ac:dyDescent="0.25">
      <c r="A145">
        <v>7404</v>
      </c>
      <c r="B145">
        <v>7305</v>
      </c>
      <c r="C145" t="s">
        <v>162</v>
      </c>
      <c r="D145" s="31">
        <f>+DATA!O141</f>
        <v>3732335</v>
      </c>
      <c r="E145" s="31">
        <f>+DATA!T141</f>
        <v>9378802.1740000006</v>
      </c>
      <c r="F145" s="38">
        <f t="shared" si="46"/>
        <v>13111137.174000001</v>
      </c>
      <c r="G145" s="112">
        <f t="shared" si="47"/>
        <v>0.67800000000000005</v>
      </c>
      <c r="H145" s="95">
        <f t="shared" si="48"/>
        <v>0.71530000000000005</v>
      </c>
      <c r="I145" s="6" t="str">
        <f t="shared" si="49"/>
        <v>SI</v>
      </c>
      <c r="J145" s="117">
        <f t="shared" si="50"/>
        <v>3.3112582781000001E-3</v>
      </c>
      <c r="K145" s="117">
        <f t="shared" si="51"/>
        <v>1.6556291390500001E-3</v>
      </c>
      <c r="L145" s="31">
        <f>IF(I145="SI",VLOOKUP(A145,DATA!$A$4:$D$350,4,0),0)</f>
        <v>45583</v>
      </c>
      <c r="M145" s="95">
        <f>IF(I145="SI",VLOOKUP(A145,DATA!$A$4:$E$350,5,0),0)</f>
        <v>9.2774064727636135E-2</v>
      </c>
      <c r="N145" s="31">
        <f t="shared" si="52"/>
        <v>4229</v>
      </c>
      <c r="O145" s="117">
        <f t="shared" si="53"/>
        <v>5.1201336635000004E-3</v>
      </c>
      <c r="P145" s="117">
        <f t="shared" si="54"/>
        <v>5.1201336640000004E-4</v>
      </c>
      <c r="Q145" s="31">
        <f>IF(I145="SI",VLOOKUP(A145,DATA!$A$4:$G$350,7,0),0)</f>
        <v>22358</v>
      </c>
      <c r="R145" s="31">
        <f>IF(I145="SI",VLOOKUP(A145,DATA!$A$4:$H$350,8,0),0)</f>
        <v>29127</v>
      </c>
      <c r="S145" s="117">
        <f t="shared" si="55"/>
        <v>5.0084920731999997E-3</v>
      </c>
      <c r="T145" s="117">
        <f t="shared" si="56"/>
        <v>6.5524423941644176E-3</v>
      </c>
      <c r="U145" s="117">
        <f t="shared" si="57"/>
        <v>1.3104884787999999E-3</v>
      </c>
      <c r="V145" s="31">
        <f>IF(I145="SI",VLOOKUP(A145,COEF_FCM!$A$8:$X$354,24,0),0)</f>
        <v>3732335</v>
      </c>
      <c r="W145" s="121">
        <f t="shared" si="58"/>
        <v>81.88</v>
      </c>
      <c r="X145" s="31">
        <f>IF(AND(W145&gt;0,W145&lt;$W$7),ROUND(($W$7-W145)*L145,PARAMETROS!$L$8),0)</f>
        <v>1138663</v>
      </c>
      <c r="Y145" s="122">
        <f t="shared" si="59"/>
        <v>4.1964252651000003E-3</v>
      </c>
      <c r="Z145" s="117">
        <f t="shared" si="60"/>
        <v>8.3928505299999995E-4</v>
      </c>
      <c r="AA145" s="96">
        <f t="shared" si="61"/>
        <v>4.3174160372500001E-3</v>
      </c>
      <c r="AB145" s="31">
        <f>ROUND(AA145*PARAMETROS!$H$24,0)</f>
        <v>740944147</v>
      </c>
      <c r="AC145" s="31">
        <f t="shared" si="62"/>
        <v>740944147</v>
      </c>
      <c r="AD145" s="31">
        <f t="shared" si="63"/>
        <v>185236037</v>
      </c>
      <c r="AE145" s="31">
        <f t="shared" si="45"/>
        <v>185236037</v>
      </c>
      <c r="AF145" s="31">
        <f t="shared" si="45"/>
        <v>185236037</v>
      </c>
      <c r="AG145" s="31">
        <f t="shared" si="64"/>
        <v>185236036</v>
      </c>
    </row>
    <row r="146" spans="1:33" ht="3" customHeight="1" x14ac:dyDescent="0.25">
      <c r="A146">
        <v>7405</v>
      </c>
      <c r="B146">
        <v>7306</v>
      </c>
      <c r="C146" t="s">
        <v>163</v>
      </c>
      <c r="D146" s="31">
        <f>+DATA!O142</f>
        <v>1599709</v>
      </c>
      <c r="E146" s="31">
        <f>+DATA!T142</f>
        <v>4946553.2079999996</v>
      </c>
      <c r="F146" s="38">
        <f t="shared" si="46"/>
        <v>6546262.2079999996</v>
      </c>
      <c r="G146" s="112">
        <f t="shared" si="47"/>
        <v>0.44900000000000001</v>
      </c>
      <c r="H146" s="95">
        <f t="shared" si="48"/>
        <v>0.75560000000000005</v>
      </c>
      <c r="I146" s="6" t="str">
        <f t="shared" si="49"/>
        <v>SI</v>
      </c>
      <c r="J146" s="117">
        <f t="shared" si="50"/>
        <v>3.3112582781000001E-3</v>
      </c>
      <c r="K146" s="117">
        <f t="shared" si="51"/>
        <v>1.6556291390500001E-3</v>
      </c>
      <c r="L146" s="31">
        <f>IF(I146="SI",VLOOKUP(A146,DATA!$A$4:$D$350,4,0),0)</f>
        <v>21492</v>
      </c>
      <c r="M146" s="95">
        <f>IF(I146="SI",VLOOKUP(A146,DATA!$A$4:$E$350,5,0),0)</f>
        <v>0.1218370057800926</v>
      </c>
      <c r="N146" s="31">
        <f t="shared" si="52"/>
        <v>2619</v>
      </c>
      <c r="O146" s="117">
        <f t="shared" si="53"/>
        <v>3.1708749266E-3</v>
      </c>
      <c r="P146" s="117">
        <f t="shared" si="54"/>
        <v>3.1708749270000002E-4</v>
      </c>
      <c r="Q146" s="31">
        <f>IF(I146="SI",VLOOKUP(A146,DATA!$A$4:$G$350,7,0),0)</f>
        <v>12178</v>
      </c>
      <c r="R146" s="31">
        <f>IF(I146="SI",VLOOKUP(A146,DATA!$A$4:$H$350,8,0),0)</f>
        <v>16427</v>
      </c>
      <c r="S146" s="117">
        <f t="shared" si="55"/>
        <v>2.6346960796999998E-3</v>
      </c>
      <c r="T146" s="117">
        <f t="shared" si="56"/>
        <v>3.4468846183747757E-3</v>
      </c>
      <c r="U146" s="117">
        <f t="shared" si="57"/>
        <v>6.8937692369999996E-4</v>
      </c>
      <c r="V146" s="31">
        <f>IF(I146="SI",VLOOKUP(A146,COEF_FCM!$A$8:$X$354,24,0),0)</f>
        <v>1599709</v>
      </c>
      <c r="W146" s="121">
        <f t="shared" si="58"/>
        <v>74.430000000000007</v>
      </c>
      <c r="X146" s="31">
        <f>IF(AND(W146&gt;0,W146&lt;$W$7),ROUND(($W$7-W146)*L146,PARAMETROS!$L$8),0)</f>
        <v>696986</v>
      </c>
      <c r="Y146" s="122">
        <f t="shared" si="59"/>
        <v>2.5686701507000001E-3</v>
      </c>
      <c r="Z146" s="117">
        <f t="shared" si="60"/>
        <v>5.1373403010000003E-4</v>
      </c>
      <c r="AA146" s="96">
        <f t="shared" si="61"/>
        <v>3.17582758555E-3</v>
      </c>
      <c r="AB146" s="31">
        <f>ROUND(AA146*PARAMETROS!$H$24,0)</f>
        <v>545027591</v>
      </c>
      <c r="AC146" s="31">
        <f t="shared" si="62"/>
        <v>545027591</v>
      </c>
      <c r="AD146" s="31">
        <f t="shared" si="63"/>
        <v>136256898</v>
      </c>
      <c r="AE146" s="31">
        <f t="shared" si="45"/>
        <v>136256898</v>
      </c>
      <c r="AF146" s="31">
        <f t="shared" si="45"/>
        <v>136256898</v>
      </c>
      <c r="AG146" s="31">
        <f t="shared" si="64"/>
        <v>136256897</v>
      </c>
    </row>
    <row r="147" spans="1:33" ht="3" customHeight="1" x14ac:dyDescent="0.25">
      <c r="A147">
        <v>7406</v>
      </c>
      <c r="B147">
        <v>7310</v>
      </c>
      <c r="C147" t="s">
        <v>165</v>
      </c>
      <c r="D147" s="31">
        <f>+DATA!O143</f>
        <v>3710527</v>
      </c>
      <c r="E147" s="31">
        <f>+DATA!T143</f>
        <v>10246786.530999999</v>
      </c>
      <c r="F147" s="38">
        <f t="shared" si="46"/>
        <v>13957313.530999999</v>
      </c>
      <c r="G147" s="112">
        <f t="shared" si="47"/>
        <v>0.70399999999999996</v>
      </c>
      <c r="H147" s="95">
        <f t="shared" si="48"/>
        <v>0.73419999999999996</v>
      </c>
      <c r="I147" s="6" t="str">
        <f t="shared" si="49"/>
        <v>SI</v>
      </c>
      <c r="J147" s="117">
        <f t="shared" si="50"/>
        <v>3.3112582781000001E-3</v>
      </c>
      <c r="K147" s="117">
        <f t="shared" si="51"/>
        <v>1.6556291390500001E-3</v>
      </c>
      <c r="L147" s="31">
        <f>IF(I147="SI",VLOOKUP(A147,DATA!$A$4:$D$350,4,0),0)</f>
        <v>51469</v>
      </c>
      <c r="M147" s="95">
        <f>IF(I147="SI",VLOOKUP(A147,DATA!$A$4:$E$350,5,0),0)</f>
        <v>9.7050002743901381E-2</v>
      </c>
      <c r="N147" s="31">
        <f t="shared" si="52"/>
        <v>4995</v>
      </c>
      <c r="O147" s="117">
        <f t="shared" si="53"/>
        <v>6.0475449631000001E-3</v>
      </c>
      <c r="P147" s="117">
        <f t="shared" si="54"/>
        <v>6.047544963E-4</v>
      </c>
      <c r="Q147" s="31">
        <f>IF(I147="SI",VLOOKUP(A147,DATA!$A$4:$G$350,7,0),0)</f>
        <v>23618</v>
      </c>
      <c r="R147" s="31">
        <f>IF(I147="SI",VLOOKUP(A147,DATA!$A$4:$H$350,8,0),0)</f>
        <v>29270</v>
      </c>
      <c r="S147" s="117">
        <f t="shared" si="55"/>
        <v>5.5616077681999998E-3</v>
      </c>
      <c r="T147" s="117">
        <f t="shared" si="56"/>
        <v>7.2760651284777657E-3</v>
      </c>
      <c r="U147" s="117">
        <f t="shared" si="57"/>
        <v>1.4552130257E-3</v>
      </c>
      <c r="V147" s="31">
        <f>IF(I147="SI",VLOOKUP(A147,COEF_FCM!$A$8:$X$354,24,0),0)</f>
        <v>3710527</v>
      </c>
      <c r="W147" s="121">
        <f t="shared" si="58"/>
        <v>72.09</v>
      </c>
      <c r="X147" s="31">
        <f>IF(AND(W147&gt;0,W147&lt;$W$7),ROUND(($W$7-W147)*L147,PARAMETROS!$L$8),0)</f>
        <v>1789577</v>
      </c>
      <c r="Y147" s="122">
        <f t="shared" si="59"/>
        <v>6.5953018027999997E-3</v>
      </c>
      <c r="Z147" s="117">
        <f t="shared" si="60"/>
        <v>1.3190603606000001E-3</v>
      </c>
      <c r="AA147" s="96">
        <f t="shared" si="61"/>
        <v>5.03465702165E-3</v>
      </c>
      <c r="AB147" s="31">
        <f>ROUND(AA147*PARAMETROS!$H$24,0)</f>
        <v>864035251</v>
      </c>
      <c r="AC147" s="31">
        <f t="shared" si="62"/>
        <v>864035251</v>
      </c>
      <c r="AD147" s="31">
        <f t="shared" si="63"/>
        <v>216008813</v>
      </c>
      <c r="AE147" s="31">
        <f t="shared" si="45"/>
        <v>216008813</v>
      </c>
      <c r="AF147" s="31">
        <f t="shared" si="45"/>
        <v>216008813</v>
      </c>
      <c r="AG147" s="31">
        <f t="shared" si="64"/>
        <v>216008812</v>
      </c>
    </row>
    <row r="148" spans="1:33" ht="3" customHeight="1" x14ac:dyDescent="0.25">
      <c r="A148">
        <v>7407</v>
      </c>
      <c r="B148">
        <v>7309</v>
      </c>
      <c r="C148" t="s">
        <v>164</v>
      </c>
      <c r="D148" s="31">
        <f>+DATA!O144</f>
        <v>1136804</v>
      </c>
      <c r="E148" s="31">
        <f>+DATA!T144</f>
        <v>4386926.9179999996</v>
      </c>
      <c r="F148" s="38">
        <f t="shared" si="46"/>
        <v>5523730.9179999996</v>
      </c>
      <c r="G148" s="112">
        <f t="shared" si="47"/>
        <v>0.35</v>
      </c>
      <c r="H148" s="95">
        <f t="shared" si="48"/>
        <v>0.79420000000000002</v>
      </c>
      <c r="I148" s="6" t="str">
        <f t="shared" si="49"/>
        <v>SI</v>
      </c>
      <c r="J148" s="117">
        <f t="shared" si="50"/>
        <v>3.3112582781000001E-3</v>
      </c>
      <c r="K148" s="117">
        <f t="shared" si="51"/>
        <v>1.6556291390500001E-3</v>
      </c>
      <c r="L148" s="31">
        <f>IF(I148="SI",VLOOKUP(A148,DATA!$A$4:$D$350,4,0),0)</f>
        <v>18036</v>
      </c>
      <c r="M148" s="95">
        <f>IF(I148="SI",VLOOKUP(A148,DATA!$A$4:$E$350,5,0),0)</f>
        <v>9.7740612874893912E-2</v>
      </c>
      <c r="N148" s="31">
        <f t="shared" si="52"/>
        <v>1763</v>
      </c>
      <c r="O148" s="117">
        <f t="shared" si="53"/>
        <v>2.1344988528000002E-3</v>
      </c>
      <c r="P148" s="117">
        <f t="shared" si="54"/>
        <v>2.134498853E-4</v>
      </c>
      <c r="Q148" s="31">
        <f>IF(I148="SI",VLOOKUP(A148,DATA!$A$4:$G$350,7,0),0)</f>
        <v>7869</v>
      </c>
      <c r="R148" s="31">
        <f>IF(I148="SI",VLOOKUP(A148,DATA!$A$4:$H$350,8,0),0)</f>
        <v>9745</v>
      </c>
      <c r="S148" s="117">
        <f t="shared" si="55"/>
        <v>1.8543601685E-3</v>
      </c>
      <c r="T148" s="117">
        <f t="shared" si="56"/>
        <v>2.4259972871168152E-3</v>
      </c>
      <c r="U148" s="117">
        <f t="shared" si="57"/>
        <v>4.851994574E-4</v>
      </c>
      <c r="V148" s="31">
        <f>IF(I148="SI",VLOOKUP(A148,COEF_FCM!$A$8:$X$354,24,0),0)</f>
        <v>1136804</v>
      </c>
      <c r="W148" s="121">
        <f t="shared" si="58"/>
        <v>63.03</v>
      </c>
      <c r="X148" s="31">
        <f>IF(AND(W148&gt;0,W148&lt;$W$7),ROUND(($W$7-W148)*L148,PARAMETROS!$L$8),0)</f>
        <v>790518</v>
      </c>
      <c r="Y148" s="122">
        <f t="shared" si="59"/>
        <v>2.9133727078999999E-3</v>
      </c>
      <c r="Z148" s="117">
        <f t="shared" si="60"/>
        <v>5.8267454160000002E-4</v>
      </c>
      <c r="AA148" s="96">
        <f t="shared" si="61"/>
        <v>2.9369530233500003E-3</v>
      </c>
      <c r="AB148" s="31">
        <f>ROUND(AA148*PARAMETROS!$H$24,0)</f>
        <v>504032535</v>
      </c>
      <c r="AC148" s="31">
        <f t="shared" si="62"/>
        <v>504032535</v>
      </c>
      <c r="AD148" s="31">
        <f t="shared" si="63"/>
        <v>126008134</v>
      </c>
      <c r="AE148" s="31">
        <f t="shared" si="45"/>
        <v>126008134</v>
      </c>
      <c r="AF148" s="31">
        <f t="shared" si="45"/>
        <v>126008134</v>
      </c>
      <c r="AG148" s="31">
        <f t="shared" si="64"/>
        <v>126008133</v>
      </c>
    </row>
    <row r="149" spans="1:33" ht="3" customHeight="1" x14ac:dyDescent="0.25">
      <c r="A149">
        <v>7408</v>
      </c>
      <c r="B149">
        <v>7302</v>
      </c>
      <c r="C149" t="s">
        <v>161</v>
      </c>
      <c r="D149" s="31">
        <f>+DATA!O145</f>
        <v>1701031</v>
      </c>
      <c r="E149" s="31">
        <f>+DATA!T145</f>
        <v>3872731.4219999998</v>
      </c>
      <c r="F149" s="38">
        <f t="shared" si="46"/>
        <v>5573762.4220000003</v>
      </c>
      <c r="G149" s="112">
        <f t="shared" si="47"/>
        <v>0.35299999999999998</v>
      </c>
      <c r="H149" s="95">
        <f t="shared" si="48"/>
        <v>0.69479999999999997</v>
      </c>
      <c r="I149" s="6" t="str">
        <f t="shared" si="49"/>
        <v>SI</v>
      </c>
      <c r="J149" s="117">
        <f t="shared" si="50"/>
        <v>3.3112582781000001E-3</v>
      </c>
      <c r="K149" s="117">
        <f t="shared" si="51"/>
        <v>1.6556291390500001E-3</v>
      </c>
      <c r="L149" s="31">
        <f>IF(I149="SI",VLOOKUP(A149,DATA!$A$4:$D$350,4,0),0)</f>
        <v>19800</v>
      </c>
      <c r="M149" s="95">
        <f>IF(I149="SI",VLOOKUP(A149,DATA!$A$4:$E$350,5,0),0)</f>
        <v>0.1156975900531806</v>
      </c>
      <c r="N149" s="31">
        <f t="shared" si="52"/>
        <v>2291</v>
      </c>
      <c r="O149" s="117">
        <f t="shared" si="53"/>
        <v>2.7737588609999999E-3</v>
      </c>
      <c r="P149" s="117">
        <f t="shared" si="54"/>
        <v>2.7737588610000002E-4</v>
      </c>
      <c r="Q149" s="31">
        <f>IF(I149="SI",VLOOKUP(A149,DATA!$A$4:$G$350,7,0),0)</f>
        <v>7613</v>
      </c>
      <c r="R149" s="31">
        <f>IF(I149="SI",VLOOKUP(A149,DATA!$A$4:$H$350,8,0),0)</f>
        <v>10558</v>
      </c>
      <c r="S149" s="117">
        <f t="shared" si="55"/>
        <v>1.6020159838000001E-3</v>
      </c>
      <c r="T149" s="117">
        <f t="shared" si="56"/>
        <v>2.0958638438402025E-3</v>
      </c>
      <c r="U149" s="117">
        <f t="shared" si="57"/>
        <v>4.191727688E-4</v>
      </c>
      <c r="V149" s="31">
        <f>IF(I149="SI",VLOOKUP(A149,COEF_FCM!$A$8:$X$354,24,0),0)</f>
        <v>1701031</v>
      </c>
      <c r="W149" s="121">
        <f t="shared" si="58"/>
        <v>85.91</v>
      </c>
      <c r="X149" s="31">
        <f>IF(AND(W149&gt;0,W149&lt;$W$7),ROUND(($W$7-W149)*L149,PARAMETROS!$L$8),0)</f>
        <v>414810</v>
      </c>
      <c r="Y149" s="122">
        <f t="shared" si="59"/>
        <v>1.5287395518000001E-3</v>
      </c>
      <c r="Z149" s="117">
        <f t="shared" si="60"/>
        <v>3.057479104E-4</v>
      </c>
      <c r="AA149" s="96">
        <f t="shared" si="61"/>
        <v>2.65792570435E-3</v>
      </c>
      <c r="AB149" s="31">
        <f>ROUND(AA149*PARAMETROS!$H$24,0)</f>
        <v>456146565</v>
      </c>
      <c r="AC149" s="31">
        <f t="shared" si="62"/>
        <v>456146565</v>
      </c>
      <c r="AD149" s="31">
        <f t="shared" si="63"/>
        <v>114036641</v>
      </c>
      <c r="AE149" s="31">
        <f t="shared" ref="AE149:AF168" si="65">+AD149</f>
        <v>114036641</v>
      </c>
      <c r="AF149" s="31">
        <f t="shared" si="65"/>
        <v>114036641</v>
      </c>
      <c r="AG149" s="31">
        <f t="shared" si="64"/>
        <v>114036642</v>
      </c>
    </row>
    <row r="150" spans="1:33" ht="3" customHeight="1" x14ac:dyDescent="0.25">
      <c r="A150">
        <v>8101</v>
      </c>
      <c r="B150">
        <v>8201</v>
      </c>
      <c r="C150" t="s">
        <v>395</v>
      </c>
      <c r="D150" s="31">
        <f>+DATA!O146</f>
        <v>41740940</v>
      </c>
      <c r="E150" s="31">
        <f>+DATA!T146</f>
        <v>10483327.197000001</v>
      </c>
      <c r="F150" s="38">
        <f t="shared" si="46"/>
        <v>52224267.196999997</v>
      </c>
      <c r="G150" s="112">
        <f t="shared" si="47"/>
        <v>0.93600000000000005</v>
      </c>
      <c r="H150" s="95">
        <f t="shared" si="48"/>
        <v>0.20069999999999999</v>
      </c>
      <c r="I150" s="6" t="str">
        <f t="shared" si="49"/>
        <v>NO</v>
      </c>
      <c r="J150" s="117">
        <f t="shared" si="50"/>
        <v>0</v>
      </c>
      <c r="K150" s="117">
        <f t="shared" si="51"/>
        <v>0</v>
      </c>
      <c r="L150" s="31">
        <f>IF(I150="SI",VLOOKUP(A150,DATA!$A$4:$D$350,4,0),0)</f>
        <v>0</v>
      </c>
      <c r="M150" s="95">
        <f>IF(I150="SI",VLOOKUP(A150,DATA!$A$4:$E$350,5,0),0)</f>
        <v>0</v>
      </c>
      <c r="N150" s="31">
        <f t="shared" si="52"/>
        <v>0</v>
      </c>
      <c r="O150" s="117">
        <f t="shared" si="53"/>
        <v>0</v>
      </c>
      <c r="P150" s="117">
        <f t="shared" si="54"/>
        <v>0</v>
      </c>
      <c r="Q150" s="31">
        <f>IF(I150="SI",VLOOKUP(A150,DATA!$A$4:$G$350,7,0),0)</f>
        <v>0</v>
      </c>
      <c r="R150" s="31">
        <f>IF(I150="SI",VLOOKUP(A150,DATA!$A$4:$H$350,8,0),0)</f>
        <v>0</v>
      </c>
      <c r="S150" s="117">
        <f t="shared" si="55"/>
        <v>0</v>
      </c>
      <c r="T150" s="117">
        <f t="shared" si="56"/>
        <v>0</v>
      </c>
      <c r="U150" s="117">
        <f t="shared" si="57"/>
        <v>0</v>
      </c>
      <c r="V150" s="31">
        <f>IF(I150="SI",VLOOKUP(A150,COEF_FCM!$A$8:$X$354,24,0),0)</f>
        <v>0</v>
      </c>
      <c r="W150" s="121">
        <f t="shared" si="58"/>
        <v>0</v>
      </c>
      <c r="X150" s="31">
        <f>IF(AND(W150&gt;0,W150&lt;$W$7),ROUND(($W$7-W150)*L150,PARAMETROS!$L$8),0)</f>
        <v>0</v>
      </c>
      <c r="Y150" s="122">
        <f t="shared" si="59"/>
        <v>0</v>
      </c>
      <c r="Z150" s="117">
        <f t="shared" si="60"/>
        <v>0</v>
      </c>
      <c r="AA150" s="96">
        <f t="shared" si="61"/>
        <v>0</v>
      </c>
      <c r="AB150" s="31">
        <f>ROUND(AA150*PARAMETROS!$H$24,0)</f>
        <v>0</v>
      </c>
      <c r="AC150" s="31">
        <f t="shared" si="62"/>
        <v>0</v>
      </c>
      <c r="AD150" s="31">
        <f t="shared" si="63"/>
        <v>0</v>
      </c>
      <c r="AE150" s="31">
        <f t="shared" si="65"/>
        <v>0</v>
      </c>
      <c r="AF150" s="31">
        <f t="shared" si="65"/>
        <v>0</v>
      </c>
      <c r="AG150" s="31">
        <f t="shared" si="64"/>
        <v>0</v>
      </c>
    </row>
    <row r="151" spans="1:33" ht="3" customHeight="1" x14ac:dyDescent="0.25">
      <c r="A151">
        <v>8102</v>
      </c>
      <c r="B151">
        <v>8207</v>
      </c>
      <c r="C151" t="s">
        <v>187</v>
      </c>
      <c r="D151" s="31">
        <f>+DATA!O147</f>
        <v>16714067</v>
      </c>
      <c r="E151" s="31">
        <f>+DATA!T147</f>
        <v>17452607.429000001</v>
      </c>
      <c r="F151" s="38">
        <f t="shared" si="46"/>
        <v>34166674.429000005</v>
      </c>
      <c r="G151" s="112">
        <f t="shared" si="47"/>
        <v>0.88100000000000001</v>
      </c>
      <c r="H151" s="95">
        <f t="shared" si="48"/>
        <v>0.51080000000000003</v>
      </c>
      <c r="I151" s="6" t="str">
        <f t="shared" si="49"/>
        <v>SI</v>
      </c>
      <c r="J151" s="117">
        <f t="shared" si="50"/>
        <v>3.3112582781000001E-3</v>
      </c>
      <c r="K151" s="117">
        <f t="shared" si="51"/>
        <v>1.6556291390500001E-3</v>
      </c>
      <c r="L151" s="31">
        <f>IF(I151="SI",VLOOKUP(A151,DATA!$A$4:$D$350,4,0),0)</f>
        <v>128941</v>
      </c>
      <c r="M151" s="95">
        <f>IF(I151="SI",VLOOKUP(A151,DATA!$A$4:$E$350,5,0),0)</f>
        <v>6.2774807485100656E-2</v>
      </c>
      <c r="N151" s="31">
        <f t="shared" si="52"/>
        <v>8094</v>
      </c>
      <c r="O151" s="117">
        <f t="shared" si="53"/>
        <v>9.7995653516000005E-3</v>
      </c>
      <c r="P151" s="117">
        <f t="shared" si="54"/>
        <v>9.7995653519999991E-4</v>
      </c>
      <c r="Q151" s="31">
        <f>IF(I151="SI",VLOOKUP(A151,DATA!$A$4:$G$350,7,0),0)</f>
        <v>43948</v>
      </c>
      <c r="R151" s="31">
        <f>IF(I151="SI",VLOOKUP(A151,DATA!$A$4:$H$350,8,0),0)</f>
        <v>48572</v>
      </c>
      <c r="S151" s="117">
        <f t="shared" si="55"/>
        <v>1.1604570953800001E-2</v>
      </c>
      <c r="T151" s="117">
        <f t="shared" si="56"/>
        <v>1.5181871424064398E-2</v>
      </c>
      <c r="U151" s="117">
        <f t="shared" si="57"/>
        <v>3.0363742848000001E-3</v>
      </c>
      <c r="V151" s="31">
        <f>IF(I151="SI",VLOOKUP(A151,COEF_FCM!$A$8:$X$354,24,0),0)</f>
        <v>16714067</v>
      </c>
      <c r="W151" s="121">
        <f t="shared" si="58"/>
        <v>129.63</v>
      </c>
      <c r="X151" s="31">
        <f>IF(AND(W151&gt;0,W151&lt;$W$7),ROUND(($W$7-W151)*L151,PARAMETROS!$L$8),0)</f>
        <v>0</v>
      </c>
      <c r="Y151" s="122">
        <f t="shared" si="59"/>
        <v>0</v>
      </c>
      <c r="Z151" s="117">
        <f t="shared" si="60"/>
        <v>0</v>
      </c>
      <c r="AA151" s="96">
        <f t="shared" si="61"/>
        <v>5.6719599590499999E-3</v>
      </c>
      <c r="AB151" s="31">
        <f>ROUND(AA151*PARAMETROS!$H$24,0)</f>
        <v>973407588</v>
      </c>
      <c r="AC151" s="31">
        <f t="shared" si="62"/>
        <v>973407588</v>
      </c>
      <c r="AD151" s="31">
        <f t="shared" si="63"/>
        <v>243351897</v>
      </c>
      <c r="AE151" s="31">
        <f t="shared" si="65"/>
        <v>243351897</v>
      </c>
      <c r="AF151" s="31">
        <f t="shared" si="65"/>
        <v>243351897</v>
      </c>
      <c r="AG151" s="31">
        <f t="shared" si="64"/>
        <v>243351897</v>
      </c>
    </row>
    <row r="152" spans="1:33" ht="3" customHeight="1" x14ac:dyDescent="0.25">
      <c r="A152">
        <v>8103</v>
      </c>
      <c r="B152">
        <v>8211</v>
      </c>
      <c r="C152" t="s">
        <v>191</v>
      </c>
      <c r="D152" s="31">
        <f>+DATA!O148</f>
        <v>8188859</v>
      </c>
      <c r="E152" s="31">
        <f>+DATA!T148</f>
        <v>12489385.465</v>
      </c>
      <c r="F152" s="38">
        <f t="shared" si="46"/>
        <v>20678244.465</v>
      </c>
      <c r="G152" s="112">
        <f t="shared" si="47"/>
        <v>0.80200000000000005</v>
      </c>
      <c r="H152" s="95">
        <f t="shared" si="48"/>
        <v>0.60399999999999998</v>
      </c>
      <c r="I152" s="6" t="str">
        <f t="shared" si="49"/>
        <v>SI</v>
      </c>
      <c r="J152" s="117">
        <f t="shared" si="50"/>
        <v>3.3112582781000001E-3</v>
      </c>
      <c r="K152" s="117">
        <f t="shared" si="51"/>
        <v>1.6556291390500001E-3</v>
      </c>
      <c r="L152" s="31">
        <f>IF(I152="SI",VLOOKUP(A152,DATA!$A$4:$D$350,4,0),0)</f>
        <v>91963</v>
      </c>
      <c r="M152" s="95">
        <f>IF(I152="SI",VLOOKUP(A152,DATA!$A$4:$E$350,5,0),0)</f>
        <v>5.7106769821395592E-2</v>
      </c>
      <c r="N152" s="31">
        <f t="shared" si="52"/>
        <v>5252</v>
      </c>
      <c r="O152" s="117">
        <f t="shared" si="53"/>
        <v>6.3586999291999997E-3</v>
      </c>
      <c r="P152" s="117">
        <f t="shared" si="54"/>
        <v>6.3586999290000002E-4</v>
      </c>
      <c r="Q152" s="31">
        <f>IF(I152="SI",VLOOKUP(A152,DATA!$A$4:$G$350,7,0),0)</f>
        <v>23257</v>
      </c>
      <c r="R152" s="31">
        <f>IF(I152="SI",VLOOKUP(A152,DATA!$A$4:$H$350,8,0),0)</f>
        <v>31206</v>
      </c>
      <c r="S152" s="117">
        <f t="shared" si="55"/>
        <v>5.0583179532000004E-3</v>
      </c>
      <c r="T152" s="117">
        <f t="shared" si="56"/>
        <v>6.6176279237942885E-3</v>
      </c>
      <c r="U152" s="117">
        <f t="shared" si="57"/>
        <v>1.3235255848E-3</v>
      </c>
      <c r="V152" s="31">
        <f>IF(I152="SI",VLOOKUP(A152,COEF_FCM!$A$8:$X$354,24,0),0)</f>
        <v>8188859</v>
      </c>
      <c r="W152" s="121">
        <f t="shared" si="58"/>
        <v>89.05</v>
      </c>
      <c r="X152" s="31">
        <f>IF(AND(W152&gt;0,W152&lt;$W$7),ROUND(($W$7-W152)*L152,PARAMETROS!$L$8),0)</f>
        <v>1637861</v>
      </c>
      <c r="Y152" s="122">
        <f t="shared" si="59"/>
        <v>6.0361681034000001E-3</v>
      </c>
      <c r="Z152" s="117">
        <f t="shared" si="60"/>
        <v>1.2072336206999999E-3</v>
      </c>
      <c r="AA152" s="96">
        <f t="shared" si="61"/>
        <v>4.8222583374499996E-3</v>
      </c>
      <c r="AB152" s="31">
        <f>ROUND(AA152*PARAMETROS!$H$24,0)</f>
        <v>827583920</v>
      </c>
      <c r="AC152" s="31">
        <f t="shared" si="62"/>
        <v>827583920</v>
      </c>
      <c r="AD152" s="31">
        <f t="shared" si="63"/>
        <v>206895980</v>
      </c>
      <c r="AE152" s="31">
        <f t="shared" si="65"/>
        <v>206895980</v>
      </c>
      <c r="AF152" s="31">
        <f t="shared" si="65"/>
        <v>206895980</v>
      </c>
      <c r="AG152" s="31">
        <f t="shared" si="64"/>
        <v>206895980</v>
      </c>
    </row>
    <row r="153" spans="1:33" ht="3" customHeight="1" x14ac:dyDescent="0.25">
      <c r="A153">
        <v>8104</v>
      </c>
      <c r="B153">
        <v>8204</v>
      </c>
      <c r="C153" t="s">
        <v>185</v>
      </c>
      <c r="D153" s="31">
        <f>+DATA!O149</f>
        <v>750760</v>
      </c>
      <c r="E153" s="31">
        <f>+DATA!T149</f>
        <v>4435282.1849999996</v>
      </c>
      <c r="F153" s="38">
        <f t="shared" si="46"/>
        <v>5186042.1849999996</v>
      </c>
      <c r="G153" s="112">
        <f t="shared" si="47"/>
        <v>0.31</v>
      </c>
      <c r="H153" s="95">
        <f t="shared" si="48"/>
        <v>0.85519999999999996</v>
      </c>
      <c r="I153" s="6" t="str">
        <f t="shared" si="49"/>
        <v>SI</v>
      </c>
      <c r="J153" s="117">
        <f t="shared" si="50"/>
        <v>3.3112582781000001E-3</v>
      </c>
      <c r="K153" s="117">
        <f t="shared" si="51"/>
        <v>1.6556291390500001E-3</v>
      </c>
      <c r="L153" s="31">
        <f>IF(I153="SI",VLOOKUP(A153,DATA!$A$4:$D$350,4,0),0)</f>
        <v>11873</v>
      </c>
      <c r="M153" s="95">
        <f>IF(I153="SI",VLOOKUP(A153,DATA!$A$4:$E$350,5,0),0)</f>
        <v>0.10778546277724239</v>
      </c>
      <c r="N153" s="31">
        <f t="shared" si="52"/>
        <v>1280</v>
      </c>
      <c r="O153" s="117">
        <f t="shared" si="53"/>
        <v>1.5497212318E-3</v>
      </c>
      <c r="P153" s="117">
        <f t="shared" si="54"/>
        <v>1.549721232E-4</v>
      </c>
      <c r="Q153" s="31">
        <f>IF(I153="SI",VLOOKUP(A153,DATA!$A$4:$G$350,7,0),0)</f>
        <v>7549</v>
      </c>
      <c r="R153" s="31">
        <f>IF(I153="SI",VLOOKUP(A153,DATA!$A$4:$H$350,8,0),0)</f>
        <v>11244</v>
      </c>
      <c r="S153" s="117">
        <f t="shared" si="55"/>
        <v>1.4790908714999999E-3</v>
      </c>
      <c r="T153" s="117">
        <f t="shared" si="56"/>
        <v>1.9350450374270136E-3</v>
      </c>
      <c r="U153" s="117">
        <f t="shared" si="57"/>
        <v>3.8700900749999998E-4</v>
      </c>
      <c r="V153" s="31">
        <f>IF(I153="SI",VLOOKUP(A153,COEF_FCM!$A$8:$X$354,24,0),0)</f>
        <v>750760</v>
      </c>
      <c r="W153" s="121">
        <f t="shared" si="58"/>
        <v>63.23</v>
      </c>
      <c r="X153" s="31">
        <f>IF(AND(W153&gt;0,W153&lt;$W$7),ROUND(($W$7-W153)*L153,PARAMETROS!$L$8),0)</f>
        <v>518019</v>
      </c>
      <c r="Y153" s="122">
        <f t="shared" si="59"/>
        <v>1.9091056961999999E-3</v>
      </c>
      <c r="Z153" s="117">
        <f t="shared" si="60"/>
        <v>3.8182113920000001E-4</v>
      </c>
      <c r="AA153" s="96">
        <f t="shared" si="61"/>
        <v>2.5794314089500003E-3</v>
      </c>
      <c r="AB153" s="31">
        <f>ROUND(AA153*PARAMETROS!$H$24,0)</f>
        <v>442675570</v>
      </c>
      <c r="AC153" s="31">
        <f t="shared" si="62"/>
        <v>442675570</v>
      </c>
      <c r="AD153" s="31">
        <f t="shared" si="63"/>
        <v>110668893</v>
      </c>
      <c r="AE153" s="31">
        <f t="shared" si="65"/>
        <v>110668893</v>
      </c>
      <c r="AF153" s="31">
        <f t="shared" si="65"/>
        <v>110668893</v>
      </c>
      <c r="AG153" s="31">
        <f t="shared" si="64"/>
        <v>110668891</v>
      </c>
    </row>
    <row r="154" spans="1:33" ht="3" customHeight="1" x14ac:dyDescent="0.25">
      <c r="A154">
        <v>8105</v>
      </c>
      <c r="B154">
        <v>8203</v>
      </c>
      <c r="C154" t="s">
        <v>184</v>
      </c>
      <c r="D154" s="31">
        <f>+DATA!O150</f>
        <v>1333343</v>
      </c>
      <c r="E154" s="31">
        <f>+DATA!T150</f>
        <v>6736689.8660000004</v>
      </c>
      <c r="F154" s="38">
        <f t="shared" si="46"/>
        <v>8070032.8660000004</v>
      </c>
      <c r="G154" s="112">
        <f t="shared" si="47"/>
        <v>0.51</v>
      </c>
      <c r="H154" s="95">
        <f t="shared" si="48"/>
        <v>0.83479999999999999</v>
      </c>
      <c r="I154" s="6" t="str">
        <f t="shared" si="49"/>
        <v>SI</v>
      </c>
      <c r="J154" s="117">
        <f t="shared" si="50"/>
        <v>3.3112582781000001E-3</v>
      </c>
      <c r="K154" s="117">
        <f t="shared" si="51"/>
        <v>1.6556291390500001E-3</v>
      </c>
      <c r="L154" s="31">
        <f>IF(I154="SI",VLOOKUP(A154,DATA!$A$4:$D$350,4,0),0)</f>
        <v>26746</v>
      </c>
      <c r="M154" s="95">
        <f>IF(I154="SI",VLOOKUP(A154,DATA!$A$4:$E$350,5,0),0)</f>
        <v>0.1033807937198529</v>
      </c>
      <c r="N154" s="31">
        <f t="shared" si="52"/>
        <v>2765</v>
      </c>
      <c r="O154" s="117">
        <f t="shared" si="53"/>
        <v>3.3476400045999999E-3</v>
      </c>
      <c r="P154" s="117">
        <f t="shared" si="54"/>
        <v>3.3476400049999998E-4</v>
      </c>
      <c r="Q154" s="31">
        <f>IF(I154="SI",VLOOKUP(A154,DATA!$A$4:$G$350,7,0),0)</f>
        <v>10952</v>
      </c>
      <c r="R154" s="31">
        <f>IF(I154="SI",VLOOKUP(A154,DATA!$A$4:$H$350,8,0),0)</f>
        <v>13734</v>
      </c>
      <c r="S154" s="117">
        <f t="shared" si="55"/>
        <v>2.5487466627000001E-3</v>
      </c>
      <c r="T154" s="117">
        <f t="shared" si="56"/>
        <v>3.3344398754314789E-3</v>
      </c>
      <c r="U154" s="117">
        <f t="shared" si="57"/>
        <v>6.668879751E-4</v>
      </c>
      <c r="V154" s="31">
        <f>IF(I154="SI",VLOOKUP(A154,COEF_FCM!$A$8:$X$354,24,0),0)</f>
        <v>1333343</v>
      </c>
      <c r="W154" s="121">
        <f t="shared" si="58"/>
        <v>49.85</v>
      </c>
      <c r="X154" s="31">
        <f>IF(AND(W154&gt;0,W154&lt;$W$7),ROUND(($W$7-W154)*L154,PARAMETROS!$L$8),0)</f>
        <v>1524789</v>
      </c>
      <c r="Y154" s="122">
        <f t="shared" si="59"/>
        <v>5.6194528877999998E-3</v>
      </c>
      <c r="Z154" s="117">
        <f t="shared" si="60"/>
        <v>1.1238905775999999E-3</v>
      </c>
      <c r="AA154" s="96">
        <f t="shared" si="61"/>
        <v>3.7811716922500002E-3</v>
      </c>
      <c r="AB154" s="31">
        <f>ROUND(AA154*PARAMETROS!$H$24,0)</f>
        <v>648915233</v>
      </c>
      <c r="AC154" s="31">
        <f t="shared" si="62"/>
        <v>648915233</v>
      </c>
      <c r="AD154" s="31">
        <f t="shared" si="63"/>
        <v>162228808</v>
      </c>
      <c r="AE154" s="31">
        <f t="shared" si="65"/>
        <v>162228808</v>
      </c>
      <c r="AF154" s="31">
        <f t="shared" si="65"/>
        <v>162228808</v>
      </c>
      <c r="AG154" s="31">
        <f t="shared" si="64"/>
        <v>162228809</v>
      </c>
    </row>
    <row r="155" spans="1:33" ht="3" customHeight="1" x14ac:dyDescent="0.25">
      <c r="A155">
        <v>8106</v>
      </c>
      <c r="B155">
        <v>8208</v>
      </c>
      <c r="C155" t="s">
        <v>188</v>
      </c>
      <c r="D155" s="31">
        <f>+DATA!O151</f>
        <v>2435465</v>
      </c>
      <c r="E155" s="31">
        <f>+DATA!T151</f>
        <v>11319447.148</v>
      </c>
      <c r="F155" s="38">
        <f t="shared" si="46"/>
        <v>13754912.148</v>
      </c>
      <c r="G155" s="112">
        <f t="shared" si="47"/>
        <v>0.69799999999999995</v>
      </c>
      <c r="H155" s="95">
        <f t="shared" si="48"/>
        <v>0.82289999999999996</v>
      </c>
      <c r="I155" s="6" t="str">
        <f t="shared" si="49"/>
        <v>SI</v>
      </c>
      <c r="J155" s="117">
        <f t="shared" si="50"/>
        <v>3.3112582781000001E-3</v>
      </c>
      <c r="K155" s="117">
        <f t="shared" si="51"/>
        <v>1.6556291390500001E-3</v>
      </c>
      <c r="L155" s="31">
        <f>IF(I155="SI",VLOOKUP(A155,DATA!$A$4:$D$350,4,0),0)</f>
        <v>45407</v>
      </c>
      <c r="M155" s="95">
        <f>IF(I155="SI",VLOOKUP(A155,DATA!$A$4:$E$350,5,0),0)</f>
        <v>8.4159150340831851E-2</v>
      </c>
      <c r="N155" s="31">
        <f t="shared" si="52"/>
        <v>3821</v>
      </c>
      <c r="O155" s="117">
        <f t="shared" si="53"/>
        <v>4.6261600208000004E-3</v>
      </c>
      <c r="P155" s="117">
        <f t="shared" si="54"/>
        <v>4.6261600209999997E-4</v>
      </c>
      <c r="Q155" s="31">
        <f>IF(I155="SI",VLOOKUP(A155,DATA!$A$4:$G$350,7,0),0)</f>
        <v>12781</v>
      </c>
      <c r="R155" s="31">
        <f>IF(I155="SI",VLOOKUP(A155,DATA!$A$4:$H$350,8,0),0)</f>
        <v>13520</v>
      </c>
      <c r="S155" s="117">
        <f t="shared" si="55"/>
        <v>3.5260609984E-3</v>
      </c>
      <c r="T155" s="117">
        <f t="shared" si="56"/>
        <v>4.6130274806573035E-3</v>
      </c>
      <c r="U155" s="117">
        <f t="shared" si="57"/>
        <v>9.2260549610000001E-4</v>
      </c>
      <c r="V155" s="31">
        <f>IF(I155="SI",VLOOKUP(A155,COEF_FCM!$A$8:$X$354,24,0),0)</f>
        <v>2435465</v>
      </c>
      <c r="W155" s="121">
        <f t="shared" si="58"/>
        <v>53.64</v>
      </c>
      <c r="X155" s="31">
        <f>IF(AND(W155&gt;0,W155&lt;$W$7),ROUND(($W$7-W155)*L155,PARAMETROS!$L$8),0)</f>
        <v>2416561</v>
      </c>
      <c r="Y155" s="122">
        <f t="shared" si="59"/>
        <v>8.9059867889000003E-3</v>
      </c>
      <c r="Z155" s="117">
        <f t="shared" si="60"/>
        <v>1.7811973577999999E-3</v>
      </c>
      <c r="AA155" s="96">
        <f t="shared" si="61"/>
        <v>4.8220479950500002E-3</v>
      </c>
      <c r="AB155" s="31">
        <f>ROUND(AA155*PARAMETROS!$H$24,0)</f>
        <v>827547822</v>
      </c>
      <c r="AC155" s="31">
        <f t="shared" si="62"/>
        <v>827547822</v>
      </c>
      <c r="AD155" s="31">
        <f t="shared" si="63"/>
        <v>206886956</v>
      </c>
      <c r="AE155" s="31">
        <f t="shared" si="65"/>
        <v>206886956</v>
      </c>
      <c r="AF155" s="31">
        <f t="shared" si="65"/>
        <v>206886956</v>
      </c>
      <c r="AG155" s="31">
        <f t="shared" si="64"/>
        <v>206886954</v>
      </c>
    </row>
    <row r="156" spans="1:33" ht="3" customHeight="1" x14ac:dyDescent="0.25">
      <c r="A156">
        <v>8107</v>
      </c>
      <c r="B156">
        <v>8202</v>
      </c>
      <c r="C156" t="s">
        <v>183</v>
      </c>
      <c r="D156" s="31">
        <f>+DATA!O152</f>
        <v>4158623</v>
      </c>
      <c r="E156" s="31">
        <f>+DATA!T152</f>
        <v>8432705.9399999995</v>
      </c>
      <c r="F156" s="38">
        <f t="shared" si="46"/>
        <v>12591328.939999999</v>
      </c>
      <c r="G156" s="112">
        <f t="shared" si="47"/>
        <v>0.65700000000000003</v>
      </c>
      <c r="H156" s="95">
        <f t="shared" si="48"/>
        <v>0.66969999999999996</v>
      </c>
      <c r="I156" s="6" t="str">
        <f t="shared" si="49"/>
        <v>SI</v>
      </c>
      <c r="J156" s="117">
        <f t="shared" si="50"/>
        <v>3.3112582781000001E-3</v>
      </c>
      <c r="K156" s="117">
        <f t="shared" si="51"/>
        <v>1.6556291390500001E-3</v>
      </c>
      <c r="L156" s="31">
        <f>IF(I156="SI",VLOOKUP(A156,DATA!$A$4:$D$350,4,0),0)</f>
        <v>50189</v>
      </c>
      <c r="M156" s="95">
        <f>IF(I156="SI",VLOOKUP(A156,DATA!$A$4:$E$350,5,0),0)</f>
        <v>6.0533136931933358E-2</v>
      </c>
      <c r="N156" s="31">
        <f t="shared" si="52"/>
        <v>3038</v>
      </c>
      <c r="O156" s="117">
        <f t="shared" si="53"/>
        <v>3.6781664861000002E-3</v>
      </c>
      <c r="P156" s="117">
        <f t="shared" si="54"/>
        <v>3.6781664860000002E-4</v>
      </c>
      <c r="Q156" s="31">
        <f>IF(I156="SI",VLOOKUP(A156,DATA!$A$4:$G$350,7,0),0)</f>
        <v>14307</v>
      </c>
      <c r="R156" s="31">
        <f>IF(I156="SI",VLOOKUP(A156,DATA!$A$4:$H$350,8,0),0)</f>
        <v>16076</v>
      </c>
      <c r="S156" s="117">
        <f t="shared" si="55"/>
        <v>3.7158313946999998E-3</v>
      </c>
      <c r="T156" s="117">
        <f t="shared" si="56"/>
        <v>4.8612977328010868E-3</v>
      </c>
      <c r="U156" s="117">
        <f t="shared" si="57"/>
        <v>9.7225954660000002E-4</v>
      </c>
      <c r="V156" s="31">
        <f>IF(I156="SI",VLOOKUP(A156,COEF_FCM!$A$8:$X$354,24,0),0)</f>
        <v>4158623</v>
      </c>
      <c r="W156" s="121">
        <f t="shared" si="58"/>
        <v>82.86</v>
      </c>
      <c r="X156" s="31">
        <f>IF(AND(W156&gt;0,W156&lt;$W$7),ROUND(($W$7-W156)*L156,PARAMETROS!$L$8),0)</f>
        <v>1204536</v>
      </c>
      <c r="Y156" s="122">
        <f t="shared" si="59"/>
        <v>4.4391934252000003E-3</v>
      </c>
      <c r="Z156" s="117">
        <f t="shared" si="60"/>
        <v>8.8783868500000003E-4</v>
      </c>
      <c r="AA156" s="96">
        <f t="shared" si="61"/>
        <v>3.8835440192500001E-3</v>
      </c>
      <c r="AB156" s="31">
        <f>ROUND(AA156*PARAMETROS!$H$24,0)</f>
        <v>666484116</v>
      </c>
      <c r="AC156" s="31">
        <f t="shared" si="62"/>
        <v>666484116</v>
      </c>
      <c r="AD156" s="31">
        <f t="shared" si="63"/>
        <v>166621029</v>
      </c>
      <c r="AE156" s="31">
        <f t="shared" si="65"/>
        <v>166621029</v>
      </c>
      <c r="AF156" s="31">
        <f t="shared" si="65"/>
        <v>166621029</v>
      </c>
      <c r="AG156" s="31">
        <f t="shared" si="64"/>
        <v>166621029</v>
      </c>
    </row>
    <row r="157" spans="1:33" ht="3" customHeight="1" x14ac:dyDescent="0.25">
      <c r="A157">
        <v>8108</v>
      </c>
      <c r="B157">
        <v>8210</v>
      </c>
      <c r="C157" t="s">
        <v>190</v>
      </c>
      <c r="D157" s="31">
        <f>+DATA!O153</f>
        <v>17350185</v>
      </c>
      <c r="E157" s="31">
        <f>+DATA!T153</f>
        <v>10314776.454</v>
      </c>
      <c r="F157" s="38">
        <f t="shared" si="46"/>
        <v>27664961.454</v>
      </c>
      <c r="G157" s="112">
        <f t="shared" si="47"/>
        <v>0.86</v>
      </c>
      <c r="H157" s="95">
        <f t="shared" si="48"/>
        <v>0.37280000000000002</v>
      </c>
      <c r="I157" s="6" t="str">
        <f t="shared" si="49"/>
        <v>NO</v>
      </c>
      <c r="J157" s="117">
        <f t="shared" si="50"/>
        <v>0</v>
      </c>
      <c r="K157" s="117">
        <f t="shared" si="51"/>
        <v>0</v>
      </c>
      <c r="L157" s="31">
        <f>IF(I157="SI",VLOOKUP(A157,DATA!$A$4:$D$350,4,0),0)</f>
        <v>0</v>
      </c>
      <c r="M157" s="95">
        <f>IF(I157="SI",VLOOKUP(A157,DATA!$A$4:$E$350,5,0),0)</f>
        <v>0</v>
      </c>
      <c r="N157" s="31">
        <f t="shared" si="52"/>
        <v>0</v>
      </c>
      <c r="O157" s="117">
        <f t="shared" si="53"/>
        <v>0</v>
      </c>
      <c r="P157" s="117">
        <f t="shared" si="54"/>
        <v>0</v>
      </c>
      <c r="Q157" s="31">
        <f>IF(I157="SI",VLOOKUP(A157,DATA!$A$4:$G$350,7,0),0)</f>
        <v>0</v>
      </c>
      <c r="R157" s="31">
        <f>IF(I157="SI",VLOOKUP(A157,DATA!$A$4:$H$350,8,0),0)</f>
        <v>0</v>
      </c>
      <c r="S157" s="117">
        <f t="shared" si="55"/>
        <v>0</v>
      </c>
      <c r="T157" s="117">
        <f t="shared" si="56"/>
        <v>0</v>
      </c>
      <c r="U157" s="117">
        <f t="shared" si="57"/>
        <v>0</v>
      </c>
      <c r="V157" s="31">
        <f>IF(I157="SI",VLOOKUP(A157,COEF_FCM!$A$8:$X$354,24,0),0)</f>
        <v>0</v>
      </c>
      <c r="W157" s="121">
        <f t="shared" si="58"/>
        <v>0</v>
      </c>
      <c r="X157" s="31">
        <f>IF(AND(W157&gt;0,W157&lt;$W$7),ROUND(($W$7-W157)*L157,PARAMETROS!$L$8),0)</f>
        <v>0</v>
      </c>
      <c r="Y157" s="122">
        <f t="shared" si="59"/>
        <v>0</v>
      </c>
      <c r="Z157" s="117">
        <f t="shared" si="60"/>
        <v>0</v>
      </c>
      <c r="AA157" s="96">
        <f t="shared" si="61"/>
        <v>0</v>
      </c>
      <c r="AB157" s="31">
        <f>ROUND(AA157*PARAMETROS!$H$24,0)</f>
        <v>0</v>
      </c>
      <c r="AC157" s="31">
        <f t="shared" si="62"/>
        <v>0</v>
      </c>
      <c r="AD157" s="31">
        <f t="shared" si="63"/>
        <v>0</v>
      </c>
      <c r="AE157" s="31">
        <f t="shared" si="65"/>
        <v>0</v>
      </c>
      <c r="AF157" s="31">
        <f t="shared" si="65"/>
        <v>0</v>
      </c>
      <c r="AG157" s="31">
        <f t="shared" si="64"/>
        <v>0</v>
      </c>
    </row>
    <row r="158" spans="1:33" ht="3" customHeight="1" x14ac:dyDescent="0.25">
      <c r="A158">
        <v>8109</v>
      </c>
      <c r="B158">
        <v>8209</v>
      </c>
      <c r="C158" t="s">
        <v>189</v>
      </c>
      <c r="D158" s="31">
        <f>+DATA!O154</f>
        <v>1625727</v>
      </c>
      <c r="E158" s="31">
        <f>+DATA!T154</f>
        <v>5292730.3640000001</v>
      </c>
      <c r="F158" s="38">
        <f t="shared" si="46"/>
        <v>6918457.3640000001</v>
      </c>
      <c r="G158" s="112">
        <f t="shared" si="47"/>
        <v>0.46</v>
      </c>
      <c r="H158" s="95">
        <f t="shared" si="48"/>
        <v>0.76500000000000001</v>
      </c>
      <c r="I158" s="6" t="str">
        <f t="shared" si="49"/>
        <v>SI</v>
      </c>
      <c r="J158" s="117">
        <f t="shared" si="50"/>
        <v>3.3112582781000001E-3</v>
      </c>
      <c r="K158" s="117">
        <f t="shared" si="51"/>
        <v>1.6556291390500001E-3</v>
      </c>
      <c r="L158" s="31">
        <f>IF(I158="SI",VLOOKUP(A158,DATA!$A$4:$D$350,4,0),0)</f>
        <v>14890</v>
      </c>
      <c r="M158" s="95">
        <f>IF(I158="SI",VLOOKUP(A158,DATA!$A$4:$E$350,5,0),0)</f>
        <v>0.12804385687710171</v>
      </c>
      <c r="N158" s="31">
        <f t="shared" si="52"/>
        <v>1907</v>
      </c>
      <c r="O158" s="117">
        <f t="shared" si="53"/>
        <v>2.3088424913999999E-3</v>
      </c>
      <c r="P158" s="117">
        <f t="shared" si="54"/>
        <v>2.3088424910000001E-4</v>
      </c>
      <c r="Q158" s="31">
        <f>IF(I158="SI",VLOOKUP(A158,DATA!$A$4:$G$350,7,0),0)</f>
        <v>10266</v>
      </c>
      <c r="R158" s="31">
        <f>IF(I158="SI",VLOOKUP(A158,DATA!$A$4:$H$350,8,0),0)</f>
        <v>12517</v>
      </c>
      <c r="S158" s="117">
        <f t="shared" si="55"/>
        <v>2.457192101E-3</v>
      </c>
      <c r="T158" s="117">
        <f t="shared" si="56"/>
        <v>3.2146621094503234E-3</v>
      </c>
      <c r="U158" s="117">
        <f t="shared" si="57"/>
        <v>6.4293242189999999E-4</v>
      </c>
      <c r="V158" s="31">
        <f>IF(I158="SI",VLOOKUP(A158,COEF_FCM!$A$8:$X$354,24,0),0)</f>
        <v>1625727</v>
      </c>
      <c r="W158" s="121">
        <f t="shared" si="58"/>
        <v>109.18</v>
      </c>
      <c r="X158" s="31">
        <f>IF(AND(W158&gt;0,W158&lt;$W$7),ROUND(($W$7-W158)*L158,PARAMETROS!$L$8),0)</f>
        <v>0</v>
      </c>
      <c r="Y158" s="122">
        <f t="shared" si="59"/>
        <v>0</v>
      </c>
      <c r="Z158" s="117">
        <f t="shared" si="60"/>
        <v>0</v>
      </c>
      <c r="AA158" s="96">
        <f t="shared" si="61"/>
        <v>2.5294458100500001E-3</v>
      </c>
      <c r="AB158" s="31">
        <f>ROUND(AA158*PARAMETROS!$H$24,0)</f>
        <v>434097166</v>
      </c>
      <c r="AC158" s="31">
        <f t="shared" si="62"/>
        <v>434097166</v>
      </c>
      <c r="AD158" s="31">
        <f t="shared" si="63"/>
        <v>108524292</v>
      </c>
      <c r="AE158" s="31">
        <f t="shared" si="65"/>
        <v>108524292</v>
      </c>
      <c r="AF158" s="31">
        <f t="shared" si="65"/>
        <v>108524292</v>
      </c>
      <c r="AG158" s="31">
        <f t="shared" si="64"/>
        <v>108524290</v>
      </c>
    </row>
    <row r="159" spans="1:33" ht="3" customHeight="1" x14ac:dyDescent="0.25">
      <c r="A159">
        <v>8110</v>
      </c>
      <c r="B159">
        <v>8206</v>
      </c>
      <c r="C159" t="s">
        <v>186</v>
      </c>
      <c r="D159" s="31">
        <f>+DATA!O155</f>
        <v>26119904</v>
      </c>
      <c r="E159" s="31">
        <f>+DATA!T155</f>
        <v>11051814.308</v>
      </c>
      <c r="F159" s="38">
        <f t="shared" si="46"/>
        <v>37171718.307999998</v>
      </c>
      <c r="G159" s="112">
        <f t="shared" si="47"/>
        <v>0.89500000000000002</v>
      </c>
      <c r="H159" s="95">
        <f t="shared" si="48"/>
        <v>0.29730000000000001</v>
      </c>
      <c r="I159" s="6" t="str">
        <f t="shared" si="49"/>
        <v>NO</v>
      </c>
      <c r="J159" s="117">
        <f t="shared" si="50"/>
        <v>0</v>
      </c>
      <c r="K159" s="117">
        <f t="shared" si="51"/>
        <v>0</v>
      </c>
      <c r="L159" s="31">
        <f>IF(I159="SI",VLOOKUP(A159,DATA!$A$4:$D$350,4,0),0)</f>
        <v>0</v>
      </c>
      <c r="M159" s="95">
        <f>IF(I159="SI",VLOOKUP(A159,DATA!$A$4:$E$350,5,0),0)</f>
        <v>0</v>
      </c>
      <c r="N159" s="31">
        <f t="shared" si="52"/>
        <v>0</v>
      </c>
      <c r="O159" s="117">
        <f t="shared" si="53"/>
        <v>0</v>
      </c>
      <c r="P159" s="117">
        <f t="shared" si="54"/>
        <v>0</v>
      </c>
      <c r="Q159" s="31">
        <f>IF(I159="SI",VLOOKUP(A159,DATA!$A$4:$G$350,7,0),0)</f>
        <v>0</v>
      </c>
      <c r="R159" s="31">
        <f>IF(I159="SI",VLOOKUP(A159,DATA!$A$4:$H$350,8,0),0)</f>
        <v>0</v>
      </c>
      <c r="S159" s="117">
        <f t="shared" si="55"/>
        <v>0</v>
      </c>
      <c r="T159" s="117">
        <f t="shared" si="56"/>
        <v>0</v>
      </c>
      <c r="U159" s="117">
        <f t="shared" si="57"/>
        <v>0</v>
      </c>
      <c r="V159" s="31">
        <f>IF(I159="SI",VLOOKUP(A159,COEF_FCM!$A$8:$X$354,24,0),0)</f>
        <v>0</v>
      </c>
      <c r="W159" s="121">
        <f t="shared" si="58"/>
        <v>0</v>
      </c>
      <c r="X159" s="31">
        <f>IF(AND(W159&gt;0,W159&lt;$W$7),ROUND(($W$7-W159)*L159,PARAMETROS!$L$8),0)</f>
        <v>0</v>
      </c>
      <c r="Y159" s="122">
        <f t="shared" si="59"/>
        <v>0</v>
      </c>
      <c r="Z159" s="117">
        <f t="shared" si="60"/>
        <v>0</v>
      </c>
      <c r="AA159" s="96">
        <f t="shared" si="61"/>
        <v>0</v>
      </c>
      <c r="AB159" s="31">
        <f>ROUND(AA159*PARAMETROS!$H$24,0)</f>
        <v>0</v>
      </c>
      <c r="AC159" s="31">
        <f t="shared" si="62"/>
        <v>0</v>
      </c>
      <c r="AD159" s="31">
        <f t="shared" si="63"/>
        <v>0</v>
      </c>
      <c r="AE159" s="31">
        <f t="shared" si="65"/>
        <v>0</v>
      </c>
      <c r="AF159" s="31">
        <f t="shared" si="65"/>
        <v>0</v>
      </c>
      <c r="AG159" s="31">
        <f t="shared" si="64"/>
        <v>0</v>
      </c>
    </row>
    <row r="160" spans="1:33" ht="3" customHeight="1" x14ac:dyDescent="0.25">
      <c r="A160">
        <v>8111</v>
      </c>
      <c r="B160">
        <v>8205</v>
      </c>
      <c r="C160" t="s">
        <v>396</v>
      </c>
      <c r="D160" s="31">
        <f>+DATA!O156</f>
        <v>3996907</v>
      </c>
      <c r="E160" s="31">
        <f>+DATA!T156</f>
        <v>16957986.750999998</v>
      </c>
      <c r="F160" s="38">
        <f t="shared" si="46"/>
        <v>20954893.750999998</v>
      </c>
      <c r="G160" s="112">
        <f t="shared" si="47"/>
        <v>0.80500000000000005</v>
      </c>
      <c r="H160" s="95">
        <f t="shared" si="48"/>
        <v>0.80930000000000002</v>
      </c>
      <c r="I160" s="6" t="str">
        <f t="shared" si="49"/>
        <v>SI</v>
      </c>
      <c r="J160" s="117">
        <f t="shared" si="50"/>
        <v>3.3112582781000001E-3</v>
      </c>
      <c r="K160" s="117">
        <f t="shared" si="51"/>
        <v>1.6556291390500001E-3</v>
      </c>
      <c r="L160" s="31">
        <f>IF(I160="SI",VLOOKUP(A160,DATA!$A$4:$D$350,4,0),0)</f>
        <v>59150</v>
      </c>
      <c r="M160" s="95">
        <f>IF(I160="SI",VLOOKUP(A160,DATA!$A$4:$E$350,5,0),0)</f>
        <v>7.9769407200724438E-2</v>
      </c>
      <c r="N160" s="31">
        <f t="shared" si="52"/>
        <v>4718</v>
      </c>
      <c r="O160" s="117">
        <f t="shared" si="53"/>
        <v>5.7121756027999999E-3</v>
      </c>
      <c r="P160" s="117">
        <f t="shared" si="54"/>
        <v>5.7121756030000003E-4</v>
      </c>
      <c r="Q160" s="31">
        <f>IF(I160="SI",VLOOKUP(A160,DATA!$A$4:$G$350,7,0),0)</f>
        <v>20906</v>
      </c>
      <c r="R160" s="31">
        <f>IF(I160="SI",VLOOKUP(A160,DATA!$A$4:$H$350,8,0),0)</f>
        <v>27487</v>
      </c>
      <c r="S160" s="117">
        <f t="shared" si="55"/>
        <v>4.6403569880000004E-3</v>
      </c>
      <c r="T160" s="117">
        <f t="shared" si="56"/>
        <v>6.0708235947754376E-3</v>
      </c>
      <c r="U160" s="117">
        <f t="shared" si="57"/>
        <v>1.2141647189999999E-3</v>
      </c>
      <c r="V160" s="31">
        <f>IF(I160="SI",VLOOKUP(A160,COEF_FCM!$A$8:$X$354,24,0),0)</f>
        <v>3996907</v>
      </c>
      <c r="W160" s="121">
        <f t="shared" si="58"/>
        <v>67.569999999999993</v>
      </c>
      <c r="X160" s="31">
        <f>IF(AND(W160&gt;0,W160&lt;$W$7),ROUND(($W$7-W160)*L160,PARAMETROS!$L$8),0)</f>
        <v>2324004</v>
      </c>
      <c r="Y160" s="122">
        <f t="shared" si="59"/>
        <v>8.5648774938999993E-3</v>
      </c>
      <c r="Z160" s="117">
        <f t="shared" si="60"/>
        <v>1.7129754988E-3</v>
      </c>
      <c r="AA160" s="96">
        <f t="shared" si="61"/>
        <v>5.1539869171500002E-3</v>
      </c>
      <c r="AB160" s="31">
        <f>ROUND(AA160*PARAMETROS!$H$24,0)</f>
        <v>884514350</v>
      </c>
      <c r="AC160" s="31">
        <f t="shared" si="62"/>
        <v>884514350</v>
      </c>
      <c r="AD160" s="31">
        <f t="shared" si="63"/>
        <v>221128588</v>
      </c>
      <c r="AE160" s="31">
        <f t="shared" si="65"/>
        <v>221128588</v>
      </c>
      <c r="AF160" s="31">
        <f t="shared" si="65"/>
        <v>221128588</v>
      </c>
      <c r="AG160" s="31">
        <f t="shared" si="64"/>
        <v>221128586</v>
      </c>
    </row>
    <row r="161" spans="1:33" ht="3" customHeight="1" x14ac:dyDescent="0.25">
      <c r="A161">
        <v>8112</v>
      </c>
      <c r="B161">
        <v>8212</v>
      </c>
      <c r="C161" t="s">
        <v>397</v>
      </c>
      <c r="D161" s="31">
        <f>+DATA!O157</f>
        <v>10818986</v>
      </c>
      <c r="E161" s="31">
        <f>+DATA!T157</f>
        <v>10843255.887</v>
      </c>
      <c r="F161" s="38">
        <f t="shared" si="46"/>
        <v>21662241.887000002</v>
      </c>
      <c r="G161" s="112">
        <f t="shared" si="47"/>
        <v>0.81399999999999995</v>
      </c>
      <c r="H161" s="95">
        <f t="shared" si="48"/>
        <v>0.50060000000000004</v>
      </c>
      <c r="I161" s="6" t="str">
        <f t="shared" si="49"/>
        <v>SI</v>
      </c>
      <c r="J161" s="117">
        <f t="shared" si="50"/>
        <v>3.3112582781000001E-3</v>
      </c>
      <c r="K161" s="117">
        <f t="shared" si="51"/>
        <v>1.6556291390500001E-3</v>
      </c>
      <c r="L161" s="31">
        <f>IF(I161="SI",VLOOKUP(A161,DATA!$A$4:$D$350,4,0),0)</f>
        <v>98055</v>
      </c>
      <c r="M161" s="95">
        <f>IF(I161="SI",VLOOKUP(A161,DATA!$A$4:$E$350,5,0),0)</f>
        <v>3.2155654446715427E-2</v>
      </c>
      <c r="N161" s="31">
        <f t="shared" si="52"/>
        <v>3153</v>
      </c>
      <c r="O161" s="117">
        <f t="shared" si="53"/>
        <v>3.8173992529999998E-3</v>
      </c>
      <c r="P161" s="117">
        <f t="shared" si="54"/>
        <v>3.817399253E-4</v>
      </c>
      <c r="Q161" s="31">
        <f>IF(I161="SI",VLOOKUP(A161,DATA!$A$4:$G$350,7,0),0)</f>
        <v>30657</v>
      </c>
      <c r="R161" s="31">
        <f>IF(I161="SI",VLOOKUP(A161,DATA!$A$4:$H$350,8,0),0)</f>
        <v>33083</v>
      </c>
      <c r="S161" s="117">
        <f t="shared" si="55"/>
        <v>8.2907012468999997E-3</v>
      </c>
      <c r="T161" s="117">
        <f t="shared" si="56"/>
        <v>1.084644670163783E-2</v>
      </c>
      <c r="U161" s="117">
        <f t="shared" si="57"/>
        <v>2.1692893403E-3</v>
      </c>
      <c r="V161" s="31">
        <f>IF(I161="SI",VLOOKUP(A161,COEF_FCM!$A$8:$X$354,24,0),0)</f>
        <v>10818986</v>
      </c>
      <c r="W161" s="121">
        <f t="shared" si="58"/>
        <v>110.34</v>
      </c>
      <c r="X161" s="31">
        <f>IF(AND(W161&gt;0,W161&lt;$W$7),ROUND(($W$7-W161)*L161,PARAMETROS!$L$8),0)</f>
        <v>0</v>
      </c>
      <c r="Y161" s="122">
        <f t="shared" si="59"/>
        <v>0</v>
      </c>
      <c r="Z161" s="117">
        <f t="shared" si="60"/>
        <v>0</v>
      </c>
      <c r="AA161" s="96">
        <f t="shared" si="61"/>
        <v>4.2066584046499995E-3</v>
      </c>
      <c r="AB161" s="31">
        <f>ROUND(AA161*PARAMETROS!$H$24,0)</f>
        <v>721936199</v>
      </c>
      <c r="AC161" s="31">
        <f t="shared" si="62"/>
        <v>721936199</v>
      </c>
      <c r="AD161" s="31">
        <f t="shared" si="63"/>
        <v>180484050</v>
      </c>
      <c r="AE161" s="31">
        <f t="shared" si="65"/>
        <v>180484050</v>
      </c>
      <c r="AF161" s="31">
        <f t="shared" si="65"/>
        <v>180484050</v>
      </c>
      <c r="AG161" s="31">
        <f t="shared" si="64"/>
        <v>180484049</v>
      </c>
    </row>
    <row r="162" spans="1:33" ht="3" customHeight="1" x14ac:dyDescent="0.25">
      <c r="A162">
        <v>8201</v>
      </c>
      <c r="B162">
        <v>8303</v>
      </c>
      <c r="C162" t="s">
        <v>194</v>
      </c>
      <c r="D162" s="31">
        <f>+DATA!O158</f>
        <v>1081332</v>
      </c>
      <c r="E162" s="31">
        <f>+DATA!T158</f>
        <v>6933308.2620000001</v>
      </c>
      <c r="F162" s="38">
        <f t="shared" si="46"/>
        <v>8014640.2620000001</v>
      </c>
      <c r="G162" s="112">
        <f t="shared" si="47"/>
        <v>0.495</v>
      </c>
      <c r="H162" s="95">
        <f t="shared" si="48"/>
        <v>0.86509999999999998</v>
      </c>
      <c r="I162" s="6" t="str">
        <f t="shared" si="49"/>
        <v>SI</v>
      </c>
      <c r="J162" s="117">
        <f t="shared" si="50"/>
        <v>3.3112582781000001E-3</v>
      </c>
      <c r="K162" s="117">
        <f t="shared" si="51"/>
        <v>1.6556291390500001E-3</v>
      </c>
      <c r="L162" s="31">
        <f>IF(I162="SI",VLOOKUP(A162,DATA!$A$4:$D$350,4,0),0)</f>
        <v>27152</v>
      </c>
      <c r="M162" s="95">
        <f>IF(I162="SI",VLOOKUP(A162,DATA!$A$4:$E$350,5,0),0)</f>
        <v>0.10524611225739421</v>
      </c>
      <c r="N162" s="31">
        <f t="shared" si="52"/>
        <v>2858</v>
      </c>
      <c r="O162" s="117">
        <f t="shared" si="53"/>
        <v>3.4602369378000002E-3</v>
      </c>
      <c r="P162" s="117">
        <f t="shared" si="54"/>
        <v>3.4602369380000003E-4</v>
      </c>
      <c r="Q162" s="31">
        <f>IF(I162="SI",VLOOKUP(A162,DATA!$A$4:$G$350,7,0),0)</f>
        <v>9129</v>
      </c>
      <c r="R162" s="31">
        <f>IF(I162="SI",VLOOKUP(A162,DATA!$A$4:$H$350,8,0),0)</f>
        <v>10688</v>
      </c>
      <c r="S162" s="117">
        <f t="shared" si="55"/>
        <v>2.2755522497999998E-3</v>
      </c>
      <c r="T162" s="117">
        <f t="shared" si="56"/>
        <v>2.9770287770864426E-3</v>
      </c>
      <c r="U162" s="117">
        <f t="shared" si="57"/>
        <v>5.9540575539999995E-4</v>
      </c>
      <c r="V162" s="31">
        <f>IF(I162="SI",VLOOKUP(A162,COEF_FCM!$A$8:$X$354,24,0),0)</f>
        <v>1081332</v>
      </c>
      <c r="W162" s="121">
        <f t="shared" si="58"/>
        <v>39.83</v>
      </c>
      <c r="X162" s="31">
        <f>IF(AND(W162&gt;0,W162&lt;$W$7),ROUND(($W$7-W162)*L162,PARAMETROS!$L$8),0)</f>
        <v>1819999</v>
      </c>
      <c r="Y162" s="122">
        <f t="shared" si="59"/>
        <v>6.7074189519000004E-3</v>
      </c>
      <c r="Z162" s="117">
        <f t="shared" si="60"/>
        <v>1.3414837904000001E-3</v>
      </c>
      <c r="AA162" s="96">
        <f t="shared" si="61"/>
        <v>3.93854237865E-3</v>
      </c>
      <c r="AB162" s="31">
        <f>ROUND(AA162*PARAMETROS!$H$24,0)</f>
        <v>675922797</v>
      </c>
      <c r="AC162" s="31">
        <f t="shared" si="62"/>
        <v>675922797</v>
      </c>
      <c r="AD162" s="31">
        <f t="shared" si="63"/>
        <v>168980699</v>
      </c>
      <c r="AE162" s="31">
        <f t="shared" si="65"/>
        <v>168980699</v>
      </c>
      <c r="AF162" s="31">
        <f t="shared" si="65"/>
        <v>168980699</v>
      </c>
      <c r="AG162" s="31">
        <f t="shared" si="64"/>
        <v>168980700</v>
      </c>
    </row>
    <row r="163" spans="1:33" ht="3" customHeight="1" x14ac:dyDescent="0.25">
      <c r="A163">
        <v>8202</v>
      </c>
      <c r="B163">
        <v>8301</v>
      </c>
      <c r="C163" t="s">
        <v>192</v>
      </c>
      <c r="D163" s="31">
        <f>+DATA!O159</f>
        <v>3730562</v>
      </c>
      <c r="E163" s="31">
        <f>+DATA!T159</f>
        <v>9418600.9340000004</v>
      </c>
      <c r="F163" s="38">
        <f t="shared" si="46"/>
        <v>13149162.934</v>
      </c>
      <c r="G163" s="112">
        <f t="shared" si="47"/>
        <v>0.68100000000000005</v>
      </c>
      <c r="H163" s="95">
        <f t="shared" si="48"/>
        <v>0.71630000000000005</v>
      </c>
      <c r="I163" s="6" t="str">
        <f t="shared" si="49"/>
        <v>SI</v>
      </c>
      <c r="J163" s="117">
        <f t="shared" si="50"/>
        <v>3.3112582781000001E-3</v>
      </c>
      <c r="K163" s="117">
        <f t="shared" si="51"/>
        <v>1.6556291390500001E-3</v>
      </c>
      <c r="L163" s="31">
        <f>IF(I163="SI",VLOOKUP(A163,DATA!$A$4:$D$350,4,0),0)</f>
        <v>38941</v>
      </c>
      <c r="M163" s="95">
        <f>IF(I163="SI",VLOOKUP(A163,DATA!$A$4:$E$350,5,0),0)</f>
        <v>9.1963377789973752E-2</v>
      </c>
      <c r="N163" s="31">
        <f t="shared" si="52"/>
        <v>3581</v>
      </c>
      <c r="O163" s="117">
        <f t="shared" si="53"/>
        <v>4.3355872899E-3</v>
      </c>
      <c r="P163" s="117">
        <f t="shared" si="54"/>
        <v>4.3355872900000003E-4</v>
      </c>
      <c r="Q163" s="31">
        <f>IF(I163="SI",VLOOKUP(A163,DATA!$A$4:$G$350,7,0),0)</f>
        <v>14026</v>
      </c>
      <c r="R163" s="31">
        <f>IF(I163="SI",VLOOKUP(A163,DATA!$A$4:$H$350,8,0),0)</f>
        <v>17023</v>
      </c>
      <c r="S163" s="117">
        <f t="shared" si="55"/>
        <v>3.3726277799000001E-3</v>
      </c>
      <c r="T163" s="117">
        <f t="shared" si="56"/>
        <v>4.4122959409285904E-3</v>
      </c>
      <c r="U163" s="117">
        <f t="shared" si="57"/>
        <v>8.8245918820000001E-4</v>
      </c>
      <c r="V163" s="31">
        <f>IF(I163="SI",VLOOKUP(A163,COEF_FCM!$A$8:$X$354,24,0),0)</f>
        <v>3730562</v>
      </c>
      <c r="W163" s="121">
        <f t="shared" si="58"/>
        <v>95.8</v>
      </c>
      <c r="X163" s="31">
        <f>IF(AND(W163&gt;0,W163&lt;$W$7),ROUND(($W$7-W163)*L163,PARAMETROS!$L$8),0)</f>
        <v>430687</v>
      </c>
      <c r="Y163" s="122">
        <f t="shared" si="59"/>
        <v>1.5872526008E-3</v>
      </c>
      <c r="Z163" s="117">
        <f t="shared" si="60"/>
        <v>3.1745052019999998E-4</v>
      </c>
      <c r="AA163" s="96">
        <f t="shared" si="61"/>
        <v>3.2890975764500001E-3</v>
      </c>
      <c r="AB163" s="31">
        <f>ROUND(AA163*PARAMETROS!$H$24,0)</f>
        <v>564466703</v>
      </c>
      <c r="AC163" s="31">
        <f t="shared" si="62"/>
        <v>564466703</v>
      </c>
      <c r="AD163" s="31">
        <f t="shared" si="63"/>
        <v>141116676</v>
      </c>
      <c r="AE163" s="31">
        <f t="shared" si="65"/>
        <v>141116676</v>
      </c>
      <c r="AF163" s="31">
        <f t="shared" si="65"/>
        <v>141116676</v>
      </c>
      <c r="AG163" s="31">
        <f t="shared" si="64"/>
        <v>141116675</v>
      </c>
    </row>
    <row r="164" spans="1:33" ht="3" customHeight="1" x14ac:dyDescent="0.25">
      <c r="A164">
        <v>8203</v>
      </c>
      <c r="B164">
        <v>8305</v>
      </c>
      <c r="C164" t="s">
        <v>195</v>
      </c>
      <c r="D164" s="31">
        <f>+DATA!O160</f>
        <v>1545931</v>
      </c>
      <c r="E164" s="31">
        <f>+DATA!T160</f>
        <v>9593301.7449999992</v>
      </c>
      <c r="F164" s="38">
        <f t="shared" si="46"/>
        <v>11139232.744999999</v>
      </c>
      <c r="G164" s="112">
        <f t="shared" si="47"/>
        <v>0.623</v>
      </c>
      <c r="H164" s="95">
        <f t="shared" si="48"/>
        <v>0.86119999999999997</v>
      </c>
      <c r="I164" s="6" t="str">
        <f t="shared" si="49"/>
        <v>SI</v>
      </c>
      <c r="J164" s="117">
        <f t="shared" si="50"/>
        <v>3.3112582781000001E-3</v>
      </c>
      <c r="K164" s="117">
        <f t="shared" si="51"/>
        <v>1.6556291390500001E-3</v>
      </c>
      <c r="L164" s="31">
        <f>IF(I164="SI",VLOOKUP(A164,DATA!$A$4:$D$350,4,0),0)</f>
        <v>37443</v>
      </c>
      <c r="M164" s="95">
        <f>IF(I164="SI",VLOOKUP(A164,DATA!$A$4:$E$350,5,0),0)</f>
        <v>0.13273246367003461</v>
      </c>
      <c r="N164" s="31">
        <f t="shared" si="52"/>
        <v>4970</v>
      </c>
      <c r="O164" s="117">
        <f t="shared" si="53"/>
        <v>6.0172769703000003E-3</v>
      </c>
      <c r="P164" s="117">
        <f t="shared" si="54"/>
        <v>6.0172769699999996E-4</v>
      </c>
      <c r="Q164" s="31">
        <f>IF(I164="SI",VLOOKUP(A164,DATA!$A$4:$G$350,7,0),0)</f>
        <v>14054</v>
      </c>
      <c r="R164" s="31">
        <f>IF(I164="SI",VLOOKUP(A164,DATA!$A$4:$H$350,8,0),0)</f>
        <v>16263</v>
      </c>
      <c r="S164" s="117">
        <f t="shared" si="55"/>
        <v>3.5443457397E-3</v>
      </c>
      <c r="T164" s="117">
        <f t="shared" si="56"/>
        <v>4.636948795158637E-3</v>
      </c>
      <c r="U164" s="117">
        <f t="shared" si="57"/>
        <v>9.2738975900000004E-4</v>
      </c>
      <c r="V164" s="31">
        <f>IF(I164="SI",VLOOKUP(A164,COEF_FCM!$A$8:$X$354,24,0),0)</f>
        <v>1545931</v>
      </c>
      <c r="W164" s="121">
        <f t="shared" si="58"/>
        <v>41.29</v>
      </c>
      <c r="X164" s="31">
        <f>IF(AND(W164&gt;0,W164&lt;$W$7),ROUND(($W$7-W164)*L164,PARAMETROS!$L$8),0)</f>
        <v>2455138</v>
      </c>
      <c r="Y164" s="122">
        <f t="shared" si="59"/>
        <v>9.0481583511000004E-3</v>
      </c>
      <c r="Z164" s="117">
        <f t="shared" si="60"/>
        <v>1.8096316702E-3</v>
      </c>
      <c r="AA164" s="96">
        <f t="shared" si="61"/>
        <v>4.9943782652499998E-3</v>
      </c>
      <c r="AB164" s="31">
        <f>ROUND(AA164*PARAMETROS!$H$24,0)</f>
        <v>857122712</v>
      </c>
      <c r="AC164" s="31">
        <f t="shared" si="62"/>
        <v>857122712</v>
      </c>
      <c r="AD164" s="31">
        <f t="shared" si="63"/>
        <v>214280678</v>
      </c>
      <c r="AE164" s="31">
        <f t="shared" si="65"/>
        <v>214280678</v>
      </c>
      <c r="AF164" s="31">
        <f t="shared" si="65"/>
        <v>214280678</v>
      </c>
      <c r="AG164" s="31">
        <f t="shared" si="64"/>
        <v>214280678</v>
      </c>
    </row>
    <row r="165" spans="1:33" ht="3" customHeight="1" x14ac:dyDescent="0.25">
      <c r="A165">
        <v>8204</v>
      </c>
      <c r="B165">
        <v>8306</v>
      </c>
      <c r="C165" t="s">
        <v>196</v>
      </c>
      <c r="D165" s="31">
        <f>+DATA!O161</f>
        <v>382166</v>
      </c>
      <c r="E165" s="31">
        <f>+DATA!T161</f>
        <v>4584336.9460000005</v>
      </c>
      <c r="F165" s="38">
        <f t="shared" si="46"/>
        <v>4966502.9460000005</v>
      </c>
      <c r="G165" s="112">
        <f t="shared" si="47"/>
        <v>0.27200000000000002</v>
      </c>
      <c r="H165" s="95">
        <f t="shared" si="48"/>
        <v>0.92310000000000003</v>
      </c>
      <c r="I165" s="6" t="str">
        <f t="shared" si="49"/>
        <v>SI</v>
      </c>
      <c r="J165" s="117">
        <f t="shared" si="50"/>
        <v>3.3112582781000001E-3</v>
      </c>
      <c r="K165" s="117">
        <f t="shared" si="51"/>
        <v>1.6556291390500001E-3</v>
      </c>
      <c r="L165" s="31">
        <f>IF(I165="SI",VLOOKUP(A165,DATA!$A$4:$D$350,4,0),0)</f>
        <v>6355</v>
      </c>
      <c r="M165" s="95">
        <f>IF(I165="SI",VLOOKUP(A165,DATA!$A$4:$E$350,5,0),0)</f>
        <v>0.12293709623046969</v>
      </c>
      <c r="N165" s="31">
        <f t="shared" si="52"/>
        <v>781</v>
      </c>
      <c r="O165" s="117">
        <f t="shared" si="53"/>
        <v>9.4557209529999998E-4</v>
      </c>
      <c r="P165" s="117">
        <f t="shared" si="54"/>
        <v>9.4557209499999999E-5</v>
      </c>
      <c r="Q165" s="31">
        <f>IF(I165="SI",VLOOKUP(A165,DATA!$A$4:$G$350,7,0),0)</f>
        <v>3540</v>
      </c>
      <c r="R165" s="31">
        <f>IF(I165="SI",VLOOKUP(A165,DATA!$A$4:$H$350,8,0),0)</f>
        <v>4666</v>
      </c>
      <c r="S165" s="117">
        <f t="shared" si="55"/>
        <v>7.8378804060000003E-4</v>
      </c>
      <c r="T165" s="117">
        <f t="shared" si="56"/>
        <v>1.0254036365051509E-3</v>
      </c>
      <c r="U165" s="117">
        <f t="shared" si="57"/>
        <v>2.0508072729999999E-4</v>
      </c>
      <c r="V165" s="31">
        <f>IF(I165="SI",VLOOKUP(A165,COEF_FCM!$A$8:$X$354,24,0),0)</f>
        <v>382166</v>
      </c>
      <c r="W165" s="121">
        <f t="shared" si="58"/>
        <v>60.14</v>
      </c>
      <c r="X165" s="31">
        <f>IF(AND(W165&gt;0,W165&lt;$W$7),ROUND(($W$7-W165)*L165,PARAMETROS!$L$8),0)</f>
        <v>296906</v>
      </c>
      <c r="Y165" s="122">
        <f t="shared" si="59"/>
        <v>1.0942164975999999E-3</v>
      </c>
      <c r="Z165" s="117">
        <f t="shared" si="60"/>
        <v>2.188432995E-4</v>
      </c>
      <c r="AA165" s="96">
        <f t="shared" si="61"/>
        <v>2.1741103753500001E-3</v>
      </c>
      <c r="AB165" s="31">
        <f>ROUND(AA165*PARAMETROS!$H$24,0)</f>
        <v>373115387</v>
      </c>
      <c r="AC165" s="31">
        <f t="shared" si="62"/>
        <v>373115387</v>
      </c>
      <c r="AD165" s="31">
        <f t="shared" si="63"/>
        <v>93278847</v>
      </c>
      <c r="AE165" s="31">
        <f t="shared" si="65"/>
        <v>93278847</v>
      </c>
      <c r="AF165" s="31">
        <f t="shared" si="65"/>
        <v>93278847</v>
      </c>
      <c r="AG165" s="31">
        <f t="shared" si="64"/>
        <v>93278846</v>
      </c>
    </row>
    <row r="166" spans="1:33" ht="3" customHeight="1" x14ac:dyDescent="0.25">
      <c r="A166">
        <v>8205</v>
      </c>
      <c r="B166">
        <v>8302</v>
      </c>
      <c r="C166" t="s">
        <v>193</v>
      </c>
      <c r="D166" s="31">
        <f>+DATA!O162</f>
        <v>2136173</v>
      </c>
      <c r="E166" s="31">
        <f>+DATA!T162</f>
        <v>7482860.4720000001</v>
      </c>
      <c r="F166" s="38">
        <f t="shared" si="46"/>
        <v>9619033.4719999991</v>
      </c>
      <c r="G166" s="112">
        <f t="shared" si="47"/>
        <v>0.57899999999999996</v>
      </c>
      <c r="H166" s="95">
        <f t="shared" si="48"/>
        <v>0.77790000000000004</v>
      </c>
      <c r="I166" s="6" t="str">
        <f t="shared" si="49"/>
        <v>SI</v>
      </c>
      <c r="J166" s="117">
        <f t="shared" si="50"/>
        <v>3.3112582781000001E-3</v>
      </c>
      <c r="K166" s="117">
        <f t="shared" si="51"/>
        <v>1.6556291390500001E-3</v>
      </c>
      <c r="L166" s="31">
        <f>IF(I166="SI",VLOOKUP(A166,DATA!$A$4:$D$350,4,0),0)</f>
        <v>33942</v>
      </c>
      <c r="M166" s="95">
        <f>IF(I166="SI",VLOOKUP(A166,DATA!$A$4:$E$350,5,0),0)</f>
        <v>8.4836935618028492E-2</v>
      </c>
      <c r="N166" s="31">
        <f t="shared" si="52"/>
        <v>2880</v>
      </c>
      <c r="O166" s="117">
        <f t="shared" si="53"/>
        <v>3.4868727715E-3</v>
      </c>
      <c r="P166" s="117">
        <f t="shared" si="54"/>
        <v>3.4868727720000002E-4</v>
      </c>
      <c r="Q166" s="31">
        <f>IF(I166="SI",VLOOKUP(A166,DATA!$A$4:$G$350,7,0),0)</f>
        <v>10083</v>
      </c>
      <c r="R166" s="31">
        <f>IF(I166="SI",VLOOKUP(A166,DATA!$A$4:$H$350,8,0),0)</f>
        <v>10961</v>
      </c>
      <c r="S166" s="117">
        <f t="shared" si="55"/>
        <v>2.7068625250000001E-3</v>
      </c>
      <c r="T166" s="117">
        <f t="shared" si="56"/>
        <v>3.5412975611744933E-3</v>
      </c>
      <c r="U166" s="117">
        <f t="shared" si="57"/>
        <v>7.0825951220000001E-4</v>
      </c>
      <c r="V166" s="31">
        <f>IF(I166="SI",VLOOKUP(A166,COEF_FCM!$A$8:$X$354,24,0),0)</f>
        <v>2136173</v>
      </c>
      <c r="W166" s="121">
        <f t="shared" si="58"/>
        <v>62.94</v>
      </c>
      <c r="X166" s="31">
        <f>IF(AND(W166&gt;0,W166&lt;$W$7),ROUND(($W$7-W166)*L166,PARAMETROS!$L$8),0)</f>
        <v>1490733</v>
      </c>
      <c r="Y166" s="122">
        <f t="shared" si="59"/>
        <v>5.4939430056999998E-3</v>
      </c>
      <c r="Z166" s="117">
        <f t="shared" si="60"/>
        <v>1.0987886010999999E-3</v>
      </c>
      <c r="AA166" s="96">
        <f t="shared" si="61"/>
        <v>3.81136452955E-3</v>
      </c>
      <c r="AB166" s="31">
        <f>ROUND(AA166*PARAMETROS!$H$24,0)</f>
        <v>654096852</v>
      </c>
      <c r="AC166" s="31">
        <f t="shared" si="62"/>
        <v>654096852</v>
      </c>
      <c r="AD166" s="31">
        <f t="shared" si="63"/>
        <v>163524213</v>
      </c>
      <c r="AE166" s="31">
        <f t="shared" si="65"/>
        <v>163524213</v>
      </c>
      <c r="AF166" s="31">
        <f t="shared" si="65"/>
        <v>163524213</v>
      </c>
      <c r="AG166" s="31">
        <f t="shared" si="64"/>
        <v>163524213</v>
      </c>
    </row>
    <row r="167" spans="1:33" ht="3" customHeight="1" x14ac:dyDescent="0.25">
      <c r="A167">
        <v>8206</v>
      </c>
      <c r="B167">
        <v>8304</v>
      </c>
      <c r="C167" t="s">
        <v>30</v>
      </c>
      <c r="D167" s="31">
        <f>+DATA!O163</f>
        <v>1095892</v>
      </c>
      <c r="E167" s="31">
        <f>+DATA!T163</f>
        <v>5379666.6890000002</v>
      </c>
      <c r="F167" s="38">
        <f t="shared" si="46"/>
        <v>6475558.6890000002</v>
      </c>
      <c r="G167" s="112">
        <f t="shared" si="47"/>
        <v>0.443</v>
      </c>
      <c r="H167" s="95">
        <f t="shared" si="48"/>
        <v>0.83079999999999998</v>
      </c>
      <c r="I167" s="6" t="str">
        <f t="shared" si="49"/>
        <v>SI</v>
      </c>
      <c r="J167" s="117">
        <f t="shared" si="50"/>
        <v>3.3112582781000001E-3</v>
      </c>
      <c r="K167" s="117">
        <f t="shared" si="51"/>
        <v>1.6556291390500001E-3</v>
      </c>
      <c r="L167" s="31">
        <f>IF(I167="SI",VLOOKUP(A167,DATA!$A$4:$D$350,4,0),0)</f>
        <v>22953</v>
      </c>
      <c r="M167" s="95">
        <f>IF(I167="SI",VLOOKUP(A167,DATA!$A$4:$E$350,5,0),0)</f>
        <v>0.1110636110482628</v>
      </c>
      <c r="N167" s="31">
        <f t="shared" si="52"/>
        <v>2549</v>
      </c>
      <c r="O167" s="117">
        <f t="shared" si="53"/>
        <v>3.0861245466999999E-3</v>
      </c>
      <c r="P167" s="117">
        <f t="shared" si="54"/>
        <v>3.0861245469999998E-4</v>
      </c>
      <c r="Q167" s="31">
        <f>IF(I167="SI",VLOOKUP(A167,DATA!$A$4:$G$350,7,0),0)</f>
        <v>7832</v>
      </c>
      <c r="R167" s="31">
        <f>IF(I167="SI",VLOOKUP(A167,DATA!$A$4:$H$350,8,0),0)</f>
        <v>9362</v>
      </c>
      <c r="S167" s="117">
        <f t="shared" si="55"/>
        <v>1.9121130420999999E-3</v>
      </c>
      <c r="T167" s="117">
        <f t="shared" si="56"/>
        <v>2.5015534369181424E-3</v>
      </c>
      <c r="U167" s="117">
        <f t="shared" si="57"/>
        <v>5.003106874E-4</v>
      </c>
      <c r="V167" s="31">
        <f>IF(I167="SI",VLOOKUP(A167,COEF_FCM!$A$8:$X$354,24,0),0)</f>
        <v>1095892</v>
      </c>
      <c r="W167" s="121">
        <f t="shared" si="58"/>
        <v>47.75</v>
      </c>
      <c r="X167" s="31">
        <f>IF(AND(W167&gt;0,W167&lt;$W$7),ROUND(($W$7-W167)*L167,PARAMETROS!$L$8),0)</f>
        <v>1356752</v>
      </c>
      <c r="Y167" s="122">
        <f t="shared" si="59"/>
        <v>5.0001698231000001E-3</v>
      </c>
      <c r="Z167" s="117">
        <f t="shared" si="60"/>
        <v>1.0000339645999999E-3</v>
      </c>
      <c r="AA167" s="96">
        <f t="shared" si="61"/>
        <v>3.4645862457499997E-3</v>
      </c>
      <c r="AB167" s="31">
        <f>ROUND(AA167*PARAMETROS!$H$24,0)</f>
        <v>594583630</v>
      </c>
      <c r="AC167" s="31">
        <f t="shared" si="62"/>
        <v>594583630</v>
      </c>
      <c r="AD167" s="31">
        <f t="shared" si="63"/>
        <v>148645908</v>
      </c>
      <c r="AE167" s="31">
        <f t="shared" si="65"/>
        <v>148645908</v>
      </c>
      <c r="AF167" s="31">
        <f t="shared" si="65"/>
        <v>148645908</v>
      </c>
      <c r="AG167" s="31">
        <f t="shared" si="64"/>
        <v>148645906</v>
      </c>
    </row>
    <row r="168" spans="1:33" ht="3" customHeight="1" x14ac:dyDescent="0.25">
      <c r="A168">
        <v>8207</v>
      </c>
      <c r="B168">
        <v>8307</v>
      </c>
      <c r="C168" t="s">
        <v>31</v>
      </c>
      <c r="D168" s="31">
        <f>+DATA!O164</f>
        <v>524180</v>
      </c>
      <c r="E168" s="31">
        <f>+DATA!T164</f>
        <v>4799012.7539999997</v>
      </c>
      <c r="F168" s="38">
        <f t="shared" si="46"/>
        <v>5323192.7539999997</v>
      </c>
      <c r="G168" s="112">
        <f t="shared" si="47"/>
        <v>0.32400000000000001</v>
      </c>
      <c r="H168" s="95">
        <f t="shared" si="48"/>
        <v>0.90149999999999997</v>
      </c>
      <c r="I168" s="6" t="str">
        <f t="shared" si="49"/>
        <v>SI</v>
      </c>
      <c r="J168" s="117">
        <f t="shared" si="50"/>
        <v>3.3112582781000001E-3</v>
      </c>
      <c r="K168" s="117">
        <f t="shared" si="51"/>
        <v>1.6556291390500001E-3</v>
      </c>
      <c r="L168" s="31">
        <f>IF(I168="SI",VLOOKUP(A168,DATA!$A$4:$D$350,4,0),0)</f>
        <v>11105</v>
      </c>
      <c r="M168" s="95">
        <f>IF(I168="SI",VLOOKUP(A168,DATA!$A$4:$E$350,5,0),0)</f>
        <v>0.20081242989444059</v>
      </c>
      <c r="N168" s="31">
        <f t="shared" si="52"/>
        <v>2230</v>
      </c>
      <c r="O168" s="117">
        <f t="shared" si="53"/>
        <v>2.6999049584999998E-3</v>
      </c>
      <c r="P168" s="117">
        <f t="shared" si="54"/>
        <v>2.699904959E-4</v>
      </c>
      <c r="Q168" s="31">
        <f>IF(I168="SI",VLOOKUP(A168,DATA!$A$4:$G$350,7,0),0)</f>
        <v>4797</v>
      </c>
      <c r="R168" s="31">
        <f>IF(I168="SI",VLOOKUP(A168,DATA!$A$4:$H$350,8,0),0)</f>
        <v>5401</v>
      </c>
      <c r="S168" s="117">
        <f t="shared" si="55"/>
        <v>1.2433749188000001E-3</v>
      </c>
      <c r="T168" s="117">
        <f t="shared" si="56"/>
        <v>1.626665753027843E-3</v>
      </c>
      <c r="U168" s="117">
        <f t="shared" si="57"/>
        <v>3.253331506E-4</v>
      </c>
      <c r="V168" s="31">
        <f>IF(I168="SI",VLOOKUP(A168,COEF_FCM!$A$8:$X$354,24,0),0)</f>
        <v>524180</v>
      </c>
      <c r="W168" s="121">
        <f t="shared" si="58"/>
        <v>47.2</v>
      </c>
      <c r="X168" s="31">
        <f>IF(AND(W168&gt;0,W168&lt;$W$7),ROUND(($W$7-W168)*L168,PARAMETROS!$L$8),0)</f>
        <v>662524</v>
      </c>
      <c r="Y168" s="122">
        <f t="shared" si="59"/>
        <v>2.4416639974999999E-3</v>
      </c>
      <c r="Z168" s="117">
        <f t="shared" si="60"/>
        <v>4.8833279950000002E-4</v>
      </c>
      <c r="AA168" s="96">
        <f t="shared" si="61"/>
        <v>2.7392855850499999E-3</v>
      </c>
      <c r="AB168" s="31">
        <f>ROUND(AA168*PARAMETROS!$H$24,0)</f>
        <v>470109344</v>
      </c>
      <c r="AC168" s="31">
        <f t="shared" si="62"/>
        <v>470109344</v>
      </c>
      <c r="AD168" s="31">
        <f t="shared" si="63"/>
        <v>117527336</v>
      </c>
      <c r="AE168" s="31">
        <f t="shared" si="65"/>
        <v>117527336</v>
      </c>
      <c r="AF168" s="31">
        <f t="shared" si="65"/>
        <v>117527336</v>
      </c>
      <c r="AG168" s="31">
        <f t="shared" si="64"/>
        <v>117527336</v>
      </c>
    </row>
    <row r="169" spans="1:33" ht="3" customHeight="1" x14ac:dyDescent="0.25">
      <c r="A169">
        <v>8301</v>
      </c>
      <c r="B169">
        <v>8401</v>
      </c>
      <c r="C169" t="s">
        <v>32</v>
      </c>
      <c r="D169" s="31">
        <f>+DATA!O165</f>
        <v>23319793</v>
      </c>
      <c r="E169" s="31">
        <f>+DATA!T165</f>
        <v>27293486.070999999</v>
      </c>
      <c r="F169" s="38">
        <f t="shared" si="46"/>
        <v>50613279.070999995</v>
      </c>
      <c r="G169" s="112">
        <f t="shared" si="47"/>
        <v>0.92400000000000004</v>
      </c>
      <c r="H169" s="95">
        <f t="shared" si="48"/>
        <v>0.5393</v>
      </c>
      <c r="I169" s="6" t="str">
        <f t="shared" si="49"/>
        <v>SI</v>
      </c>
      <c r="J169" s="117">
        <f t="shared" si="50"/>
        <v>3.3112582781000001E-3</v>
      </c>
      <c r="K169" s="117">
        <f t="shared" si="51"/>
        <v>1.6556291390500001E-3</v>
      </c>
      <c r="L169" s="31">
        <f>IF(I169="SI",VLOOKUP(A169,DATA!$A$4:$D$350,4,0),0)</f>
        <v>223751</v>
      </c>
      <c r="M169" s="95">
        <f>IF(I169="SI",VLOOKUP(A169,DATA!$A$4:$E$350,5,0),0)</f>
        <v>8.4530322242590508E-2</v>
      </c>
      <c r="N169" s="31">
        <f t="shared" si="52"/>
        <v>18914</v>
      </c>
      <c r="O169" s="117">
        <f t="shared" si="53"/>
        <v>2.2899552639099999E-2</v>
      </c>
      <c r="P169" s="117">
        <f t="shared" si="54"/>
        <v>2.2899552639000001E-3</v>
      </c>
      <c r="Q169" s="31">
        <f>IF(I169="SI",VLOOKUP(A169,DATA!$A$4:$G$350,7,0),0)</f>
        <v>73464</v>
      </c>
      <c r="R169" s="31">
        <f>IF(I169="SI",VLOOKUP(A169,DATA!$A$4:$H$350,8,0),0)</f>
        <v>101252</v>
      </c>
      <c r="S169" s="117">
        <f t="shared" si="55"/>
        <v>1.55554426883E-2</v>
      </c>
      <c r="T169" s="117">
        <f t="shared" si="56"/>
        <v>2.0350664559540713E-2</v>
      </c>
      <c r="U169" s="117">
        <f t="shared" si="57"/>
        <v>4.0701329118999997E-3</v>
      </c>
      <c r="V169" s="31">
        <f>IF(I169="SI",VLOOKUP(A169,COEF_FCM!$A$8:$X$354,24,0),0)</f>
        <v>23319793</v>
      </c>
      <c r="W169" s="121">
        <f t="shared" si="58"/>
        <v>104.22</v>
      </c>
      <c r="X169" s="31">
        <f>IF(AND(W169&gt;0,W169&lt;$W$7),ROUND(($W$7-W169)*L169,PARAMETROS!$L$8),0)</f>
        <v>590703</v>
      </c>
      <c r="Y169" s="122">
        <f t="shared" si="59"/>
        <v>2.1769750956999998E-3</v>
      </c>
      <c r="Z169" s="117">
        <f t="shared" si="60"/>
        <v>4.353950191E-4</v>
      </c>
      <c r="AA169" s="96">
        <f t="shared" si="61"/>
        <v>8.4511123339499981E-3</v>
      </c>
      <c r="AB169" s="31">
        <f>ROUND(AA169*PARAMETROS!$H$24,0)</f>
        <v>1450358771</v>
      </c>
      <c r="AC169" s="31">
        <f t="shared" si="62"/>
        <v>1450358771</v>
      </c>
      <c r="AD169" s="31">
        <f t="shared" si="63"/>
        <v>362589693</v>
      </c>
      <c r="AE169" s="31">
        <f t="shared" ref="AE169:AF188" si="66">+AD169</f>
        <v>362589693</v>
      </c>
      <c r="AF169" s="31">
        <f t="shared" si="66"/>
        <v>362589693</v>
      </c>
      <c r="AG169" s="31">
        <f t="shared" si="64"/>
        <v>362589692</v>
      </c>
    </row>
    <row r="170" spans="1:33" ht="3" customHeight="1" x14ac:dyDescent="0.25">
      <c r="A170">
        <v>8302</v>
      </c>
      <c r="B170">
        <v>8413</v>
      </c>
      <c r="C170" t="s">
        <v>206</v>
      </c>
      <c r="D170" s="31">
        <f>+DATA!O166</f>
        <v>612549</v>
      </c>
      <c r="E170" s="31">
        <f>+DATA!T166</f>
        <v>4519326.0999999996</v>
      </c>
      <c r="F170" s="38">
        <f t="shared" si="46"/>
        <v>5131875.0999999996</v>
      </c>
      <c r="G170" s="112">
        <f t="shared" si="47"/>
        <v>0.30099999999999999</v>
      </c>
      <c r="H170" s="95">
        <f t="shared" si="48"/>
        <v>0.88060000000000005</v>
      </c>
      <c r="I170" s="6" t="str">
        <f t="shared" si="49"/>
        <v>SI</v>
      </c>
      <c r="J170" s="117">
        <f t="shared" si="50"/>
        <v>3.3112582781000001E-3</v>
      </c>
      <c r="K170" s="117">
        <f t="shared" si="51"/>
        <v>1.6556291390500001E-3</v>
      </c>
      <c r="L170" s="31">
        <f>IF(I170="SI",VLOOKUP(A170,DATA!$A$4:$D$350,4,0),0)</f>
        <v>4325</v>
      </c>
      <c r="M170" s="95">
        <f>IF(I170="SI",VLOOKUP(A170,DATA!$A$4:$E$350,5,0),0)</f>
        <v>0.14451539562312429</v>
      </c>
      <c r="N170" s="31">
        <f t="shared" si="52"/>
        <v>625</v>
      </c>
      <c r="O170" s="117">
        <f t="shared" si="53"/>
        <v>7.5669982020000004E-4</v>
      </c>
      <c r="P170" s="117">
        <f t="shared" si="54"/>
        <v>7.5669982000000003E-5</v>
      </c>
      <c r="Q170" s="31">
        <f>IF(I170="SI",VLOOKUP(A170,DATA!$A$4:$G$350,7,0),0)</f>
        <v>2581</v>
      </c>
      <c r="R170" s="31">
        <f>IF(I170="SI",VLOOKUP(A170,DATA!$A$4:$H$350,8,0),0)</f>
        <v>3604</v>
      </c>
      <c r="S170" s="117">
        <f t="shared" si="55"/>
        <v>5.3942127309999997E-4</v>
      </c>
      <c r="T170" s="117">
        <f t="shared" si="56"/>
        <v>7.0570678090667728E-4</v>
      </c>
      <c r="U170" s="117">
        <f t="shared" si="57"/>
        <v>1.4114135620000001E-4</v>
      </c>
      <c r="V170" s="31">
        <f>IF(I170="SI",VLOOKUP(A170,COEF_FCM!$A$8:$X$354,24,0),0)</f>
        <v>612549</v>
      </c>
      <c r="W170" s="121">
        <f t="shared" si="58"/>
        <v>141.63</v>
      </c>
      <c r="X170" s="31">
        <f>IF(AND(W170&gt;0,W170&lt;$W$7),ROUND(($W$7-W170)*L170,PARAMETROS!$L$8),0)</f>
        <v>0</v>
      </c>
      <c r="Y170" s="122">
        <f t="shared" si="59"/>
        <v>0</v>
      </c>
      <c r="Z170" s="117">
        <f t="shared" si="60"/>
        <v>0</v>
      </c>
      <c r="AA170" s="96">
        <f t="shared" si="61"/>
        <v>1.8724404772500001E-3</v>
      </c>
      <c r="AB170" s="31">
        <f>ROUND(AA170*PARAMETROS!$H$24,0)</f>
        <v>321343554</v>
      </c>
      <c r="AC170" s="31">
        <f t="shared" si="62"/>
        <v>321343554</v>
      </c>
      <c r="AD170" s="31">
        <f t="shared" si="63"/>
        <v>80335889</v>
      </c>
      <c r="AE170" s="31">
        <f t="shared" si="66"/>
        <v>80335889</v>
      </c>
      <c r="AF170" s="31">
        <f t="shared" si="66"/>
        <v>80335889</v>
      </c>
      <c r="AG170" s="31">
        <f t="shared" si="64"/>
        <v>80335887</v>
      </c>
    </row>
    <row r="171" spans="1:33" ht="3" customHeight="1" x14ac:dyDescent="0.25">
      <c r="A171">
        <v>8303</v>
      </c>
      <c r="B171">
        <v>8410</v>
      </c>
      <c r="C171" t="s">
        <v>203</v>
      </c>
      <c r="D171" s="31">
        <f>+DATA!O167</f>
        <v>2862167</v>
      </c>
      <c r="E171" s="31">
        <f>+DATA!T167</f>
        <v>9903470.9649999999</v>
      </c>
      <c r="F171" s="38">
        <f t="shared" si="46"/>
        <v>12765637.965</v>
      </c>
      <c r="G171" s="112">
        <f t="shared" si="47"/>
        <v>0.66300000000000003</v>
      </c>
      <c r="H171" s="95">
        <f t="shared" si="48"/>
        <v>0.77580000000000005</v>
      </c>
      <c r="I171" s="6" t="str">
        <f t="shared" si="49"/>
        <v>SI</v>
      </c>
      <c r="J171" s="117">
        <f t="shared" si="50"/>
        <v>3.3112582781000001E-3</v>
      </c>
      <c r="K171" s="117">
        <f t="shared" si="51"/>
        <v>1.6556291390500001E-3</v>
      </c>
      <c r="L171" s="31">
        <f>IF(I171="SI",VLOOKUP(A171,DATA!$A$4:$D$350,4,0),0)</f>
        <v>31102</v>
      </c>
      <c r="M171" s="95">
        <f>IF(I171="SI",VLOOKUP(A171,DATA!$A$4:$E$350,5,0),0)</f>
        <v>0.1035195465766158</v>
      </c>
      <c r="N171" s="31">
        <f t="shared" si="52"/>
        <v>3220</v>
      </c>
      <c r="O171" s="117">
        <f t="shared" si="53"/>
        <v>3.8985174737E-3</v>
      </c>
      <c r="P171" s="117">
        <f t="shared" si="54"/>
        <v>3.8985174739999999E-4</v>
      </c>
      <c r="Q171" s="31">
        <f>IF(I171="SI",VLOOKUP(A171,DATA!$A$4:$G$350,7,0),0)</f>
        <v>12463</v>
      </c>
      <c r="R171" s="31">
        <f>IF(I171="SI",VLOOKUP(A171,DATA!$A$4:$H$350,8,0),0)</f>
        <v>16348</v>
      </c>
      <c r="S171" s="117">
        <f t="shared" si="55"/>
        <v>2.7727927124000002E-3</v>
      </c>
      <c r="T171" s="117">
        <f t="shared" si="56"/>
        <v>3.6275518166791749E-3</v>
      </c>
      <c r="U171" s="117">
        <f t="shared" si="57"/>
        <v>7.2551036329999996E-4</v>
      </c>
      <c r="V171" s="31">
        <f>IF(I171="SI",VLOOKUP(A171,COEF_FCM!$A$8:$X$354,24,0),0)</f>
        <v>2862167</v>
      </c>
      <c r="W171" s="121">
        <f t="shared" si="58"/>
        <v>92.03</v>
      </c>
      <c r="X171" s="31">
        <f>IF(AND(W171&gt;0,W171&lt;$W$7),ROUND(($W$7-W171)*L171,PARAMETROS!$L$8),0)</f>
        <v>461243</v>
      </c>
      <c r="Y171" s="122">
        <f t="shared" si="59"/>
        <v>1.6998635930999999E-3</v>
      </c>
      <c r="Z171" s="117">
        <f t="shared" si="60"/>
        <v>3.399727186E-4</v>
      </c>
      <c r="AA171" s="96">
        <f t="shared" si="61"/>
        <v>3.1109639683499996E-3</v>
      </c>
      <c r="AB171" s="31">
        <f>ROUND(AA171*PARAMETROS!$H$24,0)</f>
        <v>533895859</v>
      </c>
      <c r="AC171" s="31">
        <f t="shared" si="62"/>
        <v>533895859</v>
      </c>
      <c r="AD171" s="31">
        <f t="shared" si="63"/>
        <v>133473965</v>
      </c>
      <c r="AE171" s="31">
        <f t="shared" si="66"/>
        <v>133473965</v>
      </c>
      <c r="AF171" s="31">
        <f t="shared" si="66"/>
        <v>133473965</v>
      </c>
      <c r="AG171" s="31">
        <f t="shared" si="64"/>
        <v>133473964</v>
      </c>
    </row>
    <row r="172" spans="1:33" ht="3" customHeight="1" x14ac:dyDescent="0.25">
      <c r="A172">
        <v>8304</v>
      </c>
      <c r="B172">
        <v>8403</v>
      </c>
      <c r="C172" t="s">
        <v>197</v>
      </c>
      <c r="D172" s="31">
        <f>+DATA!O168</f>
        <v>2410550</v>
      </c>
      <c r="E172" s="31">
        <f>+DATA!T168</f>
        <v>6186522.2850000001</v>
      </c>
      <c r="F172" s="38">
        <f t="shared" si="46"/>
        <v>8597072.2850000001</v>
      </c>
      <c r="G172" s="112">
        <f t="shared" si="47"/>
        <v>0.53600000000000003</v>
      </c>
      <c r="H172" s="95">
        <f t="shared" si="48"/>
        <v>0.71960000000000002</v>
      </c>
      <c r="I172" s="6" t="str">
        <f t="shared" si="49"/>
        <v>SI</v>
      </c>
      <c r="J172" s="117">
        <f t="shared" si="50"/>
        <v>3.3112582781000001E-3</v>
      </c>
      <c r="K172" s="117">
        <f t="shared" si="51"/>
        <v>1.6556291390500001E-3</v>
      </c>
      <c r="L172" s="31">
        <f>IF(I172="SI",VLOOKUP(A172,DATA!$A$4:$D$350,4,0),0)</f>
        <v>23921</v>
      </c>
      <c r="M172" s="95">
        <f>IF(I172="SI",VLOOKUP(A172,DATA!$A$4:$E$350,5,0),0)</f>
        <v>0.1126259380668065</v>
      </c>
      <c r="N172" s="31">
        <f t="shared" si="52"/>
        <v>2694</v>
      </c>
      <c r="O172" s="117">
        <f t="shared" si="53"/>
        <v>3.2616789049999999E-3</v>
      </c>
      <c r="P172" s="117">
        <f t="shared" si="54"/>
        <v>3.261678905E-4</v>
      </c>
      <c r="Q172" s="31">
        <f>IF(I172="SI",VLOOKUP(A172,DATA!$A$4:$G$350,7,0),0)</f>
        <v>10546</v>
      </c>
      <c r="R172" s="31">
        <f>IF(I172="SI",VLOOKUP(A172,DATA!$A$4:$H$350,8,0),0)</f>
        <v>11912</v>
      </c>
      <c r="S172" s="117">
        <f t="shared" si="55"/>
        <v>2.7247564679999999E-3</v>
      </c>
      <c r="T172" s="117">
        <f t="shared" si="56"/>
        <v>3.5647076073517347E-3</v>
      </c>
      <c r="U172" s="117">
        <f t="shared" si="57"/>
        <v>7.1294152150000001E-4</v>
      </c>
      <c r="V172" s="31">
        <f>IF(I172="SI",VLOOKUP(A172,COEF_FCM!$A$8:$X$354,24,0),0)</f>
        <v>2410550</v>
      </c>
      <c r="W172" s="121">
        <f t="shared" si="58"/>
        <v>100.77</v>
      </c>
      <c r="X172" s="31">
        <f>IF(AND(W172&gt;0,W172&lt;$W$7),ROUND(($W$7-W172)*L172,PARAMETROS!$L$8),0)</f>
        <v>145679</v>
      </c>
      <c r="Y172" s="122">
        <f t="shared" si="59"/>
        <v>5.3688495740000005E-4</v>
      </c>
      <c r="Z172" s="117">
        <f t="shared" si="60"/>
        <v>1.0737699150000001E-4</v>
      </c>
      <c r="AA172" s="96">
        <f t="shared" si="61"/>
        <v>2.8021155425500001E-3</v>
      </c>
      <c r="AB172" s="31">
        <f>ROUND(AA172*PARAMETROS!$H$24,0)</f>
        <v>480892064</v>
      </c>
      <c r="AC172" s="31">
        <f t="shared" si="62"/>
        <v>480892064</v>
      </c>
      <c r="AD172" s="31">
        <f t="shared" si="63"/>
        <v>120223016</v>
      </c>
      <c r="AE172" s="31">
        <f t="shared" si="66"/>
        <v>120223016</v>
      </c>
      <c r="AF172" s="31">
        <f t="shared" si="66"/>
        <v>120223016</v>
      </c>
      <c r="AG172" s="31">
        <f t="shared" si="64"/>
        <v>120223016</v>
      </c>
    </row>
    <row r="173" spans="1:33" ht="3" customHeight="1" x14ac:dyDescent="0.25">
      <c r="A173">
        <v>8305</v>
      </c>
      <c r="B173">
        <v>8407</v>
      </c>
      <c r="C173" t="s">
        <v>398</v>
      </c>
      <c r="D173" s="31">
        <f>+DATA!O169</f>
        <v>2526858</v>
      </c>
      <c r="E173" s="31">
        <f>+DATA!T169</f>
        <v>5440942.4040000001</v>
      </c>
      <c r="F173" s="38">
        <f t="shared" si="46"/>
        <v>7967800.4040000001</v>
      </c>
      <c r="G173" s="112">
        <f t="shared" si="47"/>
        <v>0.49199999999999999</v>
      </c>
      <c r="H173" s="95">
        <f t="shared" si="48"/>
        <v>0.68289999999999995</v>
      </c>
      <c r="I173" s="6" t="str">
        <f t="shared" si="49"/>
        <v>SI</v>
      </c>
      <c r="J173" s="117">
        <f t="shared" si="50"/>
        <v>3.3112582781000001E-3</v>
      </c>
      <c r="K173" s="117">
        <f t="shared" si="51"/>
        <v>1.6556291390500001E-3</v>
      </c>
      <c r="L173" s="31">
        <f>IF(I173="SI",VLOOKUP(A173,DATA!$A$4:$D$350,4,0),0)</f>
        <v>31122</v>
      </c>
      <c r="M173" s="95">
        <f>IF(I173="SI",VLOOKUP(A173,DATA!$A$4:$E$350,5,0),0)</f>
        <v>0.1216238491587788</v>
      </c>
      <c r="N173" s="31">
        <f t="shared" si="52"/>
        <v>3785</v>
      </c>
      <c r="O173" s="117">
        <f t="shared" si="53"/>
        <v>4.5825741111999996E-3</v>
      </c>
      <c r="P173" s="117">
        <f t="shared" si="54"/>
        <v>4.5825741110000002E-4</v>
      </c>
      <c r="Q173" s="31">
        <f>IF(I173="SI",VLOOKUP(A173,DATA!$A$4:$G$350,7,0),0)</f>
        <v>10318</v>
      </c>
      <c r="R173" s="31">
        <f>IF(I173="SI",VLOOKUP(A173,DATA!$A$4:$H$350,8,0),0)</f>
        <v>12946</v>
      </c>
      <c r="S173" s="117">
        <f t="shared" si="55"/>
        <v>2.3998952565E-3</v>
      </c>
      <c r="T173" s="117">
        <f t="shared" si="56"/>
        <v>3.139702567243486E-3</v>
      </c>
      <c r="U173" s="117">
        <f t="shared" si="57"/>
        <v>6.2794051340000004E-4</v>
      </c>
      <c r="V173" s="31">
        <f>IF(I173="SI",VLOOKUP(A173,COEF_FCM!$A$8:$X$354,24,0),0)</f>
        <v>2526858</v>
      </c>
      <c r="W173" s="121">
        <f t="shared" si="58"/>
        <v>81.19</v>
      </c>
      <c r="X173" s="31">
        <f>IF(AND(W173&gt;0,W173&lt;$W$7),ROUND(($W$7-W173)*L173,PARAMETROS!$L$8),0)</f>
        <v>798902</v>
      </c>
      <c r="Y173" s="122">
        <f t="shared" si="59"/>
        <v>2.9442710768E-3</v>
      </c>
      <c r="Z173" s="117">
        <f t="shared" si="60"/>
        <v>5.8885421540000001E-4</v>
      </c>
      <c r="AA173" s="96">
        <f t="shared" si="61"/>
        <v>3.3306812789500001E-3</v>
      </c>
      <c r="AB173" s="31">
        <f>ROUND(AA173*PARAMETROS!$H$24,0)</f>
        <v>571603194</v>
      </c>
      <c r="AC173" s="31">
        <f t="shared" si="62"/>
        <v>571603194</v>
      </c>
      <c r="AD173" s="31">
        <f t="shared" si="63"/>
        <v>142900799</v>
      </c>
      <c r="AE173" s="31">
        <f t="shared" si="66"/>
        <v>142900799</v>
      </c>
      <c r="AF173" s="31">
        <f t="shared" si="66"/>
        <v>142900799</v>
      </c>
      <c r="AG173" s="31">
        <f t="shared" si="64"/>
        <v>142900797</v>
      </c>
    </row>
    <row r="174" spans="1:33" ht="3" customHeight="1" x14ac:dyDescent="0.25">
      <c r="A174">
        <v>8306</v>
      </c>
      <c r="B174">
        <v>8405</v>
      </c>
      <c r="C174" t="s">
        <v>199</v>
      </c>
      <c r="D174" s="31">
        <f>+DATA!O170</f>
        <v>2880602</v>
      </c>
      <c r="E174" s="31">
        <f>+DATA!T170</f>
        <v>5340493.1629999997</v>
      </c>
      <c r="F174" s="38">
        <f t="shared" si="46"/>
        <v>8221095.1629999997</v>
      </c>
      <c r="G174" s="112">
        <f t="shared" si="47"/>
        <v>0.52100000000000002</v>
      </c>
      <c r="H174" s="95">
        <f t="shared" si="48"/>
        <v>0.64959999999999996</v>
      </c>
      <c r="I174" s="6" t="str">
        <f t="shared" si="49"/>
        <v>SI</v>
      </c>
      <c r="J174" s="117">
        <f t="shared" si="50"/>
        <v>3.3112582781000001E-3</v>
      </c>
      <c r="K174" s="117">
        <f t="shared" si="51"/>
        <v>1.6556291390500001E-3</v>
      </c>
      <c r="L174" s="31">
        <f>IF(I174="SI",VLOOKUP(A174,DATA!$A$4:$D$350,4,0),0)</f>
        <v>28028</v>
      </c>
      <c r="M174" s="95">
        <f>IF(I174="SI",VLOOKUP(A174,DATA!$A$4:$E$350,5,0),0)</f>
        <v>0.109726027871444</v>
      </c>
      <c r="N174" s="31">
        <f t="shared" si="52"/>
        <v>3075</v>
      </c>
      <c r="O174" s="117">
        <f t="shared" si="53"/>
        <v>3.7229631154E-3</v>
      </c>
      <c r="P174" s="117">
        <f t="shared" si="54"/>
        <v>3.7229631149999999E-4</v>
      </c>
      <c r="Q174" s="31">
        <f>IF(I174="SI",VLOOKUP(A174,DATA!$A$4:$G$350,7,0),0)</f>
        <v>11792</v>
      </c>
      <c r="R174" s="31">
        <f>IF(I174="SI",VLOOKUP(A174,DATA!$A$4:$H$350,8,0),0)</f>
        <v>13846</v>
      </c>
      <c r="S174" s="117">
        <f t="shared" si="55"/>
        <v>2.9308085962999999E-3</v>
      </c>
      <c r="T174" s="117">
        <f t="shared" si="56"/>
        <v>3.8342787040307595E-3</v>
      </c>
      <c r="U174" s="117">
        <f t="shared" si="57"/>
        <v>7.668557408E-4</v>
      </c>
      <c r="V174" s="31">
        <f>IF(I174="SI",VLOOKUP(A174,COEF_FCM!$A$8:$X$354,24,0),0)</f>
        <v>2880602</v>
      </c>
      <c r="W174" s="121">
        <f t="shared" si="58"/>
        <v>102.78</v>
      </c>
      <c r="X174" s="31">
        <f>IF(AND(W174&gt;0,W174&lt;$W$7),ROUND(($W$7-W174)*L174,PARAMETROS!$L$8),0)</f>
        <v>114354</v>
      </c>
      <c r="Y174" s="122">
        <f t="shared" si="59"/>
        <v>4.2143989469999997E-4</v>
      </c>
      <c r="Z174" s="117">
        <f t="shared" si="60"/>
        <v>8.4287978900000001E-5</v>
      </c>
      <c r="AA174" s="96">
        <f t="shared" si="61"/>
        <v>2.8790691702499996E-3</v>
      </c>
      <c r="AB174" s="31">
        <f>ROUND(AA174*PARAMETROS!$H$24,0)</f>
        <v>494098653</v>
      </c>
      <c r="AC174" s="31">
        <f t="shared" si="62"/>
        <v>494098653</v>
      </c>
      <c r="AD174" s="31">
        <f t="shared" si="63"/>
        <v>123524663</v>
      </c>
      <c r="AE174" s="31">
        <f t="shared" si="66"/>
        <v>123524663</v>
      </c>
      <c r="AF174" s="31">
        <f t="shared" si="66"/>
        <v>123524663</v>
      </c>
      <c r="AG174" s="31">
        <f t="shared" si="64"/>
        <v>123524664</v>
      </c>
    </row>
    <row r="175" spans="1:33" ht="3" customHeight="1" x14ac:dyDescent="0.25">
      <c r="A175">
        <v>8307</v>
      </c>
      <c r="B175">
        <v>8406</v>
      </c>
      <c r="C175" t="s">
        <v>200</v>
      </c>
      <c r="D175" s="31">
        <f>+DATA!O171</f>
        <v>941402</v>
      </c>
      <c r="E175" s="31">
        <f>+DATA!T171</f>
        <v>3069321.588</v>
      </c>
      <c r="F175" s="38">
        <f t="shared" si="46"/>
        <v>4010723.588</v>
      </c>
      <c r="G175" s="112">
        <f t="shared" si="47"/>
        <v>0.159</v>
      </c>
      <c r="H175" s="95">
        <f t="shared" si="48"/>
        <v>0.76529999999999998</v>
      </c>
      <c r="I175" s="6" t="str">
        <f t="shared" si="49"/>
        <v>SI</v>
      </c>
      <c r="J175" s="117">
        <f t="shared" si="50"/>
        <v>3.3112582781000001E-3</v>
      </c>
      <c r="K175" s="117">
        <f t="shared" si="51"/>
        <v>1.6556291390500001E-3</v>
      </c>
      <c r="L175" s="31">
        <f>IF(I175="SI",VLOOKUP(A175,DATA!$A$4:$D$350,4,0),0)</f>
        <v>10574</v>
      </c>
      <c r="M175" s="95">
        <f>IF(I175="SI",VLOOKUP(A175,DATA!$A$4:$E$350,5,0),0)</f>
        <v>9.9455475229837678E-2</v>
      </c>
      <c r="N175" s="31">
        <f t="shared" si="52"/>
        <v>1052</v>
      </c>
      <c r="O175" s="117">
        <f t="shared" si="53"/>
        <v>1.2736771374E-3</v>
      </c>
      <c r="P175" s="117">
        <f t="shared" si="54"/>
        <v>1.2736771370000001E-4</v>
      </c>
      <c r="Q175" s="31">
        <f>IF(I175="SI",VLOOKUP(A175,DATA!$A$4:$G$350,7,0),0)</f>
        <v>3847</v>
      </c>
      <c r="R175" s="31">
        <f>IF(I175="SI",VLOOKUP(A175,DATA!$A$4:$H$350,8,0),0)</f>
        <v>4834</v>
      </c>
      <c r="S175" s="117">
        <f t="shared" si="55"/>
        <v>8.9345887969999999E-4</v>
      </c>
      <c r="T175" s="117">
        <f t="shared" si="56"/>
        <v>1.1688823213108338E-3</v>
      </c>
      <c r="U175" s="117">
        <f t="shared" si="57"/>
        <v>2.337764643E-4</v>
      </c>
      <c r="V175" s="31">
        <f>IF(I175="SI",VLOOKUP(A175,COEF_FCM!$A$8:$X$354,24,0),0)</f>
        <v>941402</v>
      </c>
      <c r="W175" s="121">
        <f t="shared" si="58"/>
        <v>89.03</v>
      </c>
      <c r="X175" s="31">
        <f>IF(AND(W175&gt;0,W175&lt;$W$7),ROUND(($W$7-W175)*L175,PARAMETROS!$L$8),0)</f>
        <v>188534</v>
      </c>
      <c r="Y175" s="122">
        <f t="shared" si="59"/>
        <v>6.9482264809999999E-4</v>
      </c>
      <c r="Z175" s="117">
        <f t="shared" si="60"/>
        <v>1.389645296E-4</v>
      </c>
      <c r="AA175" s="96">
        <f t="shared" si="61"/>
        <v>2.1557378466500001E-3</v>
      </c>
      <c r="AB175" s="31">
        <f>ROUND(AA175*PARAMETROS!$H$24,0)</f>
        <v>369962340</v>
      </c>
      <c r="AC175" s="31">
        <f t="shared" si="62"/>
        <v>369962340</v>
      </c>
      <c r="AD175" s="31">
        <f t="shared" si="63"/>
        <v>92490585</v>
      </c>
      <c r="AE175" s="31">
        <f t="shared" si="66"/>
        <v>92490585</v>
      </c>
      <c r="AF175" s="31">
        <f t="shared" si="66"/>
        <v>92490585</v>
      </c>
      <c r="AG175" s="31">
        <f t="shared" si="64"/>
        <v>92490585</v>
      </c>
    </row>
    <row r="176" spans="1:33" ht="3" customHeight="1" x14ac:dyDescent="0.25">
      <c r="A176">
        <v>8308</v>
      </c>
      <c r="B176">
        <v>8408</v>
      </c>
      <c r="C176" t="s">
        <v>201</v>
      </c>
      <c r="D176" s="31">
        <f>+DATA!O172</f>
        <v>715738</v>
      </c>
      <c r="E176" s="31">
        <f>+DATA!T172</f>
        <v>2259662.0520000001</v>
      </c>
      <c r="F176" s="38">
        <f t="shared" si="46"/>
        <v>2975400.0520000001</v>
      </c>
      <c r="G176" s="112">
        <f t="shared" si="47"/>
        <v>6.6000000000000003E-2</v>
      </c>
      <c r="H176" s="95">
        <f t="shared" si="48"/>
        <v>0.75939999999999996</v>
      </c>
      <c r="I176" s="6" t="str">
        <f t="shared" si="49"/>
        <v>SI</v>
      </c>
      <c r="J176" s="117">
        <f t="shared" si="50"/>
        <v>3.3112582781000001E-3</v>
      </c>
      <c r="K176" s="117">
        <f t="shared" si="51"/>
        <v>1.6556291390500001E-3</v>
      </c>
      <c r="L176" s="31">
        <f>IF(I176="SI",VLOOKUP(A176,DATA!$A$4:$D$350,4,0),0)</f>
        <v>4186</v>
      </c>
      <c r="M176" s="95">
        <f>IF(I176="SI",VLOOKUP(A176,DATA!$A$4:$E$350,5,0),0)</f>
        <v>0.1302699543346095</v>
      </c>
      <c r="N176" s="31">
        <f t="shared" si="52"/>
        <v>545</v>
      </c>
      <c r="O176" s="117">
        <f t="shared" si="53"/>
        <v>6.5984224319999996E-4</v>
      </c>
      <c r="P176" s="117">
        <f t="shared" si="54"/>
        <v>6.5984224299999998E-5</v>
      </c>
      <c r="Q176" s="31">
        <f>IF(I176="SI",VLOOKUP(A176,DATA!$A$4:$G$350,7,0),0)</f>
        <v>2519</v>
      </c>
      <c r="R176" s="31">
        <f>IF(I176="SI",VLOOKUP(A176,DATA!$A$4:$H$350,8,0),0)</f>
        <v>3531</v>
      </c>
      <c r="S176" s="117">
        <f t="shared" si="55"/>
        <v>5.2443957930000003E-4</v>
      </c>
      <c r="T176" s="117">
        <f t="shared" si="56"/>
        <v>6.8610673279702935E-4</v>
      </c>
      <c r="U176" s="117">
        <f t="shared" si="57"/>
        <v>1.3722134660000001E-4</v>
      </c>
      <c r="V176" s="31">
        <f>IF(I176="SI",VLOOKUP(A176,COEF_FCM!$A$8:$X$354,24,0),0)</f>
        <v>715738</v>
      </c>
      <c r="W176" s="121">
        <f t="shared" si="58"/>
        <v>170.98</v>
      </c>
      <c r="X176" s="31">
        <f>IF(AND(W176&gt;0,W176&lt;$W$7),ROUND(($W$7-W176)*L176,PARAMETROS!$L$8),0)</f>
        <v>0</v>
      </c>
      <c r="Y176" s="122">
        <f t="shared" si="59"/>
        <v>0</v>
      </c>
      <c r="Z176" s="117">
        <f t="shared" si="60"/>
        <v>0</v>
      </c>
      <c r="AA176" s="96">
        <f t="shared" si="61"/>
        <v>1.8588347099500002E-3</v>
      </c>
      <c r="AB176" s="31">
        <f>ROUND(AA176*PARAMETROS!$H$24,0)</f>
        <v>319008566</v>
      </c>
      <c r="AC176" s="31">
        <f t="shared" si="62"/>
        <v>319008566</v>
      </c>
      <c r="AD176" s="31">
        <f t="shared" si="63"/>
        <v>79752142</v>
      </c>
      <c r="AE176" s="31">
        <f t="shared" si="66"/>
        <v>79752142</v>
      </c>
      <c r="AF176" s="31">
        <f t="shared" si="66"/>
        <v>79752142</v>
      </c>
      <c r="AG176" s="31">
        <f t="shared" si="64"/>
        <v>79752140</v>
      </c>
    </row>
    <row r="177" spans="1:33" ht="3" customHeight="1" x14ac:dyDescent="0.25">
      <c r="A177">
        <v>8309</v>
      </c>
      <c r="B177">
        <v>8404</v>
      </c>
      <c r="C177" t="s">
        <v>198</v>
      </c>
      <c r="D177" s="31">
        <f>+DATA!O173</f>
        <v>882639</v>
      </c>
      <c r="E177" s="31">
        <f>+DATA!T173</f>
        <v>3209085.9380000001</v>
      </c>
      <c r="F177" s="38">
        <f t="shared" si="46"/>
        <v>4091724.9380000001</v>
      </c>
      <c r="G177" s="112">
        <f t="shared" si="47"/>
        <v>0.17299999999999999</v>
      </c>
      <c r="H177" s="95">
        <f t="shared" si="48"/>
        <v>0.7843</v>
      </c>
      <c r="I177" s="6" t="str">
        <f t="shared" si="49"/>
        <v>SI</v>
      </c>
      <c r="J177" s="117">
        <f t="shared" si="50"/>
        <v>3.3112582781000001E-3</v>
      </c>
      <c r="K177" s="117">
        <f t="shared" si="51"/>
        <v>1.6556291390500001E-3</v>
      </c>
      <c r="L177" s="31">
        <f>IF(I177="SI",VLOOKUP(A177,DATA!$A$4:$D$350,4,0),0)</f>
        <v>9986</v>
      </c>
      <c r="M177" s="95">
        <f>IF(I177="SI",VLOOKUP(A177,DATA!$A$4:$E$350,5,0),0)</f>
        <v>0.13482362931863021</v>
      </c>
      <c r="N177" s="31">
        <f t="shared" si="52"/>
        <v>1346</v>
      </c>
      <c r="O177" s="117">
        <f t="shared" si="53"/>
        <v>1.6296287328000001E-3</v>
      </c>
      <c r="P177" s="117">
        <f t="shared" si="54"/>
        <v>1.629628733E-4</v>
      </c>
      <c r="Q177" s="31">
        <f>IF(I177="SI",VLOOKUP(A177,DATA!$A$4:$G$350,7,0),0)</f>
        <v>5068</v>
      </c>
      <c r="R177" s="31">
        <f>IF(I177="SI",VLOOKUP(A177,DATA!$A$4:$H$350,8,0),0)</f>
        <v>6377</v>
      </c>
      <c r="S177" s="117">
        <f t="shared" si="55"/>
        <v>1.1754215219000001E-3</v>
      </c>
      <c r="T177" s="117">
        <f t="shared" si="56"/>
        <v>1.5377646003121202E-3</v>
      </c>
      <c r="U177" s="117">
        <f t="shared" si="57"/>
        <v>3.0755292009999999E-4</v>
      </c>
      <c r="V177" s="31">
        <f>IF(I177="SI",VLOOKUP(A177,COEF_FCM!$A$8:$X$354,24,0),0)</f>
        <v>882639</v>
      </c>
      <c r="W177" s="121">
        <f t="shared" si="58"/>
        <v>88.39</v>
      </c>
      <c r="X177" s="31">
        <f>IF(AND(W177&gt;0,W177&lt;$W$7),ROUND(($W$7-W177)*L177,PARAMETROS!$L$8),0)</f>
        <v>184441</v>
      </c>
      <c r="Y177" s="122">
        <f t="shared" si="59"/>
        <v>6.7973831789999999E-4</v>
      </c>
      <c r="Z177" s="117">
        <f t="shared" si="60"/>
        <v>1.3594766359999999E-4</v>
      </c>
      <c r="AA177" s="96">
        <f t="shared" si="61"/>
        <v>2.26209259605E-3</v>
      </c>
      <c r="AB177" s="31">
        <f>ROUND(AA177*PARAMETROS!$H$24,0)</f>
        <v>388214676</v>
      </c>
      <c r="AC177" s="31">
        <f t="shared" si="62"/>
        <v>388214676</v>
      </c>
      <c r="AD177" s="31">
        <f t="shared" si="63"/>
        <v>97053669</v>
      </c>
      <c r="AE177" s="31">
        <f t="shared" si="66"/>
        <v>97053669</v>
      </c>
      <c r="AF177" s="31">
        <f t="shared" si="66"/>
        <v>97053669</v>
      </c>
      <c r="AG177" s="31">
        <f t="shared" si="64"/>
        <v>97053669</v>
      </c>
    </row>
    <row r="178" spans="1:33" ht="3" customHeight="1" x14ac:dyDescent="0.25">
      <c r="A178">
        <v>8310</v>
      </c>
      <c r="B178">
        <v>8411</v>
      </c>
      <c r="C178" t="s">
        <v>204</v>
      </c>
      <c r="D178" s="31">
        <f>+DATA!O174</f>
        <v>274307</v>
      </c>
      <c r="E178" s="31">
        <f>+DATA!T174</f>
        <v>2927465.3220000002</v>
      </c>
      <c r="F178" s="38">
        <f t="shared" si="46"/>
        <v>3201772.3220000002</v>
      </c>
      <c r="G178" s="112">
        <f t="shared" si="47"/>
        <v>7.4999999999999997E-2</v>
      </c>
      <c r="H178" s="95">
        <f t="shared" si="48"/>
        <v>0.9143</v>
      </c>
      <c r="I178" s="6" t="str">
        <f t="shared" si="49"/>
        <v>SI</v>
      </c>
      <c r="J178" s="117">
        <f t="shared" si="50"/>
        <v>3.3112582781000001E-3</v>
      </c>
      <c r="K178" s="117">
        <f t="shared" si="51"/>
        <v>1.6556291390500001E-3</v>
      </c>
      <c r="L178" s="31">
        <f>IF(I178="SI",VLOOKUP(A178,DATA!$A$4:$D$350,4,0),0)</f>
        <v>3553</v>
      </c>
      <c r="M178" s="95">
        <f>IF(I178="SI",VLOOKUP(A178,DATA!$A$4:$E$350,5,0),0)</f>
        <v>0.1097114228804065</v>
      </c>
      <c r="N178" s="31">
        <f t="shared" si="52"/>
        <v>390</v>
      </c>
      <c r="O178" s="117">
        <f t="shared" si="53"/>
        <v>4.721806878E-4</v>
      </c>
      <c r="P178" s="117">
        <f t="shared" si="54"/>
        <v>4.72180688E-5</v>
      </c>
      <c r="Q178" s="31">
        <f>IF(I178="SI",VLOOKUP(A178,DATA!$A$4:$G$350,7,0),0)</f>
        <v>2134</v>
      </c>
      <c r="R178" s="31">
        <f>IF(I178="SI",VLOOKUP(A178,DATA!$A$4:$H$350,8,0),0)</f>
        <v>2452</v>
      </c>
      <c r="S178" s="117">
        <f t="shared" si="55"/>
        <v>5.420073891E-4</v>
      </c>
      <c r="T178" s="117">
        <f t="shared" si="56"/>
        <v>7.0909010983422017E-4</v>
      </c>
      <c r="U178" s="117">
        <f t="shared" si="57"/>
        <v>1.4181802200000001E-4</v>
      </c>
      <c r="V178" s="31">
        <f>IF(I178="SI",VLOOKUP(A178,COEF_FCM!$A$8:$X$354,24,0),0)</f>
        <v>274307</v>
      </c>
      <c r="W178" s="121">
        <f t="shared" si="58"/>
        <v>77.2</v>
      </c>
      <c r="X178" s="31">
        <f>IF(AND(W178&gt;0,W178&lt;$W$7),ROUND(($W$7-W178)*L178,PARAMETROS!$L$8),0)</f>
        <v>105382</v>
      </c>
      <c r="Y178" s="122">
        <f t="shared" si="59"/>
        <v>3.8837451229999998E-4</v>
      </c>
      <c r="Z178" s="117">
        <f t="shared" si="60"/>
        <v>7.7674902500000001E-5</v>
      </c>
      <c r="AA178" s="96">
        <f t="shared" si="61"/>
        <v>1.9223401323500001E-3</v>
      </c>
      <c r="AB178" s="31">
        <f>ROUND(AA178*PARAMETROS!$H$24,0)</f>
        <v>329907208</v>
      </c>
      <c r="AC178" s="31">
        <f t="shared" si="62"/>
        <v>329907208</v>
      </c>
      <c r="AD178" s="31">
        <f t="shared" si="63"/>
        <v>82476802</v>
      </c>
      <c r="AE178" s="31">
        <f t="shared" si="66"/>
        <v>82476802</v>
      </c>
      <c r="AF178" s="31">
        <f t="shared" si="66"/>
        <v>82476802</v>
      </c>
      <c r="AG178" s="31">
        <f t="shared" si="64"/>
        <v>82476802</v>
      </c>
    </row>
    <row r="179" spans="1:33" ht="3" customHeight="1" x14ac:dyDescent="0.25">
      <c r="A179">
        <v>8311</v>
      </c>
      <c r="B179">
        <v>8402</v>
      </c>
      <c r="C179" t="s">
        <v>399</v>
      </c>
      <c r="D179" s="31">
        <f>+DATA!O175</f>
        <v>1333815</v>
      </c>
      <c r="E179" s="31">
        <f>+DATA!T175</f>
        <v>3479306.7949999999</v>
      </c>
      <c r="F179" s="38">
        <f t="shared" si="46"/>
        <v>4813121.7949999999</v>
      </c>
      <c r="G179" s="112">
        <f t="shared" si="47"/>
        <v>0.26</v>
      </c>
      <c r="H179" s="95">
        <f t="shared" si="48"/>
        <v>0.72289999999999999</v>
      </c>
      <c r="I179" s="6" t="str">
        <f t="shared" si="49"/>
        <v>SI</v>
      </c>
      <c r="J179" s="117">
        <f t="shared" si="50"/>
        <v>3.3112582781000001E-3</v>
      </c>
      <c r="K179" s="117">
        <f t="shared" si="51"/>
        <v>1.6556291390500001E-3</v>
      </c>
      <c r="L179" s="31">
        <f>IF(I179="SI",VLOOKUP(A179,DATA!$A$4:$D$350,4,0),0)</f>
        <v>14671</v>
      </c>
      <c r="M179" s="95">
        <f>IF(I179="SI",VLOOKUP(A179,DATA!$A$4:$E$350,5,0),0)</f>
        <v>0.14740648088545241</v>
      </c>
      <c r="N179" s="31">
        <f t="shared" si="52"/>
        <v>2163</v>
      </c>
      <c r="O179" s="117">
        <f t="shared" si="53"/>
        <v>2.6187867378E-3</v>
      </c>
      <c r="P179" s="117">
        <f t="shared" si="54"/>
        <v>2.6187867380000001E-4</v>
      </c>
      <c r="Q179" s="31">
        <f>IF(I179="SI",VLOOKUP(A179,DATA!$A$4:$G$350,7,0),0)</f>
        <v>6163</v>
      </c>
      <c r="R179" s="31">
        <f>IF(I179="SI",VLOOKUP(A179,DATA!$A$4:$H$350,8,0),0)</f>
        <v>7863</v>
      </c>
      <c r="S179" s="117">
        <f t="shared" si="55"/>
        <v>1.4097201348000001E-3</v>
      </c>
      <c r="T179" s="117">
        <f t="shared" si="56"/>
        <v>1.8442896265320374E-3</v>
      </c>
      <c r="U179" s="117">
        <f t="shared" si="57"/>
        <v>3.6885792529999997E-4</v>
      </c>
      <c r="V179" s="31">
        <f>IF(I179="SI",VLOOKUP(A179,COEF_FCM!$A$8:$X$354,24,0),0)</f>
        <v>1333815</v>
      </c>
      <c r="W179" s="121">
        <f t="shared" si="58"/>
        <v>90.92</v>
      </c>
      <c r="X179" s="31">
        <f>IF(AND(W179&gt;0,W179&lt;$W$7),ROUND(($W$7-W179)*L179,PARAMETROS!$L$8),0)</f>
        <v>233856</v>
      </c>
      <c r="Y179" s="122">
        <f t="shared" si="59"/>
        <v>8.6185221330000003E-4</v>
      </c>
      <c r="Z179" s="117">
        <f t="shared" si="60"/>
        <v>1.7237044270000001E-4</v>
      </c>
      <c r="AA179" s="96">
        <f t="shared" si="61"/>
        <v>2.4587361808500003E-3</v>
      </c>
      <c r="AB179" s="31">
        <f>ROUND(AA179*PARAMETROS!$H$24,0)</f>
        <v>421962157</v>
      </c>
      <c r="AC179" s="31">
        <f t="shared" si="62"/>
        <v>421962157</v>
      </c>
      <c r="AD179" s="31">
        <f t="shared" si="63"/>
        <v>105490539</v>
      </c>
      <c r="AE179" s="31">
        <f t="shared" si="66"/>
        <v>105490539</v>
      </c>
      <c r="AF179" s="31">
        <f t="shared" si="66"/>
        <v>105490539</v>
      </c>
      <c r="AG179" s="31">
        <f t="shared" si="64"/>
        <v>105490540</v>
      </c>
    </row>
    <row r="180" spans="1:33" ht="3" customHeight="1" x14ac:dyDescent="0.25">
      <c r="A180">
        <v>8312</v>
      </c>
      <c r="B180">
        <v>8412</v>
      </c>
      <c r="C180" t="s">
        <v>205</v>
      </c>
      <c r="D180" s="31">
        <f>+DATA!O176</f>
        <v>1537728</v>
      </c>
      <c r="E180" s="31">
        <f>+DATA!T176</f>
        <v>3926504.1669999999</v>
      </c>
      <c r="F180" s="38">
        <f t="shared" si="46"/>
        <v>5464232.1669999994</v>
      </c>
      <c r="G180" s="112">
        <f t="shared" si="47"/>
        <v>0.33300000000000002</v>
      </c>
      <c r="H180" s="95">
        <f t="shared" si="48"/>
        <v>0.71860000000000002</v>
      </c>
      <c r="I180" s="6" t="str">
        <f t="shared" si="49"/>
        <v>SI</v>
      </c>
      <c r="J180" s="117">
        <f t="shared" si="50"/>
        <v>3.3112582781000001E-3</v>
      </c>
      <c r="K180" s="117">
        <f t="shared" si="51"/>
        <v>1.6556291390500001E-3</v>
      </c>
      <c r="L180" s="31">
        <f>IF(I180="SI",VLOOKUP(A180,DATA!$A$4:$D$350,4,0),0)</f>
        <v>15428</v>
      </c>
      <c r="M180" s="95">
        <f>IF(I180="SI",VLOOKUP(A180,DATA!$A$4:$E$350,5,0),0)</f>
        <v>0.10953767585671589</v>
      </c>
      <c r="N180" s="31">
        <f t="shared" si="52"/>
        <v>1690</v>
      </c>
      <c r="O180" s="117">
        <f t="shared" si="53"/>
        <v>2.0461163138E-3</v>
      </c>
      <c r="P180" s="117">
        <f t="shared" si="54"/>
        <v>2.0461163139999999E-4</v>
      </c>
      <c r="Q180" s="31">
        <f>IF(I180="SI",VLOOKUP(A180,DATA!$A$4:$G$350,7,0),0)</f>
        <v>8258</v>
      </c>
      <c r="R180" s="31">
        <f>IF(I180="SI",VLOOKUP(A180,DATA!$A$4:$H$350,8,0),0)</f>
        <v>10498</v>
      </c>
      <c r="S180" s="117">
        <f t="shared" si="55"/>
        <v>1.8957454905000001E-3</v>
      </c>
      <c r="T180" s="117">
        <f t="shared" si="56"/>
        <v>2.4801403174751898E-3</v>
      </c>
      <c r="U180" s="117">
        <f t="shared" si="57"/>
        <v>4.9602806349999999E-4</v>
      </c>
      <c r="V180" s="31">
        <f>IF(I180="SI",VLOOKUP(A180,COEF_FCM!$A$8:$X$354,24,0),0)</f>
        <v>1537728</v>
      </c>
      <c r="W180" s="121">
        <f t="shared" si="58"/>
        <v>99.67</v>
      </c>
      <c r="X180" s="31">
        <f>IF(AND(W180&gt;0,W180&lt;$W$7),ROUND(($W$7-W180)*L180,PARAMETROS!$L$8),0)</f>
        <v>110927</v>
      </c>
      <c r="Y180" s="122">
        <f t="shared" si="59"/>
        <v>4.0881003900000002E-4</v>
      </c>
      <c r="Z180" s="117">
        <f t="shared" si="60"/>
        <v>8.1762007800000006E-5</v>
      </c>
      <c r="AA180" s="96">
        <f t="shared" si="61"/>
        <v>2.4380308417500003E-3</v>
      </c>
      <c r="AB180" s="31">
        <f>ROUND(AA180*PARAMETROS!$H$24,0)</f>
        <v>418408758</v>
      </c>
      <c r="AC180" s="31">
        <f t="shared" si="62"/>
        <v>418408758</v>
      </c>
      <c r="AD180" s="31">
        <f t="shared" si="63"/>
        <v>104602190</v>
      </c>
      <c r="AE180" s="31">
        <f t="shared" si="66"/>
        <v>104602190</v>
      </c>
      <c r="AF180" s="31">
        <f t="shared" si="66"/>
        <v>104602190</v>
      </c>
      <c r="AG180" s="31">
        <f t="shared" si="64"/>
        <v>104602188</v>
      </c>
    </row>
    <row r="181" spans="1:33" ht="3" customHeight="1" x14ac:dyDescent="0.25">
      <c r="A181">
        <v>8313</v>
      </c>
      <c r="B181">
        <v>8409</v>
      </c>
      <c r="C181" t="s">
        <v>202</v>
      </c>
      <c r="D181" s="31">
        <f>+DATA!O177</f>
        <v>1872520</v>
      </c>
      <c r="E181" s="31">
        <f>+DATA!T177</f>
        <v>8092827.4589999998</v>
      </c>
      <c r="F181" s="38">
        <f t="shared" si="46"/>
        <v>9965347.4589999989</v>
      </c>
      <c r="G181" s="112">
        <f t="shared" si="47"/>
        <v>0.59399999999999997</v>
      </c>
      <c r="H181" s="95">
        <f t="shared" si="48"/>
        <v>0.81210000000000004</v>
      </c>
      <c r="I181" s="6" t="str">
        <f t="shared" si="49"/>
        <v>SI</v>
      </c>
      <c r="J181" s="117">
        <f t="shared" si="50"/>
        <v>3.3112582781000001E-3</v>
      </c>
      <c r="K181" s="117">
        <f t="shared" si="51"/>
        <v>1.6556291390500001E-3</v>
      </c>
      <c r="L181" s="31">
        <f>IF(I181="SI",VLOOKUP(A181,DATA!$A$4:$D$350,4,0),0)</f>
        <v>22210</v>
      </c>
      <c r="M181" s="95">
        <f>IF(I181="SI",VLOOKUP(A181,DATA!$A$4:$E$350,5,0),0)</f>
        <v>0.12559003045185191</v>
      </c>
      <c r="N181" s="31">
        <f t="shared" si="52"/>
        <v>2789</v>
      </c>
      <c r="O181" s="117">
        <f t="shared" si="53"/>
        <v>3.3766972776999998E-3</v>
      </c>
      <c r="P181" s="117">
        <f t="shared" si="54"/>
        <v>3.3766972779999998E-4</v>
      </c>
      <c r="Q181" s="31">
        <f>IF(I181="SI",VLOOKUP(A181,DATA!$A$4:$G$350,7,0),0)</f>
        <v>16260</v>
      </c>
      <c r="R181" s="31">
        <f>IF(I181="SI",VLOOKUP(A181,DATA!$A$4:$H$350,8,0),0)</f>
        <v>20013</v>
      </c>
      <c r="S181" s="117">
        <f t="shared" si="55"/>
        <v>3.8553670387999998E-3</v>
      </c>
      <c r="T181" s="117">
        <f t="shared" si="56"/>
        <v>5.0438475415130165E-3</v>
      </c>
      <c r="U181" s="117">
        <f t="shared" si="57"/>
        <v>1.0087695083E-3</v>
      </c>
      <c r="V181" s="31">
        <f>IF(I181="SI",VLOOKUP(A181,COEF_FCM!$A$8:$X$354,24,0),0)</f>
        <v>1872520</v>
      </c>
      <c r="W181" s="121">
        <f t="shared" si="58"/>
        <v>84.31</v>
      </c>
      <c r="X181" s="31">
        <f>IF(AND(W181&gt;0,W181&lt;$W$7),ROUND(($W$7-W181)*L181,PARAMETROS!$L$8),0)</f>
        <v>500836</v>
      </c>
      <c r="Y181" s="122">
        <f t="shared" si="59"/>
        <v>1.8457795186999999E-3</v>
      </c>
      <c r="Z181" s="117">
        <f t="shared" si="60"/>
        <v>3.691559037E-4</v>
      </c>
      <c r="AA181" s="96">
        <f t="shared" si="61"/>
        <v>3.3712242788499999E-3</v>
      </c>
      <c r="AB181" s="31">
        <f>ROUND(AA181*PARAMETROS!$H$24,0)</f>
        <v>578561083</v>
      </c>
      <c r="AC181" s="31">
        <f t="shared" si="62"/>
        <v>578561083</v>
      </c>
      <c r="AD181" s="31">
        <f t="shared" si="63"/>
        <v>144640271</v>
      </c>
      <c r="AE181" s="31">
        <f t="shared" si="66"/>
        <v>144640271</v>
      </c>
      <c r="AF181" s="31">
        <f t="shared" si="66"/>
        <v>144640271</v>
      </c>
      <c r="AG181" s="31">
        <f t="shared" si="64"/>
        <v>144640270</v>
      </c>
    </row>
    <row r="182" spans="1:33" ht="3" customHeight="1" x14ac:dyDescent="0.25">
      <c r="A182">
        <v>8314</v>
      </c>
      <c r="B182">
        <v>8414</v>
      </c>
      <c r="C182" t="s">
        <v>400</v>
      </c>
      <c r="D182" s="31">
        <f>+DATA!O178</f>
        <v>671450</v>
      </c>
      <c r="E182" s="31">
        <f>+DATA!T178</f>
        <v>2959172.767</v>
      </c>
      <c r="F182" s="38">
        <f t="shared" si="46"/>
        <v>3630622.767</v>
      </c>
      <c r="G182" s="112">
        <f t="shared" si="47"/>
        <v>0.124</v>
      </c>
      <c r="H182" s="95">
        <f t="shared" si="48"/>
        <v>0.81510000000000005</v>
      </c>
      <c r="I182" s="6" t="str">
        <f t="shared" si="49"/>
        <v>SI</v>
      </c>
      <c r="J182" s="117">
        <f t="shared" si="50"/>
        <v>3.3112582781000001E-3</v>
      </c>
      <c r="K182" s="117">
        <f t="shared" si="51"/>
        <v>1.6556291390500001E-3</v>
      </c>
      <c r="L182" s="31">
        <f>IF(I182="SI",VLOOKUP(A182,DATA!$A$4:$D$350,4,0),0)</f>
        <v>6804</v>
      </c>
      <c r="M182" s="95">
        <f>IF(I182="SI",VLOOKUP(A182,DATA!$A$4:$E$350,5,0),0)</f>
        <v>0.22111198326961529</v>
      </c>
      <c r="N182" s="31">
        <f t="shared" si="52"/>
        <v>1504</v>
      </c>
      <c r="O182" s="117">
        <f t="shared" si="53"/>
        <v>1.8209224473E-3</v>
      </c>
      <c r="P182" s="117">
        <f t="shared" si="54"/>
        <v>1.820922447E-4</v>
      </c>
      <c r="Q182" s="31">
        <f>IF(I182="SI",VLOOKUP(A182,DATA!$A$4:$G$350,7,0),0)</f>
        <v>1369</v>
      </c>
      <c r="R182" s="31">
        <f>IF(I182="SI",VLOOKUP(A182,DATA!$A$4:$H$350,8,0),0)</f>
        <v>1687</v>
      </c>
      <c r="S182" s="117">
        <f t="shared" si="55"/>
        <v>3.2421168000000002E-4</v>
      </c>
      <c r="T182" s="117">
        <f t="shared" si="56"/>
        <v>4.2415527980619748E-4</v>
      </c>
      <c r="U182" s="117">
        <f t="shared" si="57"/>
        <v>8.4831055999999995E-5</v>
      </c>
      <c r="V182" s="31">
        <f>IF(I182="SI",VLOOKUP(A182,COEF_FCM!$A$8:$X$354,24,0),0)</f>
        <v>671450</v>
      </c>
      <c r="W182" s="121">
        <f t="shared" si="58"/>
        <v>98.68</v>
      </c>
      <c r="X182" s="31">
        <f>IF(AND(W182&gt;0,W182&lt;$W$7),ROUND(($W$7-W182)*L182,PARAMETROS!$L$8),0)</f>
        <v>55657</v>
      </c>
      <c r="Y182" s="122">
        <f t="shared" si="59"/>
        <v>2.0511814379999999E-4</v>
      </c>
      <c r="Z182" s="117">
        <f t="shared" si="60"/>
        <v>4.1023628800000001E-5</v>
      </c>
      <c r="AA182" s="96">
        <f t="shared" si="61"/>
        <v>1.9635760685500002E-3</v>
      </c>
      <c r="AB182" s="31">
        <f>ROUND(AA182*PARAMETROS!$H$24,0)</f>
        <v>336984016</v>
      </c>
      <c r="AC182" s="31">
        <f t="shared" si="62"/>
        <v>336984016</v>
      </c>
      <c r="AD182" s="31">
        <f t="shared" si="63"/>
        <v>84246004</v>
      </c>
      <c r="AE182" s="31">
        <f t="shared" si="66"/>
        <v>84246004</v>
      </c>
      <c r="AF182" s="31">
        <f t="shared" si="66"/>
        <v>84246004</v>
      </c>
      <c r="AG182" s="31">
        <f t="shared" si="64"/>
        <v>84246004</v>
      </c>
    </row>
    <row r="183" spans="1:33" ht="3" customHeight="1" x14ac:dyDescent="0.25">
      <c r="A183">
        <v>9101</v>
      </c>
      <c r="B183">
        <v>9201</v>
      </c>
      <c r="C183" t="s">
        <v>215</v>
      </c>
      <c r="D183" s="31">
        <f>+DATA!O179</f>
        <v>40728594</v>
      </c>
      <c r="E183" s="31">
        <f>+DATA!T179</f>
        <v>34715395.973999999</v>
      </c>
      <c r="F183" s="38">
        <f t="shared" si="46"/>
        <v>75443989.974000007</v>
      </c>
      <c r="G183" s="112">
        <f t="shared" si="47"/>
        <v>0.96799999999999997</v>
      </c>
      <c r="H183" s="95">
        <f t="shared" si="48"/>
        <v>0.46010000000000001</v>
      </c>
      <c r="I183" s="6" t="str">
        <f t="shared" si="49"/>
        <v>NO</v>
      </c>
      <c r="J183" s="117">
        <f t="shared" si="50"/>
        <v>0</v>
      </c>
      <c r="K183" s="117">
        <f t="shared" si="51"/>
        <v>0</v>
      </c>
      <c r="L183" s="31">
        <f>IF(I183="SI",VLOOKUP(A183,DATA!$A$4:$D$350,4,0),0)</f>
        <v>0</v>
      </c>
      <c r="M183" s="95">
        <f>IF(I183="SI",VLOOKUP(A183,DATA!$A$4:$E$350,5,0),0)</f>
        <v>0</v>
      </c>
      <c r="N183" s="31">
        <f t="shared" si="52"/>
        <v>0</v>
      </c>
      <c r="O183" s="117">
        <f t="shared" si="53"/>
        <v>0</v>
      </c>
      <c r="P183" s="117">
        <f t="shared" si="54"/>
        <v>0</v>
      </c>
      <c r="Q183" s="31">
        <f>IF(I183="SI",VLOOKUP(A183,DATA!$A$4:$G$350,7,0),0)</f>
        <v>0</v>
      </c>
      <c r="R183" s="31">
        <f>IF(I183="SI",VLOOKUP(A183,DATA!$A$4:$H$350,8,0),0)</f>
        <v>0</v>
      </c>
      <c r="S183" s="117">
        <f t="shared" si="55"/>
        <v>0</v>
      </c>
      <c r="T183" s="117">
        <f t="shared" si="56"/>
        <v>0</v>
      </c>
      <c r="U183" s="117">
        <f t="shared" si="57"/>
        <v>0</v>
      </c>
      <c r="V183" s="31">
        <f>IF(I183="SI",VLOOKUP(A183,COEF_FCM!$A$8:$X$354,24,0),0)</f>
        <v>0</v>
      </c>
      <c r="W183" s="121">
        <f t="shared" si="58"/>
        <v>0</v>
      </c>
      <c r="X183" s="31">
        <f>IF(AND(W183&gt;0,W183&lt;$W$7),ROUND(($W$7-W183)*L183,PARAMETROS!$L$8),0)</f>
        <v>0</v>
      </c>
      <c r="Y183" s="122">
        <f t="shared" si="59"/>
        <v>0</v>
      </c>
      <c r="Z183" s="117">
        <f t="shared" si="60"/>
        <v>0</v>
      </c>
      <c r="AA183" s="96">
        <f t="shared" si="61"/>
        <v>0</v>
      </c>
      <c r="AB183" s="31">
        <f>ROUND(AA183*PARAMETROS!$H$24,0)</f>
        <v>0</v>
      </c>
      <c r="AC183" s="31">
        <f t="shared" si="62"/>
        <v>0</v>
      </c>
      <c r="AD183" s="31">
        <f t="shared" si="63"/>
        <v>0</v>
      </c>
      <c r="AE183" s="31">
        <f t="shared" si="66"/>
        <v>0</v>
      </c>
      <c r="AF183" s="31">
        <f t="shared" si="66"/>
        <v>0</v>
      </c>
      <c r="AG183" s="31">
        <f t="shared" si="64"/>
        <v>0</v>
      </c>
    </row>
    <row r="184" spans="1:33" ht="3" customHeight="1" x14ac:dyDescent="0.25">
      <c r="A184">
        <v>9102</v>
      </c>
      <c r="B184">
        <v>9209</v>
      </c>
      <c r="C184" t="s">
        <v>222</v>
      </c>
      <c r="D184" s="31">
        <f>+DATA!O180</f>
        <v>853469</v>
      </c>
      <c r="E184" s="31">
        <f>+DATA!T180</f>
        <v>8475223.8450000007</v>
      </c>
      <c r="F184" s="38">
        <f t="shared" si="46"/>
        <v>9328692.8450000007</v>
      </c>
      <c r="G184" s="112">
        <f t="shared" si="47"/>
        <v>0.55900000000000005</v>
      </c>
      <c r="H184" s="95">
        <f t="shared" si="48"/>
        <v>0.90849999999999997</v>
      </c>
      <c r="I184" s="6" t="str">
        <f t="shared" si="49"/>
        <v>SI</v>
      </c>
      <c r="J184" s="117">
        <f t="shared" si="50"/>
        <v>3.3112582781000001E-3</v>
      </c>
      <c r="K184" s="117">
        <f t="shared" si="51"/>
        <v>1.6556291390500001E-3</v>
      </c>
      <c r="L184" s="31">
        <f>IF(I184="SI",VLOOKUP(A184,DATA!$A$4:$D$350,4,0),0)</f>
        <v>25515</v>
      </c>
      <c r="M184" s="95">
        <f>IF(I184="SI",VLOOKUP(A184,DATA!$A$4:$E$350,5,0),0)</f>
        <v>0.17912621129294981</v>
      </c>
      <c r="N184" s="31">
        <f t="shared" si="52"/>
        <v>4570</v>
      </c>
      <c r="O184" s="117">
        <f t="shared" si="53"/>
        <v>5.5329890853999999E-3</v>
      </c>
      <c r="P184" s="117">
        <f t="shared" si="54"/>
        <v>5.5329890849999998E-4</v>
      </c>
      <c r="Q184" s="31">
        <f>IF(I184="SI",VLOOKUP(A184,DATA!$A$4:$G$350,7,0),0)</f>
        <v>14033</v>
      </c>
      <c r="R184" s="31">
        <f>IF(I184="SI",VLOOKUP(A184,DATA!$A$4:$H$350,8,0),0)</f>
        <v>15635</v>
      </c>
      <c r="S184" s="117">
        <f t="shared" si="55"/>
        <v>3.6756995723999999E-3</v>
      </c>
      <c r="T184" s="117">
        <f t="shared" si="56"/>
        <v>4.8087946141078027E-3</v>
      </c>
      <c r="U184" s="117">
        <f t="shared" si="57"/>
        <v>9.6175892279999999E-4</v>
      </c>
      <c r="V184" s="31">
        <f>IF(I184="SI",VLOOKUP(A184,COEF_FCM!$A$8:$X$354,24,0),0)</f>
        <v>853469</v>
      </c>
      <c r="W184" s="121">
        <f t="shared" si="58"/>
        <v>33.450000000000003</v>
      </c>
      <c r="X184" s="31">
        <f>IF(AND(W184&gt;0,W184&lt;$W$7),ROUND(($W$7-W184)*L184,PARAMETROS!$L$8),0)</f>
        <v>1873056</v>
      </c>
      <c r="Y184" s="122">
        <f t="shared" si="59"/>
        <v>6.9029550634000002E-3</v>
      </c>
      <c r="Z184" s="117">
        <f t="shared" si="60"/>
        <v>1.3805910126999999E-3</v>
      </c>
      <c r="AA184" s="96">
        <f t="shared" si="61"/>
        <v>4.5512779830500002E-3</v>
      </c>
      <c r="AB184" s="31">
        <f>ROUND(AA184*PARAMETROS!$H$24,0)</f>
        <v>781078949</v>
      </c>
      <c r="AC184" s="31">
        <f t="shared" si="62"/>
        <v>781078949</v>
      </c>
      <c r="AD184" s="31">
        <f t="shared" si="63"/>
        <v>195269737</v>
      </c>
      <c r="AE184" s="31">
        <f t="shared" si="66"/>
        <v>195269737</v>
      </c>
      <c r="AF184" s="31">
        <f t="shared" si="66"/>
        <v>195269737</v>
      </c>
      <c r="AG184" s="31">
        <f t="shared" si="64"/>
        <v>195269738</v>
      </c>
    </row>
    <row r="185" spans="1:33" ht="3" customHeight="1" x14ac:dyDescent="0.25">
      <c r="A185">
        <v>9103</v>
      </c>
      <c r="B185">
        <v>9204</v>
      </c>
      <c r="C185" t="s">
        <v>217</v>
      </c>
      <c r="D185" s="31">
        <f>+DATA!O181</f>
        <v>2016417</v>
      </c>
      <c r="E185" s="31">
        <f>+DATA!T181</f>
        <v>4886561.432</v>
      </c>
      <c r="F185" s="38">
        <f t="shared" si="46"/>
        <v>6902978.432</v>
      </c>
      <c r="G185" s="112">
        <f t="shared" si="47"/>
        <v>0.45700000000000002</v>
      </c>
      <c r="H185" s="95">
        <f t="shared" si="48"/>
        <v>0.70789999999999997</v>
      </c>
      <c r="I185" s="6" t="str">
        <f t="shared" si="49"/>
        <v>SI</v>
      </c>
      <c r="J185" s="117">
        <f t="shared" si="50"/>
        <v>3.3112582781000001E-3</v>
      </c>
      <c r="K185" s="117">
        <f t="shared" si="51"/>
        <v>1.6556291390500001E-3</v>
      </c>
      <c r="L185" s="31">
        <f>IF(I185="SI",VLOOKUP(A185,DATA!$A$4:$D$350,4,0),0)</f>
        <v>18068</v>
      </c>
      <c r="M185" s="95">
        <f>IF(I185="SI",VLOOKUP(A185,DATA!$A$4:$E$350,5,0),0)</f>
        <v>0.1480947838943408</v>
      </c>
      <c r="N185" s="31">
        <f t="shared" si="52"/>
        <v>2676</v>
      </c>
      <c r="O185" s="117">
        <f t="shared" si="53"/>
        <v>3.2398859501999999E-3</v>
      </c>
      <c r="P185" s="117">
        <f t="shared" si="54"/>
        <v>3.23988595E-4</v>
      </c>
      <c r="Q185" s="31">
        <f>IF(I185="SI",VLOOKUP(A185,DATA!$A$4:$G$350,7,0),0)</f>
        <v>9751</v>
      </c>
      <c r="R185" s="31">
        <f>IF(I185="SI",VLOOKUP(A185,DATA!$A$4:$H$350,8,0),0)</f>
        <v>13829</v>
      </c>
      <c r="S185" s="117">
        <f t="shared" si="55"/>
        <v>2.0065240947E-3</v>
      </c>
      <c r="T185" s="117">
        <f t="shared" si="56"/>
        <v>2.6250682542509128E-3</v>
      </c>
      <c r="U185" s="117">
        <f t="shared" si="57"/>
        <v>5.2501365089999998E-4</v>
      </c>
      <c r="V185" s="31">
        <f>IF(I185="SI",VLOOKUP(A185,COEF_FCM!$A$8:$X$354,24,0),0)</f>
        <v>2016417</v>
      </c>
      <c r="W185" s="121">
        <f t="shared" si="58"/>
        <v>111.6</v>
      </c>
      <c r="X185" s="31">
        <f>IF(AND(W185&gt;0,W185&lt;$W$7),ROUND(($W$7-W185)*L185,PARAMETROS!$L$8),0)</f>
        <v>0</v>
      </c>
      <c r="Y185" s="122">
        <f t="shared" si="59"/>
        <v>0</v>
      </c>
      <c r="Z185" s="117">
        <f t="shared" si="60"/>
        <v>0</v>
      </c>
      <c r="AA185" s="96">
        <f t="shared" si="61"/>
        <v>2.50463138495E-3</v>
      </c>
      <c r="AB185" s="31">
        <f>ROUND(AA185*PARAMETROS!$H$24,0)</f>
        <v>429838577</v>
      </c>
      <c r="AC185" s="31">
        <f t="shared" si="62"/>
        <v>429838577</v>
      </c>
      <c r="AD185" s="31">
        <f t="shared" si="63"/>
        <v>107459644</v>
      </c>
      <c r="AE185" s="31">
        <f t="shared" si="66"/>
        <v>107459644</v>
      </c>
      <c r="AF185" s="31">
        <f t="shared" si="66"/>
        <v>107459644</v>
      </c>
      <c r="AG185" s="31">
        <f t="shared" si="64"/>
        <v>107459645</v>
      </c>
    </row>
    <row r="186" spans="1:33" ht="3" customHeight="1" x14ac:dyDescent="0.25">
      <c r="A186">
        <v>9104</v>
      </c>
      <c r="B186">
        <v>9218</v>
      </c>
      <c r="C186" t="s">
        <v>228</v>
      </c>
      <c r="D186" s="31">
        <f>+DATA!O182</f>
        <v>363356</v>
      </c>
      <c r="E186" s="31">
        <f>+DATA!T182</f>
        <v>3144135.6150000002</v>
      </c>
      <c r="F186" s="38">
        <f t="shared" si="46"/>
        <v>3507491.6150000002</v>
      </c>
      <c r="G186" s="112">
        <f t="shared" si="47"/>
        <v>0.113</v>
      </c>
      <c r="H186" s="95">
        <f t="shared" si="48"/>
        <v>0.89639999999999997</v>
      </c>
      <c r="I186" s="6" t="str">
        <f t="shared" si="49"/>
        <v>SI</v>
      </c>
      <c r="J186" s="117">
        <f t="shared" si="50"/>
        <v>3.3112582781000001E-3</v>
      </c>
      <c r="K186" s="117">
        <f t="shared" si="51"/>
        <v>1.6556291390500001E-3</v>
      </c>
      <c r="L186" s="31">
        <f>IF(I186="SI",VLOOKUP(A186,DATA!$A$4:$D$350,4,0),0)</f>
        <v>7873</v>
      </c>
      <c r="M186" s="95">
        <f>IF(I186="SI",VLOOKUP(A186,DATA!$A$4:$E$350,5,0),0)</f>
        <v>0.15219255672629961</v>
      </c>
      <c r="N186" s="31">
        <f t="shared" si="52"/>
        <v>1198</v>
      </c>
      <c r="O186" s="117">
        <f t="shared" si="53"/>
        <v>1.4504422154000001E-3</v>
      </c>
      <c r="P186" s="117">
        <f t="shared" si="54"/>
        <v>1.450442215E-4</v>
      </c>
      <c r="Q186" s="31">
        <f>IF(I186="SI",VLOOKUP(A186,DATA!$A$4:$G$350,7,0),0)</f>
        <v>3342</v>
      </c>
      <c r="R186" s="31">
        <f>IF(I186="SI",VLOOKUP(A186,DATA!$A$4:$H$350,8,0),0)</f>
        <v>5620</v>
      </c>
      <c r="S186" s="117">
        <f t="shared" si="55"/>
        <v>5.7998053529999998E-4</v>
      </c>
      <c r="T186" s="117">
        <f t="shared" si="56"/>
        <v>7.5876910490183349E-4</v>
      </c>
      <c r="U186" s="117">
        <f t="shared" si="57"/>
        <v>1.5175382099999999E-4</v>
      </c>
      <c r="V186" s="31">
        <f>IF(I186="SI",VLOOKUP(A186,COEF_FCM!$A$8:$X$354,24,0),0)</f>
        <v>363356</v>
      </c>
      <c r="W186" s="121">
        <f t="shared" si="58"/>
        <v>46.15</v>
      </c>
      <c r="X186" s="31">
        <f>IF(AND(W186&gt;0,W186&lt;$W$7),ROUND(($W$7-W186)*L186,PARAMETROS!$L$8),0)</f>
        <v>477970</v>
      </c>
      <c r="Y186" s="122">
        <f t="shared" si="59"/>
        <v>1.7615092295999999E-3</v>
      </c>
      <c r="Z186" s="117">
        <f t="shared" si="60"/>
        <v>3.5230184590000002E-4</v>
      </c>
      <c r="AA186" s="96">
        <f t="shared" si="61"/>
        <v>2.3047290274499999E-3</v>
      </c>
      <c r="AB186" s="31">
        <f>ROUND(AA186*PARAMETROS!$H$24,0)</f>
        <v>395531834</v>
      </c>
      <c r="AC186" s="31">
        <f t="shared" si="62"/>
        <v>395531834</v>
      </c>
      <c r="AD186" s="31">
        <f t="shared" si="63"/>
        <v>98882959</v>
      </c>
      <c r="AE186" s="31">
        <f t="shared" si="66"/>
        <v>98882959</v>
      </c>
      <c r="AF186" s="31">
        <f t="shared" si="66"/>
        <v>98882959</v>
      </c>
      <c r="AG186" s="31">
        <f t="shared" si="64"/>
        <v>98882957</v>
      </c>
    </row>
    <row r="187" spans="1:33" ht="3" customHeight="1" x14ac:dyDescent="0.25">
      <c r="A187">
        <v>9105</v>
      </c>
      <c r="B187">
        <v>9203</v>
      </c>
      <c r="C187" t="s">
        <v>216</v>
      </c>
      <c r="D187" s="31">
        <f>+DATA!O183</f>
        <v>1924617</v>
      </c>
      <c r="E187" s="31">
        <f>+DATA!T183</f>
        <v>6319236.2570000002</v>
      </c>
      <c r="F187" s="38">
        <f t="shared" si="46"/>
        <v>8243853.2570000002</v>
      </c>
      <c r="G187" s="112">
        <f t="shared" si="47"/>
        <v>0.52400000000000002</v>
      </c>
      <c r="H187" s="95">
        <f t="shared" si="48"/>
        <v>0.76649999999999996</v>
      </c>
      <c r="I187" s="6" t="str">
        <f t="shared" si="49"/>
        <v>SI</v>
      </c>
      <c r="J187" s="117">
        <f t="shared" si="50"/>
        <v>3.3112582781000001E-3</v>
      </c>
      <c r="K187" s="117">
        <f t="shared" si="51"/>
        <v>1.6556291390500001E-3</v>
      </c>
      <c r="L187" s="31">
        <f>IF(I187="SI",VLOOKUP(A187,DATA!$A$4:$D$350,4,0),0)</f>
        <v>25488</v>
      </c>
      <c r="M187" s="95">
        <f>IF(I187="SI",VLOOKUP(A187,DATA!$A$4:$E$350,5,0),0)</f>
        <v>0.1441236436286287</v>
      </c>
      <c r="N187" s="31">
        <f t="shared" si="52"/>
        <v>3673</v>
      </c>
      <c r="O187" s="117">
        <f t="shared" si="53"/>
        <v>4.4469735034000004E-3</v>
      </c>
      <c r="P187" s="117">
        <f t="shared" si="54"/>
        <v>4.4469735029999997E-4</v>
      </c>
      <c r="Q187" s="31">
        <f>IF(I187="SI",VLOOKUP(A187,DATA!$A$4:$G$350,7,0),0)</f>
        <v>11680</v>
      </c>
      <c r="R187" s="31">
        <f>IF(I187="SI",VLOOKUP(A187,DATA!$A$4:$H$350,8,0),0)</f>
        <v>14388</v>
      </c>
      <c r="S187" s="117">
        <f t="shared" si="55"/>
        <v>2.7670824464999999E-3</v>
      </c>
      <c r="T187" s="117">
        <f t="shared" si="56"/>
        <v>3.6200812670969316E-3</v>
      </c>
      <c r="U187" s="117">
        <f t="shared" si="57"/>
        <v>7.2401625340000005E-4</v>
      </c>
      <c r="V187" s="31">
        <f>IF(I187="SI",VLOOKUP(A187,COEF_FCM!$A$8:$X$354,24,0),0)</f>
        <v>1924617</v>
      </c>
      <c r="W187" s="121">
        <f t="shared" si="58"/>
        <v>75.510000000000005</v>
      </c>
      <c r="X187" s="31">
        <f>IF(AND(W187&gt;0,W187&lt;$W$7),ROUND(($W$7-W187)*L187,PARAMETROS!$L$8),0)</f>
        <v>799049</v>
      </c>
      <c r="Y187" s="122">
        <f t="shared" si="59"/>
        <v>2.9448128302000001E-3</v>
      </c>
      <c r="Z187" s="117">
        <f t="shared" si="60"/>
        <v>5.8896256599999996E-4</v>
      </c>
      <c r="AA187" s="96">
        <f t="shared" si="61"/>
        <v>3.4133053087500001E-3</v>
      </c>
      <c r="AB187" s="31">
        <f>ROUND(AA187*PARAMETROS!$H$24,0)</f>
        <v>585782924</v>
      </c>
      <c r="AC187" s="31">
        <f t="shared" si="62"/>
        <v>585782924</v>
      </c>
      <c r="AD187" s="31">
        <f t="shared" si="63"/>
        <v>146445731</v>
      </c>
      <c r="AE187" s="31">
        <f t="shared" si="66"/>
        <v>146445731</v>
      </c>
      <c r="AF187" s="31">
        <f t="shared" si="66"/>
        <v>146445731</v>
      </c>
      <c r="AG187" s="31">
        <f t="shared" si="64"/>
        <v>146445731</v>
      </c>
    </row>
    <row r="188" spans="1:33" ht="3" customHeight="1" x14ac:dyDescent="0.25">
      <c r="A188">
        <v>9106</v>
      </c>
      <c r="B188">
        <v>9207</v>
      </c>
      <c r="C188" t="s">
        <v>220</v>
      </c>
      <c r="D188" s="31">
        <f>+DATA!O184</f>
        <v>600698</v>
      </c>
      <c r="E188" s="31">
        <f>+DATA!T184</f>
        <v>4501405.5650000004</v>
      </c>
      <c r="F188" s="38">
        <f t="shared" si="46"/>
        <v>5102103.5650000004</v>
      </c>
      <c r="G188" s="112">
        <f t="shared" si="47"/>
        <v>0.29799999999999999</v>
      </c>
      <c r="H188" s="95">
        <f t="shared" si="48"/>
        <v>0.88229999999999997</v>
      </c>
      <c r="I188" s="6" t="str">
        <f t="shared" si="49"/>
        <v>SI</v>
      </c>
      <c r="J188" s="117">
        <f t="shared" si="50"/>
        <v>3.3112582781000001E-3</v>
      </c>
      <c r="K188" s="117">
        <f t="shared" si="51"/>
        <v>1.6556291390500001E-3</v>
      </c>
      <c r="L188" s="31">
        <f>IF(I188="SI",VLOOKUP(A188,DATA!$A$4:$D$350,4,0),0)</f>
        <v>12568</v>
      </c>
      <c r="M188" s="95">
        <f>IF(I188="SI",VLOOKUP(A188,DATA!$A$4:$E$350,5,0),0)</f>
        <v>0.1675842073730385</v>
      </c>
      <c r="N188" s="31">
        <f t="shared" si="52"/>
        <v>2106</v>
      </c>
      <c r="O188" s="117">
        <f t="shared" si="53"/>
        <v>2.5497757142000001E-3</v>
      </c>
      <c r="P188" s="117">
        <f t="shared" si="54"/>
        <v>2.549775714E-4</v>
      </c>
      <c r="Q188" s="31">
        <f>IF(I188="SI",VLOOKUP(A188,DATA!$A$4:$G$350,7,0),0)</f>
        <v>7403</v>
      </c>
      <c r="R188" s="31">
        <f>IF(I188="SI",VLOOKUP(A188,DATA!$A$4:$H$350,8,0),0)</f>
        <v>7942</v>
      </c>
      <c r="S188" s="117">
        <f t="shared" si="55"/>
        <v>2.0138283897000002E-3</v>
      </c>
      <c r="T188" s="117">
        <f t="shared" si="56"/>
        <v>2.6346242187044824E-3</v>
      </c>
      <c r="U188" s="117">
        <f t="shared" si="57"/>
        <v>5.2692484369999996E-4</v>
      </c>
      <c r="V188" s="31">
        <f>IF(I188="SI",VLOOKUP(A188,COEF_FCM!$A$8:$X$354,24,0),0)</f>
        <v>600698</v>
      </c>
      <c r="W188" s="121">
        <f t="shared" si="58"/>
        <v>47.8</v>
      </c>
      <c r="X188" s="31">
        <f>IF(AND(W188&gt;0,W188&lt;$W$7),ROUND(($W$7-W188)*L188,PARAMETROS!$L$8),0)</f>
        <v>742266</v>
      </c>
      <c r="Y188" s="122">
        <f t="shared" si="59"/>
        <v>2.7355449293000001E-3</v>
      </c>
      <c r="Z188" s="117">
        <f t="shared" si="60"/>
        <v>5.4710898590000002E-4</v>
      </c>
      <c r="AA188" s="96">
        <f t="shared" si="61"/>
        <v>2.9846405400499997E-3</v>
      </c>
      <c r="AB188" s="31">
        <f>ROUND(AA188*PARAMETROS!$H$24,0)</f>
        <v>512216548</v>
      </c>
      <c r="AC188" s="31">
        <f t="shared" si="62"/>
        <v>512216548</v>
      </c>
      <c r="AD188" s="31">
        <f t="shared" si="63"/>
        <v>128054137</v>
      </c>
      <c r="AE188" s="31">
        <f t="shared" si="66"/>
        <v>128054137</v>
      </c>
      <c r="AF188" s="31">
        <f t="shared" si="66"/>
        <v>128054137</v>
      </c>
      <c r="AG188" s="31">
        <f t="shared" si="64"/>
        <v>128054137</v>
      </c>
    </row>
    <row r="189" spans="1:33" ht="3" customHeight="1" x14ac:dyDescent="0.25">
      <c r="A189">
        <v>9107</v>
      </c>
      <c r="B189">
        <v>9212</v>
      </c>
      <c r="C189" t="s">
        <v>224</v>
      </c>
      <c r="D189" s="31">
        <f>+DATA!O185</f>
        <v>1060795</v>
      </c>
      <c r="E189" s="31">
        <f>+DATA!T185</f>
        <v>4790820.5520000001</v>
      </c>
      <c r="F189" s="38">
        <f t="shared" si="46"/>
        <v>5851615.5520000001</v>
      </c>
      <c r="G189" s="112">
        <f t="shared" si="47"/>
        <v>0.38500000000000001</v>
      </c>
      <c r="H189" s="95">
        <f t="shared" si="48"/>
        <v>0.81869999999999998</v>
      </c>
      <c r="I189" s="6" t="str">
        <f t="shared" si="49"/>
        <v>SI</v>
      </c>
      <c r="J189" s="117">
        <f t="shared" si="50"/>
        <v>3.3112582781000001E-3</v>
      </c>
      <c r="K189" s="117">
        <f t="shared" si="51"/>
        <v>1.6556291390500001E-3</v>
      </c>
      <c r="L189" s="31">
        <f>IF(I189="SI",VLOOKUP(A189,DATA!$A$4:$D$350,4,0),0)</f>
        <v>15076</v>
      </c>
      <c r="M189" s="95">
        <f>IF(I189="SI",VLOOKUP(A189,DATA!$A$4:$E$350,5,0),0)</f>
        <v>0.12754527656973999</v>
      </c>
      <c r="N189" s="31">
        <f t="shared" si="52"/>
        <v>1923</v>
      </c>
      <c r="O189" s="117">
        <f t="shared" si="53"/>
        <v>2.3282140068000001E-3</v>
      </c>
      <c r="P189" s="117">
        <f t="shared" si="54"/>
        <v>2.3282140070000001E-4</v>
      </c>
      <c r="Q189" s="31">
        <f>IF(I189="SI",VLOOKUP(A189,DATA!$A$4:$G$350,7,0),0)</f>
        <v>7308</v>
      </c>
      <c r="R189" s="31">
        <f>IF(I189="SI",VLOOKUP(A189,DATA!$A$4:$H$350,8,0),0)</f>
        <v>9348</v>
      </c>
      <c r="S189" s="117">
        <f t="shared" si="55"/>
        <v>1.6673056297E-3</v>
      </c>
      <c r="T189" s="117">
        <f t="shared" si="56"/>
        <v>2.1812801003586661E-3</v>
      </c>
      <c r="U189" s="117">
        <f t="shared" si="57"/>
        <v>4.362560201E-4</v>
      </c>
      <c r="V189" s="31">
        <f>IF(I189="SI",VLOOKUP(A189,COEF_FCM!$A$8:$X$354,24,0),0)</f>
        <v>1060795</v>
      </c>
      <c r="W189" s="121">
        <f t="shared" si="58"/>
        <v>70.36</v>
      </c>
      <c r="X189" s="31">
        <f>IF(AND(W189&gt;0,W189&lt;$W$7),ROUND(($W$7-W189)*L189,PARAMETROS!$L$8),0)</f>
        <v>550274</v>
      </c>
      <c r="Y189" s="122">
        <f t="shared" si="59"/>
        <v>2.0279781782000001E-3</v>
      </c>
      <c r="Z189" s="117">
        <f t="shared" si="60"/>
        <v>4.0559563560000001E-4</v>
      </c>
      <c r="AA189" s="96">
        <f t="shared" si="61"/>
        <v>2.7303021954500004E-3</v>
      </c>
      <c r="AB189" s="31">
        <f>ROUND(AA189*PARAMETROS!$H$24,0)</f>
        <v>468567637</v>
      </c>
      <c r="AC189" s="31">
        <f t="shared" si="62"/>
        <v>468567637</v>
      </c>
      <c r="AD189" s="31">
        <f t="shared" si="63"/>
        <v>117141909</v>
      </c>
      <c r="AE189" s="31">
        <f t="shared" ref="AE189:AF208" si="67">+AD189</f>
        <v>117141909</v>
      </c>
      <c r="AF189" s="31">
        <f t="shared" si="67"/>
        <v>117141909</v>
      </c>
      <c r="AG189" s="31">
        <f t="shared" si="64"/>
        <v>117141910</v>
      </c>
    </row>
    <row r="190" spans="1:33" ht="3" customHeight="1" x14ac:dyDescent="0.25">
      <c r="A190">
        <v>9108</v>
      </c>
      <c r="B190">
        <v>9205</v>
      </c>
      <c r="C190" t="s">
        <v>218</v>
      </c>
      <c r="D190" s="31">
        <f>+DATA!O186</f>
        <v>5171342</v>
      </c>
      <c r="E190" s="31">
        <f>+DATA!T186</f>
        <v>6070880.1679999996</v>
      </c>
      <c r="F190" s="38">
        <f t="shared" si="46"/>
        <v>11242222.168</v>
      </c>
      <c r="G190" s="112">
        <f t="shared" si="47"/>
        <v>0.626</v>
      </c>
      <c r="H190" s="95">
        <f t="shared" si="48"/>
        <v>0.54</v>
      </c>
      <c r="I190" s="6" t="str">
        <f t="shared" si="49"/>
        <v>SI</v>
      </c>
      <c r="J190" s="117">
        <f t="shared" si="50"/>
        <v>3.3112582781000001E-3</v>
      </c>
      <c r="K190" s="117">
        <f t="shared" si="51"/>
        <v>1.6556291390500001E-3</v>
      </c>
      <c r="L190" s="31">
        <f>IF(I190="SI",VLOOKUP(A190,DATA!$A$4:$D$350,4,0),0)</f>
        <v>41884</v>
      </c>
      <c r="M190" s="95">
        <f>IF(I190="SI",VLOOKUP(A190,DATA!$A$4:$E$350,5,0),0)</f>
        <v>8.8133530560989923E-2</v>
      </c>
      <c r="N190" s="31">
        <f t="shared" si="52"/>
        <v>3691</v>
      </c>
      <c r="O190" s="117">
        <f t="shared" si="53"/>
        <v>4.4687664582000004E-3</v>
      </c>
      <c r="P190" s="117">
        <f t="shared" si="54"/>
        <v>4.4687664579999998E-4</v>
      </c>
      <c r="Q190" s="31">
        <f>IF(I190="SI",VLOOKUP(A190,DATA!$A$4:$G$350,7,0),0)</f>
        <v>17331</v>
      </c>
      <c r="R190" s="31">
        <f>IF(I190="SI",VLOOKUP(A190,DATA!$A$4:$H$350,8,0),0)</f>
        <v>20857</v>
      </c>
      <c r="S190" s="117">
        <f t="shared" si="55"/>
        <v>4.2027373180000003E-3</v>
      </c>
      <c r="T190" s="117">
        <f t="shared" si="56"/>
        <v>5.4983004408361786E-3</v>
      </c>
      <c r="U190" s="117">
        <f t="shared" si="57"/>
        <v>1.0996600882E-3</v>
      </c>
      <c r="V190" s="31">
        <f>IF(I190="SI",VLOOKUP(A190,COEF_FCM!$A$8:$X$354,24,0),0)</f>
        <v>5171342</v>
      </c>
      <c r="W190" s="121">
        <f t="shared" si="58"/>
        <v>123.47</v>
      </c>
      <c r="X190" s="31">
        <f>IF(AND(W190&gt;0,W190&lt;$W$7),ROUND(($W$7-W190)*L190,PARAMETROS!$L$8),0)</f>
        <v>0</v>
      </c>
      <c r="Y190" s="122">
        <f t="shared" si="59"/>
        <v>0</v>
      </c>
      <c r="Z190" s="117">
        <f t="shared" si="60"/>
        <v>0</v>
      </c>
      <c r="AA190" s="96">
        <f t="shared" si="61"/>
        <v>3.2021658730500002E-3</v>
      </c>
      <c r="AB190" s="31">
        <f>ROUND(AA190*PARAMETROS!$H$24,0)</f>
        <v>549547702</v>
      </c>
      <c r="AC190" s="31">
        <f t="shared" si="62"/>
        <v>549547702</v>
      </c>
      <c r="AD190" s="31">
        <f t="shared" si="63"/>
        <v>137386926</v>
      </c>
      <c r="AE190" s="31">
        <f t="shared" si="67"/>
        <v>137386926</v>
      </c>
      <c r="AF190" s="31">
        <f t="shared" si="67"/>
        <v>137386926</v>
      </c>
      <c r="AG190" s="31">
        <f t="shared" si="64"/>
        <v>137386924</v>
      </c>
    </row>
    <row r="191" spans="1:33" ht="3" customHeight="1" x14ac:dyDescent="0.25">
      <c r="A191">
        <v>9109</v>
      </c>
      <c r="B191">
        <v>9214</v>
      </c>
      <c r="C191" t="s">
        <v>225</v>
      </c>
      <c r="D191" s="31">
        <f>+DATA!O187</f>
        <v>1903986</v>
      </c>
      <c r="E191" s="31">
        <f>+DATA!T187</f>
        <v>5862330.7240000004</v>
      </c>
      <c r="F191" s="38">
        <f t="shared" si="46"/>
        <v>7766316.7240000004</v>
      </c>
      <c r="G191" s="112">
        <f t="shared" si="47"/>
        <v>0.48399999999999999</v>
      </c>
      <c r="H191" s="95">
        <f t="shared" si="48"/>
        <v>0.75480000000000003</v>
      </c>
      <c r="I191" s="6" t="str">
        <f t="shared" si="49"/>
        <v>SI</v>
      </c>
      <c r="J191" s="117">
        <f t="shared" si="50"/>
        <v>3.3112582781000001E-3</v>
      </c>
      <c r="K191" s="117">
        <f t="shared" si="51"/>
        <v>1.6556291390500001E-3</v>
      </c>
      <c r="L191" s="31">
        <f>IF(I191="SI",VLOOKUP(A191,DATA!$A$4:$D$350,4,0),0)</f>
        <v>24785</v>
      </c>
      <c r="M191" s="95">
        <f>IF(I191="SI",VLOOKUP(A191,DATA!$A$4:$E$350,5,0),0)</f>
        <v>0.1227706099754267</v>
      </c>
      <c r="N191" s="31">
        <f t="shared" si="52"/>
        <v>3043</v>
      </c>
      <c r="O191" s="117">
        <f t="shared" si="53"/>
        <v>3.6842200846E-3</v>
      </c>
      <c r="P191" s="117">
        <f t="shared" si="54"/>
        <v>3.684220085E-4</v>
      </c>
      <c r="Q191" s="31">
        <f>IF(I191="SI",VLOOKUP(A191,DATA!$A$4:$G$350,7,0),0)</f>
        <v>11694</v>
      </c>
      <c r="R191" s="31">
        <f>IF(I191="SI",VLOOKUP(A191,DATA!$A$4:$H$350,8,0),0)</f>
        <v>15848</v>
      </c>
      <c r="S191" s="117">
        <f t="shared" si="55"/>
        <v>2.5181903735999999E-3</v>
      </c>
      <c r="T191" s="117">
        <f t="shared" si="56"/>
        <v>3.2944641060420185E-3</v>
      </c>
      <c r="U191" s="117">
        <f t="shared" si="57"/>
        <v>6.5889282120000004E-4</v>
      </c>
      <c r="V191" s="31">
        <f>IF(I191="SI",VLOOKUP(A191,COEF_FCM!$A$8:$X$354,24,0),0)</f>
        <v>1903986</v>
      </c>
      <c r="W191" s="121">
        <f t="shared" si="58"/>
        <v>76.819999999999993</v>
      </c>
      <c r="X191" s="31">
        <f>IF(AND(W191&gt;0,W191&lt;$W$7),ROUND(($W$7-W191)*L191,PARAMETROS!$L$8),0)</f>
        <v>744541</v>
      </c>
      <c r="Y191" s="122">
        <f t="shared" si="59"/>
        <v>2.7439292076000001E-3</v>
      </c>
      <c r="Z191" s="117">
        <f t="shared" si="60"/>
        <v>5.4878584149999998E-4</v>
      </c>
      <c r="AA191" s="96">
        <f t="shared" si="61"/>
        <v>3.2317298102500004E-3</v>
      </c>
      <c r="AB191" s="31">
        <f>ROUND(AA191*PARAMETROS!$H$24,0)</f>
        <v>554621391</v>
      </c>
      <c r="AC191" s="31">
        <f t="shared" si="62"/>
        <v>554621391</v>
      </c>
      <c r="AD191" s="31">
        <f t="shared" si="63"/>
        <v>138655348</v>
      </c>
      <c r="AE191" s="31">
        <f t="shared" si="67"/>
        <v>138655348</v>
      </c>
      <c r="AF191" s="31">
        <f t="shared" si="67"/>
        <v>138655348</v>
      </c>
      <c r="AG191" s="31">
        <f t="shared" si="64"/>
        <v>138655347</v>
      </c>
    </row>
    <row r="192" spans="1:33" ht="3" customHeight="1" x14ac:dyDescent="0.25">
      <c r="A192">
        <v>9110</v>
      </c>
      <c r="B192">
        <v>9217</v>
      </c>
      <c r="C192" t="s">
        <v>227</v>
      </c>
      <c r="D192" s="31">
        <f>+DATA!O188</f>
        <v>455765</v>
      </c>
      <c r="E192" s="31">
        <f>+DATA!T188</f>
        <v>4338389.9400000004</v>
      </c>
      <c r="F192" s="38">
        <f t="shared" si="46"/>
        <v>4794154.9400000004</v>
      </c>
      <c r="G192" s="112">
        <f t="shared" si="47"/>
        <v>0.255</v>
      </c>
      <c r="H192" s="95">
        <f t="shared" si="48"/>
        <v>0.90490000000000004</v>
      </c>
      <c r="I192" s="6" t="str">
        <f t="shared" si="49"/>
        <v>SI</v>
      </c>
      <c r="J192" s="117">
        <f t="shared" si="50"/>
        <v>3.3112582781000001E-3</v>
      </c>
      <c r="K192" s="117">
        <f t="shared" si="51"/>
        <v>1.6556291390500001E-3</v>
      </c>
      <c r="L192" s="31">
        <f>IF(I192="SI",VLOOKUP(A192,DATA!$A$4:$D$350,4,0),0)</f>
        <v>6319</v>
      </c>
      <c r="M192" s="95">
        <f>IF(I192="SI",VLOOKUP(A192,DATA!$A$4:$E$350,5,0),0)</f>
        <v>0.1566905777888791</v>
      </c>
      <c r="N192" s="31">
        <f t="shared" si="52"/>
        <v>990</v>
      </c>
      <c r="O192" s="117">
        <f t="shared" si="53"/>
        <v>1.1986125152E-3</v>
      </c>
      <c r="P192" s="117">
        <f t="shared" si="54"/>
        <v>1.1986125149999999E-4</v>
      </c>
      <c r="Q192" s="31">
        <f>IF(I192="SI",VLOOKUP(A192,DATA!$A$4:$G$350,7,0),0)</f>
        <v>3545</v>
      </c>
      <c r="R192" s="31">
        <f>IF(I192="SI",VLOOKUP(A192,DATA!$A$4:$H$350,8,0),0)</f>
        <v>4666</v>
      </c>
      <c r="S192" s="117">
        <f t="shared" si="55"/>
        <v>7.8600369469999996E-4</v>
      </c>
      <c r="T192" s="117">
        <f t="shared" si="56"/>
        <v>1.0283023025394503E-3</v>
      </c>
      <c r="U192" s="117">
        <f t="shared" si="57"/>
        <v>2.0566046050000001E-4</v>
      </c>
      <c r="V192" s="31">
        <f>IF(I192="SI",VLOOKUP(A192,COEF_FCM!$A$8:$X$354,24,0),0)</f>
        <v>455765</v>
      </c>
      <c r="W192" s="121">
        <f t="shared" si="58"/>
        <v>72.13</v>
      </c>
      <c r="X192" s="31">
        <f>IF(AND(W192&gt;0,W192&lt;$W$7),ROUND(($W$7-W192)*L192,PARAMETROS!$L$8),0)</f>
        <v>219459</v>
      </c>
      <c r="Y192" s="122">
        <f t="shared" si="59"/>
        <v>8.08793552E-4</v>
      </c>
      <c r="Z192" s="117">
        <f t="shared" si="60"/>
        <v>1.6175871039999999E-4</v>
      </c>
      <c r="AA192" s="96">
        <f t="shared" si="61"/>
        <v>2.1429095614499999E-3</v>
      </c>
      <c r="AB192" s="31">
        <f>ROUND(AA192*PARAMETROS!$H$24,0)</f>
        <v>367760782</v>
      </c>
      <c r="AC192" s="31">
        <f t="shared" si="62"/>
        <v>367760782</v>
      </c>
      <c r="AD192" s="31">
        <f t="shared" si="63"/>
        <v>91940196</v>
      </c>
      <c r="AE192" s="31">
        <f t="shared" si="67"/>
        <v>91940196</v>
      </c>
      <c r="AF192" s="31">
        <f t="shared" si="67"/>
        <v>91940196</v>
      </c>
      <c r="AG192" s="31">
        <f t="shared" si="64"/>
        <v>91940194</v>
      </c>
    </row>
    <row r="193" spans="1:33" ht="3" customHeight="1" x14ac:dyDescent="0.25">
      <c r="A193">
        <v>9111</v>
      </c>
      <c r="B193">
        <v>9208</v>
      </c>
      <c r="C193" t="s">
        <v>221</v>
      </c>
      <c r="D193" s="31">
        <f>+DATA!O189</f>
        <v>1509322</v>
      </c>
      <c r="E193" s="31">
        <f>+DATA!T189</f>
        <v>8669946.0439999998</v>
      </c>
      <c r="F193" s="38">
        <f t="shared" si="46"/>
        <v>10179268.044</v>
      </c>
      <c r="G193" s="112">
        <f t="shared" si="47"/>
        <v>0.60199999999999998</v>
      </c>
      <c r="H193" s="95">
        <f t="shared" si="48"/>
        <v>0.85170000000000001</v>
      </c>
      <c r="I193" s="6" t="str">
        <f t="shared" si="49"/>
        <v>SI</v>
      </c>
      <c r="J193" s="117">
        <f t="shared" si="50"/>
        <v>3.3112582781000001E-3</v>
      </c>
      <c r="K193" s="117">
        <f t="shared" si="51"/>
        <v>1.6556291390500001E-3</v>
      </c>
      <c r="L193" s="31">
        <f>IF(I193="SI",VLOOKUP(A193,DATA!$A$4:$D$350,4,0),0)</f>
        <v>34151</v>
      </c>
      <c r="M193" s="95">
        <f>IF(I193="SI",VLOOKUP(A193,DATA!$A$4:$E$350,5,0),0)</f>
        <v>0.1282838681912552</v>
      </c>
      <c r="N193" s="31">
        <f t="shared" si="52"/>
        <v>4381</v>
      </c>
      <c r="O193" s="117">
        <f t="shared" si="53"/>
        <v>5.3041630596999999E-3</v>
      </c>
      <c r="P193" s="117">
        <f t="shared" si="54"/>
        <v>5.30416306E-4</v>
      </c>
      <c r="Q193" s="31">
        <f>IF(I193="SI",VLOOKUP(A193,DATA!$A$4:$G$350,7,0),0)</f>
        <v>17293</v>
      </c>
      <c r="R193" s="31">
        <f>IF(I193="SI",VLOOKUP(A193,DATA!$A$4:$H$350,8,0),0)</f>
        <v>18714</v>
      </c>
      <c r="S193" s="117">
        <f t="shared" si="55"/>
        <v>4.6634883990999999E-3</v>
      </c>
      <c r="T193" s="117">
        <f t="shared" si="56"/>
        <v>6.1010856450119761E-3</v>
      </c>
      <c r="U193" s="117">
        <f t="shared" si="57"/>
        <v>1.2202171289999999E-3</v>
      </c>
      <c r="V193" s="31">
        <f>IF(I193="SI",VLOOKUP(A193,COEF_FCM!$A$8:$X$354,24,0),0)</f>
        <v>1509322</v>
      </c>
      <c r="W193" s="121">
        <f t="shared" si="58"/>
        <v>44.2</v>
      </c>
      <c r="X193" s="31">
        <f>IF(AND(W193&gt;0,W193&lt;$W$7),ROUND(($W$7-W193)*L193,PARAMETROS!$L$8),0)</f>
        <v>2139902</v>
      </c>
      <c r="Y193" s="122">
        <f t="shared" si="59"/>
        <v>7.8863885255000005E-3</v>
      </c>
      <c r="Z193" s="117">
        <f t="shared" si="60"/>
        <v>1.5772777051000001E-3</v>
      </c>
      <c r="AA193" s="96">
        <f t="shared" si="61"/>
        <v>4.9835402791499998E-3</v>
      </c>
      <c r="AB193" s="31">
        <f>ROUND(AA193*PARAMETROS!$H$24,0)</f>
        <v>855262724</v>
      </c>
      <c r="AC193" s="31">
        <f t="shared" si="62"/>
        <v>855262724</v>
      </c>
      <c r="AD193" s="31">
        <f t="shared" si="63"/>
        <v>213815681</v>
      </c>
      <c r="AE193" s="31">
        <f t="shared" si="67"/>
        <v>213815681</v>
      </c>
      <c r="AF193" s="31">
        <f t="shared" si="67"/>
        <v>213815681</v>
      </c>
      <c r="AG193" s="31">
        <f t="shared" si="64"/>
        <v>213815681</v>
      </c>
    </row>
    <row r="194" spans="1:33" ht="3" customHeight="1" x14ac:dyDescent="0.25">
      <c r="A194">
        <v>9112</v>
      </c>
      <c r="B194">
        <v>9220</v>
      </c>
      <c r="C194" t="s">
        <v>230</v>
      </c>
      <c r="D194" s="31">
        <f>+DATA!O190</f>
        <v>4826076</v>
      </c>
      <c r="E194" s="31">
        <f>+DATA!T190</f>
        <v>14351633</v>
      </c>
      <c r="F194" s="38">
        <f t="shared" si="46"/>
        <v>19177709</v>
      </c>
      <c r="G194" s="112">
        <f t="shared" si="47"/>
        <v>0.77600000000000002</v>
      </c>
      <c r="H194" s="95">
        <f t="shared" si="48"/>
        <v>0.74829999999999997</v>
      </c>
      <c r="I194" s="6" t="str">
        <f t="shared" si="49"/>
        <v>SI</v>
      </c>
      <c r="J194" s="117">
        <f t="shared" si="50"/>
        <v>3.3112582781000001E-3</v>
      </c>
      <c r="K194" s="117">
        <f t="shared" si="51"/>
        <v>1.6556291390500001E-3</v>
      </c>
      <c r="L194" s="31">
        <f>IF(I194="SI",VLOOKUP(A194,DATA!$A$4:$D$350,4,0),0)</f>
        <v>85373</v>
      </c>
      <c r="M194" s="95">
        <f>IF(I194="SI",VLOOKUP(A194,DATA!$A$4:$E$350,5,0),0)</f>
        <v>0.12702109904273229</v>
      </c>
      <c r="N194" s="31">
        <f t="shared" si="52"/>
        <v>10844</v>
      </c>
      <c r="O194" s="117">
        <f t="shared" si="53"/>
        <v>1.31290445605E-2</v>
      </c>
      <c r="P194" s="117">
        <f t="shared" si="54"/>
        <v>1.3129044560999999E-3</v>
      </c>
      <c r="Q194" s="31">
        <f>IF(I194="SI",VLOOKUP(A194,DATA!$A$4:$G$350,7,0),0)</f>
        <v>29886</v>
      </c>
      <c r="R194" s="31">
        <f>IF(I194="SI",VLOOKUP(A194,DATA!$A$4:$H$350,8,0),0)</f>
        <v>31951</v>
      </c>
      <c r="S194" s="117">
        <f t="shared" si="55"/>
        <v>8.1580802283000003E-3</v>
      </c>
      <c r="T194" s="117">
        <f t="shared" si="56"/>
        <v>1.0672943065826604E-2</v>
      </c>
      <c r="U194" s="117">
        <f t="shared" si="57"/>
        <v>2.1345886132000001E-3</v>
      </c>
      <c r="V194" s="31">
        <f>IF(I194="SI",VLOOKUP(A194,COEF_FCM!$A$8:$X$354,24,0),0)</f>
        <v>4826076</v>
      </c>
      <c r="W194" s="121">
        <f t="shared" si="58"/>
        <v>56.53</v>
      </c>
      <c r="X194" s="31">
        <f>IF(AND(W194&gt;0,W194&lt;$W$7),ROUND(($W$7-W194)*L194,PARAMETROS!$L$8),0)</f>
        <v>4296823</v>
      </c>
      <c r="Y194" s="122">
        <f t="shared" si="59"/>
        <v>1.5835498823500001E-2</v>
      </c>
      <c r="Z194" s="117">
        <f t="shared" si="60"/>
        <v>3.1670997647E-3</v>
      </c>
      <c r="AA194" s="96">
        <f t="shared" si="61"/>
        <v>8.2702219730499994E-3</v>
      </c>
      <c r="AB194" s="31">
        <f>ROUND(AA194*PARAMETROS!$H$24,0)</f>
        <v>1419314819</v>
      </c>
      <c r="AC194" s="31">
        <f t="shared" si="62"/>
        <v>1419314819</v>
      </c>
      <c r="AD194" s="31">
        <f t="shared" si="63"/>
        <v>354828705</v>
      </c>
      <c r="AE194" s="31">
        <f t="shared" si="67"/>
        <v>354828705</v>
      </c>
      <c r="AF194" s="31">
        <f t="shared" si="67"/>
        <v>354828705</v>
      </c>
      <c r="AG194" s="31">
        <f t="shared" si="64"/>
        <v>354828704</v>
      </c>
    </row>
    <row r="195" spans="1:33" ht="3" customHeight="1" x14ac:dyDescent="0.25">
      <c r="A195">
        <v>9113</v>
      </c>
      <c r="B195">
        <v>9206</v>
      </c>
      <c r="C195" t="s">
        <v>219</v>
      </c>
      <c r="D195" s="31">
        <f>+DATA!O191</f>
        <v>755343</v>
      </c>
      <c r="E195" s="31">
        <f>+DATA!T191</f>
        <v>3210021.8390000002</v>
      </c>
      <c r="F195" s="38">
        <f t="shared" si="46"/>
        <v>3965364.8390000002</v>
      </c>
      <c r="G195" s="112">
        <f t="shared" si="47"/>
        <v>0.15</v>
      </c>
      <c r="H195" s="95">
        <f t="shared" si="48"/>
        <v>0.8095</v>
      </c>
      <c r="I195" s="6" t="str">
        <f t="shared" si="49"/>
        <v>SI</v>
      </c>
      <c r="J195" s="117">
        <f t="shared" si="50"/>
        <v>3.3112582781000001E-3</v>
      </c>
      <c r="K195" s="117">
        <f t="shared" si="51"/>
        <v>1.6556291390500001E-3</v>
      </c>
      <c r="L195" s="31">
        <f>IF(I195="SI",VLOOKUP(A195,DATA!$A$4:$D$350,4,0),0)</f>
        <v>7269</v>
      </c>
      <c r="M195" s="95">
        <f>IF(I195="SI",VLOOKUP(A195,DATA!$A$4:$E$350,5,0),0)</f>
        <v>0.14141401499108711</v>
      </c>
      <c r="N195" s="31">
        <f t="shared" si="52"/>
        <v>1028</v>
      </c>
      <c r="O195" s="117">
        <f t="shared" si="53"/>
        <v>1.2446198643E-3</v>
      </c>
      <c r="P195" s="117">
        <f t="shared" si="54"/>
        <v>1.2446198640000001E-4</v>
      </c>
      <c r="Q195" s="31">
        <f>IF(I195="SI",VLOOKUP(A195,DATA!$A$4:$G$350,7,0),0)</f>
        <v>3847</v>
      </c>
      <c r="R195" s="31">
        <f>IF(I195="SI",VLOOKUP(A195,DATA!$A$4:$H$350,8,0),0)</f>
        <v>4645</v>
      </c>
      <c r="S195" s="117">
        <f t="shared" si="55"/>
        <v>9.2981275020000002E-4</v>
      </c>
      <c r="T195" s="117">
        <f t="shared" si="56"/>
        <v>1.2164428722261054E-3</v>
      </c>
      <c r="U195" s="117">
        <f t="shared" si="57"/>
        <v>2.4328857440000001E-4</v>
      </c>
      <c r="V195" s="31">
        <f>IF(I195="SI",VLOOKUP(A195,COEF_FCM!$A$8:$X$354,24,0),0)</f>
        <v>755343</v>
      </c>
      <c r="W195" s="121">
        <f t="shared" si="58"/>
        <v>103.91</v>
      </c>
      <c r="X195" s="31">
        <f>IF(AND(W195&gt;0,W195&lt;$W$7),ROUND(($W$7-W195)*L195,PARAMETROS!$L$8),0)</f>
        <v>21444</v>
      </c>
      <c r="Y195" s="122">
        <f t="shared" si="59"/>
        <v>7.9029654400000001E-5</v>
      </c>
      <c r="Z195" s="117">
        <f t="shared" si="60"/>
        <v>1.58059309E-5</v>
      </c>
      <c r="AA195" s="96">
        <f t="shared" si="61"/>
        <v>2.0391856307500002E-3</v>
      </c>
      <c r="AB195" s="31">
        <f>ROUND(AA195*PARAMETROS!$H$24,0)</f>
        <v>349959940</v>
      </c>
      <c r="AC195" s="31">
        <f t="shared" si="62"/>
        <v>349959940</v>
      </c>
      <c r="AD195" s="31">
        <f t="shared" si="63"/>
        <v>87489985</v>
      </c>
      <c r="AE195" s="31">
        <f t="shared" si="67"/>
        <v>87489985</v>
      </c>
      <c r="AF195" s="31">
        <f t="shared" si="67"/>
        <v>87489985</v>
      </c>
      <c r="AG195" s="31">
        <f t="shared" si="64"/>
        <v>87489985</v>
      </c>
    </row>
    <row r="196" spans="1:33" ht="3" customHeight="1" x14ac:dyDescent="0.25">
      <c r="A196">
        <v>9114</v>
      </c>
      <c r="B196">
        <v>9211</v>
      </c>
      <c r="C196" t="s">
        <v>407</v>
      </c>
      <c r="D196" s="31">
        <f>+DATA!O192</f>
        <v>1586090</v>
      </c>
      <c r="E196" s="31">
        <f>+DATA!T192</f>
        <v>7185198.142</v>
      </c>
      <c r="F196" s="38">
        <f t="shared" si="46"/>
        <v>8771288.1420000009</v>
      </c>
      <c r="G196" s="112">
        <f t="shared" si="47"/>
        <v>0.54400000000000004</v>
      </c>
      <c r="H196" s="95">
        <f t="shared" si="48"/>
        <v>0.81920000000000004</v>
      </c>
      <c r="I196" s="6" t="str">
        <f t="shared" si="49"/>
        <v>SI</v>
      </c>
      <c r="J196" s="117">
        <f t="shared" si="50"/>
        <v>3.3112582781000001E-3</v>
      </c>
      <c r="K196" s="117">
        <f t="shared" si="51"/>
        <v>1.6556291390500001E-3</v>
      </c>
      <c r="L196" s="31">
        <f>IF(I196="SI",VLOOKUP(A196,DATA!$A$4:$D$350,4,0),0)</f>
        <v>26617</v>
      </c>
      <c r="M196" s="95">
        <f>IF(I196="SI",VLOOKUP(A196,DATA!$A$4:$E$350,5,0),0)</f>
        <v>0.10675621439213059</v>
      </c>
      <c r="N196" s="31">
        <f t="shared" si="52"/>
        <v>2842</v>
      </c>
      <c r="O196" s="117">
        <f t="shared" si="53"/>
        <v>3.4408654224999998E-3</v>
      </c>
      <c r="P196" s="117">
        <f t="shared" si="54"/>
        <v>3.440865423E-4</v>
      </c>
      <c r="Q196" s="31">
        <f>IF(I196="SI",VLOOKUP(A196,DATA!$A$4:$G$350,7,0),0)</f>
        <v>12180</v>
      </c>
      <c r="R196" s="31">
        <f>IF(I196="SI",VLOOKUP(A196,DATA!$A$4:$H$350,8,0),0)</f>
        <v>15299</v>
      </c>
      <c r="S196" s="117">
        <f t="shared" si="55"/>
        <v>2.8298823137000001E-3</v>
      </c>
      <c r="T196" s="117">
        <f t="shared" si="56"/>
        <v>3.7022402295501292E-3</v>
      </c>
      <c r="U196" s="117">
        <f t="shared" si="57"/>
        <v>7.4044804590000005E-4</v>
      </c>
      <c r="V196" s="31">
        <f>IF(I196="SI",VLOOKUP(A196,COEF_FCM!$A$8:$X$354,24,0),0)</f>
        <v>1586090</v>
      </c>
      <c r="W196" s="121">
        <f t="shared" si="58"/>
        <v>59.59</v>
      </c>
      <c r="X196" s="31">
        <f>IF(AND(W196&gt;0,W196&lt;$W$7),ROUND(($W$7-W196)*L196,PARAMETROS!$L$8),0)</f>
        <v>1258186</v>
      </c>
      <c r="Y196" s="122">
        <f t="shared" si="59"/>
        <v>4.6369149770999997E-3</v>
      </c>
      <c r="Z196" s="117">
        <f t="shared" si="60"/>
        <v>9.2738299539999998E-4</v>
      </c>
      <c r="AA196" s="96">
        <f t="shared" si="61"/>
        <v>3.66754672265E-3</v>
      </c>
      <c r="AB196" s="31">
        <f>ROUND(AA196*PARAMETROS!$H$24,0)</f>
        <v>629415200</v>
      </c>
      <c r="AC196" s="31">
        <f t="shared" si="62"/>
        <v>629415200</v>
      </c>
      <c r="AD196" s="31">
        <f t="shared" si="63"/>
        <v>157353800</v>
      </c>
      <c r="AE196" s="31">
        <f t="shared" si="67"/>
        <v>157353800</v>
      </c>
      <c r="AF196" s="31">
        <f t="shared" si="67"/>
        <v>157353800</v>
      </c>
      <c r="AG196" s="31">
        <f t="shared" si="64"/>
        <v>157353800</v>
      </c>
    </row>
    <row r="197" spans="1:33" ht="3" customHeight="1" x14ac:dyDescent="0.25">
      <c r="A197">
        <v>9115</v>
      </c>
      <c r="B197">
        <v>9216</v>
      </c>
      <c r="C197" t="s">
        <v>408</v>
      </c>
      <c r="D197" s="31">
        <f>+DATA!O193</f>
        <v>14113540</v>
      </c>
      <c r="E197" s="31">
        <f>+DATA!T193</f>
        <v>3031366.585</v>
      </c>
      <c r="F197" s="38">
        <f t="shared" si="46"/>
        <v>17144906.585000001</v>
      </c>
      <c r="G197" s="112">
        <f t="shared" si="47"/>
        <v>0.75</v>
      </c>
      <c r="H197" s="95">
        <f t="shared" si="48"/>
        <v>0.17680000000000001</v>
      </c>
      <c r="I197" s="6" t="str">
        <f t="shared" si="49"/>
        <v>SI</v>
      </c>
      <c r="J197" s="117">
        <f t="shared" si="50"/>
        <v>3.3112582781000001E-3</v>
      </c>
      <c r="K197" s="117">
        <f t="shared" si="51"/>
        <v>1.6556291390500001E-3</v>
      </c>
      <c r="L197" s="31">
        <f>IF(I197="SI",VLOOKUP(A197,DATA!$A$4:$D$350,4,0),0)</f>
        <v>30712</v>
      </c>
      <c r="M197" s="95">
        <f>IF(I197="SI",VLOOKUP(A197,DATA!$A$4:$E$350,5,0),0)</f>
        <v>8.1563091938637908E-2</v>
      </c>
      <c r="N197" s="31">
        <f t="shared" si="52"/>
        <v>2505</v>
      </c>
      <c r="O197" s="117">
        <f t="shared" si="53"/>
        <v>3.0328528793999998E-3</v>
      </c>
      <c r="P197" s="117">
        <f t="shared" si="54"/>
        <v>3.0328528789999999E-4</v>
      </c>
      <c r="Q197" s="31">
        <f>IF(I197="SI",VLOOKUP(A197,DATA!$A$4:$G$350,7,0),0)</f>
        <v>11464</v>
      </c>
      <c r="R197" s="31">
        <f>IF(I197="SI",VLOOKUP(A197,DATA!$A$4:$H$350,8,0),0)</f>
        <v>33733</v>
      </c>
      <c r="S197" s="117">
        <f t="shared" si="55"/>
        <v>1.1369836811E-3</v>
      </c>
      <c r="T197" s="117">
        <f t="shared" si="56"/>
        <v>1.4874776608666625E-3</v>
      </c>
      <c r="U197" s="117">
        <f t="shared" si="57"/>
        <v>2.974955322E-4</v>
      </c>
      <c r="V197" s="31">
        <f>IF(I197="SI",VLOOKUP(A197,COEF_FCM!$A$8:$X$354,24,0),0)</f>
        <v>14113540</v>
      </c>
      <c r="W197" s="121">
        <f t="shared" si="58"/>
        <v>459.54</v>
      </c>
      <c r="X197" s="31">
        <f>IF(AND(W197&gt;0,W197&lt;$W$7),ROUND(($W$7-W197)*L197,PARAMETROS!$L$8),0)</f>
        <v>0</v>
      </c>
      <c r="Y197" s="122">
        <f t="shared" si="59"/>
        <v>0</v>
      </c>
      <c r="Z197" s="117">
        <f t="shared" si="60"/>
        <v>0</v>
      </c>
      <c r="AA197" s="96">
        <f t="shared" si="61"/>
        <v>2.2564099591499999E-3</v>
      </c>
      <c r="AB197" s="31">
        <f>ROUND(AA197*PARAMETROS!$H$24,0)</f>
        <v>387239436</v>
      </c>
      <c r="AC197" s="31">
        <f t="shared" si="62"/>
        <v>387239436</v>
      </c>
      <c r="AD197" s="31">
        <f t="shared" si="63"/>
        <v>96809859</v>
      </c>
      <c r="AE197" s="31">
        <f t="shared" si="67"/>
        <v>96809859</v>
      </c>
      <c r="AF197" s="31">
        <f t="shared" si="67"/>
        <v>96809859</v>
      </c>
      <c r="AG197" s="31">
        <f t="shared" si="64"/>
        <v>96809859</v>
      </c>
    </row>
    <row r="198" spans="1:33" ht="3" customHeight="1" x14ac:dyDescent="0.25">
      <c r="A198">
        <v>9116</v>
      </c>
      <c r="B198">
        <v>9210</v>
      </c>
      <c r="C198" t="s">
        <v>223</v>
      </c>
      <c r="D198" s="31">
        <f>+DATA!O194</f>
        <v>452772</v>
      </c>
      <c r="E198" s="31">
        <f>+DATA!T194</f>
        <v>5498051.7220000001</v>
      </c>
      <c r="F198" s="38">
        <f t="shared" si="46"/>
        <v>5950823.7220000001</v>
      </c>
      <c r="G198" s="112">
        <f t="shared" si="47"/>
        <v>0.40200000000000002</v>
      </c>
      <c r="H198" s="95">
        <f t="shared" si="48"/>
        <v>0.92390000000000005</v>
      </c>
      <c r="I198" s="6" t="str">
        <f t="shared" si="49"/>
        <v>SI</v>
      </c>
      <c r="J198" s="117">
        <f t="shared" si="50"/>
        <v>3.3112582781000001E-3</v>
      </c>
      <c r="K198" s="117">
        <f t="shared" si="51"/>
        <v>1.6556291390500001E-3</v>
      </c>
      <c r="L198" s="31">
        <f>IF(I198="SI",VLOOKUP(A198,DATA!$A$4:$D$350,4,0),0)</f>
        <v>12660</v>
      </c>
      <c r="M198" s="95">
        <f>IF(I198="SI",VLOOKUP(A198,DATA!$A$4:$E$350,5,0),0)</f>
        <v>0.24277905073635811</v>
      </c>
      <c r="N198" s="31">
        <f t="shared" si="52"/>
        <v>3074</v>
      </c>
      <c r="O198" s="117">
        <f t="shared" si="53"/>
        <v>3.7217523957000002E-3</v>
      </c>
      <c r="P198" s="117">
        <f t="shared" si="54"/>
        <v>3.7217523959999998E-4</v>
      </c>
      <c r="Q198" s="31">
        <f>IF(I198="SI",VLOOKUP(A198,DATA!$A$4:$G$350,7,0),0)</f>
        <v>6892</v>
      </c>
      <c r="R198" s="31">
        <f>IF(I198="SI",VLOOKUP(A198,DATA!$A$4:$H$350,8,0),0)</f>
        <v>7564</v>
      </c>
      <c r="S198" s="117">
        <f t="shared" si="55"/>
        <v>1.8326345095E-3</v>
      </c>
      <c r="T198" s="117">
        <f t="shared" si="56"/>
        <v>2.397574335259809E-3</v>
      </c>
      <c r="U198" s="117">
        <f t="shared" si="57"/>
        <v>4.7951486709999999E-4</v>
      </c>
      <c r="V198" s="31">
        <f>IF(I198="SI",VLOOKUP(A198,COEF_FCM!$A$8:$X$354,24,0),0)</f>
        <v>452772</v>
      </c>
      <c r="W198" s="121">
        <f t="shared" si="58"/>
        <v>35.76</v>
      </c>
      <c r="X198" s="31">
        <f>IF(AND(W198&gt;0,W198&lt;$W$7),ROUND(($W$7-W198)*L198,PARAMETROS!$L$8),0)</f>
        <v>900126</v>
      </c>
      <c r="Y198" s="122">
        <f t="shared" si="59"/>
        <v>3.3173217082000002E-3</v>
      </c>
      <c r="Z198" s="117">
        <f t="shared" si="60"/>
        <v>6.6346434160000003E-4</v>
      </c>
      <c r="AA198" s="96">
        <f t="shared" si="61"/>
        <v>3.1707835873500002E-3</v>
      </c>
      <c r="AB198" s="31">
        <f>ROUND(AA198*PARAMETROS!$H$24,0)</f>
        <v>544161952</v>
      </c>
      <c r="AC198" s="31">
        <f t="shared" si="62"/>
        <v>544161952</v>
      </c>
      <c r="AD198" s="31">
        <f t="shared" si="63"/>
        <v>136040488</v>
      </c>
      <c r="AE198" s="31">
        <f t="shared" si="67"/>
        <v>136040488</v>
      </c>
      <c r="AF198" s="31">
        <f t="shared" si="67"/>
        <v>136040488</v>
      </c>
      <c r="AG198" s="31">
        <f t="shared" si="64"/>
        <v>136040488</v>
      </c>
    </row>
    <row r="199" spans="1:33" ht="3" customHeight="1" x14ac:dyDescent="0.25">
      <c r="A199">
        <v>9117</v>
      </c>
      <c r="B199">
        <v>9219</v>
      </c>
      <c r="C199" t="s">
        <v>229</v>
      </c>
      <c r="D199" s="31">
        <f>+DATA!O195</f>
        <v>554507</v>
      </c>
      <c r="E199" s="31">
        <f>+DATA!T195</f>
        <v>5252017.68</v>
      </c>
      <c r="F199" s="38">
        <f t="shared" si="46"/>
        <v>5806524.6799999997</v>
      </c>
      <c r="G199" s="112">
        <f t="shared" si="47"/>
        <v>0.379</v>
      </c>
      <c r="H199" s="95">
        <f t="shared" si="48"/>
        <v>0.90449999999999997</v>
      </c>
      <c r="I199" s="6" t="str">
        <f t="shared" si="49"/>
        <v>SI</v>
      </c>
      <c r="J199" s="117">
        <f t="shared" si="50"/>
        <v>3.3112582781000001E-3</v>
      </c>
      <c r="K199" s="117">
        <f t="shared" si="51"/>
        <v>1.6556291390500001E-3</v>
      </c>
      <c r="L199" s="31">
        <f>IF(I199="SI",VLOOKUP(A199,DATA!$A$4:$D$350,4,0),0)</f>
        <v>15744</v>
      </c>
      <c r="M199" s="95">
        <f>IF(I199="SI",VLOOKUP(A199,DATA!$A$4:$E$350,5,0),0)</f>
        <v>0.19933821012955941</v>
      </c>
      <c r="N199" s="31">
        <f t="shared" si="52"/>
        <v>3138</v>
      </c>
      <c r="O199" s="117">
        <f t="shared" si="53"/>
        <v>3.7992384572999999E-3</v>
      </c>
      <c r="P199" s="117">
        <f t="shared" si="54"/>
        <v>3.7992384569999999E-4</v>
      </c>
      <c r="Q199" s="31">
        <f>IF(I199="SI",VLOOKUP(A199,DATA!$A$4:$G$350,7,0),0)</f>
        <v>8966</v>
      </c>
      <c r="R199" s="31">
        <f>IF(I199="SI",VLOOKUP(A199,DATA!$A$4:$H$350,8,0),0)</f>
        <v>10145</v>
      </c>
      <c r="S199" s="117">
        <f t="shared" si="55"/>
        <v>2.3125027647000001E-3</v>
      </c>
      <c r="T199" s="117">
        <f t="shared" si="56"/>
        <v>3.0253698978825617E-3</v>
      </c>
      <c r="U199" s="117">
        <f t="shared" si="57"/>
        <v>6.0507397959999999E-4</v>
      </c>
      <c r="V199" s="31">
        <f>IF(I199="SI",VLOOKUP(A199,COEF_FCM!$A$8:$X$354,24,0),0)</f>
        <v>554507</v>
      </c>
      <c r="W199" s="121">
        <f t="shared" si="58"/>
        <v>35.22</v>
      </c>
      <c r="X199" s="31">
        <f>IF(AND(W199&gt;0,W199&lt;$W$7),ROUND(($W$7-W199)*L199,PARAMETROS!$L$8),0)</f>
        <v>1127900</v>
      </c>
      <c r="Y199" s="122">
        <f t="shared" si="59"/>
        <v>4.1567593365999999E-3</v>
      </c>
      <c r="Z199" s="117">
        <f t="shared" si="60"/>
        <v>8.3135186729999997E-4</v>
      </c>
      <c r="AA199" s="96">
        <f t="shared" si="61"/>
        <v>3.4719788316500003E-3</v>
      </c>
      <c r="AB199" s="31">
        <f>ROUND(AA199*PARAMETROS!$H$24,0)</f>
        <v>595852327</v>
      </c>
      <c r="AC199" s="31">
        <f t="shared" si="62"/>
        <v>595852327</v>
      </c>
      <c r="AD199" s="31">
        <f t="shared" si="63"/>
        <v>148963082</v>
      </c>
      <c r="AE199" s="31">
        <f t="shared" si="67"/>
        <v>148963082</v>
      </c>
      <c r="AF199" s="31">
        <f t="shared" si="67"/>
        <v>148963082</v>
      </c>
      <c r="AG199" s="31">
        <f t="shared" si="64"/>
        <v>148963081</v>
      </c>
    </row>
    <row r="200" spans="1:33" ht="3" customHeight="1" x14ac:dyDescent="0.25">
      <c r="A200">
        <v>9118</v>
      </c>
      <c r="B200">
        <v>9213</v>
      </c>
      <c r="C200" t="s">
        <v>409</v>
      </c>
      <c r="D200" s="31">
        <f>+DATA!O196</f>
        <v>446405</v>
      </c>
      <c r="E200" s="31">
        <f>+DATA!T196</f>
        <v>4778553.6279999996</v>
      </c>
      <c r="F200" s="38">
        <f t="shared" si="46"/>
        <v>5224958.6279999996</v>
      </c>
      <c r="G200" s="112">
        <f t="shared" si="47"/>
        <v>0.315</v>
      </c>
      <c r="H200" s="95">
        <f t="shared" si="48"/>
        <v>0.91459999999999997</v>
      </c>
      <c r="I200" s="6" t="str">
        <f t="shared" si="49"/>
        <v>SI</v>
      </c>
      <c r="J200" s="117">
        <f t="shared" si="50"/>
        <v>3.3112582781000001E-3</v>
      </c>
      <c r="K200" s="117">
        <f t="shared" si="51"/>
        <v>1.6556291390500001E-3</v>
      </c>
      <c r="L200" s="31">
        <f>IF(I200="SI",VLOOKUP(A200,DATA!$A$4:$D$350,4,0),0)</f>
        <v>9937</v>
      </c>
      <c r="M200" s="95">
        <f>IF(I200="SI",VLOOKUP(A200,DATA!$A$4:$E$350,5,0),0)</f>
        <v>0.16789131186823419</v>
      </c>
      <c r="N200" s="31">
        <f t="shared" si="52"/>
        <v>1668</v>
      </c>
      <c r="O200" s="117">
        <f t="shared" si="53"/>
        <v>2.0194804802000001E-3</v>
      </c>
      <c r="P200" s="117">
        <f t="shared" si="54"/>
        <v>2.01948048E-4</v>
      </c>
      <c r="Q200" s="31">
        <f>IF(I200="SI",VLOOKUP(A200,DATA!$A$4:$G$350,7,0),0)</f>
        <v>5252</v>
      </c>
      <c r="R200" s="31">
        <f>IF(I200="SI",VLOOKUP(A200,DATA!$A$4:$H$350,8,0),0)</f>
        <v>6214</v>
      </c>
      <c r="S200" s="117">
        <f t="shared" si="55"/>
        <v>1.2954332169E-3</v>
      </c>
      <c r="T200" s="117">
        <f t="shared" si="56"/>
        <v>1.6947718804716167E-3</v>
      </c>
      <c r="U200" s="117">
        <f t="shared" si="57"/>
        <v>3.3895437609999997E-4</v>
      </c>
      <c r="V200" s="31">
        <f>IF(I200="SI",VLOOKUP(A200,COEF_FCM!$A$8:$X$354,24,0),0)</f>
        <v>446405</v>
      </c>
      <c r="W200" s="121">
        <f t="shared" si="58"/>
        <v>44.92</v>
      </c>
      <c r="X200" s="31">
        <f>IF(AND(W200&gt;0,W200&lt;$W$7),ROUND(($W$7-W200)*L200,PARAMETROS!$L$8),0)</f>
        <v>615498</v>
      </c>
      <c r="Y200" s="122">
        <f t="shared" si="59"/>
        <v>2.2683545156E-3</v>
      </c>
      <c r="Z200" s="117">
        <f t="shared" si="60"/>
        <v>4.5367090309999999E-4</v>
      </c>
      <c r="AA200" s="96">
        <f t="shared" si="61"/>
        <v>2.6502024662499999E-3</v>
      </c>
      <c r="AB200" s="31">
        <f>ROUND(AA200*PARAMETROS!$H$24,0)</f>
        <v>454821122</v>
      </c>
      <c r="AC200" s="31">
        <f t="shared" si="62"/>
        <v>454821122</v>
      </c>
      <c r="AD200" s="31">
        <f t="shared" si="63"/>
        <v>113705281</v>
      </c>
      <c r="AE200" s="31">
        <f t="shared" si="67"/>
        <v>113705281</v>
      </c>
      <c r="AF200" s="31">
        <f t="shared" si="67"/>
        <v>113705281</v>
      </c>
      <c r="AG200" s="31">
        <f t="shared" si="64"/>
        <v>113705279</v>
      </c>
    </row>
    <row r="201" spans="1:33" ht="3" customHeight="1" x14ac:dyDescent="0.25">
      <c r="A201">
        <v>9119</v>
      </c>
      <c r="B201">
        <v>9202</v>
      </c>
      <c r="C201" t="s">
        <v>410</v>
      </c>
      <c r="D201" s="31">
        <f>+DATA!O197</f>
        <v>2377327</v>
      </c>
      <c r="E201" s="31">
        <f>+DATA!T197</f>
        <v>6955318.1849999996</v>
      </c>
      <c r="F201" s="38">
        <f t="shared" ref="F201:F264" si="68">+D201+E201</f>
        <v>9332645.1849999987</v>
      </c>
      <c r="G201" s="112">
        <f t="shared" ref="G201:G264" si="69">_xlfn.PERCENTRANK.INC($F$9:$F$354,F201,3)</f>
        <v>0.56200000000000006</v>
      </c>
      <c r="H201" s="95">
        <f t="shared" ref="H201:H264" si="70">IFERROR(ROUND(E201/F201,4),0)</f>
        <v>0.74529999999999996</v>
      </c>
      <c r="I201" s="6" t="str">
        <f t="shared" ref="I201:I264" si="71">IF(D201=0,"NO",IF(OR(G201&lt;=$G$7,H201&gt;$H$7),"SI","NO"))</f>
        <v>SI</v>
      </c>
      <c r="J201" s="117">
        <f t="shared" ref="J201:J264" si="72">IF(I201="SI",ROUND(1/$I$7,DEC),0)</f>
        <v>3.3112582781000001E-3</v>
      </c>
      <c r="K201" s="117">
        <f t="shared" ref="K201:K264" si="73">+J201*$K$7</f>
        <v>1.6556291390500001E-3</v>
      </c>
      <c r="L201" s="31">
        <f>IF(I201="SI",VLOOKUP(A201,DATA!$A$4:$D$350,4,0),0)</f>
        <v>32742</v>
      </c>
      <c r="M201" s="95">
        <f>IF(I201="SI",VLOOKUP(A201,DATA!$A$4:$E$350,5,0),0)</f>
        <v>0.11713757686918989</v>
      </c>
      <c r="N201" s="31">
        <f t="shared" ref="N201:N264" si="74">ROUND(L201*M201,0)</f>
        <v>3835</v>
      </c>
      <c r="O201" s="117">
        <f t="shared" ref="O201:O264" si="75">ROUND(N201/$N$7,DEC)</f>
        <v>4.6431100968000001E-3</v>
      </c>
      <c r="P201" s="117">
        <f t="shared" ref="P201:P264" si="76">ROUND(O201*$P$7,DEC)</f>
        <v>4.6431100969999999E-4</v>
      </c>
      <c r="Q201" s="31">
        <f>IF(I201="SI",VLOOKUP(A201,DATA!$A$4:$G$350,7,0),0)</f>
        <v>13663</v>
      </c>
      <c r="R201" s="31">
        <f>IF(I201="SI",VLOOKUP(A201,DATA!$A$4:$H$350,8,0),0)</f>
        <v>17197</v>
      </c>
      <c r="S201" s="117">
        <f t="shared" ref="S201:S264" si="77">IF(R201=0,0,ROUND((Q201/$Q$7)*(Q201/R201),DEC))</f>
        <v>3.1679351912999999E-3</v>
      </c>
      <c r="T201" s="117">
        <f t="shared" ref="T201:T264" si="78">+S201/$S$7</f>
        <v>4.1445034844943005E-3</v>
      </c>
      <c r="U201" s="117">
        <f t="shared" ref="U201:U264" si="79">ROUND(T201*$U$7,DEC)</f>
        <v>8.2890069689999998E-4</v>
      </c>
      <c r="V201" s="31">
        <f>IF(I201="SI",VLOOKUP(A201,COEF_FCM!$A$8:$X$354,24,0),0)</f>
        <v>2377327</v>
      </c>
      <c r="W201" s="121">
        <f t="shared" ref="W201:W264" si="80">IFERROR(ROUND(V201/L201,2),0)</f>
        <v>72.61</v>
      </c>
      <c r="X201" s="31">
        <f>IF(AND(W201&gt;0,W201&lt;$W$7),ROUND(($W$7-W201)*L201,PARAMETROS!$L$8),0)</f>
        <v>1121414</v>
      </c>
      <c r="Y201" s="122">
        <f t="shared" ref="Y201:Y264" si="81">ROUND(X201/$X$7,DEC)</f>
        <v>4.1328558512999996E-3</v>
      </c>
      <c r="Z201" s="117">
        <f t="shared" ref="Z201:Z264" si="82">ROUND(Y201*$Z$7,DEC)</f>
        <v>8.2657117030000002E-4</v>
      </c>
      <c r="AA201" s="96">
        <f t="shared" ref="AA201:AA264" si="83">+K201+P201+U201+Z201</f>
        <v>3.7754120159500001E-3</v>
      </c>
      <c r="AB201" s="31">
        <f>ROUND(AA201*PARAMETROS!$H$24,0)</f>
        <v>647926772</v>
      </c>
      <c r="AC201" s="31">
        <f t="shared" ref="AC201:AC264" si="84">IF(AB201=$AC$6,AB201+$AC$5,AB201)</f>
        <v>647926772</v>
      </c>
      <c r="AD201" s="31">
        <f t="shared" ref="AD201:AD264" si="85">ROUND(AC201/4,0)</f>
        <v>161981693</v>
      </c>
      <c r="AE201" s="31">
        <f t="shared" si="67"/>
        <v>161981693</v>
      </c>
      <c r="AF201" s="31">
        <f t="shared" si="67"/>
        <v>161981693</v>
      </c>
      <c r="AG201" s="31">
        <f t="shared" ref="AG201:AG264" si="86">+AC201-AD201-AE201-AF201</f>
        <v>161981693</v>
      </c>
    </row>
    <row r="202" spans="1:33" ht="3" customHeight="1" x14ac:dyDescent="0.25">
      <c r="A202">
        <v>9120</v>
      </c>
      <c r="B202">
        <v>9215</v>
      </c>
      <c r="C202" t="s">
        <v>226</v>
      </c>
      <c r="D202" s="31">
        <f>+DATA!O198</f>
        <v>9862887</v>
      </c>
      <c r="E202" s="31">
        <f>+DATA!T198</f>
        <v>6199043.8190000001</v>
      </c>
      <c r="F202" s="38">
        <f t="shared" si="68"/>
        <v>16061930.819</v>
      </c>
      <c r="G202" s="112">
        <f t="shared" si="69"/>
        <v>0.73</v>
      </c>
      <c r="H202" s="95">
        <f t="shared" si="70"/>
        <v>0.38590000000000002</v>
      </c>
      <c r="I202" s="6" t="str">
        <f t="shared" si="71"/>
        <v>SI</v>
      </c>
      <c r="J202" s="117">
        <f t="shared" si="72"/>
        <v>3.3112582781000001E-3</v>
      </c>
      <c r="K202" s="117">
        <f t="shared" si="73"/>
        <v>1.6556291390500001E-3</v>
      </c>
      <c r="L202" s="31">
        <f>IF(I202="SI",VLOOKUP(A202,DATA!$A$4:$D$350,4,0),0)</f>
        <v>60675</v>
      </c>
      <c r="M202" s="95">
        <f>IF(I202="SI",VLOOKUP(A202,DATA!$A$4:$E$350,5,0),0)</f>
        <v>7.6743090158659266E-2</v>
      </c>
      <c r="N202" s="31">
        <f t="shared" si="74"/>
        <v>4656</v>
      </c>
      <c r="O202" s="117">
        <f t="shared" si="75"/>
        <v>5.6371109806000004E-3</v>
      </c>
      <c r="P202" s="117">
        <f t="shared" si="76"/>
        <v>5.6371109809999996E-4</v>
      </c>
      <c r="Q202" s="31">
        <f>IF(I202="SI",VLOOKUP(A202,DATA!$A$4:$G$350,7,0),0)</f>
        <v>23629</v>
      </c>
      <c r="R202" s="31">
        <f>IF(I202="SI",VLOOKUP(A202,DATA!$A$4:$H$350,8,0),0)</f>
        <v>43608</v>
      </c>
      <c r="S202" s="117">
        <f t="shared" si="77"/>
        <v>3.7364687854999998E-3</v>
      </c>
      <c r="T202" s="117">
        <f t="shared" si="78"/>
        <v>4.8882969398291731E-3</v>
      </c>
      <c r="U202" s="117">
        <f t="shared" si="79"/>
        <v>9.7765938800000005E-4</v>
      </c>
      <c r="V202" s="31">
        <f>IF(I202="SI",VLOOKUP(A202,COEF_FCM!$A$8:$X$354,24,0),0)</f>
        <v>9862887</v>
      </c>
      <c r="W202" s="121">
        <f t="shared" si="80"/>
        <v>162.55000000000001</v>
      </c>
      <c r="X202" s="31">
        <f>IF(AND(W202&gt;0,W202&lt;$W$7),ROUND(($W$7-W202)*L202,PARAMETROS!$L$8),0)</f>
        <v>0</v>
      </c>
      <c r="Y202" s="122">
        <f t="shared" si="81"/>
        <v>0</v>
      </c>
      <c r="Z202" s="117">
        <f t="shared" si="82"/>
        <v>0</v>
      </c>
      <c r="AA202" s="96">
        <f t="shared" si="83"/>
        <v>3.1969996251500002E-3</v>
      </c>
      <c r="AB202" s="31">
        <f>ROUND(AA202*PARAMETROS!$H$24,0)</f>
        <v>548661083</v>
      </c>
      <c r="AC202" s="31">
        <f t="shared" si="84"/>
        <v>548661083</v>
      </c>
      <c r="AD202" s="31">
        <f t="shared" si="85"/>
        <v>137165271</v>
      </c>
      <c r="AE202" s="31">
        <f t="shared" si="67"/>
        <v>137165271</v>
      </c>
      <c r="AF202" s="31">
        <f t="shared" si="67"/>
        <v>137165271</v>
      </c>
      <c r="AG202" s="31">
        <f t="shared" si="86"/>
        <v>137165270</v>
      </c>
    </row>
    <row r="203" spans="1:33" ht="3" customHeight="1" x14ac:dyDescent="0.25">
      <c r="A203">
        <v>9121</v>
      </c>
      <c r="B203">
        <v>9221</v>
      </c>
      <c r="C203" t="s">
        <v>231</v>
      </c>
      <c r="D203" s="31">
        <f>+DATA!O199</f>
        <v>592200</v>
      </c>
      <c r="E203" s="31">
        <f>+DATA!T199</f>
        <v>4272819.62</v>
      </c>
      <c r="F203" s="38">
        <f t="shared" si="68"/>
        <v>4865019.62</v>
      </c>
      <c r="G203" s="112">
        <f t="shared" si="69"/>
        <v>0.26600000000000001</v>
      </c>
      <c r="H203" s="95">
        <f t="shared" si="70"/>
        <v>0.87829999999999997</v>
      </c>
      <c r="I203" s="6" t="str">
        <f t="shared" si="71"/>
        <v>SI</v>
      </c>
      <c r="J203" s="117">
        <f t="shared" si="72"/>
        <v>3.3112582781000001E-3</v>
      </c>
      <c r="K203" s="117">
        <f t="shared" si="73"/>
        <v>1.6556291390500001E-3</v>
      </c>
      <c r="L203" s="31">
        <f>IF(I203="SI",VLOOKUP(A203,DATA!$A$4:$D$350,4,0),0)</f>
        <v>12647</v>
      </c>
      <c r="M203" s="95">
        <f>IF(I203="SI",VLOOKUP(A203,DATA!$A$4:$E$350,5,0),0)</f>
        <v>0.19687881322375811</v>
      </c>
      <c r="N203" s="31">
        <f t="shared" si="74"/>
        <v>2490</v>
      </c>
      <c r="O203" s="117">
        <f t="shared" si="75"/>
        <v>3.0146920836999999E-3</v>
      </c>
      <c r="P203" s="117">
        <f t="shared" si="76"/>
        <v>3.0146920840000001E-4</v>
      </c>
      <c r="Q203" s="31">
        <f>IF(I203="SI",VLOOKUP(A203,DATA!$A$4:$G$350,7,0),0)</f>
        <v>7149</v>
      </c>
      <c r="R203" s="31">
        <f>IF(I203="SI",VLOOKUP(A203,DATA!$A$4:$H$350,8,0),0)</f>
        <v>7958</v>
      </c>
      <c r="S203" s="117">
        <f t="shared" si="77"/>
        <v>1.8742326631E-3</v>
      </c>
      <c r="T203" s="117">
        <f t="shared" si="78"/>
        <v>2.4519958060705747E-3</v>
      </c>
      <c r="U203" s="117">
        <f t="shared" si="79"/>
        <v>4.9039916120000005E-4</v>
      </c>
      <c r="V203" s="31">
        <f>IF(I203="SI",VLOOKUP(A203,COEF_FCM!$A$8:$X$354,24,0),0)</f>
        <v>592200</v>
      </c>
      <c r="W203" s="121">
        <f t="shared" si="80"/>
        <v>46.83</v>
      </c>
      <c r="X203" s="31">
        <f>IF(AND(W203&gt;0,W203&lt;$W$7),ROUND(($W$7-W203)*L203,PARAMETROS!$L$8),0)</f>
        <v>759199</v>
      </c>
      <c r="Y203" s="122">
        <f t="shared" si="81"/>
        <v>2.7979497576000002E-3</v>
      </c>
      <c r="Z203" s="117">
        <f t="shared" si="82"/>
        <v>5.5958995149999998E-4</v>
      </c>
      <c r="AA203" s="96">
        <f t="shared" si="83"/>
        <v>3.0070874601500004E-3</v>
      </c>
      <c r="AB203" s="31">
        <f>ROUND(AA203*PARAMETROS!$H$24,0)</f>
        <v>516068832</v>
      </c>
      <c r="AC203" s="31">
        <f t="shared" si="84"/>
        <v>516068832</v>
      </c>
      <c r="AD203" s="31">
        <f t="shared" si="85"/>
        <v>129017208</v>
      </c>
      <c r="AE203" s="31">
        <f t="shared" si="67"/>
        <v>129017208</v>
      </c>
      <c r="AF203" s="31">
        <f t="shared" si="67"/>
        <v>129017208</v>
      </c>
      <c r="AG203" s="31">
        <f t="shared" si="86"/>
        <v>129017208</v>
      </c>
    </row>
    <row r="204" spans="1:33" ht="3" customHeight="1" x14ac:dyDescent="0.25">
      <c r="A204">
        <v>9201</v>
      </c>
      <c r="B204">
        <v>9101</v>
      </c>
      <c r="C204" t="s">
        <v>207</v>
      </c>
      <c r="D204" s="31">
        <f>+DATA!O200</f>
        <v>3823960</v>
      </c>
      <c r="E204" s="31">
        <f>+DATA!T200</f>
        <v>12029534.273</v>
      </c>
      <c r="F204" s="38">
        <f t="shared" si="68"/>
        <v>15853494.273</v>
      </c>
      <c r="G204" s="112">
        <f t="shared" si="69"/>
        <v>0.72399999999999998</v>
      </c>
      <c r="H204" s="95">
        <f t="shared" si="70"/>
        <v>0.75880000000000003</v>
      </c>
      <c r="I204" s="6" t="str">
        <f t="shared" si="71"/>
        <v>SI</v>
      </c>
      <c r="J204" s="117">
        <f t="shared" si="72"/>
        <v>3.3112582781000001E-3</v>
      </c>
      <c r="K204" s="117">
        <f t="shared" si="73"/>
        <v>1.6556291390500001E-3</v>
      </c>
      <c r="L204" s="31">
        <f>IF(I204="SI",VLOOKUP(A204,DATA!$A$4:$D$350,4,0),0)</f>
        <v>56797</v>
      </c>
      <c r="M204" s="95">
        <f>IF(I204="SI",VLOOKUP(A204,DATA!$A$4:$E$350,5,0),0)</f>
        <v>9.026620950091796E-2</v>
      </c>
      <c r="N204" s="31">
        <f t="shared" si="74"/>
        <v>5127</v>
      </c>
      <c r="O204" s="117">
        <f t="shared" si="75"/>
        <v>6.2073599650999999E-3</v>
      </c>
      <c r="P204" s="117">
        <f t="shared" si="76"/>
        <v>6.207359965E-4</v>
      </c>
      <c r="Q204" s="31">
        <f>IF(I204="SI",VLOOKUP(A204,DATA!$A$4:$G$350,7,0),0)</f>
        <v>20921</v>
      </c>
      <c r="R204" s="31">
        <f>IF(I204="SI",VLOOKUP(A204,DATA!$A$4:$H$350,8,0),0)</f>
        <v>25228</v>
      </c>
      <c r="S204" s="117">
        <f t="shared" si="77"/>
        <v>5.0631279150999998E-3</v>
      </c>
      <c r="T204" s="117">
        <f t="shared" si="78"/>
        <v>6.6239206358136441E-3</v>
      </c>
      <c r="U204" s="117">
        <f t="shared" si="79"/>
        <v>1.3247841272E-3</v>
      </c>
      <c r="V204" s="31">
        <f>IF(I204="SI",VLOOKUP(A204,COEF_FCM!$A$8:$X$354,24,0),0)</f>
        <v>3823960</v>
      </c>
      <c r="W204" s="121">
        <f t="shared" si="80"/>
        <v>67.33</v>
      </c>
      <c r="X204" s="31">
        <f>IF(AND(W204&gt;0,W204&lt;$W$7),ROUND(($W$7-W204)*L204,PARAMETROS!$L$8),0)</f>
        <v>2245185</v>
      </c>
      <c r="Y204" s="122">
        <f t="shared" si="81"/>
        <v>8.2743981835000004E-3</v>
      </c>
      <c r="Z204" s="117">
        <f t="shared" si="82"/>
        <v>1.6548796367E-3</v>
      </c>
      <c r="AA204" s="96">
        <f t="shared" si="83"/>
        <v>5.25602889945E-3</v>
      </c>
      <c r="AB204" s="31">
        <f>ROUND(AA204*PARAMETROS!$H$24,0)</f>
        <v>902026540</v>
      </c>
      <c r="AC204" s="31">
        <f t="shared" si="84"/>
        <v>902026540</v>
      </c>
      <c r="AD204" s="31">
        <f t="shared" si="85"/>
        <v>225506635</v>
      </c>
      <c r="AE204" s="31">
        <f t="shared" si="67"/>
        <v>225506635</v>
      </c>
      <c r="AF204" s="31">
        <f t="shared" si="67"/>
        <v>225506635</v>
      </c>
      <c r="AG204" s="31">
        <f t="shared" si="86"/>
        <v>225506635</v>
      </c>
    </row>
    <row r="205" spans="1:33" ht="3" customHeight="1" x14ac:dyDescent="0.25">
      <c r="A205">
        <v>9202</v>
      </c>
      <c r="B205">
        <v>9105</v>
      </c>
      <c r="C205" t="s">
        <v>210</v>
      </c>
      <c r="D205" s="31">
        <f>+DATA!O201</f>
        <v>2836299</v>
      </c>
      <c r="E205" s="31">
        <f>+DATA!T201</f>
        <v>5354068.0520000001</v>
      </c>
      <c r="F205" s="38">
        <f t="shared" si="68"/>
        <v>8190367.0520000001</v>
      </c>
      <c r="G205" s="112">
        <f t="shared" si="69"/>
        <v>0.51800000000000002</v>
      </c>
      <c r="H205" s="95">
        <f t="shared" si="70"/>
        <v>0.65369999999999995</v>
      </c>
      <c r="I205" s="6" t="str">
        <f t="shared" si="71"/>
        <v>SI</v>
      </c>
      <c r="J205" s="117">
        <f t="shared" si="72"/>
        <v>3.3112582781000001E-3</v>
      </c>
      <c r="K205" s="117">
        <f t="shared" si="73"/>
        <v>1.6556291390500001E-3</v>
      </c>
      <c r="L205" s="31">
        <f>IF(I205="SI",VLOOKUP(A205,DATA!$A$4:$D$350,4,0),0)</f>
        <v>26558</v>
      </c>
      <c r="M205" s="95">
        <f>IF(I205="SI",VLOOKUP(A205,DATA!$A$4:$E$350,5,0),0)</f>
        <v>0.13138371751078659</v>
      </c>
      <c r="N205" s="31">
        <f t="shared" si="74"/>
        <v>3489</v>
      </c>
      <c r="O205" s="117">
        <f t="shared" si="75"/>
        <v>4.2242010762999996E-3</v>
      </c>
      <c r="P205" s="117">
        <f t="shared" si="76"/>
        <v>4.2242010759999999E-4</v>
      </c>
      <c r="Q205" s="31">
        <f>IF(I205="SI",VLOOKUP(A205,DATA!$A$4:$G$350,7,0),0)</f>
        <v>9637</v>
      </c>
      <c r="R205" s="31">
        <f>IF(I205="SI",VLOOKUP(A205,DATA!$A$4:$H$350,8,0),0)</f>
        <v>11227</v>
      </c>
      <c r="S205" s="117">
        <f t="shared" si="77"/>
        <v>2.4141087950000002E-3</v>
      </c>
      <c r="T205" s="117">
        <f t="shared" si="78"/>
        <v>3.1582976635074569E-3</v>
      </c>
      <c r="U205" s="117">
        <f t="shared" si="79"/>
        <v>6.3165953270000001E-4</v>
      </c>
      <c r="V205" s="31">
        <f>IF(I205="SI",VLOOKUP(A205,COEF_FCM!$A$8:$X$354,24,0),0)</f>
        <v>2836299</v>
      </c>
      <c r="W205" s="121">
        <f t="shared" si="80"/>
        <v>106.8</v>
      </c>
      <c r="X205" s="31">
        <f>IF(AND(W205&gt;0,W205&lt;$W$7),ROUND(($W$7-W205)*L205,PARAMETROS!$L$8),0)</f>
        <v>1593</v>
      </c>
      <c r="Y205" s="122">
        <f t="shared" si="81"/>
        <v>5.8708374999999998E-6</v>
      </c>
      <c r="Z205" s="117">
        <f t="shared" si="82"/>
        <v>1.1741675E-6</v>
      </c>
      <c r="AA205" s="96">
        <f t="shared" si="83"/>
        <v>2.7108829468500003E-3</v>
      </c>
      <c r="AB205" s="31">
        <f>ROUND(AA205*PARAMETROS!$H$24,0)</f>
        <v>465234954</v>
      </c>
      <c r="AC205" s="31">
        <f t="shared" si="84"/>
        <v>465234954</v>
      </c>
      <c r="AD205" s="31">
        <f t="shared" si="85"/>
        <v>116308739</v>
      </c>
      <c r="AE205" s="31">
        <f t="shared" si="67"/>
        <v>116308739</v>
      </c>
      <c r="AF205" s="31">
        <f t="shared" si="67"/>
        <v>116308739</v>
      </c>
      <c r="AG205" s="31">
        <f t="shared" si="86"/>
        <v>116308737</v>
      </c>
    </row>
    <row r="206" spans="1:33" ht="3" customHeight="1" x14ac:dyDescent="0.25">
      <c r="A206">
        <v>9203</v>
      </c>
      <c r="B206">
        <v>9110</v>
      </c>
      <c r="C206" t="s">
        <v>411</v>
      </c>
      <c r="D206" s="31">
        <f>+DATA!O202</f>
        <v>1474600</v>
      </c>
      <c r="E206" s="31">
        <f>+DATA!T202</f>
        <v>6602246.1670000004</v>
      </c>
      <c r="F206" s="38">
        <f t="shared" si="68"/>
        <v>8076846.1670000004</v>
      </c>
      <c r="G206" s="112">
        <f t="shared" si="69"/>
        <v>0.51300000000000001</v>
      </c>
      <c r="H206" s="95">
        <f t="shared" si="70"/>
        <v>0.81740000000000002</v>
      </c>
      <c r="I206" s="6" t="str">
        <f t="shared" si="71"/>
        <v>SI</v>
      </c>
      <c r="J206" s="117">
        <f t="shared" si="72"/>
        <v>3.3112582781000001E-3</v>
      </c>
      <c r="K206" s="117">
        <f t="shared" si="73"/>
        <v>1.6556291390500001E-3</v>
      </c>
      <c r="L206" s="31">
        <f>IF(I206="SI",VLOOKUP(A206,DATA!$A$4:$D$350,4,0),0)</f>
        <v>18211</v>
      </c>
      <c r="M206" s="95">
        <f>IF(I206="SI",VLOOKUP(A206,DATA!$A$4:$E$350,5,0),0)</f>
        <v>0.1092938122360393</v>
      </c>
      <c r="N206" s="31">
        <f t="shared" si="74"/>
        <v>1990</v>
      </c>
      <c r="O206" s="117">
        <f t="shared" si="75"/>
        <v>2.4093322274999999E-3</v>
      </c>
      <c r="P206" s="117">
        <f t="shared" si="76"/>
        <v>2.409332228E-4</v>
      </c>
      <c r="Q206" s="31">
        <f>IF(I206="SI",VLOOKUP(A206,DATA!$A$4:$G$350,7,0),0)</f>
        <v>9068</v>
      </c>
      <c r="R206" s="31">
        <f>IF(I206="SI",VLOOKUP(A206,DATA!$A$4:$H$350,8,0),0)</f>
        <v>13070</v>
      </c>
      <c r="S206" s="117">
        <f t="shared" si="77"/>
        <v>1.8360490461000001E-3</v>
      </c>
      <c r="T206" s="117">
        <f t="shared" si="78"/>
        <v>2.4020414591061231E-3</v>
      </c>
      <c r="U206" s="117">
        <f t="shared" si="79"/>
        <v>4.804082918E-4</v>
      </c>
      <c r="V206" s="31">
        <f>IF(I206="SI",VLOOKUP(A206,COEF_FCM!$A$8:$X$354,24,0),0)</f>
        <v>1474600</v>
      </c>
      <c r="W206" s="121">
        <f t="shared" si="80"/>
        <v>80.97</v>
      </c>
      <c r="X206" s="31">
        <f>IF(AND(W206&gt;0,W206&lt;$W$7),ROUND(($W$7-W206)*L206,PARAMETROS!$L$8),0)</f>
        <v>471483</v>
      </c>
      <c r="Y206" s="122">
        <f t="shared" si="81"/>
        <v>1.737602059E-3</v>
      </c>
      <c r="Z206" s="117">
        <f t="shared" si="82"/>
        <v>3.475204118E-4</v>
      </c>
      <c r="AA206" s="96">
        <f t="shared" si="83"/>
        <v>2.7244910654499999E-3</v>
      </c>
      <c r="AB206" s="31">
        <f>ROUND(AA206*PARAMETROS!$H$24,0)</f>
        <v>467570345</v>
      </c>
      <c r="AC206" s="31">
        <f t="shared" si="84"/>
        <v>467570345</v>
      </c>
      <c r="AD206" s="31">
        <f t="shared" si="85"/>
        <v>116892586</v>
      </c>
      <c r="AE206" s="31">
        <f t="shared" si="67"/>
        <v>116892586</v>
      </c>
      <c r="AF206" s="31">
        <f t="shared" si="67"/>
        <v>116892586</v>
      </c>
      <c r="AG206" s="31">
        <f t="shared" si="86"/>
        <v>116892587</v>
      </c>
    </row>
    <row r="207" spans="1:33" ht="3" customHeight="1" x14ac:dyDescent="0.25">
      <c r="A207">
        <v>9204</v>
      </c>
      <c r="B207">
        <v>9106</v>
      </c>
      <c r="C207" t="s">
        <v>211</v>
      </c>
      <c r="D207" s="31">
        <f>+DATA!O203</f>
        <v>439285</v>
      </c>
      <c r="E207" s="31">
        <f>+DATA!T203</f>
        <v>3509255.9750000001</v>
      </c>
      <c r="F207" s="38">
        <f t="shared" si="68"/>
        <v>3948540.9750000001</v>
      </c>
      <c r="G207" s="112">
        <f t="shared" si="69"/>
        <v>0.14399999999999999</v>
      </c>
      <c r="H207" s="95">
        <f t="shared" si="70"/>
        <v>0.88870000000000005</v>
      </c>
      <c r="I207" s="6" t="str">
        <f t="shared" si="71"/>
        <v>SI</v>
      </c>
      <c r="J207" s="117">
        <f t="shared" si="72"/>
        <v>3.3112582781000001E-3</v>
      </c>
      <c r="K207" s="117">
        <f t="shared" si="73"/>
        <v>1.6556291390500001E-3</v>
      </c>
      <c r="L207" s="31">
        <f>IF(I207="SI",VLOOKUP(A207,DATA!$A$4:$D$350,4,0),0)</f>
        <v>8387</v>
      </c>
      <c r="M207" s="95">
        <f>IF(I207="SI",VLOOKUP(A207,DATA!$A$4:$E$350,5,0),0)</f>
        <v>0.17848814418246911</v>
      </c>
      <c r="N207" s="31">
        <f t="shared" si="74"/>
        <v>1497</v>
      </c>
      <c r="O207" s="117">
        <f t="shared" si="75"/>
        <v>1.8124474094E-3</v>
      </c>
      <c r="P207" s="117">
        <f t="shared" si="76"/>
        <v>1.8124474089999999E-4</v>
      </c>
      <c r="Q207" s="31">
        <f>IF(I207="SI",VLOOKUP(A207,DATA!$A$4:$G$350,7,0),0)</f>
        <v>3782</v>
      </c>
      <c r="R207" s="31">
        <f>IF(I207="SI",VLOOKUP(A207,DATA!$A$4:$H$350,8,0),0)</f>
        <v>4443</v>
      </c>
      <c r="S207" s="117">
        <f t="shared" si="77"/>
        <v>9.3951469800000005E-4</v>
      </c>
      <c r="T207" s="117">
        <f t="shared" si="78"/>
        <v>1.229135605516202E-3</v>
      </c>
      <c r="U207" s="117">
        <f t="shared" si="79"/>
        <v>2.4582712109999999E-4</v>
      </c>
      <c r="V207" s="31">
        <f>IF(I207="SI",VLOOKUP(A207,COEF_FCM!$A$8:$X$354,24,0),0)</f>
        <v>439285</v>
      </c>
      <c r="W207" s="121">
        <f t="shared" si="80"/>
        <v>52.38</v>
      </c>
      <c r="X207" s="31">
        <f>IF(AND(W207&gt;0,W207&lt;$W$7),ROUND(($W$7-W207)*L207,PARAMETROS!$L$8),0)</f>
        <v>456924</v>
      </c>
      <c r="Y207" s="122">
        <f t="shared" si="81"/>
        <v>1.6839463633000001E-3</v>
      </c>
      <c r="Z207" s="117">
        <f t="shared" si="82"/>
        <v>3.367892727E-4</v>
      </c>
      <c r="AA207" s="96">
        <f t="shared" si="83"/>
        <v>2.4194902737499999E-3</v>
      </c>
      <c r="AB207" s="31">
        <f>ROUND(AA207*PARAMETROS!$H$24,0)</f>
        <v>415226872</v>
      </c>
      <c r="AC207" s="31">
        <f t="shared" si="84"/>
        <v>415226872</v>
      </c>
      <c r="AD207" s="31">
        <f t="shared" si="85"/>
        <v>103806718</v>
      </c>
      <c r="AE207" s="31">
        <f t="shared" si="67"/>
        <v>103806718</v>
      </c>
      <c r="AF207" s="31">
        <f t="shared" si="67"/>
        <v>103806718</v>
      </c>
      <c r="AG207" s="31">
        <f t="shared" si="86"/>
        <v>103806718</v>
      </c>
    </row>
    <row r="208" spans="1:33" ht="3" customHeight="1" x14ac:dyDescent="0.25">
      <c r="A208">
        <v>9205</v>
      </c>
      <c r="B208">
        <v>9111</v>
      </c>
      <c r="C208" t="s">
        <v>214</v>
      </c>
      <c r="D208" s="31">
        <f>+DATA!O204</f>
        <v>557544</v>
      </c>
      <c r="E208" s="31">
        <f>+DATA!T204</f>
        <v>4951773.5140000004</v>
      </c>
      <c r="F208" s="38">
        <f t="shared" si="68"/>
        <v>5509317.5140000004</v>
      </c>
      <c r="G208" s="112">
        <f t="shared" si="69"/>
        <v>0.34699999999999998</v>
      </c>
      <c r="H208" s="95">
        <f t="shared" si="70"/>
        <v>0.89880000000000004</v>
      </c>
      <c r="I208" s="6" t="str">
        <f t="shared" si="71"/>
        <v>SI</v>
      </c>
      <c r="J208" s="117">
        <f t="shared" si="72"/>
        <v>3.3112582781000001E-3</v>
      </c>
      <c r="K208" s="117">
        <f t="shared" si="73"/>
        <v>1.6556291390500001E-3</v>
      </c>
      <c r="L208" s="31">
        <f>IF(I208="SI",VLOOKUP(A208,DATA!$A$4:$D$350,4,0),0)</f>
        <v>11109</v>
      </c>
      <c r="M208" s="95">
        <f>IF(I208="SI",VLOOKUP(A208,DATA!$A$4:$E$350,5,0),0)</f>
        <v>0.18360516166500079</v>
      </c>
      <c r="N208" s="31">
        <f t="shared" si="74"/>
        <v>2040</v>
      </c>
      <c r="O208" s="117">
        <f t="shared" si="75"/>
        <v>2.4698682131999998E-3</v>
      </c>
      <c r="P208" s="117">
        <f t="shared" si="76"/>
        <v>2.469868213E-4</v>
      </c>
      <c r="Q208" s="31">
        <f>IF(I208="SI",VLOOKUP(A208,DATA!$A$4:$G$350,7,0),0)</f>
        <v>4934</v>
      </c>
      <c r="R208" s="31">
        <f>IF(I208="SI",VLOOKUP(A208,DATA!$A$4:$H$350,8,0),0)</f>
        <v>7793</v>
      </c>
      <c r="S208" s="117">
        <f t="shared" si="77"/>
        <v>9.1165487150000001E-4</v>
      </c>
      <c r="T208" s="117">
        <f t="shared" si="78"/>
        <v>1.1926875278144376E-3</v>
      </c>
      <c r="U208" s="117">
        <f t="shared" si="79"/>
        <v>2.385375056E-4</v>
      </c>
      <c r="V208" s="31">
        <f>IF(I208="SI",VLOOKUP(A208,COEF_FCM!$A$8:$X$354,24,0),0)</f>
        <v>557544</v>
      </c>
      <c r="W208" s="121">
        <f t="shared" si="80"/>
        <v>50.19</v>
      </c>
      <c r="X208" s="31">
        <f>IF(AND(W208&gt;0,W208&lt;$W$7),ROUND(($W$7-W208)*L208,PARAMETROS!$L$8),0)</f>
        <v>629547</v>
      </c>
      <c r="Y208" s="122">
        <f t="shared" si="81"/>
        <v>2.3201306587999999E-3</v>
      </c>
      <c r="Z208" s="117">
        <f t="shared" si="82"/>
        <v>4.6402613179999998E-4</v>
      </c>
      <c r="AA208" s="96">
        <f t="shared" si="83"/>
        <v>2.6051795977500001E-3</v>
      </c>
      <c r="AB208" s="31">
        <f>ROUND(AA208*PARAMETROS!$H$24,0)</f>
        <v>447094410</v>
      </c>
      <c r="AC208" s="31">
        <f t="shared" si="84"/>
        <v>447094410</v>
      </c>
      <c r="AD208" s="31">
        <f t="shared" si="85"/>
        <v>111773603</v>
      </c>
      <c r="AE208" s="31">
        <f t="shared" si="67"/>
        <v>111773603</v>
      </c>
      <c r="AF208" s="31">
        <f t="shared" si="67"/>
        <v>111773603</v>
      </c>
      <c r="AG208" s="31">
        <f t="shared" si="86"/>
        <v>111773601</v>
      </c>
    </row>
    <row r="209" spans="1:33" ht="3" customHeight="1" x14ac:dyDescent="0.25">
      <c r="A209">
        <v>9206</v>
      </c>
      <c r="B209">
        <v>9103</v>
      </c>
      <c r="C209" t="s">
        <v>208</v>
      </c>
      <c r="D209" s="31">
        <f>+DATA!O205</f>
        <v>663893</v>
      </c>
      <c r="E209" s="31">
        <f>+DATA!T205</f>
        <v>3301663.824</v>
      </c>
      <c r="F209" s="38">
        <f t="shared" si="68"/>
        <v>3965556.824</v>
      </c>
      <c r="G209" s="112">
        <f t="shared" si="69"/>
        <v>0.153</v>
      </c>
      <c r="H209" s="95">
        <f t="shared" si="70"/>
        <v>0.83260000000000001</v>
      </c>
      <c r="I209" s="6" t="str">
        <f t="shared" si="71"/>
        <v>SI</v>
      </c>
      <c r="J209" s="117">
        <f t="shared" si="72"/>
        <v>3.3112582781000001E-3</v>
      </c>
      <c r="K209" s="117">
        <f t="shared" si="73"/>
        <v>1.6556291390500001E-3</v>
      </c>
      <c r="L209" s="31">
        <f>IF(I209="SI",VLOOKUP(A209,DATA!$A$4:$D$350,4,0),0)</f>
        <v>7468</v>
      </c>
      <c r="M209" s="95">
        <f>IF(I209="SI",VLOOKUP(A209,DATA!$A$4:$E$350,5,0),0)</f>
        <v>0.17356026366529281</v>
      </c>
      <c r="N209" s="31">
        <f t="shared" si="74"/>
        <v>1296</v>
      </c>
      <c r="O209" s="117">
        <f t="shared" si="75"/>
        <v>1.5690927472E-3</v>
      </c>
      <c r="P209" s="117">
        <f t="shared" si="76"/>
        <v>1.569092747E-4</v>
      </c>
      <c r="Q209" s="31">
        <f>IF(I209="SI",VLOOKUP(A209,DATA!$A$4:$G$350,7,0),0)</f>
        <v>4485</v>
      </c>
      <c r="R209" s="31">
        <f>IF(I209="SI",VLOOKUP(A209,DATA!$A$4:$H$350,8,0),0)</f>
        <v>5174</v>
      </c>
      <c r="S209" s="117">
        <f t="shared" si="77"/>
        <v>1.1345804953999999E-3</v>
      </c>
      <c r="T209" s="117">
        <f t="shared" si="78"/>
        <v>1.4843336535224183E-3</v>
      </c>
      <c r="U209" s="117">
        <f t="shared" si="79"/>
        <v>2.9686673069999998E-4</v>
      </c>
      <c r="V209" s="31">
        <f>IF(I209="SI",VLOOKUP(A209,COEF_FCM!$A$8:$X$354,24,0),0)</f>
        <v>663893</v>
      </c>
      <c r="W209" s="121">
        <f t="shared" si="80"/>
        <v>88.9</v>
      </c>
      <c r="X209" s="31">
        <f>IF(AND(W209&gt;0,W209&lt;$W$7),ROUND(($W$7-W209)*L209,PARAMETROS!$L$8),0)</f>
        <v>134125</v>
      </c>
      <c r="Y209" s="122">
        <f t="shared" si="81"/>
        <v>4.9430387979999997E-4</v>
      </c>
      <c r="Z209" s="117">
        <f t="shared" si="82"/>
        <v>9.8860776000000002E-5</v>
      </c>
      <c r="AA209" s="96">
        <f t="shared" si="83"/>
        <v>2.2082659204500001E-3</v>
      </c>
      <c r="AB209" s="31">
        <f>ROUND(AA209*PARAMETROS!$H$24,0)</f>
        <v>378977077</v>
      </c>
      <c r="AC209" s="31">
        <f t="shared" si="84"/>
        <v>378977077</v>
      </c>
      <c r="AD209" s="31">
        <f t="shared" si="85"/>
        <v>94744269</v>
      </c>
      <c r="AE209" s="31">
        <f t="shared" ref="AE209:AF228" si="87">+AD209</f>
        <v>94744269</v>
      </c>
      <c r="AF209" s="31">
        <f t="shared" si="87"/>
        <v>94744269</v>
      </c>
      <c r="AG209" s="31">
        <f t="shared" si="86"/>
        <v>94744270</v>
      </c>
    </row>
    <row r="210" spans="1:33" ht="3" customHeight="1" x14ac:dyDescent="0.25">
      <c r="A210">
        <v>9207</v>
      </c>
      <c r="B210">
        <v>9108</v>
      </c>
      <c r="C210" t="s">
        <v>212</v>
      </c>
      <c r="D210" s="31">
        <f>+DATA!O206</f>
        <v>473032</v>
      </c>
      <c r="E210" s="31">
        <f>+DATA!T206</f>
        <v>3811424.1880000001</v>
      </c>
      <c r="F210" s="38">
        <f t="shared" si="68"/>
        <v>4284456.1880000001</v>
      </c>
      <c r="G210" s="112">
        <f t="shared" si="69"/>
        <v>0.19400000000000001</v>
      </c>
      <c r="H210" s="95">
        <f t="shared" si="70"/>
        <v>0.88959999999999995</v>
      </c>
      <c r="I210" s="6" t="str">
        <f t="shared" si="71"/>
        <v>SI</v>
      </c>
      <c r="J210" s="117">
        <f t="shared" si="72"/>
        <v>3.3112582781000001E-3</v>
      </c>
      <c r="K210" s="117">
        <f t="shared" si="73"/>
        <v>1.6556291390500001E-3</v>
      </c>
      <c r="L210" s="31">
        <f>IF(I210="SI",VLOOKUP(A210,DATA!$A$4:$D$350,4,0),0)</f>
        <v>9916</v>
      </c>
      <c r="M210" s="95">
        <f>IF(I210="SI",VLOOKUP(A210,DATA!$A$4:$E$350,5,0),0)</f>
        <v>0.21468694681418671</v>
      </c>
      <c r="N210" s="31">
        <f t="shared" si="74"/>
        <v>2129</v>
      </c>
      <c r="O210" s="117">
        <f t="shared" si="75"/>
        <v>2.5776222675999998E-3</v>
      </c>
      <c r="P210" s="117">
        <f t="shared" si="76"/>
        <v>2.5776222679999998E-4</v>
      </c>
      <c r="Q210" s="31">
        <f>IF(I210="SI",VLOOKUP(A210,DATA!$A$4:$G$350,7,0),0)</f>
        <v>5386</v>
      </c>
      <c r="R210" s="31">
        <f>IF(I210="SI",VLOOKUP(A210,DATA!$A$4:$H$350,8,0),0)</f>
        <v>6319</v>
      </c>
      <c r="S210" s="117">
        <f t="shared" si="77"/>
        <v>1.3397420409999999E-3</v>
      </c>
      <c r="T210" s="117">
        <f t="shared" si="78"/>
        <v>1.7527396306896812E-3</v>
      </c>
      <c r="U210" s="117">
        <f t="shared" si="79"/>
        <v>3.5054792610000001E-4</v>
      </c>
      <c r="V210" s="31">
        <f>IF(I210="SI",VLOOKUP(A210,COEF_FCM!$A$8:$X$354,24,0),0)</f>
        <v>473032</v>
      </c>
      <c r="W210" s="121">
        <f t="shared" si="80"/>
        <v>47.7</v>
      </c>
      <c r="X210" s="31">
        <f>IF(AND(W210&gt;0,W210&lt;$W$7),ROUND(($W$7-W210)*L210,PARAMETROS!$L$8),0)</f>
        <v>586631</v>
      </c>
      <c r="Y210" s="122">
        <f t="shared" si="81"/>
        <v>2.1619681589000002E-3</v>
      </c>
      <c r="Z210" s="117">
        <f t="shared" si="82"/>
        <v>4.323936318E-4</v>
      </c>
      <c r="AA210" s="96">
        <f t="shared" si="83"/>
        <v>2.6963329237500002E-3</v>
      </c>
      <c r="AB210" s="31">
        <f>ROUND(AA210*PARAMETROS!$H$24,0)</f>
        <v>462737916</v>
      </c>
      <c r="AC210" s="31">
        <f t="shared" si="84"/>
        <v>462737916</v>
      </c>
      <c r="AD210" s="31">
        <f t="shared" si="85"/>
        <v>115684479</v>
      </c>
      <c r="AE210" s="31">
        <f t="shared" si="87"/>
        <v>115684479</v>
      </c>
      <c r="AF210" s="31">
        <f t="shared" si="87"/>
        <v>115684479</v>
      </c>
      <c r="AG210" s="31">
        <f t="shared" si="86"/>
        <v>115684479</v>
      </c>
    </row>
    <row r="211" spans="1:33" ht="3" customHeight="1" x14ac:dyDescent="0.25">
      <c r="A211">
        <v>9208</v>
      </c>
      <c r="B211">
        <v>9102</v>
      </c>
      <c r="C211" t="s">
        <v>412</v>
      </c>
      <c r="D211" s="31">
        <f>+DATA!O207</f>
        <v>571836</v>
      </c>
      <c r="E211" s="31">
        <f>+DATA!T207</f>
        <v>4360310.5489999996</v>
      </c>
      <c r="F211" s="38">
        <f t="shared" si="68"/>
        <v>4932146.5489999996</v>
      </c>
      <c r="G211" s="112">
        <f t="shared" si="69"/>
        <v>0.26900000000000002</v>
      </c>
      <c r="H211" s="95">
        <f t="shared" si="70"/>
        <v>0.8841</v>
      </c>
      <c r="I211" s="6" t="str">
        <f t="shared" si="71"/>
        <v>SI</v>
      </c>
      <c r="J211" s="117">
        <f t="shared" si="72"/>
        <v>3.3112582781000001E-3</v>
      </c>
      <c r="K211" s="117">
        <f t="shared" si="73"/>
        <v>1.6556291390500001E-3</v>
      </c>
      <c r="L211" s="31">
        <f>IF(I211="SI",VLOOKUP(A211,DATA!$A$4:$D$350,4,0),0)</f>
        <v>12103</v>
      </c>
      <c r="M211" s="95">
        <f>IF(I211="SI",VLOOKUP(A211,DATA!$A$4:$E$350,5,0),0)</f>
        <v>0.1294895634365</v>
      </c>
      <c r="N211" s="31">
        <f t="shared" si="74"/>
        <v>1567</v>
      </c>
      <c r="O211" s="117">
        <f t="shared" si="75"/>
        <v>1.8971977892E-3</v>
      </c>
      <c r="P211" s="117">
        <f t="shared" si="76"/>
        <v>1.897197789E-4</v>
      </c>
      <c r="Q211" s="31">
        <f>IF(I211="SI",VLOOKUP(A211,DATA!$A$4:$G$350,7,0),0)</f>
        <v>6413</v>
      </c>
      <c r="R211" s="31">
        <f>IF(I211="SI",VLOOKUP(A211,DATA!$A$4:$H$350,8,0),0)</f>
        <v>7143</v>
      </c>
      <c r="S211" s="117">
        <f t="shared" si="77"/>
        <v>1.6802684492999999E-3</v>
      </c>
      <c r="T211" s="117">
        <f t="shared" si="78"/>
        <v>2.1982389229850295E-3</v>
      </c>
      <c r="U211" s="117">
        <f t="shared" si="79"/>
        <v>4.3964778459999997E-4</v>
      </c>
      <c r="V211" s="31">
        <f>IF(I211="SI",VLOOKUP(A211,COEF_FCM!$A$8:$X$354,24,0),0)</f>
        <v>571836</v>
      </c>
      <c r="W211" s="121">
        <f t="shared" si="80"/>
        <v>47.25</v>
      </c>
      <c r="X211" s="31">
        <f>IF(AND(W211&gt;0,W211&lt;$W$7),ROUND(($W$7-W211)*L211,PARAMETROS!$L$8),0)</f>
        <v>721460</v>
      </c>
      <c r="Y211" s="122">
        <f t="shared" si="81"/>
        <v>2.6588665581999999E-3</v>
      </c>
      <c r="Z211" s="117">
        <f t="shared" si="82"/>
        <v>5.3177331159999996E-4</v>
      </c>
      <c r="AA211" s="96">
        <f t="shared" si="83"/>
        <v>2.8167700141499999E-3</v>
      </c>
      <c r="AB211" s="31">
        <f>ROUND(AA211*PARAMETROS!$H$24,0)</f>
        <v>483407028</v>
      </c>
      <c r="AC211" s="31">
        <f t="shared" si="84"/>
        <v>483407028</v>
      </c>
      <c r="AD211" s="31">
        <f t="shared" si="85"/>
        <v>120851757</v>
      </c>
      <c r="AE211" s="31">
        <f t="shared" si="87"/>
        <v>120851757</v>
      </c>
      <c r="AF211" s="31">
        <f t="shared" si="87"/>
        <v>120851757</v>
      </c>
      <c r="AG211" s="31">
        <f t="shared" si="86"/>
        <v>120851757</v>
      </c>
    </row>
    <row r="212" spans="1:33" ht="3" customHeight="1" x14ac:dyDescent="0.25">
      <c r="A212">
        <v>9209</v>
      </c>
      <c r="B212">
        <v>9104</v>
      </c>
      <c r="C212" t="s">
        <v>209</v>
      </c>
      <c r="D212" s="31">
        <f>+DATA!O208</f>
        <v>1171376</v>
      </c>
      <c r="E212" s="31">
        <f>+DATA!T208</f>
        <v>3241527.2629999998</v>
      </c>
      <c r="F212" s="38">
        <f t="shared" si="68"/>
        <v>4412903.2630000003</v>
      </c>
      <c r="G212" s="112">
        <f t="shared" si="69"/>
        <v>0.20799999999999999</v>
      </c>
      <c r="H212" s="95">
        <f t="shared" si="70"/>
        <v>0.73460000000000003</v>
      </c>
      <c r="I212" s="6" t="str">
        <f t="shared" si="71"/>
        <v>SI</v>
      </c>
      <c r="J212" s="117">
        <f t="shared" si="72"/>
        <v>3.3112582781000001E-3</v>
      </c>
      <c r="K212" s="117">
        <f t="shared" si="73"/>
        <v>1.6556291390500001E-3</v>
      </c>
      <c r="L212" s="31">
        <f>IF(I212="SI",VLOOKUP(A212,DATA!$A$4:$D$350,4,0),0)</f>
        <v>11002</v>
      </c>
      <c r="M212" s="95">
        <f>IF(I212="SI",VLOOKUP(A212,DATA!$A$4:$E$350,5,0),0)</f>
        <v>0.1247576527893416</v>
      </c>
      <c r="N212" s="31">
        <f t="shared" si="74"/>
        <v>1373</v>
      </c>
      <c r="O212" s="117">
        <f t="shared" si="75"/>
        <v>1.6623181650000001E-3</v>
      </c>
      <c r="P212" s="117">
        <f t="shared" si="76"/>
        <v>1.6623181649999999E-4</v>
      </c>
      <c r="Q212" s="31">
        <f>IF(I212="SI",VLOOKUP(A212,DATA!$A$4:$G$350,7,0),0)</f>
        <v>4522</v>
      </c>
      <c r="R212" s="31">
        <f>IF(I212="SI",VLOOKUP(A212,DATA!$A$4:$H$350,8,0),0)</f>
        <v>5191</v>
      </c>
      <c r="S212" s="117">
        <f t="shared" si="77"/>
        <v>1.1496004630999999E-3</v>
      </c>
      <c r="T212" s="117">
        <f t="shared" si="78"/>
        <v>1.503983774093255E-3</v>
      </c>
      <c r="U212" s="117">
        <f t="shared" si="79"/>
        <v>3.0079675479999999E-4</v>
      </c>
      <c r="V212" s="31">
        <f>IF(I212="SI",VLOOKUP(A212,COEF_FCM!$A$8:$X$354,24,0),0)</f>
        <v>1171376</v>
      </c>
      <c r="W212" s="121">
        <f t="shared" si="80"/>
        <v>106.47</v>
      </c>
      <c r="X212" s="31">
        <f>IF(AND(W212&gt;0,W212&lt;$W$7),ROUND(($W$7-W212)*L212,PARAMETROS!$L$8),0)</f>
        <v>4291</v>
      </c>
      <c r="Y212" s="122">
        <f t="shared" si="81"/>
        <v>1.5814038800000002E-5</v>
      </c>
      <c r="Z212" s="117">
        <f t="shared" si="82"/>
        <v>3.1628077999999999E-6</v>
      </c>
      <c r="AA212" s="96">
        <f t="shared" si="83"/>
        <v>2.1258205181500004E-3</v>
      </c>
      <c r="AB212" s="31">
        <f>ROUND(AA212*PARAMETROS!$H$24,0)</f>
        <v>364828003</v>
      </c>
      <c r="AC212" s="31">
        <f t="shared" si="84"/>
        <v>364828003</v>
      </c>
      <c r="AD212" s="31">
        <f t="shared" si="85"/>
        <v>91207001</v>
      </c>
      <c r="AE212" s="31">
        <f t="shared" si="87"/>
        <v>91207001</v>
      </c>
      <c r="AF212" s="31">
        <f t="shared" si="87"/>
        <v>91207001</v>
      </c>
      <c r="AG212" s="31">
        <f t="shared" si="86"/>
        <v>91207000</v>
      </c>
    </row>
    <row r="213" spans="1:33" ht="3" customHeight="1" x14ac:dyDescent="0.25">
      <c r="A213">
        <v>9210</v>
      </c>
      <c r="B213">
        <v>9107</v>
      </c>
      <c r="C213" t="s">
        <v>413</v>
      </c>
      <c r="D213" s="31">
        <f>+DATA!O209</f>
        <v>1451764</v>
      </c>
      <c r="E213" s="31">
        <f>+DATA!T209</f>
        <v>6158062.7800000003</v>
      </c>
      <c r="F213" s="38">
        <f t="shared" si="68"/>
        <v>7609826.7800000003</v>
      </c>
      <c r="G213" s="112">
        <f t="shared" si="69"/>
        <v>0.47799999999999998</v>
      </c>
      <c r="H213" s="95">
        <f t="shared" si="70"/>
        <v>0.80920000000000003</v>
      </c>
      <c r="I213" s="6" t="str">
        <f t="shared" si="71"/>
        <v>SI</v>
      </c>
      <c r="J213" s="117">
        <f t="shared" si="72"/>
        <v>3.3112582781000001E-3</v>
      </c>
      <c r="K213" s="117">
        <f t="shared" si="73"/>
        <v>1.6556291390500001E-3</v>
      </c>
      <c r="L213" s="31">
        <f>IF(I213="SI",VLOOKUP(A213,DATA!$A$4:$D$350,4,0),0)</f>
        <v>19260</v>
      </c>
      <c r="M213" s="95">
        <f>IF(I213="SI",VLOOKUP(A213,DATA!$A$4:$E$350,5,0),0)</f>
        <v>0.14145551798520789</v>
      </c>
      <c r="N213" s="31">
        <f t="shared" si="74"/>
        <v>2724</v>
      </c>
      <c r="O213" s="117">
        <f t="shared" si="75"/>
        <v>3.2980004963999998E-3</v>
      </c>
      <c r="P213" s="117">
        <f t="shared" si="76"/>
        <v>3.2980004959999999E-4</v>
      </c>
      <c r="Q213" s="31">
        <f>IF(I213="SI",VLOOKUP(A213,DATA!$A$4:$G$350,7,0),0)</f>
        <v>7780</v>
      </c>
      <c r="R213" s="31">
        <f>IF(I213="SI",VLOOKUP(A213,DATA!$A$4:$H$350,8,0),0)</f>
        <v>9440</v>
      </c>
      <c r="S213" s="117">
        <f t="shared" si="77"/>
        <v>1.8712165184E-3</v>
      </c>
      <c r="T213" s="117">
        <f t="shared" si="78"/>
        <v>2.4480498850008446E-3</v>
      </c>
      <c r="U213" s="117">
        <f t="shared" si="79"/>
        <v>4.8960997700000001E-4</v>
      </c>
      <c r="V213" s="31">
        <f>IF(I213="SI",VLOOKUP(A213,COEF_FCM!$A$8:$X$354,24,0),0)</f>
        <v>1451764</v>
      </c>
      <c r="W213" s="121">
        <f t="shared" si="80"/>
        <v>75.38</v>
      </c>
      <c r="X213" s="31">
        <f>IF(AND(W213&gt;0,W213&lt;$W$7),ROUND(($W$7-W213)*L213,PARAMETROS!$L$8),0)</f>
        <v>606305</v>
      </c>
      <c r="Y213" s="122">
        <f t="shared" si="81"/>
        <v>2.2344746604999999E-3</v>
      </c>
      <c r="Z213" s="117">
        <f t="shared" si="82"/>
        <v>4.4689493209999997E-4</v>
      </c>
      <c r="AA213" s="96">
        <f t="shared" si="83"/>
        <v>2.9219340977499997E-3</v>
      </c>
      <c r="AB213" s="31">
        <f>ROUND(AA213*PARAMETROS!$H$24,0)</f>
        <v>501455025</v>
      </c>
      <c r="AC213" s="31">
        <f t="shared" si="84"/>
        <v>501455025</v>
      </c>
      <c r="AD213" s="31">
        <f t="shared" si="85"/>
        <v>125363756</v>
      </c>
      <c r="AE213" s="31">
        <f t="shared" si="87"/>
        <v>125363756</v>
      </c>
      <c r="AF213" s="31">
        <f t="shared" si="87"/>
        <v>125363756</v>
      </c>
      <c r="AG213" s="31">
        <f t="shared" si="86"/>
        <v>125363757</v>
      </c>
    </row>
    <row r="214" spans="1:33" ht="3" customHeight="1" x14ac:dyDescent="0.25">
      <c r="A214">
        <v>9211</v>
      </c>
      <c r="B214">
        <v>9109</v>
      </c>
      <c r="C214" t="s">
        <v>213</v>
      </c>
      <c r="D214" s="31">
        <f>+DATA!O210</f>
        <v>2872742</v>
      </c>
      <c r="E214" s="31">
        <f>+DATA!T210</f>
        <v>7927288.7719999999</v>
      </c>
      <c r="F214" s="38">
        <f t="shared" si="68"/>
        <v>10800030.772</v>
      </c>
      <c r="G214" s="112">
        <f t="shared" si="69"/>
        <v>0.61699999999999999</v>
      </c>
      <c r="H214" s="95">
        <f t="shared" si="70"/>
        <v>0.73399999999999999</v>
      </c>
      <c r="I214" s="6" t="str">
        <f t="shared" si="71"/>
        <v>SI</v>
      </c>
      <c r="J214" s="117">
        <f t="shared" si="72"/>
        <v>3.3112582781000001E-3</v>
      </c>
      <c r="K214" s="117">
        <f t="shared" si="73"/>
        <v>1.6556291390500001E-3</v>
      </c>
      <c r="L214" s="31">
        <f>IF(I214="SI",VLOOKUP(A214,DATA!$A$4:$D$350,4,0),0)</f>
        <v>35554</v>
      </c>
      <c r="M214" s="95">
        <f>IF(I214="SI",VLOOKUP(A214,DATA!$A$4:$E$350,5,0),0)</f>
        <v>0.14349751335414079</v>
      </c>
      <c r="N214" s="31">
        <f t="shared" si="74"/>
        <v>5102</v>
      </c>
      <c r="O214" s="117">
        <f t="shared" si="75"/>
        <v>6.1770919723000001E-3</v>
      </c>
      <c r="P214" s="117">
        <f t="shared" si="76"/>
        <v>6.1770919719999996E-4</v>
      </c>
      <c r="Q214" s="31">
        <f>IF(I214="SI",VLOOKUP(A214,DATA!$A$4:$G$350,7,0),0)</f>
        <v>13344</v>
      </c>
      <c r="R214" s="31">
        <f>IF(I214="SI",VLOOKUP(A214,DATA!$A$4:$H$350,8,0),0)</f>
        <v>16576</v>
      </c>
      <c r="S214" s="117">
        <f t="shared" si="77"/>
        <v>3.1349395541E-3</v>
      </c>
      <c r="T214" s="117">
        <f t="shared" si="78"/>
        <v>4.1013363977041219E-3</v>
      </c>
      <c r="U214" s="117">
        <f t="shared" si="79"/>
        <v>8.2026727950000003E-4</v>
      </c>
      <c r="V214" s="31">
        <f>IF(I214="SI",VLOOKUP(A214,COEF_FCM!$A$8:$X$354,24,0),0)</f>
        <v>2872742</v>
      </c>
      <c r="W214" s="121">
        <f t="shared" si="80"/>
        <v>80.8</v>
      </c>
      <c r="X214" s="31">
        <f>IF(AND(W214&gt;0,W214&lt;$W$7),ROUND(($W$7-W214)*L214,PARAMETROS!$L$8),0)</f>
        <v>926537</v>
      </c>
      <c r="Y214" s="122">
        <f t="shared" si="81"/>
        <v>3.4146567296999999E-3</v>
      </c>
      <c r="Z214" s="117">
        <f t="shared" si="82"/>
        <v>6.8293134589999995E-4</v>
      </c>
      <c r="AA214" s="96">
        <f t="shared" si="83"/>
        <v>3.7765369616499997E-3</v>
      </c>
      <c r="AB214" s="31">
        <f>ROUND(AA214*PARAMETROS!$H$24,0)</f>
        <v>648119832</v>
      </c>
      <c r="AC214" s="31">
        <f t="shared" si="84"/>
        <v>648119832</v>
      </c>
      <c r="AD214" s="31">
        <f t="shared" si="85"/>
        <v>162029958</v>
      </c>
      <c r="AE214" s="31">
        <f t="shared" si="87"/>
        <v>162029958</v>
      </c>
      <c r="AF214" s="31">
        <f t="shared" si="87"/>
        <v>162029958</v>
      </c>
      <c r="AG214" s="31">
        <f t="shared" si="86"/>
        <v>162029958</v>
      </c>
    </row>
    <row r="215" spans="1:33" ht="3" customHeight="1" x14ac:dyDescent="0.25">
      <c r="A215">
        <v>10101</v>
      </c>
      <c r="B215">
        <v>10301</v>
      </c>
      <c r="C215" t="s">
        <v>246</v>
      </c>
      <c r="D215" s="31">
        <f>+DATA!O211</f>
        <v>42835968</v>
      </c>
      <c r="E215" s="31">
        <f>+DATA!T211</f>
        <v>26159468.263999999</v>
      </c>
      <c r="F215" s="38">
        <f t="shared" si="68"/>
        <v>68995436.263999999</v>
      </c>
      <c r="G215" s="112">
        <f t="shared" si="69"/>
        <v>0.95599999999999996</v>
      </c>
      <c r="H215" s="95">
        <f t="shared" si="70"/>
        <v>0.37909999999999999</v>
      </c>
      <c r="I215" s="6" t="str">
        <f t="shared" si="71"/>
        <v>NO</v>
      </c>
      <c r="J215" s="117">
        <f t="shared" si="72"/>
        <v>0</v>
      </c>
      <c r="K215" s="117">
        <f t="shared" si="73"/>
        <v>0</v>
      </c>
      <c r="L215" s="31">
        <f>IF(I215="SI",VLOOKUP(A215,DATA!$A$4:$D$350,4,0),0)</f>
        <v>0</v>
      </c>
      <c r="M215" s="95">
        <f>IF(I215="SI",VLOOKUP(A215,DATA!$A$4:$E$350,5,0),0)</f>
        <v>0</v>
      </c>
      <c r="N215" s="31">
        <f t="shared" si="74"/>
        <v>0</v>
      </c>
      <c r="O215" s="117">
        <f t="shared" si="75"/>
        <v>0</v>
      </c>
      <c r="P215" s="117">
        <f t="shared" si="76"/>
        <v>0</v>
      </c>
      <c r="Q215" s="31">
        <f>IF(I215="SI",VLOOKUP(A215,DATA!$A$4:$G$350,7,0),0)</f>
        <v>0</v>
      </c>
      <c r="R215" s="31">
        <f>IF(I215="SI",VLOOKUP(A215,DATA!$A$4:$H$350,8,0),0)</f>
        <v>0</v>
      </c>
      <c r="S215" s="117">
        <f t="shared" si="77"/>
        <v>0</v>
      </c>
      <c r="T215" s="117">
        <f t="shared" si="78"/>
        <v>0</v>
      </c>
      <c r="U215" s="117">
        <f t="shared" si="79"/>
        <v>0</v>
      </c>
      <c r="V215" s="31">
        <f>IF(I215="SI",VLOOKUP(A215,COEF_FCM!$A$8:$X$354,24,0),0)</f>
        <v>0</v>
      </c>
      <c r="W215" s="121">
        <f t="shared" si="80"/>
        <v>0</v>
      </c>
      <c r="X215" s="31">
        <f>IF(AND(W215&gt;0,W215&lt;$W$7),ROUND(($W$7-W215)*L215,PARAMETROS!$L$8),0)</f>
        <v>0</v>
      </c>
      <c r="Y215" s="122">
        <f t="shared" si="81"/>
        <v>0</v>
      </c>
      <c r="Z215" s="117">
        <f t="shared" si="82"/>
        <v>0</v>
      </c>
      <c r="AA215" s="96">
        <f t="shared" si="83"/>
        <v>0</v>
      </c>
      <c r="AB215" s="31">
        <f>ROUND(AA215*PARAMETROS!$H$24,0)</f>
        <v>0</v>
      </c>
      <c r="AC215" s="31">
        <f t="shared" si="84"/>
        <v>0</v>
      </c>
      <c r="AD215" s="31">
        <f t="shared" si="85"/>
        <v>0</v>
      </c>
      <c r="AE215" s="31">
        <f t="shared" si="87"/>
        <v>0</v>
      </c>
      <c r="AF215" s="31">
        <f t="shared" si="87"/>
        <v>0</v>
      </c>
      <c r="AG215" s="31">
        <f t="shared" si="86"/>
        <v>0</v>
      </c>
    </row>
    <row r="216" spans="1:33" ht="3" customHeight="1" x14ac:dyDescent="0.25">
      <c r="A216">
        <v>10102</v>
      </c>
      <c r="B216">
        <v>10309</v>
      </c>
      <c r="C216" t="s">
        <v>252</v>
      </c>
      <c r="D216" s="31">
        <f>+DATA!O212</f>
        <v>3939064</v>
      </c>
      <c r="E216" s="31">
        <f>+DATA!T212</f>
        <v>6453590.0300000003</v>
      </c>
      <c r="F216" s="38">
        <f t="shared" si="68"/>
        <v>10392654.030000001</v>
      </c>
      <c r="G216" s="112">
        <f t="shared" si="69"/>
        <v>0.60799999999999998</v>
      </c>
      <c r="H216" s="95">
        <f t="shared" si="70"/>
        <v>0.621</v>
      </c>
      <c r="I216" s="6" t="str">
        <f t="shared" si="71"/>
        <v>SI</v>
      </c>
      <c r="J216" s="117">
        <f t="shared" si="72"/>
        <v>3.3112582781000001E-3</v>
      </c>
      <c r="K216" s="117">
        <f t="shared" si="73"/>
        <v>1.6556291390500001E-3</v>
      </c>
      <c r="L216" s="31">
        <f>IF(I216="SI",VLOOKUP(A216,DATA!$A$4:$D$350,4,0),0)</f>
        <v>37626</v>
      </c>
      <c r="M216" s="95">
        <f>IF(I216="SI",VLOOKUP(A216,DATA!$A$4:$E$350,5,0),0)</f>
        <v>8.510298443700641E-2</v>
      </c>
      <c r="N216" s="31">
        <f t="shared" si="74"/>
        <v>3202</v>
      </c>
      <c r="O216" s="117">
        <f t="shared" si="75"/>
        <v>3.8767245189E-3</v>
      </c>
      <c r="P216" s="117">
        <f t="shared" si="76"/>
        <v>3.8767245189999999E-4</v>
      </c>
      <c r="Q216" s="31">
        <f>IF(I216="SI",VLOOKUP(A216,DATA!$A$4:$G$350,7,0),0)</f>
        <v>11461</v>
      </c>
      <c r="R216" s="31">
        <f>IF(I216="SI",VLOOKUP(A216,DATA!$A$4:$H$350,8,0),0)</f>
        <v>15664</v>
      </c>
      <c r="S216" s="117">
        <f t="shared" si="77"/>
        <v>2.4472548256000001E-3</v>
      </c>
      <c r="T216" s="117">
        <f t="shared" si="78"/>
        <v>3.2016615049446553E-3</v>
      </c>
      <c r="U216" s="117">
        <f t="shared" si="79"/>
        <v>6.4033230099999996E-4</v>
      </c>
      <c r="V216" s="31">
        <f>IF(I216="SI",VLOOKUP(A216,COEF_FCM!$A$8:$X$354,24,0),0)</f>
        <v>3939064</v>
      </c>
      <c r="W216" s="121">
        <f t="shared" si="80"/>
        <v>104.69</v>
      </c>
      <c r="X216" s="31">
        <f>IF(AND(W216&gt;0,W216&lt;$W$7),ROUND(($W$7-W216)*L216,PARAMETROS!$L$8),0)</f>
        <v>81648</v>
      </c>
      <c r="Y216" s="122">
        <f t="shared" si="81"/>
        <v>3.009052986E-4</v>
      </c>
      <c r="Z216" s="117">
        <f t="shared" si="82"/>
        <v>6.0181059700000001E-5</v>
      </c>
      <c r="AA216" s="96">
        <f t="shared" si="83"/>
        <v>2.7438149516499999E-3</v>
      </c>
      <c r="AB216" s="31">
        <f>ROUND(AA216*PARAMETROS!$H$24,0)</f>
        <v>470886662</v>
      </c>
      <c r="AC216" s="31">
        <f t="shared" si="84"/>
        <v>470886662</v>
      </c>
      <c r="AD216" s="31">
        <f t="shared" si="85"/>
        <v>117721666</v>
      </c>
      <c r="AE216" s="31">
        <f t="shared" si="87"/>
        <v>117721666</v>
      </c>
      <c r="AF216" s="31">
        <f t="shared" si="87"/>
        <v>117721666</v>
      </c>
      <c r="AG216" s="31">
        <f t="shared" si="86"/>
        <v>117721664</v>
      </c>
    </row>
    <row r="217" spans="1:33" ht="3" customHeight="1" x14ac:dyDescent="0.25">
      <c r="A217">
        <v>10103</v>
      </c>
      <c r="B217">
        <v>10302</v>
      </c>
      <c r="C217" t="s">
        <v>414</v>
      </c>
      <c r="D217" s="31">
        <f>+DATA!O213</f>
        <v>621582</v>
      </c>
      <c r="E217" s="31">
        <f>+DATA!T213</f>
        <v>2119212.1460000002</v>
      </c>
      <c r="F217" s="38">
        <f t="shared" si="68"/>
        <v>2740794.1460000002</v>
      </c>
      <c r="G217" s="112">
        <f t="shared" si="69"/>
        <v>4.5999999999999999E-2</v>
      </c>
      <c r="H217" s="95">
        <f t="shared" si="70"/>
        <v>0.7732</v>
      </c>
      <c r="I217" s="6" t="str">
        <f t="shared" si="71"/>
        <v>SI</v>
      </c>
      <c r="J217" s="117">
        <f t="shared" si="72"/>
        <v>3.3112582781000001E-3</v>
      </c>
      <c r="K217" s="117">
        <f t="shared" si="73"/>
        <v>1.6556291390500001E-3</v>
      </c>
      <c r="L217" s="31">
        <f>IF(I217="SI",VLOOKUP(A217,DATA!$A$4:$D$350,4,0),0)</f>
        <v>3947</v>
      </c>
      <c r="M217" s="95">
        <f>IF(I217="SI",VLOOKUP(A217,DATA!$A$4:$E$350,5,0),0)</f>
        <v>0.1079937247332228</v>
      </c>
      <c r="N217" s="31">
        <f t="shared" si="74"/>
        <v>426</v>
      </c>
      <c r="O217" s="117">
        <f t="shared" si="75"/>
        <v>5.1576659749999997E-4</v>
      </c>
      <c r="P217" s="117">
        <f t="shared" si="76"/>
        <v>5.1576659799999998E-5</v>
      </c>
      <c r="Q217" s="31">
        <f>IF(I217="SI",VLOOKUP(A217,DATA!$A$4:$G$350,7,0),0)</f>
        <v>2414</v>
      </c>
      <c r="R217" s="31">
        <f>IF(I217="SI",VLOOKUP(A217,DATA!$A$4:$H$350,8,0),0)</f>
        <v>5037</v>
      </c>
      <c r="S217" s="117">
        <f t="shared" si="77"/>
        <v>3.3762875209999998E-4</v>
      </c>
      <c r="T217" s="117">
        <f t="shared" si="78"/>
        <v>4.4170838576078683E-4</v>
      </c>
      <c r="U217" s="117">
        <f t="shared" si="79"/>
        <v>8.8341677200000002E-5</v>
      </c>
      <c r="V217" s="31">
        <f>IF(I217="SI",VLOOKUP(A217,COEF_FCM!$A$8:$X$354,24,0),0)</f>
        <v>621582</v>
      </c>
      <c r="W217" s="121">
        <f t="shared" si="80"/>
        <v>157.47999999999999</v>
      </c>
      <c r="X217" s="31">
        <f>IF(AND(W217&gt;0,W217&lt;$W$7),ROUND(($W$7-W217)*L217,PARAMETROS!$L$8),0)</f>
        <v>0</v>
      </c>
      <c r="Y217" s="122">
        <f t="shared" si="81"/>
        <v>0</v>
      </c>
      <c r="Z217" s="117">
        <f t="shared" si="82"/>
        <v>0</v>
      </c>
      <c r="AA217" s="96">
        <f t="shared" si="83"/>
        <v>1.7955474760500002E-3</v>
      </c>
      <c r="AB217" s="31">
        <f>ROUND(AA217*PARAMETROS!$H$24,0)</f>
        <v>308147369</v>
      </c>
      <c r="AC217" s="31">
        <f t="shared" si="84"/>
        <v>308147369</v>
      </c>
      <c r="AD217" s="31">
        <f t="shared" si="85"/>
        <v>77036842</v>
      </c>
      <c r="AE217" s="31">
        <f t="shared" si="87"/>
        <v>77036842</v>
      </c>
      <c r="AF217" s="31">
        <f t="shared" si="87"/>
        <v>77036842</v>
      </c>
      <c r="AG217" s="31">
        <f t="shared" si="86"/>
        <v>77036843</v>
      </c>
    </row>
    <row r="218" spans="1:33" ht="3" customHeight="1" x14ac:dyDescent="0.25">
      <c r="A218">
        <v>10104</v>
      </c>
      <c r="B218">
        <v>10304</v>
      </c>
      <c r="C218" t="s">
        <v>248</v>
      </c>
      <c r="D218" s="31">
        <f>+DATA!O214</f>
        <v>875323</v>
      </c>
      <c r="E218" s="31">
        <f>+DATA!T214</f>
        <v>3247297.2059999998</v>
      </c>
      <c r="F218" s="38">
        <f t="shared" si="68"/>
        <v>4122620.2059999998</v>
      </c>
      <c r="G218" s="112">
        <f t="shared" si="69"/>
        <v>0.17899999999999999</v>
      </c>
      <c r="H218" s="95">
        <f t="shared" si="70"/>
        <v>0.78769999999999996</v>
      </c>
      <c r="I218" s="6" t="str">
        <f t="shared" si="71"/>
        <v>SI</v>
      </c>
      <c r="J218" s="117">
        <f t="shared" si="72"/>
        <v>3.3112582781000001E-3</v>
      </c>
      <c r="K218" s="117">
        <f t="shared" si="73"/>
        <v>1.6556291390500001E-3</v>
      </c>
      <c r="L218" s="31">
        <f>IF(I218="SI",VLOOKUP(A218,DATA!$A$4:$D$350,4,0),0)</f>
        <v>12571</v>
      </c>
      <c r="M218" s="95">
        <f>IF(I218="SI",VLOOKUP(A218,DATA!$A$4:$E$350,5,0),0)</f>
        <v>0.1120609040367706</v>
      </c>
      <c r="N218" s="31">
        <f t="shared" si="74"/>
        <v>1409</v>
      </c>
      <c r="O218" s="117">
        <f t="shared" si="75"/>
        <v>1.7059040746999999E-3</v>
      </c>
      <c r="P218" s="117">
        <f t="shared" si="76"/>
        <v>1.705904075E-4</v>
      </c>
      <c r="Q218" s="31">
        <f>IF(I218="SI",VLOOKUP(A218,DATA!$A$4:$G$350,7,0),0)</f>
        <v>5004</v>
      </c>
      <c r="R218" s="31">
        <f>IF(I218="SI",VLOOKUP(A218,DATA!$A$4:$H$350,8,0),0)</f>
        <v>8008</v>
      </c>
      <c r="S218" s="117">
        <f t="shared" si="77"/>
        <v>9.1253048210000005E-4</v>
      </c>
      <c r="T218" s="117">
        <f t="shared" si="78"/>
        <v>1.1938330598293368E-3</v>
      </c>
      <c r="U218" s="117">
        <f t="shared" si="79"/>
        <v>2.38766612E-4</v>
      </c>
      <c r="V218" s="31">
        <f>IF(I218="SI",VLOOKUP(A218,COEF_FCM!$A$8:$X$354,24,0),0)</f>
        <v>875323</v>
      </c>
      <c r="W218" s="121">
        <f t="shared" si="80"/>
        <v>69.63</v>
      </c>
      <c r="X218" s="31">
        <f>IF(AND(W218&gt;0,W218&lt;$W$7),ROUND(($W$7-W218)*L218,PARAMETROS!$L$8),0)</f>
        <v>468018</v>
      </c>
      <c r="Y218" s="122">
        <f t="shared" si="81"/>
        <v>1.7248321581999999E-3</v>
      </c>
      <c r="Z218" s="117">
        <f t="shared" si="82"/>
        <v>3.4496643159999998E-4</v>
      </c>
      <c r="AA218" s="96">
        <f t="shared" si="83"/>
        <v>2.40995259015E-3</v>
      </c>
      <c r="AB218" s="31">
        <f>ROUND(AA218*PARAMETROS!$H$24,0)</f>
        <v>413590039</v>
      </c>
      <c r="AC218" s="31">
        <f t="shared" si="84"/>
        <v>413590039</v>
      </c>
      <c r="AD218" s="31">
        <f t="shared" si="85"/>
        <v>103397510</v>
      </c>
      <c r="AE218" s="31">
        <f t="shared" si="87"/>
        <v>103397510</v>
      </c>
      <c r="AF218" s="31">
        <f t="shared" si="87"/>
        <v>103397510</v>
      </c>
      <c r="AG218" s="31">
        <f t="shared" si="86"/>
        <v>103397509</v>
      </c>
    </row>
    <row r="219" spans="1:33" ht="3" customHeight="1" x14ac:dyDescent="0.25">
      <c r="A219">
        <v>10105</v>
      </c>
      <c r="B219">
        <v>10305</v>
      </c>
      <c r="C219" t="s">
        <v>249</v>
      </c>
      <c r="D219" s="31">
        <f>+DATA!O215</f>
        <v>4305065</v>
      </c>
      <c r="E219" s="31">
        <f>+DATA!T215</f>
        <v>2718470.5019999999</v>
      </c>
      <c r="F219" s="38">
        <f t="shared" si="68"/>
        <v>7023535.5020000003</v>
      </c>
      <c r="G219" s="112">
        <f t="shared" si="69"/>
        <v>0.46899999999999997</v>
      </c>
      <c r="H219" s="95">
        <f t="shared" si="70"/>
        <v>0.3871</v>
      </c>
      <c r="I219" s="6" t="str">
        <f t="shared" si="71"/>
        <v>SI</v>
      </c>
      <c r="J219" s="117">
        <f t="shared" si="72"/>
        <v>3.3112582781000001E-3</v>
      </c>
      <c r="K219" s="117">
        <f t="shared" si="73"/>
        <v>1.6556291390500001E-3</v>
      </c>
      <c r="L219" s="31">
        <f>IF(I219="SI",VLOOKUP(A219,DATA!$A$4:$D$350,4,0),0)</f>
        <v>20817</v>
      </c>
      <c r="M219" s="95">
        <f>IF(I219="SI",VLOOKUP(A219,DATA!$A$4:$E$350,5,0),0)</f>
        <v>5.8362247635558452E-2</v>
      </c>
      <c r="N219" s="31">
        <f t="shared" si="74"/>
        <v>1215</v>
      </c>
      <c r="O219" s="117">
        <f t="shared" si="75"/>
        <v>1.4710244505E-3</v>
      </c>
      <c r="P219" s="117">
        <f t="shared" si="76"/>
        <v>1.4710244509999999E-4</v>
      </c>
      <c r="Q219" s="31">
        <f>IF(I219="SI",VLOOKUP(A219,DATA!$A$4:$G$350,7,0),0)</f>
        <v>6372</v>
      </c>
      <c r="R219" s="31">
        <f>IF(I219="SI",VLOOKUP(A219,DATA!$A$4:$H$350,8,0),0)</f>
        <v>14291</v>
      </c>
      <c r="S219" s="117">
        <f t="shared" si="77"/>
        <v>8.2913597310000004E-4</v>
      </c>
      <c r="T219" s="117">
        <f t="shared" si="78"/>
        <v>1.0847308174326549E-3</v>
      </c>
      <c r="U219" s="117">
        <f t="shared" si="79"/>
        <v>2.169461635E-4</v>
      </c>
      <c r="V219" s="31">
        <f>IF(I219="SI",VLOOKUP(A219,COEF_FCM!$A$8:$X$354,24,0),0)</f>
        <v>4305065</v>
      </c>
      <c r="W219" s="121">
        <f t="shared" si="80"/>
        <v>206.81</v>
      </c>
      <c r="X219" s="31">
        <f>IF(AND(W219&gt;0,W219&lt;$W$7),ROUND(($W$7-W219)*L219,PARAMETROS!$L$8),0)</f>
        <v>0</v>
      </c>
      <c r="Y219" s="122">
        <f t="shared" si="81"/>
        <v>0</v>
      </c>
      <c r="Z219" s="117">
        <f t="shared" si="82"/>
        <v>0</v>
      </c>
      <c r="AA219" s="96">
        <f t="shared" si="83"/>
        <v>2.0196777476500002E-3</v>
      </c>
      <c r="AB219" s="31">
        <f>ROUND(AA219*PARAMETROS!$H$24,0)</f>
        <v>346612046</v>
      </c>
      <c r="AC219" s="31">
        <f t="shared" si="84"/>
        <v>346612046</v>
      </c>
      <c r="AD219" s="31">
        <f t="shared" si="85"/>
        <v>86653012</v>
      </c>
      <c r="AE219" s="31">
        <f t="shared" si="87"/>
        <v>86653012</v>
      </c>
      <c r="AF219" s="31">
        <f t="shared" si="87"/>
        <v>86653012</v>
      </c>
      <c r="AG219" s="31">
        <f t="shared" si="86"/>
        <v>86653010</v>
      </c>
    </row>
    <row r="220" spans="1:33" ht="3" customHeight="1" x14ac:dyDescent="0.25">
      <c r="A220">
        <v>10106</v>
      </c>
      <c r="B220">
        <v>10308</v>
      </c>
      <c r="C220" t="s">
        <v>251</v>
      </c>
      <c r="D220" s="31">
        <f>+DATA!O216</f>
        <v>1398260</v>
      </c>
      <c r="E220" s="31">
        <f>+DATA!T216</f>
        <v>3883070.5159999998</v>
      </c>
      <c r="F220" s="38">
        <f t="shared" si="68"/>
        <v>5281330.5159999998</v>
      </c>
      <c r="G220" s="112">
        <f t="shared" si="69"/>
        <v>0.318</v>
      </c>
      <c r="H220" s="95">
        <f t="shared" si="70"/>
        <v>0.73519999999999996</v>
      </c>
      <c r="I220" s="6" t="str">
        <f t="shared" si="71"/>
        <v>SI</v>
      </c>
      <c r="J220" s="117">
        <f t="shared" si="72"/>
        <v>3.3112582781000001E-3</v>
      </c>
      <c r="K220" s="117">
        <f t="shared" si="73"/>
        <v>1.6556291390500001E-3</v>
      </c>
      <c r="L220" s="31">
        <f>IF(I220="SI",VLOOKUP(A220,DATA!$A$4:$D$350,4,0),0)</f>
        <v>17832</v>
      </c>
      <c r="M220" s="95">
        <f>IF(I220="SI",VLOOKUP(A220,DATA!$A$4:$E$350,5,0),0)</f>
        <v>0.11645885284523901</v>
      </c>
      <c r="N220" s="31">
        <f t="shared" si="74"/>
        <v>2077</v>
      </c>
      <c r="O220" s="117">
        <f t="shared" si="75"/>
        <v>2.5146648425000001E-3</v>
      </c>
      <c r="P220" s="117">
        <f t="shared" si="76"/>
        <v>2.514664843E-4</v>
      </c>
      <c r="Q220" s="31">
        <f>IF(I220="SI",VLOOKUP(A220,DATA!$A$4:$G$350,7,0),0)</f>
        <v>6876</v>
      </c>
      <c r="R220" s="31">
        <f>IF(I220="SI",VLOOKUP(A220,DATA!$A$4:$H$350,8,0),0)</f>
        <v>12574</v>
      </c>
      <c r="S220" s="117">
        <f t="shared" si="77"/>
        <v>1.0973246191E-3</v>
      </c>
      <c r="T220" s="117">
        <f t="shared" si="78"/>
        <v>1.4355930386363302E-3</v>
      </c>
      <c r="U220" s="117">
        <f t="shared" si="79"/>
        <v>2.8711860770000002E-4</v>
      </c>
      <c r="V220" s="31">
        <f>IF(I220="SI",VLOOKUP(A220,COEF_FCM!$A$8:$X$354,24,0),0)</f>
        <v>1398260</v>
      </c>
      <c r="W220" s="121">
        <f t="shared" si="80"/>
        <v>78.41</v>
      </c>
      <c r="X220" s="31">
        <f>IF(AND(W220&gt;0,W220&lt;$W$7),ROUND(($W$7-W220)*L220,PARAMETROS!$L$8),0)</f>
        <v>507320</v>
      </c>
      <c r="Y220" s="122">
        <f t="shared" si="81"/>
        <v>1.8696756331999999E-3</v>
      </c>
      <c r="Z220" s="117">
        <f t="shared" si="82"/>
        <v>3.739351266E-4</v>
      </c>
      <c r="AA220" s="96">
        <f t="shared" si="83"/>
        <v>2.5681493576500004E-3</v>
      </c>
      <c r="AB220" s="31">
        <f>ROUND(AA220*PARAMETROS!$H$24,0)</f>
        <v>440739372</v>
      </c>
      <c r="AC220" s="31">
        <f t="shared" si="84"/>
        <v>440739372</v>
      </c>
      <c r="AD220" s="31">
        <f t="shared" si="85"/>
        <v>110184843</v>
      </c>
      <c r="AE220" s="31">
        <f t="shared" si="87"/>
        <v>110184843</v>
      </c>
      <c r="AF220" s="31">
        <f t="shared" si="87"/>
        <v>110184843</v>
      </c>
      <c r="AG220" s="31">
        <f t="shared" si="86"/>
        <v>110184843</v>
      </c>
    </row>
    <row r="221" spans="1:33" ht="3" customHeight="1" x14ac:dyDescent="0.25">
      <c r="A221">
        <v>10107</v>
      </c>
      <c r="B221">
        <v>10306</v>
      </c>
      <c r="C221" t="s">
        <v>250</v>
      </c>
      <c r="D221" s="31">
        <f>+DATA!O217</f>
        <v>2450461</v>
      </c>
      <c r="E221" s="31">
        <f>+DATA!T217</f>
        <v>2855034.4410000001</v>
      </c>
      <c r="F221" s="38">
        <f t="shared" si="68"/>
        <v>5305495.4409999996</v>
      </c>
      <c r="G221" s="112">
        <f t="shared" si="69"/>
        <v>0.32100000000000001</v>
      </c>
      <c r="H221" s="95">
        <f t="shared" si="70"/>
        <v>0.53810000000000002</v>
      </c>
      <c r="I221" s="6" t="str">
        <f t="shared" si="71"/>
        <v>SI</v>
      </c>
      <c r="J221" s="117">
        <f t="shared" si="72"/>
        <v>3.3112582781000001E-3</v>
      </c>
      <c r="K221" s="117">
        <f t="shared" si="73"/>
        <v>1.6556291390500001E-3</v>
      </c>
      <c r="L221" s="31">
        <f>IF(I221="SI",VLOOKUP(A221,DATA!$A$4:$D$350,4,0),0)</f>
        <v>18863</v>
      </c>
      <c r="M221" s="95">
        <f>IF(I221="SI",VLOOKUP(A221,DATA!$A$4:$E$350,5,0),0)</f>
        <v>5.9169487402196283E-2</v>
      </c>
      <c r="N221" s="31">
        <f t="shared" si="74"/>
        <v>1116</v>
      </c>
      <c r="O221" s="117">
        <f t="shared" si="75"/>
        <v>1.3511631989999999E-3</v>
      </c>
      <c r="P221" s="117">
        <f t="shared" si="76"/>
        <v>1.351163199E-4</v>
      </c>
      <c r="Q221" s="31">
        <f>IF(I221="SI",VLOOKUP(A221,DATA!$A$4:$G$350,7,0),0)</f>
        <v>4914</v>
      </c>
      <c r="R221" s="31">
        <f>IF(I221="SI",VLOOKUP(A221,DATA!$A$4:$H$350,8,0),0)</f>
        <v>8527</v>
      </c>
      <c r="S221" s="117">
        <f t="shared" si="77"/>
        <v>8.2643915360000001E-4</v>
      </c>
      <c r="T221" s="117">
        <f t="shared" si="78"/>
        <v>1.0812026588246451E-3</v>
      </c>
      <c r="U221" s="117">
        <f t="shared" si="79"/>
        <v>2.1624053180000001E-4</v>
      </c>
      <c r="V221" s="31">
        <f>IF(I221="SI",VLOOKUP(A221,COEF_FCM!$A$8:$X$354,24,0),0)</f>
        <v>2450461</v>
      </c>
      <c r="W221" s="121">
        <f t="shared" si="80"/>
        <v>129.91</v>
      </c>
      <c r="X221" s="31">
        <f>IF(AND(W221&gt;0,W221&lt;$W$7),ROUND(($W$7-W221)*L221,PARAMETROS!$L$8),0)</f>
        <v>0</v>
      </c>
      <c r="Y221" s="122">
        <f t="shared" si="81"/>
        <v>0</v>
      </c>
      <c r="Z221" s="117">
        <f t="shared" si="82"/>
        <v>0</v>
      </c>
      <c r="AA221" s="96">
        <f t="shared" si="83"/>
        <v>2.00698599075E-3</v>
      </c>
      <c r="AB221" s="31">
        <f>ROUND(AA221*PARAMETROS!$H$24,0)</f>
        <v>344433918</v>
      </c>
      <c r="AC221" s="31">
        <f t="shared" si="84"/>
        <v>344433918</v>
      </c>
      <c r="AD221" s="31">
        <f t="shared" si="85"/>
        <v>86108480</v>
      </c>
      <c r="AE221" s="31">
        <f t="shared" si="87"/>
        <v>86108480</v>
      </c>
      <c r="AF221" s="31">
        <f t="shared" si="87"/>
        <v>86108480</v>
      </c>
      <c r="AG221" s="31">
        <f t="shared" si="86"/>
        <v>86108478</v>
      </c>
    </row>
    <row r="222" spans="1:33" ht="3" customHeight="1" x14ac:dyDescent="0.25">
      <c r="A222">
        <v>10108</v>
      </c>
      <c r="B222">
        <v>10307</v>
      </c>
      <c r="C222" t="s">
        <v>415</v>
      </c>
      <c r="D222" s="31">
        <f>+DATA!O218</f>
        <v>1361435</v>
      </c>
      <c r="E222" s="31">
        <f>+DATA!T218</f>
        <v>3998926.59</v>
      </c>
      <c r="F222" s="38">
        <f t="shared" si="68"/>
        <v>5360361.59</v>
      </c>
      <c r="G222" s="112">
        <f t="shared" si="69"/>
        <v>0.32700000000000001</v>
      </c>
      <c r="H222" s="95">
        <f t="shared" si="70"/>
        <v>0.746</v>
      </c>
      <c r="I222" s="6" t="str">
        <f t="shared" si="71"/>
        <v>SI</v>
      </c>
      <c r="J222" s="117">
        <f t="shared" si="72"/>
        <v>3.3112582781000001E-3</v>
      </c>
      <c r="K222" s="117">
        <f t="shared" si="73"/>
        <v>1.6556291390500001E-3</v>
      </c>
      <c r="L222" s="31">
        <f>IF(I222="SI",VLOOKUP(A222,DATA!$A$4:$D$350,4,0),0)</f>
        <v>14735</v>
      </c>
      <c r="M222" s="95">
        <f>IF(I222="SI",VLOOKUP(A222,DATA!$A$4:$E$350,5,0),0)</f>
        <v>0.1269646823510594</v>
      </c>
      <c r="N222" s="31">
        <f t="shared" si="74"/>
        <v>1871</v>
      </c>
      <c r="O222" s="117">
        <f t="shared" si="75"/>
        <v>2.2652565817999999E-3</v>
      </c>
      <c r="P222" s="117">
        <f t="shared" si="76"/>
        <v>2.265256582E-4</v>
      </c>
      <c r="Q222" s="31">
        <f>IF(I222="SI",VLOOKUP(A222,DATA!$A$4:$G$350,7,0),0)</f>
        <v>6325</v>
      </c>
      <c r="R222" s="31">
        <f>IF(I222="SI",VLOOKUP(A222,DATA!$A$4:$H$350,8,0),0)</f>
        <v>11231</v>
      </c>
      <c r="S222" s="117">
        <f t="shared" si="77"/>
        <v>1.0395358599E-3</v>
      </c>
      <c r="T222" s="117">
        <f t="shared" si="78"/>
        <v>1.3599899409066959E-3</v>
      </c>
      <c r="U222" s="117">
        <f t="shared" si="79"/>
        <v>2.7199798820000002E-4</v>
      </c>
      <c r="V222" s="31">
        <f>IF(I222="SI",VLOOKUP(A222,COEF_FCM!$A$8:$X$354,24,0),0)</f>
        <v>1361435</v>
      </c>
      <c r="W222" s="121">
        <f t="shared" si="80"/>
        <v>92.39</v>
      </c>
      <c r="X222" s="31">
        <f>IF(AND(W222&gt;0,W222&lt;$W$7),ROUND(($W$7-W222)*L222,PARAMETROS!$L$8),0)</f>
        <v>213215</v>
      </c>
      <c r="Y222" s="122">
        <f t="shared" si="81"/>
        <v>7.8578193280000005E-4</v>
      </c>
      <c r="Z222" s="117">
        <f t="shared" si="82"/>
        <v>1.5715638659999999E-4</v>
      </c>
      <c r="AA222" s="96">
        <f t="shared" si="83"/>
        <v>2.3113091720500002E-3</v>
      </c>
      <c r="AB222" s="31">
        <f>ROUND(AA222*PARAMETROS!$H$24,0)</f>
        <v>396661102</v>
      </c>
      <c r="AC222" s="31">
        <f t="shared" si="84"/>
        <v>396661102</v>
      </c>
      <c r="AD222" s="31">
        <f t="shared" si="85"/>
        <v>99165276</v>
      </c>
      <c r="AE222" s="31">
        <f t="shared" si="87"/>
        <v>99165276</v>
      </c>
      <c r="AF222" s="31">
        <f t="shared" si="87"/>
        <v>99165276</v>
      </c>
      <c r="AG222" s="31">
        <f t="shared" si="86"/>
        <v>99165274</v>
      </c>
    </row>
    <row r="223" spans="1:33" ht="3" customHeight="1" x14ac:dyDescent="0.25">
      <c r="A223">
        <v>10109</v>
      </c>
      <c r="B223">
        <v>10303</v>
      </c>
      <c r="C223" t="s">
        <v>247</v>
      </c>
      <c r="D223" s="31">
        <f>+DATA!O219</f>
        <v>14729012</v>
      </c>
      <c r="E223" s="31">
        <f>+DATA!T219</f>
        <v>2883311.0129999998</v>
      </c>
      <c r="F223" s="38">
        <f t="shared" si="68"/>
        <v>17612323.013</v>
      </c>
      <c r="G223" s="112">
        <f t="shared" si="69"/>
        <v>0.76200000000000001</v>
      </c>
      <c r="H223" s="95">
        <f t="shared" si="70"/>
        <v>0.16370000000000001</v>
      </c>
      <c r="I223" s="6" t="str">
        <f t="shared" si="71"/>
        <v>SI</v>
      </c>
      <c r="J223" s="117">
        <f t="shared" si="72"/>
        <v>3.3112582781000001E-3</v>
      </c>
      <c r="K223" s="117">
        <f t="shared" si="73"/>
        <v>1.6556291390500001E-3</v>
      </c>
      <c r="L223" s="31">
        <f>IF(I223="SI",VLOOKUP(A223,DATA!$A$4:$D$350,4,0),0)</f>
        <v>51316</v>
      </c>
      <c r="M223" s="95">
        <f>IF(I223="SI",VLOOKUP(A223,DATA!$A$4:$E$350,5,0),0)</f>
        <v>2.1149840961607571E-2</v>
      </c>
      <c r="N223" s="31">
        <f t="shared" si="74"/>
        <v>1085</v>
      </c>
      <c r="O223" s="117">
        <f t="shared" si="75"/>
        <v>1.3136308878999999E-3</v>
      </c>
      <c r="P223" s="117">
        <f t="shared" si="76"/>
        <v>1.313630888E-4</v>
      </c>
      <c r="Q223" s="31">
        <f>IF(I223="SI",VLOOKUP(A223,DATA!$A$4:$G$350,7,0),0)</f>
        <v>10428</v>
      </c>
      <c r="R223" s="31">
        <f>IF(I223="SI",VLOOKUP(A223,DATA!$A$4:$H$350,8,0),0)</f>
        <v>36824</v>
      </c>
      <c r="S223" s="117">
        <f t="shared" si="77"/>
        <v>8.618028501E-4</v>
      </c>
      <c r="T223" s="117">
        <f t="shared" si="78"/>
        <v>1.1274677982666878E-3</v>
      </c>
      <c r="U223" s="117">
        <f t="shared" si="79"/>
        <v>2.254935597E-4</v>
      </c>
      <c r="V223" s="31">
        <f>IF(I223="SI",VLOOKUP(A223,COEF_FCM!$A$8:$X$354,24,0),0)</f>
        <v>14729012</v>
      </c>
      <c r="W223" s="121">
        <f t="shared" si="80"/>
        <v>287.02999999999997</v>
      </c>
      <c r="X223" s="31">
        <f>IF(AND(W223&gt;0,W223&lt;$W$7),ROUND(($W$7-W223)*L223,PARAMETROS!$L$8),0)</f>
        <v>0</v>
      </c>
      <c r="Y223" s="122">
        <f t="shared" si="81"/>
        <v>0</v>
      </c>
      <c r="Z223" s="117">
        <f t="shared" si="82"/>
        <v>0</v>
      </c>
      <c r="AA223" s="96">
        <f t="shared" si="83"/>
        <v>2.0124857875500001E-3</v>
      </c>
      <c r="AB223" s="31">
        <f>ROUND(AA223*PARAMETROS!$H$24,0)</f>
        <v>345377780</v>
      </c>
      <c r="AC223" s="31">
        <f t="shared" si="84"/>
        <v>345377780</v>
      </c>
      <c r="AD223" s="31">
        <f t="shared" si="85"/>
        <v>86344445</v>
      </c>
      <c r="AE223" s="31">
        <f t="shared" si="87"/>
        <v>86344445</v>
      </c>
      <c r="AF223" s="31">
        <f t="shared" si="87"/>
        <v>86344445</v>
      </c>
      <c r="AG223" s="31">
        <f t="shared" si="86"/>
        <v>86344445</v>
      </c>
    </row>
    <row r="224" spans="1:33" ht="3" customHeight="1" x14ac:dyDescent="0.25">
      <c r="A224">
        <v>10201</v>
      </c>
      <c r="B224">
        <v>10401</v>
      </c>
      <c r="C224" t="s">
        <v>253</v>
      </c>
      <c r="D224" s="31">
        <f>+DATA!O220</f>
        <v>5900581</v>
      </c>
      <c r="E224" s="31">
        <f>+DATA!T220</f>
        <v>15319781.793</v>
      </c>
      <c r="F224" s="38">
        <f t="shared" si="68"/>
        <v>21220362.792999998</v>
      </c>
      <c r="G224" s="112">
        <f t="shared" si="69"/>
        <v>0.80800000000000005</v>
      </c>
      <c r="H224" s="95">
        <f t="shared" si="70"/>
        <v>0.72189999999999999</v>
      </c>
      <c r="I224" s="6" t="str">
        <f t="shared" si="71"/>
        <v>SI</v>
      </c>
      <c r="J224" s="117">
        <f t="shared" si="72"/>
        <v>3.3112582781000001E-3</v>
      </c>
      <c r="K224" s="117">
        <f t="shared" si="73"/>
        <v>1.6556291390500001E-3</v>
      </c>
      <c r="L224" s="31">
        <f>IF(I224="SI",VLOOKUP(A224,DATA!$A$4:$D$350,4,0),0)</f>
        <v>48727</v>
      </c>
      <c r="M224" s="95">
        <f>IF(I224="SI",VLOOKUP(A224,DATA!$A$4:$E$350,5,0),0)</f>
        <v>3.2261156239627907E-2</v>
      </c>
      <c r="N224" s="31">
        <f t="shared" si="74"/>
        <v>1572</v>
      </c>
      <c r="O224" s="117">
        <f t="shared" si="75"/>
        <v>1.9032513877999999E-3</v>
      </c>
      <c r="P224" s="117">
        <f t="shared" si="76"/>
        <v>1.9032513880000001E-4</v>
      </c>
      <c r="Q224" s="31">
        <f>IF(I224="SI",VLOOKUP(A224,DATA!$A$4:$G$350,7,0),0)</f>
        <v>17118</v>
      </c>
      <c r="R224" s="31">
        <f>IF(I224="SI",VLOOKUP(A224,DATA!$A$4:$H$350,8,0),0)</f>
        <v>22246</v>
      </c>
      <c r="S224" s="117">
        <f t="shared" si="77"/>
        <v>3.8440670491000002E-3</v>
      </c>
      <c r="T224" s="117">
        <f t="shared" si="78"/>
        <v>5.029064143539784E-3</v>
      </c>
      <c r="U224" s="117">
        <f t="shared" si="79"/>
        <v>1.0058128286999999E-3</v>
      </c>
      <c r="V224" s="31">
        <f>IF(I224="SI",VLOOKUP(A224,COEF_FCM!$A$8:$X$354,24,0),0)</f>
        <v>5900581</v>
      </c>
      <c r="W224" s="121">
        <f t="shared" si="80"/>
        <v>121.09</v>
      </c>
      <c r="X224" s="31">
        <f>IF(AND(W224&gt;0,W224&lt;$W$7),ROUND(($W$7-W224)*L224,PARAMETROS!$L$8),0)</f>
        <v>0</v>
      </c>
      <c r="Y224" s="122">
        <f t="shared" si="81"/>
        <v>0</v>
      </c>
      <c r="Z224" s="117">
        <f t="shared" si="82"/>
        <v>0</v>
      </c>
      <c r="AA224" s="96">
        <f t="shared" si="83"/>
        <v>2.85176710655E-3</v>
      </c>
      <c r="AB224" s="31">
        <f>ROUND(AA224*PARAMETROS!$H$24,0)</f>
        <v>489413141</v>
      </c>
      <c r="AC224" s="31">
        <f t="shared" si="84"/>
        <v>489413141</v>
      </c>
      <c r="AD224" s="31">
        <f t="shared" si="85"/>
        <v>122353285</v>
      </c>
      <c r="AE224" s="31">
        <f t="shared" si="87"/>
        <v>122353285</v>
      </c>
      <c r="AF224" s="31">
        <f t="shared" si="87"/>
        <v>122353285</v>
      </c>
      <c r="AG224" s="31">
        <f t="shared" si="86"/>
        <v>122353286</v>
      </c>
    </row>
    <row r="225" spans="1:33" ht="3" customHeight="1" x14ac:dyDescent="0.25">
      <c r="A225">
        <v>10202</v>
      </c>
      <c r="B225">
        <v>10406</v>
      </c>
      <c r="C225" t="s">
        <v>255</v>
      </c>
      <c r="D225" s="31">
        <f>+DATA!O221</f>
        <v>3835690</v>
      </c>
      <c r="E225" s="31">
        <f>+DATA!T221</f>
        <v>9161424.1620000005</v>
      </c>
      <c r="F225" s="38">
        <f t="shared" si="68"/>
        <v>12997114.162</v>
      </c>
      <c r="G225" s="112">
        <f t="shared" si="69"/>
        <v>0.66900000000000004</v>
      </c>
      <c r="H225" s="95">
        <f t="shared" si="70"/>
        <v>0.70489999999999997</v>
      </c>
      <c r="I225" s="6" t="str">
        <f t="shared" si="71"/>
        <v>SI</v>
      </c>
      <c r="J225" s="117">
        <f t="shared" si="72"/>
        <v>3.3112582781000001E-3</v>
      </c>
      <c r="K225" s="117">
        <f t="shared" si="73"/>
        <v>1.6556291390500001E-3</v>
      </c>
      <c r="L225" s="31">
        <f>IF(I225="SI",VLOOKUP(A225,DATA!$A$4:$D$350,4,0),0)</f>
        <v>42524</v>
      </c>
      <c r="M225" s="95">
        <f>IF(I225="SI",VLOOKUP(A225,DATA!$A$4:$E$350,5,0),0)</f>
        <v>5.5257919173565623E-2</v>
      </c>
      <c r="N225" s="31">
        <f t="shared" si="74"/>
        <v>2350</v>
      </c>
      <c r="O225" s="117">
        <f t="shared" si="75"/>
        <v>2.845191324E-3</v>
      </c>
      <c r="P225" s="117">
        <f t="shared" si="76"/>
        <v>2.8451913239999999E-4</v>
      </c>
      <c r="Q225" s="31">
        <f>IF(I225="SI",VLOOKUP(A225,DATA!$A$4:$G$350,7,0),0)</f>
        <v>19767</v>
      </c>
      <c r="R225" s="31">
        <f>IF(I225="SI",VLOOKUP(A225,DATA!$A$4:$H$350,8,0),0)</f>
        <v>32333</v>
      </c>
      <c r="S225" s="117">
        <f t="shared" si="77"/>
        <v>3.5267312429E-3</v>
      </c>
      <c r="T225" s="117">
        <f t="shared" si="78"/>
        <v>4.6139043390833667E-3</v>
      </c>
      <c r="U225" s="117">
        <f t="shared" si="79"/>
        <v>9.2278086780000004E-4</v>
      </c>
      <c r="V225" s="31">
        <f>IF(I225="SI",VLOOKUP(A225,COEF_FCM!$A$8:$X$354,24,0),0)</f>
        <v>3835690</v>
      </c>
      <c r="W225" s="121">
        <f t="shared" si="80"/>
        <v>90.2</v>
      </c>
      <c r="X225" s="31">
        <f>IF(AND(W225&gt;0,W225&lt;$W$7),ROUND(($W$7-W225)*L225,PARAMETROS!$L$8),0)</f>
        <v>708450</v>
      </c>
      <c r="Y225" s="122">
        <f t="shared" si="81"/>
        <v>2.6109195425E-3</v>
      </c>
      <c r="Z225" s="117">
        <f t="shared" si="82"/>
        <v>5.2218390850000001E-4</v>
      </c>
      <c r="AA225" s="96">
        <f t="shared" si="83"/>
        <v>3.3851130477500001E-3</v>
      </c>
      <c r="AB225" s="31">
        <f>ROUND(AA225*PARAMETROS!$H$24,0)</f>
        <v>580944638</v>
      </c>
      <c r="AC225" s="31">
        <f t="shared" si="84"/>
        <v>580944638</v>
      </c>
      <c r="AD225" s="31">
        <f t="shared" si="85"/>
        <v>145236160</v>
      </c>
      <c r="AE225" s="31">
        <f t="shared" si="87"/>
        <v>145236160</v>
      </c>
      <c r="AF225" s="31">
        <f t="shared" si="87"/>
        <v>145236160</v>
      </c>
      <c r="AG225" s="31">
        <f t="shared" si="86"/>
        <v>145236158</v>
      </c>
    </row>
    <row r="226" spans="1:33" ht="3" customHeight="1" x14ac:dyDescent="0.25">
      <c r="A226">
        <v>10203</v>
      </c>
      <c r="B226">
        <v>10402</v>
      </c>
      <c r="C226" t="s">
        <v>254</v>
      </c>
      <c r="D226" s="31">
        <f>+DATA!O222</f>
        <v>2554206</v>
      </c>
      <c r="E226" s="31">
        <f>+DATA!T222</f>
        <v>3630038.92</v>
      </c>
      <c r="F226" s="38">
        <f t="shared" si="68"/>
        <v>6184244.9199999999</v>
      </c>
      <c r="G226" s="112">
        <f t="shared" si="69"/>
        <v>0.41699999999999998</v>
      </c>
      <c r="H226" s="95">
        <f t="shared" si="70"/>
        <v>0.58699999999999997</v>
      </c>
      <c r="I226" s="6" t="str">
        <f t="shared" si="71"/>
        <v>SI</v>
      </c>
      <c r="J226" s="117">
        <f t="shared" si="72"/>
        <v>3.3112582781000001E-3</v>
      </c>
      <c r="K226" s="117">
        <f t="shared" si="73"/>
        <v>1.6556291390500001E-3</v>
      </c>
      <c r="L226" s="31">
        <f>IF(I226="SI",VLOOKUP(A226,DATA!$A$4:$D$350,4,0),0)</f>
        <v>16267</v>
      </c>
      <c r="M226" s="95">
        <f>IF(I226="SI",VLOOKUP(A226,DATA!$A$4:$E$350,5,0),0)</f>
        <v>9.2796639158610666E-2</v>
      </c>
      <c r="N226" s="31">
        <f t="shared" si="74"/>
        <v>1510</v>
      </c>
      <c r="O226" s="117">
        <f t="shared" si="75"/>
        <v>1.8281867655999999E-3</v>
      </c>
      <c r="P226" s="117">
        <f t="shared" si="76"/>
        <v>1.828186766E-4</v>
      </c>
      <c r="Q226" s="31">
        <f>IF(I226="SI",VLOOKUP(A226,DATA!$A$4:$G$350,7,0),0)</f>
        <v>8616</v>
      </c>
      <c r="R226" s="31">
        <f>IF(I226="SI",VLOOKUP(A226,DATA!$A$4:$H$350,8,0),0)</f>
        <v>13663</v>
      </c>
      <c r="S226" s="117">
        <f t="shared" si="77"/>
        <v>1.5856310994999999E-3</v>
      </c>
      <c r="T226" s="117">
        <f t="shared" si="78"/>
        <v>2.0744280486064874E-3</v>
      </c>
      <c r="U226" s="117">
        <f t="shared" si="79"/>
        <v>4.148856097E-4</v>
      </c>
      <c r="V226" s="31">
        <f>IF(I226="SI",VLOOKUP(A226,COEF_FCM!$A$8:$X$354,24,0),0)</f>
        <v>2554206</v>
      </c>
      <c r="W226" s="121">
        <f t="shared" si="80"/>
        <v>157.02000000000001</v>
      </c>
      <c r="X226" s="31">
        <f>IF(AND(W226&gt;0,W226&lt;$W$7),ROUND(($W$7-W226)*L226,PARAMETROS!$L$8),0)</f>
        <v>0</v>
      </c>
      <c r="Y226" s="122">
        <f t="shared" si="81"/>
        <v>0</v>
      </c>
      <c r="Z226" s="117">
        <f t="shared" si="82"/>
        <v>0</v>
      </c>
      <c r="AA226" s="96">
        <f t="shared" si="83"/>
        <v>2.2533334253500002E-3</v>
      </c>
      <c r="AB226" s="31">
        <f>ROUND(AA226*PARAMETROS!$H$24,0)</f>
        <v>386711449</v>
      </c>
      <c r="AC226" s="31">
        <f t="shared" si="84"/>
        <v>386711449</v>
      </c>
      <c r="AD226" s="31">
        <f t="shared" si="85"/>
        <v>96677862</v>
      </c>
      <c r="AE226" s="31">
        <f t="shared" si="87"/>
        <v>96677862</v>
      </c>
      <c r="AF226" s="31">
        <f t="shared" si="87"/>
        <v>96677862</v>
      </c>
      <c r="AG226" s="31">
        <f t="shared" si="86"/>
        <v>96677863</v>
      </c>
    </row>
    <row r="227" spans="1:33" ht="3" customHeight="1" x14ac:dyDescent="0.25">
      <c r="A227">
        <v>10204</v>
      </c>
      <c r="B227">
        <v>10410</v>
      </c>
      <c r="C227" t="s">
        <v>416</v>
      </c>
      <c r="D227" s="31">
        <f>+DATA!O223</f>
        <v>341540</v>
      </c>
      <c r="E227" s="31">
        <f>+DATA!T223</f>
        <v>2685551.9019999998</v>
      </c>
      <c r="F227" s="38">
        <f t="shared" si="68"/>
        <v>3027091.9019999998</v>
      </c>
      <c r="G227" s="112">
        <f t="shared" si="69"/>
        <v>6.9000000000000006E-2</v>
      </c>
      <c r="H227" s="95">
        <f t="shared" si="70"/>
        <v>0.88719999999999999</v>
      </c>
      <c r="I227" s="6" t="str">
        <f t="shared" si="71"/>
        <v>SI</v>
      </c>
      <c r="J227" s="117">
        <f t="shared" si="72"/>
        <v>3.3112582781000001E-3</v>
      </c>
      <c r="K227" s="117">
        <f t="shared" si="73"/>
        <v>1.6556291390500001E-3</v>
      </c>
      <c r="L227" s="31">
        <f>IF(I227="SI",VLOOKUP(A227,DATA!$A$4:$D$350,4,0),0)</f>
        <v>4135</v>
      </c>
      <c r="M227" s="95">
        <f>IF(I227="SI",VLOOKUP(A227,DATA!$A$4:$E$350,5,0),0)</f>
        <v>9.4541324061761273E-2</v>
      </c>
      <c r="N227" s="31">
        <f t="shared" si="74"/>
        <v>391</v>
      </c>
      <c r="O227" s="117">
        <f t="shared" si="75"/>
        <v>4.7339140749999998E-4</v>
      </c>
      <c r="P227" s="117">
        <f t="shared" si="76"/>
        <v>4.7339140799999998E-5</v>
      </c>
      <c r="Q227" s="31">
        <f>IF(I227="SI",VLOOKUP(A227,DATA!$A$4:$G$350,7,0),0)</f>
        <v>3008</v>
      </c>
      <c r="R227" s="31">
        <f>IF(I227="SI",VLOOKUP(A227,DATA!$A$4:$H$350,8,0),0)</f>
        <v>3403</v>
      </c>
      <c r="S227" s="117">
        <f t="shared" si="77"/>
        <v>7.7594431869999997E-4</v>
      </c>
      <c r="T227" s="117">
        <f t="shared" si="78"/>
        <v>1.0151419579091899E-3</v>
      </c>
      <c r="U227" s="117">
        <f t="shared" si="79"/>
        <v>2.0302839159999999E-4</v>
      </c>
      <c r="V227" s="31">
        <f>IF(I227="SI",VLOOKUP(A227,COEF_FCM!$A$8:$X$354,24,0),0)</f>
        <v>341540</v>
      </c>
      <c r="W227" s="121">
        <f t="shared" si="80"/>
        <v>82.6</v>
      </c>
      <c r="X227" s="31">
        <f>IF(AND(W227&gt;0,W227&lt;$W$7),ROUND(($W$7-W227)*L227,PARAMETROS!$L$8),0)</f>
        <v>100315</v>
      </c>
      <c r="Y227" s="122">
        <f t="shared" si="81"/>
        <v>3.6970060539999998E-4</v>
      </c>
      <c r="Z227" s="117">
        <f t="shared" si="82"/>
        <v>7.3940121099999996E-5</v>
      </c>
      <c r="AA227" s="96">
        <f t="shared" si="83"/>
        <v>1.9799367925499999E-3</v>
      </c>
      <c r="AB227" s="31">
        <f>ROUND(AA227*PARAMETROS!$H$24,0)</f>
        <v>339791802</v>
      </c>
      <c r="AC227" s="31">
        <f t="shared" si="84"/>
        <v>339791802</v>
      </c>
      <c r="AD227" s="31">
        <f t="shared" si="85"/>
        <v>84947951</v>
      </c>
      <c r="AE227" s="31">
        <f t="shared" si="87"/>
        <v>84947951</v>
      </c>
      <c r="AF227" s="31">
        <f t="shared" si="87"/>
        <v>84947951</v>
      </c>
      <c r="AG227" s="31">
        <f t="shared" si="86"/>
        <v>84947949</v>
      </c>
    </row>
    <row r="228" spans="1:33" ht="3" customHeight="1" x14ac:dyDescent="0.25">
      <c r="A228">
        <v>10205</v>
      </c>
      <c r="B228">
        <v>10408</v>
      </c>
      <c r="C228" t="s">
        <v>257</v>
      </c>
      <c r="D228" s="31">
        <f>+DATA!O224</f>
        <v>1548028</v>
      </c>
      <c r="E228" s="31">
        <f>+DATA!T224</f>
        <v>4200146.4390000002</v>
      </c>
      <c r="F228" s="38">
        <f t="shared" si="68"/>
        <v>5748174.4390000002</v>
      </c>
      <c r="G228" s="112">
        <f t="shared" si="69"/>
        <v>0.36799999999999999</v>
      </c>
      <c r="H228" s="95">
        <f t="shared" si="70"/>
        <v>0.73070000000000002</v>
      </c>
      <c r="I228" s="6" t="str">
        <f t="shared" si="71"/>
        <v>SI</v>
      </c>
      <c r="J228" s="117">
        <f t="shared" si="72"/>
        <v>3.3112582781000001E-3</v>
      </c>
      <c r="K228" s="117">
        <f t="shared" si="73"/>
        <v>1.6556291390500001E-3</v>
      </c>
      <c r="L228" s="31">
        <f>IF(I228="SI",VLOOKUP(A228,DATA!$A$4:$D$350,4,0),0)</f>
        <v>15456</v>
      </c>
      <c r="M228" s="95">
        <f>IF(I228="SI",VLOOKUP(A228,DATA!$A$4:$E$350,5,0),0)</f>
        <v>9.3492364104413264E-2</v>
      </c>
      <c r="N228" s="31">
        <f t="shared" si="74"/>
        <v>1445</v>
      </c>
      <c r="O228" s="117">
        <f t="shared" si="75"/>
        <v>1.7494899842999999E-3</v>
      </c>
      <c r="P228" s="117">
        <f t="shared" si="76"/>
        <v>1.7494899840000001E-4</v>
      </c>
      <c r="Q228" s="31">
        <f>IF(I228="SI",VLOOKUP(A228,DATA!$A$4:$G$350,7,0),0)</f>
        <v>7093</v>
      </c>
      <c r="R228" s="31">
        <f>IF(I228="SI",VLOOKUP(A228,DATA!$A$4:$H$350,8,0),0)</f>
        <v>9957</v>
      </c>
      <c r="S228" s="117">
        <f t="shared" si="77"/>
        <v>1.4745797159E-3</v>
      </c>
      <c r="T228" s="117">
        <f t="shared" si="78"/>
        <v>1.9291432436798937E-3</v>
      </c>
      <c r="U228" s="117">
        <f t="shared" si="79"/>
        <v>3.8582864869999997E-4</v>
      </c>
      <c r="V228" s="31">
        <f>IF(I228="SI",VLOOKUP(A228,COEF_FCM!$A$8:$X$354,24,0),0)</f>
        <v>1548028</v>
      </c>
      <c r="W228" s="121">
        <f t="shared" si="80"/>
        <v>100.16</v>
      </c>
      <c r="X228" s="31">
        <f>IF(AND(W228&gt;0,W228&lt;$W$7),ROUND(($W$7-W228)*L228,PARAMETROS!$L$8),0)</f>
        <v>103555</v>
      </c>
      <c r="Y228" s="122">
        <f t="shared" si="81"/>
        <v>3.8164129189999999E-4</v>
      </c>
      <c r="Z228" s="117">
        <f t="shared" si="82"/>
        <v>7.6328258399999997E-5</v>
      </c>
      <c r="AA228" s="96">
        <f t="shared" si="83"/>
        <v>2.2927350445499997E-3</v>
      </c>
      <c r="AB228" s="31">
        <f>ROUND(AA228*PARAMETROS!$H$24,0)</f>
        <v>393473457</v>
      </c>
      <c r="AC228" s="31">
        <f t="shared" si="84"/>
        <v>393473457</v>
      </c>
      <c r="AD228" s="31">
        <f t="shared" si="85"/>
        <v>98368364</v>
      </c>
      <c r="AE228" s="31">
        <f t="shared" si="87"/>
        <v>98368364</v>
      </c>
      <c r="AF228" s="31">
        <f t="shared" si="87"/>
        <v>98368364</v>
      </c>
      <c r="AG228" s="31">
        <f t="shared" si="86"/>
        <v>98368365</v>
      </c>
    </row>
    <row r="229" spans="1:33" ht="3" customHeight="1" x14ac:dyDescent="0.25">
      <c r="A229">
        <v>10206</v>
      </c>
      <c r="B229">
        <v>10405</v>
      </c>
      <c r="C229" t="s">
        <v>417</v>
      </c>
      <c r="D229" s="31">
        <f>+DATA!O225</f>
        <v>539891</v>
      </c>
      <c r="E229" s="31">
        <f>+DATA!T225</f>
        <v>2335043.6370000001</v>
      </c>
      <c r="F229" s="38">
        <f t="shared" si="68"/>
        <v>2874934.6370000001</v>
      </c>
      <c r="G229" s="112">
        <f t="shared" si="69"/>
        <v>5.5E-2</v>
      </c>
      <c r="H229" s="95">
        <f t="shared" si="70"/>
        <v>0.81220000000000003</v>
      </c>
      <c r="I229" s="6" t="str">
        <f t="shared" si="71"/>
        <v>SI</v>
      </c>
      <c r="J229" s="117">
        <f t="shared" si="72"/>
        <v>3.3112582781000001E-3</v>
      </c>
      <c r="K229" s="117">
        <f t="shared" si="73"/>
        <v>1.6556291390500001E-3</v>
      </c>
      <c r="L229" s="31">
        <f>IF(I229="SI",VLOOKUP(A229,DATA!$A$4:$D$350,4,0),0)</f>
        <v>4188</v>
      </c>
      <c r="M229" s="95">
        <f>IF(I229="SI",VLOOKUP(A229,DATA!$A$4:$E$350,5,0),0)</f>
        <v>0.17758253796394299</v>
      </c>
      <c r="N229" s="31">
        <f t="shared" si="74"/>
        <v>744</v>
      </c>
      <c r="O229" s="117">
        <f t="shared" si="75"/>
        <v>9.0077546600000002E-4</v>
      </c>
      <c r="P229" s="117">
        <f t="shared" si="76"/>
        <v>9.0077546600000002E-5</v>
      </c>
      <c r="Q229" s="31">
        <f>IF(I229="SI",VLOOKUP(A229,DATA!$A$4:$G$350,7,0),0)</f>
        <v>2704</v>
      </c>
      <c r="R229" s="31">
        <f>IF(I229="SI",VLOOKUP(A229,DATA!$A$4:$H$350,8,0),0)</f>
        <v>3019</v>
      </c>
      <c r="S229" s="117">
        <f t="shared" si="77"/>
        <v>7.0678464279999998E-4</v>
      </c>
      <c r="T229" s="117">
        <f t="shared" si="78"/>
        <v>9.246626707882866E-4</v>
      </c>
      <c r="U229" s="117">
        <f t="shared" si="79"/>
        <v>1.849325342E-4</v>
      </c>
      <c r="V229" s="31">
        <f>IF(I229="SI",VLOOKUP(A229,COEF_FCM!$A$8:$X$354,24,0),0)</f>
        <v>539891</v>
      </c>
      <c r="W229" s="121">
        <f t="shared" si="80"/>
        <v>128.91</v>
      </c>
      <c r="X229" s="31">
        <f>IF(AND(W229&gt;0,W229&lt;$W$7),ROUND(($W$7-W229)*L229,PARAMETROS!$L$8),0)</f>
        <v>0</v>
      </c>
      <c r="Y229" s="122">
        <f t="shared" si="81"/>
        <v>0</v>
      </c>
      <c r="Z229" s="117">
        <f t="shared" si="82"/>
        <v>0</v>
      </c>
      <c r="AA229" s="96">
        <f t="shared" si="83"/>
        <v>1.93063921985E-3</v>
      </c>
      <c r="AB229" s="31">
        <f>ROUND(AA229*PARAMETROS!$H$24,0)</f>
        <v>331331476</v>
      </c>
      <c r="AC229" s="31">
        <f t="shared" si="84"/>
        <v>331331476</v>
      </c>
      <c r="AD229" s="31">
        <f t="shared" si="85"/>
        <v>82832869</v>
      </c>
      <c r="AE229" s="31">
        <f t="shared" ref="AE229:AF248" si="88">+AD229</f>
        <v>82832869</v>
      </c>
      <c r="AF229" s="31">
        <f t="shared" si="88"/>
        <v>82832869</v>
      </c>
      <c r="AG229" s="31">
        <f t="shared" si="86"/>
        <v>82832869</v>
      </c>
    </row>
    <row r="230" spans="1:33" ht="3" customHeight="1" x14ac:dyDescent="0.25">
      <c r="A230">
        <v>10207</v>
      </c>
      <c r="B230">
        <v>10403</v>
      </c>
      <c r="C230" t="s">
        <v>418</v>
      </c>
      <c r="D230" s="31">
        <f>+DATA!O226</f>
        <v>547024</v>
      </c>
      <c r="E230" s="31">
        <f>+DATA!T226</f>
        <v>2698798.7319999998</v>
      </c>
      <c r="F230" s="38">
        <f t="shared" si="68"/>
        <v>3245822.7319999998</v>
      </c>
      <c r="G230" s="112">
        <f t="shared" si="69"/>
        <v>7.8E-2</v>
      </c>
      <c r="H230" s="95">
        <f t="shared" si="70"/>
        <v>0.83150000000000002</v>
      </c>
      <c r="I230" s="6" t="str">
        <f t="shared" si="71"/>
        <v>SI</v>
      </c>
      <c r="J230" s="117">
        <f t="shared" si="72"/>
        <v>3.3112582781000001E-3</v>
      </c>
      <c r="K230" s="117">
        <f t="shared" si="73"/>
        <v>1.6556291390500001E-3</v>
      </c>
      <c r="L230" s="31">
        <f>IF(I230="SI",VLOOKUP(A230,DATA!$A$4:$D$350,4,0),0)</f>
        <v>5542</v>
      </c>
      <c r="M230" s="95">
        <f>IF(I230="SI",VLOOKUP(A230,DATA!$A$4:$E$350,5,0),0)</f>
        <v>0.1225810557964359</v>
      </c>
      <c r="N230" s="31">
        <f t="shared" si="74"/>
        <v>679</v>
      </c>
      <c r="O230" s="117">
        <f t="shared" si="75"/>
        <v>8.220786847E-4</v>
      </c>
      <c r="P230" s="117">
        <f t="shared" si="76"/>
        <v>8.2207868500000007E-5</v>
      </c>
      <c r="Q230" s="31">
        <f>IF(I230="SI",VLOOKUP(A230,DATA!$A$4:$G$350,7,0),0)</f>
        <v>3956</v>
      </c>
      <c r="R230" s="31">
        <f>IF(I230="SI",VLOOKUP(A230,DATA!$A$4:$H$350,8,0),0)</f>
        <v>5435</v>
      </c>
      <c r="S230" s="117">
        <f t="shared" si="77"/>
        <v>8.4032998470000004E-4</v>
      </c>
      <c r="T230" s="117">
        <f t="shared" si="78"/>
        <v>1.0993755678079401E-3</v>
      </c>
      <c r="U230" s="117">
        <f t="shared" si="79"/>
        <v>2.198751136E-4</v>
      </c>
      <c r="V230" s="31">
        <f>IF(I230="SI",VLOOKUP(A230,COEF_FCM!$A$8:$X$354,24,0),0)</f>
        <v>547024</v>
      </c>
      <c r="W230" s="121">
        <f t="shared" si="80"/>
        <v>98.71</v>
      </c>
      <c r="X230" s="31">
        <f>IF(AND(W230&gt;0,W230&lt;$W$7),ROUND(($W$7-W230)*L230,PARAMETROS!$L$8),0)</f>
        <v>45167</v>
      </c>
      <c r="Y230" s="122">
        <f t="shared" si="81"/>
        <v>1.664583287E-4</v>
      </c>
      <c r="Z230" s="117">
        <f t="shared" si="82"/>
        <v>3.3291665699999997E-5</v>
      </c>
      <c r="AA230" s="96">
        <f t="shared" si="83"/>
        <v>1.99100378685E-3</v>
      </c>
      <c r="AB230" s="31">
        <f>ROUND(AA230*PARAMETROS!$H$24,0)</f>
        <v>341691092</v>
      </c>
      <c r="AC230" s="31">
        <f t="shared" si="84"/>
        <v>341691092</v>
      </c>
      <c r="AD230" s="31">
        <f t="shared" si="85"/>
        <v>85422773</v>
      </c>
      <c r="AE230" s="31">
        <f t="shared" si="88"/>
        <v>85422773</v>
      </c>
      <c r="AF230" s="31">
        <f t="shared" si="88"/>
        <v>85422773</v>
      </c>
      <c r="AG230" s="31">
        <f t="shared" si="86"/>
        <v>85422773</v>
      </c>
    </row>
    <row r="231" spans="1:33" ht="3" customHeight="1" x14ac:dyDescent="0.25">
      <c r="A231">
        <v>10208</v>
      </c>
      <c r="B231">
        <v>10404</v>
      </c>
      <c r="C231" t="s">
        <v>419</v>
      </c>
      <c r="D231" s="31">
        <f>+DATA!O227</f>
        <v>2530930</v>
      </c>
      <c r="E231" s="31">
        <f>+DATA!T227</f>
        <v>4913489.5199999996</v>
      </c>
      <c r="F231" s="38">
        <f t="shared" si="68"/>
        <v>7444419.5199999996</v>
      </c>
      <c r="G231" s="112">
        <f t="shared" si="69"/>
        <v>0.47199999999999998</v>
      </c>
      <c r="H231" s="95">
        <f t="shared" si="70"/>
        <v>0.66</v>
      </c>
      <c r="I231" s="6" t="str">
        <f t="shared" si="71"/>
        <v>SI</v>
      </c>
      <c r="J231" s="117">
        <f t="shared" si="72"/>
        <v>3.3112582781000001E-3</v>
      </c>
      <c r="K231" s="117">
        <f t="shared" si="73"/>
        <v>1.6556291390500001E-3</v>
      </c>
      <c r="L231" s="31">
        <f>IF(I231="SI",VLOOKUP(A231,DATA!$A$4:$D$350,4,0),0)</f>
        <v>30136</v>
      </c>
      <c r="M231" s="95">
        <f>IF(I231="SI",VLOOKUP(A231,DATA!$A$4:$E$350,5,0),0)</f>
        <v>9.011758946437072E-2</v>
      </c>
      <c r="N231" s="31">
        <f t="shared" si="74"/>
        <v>2716</v>
      </c>
      <c r="O231" s="117">
        <f t="shared" si="75"/>
        <v>3.2883147387000001E-3</v>
      </c>
      <c r="P231" s="117">
        <f t="shared" si="76"/>
        <v>3.2883147389999999E-4</v>
      </c>
      <c r="Q231" s="31">
        <f>IF(I231="SI",VLOOKUP(A231,DATA!$A$4:$G$350,7,0),0)</f>
        <v>9184</v>
      </c>
      <c r="R231" s="31">
        <f>IF(I231="SI",VLOOKUP(A231,DATA!$A$4:$H$350,8,0),0)</f>
        <v>12049</v>
      </c>
      <c r="S231" s="117">
        <f t="shared" si="77"/>
        <v>2.0429116669000002E-3</v>
      </c>
      <c r="T231" s="117">
        <f t="shared" si="78"/>
        <v>2.6726728959712829E-3</v>
      </c>
      <c r="U231" s="117">
        <f t="shared" si="79"/>
        <v>5.3453457919999995E-4</v>
      </c>
      <c r="V231" s="31">
        <f>IF(I231="SI",VLOOKUP(A231,COEF_FCM!$A$8:$X$354,24,0),0)</f>
        <v>2530930</v>
      </c>
      <c r="W231" s="121">
        <f t="shared" si="80"/>
        <v>83.98</v>
      </c>
      <c r="X231" s="31">
        <f>IF(AND(W231&gt;0,W231&lt;$W$7),ROUND(($W$7-W231)*L231,PARAMETROS!$L$8),0)</f>
        <v>689512</v>
      </c>
      <c r="Y231" s="122">
        <f t="shared" si="81"/>
        <v>2.5411254931E-3</v>
      </c>
      <c r="Z231" s="117">
        <f t="shared" si="82"/>
        <v>5.0822509859999997E-4</v>
      </c>
      <c r="AA231" s="96">
        <f t="shared" si="83"/>
        <v>3.0272202907500002E-3</v>
      </c>
      <c r="AB231" s="31">
        <f>ROUND(AA231*PARAMETROS!$H$24,0)</f>
        <v>519523978</v>
      </c>
      <c r="AC231" s="31">
        <f t="shared" si="84"/>
        <v>519523978</v>
      </c>
      <c r="AD231" s="31">
        <f t="shared" si="85"/>
        <v>129880995</v>
      </c>
      <c r="AE231" s="31">
        <f t="shared" si="88"/>
        <v>129880995</v>
      </c>
      <c r="AF231" s="31">
        <f t="shared" si="88"/>
        <v>129880995</v>
      </c>
      <c r="AG231" s="31">
        <f t="shared" si="86"/>
        <v>129880993</v>
      </c>
    </row>
    <row r="232" spans="1:33" ht="3" customHeight="1" x14ac:dyDescent="0.25">
      <c r="A232">
        <v>10209</v>
      </c>
      <c r="B232">
        <v>10407</v>
      </c>
      <c r="C232" t="s">
        <v>256</v>
      </c>
      <c r="D232" s="31">
        <f>+DATA!O228</f>
        <v>1177637</v>
      </c>
      <c r="E232" s="31">
        <f>+DATA!T228</f>
        <v>3356810.9679999999</v>
      </c>
      <c r="F232" s="38">
        <f t="shared" si="68"/>
        <v>4534447.9680000003</v>
      </c>
      <c r="G232" s="112">
        <f t="shared" si="69"/>
        <v>0.22600000000000001</v>
      </c>
      <c r="H232" s="95">
        <f t="shared" si="70"/>
        <v>0.74029999999999996</v>
      </c>
      <c r="I232" s="6" t="str">
        <f t="shared" si="71"/>
        <v>SI</v>
      </c>
      <c r="J232" s="117">
        <f t="shared" si="72"/>
        <v>3.3112582781000001E-3</v>
      </c>
      <c r="K232" s="117">
        <f t="shared" si="73"/>
        <v>1.6556291390500001E-3</v>
      </c>
      <c r="L232" s="31">
        <f>IF(I232="SI",VLOOKUP(A232,DATA!$A$4:$D$350,4,0),0)</f>
        <v>8754</v>
      </c>
      <c r="M232" s="95">
        <f>IF(I232="SI",VLOOKUP(A232,DATA!$A$4:$E$350,5,0),0)</f>
        <v>0.1237815143860561</v>
      </c>
      <c r="N232" s="31">
        <f t="shared" si="74"/>
        <v>1084</v>
      </c>
      <c r="O232" s="117">
        <f t="shared" si="75"/>
        <v>1.3124201682000001E-3</v>
      </c>
      <c r="P232" s="117">
        <f t="shared" si="76"/>
        <v>1.312420168E-4</v>
      </c>
      <c r="Q232" s="31">
        <f>IF(I232="SI",VLOOKUP(A232,DATA!$A$4:$G$350,7,0),0)</f>
        <v>4814</v>
      </c>
      <c r="R232" s="31">
        <f>IF(I232="SI",VLOOKUP(A232,DATA!$A$4:$H$350,8,0),0)</f>
        <v>6301</v>
      </c>
      <c r="S232" s="117">
        <f t="shared" si="77"/>
        <v>1.0733454885000001E-3</v>
      </c>
      <c r="T232" s="117">
        <f t="shared" si="78"/>
        <v>1.4042219453766665E-3</v>
      </c>
      <c r="U232" s="117">
        <f t="shared" si="79"/>
        <v>2.8084438909999998E-4</v>
      </c>
      <c r="V232" s="31">
        <f>IF(I232="SI",VLOOKUP(A232,COEF_FCM!$A$8:$X$354,24,0),0)</f>
        <v>1177637</v>
      </c>
      <c r="W232" s="121">
        <f t="shared" si="80"/>
        <v>134.53</v>
      </c>
      <c r="X232" s="31">
        <f>IF(AND(W232&gt;0,W232&lt;$W$7),ROUND(($W$7-W232)*L232,PARAMETROS!$L$8),0)</f>
        <v>0</v>
      </c>
      <c r="Y232" s="122">
        <f t="shared" si="81"/>
        <v>0</v>
      </c>
      <c r="Z232" s="117">
        <f t="shared" si="82"/>
        <v>0</v>
      </c>
      <c r="AA232" s="96">
        <f t="shared" si="83"/>
        <v>2.06771554495E-3</v>
      </c>
      <c r="AB232" s="31">
        <f>ROUND(AA232*PARAMETROS!$H$24,0)</f>
        <v>354856173</v>
      </c>
      <c r="AC232" s="31">
        <f t="shared" si="84"/>
        <v>354856173</v>
      </c>
      <c r="AD232" s="31">
        <f t="shared" si="85"/>
        <v>88714043</v>
      </c>
      <c r="AE232" s="31">
        <f t="shared" si="88"/>
        <v>88714043</v>
      </c>
      <c r="AF232" s="31">
        <f t="shared" si="88"/>
        <v>88714043</v>
      </c>
      <c r="AG232" s="31">
        <f t="shared" si="86"/>
        <v>88714044</v>
      </c>
    </row>
    <row r="233" spans="1:33" ht="3" customHeight="1" x14ac:dyDescent="0.25">
      <c r="A233">
        <v>10210</v>
      </c>
      <c r="B233">
        <v>10415</v>
      </c>
      <c r="C233" t="s">
        <v>258</v>
      </c>
      <c r="D233" s="31">
        <f>+DATA!O229</f>
        <v>1020152</v>
      </c>
      <c r="E233" s="31">
        <f>+DATA!T229</f>
        <v>3284617.872</v>
      </c>
      <c r="F233" s="38">
        <f t="shared" si="68"/>
        <v>4304769.8719999995</v>
      </c>
      <c r="G233" s="112">
        <f t="shared" si="69"/>
        <v>0.2</v>
      </c>
      <c r="H233" s="95">
        <f t="shared" si="70"/>
        <v>0.76300000000000001</v>
      </c>
      <c r="I233" s="6" t="str">
        <f t="shared" si="71"/>
        <v>SI</v>
      </c>
      <c r="J233" s="117">
        <f t="shared" si="72"/>
        <v>3.3112582781000001E-3</v>
      </c>
      <c r="K233" s="117">
        <f t="shared" si="73"/>
        <v>1.6556291390500001E-3</v>
      </c>
      <c r="L233" s="31">
        <f>IF(I233="SI",VLOOKUP(A233,DATA!$A$4:$D$350,4,0),0)</f>
        <v>8186</v>
      </c>
      <c r="M233" s="95">
        <f>IF(I233="SI",VLOOKUP(A233,DATA!$A$4:$E$350,5,0),0)</f>
        <v>0.1243995669858368</v>
      </c>
      <c r="N233" s="31">
        <f t="shared" si="74"/>
        <v>1018</v>
      </c>
      <c r="O233" s="117">
        <f t="shared" si="75"/>
        <v>1.2325126672E-3</v>
      </c>
      <c r="P233" s="117">
        <f t="shared" si="76"/>
        <v>1.2325126670000001E-4</v>
      </c>
      <c r="Q233" s="31">
        <f>IF(I233="SI",VLOOKUP(A233,DATA!$A$4:$G$350,7,0),0)</f>
        <v>5169</v>
      </c>
      <c r="R233" s="31">
        <f>IF(I233="SI",VLOOKUP(A233,DATA!$A$4:$H$350,8,0),0)</f>
        <v>5700</v>
      </c>
      <c r="S233" s="117">
        <f t="shared" si="77"/>
        <v>1.3679652069E-3</v>
      </c>
      <c r="T233" s="117">
        <f t="shared" si="78"/>
        <v>1.7896630531565436E-3</v>
      </c>
      <c r="U233" s="117">
        <f t="shared" si="79"/>
        <v>3.5793261060000002E-4</v>
      </c>
      <c r="V233" s="31">
        <f>IF(I233="SI",VLOOKUP(A233,COEF_FCM!$A$8:$X$354,24,0),0)</f>
        <v>1020152</v>
      </c>
      <c r="W233" s="121">
        <f t="shared" si="80"/>
        <v>124.62</v>
      </c>
      <c r="X233" s="31">
        <f>IF(AND(W233&gt;0,W233&lt;$W$7),ROUND(($W$7-W233)*L233,PARAMETROS!$L$8),0)</f>
        <v>0</v>
      </c>
      <c r="Y233" s="122">
        <f t="shared" si="81"/>
        <v>0</v>
      </c>
      <c r="Z233" s="117">
        <f t="shared" si="82"/>
        <v>0</v>
      </c>
      <c r="AA233" s="96">
        <f t="shared" si="83"/>
        <v>2.1368130163499999E-3</v>
      </c>
      <c r="AB233" s="31">
        <f>ROUND(AA233*PARAMETROS!$H$24,0)</f>
        <v>366714508</v>
      </c>
      <c r="AC233" s="31">
        <f t="shared" si="84"/>
        <v>366714508</v>
      </c>
      <c r="AD233" s="31">
        <f t="shared" si="85"/>
        <v>91678627</v>
      </c>
      <c r="AE233" s="31">
        <f t="shared" si="88"/>
        <v>91678627</v>
      </c>
      <c r="AF233" s="31">
        <f t="shared" si="88"/>
        <v>91678627</v>
      </c>
      <c r="AG233" s="31">
        <f t="shared" si="86"/>
        <v>91678627</v>
      </c>
    </row>
    <row r="234" spans="1:33" ht="3" customHeight="1" x14ac:dyDescent="0.25">
      <c r="A234">
        <v>10301</v>
      </c>
      <c r="B234">
        <v>10201</v>
      </c>
      <c r="C234" t="s">
        <v>240</v>
      </c>
      <c r="D234" s="31">
        <f>+DATA!O230</f>
        <v>24577846</v>
      </c>
      <c r="E234" s="31">
        <f>+DATA!T230</f>
        <v>15109015.566</v>
      </c>
      <c r="F234" s="38">
        <f t="shared" si="68"/>
        <v>39686861.566</v>
      </c>
      <c r="G234" s="112">
        <f t="shared" si="69"/>
        <v>0.90700000000000003</v>
      </c>
      <c r="H234" s="95">
        <f t="shared" si="70"/>
        <v>0.38069999999999998</v>
      </c>
      <c r="I234" s="6" t="str">
        <f t="shared" si="71"/>
        <v>NO</v>
      </c>
      <c r="J234" s="117">
        <f t="shared" si="72"/>
        <v>0</v>
      </c>
      <c r="K234" s="117">
        <f t="shared" si="73"/>
        <v>0</v>
      </c>
      <c r="L234" s="31">
        <f>IF(I234="SI",VLOOKUP(A234,DATA!$A$4:$D$350,4,0),0)</f>
        <v>0</v>
      </c>
      <c r="M234" s="95">
        <f>IF(I234="SI",VLOOKUP(A234,DATA!$A$4:$E$350,5,0),0)</f>
        <v>0</v>
      </c>
      <c r="N234" s="31">
        <f t="shared" si="74"/>
        <v>0</v>
      </c>
      <c r="O234" s="117">
        <f t="shared" si="75"/>
        <v>0</v>
      </c>
      <c r="P234" s="117">
        <f t="shared" si="76"/>
        <v>0</v>
      </c>
      <c r="Q234" s="31">
        <f>IF(I234="SI",VLOOKUP(A234,DATA!$A$4:$G$350,7,0),0)</f>
        <v>0</v>
      </c>
      <c r="R234" s="31">
        <f>IF(I234="SI",VLOOKUP(A234,DATA!$A$4:$H$350,8,0),0)</f>
        <v>0</v>
      </c>
      <c r="S234" s="117">
        <f t="shared" si="77"/>
        <v>0</v>
      </c>
      <c r="T234" s="117">
        <f t="shared" si="78"/>
        <v>0</v>
      </c>
      <c r="U234" s="117">
        <f t="shared" si="79"/>
        <v>0</v>
      </c>
      <c r="V234" s="31">
        <f>IF(I234="SI",VLOOKUP(A234,COEF_FCM!$A$8:$X$354,24,0),0)</f>
        <v>0</v>
      </c>
      <c r="W234" s="121">
        <f t="shared" si="80"/>
        <v>0</v>
      </c>
      <c r="X234" s="31">
        <f>IF(AND(W234&gt;0,W234&lt;$W$7),ROUND(($W$7-W234)*L234,PARAMETROS!$L$8),0)</f>
        <v>0</v>
      </c>
      <c r="Y234" s="122">
        <f t="shared" si="81"/>
        <v>0</v>
      </c>
      <c r="Z234" s="117">
        <f t="shared" si="82"/>
        <v>0</v>
      </c>
      <c r="AA234" s="96">
        <f t="shared" si="83"/>
        <v>0</v>
      </c>
      <c r="AB234" s="31">
        <f>ROUND(AA234*PARAMETROS!$H$24,0)</f>
        <v>0</v>
      </c>
      <c r="AC234" s="31">
        <f t="shared" si="84"/>
        <v>0</v>
      </c>
      <c r="AD234" s="31">
        <f t="shared" si="85"/>
        <v>0</v>
      </c>
      <c r="AE234" s="31">
        <f t="shared" si="88"/>
        <v>0</v>
      </c>
      <c r="AF234" s="31">
        <f t="shared" si="88"/>
        <v>0</v>
      </c>
      <c r="AG234" s="31">
        <f t="shared" si="86"/>
        <v>0</v>
      </c>
    </row>
    <row r="235" spans="1:33" ht="3" customHeight="1" x14ac:dyDescent="0.25">
      <c r="A235">
        <v>10302</v>
      </c>
      <c r="B235">
        <v>10203</v>
      </c>
      <c r="C235" t="s">
        <v>242</v>
      </c>
      <c r="D235" s="31">
        <f>+DATA!O231</f>
        <v>1560277</v>
      </c>
      <c r="E235" s="31">
        <f>+DATA!T231</f>
        <v>2178283.8739999998</v>
      </c>
      <c r="F235" s="38">
        <f t="shared" si="68"/>
        <v>3738560.8739999998</v>
      </c>
      <c r="G235" s="112">
        <f t="shared" si="69"/>
        <v>0.127</v>
      </c>
      <c r="H235" s="95">
        <f t="shared" si="70"/>
        <v>0.5827</v>
      </c>
      <c r="I235" s="6" t="str">
        <f t="shared" si="71"/>
        <v>SI</v>
      </c>
      <c r="J235" s="117">
        <f t="shared" si="72"/>
        <v>3.3112582781000001E-3</v>
      </c>
      <c r="K235" s="117">
        <f t="shared" si="73"/>
        <v>1.6556291390500001E-3</v>
      </c>
      <c r="L235" s="31">
        <f>IF(I235="SI",VLOOKUP(A235,DATA!$A$4:$D$350,4,0),0)</f>
        <v>9056</v>
      </c>
      <c r="M235" s="95">
        <f>IF(I235="SI",VLOOKUP(A235,DATA!$A$4:$E$350,5,0),0)</f>
        <v>7.5298670699175604E-2</v>
      </c>
      <c r="N235" s="31">
        <f t="shared" si="74"/>
        <v>682</v>
      </c>
      <c r="O235" s="117">
        <f t="shared" si="75"/>
        <v>8.2571084380000004E-4</v>
      </c>
      <c r="P235" s="117">
        <f t="shared" si="76"/>
        <v>8.2571084400000002E-5</v>
      </c>
      <c r="Q235" s="31">
        <f>IF(I235="SI",VLOOKUP(A235,DATA!$A$4:$G$350,7,0),0)</f>
        <v>2531</v>
      </c>
      <c r="R235" s="31">
        <f>IF(I235="SI",VLOOKUP(A235,DATA!$A$4:$H$350,8,0),0)</f>
        <v>5141</v>
      </c>
      <c r="S235" s="117">
        <f t="shared" si="77"/>
        <v>3.636415744E-4</v>
      </c>
      <c r="T235" s="117">
        <f t="shared" si="78"/>
        <v>4.7574008974259708E-4</v>
      </c>
      <c r="U235" s="117">
        <f t="shared" si="79"/>
        <v>9.5148017899999995E-5</v>
      </c>
      <c r="V235" s="31">
        <f>IF(I235="SI",VLOOKUP(A235,COEF_FCM!$A$8:$X$354,24,0),0)</f>
        <v>1560277</v>
      </c>
      <c r="W235" s="121">
        <f t="shared" si="80"/>
        <v>172.29</v>
      </c>
      <c r="X235" s="31">
        <f>IF(AND(W235&gt;0,W235&lt;$W$7),ROUND(($W$7-W235)*L235,PARAMETROS!$L$8),0)</f>
        <v>0</v>
      </c>
      <c r="Y235" s="122">
        <f t="shared" si="81"/>
        <v>0</v>
      </c>
      <c r="Z235" s="117">
        <f t="shared" si="82"/>
        <v>0</v>
      </c>
      <c r="AA235" s="96">
        <f t="shared" si="83"/>
        <v>1.8333482413500002E-3</v>
      </c>
      <c r="AB235" s="31">
        <f>ROUND(AA235*PARAMETROS!$H$24,0)</f>
        <v>314634642</v>
      </c>
      <c r="AC235" s="31">
        <f t="shared" si="84"/>
        <v>314634642</v>
      </c>
      <c r="AD235" s="31">
        <f t="shared" si="85"/>
        <v>78658661</v>
      </c>
      <c r="AE235" s="31">
        <f t="shared" si="88"/>
        <v>78658661</v>
      </c>
      <c r="AF235" s="31">
        <f t="shared" si="88"/>
        <v>78658661</v>
      </c>
      <c r="AG235" s="31">
        <f t="shared" si="86"/>
        <v>78658659</v>
      </c>
    </row>
    <row r="236" spans="1:33" ht="3" customHeight="1" x14ac:dyDescent="0.25">
      <c r="A236">
        <v>10303</v>
      </c>
      <c r="B236">
        <v>10206</v>
      </c>
      <c r="C236" t="s">
        <v>244</v>
      </c>
      <c r="D236" s="31">
        <f>+DATA!O232</f>
        <v>2511572</v>
      </c>
      <c r="E236" s="31">
        <f>+DATA!T232</f>
        <v>3737107.45</v>
      </c>
      <c r="F236" s="38">
        <f t="shared" si="68"/>
        <v>6248679.4500000002</v>
      </c>
      <c r="G236" s="112">
        <f t="shared" si="69"/>
        <v>0.42299999999999999</v>
      </c>
      <c r="H236" s="95">
        <f t="shared" si="70"/>
        <v>0.59809999999999997</v>
      </c>
      <c r="I236" s="6" t="str">
        <f t="shared" si="71"/>
        <v>SI</v>
      </c>
      <c r="J236" s="117">
        <f t="shared" si="72"/>
        <v>3.3112582781000001E-3</v>
      </c>
      <c r="K236" s="117">
        <f t="shared" si="73"/>
        <v>1.6556291390500001E-3</v>
      </c>
      <c r="L236" s="31">
        <f>IF(I236="SI",VLOOKUP(A236,DATA!$A$4:$D$350,4,0),0)</f>
        <v>20968</v>
      </c>
      <c r="M236" s="95">
        <f>IF(I236="SI",VLOOKUP(A236,DATA!$A$4:$E$350,5,0),0)</f>
        <v>8.5892131487739512E-2</v>
      </c>
      <c r="N236" s="31">
        <f t="shared" si="74"/>
        <v>1801</v>
      </c>
      <c r="O236" s="117">
        <f t="shared" si="75"/>
        <v>2.1805062019000002E-3</v>
      </c>
      <c r="P236" s="117">
        <f t="shared" si="76"/>
        <v>2.1805062019999999E-4</v>
      </c>
      <c r="Q236" s="31">
        <f>IF(I236="SI",VLOOKUP(A236,DATA!$A$4:$G$350,7,0),0)</f>
        <v>6631</v>
      </c>
      <c r="R236" s="31">
        <f>IF(I236="SI",VLOOKUP(A236,DATA!$A$4:$H$350,8,0),0)</f>
        <v>9156</v>
      </c>
      <c r="S236" s="117">
        <f t="shared" si="77"/>
        <v>1.4014871326000001E-3</v>
      </c>
      <c r="T236" s="117">
        <f t="shared" si="78"/>
        <v>1.8335186655605326E-3</v>
      </c>
      <c r="U236" s="117">
        <f t="shared" si="79"/>
        <v>3.6670373309999999E-4</v>
      </c>
      <c r="V236" s="31">
        <f>IF(I236="SI",VLOOKUP(A236,COEF_FCM!$A$8:$X$354,24,0),0)</f>
        <v>2511572</v>
      </c>
      <c r="W236" s="121">
        <f t="shared" si="80"/>
        <v>119.78</v>
      </c>
      <c r="X236" s="31">
        <f>IF(AND(W236&gt;0,W236&lt;$W$7),ROUND(($W$7-W236)*L236,PARAMETROS!$L$8),0)</f>
        <v>0</v>
      </c>
      <c r="Y236" s="122">
        <f t="shared" si="81"/>
        <v>0</v>
      </c>
      <c r="Z236" s="117">
        <f t="shared" si="82"/>
        <v>0</v>
      </c>
      <c r="AA236" s="96">
        <f t="shared" si="83"/>
        <v>2.2403834923500001E-3</v>
      </c>
      <c r="AB236" s="31">
        <f>ROUND(AA236*PARAMETROS!$H$24,0)</f>
        <v>384489014</v>
      </c>
      <c r="AC236" s="31">
        <f t="shared" si="84"/>
        <v>384489014</v>
      </c>
      <c r="AD236" s="31">
        <f t="shared" si="85"/>
        <v>96122254</v>
      </c>
      <c r="AE236" s="31">
        <f t="shared" si="88"/>
        <v>96122254</v>
      </c>
      <c r="AF236" s="31">
        <f t="shared" si="88"/>
        <v>96122254</v>
      </c>
      <c r="AG236" s="31">
        <f t="shared" si="86"/>
        <v>96122252</v>
      </c>
    </row>
    <row r="237" spans="1:33" ht="3" customHeight="1" x14ac:dyDescent="0.25">
      <c r="A237">
        <v>10304</v>
      </c>
      <c r="B237">
        <v>10204</v>
      </c>
      <c r="C237" t="s">
        <v>243</v>
      </c>
      <c r="D237" s="31">
        <f>+DATA!O233</f>
        <v>1840300</v>
      </c>
      <c r="E237" s="31">
        <f>+DATA!T233</f>
        <v>2410976.3859999999</v>
      </c>
      <c r="F237" s="38">
        <f t="shared" si="68"/>
        <v>4251276.3859999999</v>
      </c>
      <c r="G237" s="112">
        <f t="shared" si="69"/>
        <v>0.191</v>
      </c>
      <c r="H237" s="95">
        <f t="shared" si="70"/>
        <v>0.56710000000000005</v>
      </c>
      <c r="I237" s="6" t="str">
        <f t="shared" si="71"/>
        <v>SI</v>
      </c>
      <c r="J237" s="117">
        <f t="shared" si="72"/>
        <v>3.3112582781000001E-3</v>
      </c>
      <c r="K237" s="117">
        <f t="shared" si="73"/>
        <v>1.6556291390500001E-3</v>
      </c>
      <c r="L237" s="31">
        <f>IF(I237="SI",VLOOKUP(A237,DATA!$A$4:$D$350,4,0),0)</f>
        <v>11818</v>
      </c>
      <c r="M237" s="95">
        <f>IF(I237="SI",VLOOKUP(A237,DATA!$A$4:$E$350,5,0),0)</f>
        <v>9.5661433936762366E-2</v>
      </c>
      <c r="N237" s="31">
        <f t="shared" si="74"/>
        <v>1131</v>
      </c>
      <c r="O237" s="117">
        <f t="shared" si="75"/>
        <v>1.3693239946E-3</v>
      </c>
      <c r="P237" s="117">
        <f t="shared" si="76"/>
        <v>1.3693239950000001E-4</v>
      </c>
      <c r="Q237" s="31">
        <f>IF(I237="SI",VLOOKUP(A237,DATA!$A$4:$G$350,7,0),0)</f>
        <v>4309</v>
      </c>
      <c r="R237" s="31">
        <f>IF(I237="SI",VLOOKUP(A237,DATA!$A$4:$H$350,8,0),0)</f>
        <v>7883</v>
      </c>
      <c r="S237" s="117">
        <f t="shared" si="77"/>
        <v>6.8738223609999996E-4</v>
      </c>
      <c r="T237" s="117">
        <f t="shared" si="78"/>
        <v>8.9927915208608516E-4</v>
      </c>
      <c r="U237" s="117">
        <f t="shared" si="79"/>
        <v>1.7985583039999999E-4</v>
      </c>
      <c r="V237" s="31">
        <f>IF(I237="SI",VLOOKUP(A237,COEF_FCM!$A$8:$X$354,24,0),0)</f>
        <v>1840300</v>
      </c>
      <c r="W237" s="121">
        <f t="shared" si="80"/>
        <v>155.72</v>
      </c>
      <c r="X237" s="31">
        <f>IF(AND(W237&gt;0,W237&lt;$W$7),ROUND(($W$7-W237)*L237,PARAMETROS!$L$8),0)</f>
        <v>0</v>
      </c>
      <c r="Y237" s="122">
        <f t="shared" si="81"/>
        <v>0</v>
      </c>
      <c r="Z237" s="117">
        <f t="shared" si="82"/>
        <v>0</v>
      </c>
      <c r="AA237" s="96">
        <f t="shared" si="83"/>
        <v>1.9724173689500001E-3</v>
      </c>
      <c r="AB237" s="31">
        <f>ROUND(AA237*PARAMETROS!$H$24,0)</f>
        <v>338501338</v>
      </c>
      <c r="AC237" s="31">
        <f t="shared" si="84"/>
        <v>338501338</v>
      </c>
      <c r="AD237" s="31">
        <f t="shared" si="85"/>
        <v>84625335</v>
      </c>
      <c r="AE237" s="31">
        <f t="shared" si="88"/>
        <v>84625335</v>
      </c>
      <c r="AF237" s="31">
        <f t="shared" si="88"/>
        <v>84625335</v>
      </c>
      <c r="AG237" s="31">
        <f t="shared" si="86"/>
        <v>84625333</v>
      </c>
    </row>
    <row r="238" spans="1:33" ht="3" customHeight="1" x14ac:dyDescent="0.25">
      <c r="A238">
        <v>10305</v>
      </c>
      <c r="B238">
        <v>10205</v>
      </c>
      <c r="C238" t="s">
        <v>420</v>
      </c>
      <c r="D238" s="31">
        <f>+DATA!O234</f>
        <v>1366004</v>
      </c>
      <c r="E238" s="31">
        <f>+DATA!T234</f>
        <v>3155268.9559999998</v>
      </c>
      <c r="F238" s="38">
        <f t="shared" si="68"/>
        <v>4521272.9560000002</v>
      </c>
      <c r="G238" s="112">
        <f t="shared" si="69"/>
        <v>0.22</v>
      </c>
      <c r="H238" s="95">
        <f t="shared" si="70"/>
        <v>0.69789999999999996</v>
      </c>
      <c r="I238" s="6" t="str">
        <f t="shared" si="71"/>
        <v>SI</v>
      </c>
      <c r="J238" s="117">
        <f t="shared" si="72"/>
        <v>3.3112582781000001E-3</v>
      </c>
      <c r="K238" s="117">
        <f t="shared" si="73"/>
        <v>1.6556291390500001E-3</v>
      </c>
      <c r="L238" s="31">
        <f>IF(I238="SI",VLOOKUP(A238,DATA!$A$4:$D$350,4,0),0)</f>
        <v>14085</v>
      </c>
      <c r="M238" s="95">
        <f>IF(I238="SI",VLOOKUP(A238,DATA!$A$4:$E$350,5,0),0)</f>
        <v>8.3098113434137283E-2</v>
      </c>
      <c r="N238" s="31">
        <f t="shared" si="74"/>
        <v>1170</v>
      </c>
      <c r="O238" s="117">
        <f t="shared" si="75"/>
        <v>1.4165420633999999E-3</v>
      </c>
      <c r="P238" s="117">
        <f t="shared" si="76"/>
        <v>1.4165420629999999E-4</v>
      </c>
      <c r="Q238" s="31">
        <f>IF(I238="SI",VLOOKUP(A238,DATA!$A$4:$G$350,7,0),0)</f>
        <v>5211</v>
      </c>
      <c r="R238" s="31">
        <f>IF(I238="SI",VLOOKUP(A238,DATA!$A$4:$H$350,8,0),0)</f>
        <v>7690</v>
      </c>
      <c r="S238" s="117">
        <f t="shared" si="77"/>
        <v>1.0305110415999999E-3</v>
      </c>
      <c r="T238" s="117">
        <f t="shared" si="78"/>
        <v>1.3481830734575139E-3</v>
      </c>
      <c r="U238" s="117">
        <f t="shared" si="79"/>
        <v>2.6963661470000001E-4</v>
      </c>
      <c r="V238" s="31">
        <f>IF(I238="SI",VLOOKUP(A238,COEF_FCM!$A$8:$X$354,24,0),0)</f>
        <v>1366004</v>
      </c>
      <c r="W238" s="121">
        <f t="shared" si="80"/>
        <v>96.98</v>
      </c>
      <c r="X238" s="31">
        <f>IF(AND(W238&gt;0,W238&lt;$W$7),ROUND(($W$7-W238)*L238,PARAMETROS!$L$8),0)</f>
        <v>139160</v>
      </c>
      <c r="Y238" s="122">
        <f t="shared" si="81"/>
        <v>5.1285985400000001E-4</v>
      </c>
      <c r="Z238" s="117">
        <f t="shared" si="82"/>
        <v>1.025719708E-4</v>
      </c>
      <c r="AA238" s="96">
        <f t="shared" si="83"/>
        <v>2.1694919308499999E-3</v>
      </c>
      <c r="AB238" s="31">
        <f>ROUND(AA238*PARAMETROS!$H$24,0)</f>
        <v>372322781</v>
      </c>
      <c r="AC238" s="31">
        <f t="shared" si="84"/>
        <v>372322781</v>
      </c>
      <c r="AD238" s="31">
        <f t="shared" si="85"/>
        <v>93080695</v>
      </c>
      <c r="AE238" s="31">
        <f t="shared" si="88"/>
        <v>93080695</v>
      </c>
      <c r="AF238" s="31">
        <f t="shared" si="88"/>
        <v>93080695</v>
      </c>
      <c r="AG238" s="31">
        <f t="shared" si="86"/>
        <v>93080696</v>
      </c>
    </row>
    <row r="239" spans="1:33" ht="3" customHeight="1" x14ac:dyDescent="0.25">
      <c r="A239">
        <v>10306</v>
      </c>
      <c r="B239">
        <v>10207</v>
      </c>
      <c r="C239" t="s">
        <v>245</v>
      </c>
      <c r="D239" s="31">
        <f>+DATA!O235</f>
        <v>432192</v>
      </c>
      <c r="E239" s="31">
        <f>+DATA!T235</f>
        <v>4595491.26</v>
      </c>
      <c r="F239" s="38">
        <f t="shared" si="68"/>
        <v>5027683.26</v>
      </c>
      <c r="G239" s="112">
        <f t="shared" si="69"/>
        <v>0.28100000000000003</v>
      </c>
      <c r="H239" s="95">
        <f t="shared" si="70"/>
        <v>0.91400000000000003</v>
      </c>
      <c r="I239" s="6" t="str">
        <f t="shared" si="71"/>
        <v>SI</v>
      </c>
      <c r="J239" s="117">
        <f t="shared" si="72"/>
        <v>3.3112582781000001E-3</v>
      </c>
      <c r="K239" s="117">
        <f t="shared" si="73"/>
        <v>1.6556291390500001E-3</v>
      </c>
      <c r="L239" s="31">
        <f>IF(I239="SI",VLOOKUP(A239,DATA!$A$4:$D$350,4,0),0)</f>
        <v>7424</v>
      </c>
      <c r="M239" s="95">
        <f>IF(I239="SI",VLOOKUP(A239,DATA!$A$4:$E$350,5,0),0)</f>
        <v>0.1285194389222041</v>
      </c>
      <c r="N239" s="31">
        <f t="shared" si="74"/>
        <v>954</v>
      </c>
      <c r="O239" s="117">
        <f t="shared" si="75"/>
        <v>1.1550266056E-3</v>
      </c>
      <c r="P239" s="117">
        <f t="shared" si="76"/>
        <v>1.155026606E-4</v>
      </c>
      <c r="Q239" s="31">
        <f>IF(I239="SI",VLOOKUP(A239,DATA!$A$4:$G$350,7,0),0)</f>
        <v>5208</v>
      </c>
      <c r="R239" s="31">
        <f>IF(I239="SI",VLOOKUP(A239,DATA!$A$4:$H$350,8,0),0)</f>
        <v>6118</v>
      </c>
      <c r="S239" s="117">
        <f t="shared" si="77"/>
        <v>1.2938064783000001E-3</v>
      </c>
      <c r="T239" s="117">
        <f t="shared" si="78"/>
        <v>1.6926436728572133E-3</v>
      </c>
      <c r="U239" s="117">
        <f t="shared" si="79"/>
        <v>3.3852873460000002E-4</v>
      </c>
      <c r="V239" s="31">
        <f>IF(I239="SI",VLOOKUP(A239,COEF_FCM!$A$8:$X$354,24,0),0)</f>
        <v>432192</v>
      </c>
      <c r="W239" s="121">
        <f t="shared" si="80"/>
        <v>58.22</v>
      </c>
      <c r="X239" s="31">
        <f>IF(AND(W239&gt;0,W239&lt;$W$7),ROUND(($W$7-W239)*L239,PARAMETROS!$L$8),0)</f>
        <v>361103</v>
      </c>
      <c r="Y239" s="122">
        <f t="shared" si="81"/>
        <v>1.3308079322E-3</v>
      </c>
      <c r="Z239" s="117">
        <f t="shared" si="82"/>
        <v>2.6616158640000001E-4</v>
      </c>
      <c r="AA239" s="96">
        <f t="shared" si="83"/>
        <v>2.3758221206500005E-3</v>
      </c>
      <c r="AB239" s="31">
        <f>ROUND(AA239*PARAMETROS!$H$24,0)</f>
        <v>407732653</v>
      </c>
      <c r="AC239" s="31">
        <f t="shared" si="84"/>
        <v>407732653</v>
      </c>
      <c r="AD239" s="31">
        <f t="shared" si="85"/>
        <v>101933163</v>
      </c>
      <c r="AE239" s="31">
        <f t="shared" si="88"/>
        <v>101933163</v>
      </c>
      <c r="AF239" s="31">
        <f t="shared" si="88"/>
        <v>101933163</v>
      </c>
      <c r="AG239" s="31">
        <f t="shared" si="86"/>
        <v>101933164</v>
      </c>
    </row>
    <row r="240" spans="1:33" ht="3" customHeight="1" x14ac:dyDescent="0.25">
      <c r="A240">
        <v>10307</v>
      </c>
      <c r="B240">
        <v>10202</v>
      </c>
      <c r="C240" t="s">
        <v>241</v>
      </c>
      <c r="D240" s="31">
        <f>+DATA!O236</f>
        <v>1188153</v>
      </c>
      <c r="E240" s="31">
        <f>+DATA!T236</f>
        <v>2635668.6439999999</v>
      </c>
      <c r="F240" s="38">
        <f t="shared" si="68"/>
        <v>3823821.6439999999</v>
      </c>
      <c r="G240" s="112">
        <f t="shared" si="69"/>
        <v>0.13300000000000001</v>
      </c>
      <c r="H240" s="95">
        <f t="shared" si="70"/>
        <v>0.68930000000000002</v>
      </c>
      <c r="I240" s="6" t="str">
        <f t="shared" si="71"/>
        <v>SI</v>
      </c>
      <c r="J240" s="117">
        <f t="shared" si="72"/>
        <v>3.3112582781000001E-3</v>
      </c>
      <c r="K240" s="117">
        <f t="shared" si="73"/>
        <v>1.6556291390500001E-3</v>
      </c>
      <c r="L240" s="31">
        <f>IF(I240="SI",VLOOKUP(A240,DATA!$A$4:$D$350,4,0),0)</f>
        <v>10537</v>
      </c>
      <c r="M240" s="95">
        <f>IF(I240="SI",VLOOKUP(A240,DATA!$A$4:$E$350,5,0),0)</f>
        <v>9.8250333020331621E-2</v>
      </c>
      <c r="N240" s="31">
        <f t="shared" si="74"/>
        <v>1035</v>
      </c>
      <c r="O240" s="117">
        <f t="shared" si="75"/>
        <v>1.2530949023000001E-3</v>
      </c>
      <c r="P240" s="117">
        <f t="shared" si="76"/>
        <v>1.2530949019999999E-4</v>
      </c>
      <c r="Q240" s="31">
        <f>IF(I240="SI",VLOOKUP(A240,DATA!$A$4:$G$350,7,0),0)</f>
        <v>4664</v>
      </c>
      <c r="R240" s="31">
        <f>IF(I240="SI",VLOOKUP(A240,DATA!$A$4:$H$350,8,0),0)</f>
        <v>6251</v>
      </c>
      <c r="S240" s="117">
        <f t="shared" si="77"/>
        <v>1.0155572889000001E-3</v>
      </c>
      <c r="T240" s="117">
        <f t="shared" si="78"/>
        <v>1.3286195797529653E-3</v>
      </c>
      <c r="U240" s="117">
        <f t="shared" si="79"/>
        <v>2.6572391600000002E-4</v>
      </c>
      <c r="V240" s="31">
        <f>IF(I240="SI",VLOOKUP(A240,COEF_FCM!$A$8:$X$354,24,0),0)</f>
        <v>1188153</v>
      </c>
      <c r="W240" s="121">
        <f t="shared" si="80"/>
        <v>112.76</v>
      </c>
      <c r="X240" s="31">
        <f>IF(AND(W240&gt;0,W240&lt;$W$7),ROUND(($W$7-W240)*L240,PARAMETROS!$L$8),0)</f>
        <v>0</v>
      </c>
      <c r="Y240" s="122">
        <f t="shared" si="81"/>
        <v>0</v>
      </c>
      <c r="Z240" s="117">
        <f t="shared" si="82"/>
        <v>0</v>
      </c>
      <c r="AA240" s="96">
        <f t="shared" si="83"/>
        <v>2.04666254525E-3</v>
      </c>
      <c r="AB240" s="31">
        <f>ROUND(AA240*PARAMETROS!$H$24,0)</f>
        <v>351243109</v>
      </c>
      <c r="AC240" s="31">
        <f t="shared" si="84"/>
        <v>351243109</v>
      </c>
      <c r="AD240" s="31">
        <f t="shared" si="85"/>
        <v>87810777</v>
      </c>
      <c r="AE240" s="31">
        <f t="shared" si="88"/>
        <v>87810777</v>
      </c>
      <c r="AF240" s="31">
        <f t="shared" si="88"/>
        <v>87810777</v>
      </c>
      <c r="AG240" s="31">
        <f t="shared" si="86"/>
        <v>87810778</v>
      </c>
    </row>
    <row r="241" spans="1:33" ht="3" customHeight="1" x14ac:dyDescent="0.25">
      <c r="A241">
        <v>10401</v>
      </c>
      <c r="B241">
        <v>10501</v>
      </c>
      <c r="C241" t="s">
        <v>421</v>
      </c>
      <c r="D241" s="31">
        <f>+DATA!O237</f>
        <v>1295486</v>
      </c>
      <c r="E241" s="31">
        <f>+DATA!T237</f>
        <v>2770094.97</v>
      </c>
      <c r="F241" s="38">
        <f t="shared" si="68"/>
        <v>4065580.97</v>
      </c>
      <c r="G241" s="112">
        <f t="shared" si="69"/>
        <v>0.16800000000000001</v>
      </c>
      <c r="H241" s="95">
        <f t="shared" si="70"/>
        <v>0.68140000000000001</v>
      </c>
      <c r="I241" s="6" t="str">
        <f t="shared" si="71"/>
        <v>SI</v>
      </c>
      <c r="J241" s="117">
        <f t="shared" si="72"/>
        <v>3.3112582781000001E-3</v>
      </c>
      <c r="K241" s="117">
        <f t="shared" si="73"/>
        <v>1.6556291390500001E-3</v>
      </c>
      <c r="L241" s="31">
        <f>IF(I241="SI",VLOOKUP(A241,DATA!$A$4:$D$350,4,0),0)</f>
        <v>5078</v>
      </c>
      <c r="M241" s="95">
        <f>IF(I241="SI",VLOOKUP(A241,DATA!$A$4:$E$350,5,0),0)</f>
        <v>8.9509867127189183E-2</v>
      </c>
      <c r="N241" s="31">
        <f t="shared" si="74"/>
        <v>455</v>
      </c>
      <c r="O241" s="117">
        <f t="shared" si="75"/>
        <v>5.5087746910000002E-4</v>
      </c>
      <c r="P241" s="117">
        <f t="shared" si="76"/>
        <v>5.5087746900000001E-5</v>
      </c>
      <c r="Q241" s="31">
        <f>IF(I241="SI",VLOOKUP(A241,DATA!$A$4:$G$350,7,0),0)</f>
        <v>3844</v>
      </c>
      <c r="R241" s="31">
        <f>IF(I241="SI",VLOOKUP(A241,DATA!$A$4:$H$350,8,0),0)</f>
        <v>5102</v>
      </c>
      <c r="S241" s="117">
        <f t="shared" si="77"/>
        <v>8.4520711959999999E-4</v>
      </c>
      <c r="T241" s="117">
        <f t="shared" si="78"/>
        <v>1.105756160012891E-3</v>
      </c>
      <c r="U241" s="117">
        <f t="shared" si="79"/>
        <v>2.2115123199999999E-4</v>
      </c>
      <c r="V241" s="31">
        <f>IF(I241="SI",VLOOKUP(A241,COEF_FCM!$A$8:$X$354,24,0),0)</f>
        <v>1295486</v>
      </c>
      <c r="W241" s="121">
        <f t="shared" si="80"/>
        <v>255.12</v>
      </c>
      <c r="X241" s="31">
        <f>IF(AND(W241&gt;0,W241&lt;$W$7),ROUND(($W$7-W241)*L241,PARAMETROS!$L$8),0)</f>
        <v>0</v>
      </c>
      <c r="Y241" s="122">
        <f t="shared" si="81"/>
        <v>0</v>
      </c>
      <c r="Z241" s="117">
        <f t="shared" si="82"/>
        <v>0</v>
      </c>
      <c r="AA241" s="96">
        <f t="shared" si="83"/>
        <v>1.9318681179500002E-3</v>
      </c>
      <c r="AB241" s="31">
        <f>ROUND(AA241*PARAMETROS!$H$24,0)</f>
        <v>331542377</v>
      </c>
      <c r="AC241" s="31">
        <f t="shared" si="84"/>
        <v>331542377</v>
      </c>
      <c r="AD241" s="31">
        <f t="shared" si="85"/>
        <v>82885594</v>
      </c>
      <c r="AE241" s="31">
        <f t="shared" si="88"/>
        <v>82885594</v>
      </c>
      <c r="AF241" s="31">
        <f t="shared" si="88"/>
        <v>82885594</v>
      </c>
      <c r="AG241" s="31">
        <f t="shared" si="86"/>
        <v>82885595</v>
      </c>
    </row>
    <row r="242" spans="1:33" ht="3" customHeight="1" x14ac:dyDescent="0.25">
      <c r="A242">
        <v>10402</v>
      </c>
      <c r="B242">
        <v>10503</v>
      </c>
      <c r="C242" t="s">
        <v>422</v>
      </c>
      <c r="D242" s="31">
        <f>+DATA!O238</f>
        <v>421202</v>
      </c>
      <c r="E242" s="31">
        <f>+DATA!T238</f>
        <v>2738341.429</v>
      </c>
      <c r="F242" s="38">
        <f t="shared" si="68"/>
        <v>3159543.429</v>
      </c>
      <c r="G242" s="112">
        <f t="shared" si="69"/>
        <v>7.1999999999999995E-2</v>
      </c>
      <c r="H242" s="95">
        <f t="shared" si="70"/>
        <v>0.86670000000000003</v>
      </c>
      <c r="I242" s="6" t="str">
        <f t="shared" si="71"/>
        <v>SI</v>
      </c>
      <c r="J242" s="117">
        <f t="shared" si="72"/>
        <v>3.3112582781000001E-3</v>
      </c>
      <c r="K242" s="117">
        <f t="shared" si="73"/>
        <v>1.6556291390500001E-3</v>
      </c>
      <c r="L242" s="31">
        <f>IF(I242="SI",VLOOKUP(A242,DATA!$A$4:$D$350,4,0),0)</f>
        <v>2912</v>
      </c>
      <c r="M242" s="95">
        <f>IF(I242="SI",VLOOKUP(A242,DATA!$A$4:$E$350,5,0),0)</f>
        <v>5.5990404191005219E-2</v>
      </c>
      <c r="N242" s="31">
        <f t="shared" si="74"/>
        <v>163</v>
      </c>
      <c r="O242" s="117">
        <f t="shared" si="75"/>
        <v>1.9734731310000001E-4</v>
      </c>
      <c r="P242" s="117">
        <f t="shared" si="76"/>
        <v>1.9734731299999999E-5</v>
      </c>
      <c r="Q242" s="31">
        <f>IF(I242="SI",VLOOKUP(A242,DATA!$A$4:$G$350,7,0),0)</f>
        <v>1336</v>
      </c>
      <c r="R242" s="31">
        <f>IF(I242="SI",VLOOKUP(A242,DATA!$A$4:$H$350,8,0),0)</f>
        <v>2516</v>
      </c>
      <c r="S242" s="117">
        <f t="shared" si="77"/>
        <v>2.070327841E-4</v>
      </c>
      <c r="T242" s="117">
        <f t="shared" si="78"/>
        <v>2.7085405581005461E-4</v>
      </c>
      <c r="U242" s="117">
        <f t="shared" si="79"/>
        <v>5.41708112E-5</v>
      </c>
      <c r="V242" s="31">
        <f>IF(I242="SI",VLOOKUP(A242,COEF_FCM!$A$8:$X$354,24,0),0)</f>
        <v>421202</v>
      </c>
      <c r="W242" s="121">
        <f t="shared" si="80"/>
        <v>144.63999999999999</v>
      </c>
      <c r="X242" s="31">
        <f>IF(AND(W242&gt;0,W242&lt;$W$7),ROUND(($W$7-W242)*L242,PARAMETROS!$L$8),0)</f>
        <v>0</v>
      </c>
      <c r="Y242" s="122">
        <f t="shared" si="81"/>
        <v>0</v>
      </c>
      <c r="Z242" s="117">
        <f t="shared" si="82"/>
        <v>0</v>
      </c>
      <c r="AA242" s="96">
        <f t="shared" si="83"/>
        <v>1.72953468155E-3</v>
      </c>
      <c r="AB242" s="31">
        <f>ROUND(AA242*PARAMETROS!$H$24,0)</f>
        <v>296818418</v>
      </c>
      <c r="AC242" s="31">
        <f t="shared" si="84"/>
        <v>296818418</v>
      </c>
      <c r="AD242" s="31">
        <f t="shared" si="85"/>
        <v>74204605</v>
      </c>
      <c r="AE242" s="31">
        <f t="shared" si="88"/>
        <v>74204605</v>
      </c>
      <c r="AF242" s="31">
        <f t="shared" si="88"/>
        <v>74204605</v>
      </c>
      <c r="AG242" s="31">
        <f t="shared" si="86"/>
        <v>74204603</v>
      </c>
    </row>
    <row r="243" spans="1:33" ht="3" customHeight="1" x14ac:dyDescent="0.25">
      <c r="A243">
        <v>10403</v>
      </c>
      <c r="B243">
        <v>10502</v>
      </c>
      <c r="C243" t="s">
        <v>35</v>
      </c>
      <c r="D243" s="31">
        <f>+DATA!O239</f>
        <v>1210178</v>
      </c>
      <c r="E243" s="31">
        <f>+DATA!T239</f>
        <v>3445817.4920000001</v>
      </c>
      <c r="F243" s="38">
        <f t="shared" si="68"/>
        <v>4655995.4920000006</v>
      </c>
      <c r="G243" s="112">
        <f t="shared" si="69"/>
        <v>0.23400000000000001</v>
      </c>
      <c r="H243" s="95">
        <f t="shared" si="70"/>
        <v>0.74009999999999998</v>
      </c>
      <c r="I243" s="6" t="str">
        <f t="shared" si="71"/>
        <v>SI</v>
      </c>
      <c r="J243" s="117">
        <f t="shared" si="72"/>
        <v>3.3112582781000001E-3</v>
      </c>
      <c r="K243" s="117">
        <f t="shared" si="73"/>
        <v>1.6556291390500001E-3</v>
      </c>
      <c r="L243" s="31">
        <f>IF(I243="SI",VLOOKUP(A243,DATA!$A$4:$D$350,4,0),0)</f>
        <v>9586</v>
      </c>
      <c r="M243" s="95">
        <f>IF(I243="SI",VLOOKUP(A243,DATA!$A$4:$E$350,5,0),0)</f>
        <v>0.10355409931908049</v>
      </c>
      <c r="N243" s="31">
        <f t="shared" si="74"/>
        <v>993</v>
      </c>
      <c r="O243" s="117">
        <f t="shared" si="75"/>
        <v>1.2022446743000001E-3</v>
      </c>
      <c r="P243" s="117">
        <f t="shared" si="76"/>
        <v>1.202244674E-4</v>
      </c>
      <c r="Q243" s="31">
        <f>IF(I243="SI",VLOOKUP(A243,DATA!$A$4:$G$350,7,0),0)</f>
        <v>3613</v>
      </c>
      <c r="R243" s="31">
        <f>IF(I243="SI",VLOOKUP(A243,DATA!$A$4:$H$350,8,0),0)</f>
        <v>5300</v>
      </c>
      <c r="S243" s="117">
        <f t="shared" si="77"/>
        <v>7.1878150949999996E-4</v>
      </c>
      <c r="T243" s="117">
        <f t="shared" si="78"/>
        <v>9.4035776959514061E-4</v>
      </c>
      <c r="U243" s="117">
        <f t="shared" si="79"/>
        <v>1.880715539E-4</v>
      </c>
      <c r="V243" s="31">
        <f>IF(I243="SI",VLOOKUP(A243,COEF_FCM!$A$8:$X$354,24,0),0)</f>
        <v>1210178</v>
      </c>
      <c r="W243" s="121">
        <f t="shared" si="80"/>
        <v>126.24</v>
      </c>
      <c r="X243" s="31">
        <f>IF(AND(W243&gt;0,W243&lt;$W$7),ROUND(($W$7-W243)*L243,PARAMETROS!$L$8),0)</f>
        <v>0</v>
      </c>
      <c r="Y243" s="122">
        <f t="shared" si="81"/>
        <v>0</v>
      </c>
      <c r="Z243" s="117">
        <f t="shared" si="82"/>
        <v>0</v>
      </c>
      <c r="AA243" s="96">
        <f t="shared" si="83"/>
        <v>1.9639251603499998E-3</v>
      </c>
      <c r="AB243" s="31">
        <f>ROUND(AA243*PARAMETROS!$H$24,0)</f>
        <v>337043926</v>
      </c>
      <c r="AC243" s="31">
        <f t="shared" si="84"/>
        <v>337043926</v>
      </c>
      <c r="AD243" s="31">
        <f t="shared" si="85"/>
        <v>84260982</v>
      </c>
      <c r="AE243" s="31">
        <f t="shared" si="88"/>
        <v>84260982</v>
      </c>
      <c r="AF243" s="31">
        <f t="shared" si="88"/>
        <v>84260982</v>
      </c>
      <c r="AG243" s="31">
        <f t="shared" si="86"/>
        <v>84260980</v>
      </c>
    </row>
    <row r="244" spans="1:33" ht="3" customHeight="1" x14ac:dyDescent="0.25">
      <c r="A244">
        <v>10404</v>
      </c>
      <c r="B244">
        <v>10504</v>
      </c>
      <c r="C244" t="s">
        <v>259</v>
      </c>
      <c r="D244" s="31">
        <f>+DATA!O240</f>
        <v>233444</v>
      </c>
      <c r="E244" s="31">
        <f>+DATA!T240</f>
        <v>2163685.9789999998</v>
      </c>
      <c r="F244" s="38">
        <f t="shared" si="68"/>
        <v>2397129.9789999998</v>
      </c>
      <c r="G244" s="112">
        <f t="shared" si="69"/>
        <v>3.1E-2</v>
      </c>
      <c r="H244" s="95">
        <f t="shared" si="70"/>
        <v>0.90259999999999996</v>
      </c>
      <c r="I244" s="6" t="str">
        <f t="shared" si="71"/>
        <v>SI</v>
      </c>
      <c r="J244" s="117">
        <f t="shared" si="72"/>
        <v>3.3112582781000001E-3</v>
      </c>
      <c r="K244" s="117">
        <f t="shared" si="73"/>
        <v>1.6556291390500001E-3</v>
      </c>
      <c r="L244" s="31">
        <f>IF(I244="SI",VLOOKUP(A244,DATA!$A$4:$D$350,4,0),0)</f>
        <v>1826</v>
      </c>
      <c r="M244" s="95">
        <f>IF(I244="SI",VLOOKUP(A244,DATA!$A$4:$E$350,5,0),0)</f>
        <v>9.1202302953735326E-2</v>
      </c>
      <c r="N244" s="31">
        <f t="shared" si="74"/>
        <v>167</v>
      </c>
      <c r="O244" s="117">
        <f t="shared" si="75"/>
        <v>2.0219019200000001E-4</v>
      </c>
      <c r="P244" s="117">
        <f t="shared" si="76"/>
        <v>2.0219019199999999E-5</v>
      </c>
      <c r="Q244" s="31">
        <f>IF(I244="SI",VLOOKUP(A244,DATA!$A$4:$G$350,7,0),0)</f>
        <v>1223</v>
      </c>
      <c r="R244" s="31">
        <f>IF(I244="SI",VLOOKUP(A244,DATA!$A$4:$H$350,8,0),0)</f>
        <v>1682</v>
      </c>
      <c r="S244" s="117">
        <f t="shared" si="77"/>
        <v>2.5951577700000002E-4</v>
      </c>
      <c r="T244" s="117">
        <f t="shared" si="78"/>
        <v>3.3951579723333152E-4</v>
      </c>
      <c r="U244" s="117">
        <f t="shared" si="79"/>
        <v>6.7903159399999998E-5</v>
      </c>
      <c r="V244" s="31">
        <f>IF(I244="SI",VLOOKUP(A244,COEF_FCM!$A$8:$X$354,24,0),0)</f>
        <v>233444</v>
      </c>
      <c r="W244" s="121">
        <f t="shared" si="80"/>
        <v>127.84</v>
      </c>
      <c r="X244" s="31">
        <f>IF(AND(W244&gt;0,W244&lt;$W$7),ROUND(($W$7-W244)*L244,PARAMETROS!$L$8),0)</f>
        <v>0</v>
      </c>
      <c r="Y244" s="122">
        <f t="shared" si="81"/>
        <v>0</v>
      </c>
      <c r="Z244" s="117">
        <f t="shared" si="82"/>
        <v>0</v>
      </c>
      <c r="AA244" s="96">
        <f t="shared" si="83"/>
        <v>1.74375131765E-3</v>
      </c>
      <c r="AB244" s="31">
        <f>ROUND(AA244*PARAMETROS!$H$24,0)</f>
        <v>299258242</v>
      </c>
      <c r="AC244" s="31">
        <f t="shared" si="84"/>
        <v>299258242</v>
      </c>
      <c r="AD244" s="31">
        <f t="shared" si="85"/>
        <v>74814561</v>
      </c>
      <c r="AE244" s="31">
        <f t="shared" si="88"/>
        <v>74814561</v>
      </c>
      <c r="AF244" s="31">
        <f t="shared" si="88"/>
        <v>74814561</v>
      </c>
      <c r="AG244" s="31">
        <f t="shared" si="86"/>
        <v>74814559</v>
      </c>
    </row>
    <row r="245" spans="1:33" ht="3" customHeight="1" x14ac:dyDescent="0.25">
      <c r="A245">
        <v>11101</v>
      </c>
      <c r="B245">
        <v>11401</v>
      </c>
      <c r="C245" t="s">
        <v>501</v>
      </c>
      <c r="D245" s="31">
        <f>+DATA!O241</f>
        <v>8091063</v>
      </c>
      <c r="E245" s="31">
        <f>+DATA!T241</f>
        <v>11543826.995999999</v>
      </c>
      <c r="F245" s="38">
        <f t="shared" si="68"/>
        <v>19634889.995999999</v>
      </c>
      <c r="G245" s="112">
        <f t="shared" si="69"/>
        <v>0.78500000000000003</v>
      </c>
      <c r="H245" s="95">
        <f t="shared" si="70"/>
        <v>0.58789999999999998</v>
      </c>
      <c r="I245" s="6" t="str">
        <f t="shared" si="71"/>
        <v>SI</v>
      </c>
      <c r="J245" s="117">
        <f t="shared" si="72"/>
        <v>3.3112582781000001E-3</v>
      </c>
      <c r="K245" s="117">
        <f t="shared" si="73"/>
        <v>1.6556291390500001E-3</v>
      </c>
      <c r="L245" s="31">
        <f>IF(I245="SI",VLOOKUP(A245,DATA!$A$4:$D$350,4,0),0)</f>
        <v>62046</v>
      </c>
      <c r="M245" s="95">
        <f>IF(I245="SI",VLOOKUP(A245,DATA!$A$4:$E$350,5,0),0)</f>
        <v>2.8835258546335649E-2</v>
      </c>
      <c r="N245" s="31">
        <f t="shared" si="74"/>
        <v>1789</v>
      </c>
      <c r="O245" s="117">
        <f t="shared" si="75"/>
        <v>2.1659775654000002E-3</v>
      </c>
      <c r="P245" s="117">
        <f t="shared" si="76"/>
        <v>2.165977565E-4</v>
      </c>
      <c r="Q245" s="31">
        <f>IF(I245="SI",VLOOKUP(A245,DATA!$A$4:$G$350,7,0),0)</f>
        <v>19885</v>
      </c>
      <c r="R245" s="31">
        <f>IF(I245="SI",VLOOKUP(A245,DATA!$A$4:$H$350,8,0),0)</f>
        <v>31454</v>
      </c>
      <c r="S245" s="117">
        <f t="shared" si="77"/>
        <v>3.6686995896E-3</v>
      </c>
      <c r="T245" s="117">
        <f t="shared" si="78"/>
        <v>4.7996367711109905E-3</v>
      </c>
      <c r="U245" s="117">
        <f t="shared" si="79"/>
        <v>9.5992735420000002E-4</v>
      </c>
      <c r="V245" s="31">
        <f>IF(I245="SI",VLOOKUP(A245,COEF_FCM!$A$8:$X$354,24,0),0)</f>
        <v>8091063</v>
      </c>
      <c r="W245" s="121">
        <f t="shared" si="80"/>
        <v>130.4</v>
      </c>
      <c r="X245" s="31">
        <f>IF(AND(W245&gt;0,W245&lt;$W$7),ROUND(($W$7-W245)*L245,PARAMETROS!$L$8),0)</f>
        <v>0</v>
      </c>
      <c r="Y245" s="122">
        <f t="shared" si="81"/>
        <v>0</v>
      </c>
      <c r="Z245" s="117">
        <f t="shared" si="82"/>
        <v>0</v>
      </c>
      <c r="AA245" s="96">
        <f t="shared" si="83"/>
        <v>2.8321542497500001E-3</v>
      </c>
      <c r="AB245" s="31">
        <f>ROUND(AA245*PARAMETROS!$H$24,0)</f>
        <v>486047232</v>
      </c>
      <c r="AC245" s="31">
        <f t="shared" si="84"/>
        <v>486047232</v>
      </c>
      <c r="AD245" s="31">
        <f t="shared" si="85"/>
        <v>121511808</v>
      </c>
      <c r="AE245" s="31">
        <f t="shared" si="88"/>
        <v>121511808</v>
      </c>
      <c r="AF245" s="31">
        <f t="shared" si="88"/>
        <v>121511808</v>
      </c>
      <c r="AG245" s="31">
        <f t="shared" si="86"/>
        <v>121511808</v>
      </c>
    </row>
    <row r="246" spans="1:33" ht="3" customHeight="1" x14ac:dyDescent="0.25">
      <c r="A246">
        <v>11102</v>
      </c>
      <c r="B246">
        <v>11402</v>
      </c>
      <c r="C246" t="s">
        <v>265</v>
      </c>
      <c r="D246" s="31">
        <f>+DATA!O242</f>
        <v>344017</v>
      </c>
      <c r="E246" s="31">
        <f>+DATA!T242</f>
        <v>1929848.3119999999</v>
      </c>
      <c r="F246" s="38">
        <f t="shared" si="68"/>
        <v>2273865.3119999999</v>
      </c>
      <c r="G246" s="112">
        <f t="shared" si="69"/>
        <v>2.3E-2</v>
      </c>
      <c r="H246" s="95">
        <f t="shared" si="70"/>
        <v>0.84870000000000001</v>
      </c>
      <c r="I246" s="6" t="str">
        <f t="shared" si="71"/>
        <v>SI</v>
      </c>
      <c r="J246" s="117">
        <f t="shared" si="72"/>
        <v>3.3112582781000001E-3</v>
      </c>
      <c r="K246" s="117">
        <f t="shared" si="73"/>
        <v>1.6556291390500001E-3</v>
      </c>
      <c r="L246" s="31">
        <f>IF(I246="SI",VLOOKUP(A246,DATA!$A$4:$D$350,4,0),0)</f>
        <v>914</v>
      </c>
      <c r="M246" s="95">
        <f>IF(I246="SI",VLOOKUP(A246,DATA!$A$4:$E$350,5,0),0)</f>
        <v>8.7470267124388958E-3</v>
      </c>
      <c r="N246" s="31">
        <f t="shared" si="74"/>
        <v>8</v>
      </c>
      <c r="O246" s="117">
        <f t="shared" si="75"/>
        <v>9.6857577E-6</v>
      </c>
      <c r="P246" s="117">
        <f t="shared" si="76"/>
        <v>9.6857580000000002E-7</v>
      </c>
      <c r="Q246" s="31">
        <f>IF(I246="SI",VLOOKUP(A246,DATA!$A$4:$G$350,7,0),0)</f>
        <v>951</v>
      </c>
      <c r="R246" s="31">
        <f>IF(I246="SI",VLOOKUP(A246,DATA!$A$4:$H$350,8,0),0)</f>
        <v>1650</v>
      </c>
      <c r="S246" s="117">
        <f t="shared" si="77"/>
        <v>1.5996093450000001E-4</v>
      </c>
      <c r="T246" s="117">
        <f t="shared" si="78"/>
        <v>2.0927153189209078E-4</v>
      </c>
      <c r="U246" s="117">
        <f t="shared" si="79"/>
        <v>4.18543064E-5</v>
      </c>
      <c r="V246" s="31">
        <f>IF(I246="SI",VLOOKUP(A246,COEF_FCM!$A$8:$X$354,24,0),0)</f>
        <v>344017</v>
      </c>
      <c r="W246" s="121">
        <f t="shared" si="80"/>
        <v>376.39</v>
      </c>
      <c r="X246" s="31">
        <f>IF(AND(W246&gt;0,W246&lt;$W$7),ROUND(($W$7-W246)*L246,PARAMETROS!$L$8),0)</f>
        <v>0</v>
      </c>
      <c r="Y246" s="122">
        <f t="shared" si="81"/>
        <v>0</v>
      </c>
      <c r="Z246" s="117">
        <f t="shared" si="82"/>
        <v>0</v>
      </c>
      <c r="AA246" s="96">
        <f t="shared" si="83"/>
        <v>1.6984520212500001E-3</v>
      </c>
      <c r="AB246" s="31">
        <f>ROUND(AA246*PARAMETROS!$H$24,0)</f>
        <v>291484090</v>
      </c>
      <c r="AC246" s="31">
        <f t="shared" si="84"/>
        <v>291484090</v>
      </c>
      <c r="AD246" s="31">
        <f t="shared" si="85"/>
        <v>72871023</v>
      </c>
      <c r="AE246" s="31">
        <f t="shared" si="88"/>
        <v>72871023</v>
      </c>
      <c r="AF246" s="31">
        <f t="shared" si="88"/>
        <v>72871023</v>
      </c>
      <c r="AG246" s="31">
        <f t="shared" si="86"/>
        <v>72871021</v>
      </c>
    </row>
    <row r="247" spans="1:33" ht="3" customHeight="1" x14ac:dyDescent="0.25">
      <c r="A247">
        <v>11201</v>
      </c>
      <c r="B247">
        <v>11101</v>
      </c>
      <c r="C247" t="s">
        <v>502</v>
      </c>
      <c r="D247" s="31">
        <f>+DATA!O243</f>
        <v>4084764</v>
      </c>
      <c r="E247" s="31">
        <f>+DATA!T243</f>
        <v>6634967.71</v>
      </c>
      <c r="F247" s="38">
        <f t="shared" si="68"/>
        <v>10719731.710000001</v>
      </c>
      <c r="G247" s="112">
        <f t="shared" si="69"/>
        <v>0.61399999999999999</v>
      </c>
      <c r="H247" s="95">
        <f t="shared" si="70"/>
        <v>0.61890000000000001</v>
      </c>
      <c r="I247" s="6" t="str">
        <f t="shared" si="71"/>
        <v>SI</v>
      </c>
      <c r="J247" s="117">
        <f t="shared" si="72"/>
        <v>3.3112582781000001E-3</v>
      </c>
      <c r="K247" s="117">
        <f t="shared" si="73"/>
        <v>1.6556291390500001E-3</v>
      </c>
      <c r="L247" s="31">
        <f>IF(I247="SI",VLOOKUP(A247,DATA!$A$4:$D$350,4,0),0)</f>
        <v>25218</v>
      </c>
      <c r="M247" s="95">
        <f>IF(I247="SI",VLOOKUP(A247,DATA!$A$4:$E$350,5,0),0)</f>
        <v>5.279856301700174E-2</v>
      </c>
      <c r="N247" s="31">
        <f t="shared" si="74"/>
        <v>1331</v>
      </c>
      <c r="O247" s="117">
        <f t="shared" si="75"/>
        <v>1.6114679370999999E-3</v>
      </c>
      <c r="P247" s="117">
        <f t="shared" si="76"/>
        <v>1.6114679369999999E-4</v>
      </c>
      <c r="Q247" s="31">
        <f>IF(I247="SI",VLOOKUP(A247,DATA!$A$4:$G$350,7,0),0)</f>
        <v>10732</v>
      </c>
      <c r="R247" s="31">
        <f>IF(I247="SI",VLOOKUP(A247,DATA!$A$4:$H$350,8,0),0)</f>
        <v>15347</v>
      </c>
      <c r="S247" s="117">
        <f t="shared" si="77"/>
        <v>2.1901541241999998E-3</v>
      </c>
      <c r="T247" s="117">
        <f t="shared" si="78"/>
        <v>2.8653052702134244E-3</v>
      </c>
      <c r="U247" s="117">
        <f t="shared" si="79"/>
        <v>5.7306105400000004E-4</v>
      </c>
      <c r="V247" s="31">
        <f>IF(I247="SI",VLOOKUP(A247,COEF_FCM!$A$8:$X$354,24,0),0)</f>
        <v>4084764</v>
      </c>
      <c r="W247" s="121">
        <f t="shared" si="80"/>
        <v>161.97999999999999</v>
      </c>
      <c r="X247" s="31">
        <f>IF(AND(W247&gt;0,W247&lt;$W$7),ROUND(($W$7-W247)*L247,PARAMETROS!$L$8),0)</f>
        <v>0</v>
      </c>
      <c r="Y247" s="122">
        <f t="shared" si="81"/>
        <v>0</v>
      </c>
      <c r="Z247" s="117">
        <f t="shared" si="82"/>
        <v>0</v>
      </c>
      <c r="AA247" s="96">
        <f t="shared" si="83"/>
        <v>2.3898369867500001E-3</v>
      </c>
      <c r="AB247" s="31">
        <f>ROUND(AA247*PARAMETROS!$H$24,0)</f>
        <v>410137849</v>
      </c>
      <c r="AC247" s="31">
        <f t="shared" si="84"/>
        <v>410137849</v>
      </c>
      <c r="AD247" s="31">
        <f t="shared" si="85"/>
        <v>102534462</v>
      </c>
      <c r="AE247" s="31">
        <f t="shared" si="88"/>
        <v>102534462</v>
      </c>
      <c r="AF247" s="31">
        <f t="shared" si="88"/>
        <v>102534462</v>
      </c>
      <c r="AG247" s="31">
        <f t="shared" si="86"/>
        <v>102534463</v>
      </c>
    </row>
    <row r="248" spans="1:33" ht="3" customHeight="1" x14ac:dyDescent="0.25">
      <c r="A248">
        <v>11202</v>
      </c>
      <c r="B248">
        <v>11102</v>
      </c>
      <c r="C248" t="s">
        <v>260</v>
      </c>
      <c r="D248" s="31">
        <f>+DATA!O244</f>
        <v>2698290</v>
      </c>
      <c r="E248" s="31">
        <f>+DATA!T244</f>
        <v>2469934.3730000001</v>
      </c>
      <c r="F248" s="38">
        <f t="shared" si="68"/>
        <v>5168224.3729999997</v>
      </c>
      <c r="G248" s="112">
        <f t="shared" si="69"/>
        <v>0.307</v>
      </c>
      <c r="H248" s="95">
        <f t="shared" si="70"/>
        <v>0.47789999999999999</v>
      </c>
      <c r="I248" s="6" t="str">
        <f t="shared" si="71"/>
        <v>SI</v>
      </c>
      <c r="J248" s="117">
        <f t="shared" si="72"/>
        <v>3.3112582781000001E-3</v>
      </c>
      <c r="K248" s="117">
        <f t="shared" si="73"/>
        <v>1.6556291390500001E-3</v>
      </c>
      <c r="L248" s="31">
        <f>IF(I248="SI",VLOOKUP(A248,DATA!$A$4:$D$350,4,0),0)</f>
        <v>5872</v>
      </c>
      <c r="M248" s="95">
        <f>IF(I248="SI",VLOOKUP(A248,DATA!$A$4:$E$350,5,0),0)</f>
        <v>4.9515886994756023E-2</v>
      </c>
      <c r="N248" s="31">
        <f t="shared" si="74"/>
        <v>291</v>
      </c>
      <c r="O248" s="117">
        <f t="shared" si="75"/>
        <v>3.5231943630000001E-4</v>
      </c>
      <c r="P248" s="117">
        <f t="shared" si="76"/>
        <v>3.5231943599999998E-5</v>
      </c>
      <c r="Q248" s="31">
        <f>IF(I248="SI",VLOOKUP(A248,DATA!$A$4:$G$350,7,0),0)</f>
        <v>3549</v>
      </c>
      <c r="R248" s="31">
        <f>IF(I248="SI",VLOOKUP(A248,DATA!$A$4:$H$350,8,0),0)</f>
        <v>5023</v>
      </c>
      <c r="S248" s="117">
        <f t="shared" si="77"/>
        <v>7.3178864009999995E-4</v>
      </c>
      <c r="T248" s="117">
        <f t="shared" si="78"/>
        <v>9.5737456281837913E-4</v>
      </c>
      <c r="U248" s="117">
        <f t="shared" si="79"/>
        <v>1.9147491260000001E-4</v>
      </c>
      <c r="V248" s="31">
        <f>IF(I248="SI",VLOOKUP(A248,COEF_FCM!$A$8:$X$354,24,0),0)</f>
        <v>2698290</v>
      </c>
      <c r="W248" s="121">
        <f t="shared" si="80"/>
        <v>459.52</v>
      </c>
      <c r="X248" s="31">
        <f>IF(AND(W248&gt;0,W248&lt;$W$7),ROUND(($W$7-W248)*L248,PARAMETROS!$L$8),0)</f>
        <v>0</v>
      </c>
      <c r="Y248" s="122">
        <f t="shared" si="81"/>
        <v>0</v>
      </c>
      <c r="Z248" s="117">
        <f t="shared" si="82"/>
        <v>0</v>
      </c>
      <c r="AA248" s="96">
        <f t="shared" si="83"/>
        <v>1.88233599525E-3</v>
      </c>
      <c r="AB248" s="31">
        <f>ROUND(AA248*PARAMETROS!$H$24,0)</f>
        <v>323041798</v>
      </c>
      <c r="AC248" s="31">
        <f t="shared" si="84"/>
        <v>323041798</v>
      </c>
      <c r="AD248" s="31">
        <f t="shared" si="85"/>
        <v>80760450</v>
      </c>
      <c r="AE248" s="31">
        <f t="shared" si="88"/>
        <v>80760450</v>
      </c>
      <c r="AF248" s="31">
        <f t="shared" si="88"/>
        <v>80760450</v>
      </c>
      <c r="AG248" s="31">
        <f t="shared" si="86"/>
        <v>80760448</v>
      </c>
    </row>
    <row r="249" spans="1:33" ht="3" customHeight="1" x14ac:dyDescent="0.25">
      <c r="A249">
        <v>11203</v>
      </c>
      <c r="B249">
        <v>11104</v>
      </c>
      <c r="C249" t="s">
        <v>261</v>
      </c>
      <c r="D249" s="31">
        <f>+DATA!O245</f>
        <v>855553</v>
      </c>
      <c r="E249" s="31">
        <f>+DATA!T245</f>
        <v>1907437.372</v>
      </c>
      <c r="F249" s="38">
        <f t="shared" si="68"/>
        <v>2762990.372</v>
      </c>
      <c r="G249" s="112">
        <f t="shared" si="69"/>
        <v>4.9000000000000002E-2</v>
      </c>
      <c r="H249" s="95">
        <f t="shared" si="70"/>
        <v>0.69040000000000001</v>
      </c>
      <c r="I249" s="6" t="str">
        <f t="shared" si="71"/>
        <v>SI</v>
      </c>
      <c r="J249" s="117">
        <f t="shared" si="72"/>
        <v>3.3112582781000001E-3</v>
      </c>
      <c r="K249" s="117">
        <f t="shared" si="73"/>
        <v>1.6556291390500001E-3</v>
      </c>
      <c r="L249" s="31">
        <f>IF(I249="SI",VLOOKUP(A249,DATA!$A$4:$D$350,4,0),0)</f>
        <v>1611</v>
      </c>
      <c r="M249" s="95">
        <f>IF(I249="SI",VLOOKUP(A249,DATA!$A$4:$E$350,5,0),0)</f>
        <v>6.0502560213658019E-2</v>
      </c>
      <c r="N249" s="31">
        <f t="shared" si="74"/>
        <v>97</v>
      </c>
      <c r="O249" s="117">
        <f t="shared" si="75"/>
        <v>1.174398121E-4</v>
      </c>
      <c r="P249" s="117">
        <f t="shared" si="76"/>
        <v>1.1743981199999999E-5</v>
      </c>
      <c r="Q249" s="31">
        <f>IF(I249="SI",VLOOKUP(A249,DATA!$A$4:$G$350,7,0),0)</f>
        <v>589</v>
      </c>
      <c r="R249" s="31">
        <f>IF(I249="SI",VLOOKUP(A249,DATA!$A$4:$H$350,8,0),0)</f>
        <v>693</v>
      </c>
      <c r="S249" s="117">
        <f t="shared" si="77"/>
        <v>1.4609461150000001E-4</v>
      </c>
      <c r="T249" s="117">
        <f t="shared" si="78"/>
        <v>1.9113068603500102E-4</v>
      </c>
      <c r="U249" s="117">
        <f t="shared" si="79"/>
        <v>3.8226137200000001E-5</v>
      </c>
      <c r="V249" s="31">
        <f>IF(I249="SI",VLOOKUP(A249,COEF_FCM!$A$8:$X$354,24,0),0)</f>
        <v>855553</v>
      </c>
      <c r="W249" s="121">
        <f t="shared" si="80"/>
        <v>531.07000000000005</v>
      </c>
      <c r="X249" s="31">
        <f>IF(AND(W249&gt;0,W249&lt;$W$7),ROUND(($W$7-W249)*L249,PARAMETROS!$L$8),0)</f>
        <v>0</v>
      </c>
      <c r="Y249" s="122">
        <f t="shared" si="81"/>
        <v>0</v>
      </c>
      <c r="Z249" s="117">
        <f t="shared" si="82"/>
        <v>0</v>
      </c>
      <c r="AA249" s="96">
        <f t="shared" si="83"/>
        <v>1.70559925745E-3</v>
      </c>
      <c r="AB249" s="31">
        <f>ROUND(AA249*PARAMETROS!$H$24,0)</f>
        <v>292710681</v>
      </c>
      <c r="AC249" s="31">
        <f t="shared" si="84"/>
        <v>292710681</v>
      </c>
      <c r="AD249" s="31">
        <f t="shared" si="85"/>
        <v>73177670</v>
      </c>
      <c r="AE249" s="31">
        <f t="shared" ref="AE249:AF268" si="89">+AD249</f>
        <v>73177670</v>
      </c>
      <c r="AF249" s="31">
        <f t="shared" si="89"/>
        <v>73177670</v>
      </c>
      <c r="AG249" s="31">
        <f t="shared" si="86"/>
        <v>73177671</v>
      </c>
    </row>
    <row r="250" spans="1:33" ht="3" customHeight="1" x14ac:dyDescent="0.25">
      <c r="A250">
        <v>11301</v>
      </c>
      <c r="B250">
        <v>11301</v>
      </c>
      <c r="C250" t="s">
        <v>263</v>
      </c>
      <c r="D250" s="31">
        <f>+DATA!O246</f>
        <v>428956</v>
      </c>
      <c r="E250" s="31">
        <f>+DATA!T246</f>
        <v>2434592.8670000001</v>
      </c>
      <c r="F250" s="38">
        <f t="shared" si="68"/>
        <v>2863548.8670000001</v>
      </c>
      <c r="G250" s="112">
        <f t="shared" si="69"/>
        <v>5.1999999999999998E-2</v>
      </c>
      <c r="H250" s="95">
        <f t="shared" si="70"/>
        <v>0.85019999999999996</v>
      </c>
      <c r="I250" s="6" t="str">
        <f t="shared" si="71"/>
        <v>SI</v>
      </c>
      <c r="J250" s="117">
        <f t="shared" si="72"/>
        <v>3.3112582781000001E-3</v>
      </c>
      <c r="K250" s="117">
        <f t="shared" si="73"/>
        <v>1.6556291390500001E-3</v>
      </c>
      <c r="L250" s="31">
        <f>IF(I250="SI",VLOOKUP(A250,DATA!$A$4:$D$350,4,0),0)</f>
        <v>3741</v>
      </c>
      <c r="M250" s="95">
        <f>IF(I250="SI",VLOOKUP(A250,DATA!$A$4:$E$350,5,0),0)</f>
        <v>6.3281639272961557E-2</v>
      </c>
      <c r="N250" s="31">
        <f t="shared" si="74"/>
        <v>237</v>
      </c>
      <c r="O250" s="117">
        <f t="shared" si="75"/>
        <v>2.869405718E-4</v>
      </c>
      <c r="P250" s="117">
        <f t="shared" si="76"/>
        <v>2.8694057199999999E-5</v>
      </c>
      <c r="Q250" s="31">
        <f>IF(I250="SI",VLOOKUP(A250,DATA!$A$4:$G$350,7,0),0)</f>
        <v>1750</v>
      </c>
      <c r="R250" s="31">
        <f>IF(I250="SI",VLOOKUP(A250,DATA!$A$4:$H$350,8,0),0)</f>
        <v>2736</v>
      </c>
      <c r="S250" s="117">
        <f t="shared" si="77"/>
        <v>3.2666066910000001E-4</v>
      </c>
      <c r="T250" s="117">
        <f t="shared" si="78"/>
        <v>4.2735921020424121E-4</v>
      </c>
      <c r="U250" s="117">
        <f t="shared" si="79"/>
        <v>8.5471842000000005E-5</v>
      </c>
      <c r="V250" s="31">
        <f>IF(I250="SI",VLOOKUP(A250,COEF_FCM!$A$8:$X$354,24,0),0)</f>
        <v>428956</v>
      </c>
      <c r="W250" s="121">
        <f t="shared" si="80"/>
        <v>114.66</v>
      </c>
      <c r="X250" s="31">
        <f>IF(AND(W250&gt;0,W250&lt;$W$7),ROUND(($W$7-W250)*L250,PARAMETROS!$L$8),0)</f>
        <v>0</v>
      </c>
      <c r="Y250" s="122">
        <f t="shared" si="81"/>
        <v>0</v>
      </c>
      <c r="Z250" s="117">
        <f t="shared" si="82"/>
        <v>0</v>
      </c>
      <c r="AA250" s="96">
        <f t="shared" si="83"/>
        <v>1.7697950382500002E-3</v>
      </c>
      <c r="AB250" s="31">
        <f>ROUND(AA250*PARAMETROS!$H$24,0)</f>
        <v>303727800</v>
      </c>
      <c r="AC250" s="31">
        <f t="shared" si="84"/>
        <v>303727800</v>
      </c>
      <c r="AD250" s="31">
        <f t="shared" si="85"/>
        <v>75931950</v>
      </c>
      <c r="AE250" s="31">
        <f t="shared" si="89"/>
        <v>75931950</v>
      </c>
      <c r="AF250" s="31">
        <f t="shared" si="89"/>
        <v>75931950</v>
      </c>
      <c r="AG250" s="31">
        <f t="shared" si="86"/>
        <v>75931950</v>
      </c>
    </row>
    <row r="251" spans="1:33" ht="3" customHeight="1" x14ac:dyDescent="0.25">
      <c r="A251">
        <v>11302</v>
      </c>
      <c r="B251">
        <v>11302</v>
      </c>
      <c r="C251" t="s">
        <v>490</v>
      </c>
      <c r="D251" s="31">
        <f>+DATA!O247</f>
        <v>154154</v>
      </c>
      <c r="E251" s="31">
        <f>+DATA!T247</f>
        <v>2082657.365</v>
      </c>
      <c r="F251" s="38">
        <f t="shared" si="68"/>
        <v>2236811.3650000002</v>
      </c>
      <c r="G251" s="112">
        <f t="shared" si="69"/>
        <v>0.02</v>
      </c>
      <c r="H251" s="95">
        <f t="shared" si="70"/>
        <v>0.93110000000000004</v>
      </c>
      <c r="I251" s="6" t="str">
        <f t="shared" si="71"/>
        <v>SI</v>
      </c>
      <c r="J251" s="117">
        <f t="shared" si="72"/>
        <v>3.3112582781000001E-3</v>
      </c>
      <c r="K251" s="117">
        <f t="shared" si="73"/>
        <v>1.6556291390500001E-3</v>
      </c>
      <c r="L251" s="31">
        <f>IF(I251="SI",VLOOKUP(A251,DATA!$A$4:$D$350,4,0),0)</f>
        <v>675</v>
      </c>
      <c r="M251" s="95">
        <f>IF(I251="SI",VLOOKUP(A251,DATA!$A$4:$E$350,5,0),0)</f>
        <v>9.1574462350945171E-2</v>
      </c>
      <c r="N251" s="31">
        <f t="shared" si="74"/>
        <v>62</v>
      </c>
      <c r="O251" s="117">
        <f t="shared" si="75"/>
        <v>7.5064622200000003E-5</v>
      </c>
      <c r="P251" s="117">
        <f t="shared" si="76"/>
        <v>7.5064622000000001E-6</v>
      </c>
      <c r="Q251" s="31">
        <f>IF(I251="SI",VLOOKUP(A251,DATA!$A$4:$G$350,7,0),0)</f>
        <v>349</v>
      </c>
      <c r="R251" s="31">
        <f>IF(I251="SI",VLOOKUP(A251,DATA!$A$4:$H$350,8,0),0)</f>
        <v>519</v>
      </c>
      <c r="S251" s="117">
        <f t="shared" si="77"/>
        <v>6.8488923299999999E-5</v>
      </c>
      <c r="T251" s="117">
        <f t="shared" si="78"/>
        <v>8.960176396463168E-5</v>
      </c>
      <c r="U251" s="117">
        <f t="shared" si="79"/>
        <v>1.79203528E-5</v>
      </c>
      <c r="V251" s="31">
        <f>IF(I251="SI",VLOOKUP(A251,COEF_FCM!$A$8:$X$354,24,0),0)</f>
        <v>154154</v>
      </c>
      <c r="W251" s="121">
        <f t="shared" si="80"/>
        <v>228.38</v>
      </c>
      <c r="X251" s="31">
        <f>IF(AND(W251&gt;0,W251&lt;$W$7),ROUND(($W$7-W251)*L251,PARAMETROS!$L$8),0)</f>
        <v>0</v>
      </c>
      <c r="Y251" s="122">
        <f t="shared" si="81"/>
        <v>0</v>
      </c>
      <c r="Z251" s="117">
        <f t="shared" si="82"/>
        <v>0</v>
      </c>
      <c r="AA251" s="96">
        <f t="shared" si="83"/>
        <v>1.6810559540500001E-3</v>
      </c>
      <c r="AB251" s="31">
        <f>ROUND(AA251*PARAMETROS!$H$24,0)</f>
        <v>288498620</v>
      </c>
      <c r="AC251" s="31">
        <f t="shared" si="84"/>
        <v>288498620</v>
      </c>
      <c r="AD251" s="31">
        <f t="shared" si="85"/>
        <v>72124655</v>
      </c>
      <c r="AE251" s="31">
        <f t="shared" si="89"/>
        <v>72124655</v>
      </c>
      <c r="AF251" s="31">
        <f t="shared" si="89"/>
        <v>72124655</v>
      </c>
      <c r="AG251" s="31">
        <f t="shared" si="86"/>
        <v>72124655</v>
      </c>
    </row>
    <row r="252" spans="1:33" ht="3" customHeight="1" x14ac:dyDescent="0.25">
      <c r="A252">
        <v>11303</v>
      </c>
      <c r="B252">
        <v>11303</v>
      </c>
      <c r="C252" t="s">
        <v>264</v>
      </c>
      <c r="D252" s="31">
        <f>+DATA!O248</f>
        <v>87384</v>
      </c>
      <c r="E252" s="31">
        <f>+DATA!T248</f>
        <v>1956703.2180000001</v>
      </c>
      <c r="F252" s="38">
        <f t="shared" si="68"/>
        <v>2044087.2180000001</v>
      </c>
      <c r="G252" s="112">
        <f t="shared" si="69"/>
        <v>5.0000000000000001E-3</v>
      </c>
      <c r="H252" s="95">
        <f t="shared" si="70"/>
        <v>0.95730000000000004</v>
      </c>
      <c r="I252" s="6" t="str">
        <f t="shared" si="71"/>
        <v>SI</v>
      </c>
      <c r="J252" s="117">
        <f t="shared" si="72"/>
        <v>3.3112582781000001E-3</v>
      </c>
      <c r="K252" s="117">
        <f t="shared" si="73"/>
        <v>1.6556291390500001E-3</v>
      </c>
      <c r="L252" s="31">
        <f>IF(I252="SI",VLOOKUP(A252,DATA!$A$4:$D$350,4,0),0)</f>
        <v>585</v>
      </c>
      <c r="M252" s="95">
        <f>IF(I252="SI",VLOOKUP(A252,DATA!$A$4:$E$350,5,0),0)</f>
        <v>4.5924697141099362E-2</v>
      </c>
      <c r="N252" s="31">
        <f t="shared" si="74"/>
        <v>27</v>
      </c>
      <c r="O252" s="117">
        <f t="shared" si="75"/>
        <v>3.2689432200000003E-5</v>
      </c>
      <c r="P252" s="117">
        <f t="shared" si="76"/>
        <v>3.2689432000000002E-6</v>
      </c>
      <c r="Q252" s="31">
        <f>IF(I252="SI",VLOOKUP(A252,DATA!$A$4:$G$350,7,0),0)</f>
        <v>298</v>
      </c>
      <c r="R252" s="31">
        <f>IF(I252="SI",VLOOKUP(A252,DATA!$A$4:$H$350,8,0),0)</f>
        <v>357</v>
      </c>
      <c r="S252" s="117">
        <f t="shared" si="77"/>
        <v>7.2594071500000002E-5</v>
      </c>
      <c r="T252" s="117">
        <f t="shared" si="78"/>
        <v>9.4972391831637921E-5</v>
      </c>
      <c r="U252" s="117">
        <f t="shared" si="79"/>
        <v>1.8994478399999999E-5</v>
      </c>
      <c r="V252" s="31">
        <f>IF(I252="SI",VLOOKUP(A252,COEF_FCM!$A$8:$X$354,24,0),0)</f>
        <v>87384</v>
      </c>
      <c r="W252" s="121">
        <f t="shared" si="80"/>
        <v>149.37</v>
      </c>
      <c r="X252" s="31">
        <f>IF(AND(W252&gt;0,W252&lt;$W$7),ROUND(($W$7-W252)*L252,PARAMETROS!$L$8),0)</f>
        <v>0</v>
      </c>
      <c r="Y252" s="122">
        <f t="shared" si="81"/>
        <v>0</v>
      </c>
      <c r="Z252" s="117">
        <f t="shared" si="82"/>
        <v>0</v>
      </c>
      <c r="AA252" s="96">
        <f t="shared" si="83"/>
        <v>1.67789256065E-3</v>
      </c>
      <c r="AB252" s="31">
        <f>ROUND(AA252*PARAMETROS!$H$24,0)</f>
        <v>287955727</v>
      </c>
      <c r="AC252" s="31">
        <f t="shared" si="84"/>
        <v>287955727</v>
      </c>
      <c r="AD252" s="31">
        <f t="shared" si="85"/>
        <v>71988932</v>
      </c>
      <c r="AE252" s="31">
        <f t="shared" si="89"/>
        <v>71988932</v>
      </c>
      <c r="AF252" s="31">
        <f t="shared" si="89"/>
        <v>71988932</v>
      </c>
      <c r="AG252" s="31">
        <f t="shared" si="86"/>
        <v>71988931</v>
      </c>
    </row>
    <row r="253" spans="1:33" ht="3" customHeight="1" x14ac:dyDescent="0.25">
      <c r="A253">
        <v>11401</v>
      </c>
      <c r="B253">
        <v>11201</v>
      </c>
      <c r="C253" t="s">
        <v>262</v>
      </c>
      <c r="D253" s="31">
        <f>+DATA!O249</f>
        <v>791163</v>
      </c>
      <c r="E253" s="31">
        <f>+DATA!T249</f>
        <v>3908539.5079999999</v>
      </c>
      <c r="F253" s="38">
        <f t="shared" si="68"/>
        <v>4699702.5079999994</v>
      </c>
      <c r="G253" s="112">
        <f t="shared" si="69"/>
        <v>0.24</v>
      </c>
      <c r="H253" s="95">
        <f t="shared" si="70"/>
        <v>0.83169999999999999</v>
      </c>
      <c r="I253" s="6" t="str">
        <f t="shared" si="71"/>
        <v>SI</v>
      </c>
      <c r="J253" s="117">
        <f t="shared" si="72"/>
        <v>3.3112582781000001E-3</v>
      </c>
      <c r="K253" s="117">
        <f t="shared" si="73"/>
        <v>1.6556291390500001E-3</v>
      </c>
      <c r="L253" s="31">
        <f>IF(I253="SI",VLOOKUP(A253,DATA!$A$4:$D$350,4,0),0)</f>
        <v>5163</v>
      </c>
      <c r="M253" s="95">
        <f>IF(I253="SI",VLOOKUP(A253,DATA!$A$4:$E$350,5,0),0)</f>
        <v>6.2020782411386241E-2</v>
      </c>
      <c r="N253" s="31">
        <f t="shared" si="74"/>
        <v>320</v>
      </c>
      <c r="O253" s="117">
        <f t="shared" si="75"/>
        <v>3.8743030790000001E-4</v>
      </c>
      <c r="P253" s="117">
        <f t="shared" si="76"/>
        <v>3.87430308E-5</v>
      </c>
      <c r="Q253" s="31">
        <f>IF(I253="SI",VLOOKUP(A253,DATA!$A$4:$G$350,7,0),0)</f>
        <v>2766</v>
      </c>
      <c r="R253" s="31">
        <f>IF(I253="SI",VLOOKUP(A253,DATA!$A$4:$H$350,8,0),0)</f>
        <v>4497</v>
      </c>
      <c r="S253" s="117">
        <f t="shared" si="77"/>
        <v>4.9649891860000005E-4</v>
      </c>
      <c r="T253" s="117">
        <f t="shared" si="78"/>
        <v>6.4955290241936218E-4</v>
      </c>
      <c r="U253" s="117">
        <f t="shared" si="79"/>
        <v>1.2991058049999999E-4</v>
      </c>
      <c r="V253" s="31">
        <f>IF(I253="SI",VLOOKUP(A253,COEF_FCM!$A$8:$X$354,24,0),0)</f>
        <v>791163</v>
      </c>
      <c r="W253" s="121">
        <f t="shared" si="80"/>
        <v>153.24</v>
      </c>
      <c r="X253" s="31">
        <f>IF(AND(W253&gt;0,W253&lt;$W$7),ROUND(($W$7-W253)*L253,PARAMETROS!$L$8),0)</f>
        <v>0</v>
      </c>
      <c r="Y253" s="122">
        <f t="shared" si="81"/>
        <v>0</v>
      </c>
      <c r="Z253" s="117">
        <f t="shared" si="82"/>
        <v>0</v>
      </c>
      <c r="AA253" s="96">
        <f t="shared" si="83"/>
        <v>1.8242827503500002E-3</v>
      </c>
      <c r="AB253" s="31">
        <f>ROUND(AA253*PARAMETROS!$H$24,0)</f>
        <v>313078845</v>
      </c>
      <c r="AC253" s="31">
        <f t="shared" si="84"/>
        <v>313078845</v>
      </c>
      <c r="AD253" s="31">
        <f t="shared" si="85"/>
        <v>78269711</v>
      </c>
      <c r="AE253" s="31">
        <f t="shared" si="89"/>
        <v>78269711</v>
      </c>
      <c r="AF253" s="31">
        <f t="shared" si="89"/>
        <v>78269711</v>
      </c>
      <c r="AG253" s="31">
        <f t="shared" si="86"/>
        <v>78269712</v>
      </c>
    </row>
    <row r="254" spans="1:33" ht="3" customHeight="1" x14ac:dyDescent="0.25">
      <c r="A254">
        <v>11402</v>
      </c>
      <c r="B254">
        <v>11203</v>
      </c>
      <c r="C254" t="s">
        <v>423</v>
      </c>
      <c r="D254" s="31">
        <f>+DATA!O250</f>
        <v>422198</v>
      </c>
      <c r="E254" s="31">
        <f>+DATA!T250</f>
        <v>2501559.9500000002</v>
      </c>
      <c r="F254" s="38">
        <f t="shared" si="68"/>
        <v>2923757.95</v>
      </c>
      <c r="G254" s="112">
        <f t="shared" si="69"/>
        <v>6.3E-2</v>
      </c>
      <c r="H254" s="95">
        <f t="shared" si="70"/>
        <v>0.85560000000000003</v>
      </c>
      <c r="I254" s="6" t="str">
        <f t="shared" si="71"/>
        <v>SI</v>
      </c>
      <c r="J254" s="117">
        <f t="shared" si="72"/>
        <v>3.3112582781000001E-3</v>
      </c>
      <c r="K254" s="117">
        <f t="shared" si="73"/>
        <v>1.6556291390500001E-3</v>
      </c>
      <c r="L254" s="31">
        <f>IF(I254="SI",VLOOKUP(A254,DATA!$A$4:$D$350,4,0),0)</f>
        <v>2713</v>
      </c>
      <c r="M254" s="95">
        <f>IF(I254="SI",VLOOKUP(A254,DATA!$A$4:$E$350,5,0),0)</f>
        <v>6.9847979222229559E-2</v>
      </c>
      <c r="N254" s="31">
        <f t="shared" si="74"/>
        <v>189</v>
      </c>
      <c r="O254" s="117">
        <f t="shared" si="75"/>
        <v>2.2882602559999999E-4</v>
      </c>
      <c r="P254" s="117">
        <f t="shared" si="76"/>
        <v>2.2882602599999999E-5</v>
      </c>
      <c r="Q254" s="31">
        <f>IF(I254="SI",VLOOKUP(A254,DATA!$A$4:$G$350,7,0),0)</f>
        <v>2645</v>
      </c>
      <c r="R254" s="31">
        <f>IF(I254="SI",VLOOKUP(A254,DATA!$A$4:$H$350,8,0),0)</f>
        <v>4604</v>
      </c>
      <c r="S254" s="117">
        <f t="shared" si="77"/>
        <v>4.434583949E-4</v>
      </c>
      <c r="T254" s="117">
        <f t="shared" si="78"/>
        <v>5.8016176212780709E-4</v>
      </c>
      <c r="U254" s="117">
        <f t="shared" si="79"/>
        <v>1.160323524E-4</v>
      </c>
      <c r="V254" s="31">
        <f>IF(I254="SI",VLOOKUP(A254,COEF_FCM!$A$8:$X$354,24,0),0)</f>
        <v>422198</v>
      </c>
      <c r="W254" s="121">
        <f t="shared" si="80"/>
        <v>155.62</v>
      </c>
      <c r="X254" s="31">
        <f>IF(AND(W254&gt;0,W254&lt;$W$7),ROUND(($W$7-W254)*L254,PARAMETROS!$L$8),0)</f>
        <v>0</v>
      </c>
      <c r="Y254" s="122">
        <f t="shared" si="81"/>
        <v>0</v>
      </c>
      <c r="Z254" s="117">
        <f t="shared" si="82"/>
        <v>0</v>
      </c>
      <c r="AA254" s="96">
        <f t="shared" si="83"/>
        <v>1.7945440940500001E-3</v>
      </c>
      <c r="AB254" s="31">
        <f>ROUND(AA254*PARAMETROS!$H$24,0)</f>
        <v>307975171</v>
      </c>
      <c r="AC254" s="31">
        <f t="shared" si="84"/>
        <v>307975171</v>
      </c>
      <c r="AD254" s="31">
        <f t="shared" si="85"/>
        <v>76993793</v>
      </c>
      <c r="AE254" s="31">
        <f t="shared" si="89"/>
        <v>76993793</v>
      </c>
      <c r="AF254" s="31">
        <f t="shared" si="89"/>
        <v>76993793</v>
      </c>
      <c r="AG254" s="31">
        <f t="shared" si="86"/>
        <v>76993792</v>
      </c>
    </row>
    <row r="255" spans="1:33" ht="3" customHeight="1" x14ac:dyDescent="0.25">
      <c r="A255">
        <v>12101</v>
      </c>
      <c r="B255">
        <v>12205</v>
      </c>
      <c r="C255" t="s">
        <v>268</v>
      </c>
      <c r="D255" s="31">
        <f>+DATA!O251</f>
        <v>24758659</v>
      </c>
      <c r="E255" s="31">
        <f>+DATA!T251</f>
        <v>11081574.266000001</v>
      </c>
      <c r="F255" s="38">
        <f t="shared" si="68"/>
        <v>35840233.266000003</v>
      </c>
      <c r="G255" s="112">
        <f t="shared" si="69"/>
        <v>0.88600000000000001</v>
      </c>
      <c r="H255" s="95">
        <f t="shared" si="70"/>
        <v>0.30919999999999997</v>
      </c>
      <c r="I255" s="6" t="str">
        <f t="shared" si="71"/>
        <v>NO</v>
      </c>
      <c r="J255" s="117">
        <f t="shared" si="72"/>
        <v>0</v>
      </c>
      <c r="K255" s="117">
        <f t="shared" si="73"/>
        <v>0</v>
      </c>
      <c r="L255" s="31">
        <f>IF(I255="SI",VLOOKUP(A255,DATA!$A$4:$D$350,4,0),0)</f>
        <v>0</v>
      </c>
      <c r="M255" s="95">
        <f>IF(I255="SI",VLOOKUP(A255,DATA!$A$4:$E$350,5,0),0)</f>
        <v>0</v>
      </c>
      <c r="N255" s="31">
        <f t="shared" si="74"/>
        <v>0</v>
      </c>
      <c r="O255" s="117">
        <f t="shared" si="75"/>
        <v>0</v>
      </c>
      <c r="P255" s="117">
        <f t="shared" si="76"/>
        <v>0</v>
      </c>
      <c r="Q255" s="31">
        <f>IF(I255="SI",VLOOKUP(A255,DATA!$A$4:$G$350,7,0),0)</f>
        <v>0</v>
      </c>
      <c r="R255" s="31">
        <f>IF(I255="SI",VLOOKUP(A255,DATA!$A$4:$H$350,8,0),0)</f>
        <v>0</v>
      </c>
      <c r="S255" s="117">
        <f t="shared" si="77"/>
        <v>0</v>
      </c>
      <c r="T255" s="117">
        <f t="shared" si="78"/>
        <v>0</v>
      </c>
      <c r="U255" s="117">
        <f t="shared" si="79"/>
        <v>0</v>
      </c>
      <c r="V255" s="31">
        <f>IF(I255="SI",VLOOKUP(A255,COEF_FCM!$A$8:$X$354,24,0),0)</f>
        <v>0</v>
      </c>
      <c r="W255" s="121">
        <f t="shared" si="80"/>
        <v>0</v>
      </c>
      <c r="X255" s="31">
        <f>IF(AND(W255&gt;0,W255&lt;$W$7),ROUND(($W$7-W255)*L255,PARAMETROS!$L$8),0)</f>
        <v>0</v>
      </c>
      <c r="Y255" s="122">
        <f t="shared" si="81"/>
        <v>0</v>
      </c>
      <c r="Z255" s="117">
        <f t="shared" si="82"/>
        <v>0</v>
      </c>
      <c r="AA255" s="96">
        <f t="shared" si="83"/>
        <v>0</v>
      </c>
      <c r="AB255" s="31">
        <f>ROUND(AA255*PARAMETROS!$H$24,0)</f>
        <v>0</v>
      </c>
      <c r="AC255" s="31">
        <f t="shared" si="84"/>
        <v>0</v>
      </c>
      <c r="AD255" s="31">
        <f t="shared" si="85"/>
        <v>0</v>
      </c>
      <c r="AE255" s="31">
        <f t="shared" si="89"/>
        <v>0</v>
      </c>
      <c r="AF255" s="31">
        <f t="shared" si="89"/>
        <v>0</v>
      </c>
      <c r="AG255" s="31">
        <f t="shared" si="86"/>
        <v>0</v>
      </c>
    </row>
    <row r="256" spans="1:33" ht="3" customHeight="1" x14ac:dyDescent="0.25">
      <c r="A256">
        <v>12102</v>
      </c>
      <c r="B256">
        <v>12206</v>
      </c>
      <c r="C256" t="s">
        <v>269</v>
      </c>
      <c r="D256" s="31">
        <f>+DATA!O252</f>
        <v>260967</v>
      </c>
      <c r="E256" s="31">
        <f>+DATA!T252</f>
        <v>1784575.5889999999</v>
      </c>
      <c r="F256" s="38">
        <f t="shared" si="68"/>
        <v>2045542.5889999999</v>
      </c>
      <c r="G256" s="112">
        <f t="shared" si="69"/>
        <v>8.0000000000000002E-3</v>
      </c>
      <c r="H256" s="95">
        <f t="shared" si="70"/>
        <v>0.87239999999999995</v>
      </c>
      <c r="I256" s="6" t="str">
        <f t="shared" si="71"/>
        <v>SI</v>
      </c>
      <c r="J256" s="117">
        <f t="shared" si="72"/>
        <v>3.3112582781000001E-3</v>
      </c>
      <c r="K256" s="117">
        <f t="shared" si="73"/>
        <v>1.6556291390500001E-3</v>
      </c>
      <c r="L256" s="31">
        <f>IF(I256="SI",VLOOKUP(A256,DATA!$A$4:$D$350,4,0),0)</f>
        <v>248</v>
      </c>
      <c r="M256" s="95">
        <f>IF(I256="SI",VLOOKUP(A256,DATA!$A$4:$E$350,5,0),0)</f>
        <v>2.250673905537242E-2</v>
      </c>
      <c r="N256" s="31">
        <f t="shared" si="74"/>
        <v>6</v>
      </c>
      <c r="O256" s="117">
        <f t="shared" si="75"/>
        <v>7.2643182999999999E-6</v>
      </c>
      <c r="P256" s="117">
        <f t="shared" si="76"/>
        <v>7.2643179999999999E-7</v>
      </c>
      <c r="Q256" s="31">
        <f>IF(I256="SI",VLOOKUP(A256,DATA!$A$4:$G$350,7,0),0)</f>
        <v>81</v>
      </c>
      <c r="R256" s="31">
        <f>IF(I256="SI",VLOOKUP(A256,DATA!$A$4:$H$350,8,0),0)</f>
        <v>167</v>
      </c>
      <c r="S256" s="117">
        <f t="shared" si="77"/>
        <v>1.14654316E-5</v>
      </c>
      <c r="T256" s="117">
        <f t="shared" si="78"/>
        <v>1.4999840068676175E-5</v>
      </c>
      <c r="U256" s="117">
        <f t="shared" si="79"/>
        <v>2.999968E-6</v>
      </c>
      <c r="V256" s="31">
        <f>IF(I256="SI",VLOOKUP(A256,COEF_FCM!$A$8:$X$354,24,0),0)</f>
        <v>260967</v>
      </c>
      <c r="W256" s="121">
        <f t="shared" si="80"/>
        <v>1052.29</v>
      </c>
      <c r="X256" s="31">
        <f>IF(AND(W256&gt;0,W256&lt;$W$7),ROUND(($W$7-W256)*L256,PARAMETROS!$L$8),0)</f>
        <v>0</v>
      </c>
      <c r="Y256" s="122">
        <f t="shared" si="81"/>
        <v>0</v>
      </c>
      <c r="Z256" s="117">
        <f t="shared" si="82"/>
        <v>0</v>
      </c>
      <c r="AA256" s="96">
        <f t="shared" si="83"/>
        <v>1.6593555388500002E-3</v>
      </c>
      <c r="AB256" s="31">
        <f>ROUND(AA256*PARAMETROS!$H$24,0)</f>
        <v>284774449</v>
      </c>
      <c r="AC256" s="31">
        <f t="shared" si="84"/>
        <v>284774449</v>
      </c>
      <c r="AD256" s="31">
        <f t="shared" si="85"/>
        <v>71193612</v>
      </c>
      <c r="AE256" s="31">
        <f t="shared" si="89"/>
        <v>71193612</v>
      </c>
      <c r="AF256" s="31">
        <f t="shared" si="89"/>
        <v>71193612</v>
      </c>
      <c r="AG256" s="31">
        <f t="shared" si="86"/>
        <v>71193613</v>
      </c>
    </row>
    <row r="257" spans="1:33" ht="3" customHeight="1" x14ac:dyDescent="0.25">
      <c r="A257">
        <v>12103</v>
      </c>
      <c r="B257">
        <v>12202</v>
      </c>
      <c r="C257" t="s">
        <v>424</v>
      </c>
      <c r="D257" s="31">
        <f>+DATA!O253</f>
        <v>1108508</v>
      </c>
      <c r="E257" s="31">
        <f>+DATA!T253</f>
        <v>1775937.7279999999</v>
      </c>
      <c r="F257" s="38">
        <f t="shared" si="68"/>
        <v>2884445.7280000001</v>
      </c>
      <c r="G257" s="112">
        <f t="shared" si="69"/>
        <v>5.7000000000000002E-2</v>
      </c>
      <c r="H257" s="95">
        <f t="shared" si="70"/>
        <v>0.61570000000000003</v>
      </c>
      <c r="I257" s="6" t="str">
        <f t="shared" si="71"/>
        <v>SI</v>
      </c>
      <c r="J257" s="117">
        <f t="shared" si="72"/>
        <v>3.3112582781000001E-3</v>
      </c>
      <c r="K257" s="117">
        <f t="shared" si="73"/>
        <v>1.6556291390500001E-3</v>
      </c>
      <c r="L257" s="31">
        <f>IF(I257="SI",VLOOKUP(A257,DATA!$A$4:$D$350,4,0),0)</f>
        <v>205</v>
      </c>
      <c r="M257" s="95">
        <f>IF(I257="SI",VLOOKUP(A257,DATA!$A$4:$E$350,5,0),0)</f>
        <v>2.8189035507099159E-2</v>
      </c>
      <c r="N257" s="31">
        <f t="shared" si="74"/>
        <v>6</v>
      </c>
      <c r="O257" s="117">
        <f t="shared" si="75"/>
        <v>7.2643182999999999E-6</v>
      </c>
      <c r="P257" s="117">
        <f t="shared" si="76"/>
        <v>7.2643179999999999E-7</v>
      </c>
      <c r="Q257" s="31">
        <f>IF(I257="SI",VLOOKUP(A257,DATA!$A$4:$G$350,7,0),0)</f>
        <v>71</v>
      </c>
      <c r="R257" s="31">
        <f>IF(I257="SI",VLOOKUP(A257,DATA!$A$4:$H$350,8,0),0)</f>
        <v>167</v>
      </c>
      <c r="S257" s="117">
        <f t="shared" si="77"/>
        <v>8.8092121999999997E-6</v>
      </c>
      <c r="T257" s="117">
        <f t="shared" si="78"/>
        <v>1.1524797211387228E-5</v>
      </c>
      <c r="U257" s="117">
        <f t="shared" si="79"/>
        <v>2.3049594000000001E-6</v>
      </c>
      <c r="V257" s="31">
        <f>IF(I257="SI",VLOOKUP(A257,COEF_FCM!$A$8:$X$354,24,0),0)</f>
        <v>1108508</v>
      </c>
      <c r="W257" s="121">
        <f t="shared" si="80"/>
        <v>5407.36</v>
      </c>
      <c r="X257" s="31">
        <f>IF(AND(W257&gt;0,W257&lt;$W$7),ROUND(($W$7-W257)*L257,PARAMETROS!$L$8),0)</f>
        <v>0</v>
      </c>
      <c r="Y257" s="122">
        <f t="shared" si="81"/>
        <v>0</v>
      </c>
      <c r="Z257" s="117">
        <f t="shared" si="82"/>
        <v>0</v>
      </c>
      <c r="AA257" s="96">
        <f t="shared" si="83"/>
        <v>1.6586605302500001E-3</v>
      </c>
      <c r="AB257" s="31">
        <f>ROUND(AA257*PARAMETROS!$H$24,0)</f>
        <v>284655174</v>
      </c>
      <c r="AC257" s="31">
        <f t="shared" si="84"/>
        <v>284655174</v>
      </c>
      <c r="AD257" s="31">
        <f t="shared" si="85"/>
        <v>71163794</v>
      </c>
      <c r="AE257" s="31">
        <f t="shared" si="89"/>
        <v>71163794</v>
      </c>
      <c r="AF257" s="31">
        <f t="shared" si="89"/>
        <v>71163794</v>
      </c>
      <c r="AG257" s="31">
        <f t="shared" si="86"/>
        <v>71163792</v>
      </c>
    </row>
    <row r="258" spans="1:33" ht="3" customHeight="1" x14ac:dyDescent="0.25">
      <c r="A258">
        <v>12104</v>
      </c>
      <c r="B258">
        <v>12204</v>
      </c>
      <c r="C258" t="s">
        <v>267</v>
      </c>
      <c r="D258" s="31">
        <f>+DATA!O254</f>
        <v>582772</v>
      </c>
      <c r="E258" s="31">
        <f>+DATA!T254</f>
        <v>1789227.686</v>
      </c>
      <c r="F258" s="38">
        <f t="shared" si="68"/>
        <v>2371999.6859999998</v>
      </c>
      <c r="G258" s="112">
        <f t="shared" si="69"/>
        <v>2.8000000000000001E-2</v>
      </c>
      <c r="H258" s="95">
        <f t="shared" si="70"/>
        <v>0.75429999999999997</v>
      </c>
      <c r="I258" s="6" t="str">
        <f t="shared" si="71"/>
        <v>SI</v>
      </c>
      <c r="J258" s="117">
        <f t="shared" si="72"/>
        <v>3.3112582781000001E-3</v>
      </c>
      <c r="K258" s="117">
        <f t="shared" si="73"/>
        <v>1.6556291390500001E-3</v>
      </c>
      <c r="L258" s="31">
        <f>IF(I258="SI",VLOOKUP(A258,DATA!$A$4:$D$350,4,0),0)</f>
        <v>651</v>
      </c>
      <c r="M258" s="95">
        <f>IF(I258="SI",VLOOKUP(A258,DATA!$A$4:$E$350,5,0),0)</f>
        <v>8.0598348223237762E-2</v>
      </c>
      <c r="N258" s="31">
        <f t="shared" si="74"/>
        <v>52</v>
      </c>
      <c r="O258" s="117">
        <f t="shared" si="75"/>
        <v>6.2957424999999996E-5</v>
      </c>
      <c r="P258" s="117">
        <f t="shared" si="76"/>
        <v>6.2957425000000001E-6</v>
      </c>
      <c r="Q258" s="31">
        <f>IF(I258="SI",VLOOKUP(A258,DATA!$A$4:$G$350,7,0),0)</f>
        <v>168</v>
      </c>
      <c r="R258" s="31">
        <f>IF(I258="SI",VLOOKUP(A258,DATA!$A$4:$H$350,8,0),0)</f>
        <v>315</v>
      </c>
      <c r="S258" s="117">
        <f t="shared" si="77"/>
        <v>2.61483839E-5</v>
      </c>
      <c r="T258" s="117">
        <f t="shared" si="78"/>
        <v>3.4209054681757207E-5</v>
      </c>
      <c r="U258" s="117">
        <f t="shared" si="79"/>
        <v>6.8418108999999996E-6</v>
      </c>
      <c r="V258" s="31">
        <f>IF(I258="SI",VLOOKUP(A258,COEF_FCM!$A$8:$X$354,24,0),0)</f>
        <v>582772</v>
      </c>
      <c r="W258" s="121">
        <f t="shared" si="80"/>
        <v>895.2</v>
      </c>
      <c r="X258" s="31">
        <f>IF(AND(W258&gt;0,W258&lt;$W$7),ROUND(($W$7-W258)*L258,PARAMETROS!$L$8),0)</f>
        <v>0</v>
      </c>
      <c r="Y258" s="122">
        <f t="shared" si="81"/>
        <v>0</v>
      </c>
      <c r="Z258" s="117">
        <f t="shared" si="82"/>
        <v>0</v>
      </c>
      <c r="AA258" s="96">
        <f t="shared" si="83"/>
        <v>1.66876669245E-3</v>
      </c>
      <c r="AB258" s="31">
        <f>ROUND(AA258*PARAMETROS!$H$24,0)</f>
        <v>286389568</v>
      </c>
      <c r="AC258" s="31">
        <f t="shared" si="84"/>
        <v>286389568</v>
      </c>
      <c r="AD258" s="31">
        <f t="shared" si="85"/>
        <v>71597392</v>
      </c>
      <c r="AE258" s="31">
        <f t="shared" si="89"/>
        <v>71597392</v>
      </c>
      <c r="AF258" s="31">
        <f t="shared" si="89"/>
        <v>71597392</v>
      </c>
      <c r="AG258" s="31">
        <f t="shared" si="86"/>
        <v>71597392</v>
      </c>
    </row>
    <row r="259" spans="1:33" ht="3" customHeight="1" x14ac:dyDescent="0.25">
      <c r="A259">
        <v>12201</v>
      </c>
      <c r="B259">
        <v>12401</v>
      </c>
      <c r="C259" t="s">
        <v>273</v>
      </c>
      <c r="D259" s="31">
        <f>+DATA!O255</f>
        <v>405763</v>
      </c>
      <c r="E259" s="31">
        <f>+DATA!T255</f>
        <v>2036339.21</v>
      </c>
      <c r="F259" s="38">
        <f t="shared" si="68"/>
        <v>2442102.21</v>
      </c>
      <c r="G259" s="112">
        <f t="shared" si="69"/>
        <v>3.4000000000000002E-2</v>
      </c>
      <c r="H259" s="95">
        <f t="shared" si="70"/>
        <v>0.83379999999999999</v>
      </c>
      <c r="I259" s="6" t="str">
        <f t="shared" si="71"/>
        <v>SI</v>
      </c>
      <c r="J259" s="117">
        <f t="shared" si="72"/>
        <v>3.3112582781000001E-3</v>
      </c>
      <c r="K259" s="117">
        <f t="shared" si="73"/>
        <v>1.6556291390500001E-3</v>
      </c>
      <c r="L259" s="31">
        <f>IF(I259="SI",VLOOKUP(A259,DATA!$A$4:$D$350,4,0),0)</f>
        <v>1968</v>
      </c>
      <c r="M259" s="95">
        <f>IF(I259="SI",VLOOKUP(A259,DATA!$A$4:$E$350,5,0),0)</f>
        <v>1.186221304315507E-2</v>
      </c>
      <c r="N259" s="31">
        <f t="shared" si="74"/>
        <v>23</v>
      </c>
      <c r="O259" s="117">
        <f t="shared" si="75"/>
        <v>2.78465534E-5</v>
      </c>
      <c r="P259" s="117">
        <f t="shared" si="76"/>
        <v>2.7846552999999998E-6</v>
      </c>
      <c r="Q259" s="31">
        <f>IF(I259="SI",VLOOKUP(A259,DATA!$A$4:$G$350,7,0),0)</f>
        <v>990</v>
      </c>
      <c r="R259" s="31">
        <f>IF(I259="SI",VLOOKUP(A259,DATA!$A$4:$H$350,8,0),0)</f>
        <v>990</v>
      </c>
      <c r="S259" s="117">
        <f t="shared" si="77"/>
        <v>2.8891629539999999E-4</v>
      </c>
      <c r="T259" s="117">
        <f t="shared" si="78"/>
        <v>3.7797951053446623E-4</v>
      </c>
      <c r="U259" s="117">
        <f t="shared" si="79"/>
        <v>7.5595902100000003E-5</v>
      </c>
      <c r="V259" s="31">
        <f>IF(I259="SI",VLOOKUP(A259,COEF_FCM!$A$8:$X$354,24,0),0)</f>
        <v>405763</v>
      </c>
      <c r="W259" s="121">
        <f t="shared" si="80"/>
        <v>206.18</v>
      </c>
      <c r="X259" s="31">
        <f>IF(AND(W259&gt;0,W259&lt;$W$7),ROUND(($W$7-W259)*L259,PARAMETROS!$L$8),0)</f>
        <v>0</v>
      </c>
      <c r="Y259" s="122">
        <f t="shared" si="81"/>
        <v>0</v>
      </c>
      <c r="Z259" s="117">
        <f t="shared" si="82"/>
        <v>0</v>
      </c>
      <c r="AA259" s="96">
        <f t="shared" si="83"/>
        <v>1.7340096964500002E-3</v>
      </c>
      <c r="AB259" s="31">
        <f>ROUND(AA259*PARAMETROS!$H$24,0)</f>
        <v>297586409</v>
      </c>
      <c r="AC259" s="31">
        <f t="shared" si="84"/>
        <v>297586409</v>
      </c>
      <c r="AD259" s="31">
        <f t="shared" si="85"/>
        <v>74396602</v>
      </c>
      <c r="AE259" s="31">
        <f t="shared" si="89"/>
        <v>74396602</v>
      </c>
      <c r="AF259" s="31">
        <f t="shared" si="89"/>
        <v>74396602</v>
      </c>
      <c r="AG259" s="31">
        <f t="shared" si="86"/>
        <v>74396603</v>
      </c>
    </row>
    <row r="260" spans="1:33" ht="3" customHeight="1" x14ac:dyDescent="0.25">
      <c r="A260" s="130">
        <v>12202</v>
      </c>
      <c r="B260" s="130">
        <v>12402</v>
      </c>
      <c r="C260" s="130" t="s">
        <v>472</v>
      </c>
      <c r="D260" s="31">
        <f>+DATA!O256</f>
        <v>0</v>
      </c>
      <c r="E260" s="54">
        <f>+DATA!T256</f>
        <v>1763076.0419999999</v>
      </c>
      <c r="F260" s="38">
        <f t="shared" si="68"/>
        <v>1763076.0419999999</v>
      </c>
      <c r="G260" s="112">
        <f t="shared" si="69"/>
        <v>0</v>
      </c>
      <c r="H260" s="132">
        <f t="shared" si="70"/>
        <v>1</v>
      </c>
      <c r="I260" s="6" t="str">
        <f t="shared" si="71"/>
        <v>NO</v>
      </c>
      <c r="J260" s="133">
        <f t="shared" si="72"/>
        <v>0</v>
      </c>
      <c r="K260" s="133">
        <f t="shared" si="73"/>
        <v>0</v>
      </c>
      <c r="L260" s="54">
        <f>IF(I260="SI",VLOOKUP(A260,DATA!$A$4:$D$350,4,0),0)</f>
        <v>0</v>
      </c>
      <c r="M260" s="132">
        <f>IF(I260="SI",VLOOKUP(A260,DATA!$A$4:$E$350,5,0),0)</f>
        <v>0</v>
      </c>
      <c r="N260" s="54">
        <f t="shared" si="74"/>
        <v>0</v>
      </c>
      <c r="O260" s="133">
        <f t="shared" si="75"/>
        <v>0</v>
      </c>
      <c r="P260" s="133">
        <f t="shared" si="76"/>
        <v>0</v>
      </c>
      <c r="Q260" s="31">
        <f>IF(I260="SI",VLOOKUP(A260,DATA!$A$4:$G$350,7,0),0)</f>
        <v>0</v>
      </c>
      <c r="R260" s="31">
        <f>IF(I260="SI",VLOOKUP(A260,DATA!$A$4:$H$350,8,0),0)</f>
        <v>0</v>
      </c>
      <c r="S260" s="133">
        <f t="shared" si="77"/>
        <v>0</v>
      </c>
      <c r="T260" s="133">
        <f t="shared" si="78"/>
        <v>0</v>
      </c>
      <c r="U260" s="133">
        <f t="shared" si="79"/>
        <v>0</v>
      </c>
      <c r="V260" s="31">
        <f>IF(I260="SI",VLOOKUP(A260,COEF_FCM!$A$8:$X$354,24,0),0)</f>
        <v>0</v>
      </c>
      <c r="W260" s="134">
        <f t="shared" si="80"/>
        <v>0</v>
      </c>
      <c r="X260" s="54">
        <f>IF(AND(W260&gt;0,W260&lt;$W$7),ROUND(($W$7-W260)*L260,PARAMETROS!$L$8),0)</f>
        <v>0</v>
      </c>
      <c r="Y260" s="135">
        <f t="shared" si="81"/>
        <v>0</v>
      </c>
      <c r="Z260" s="133">
        <f t="shared" si="82"/>
        <v>0</v>
      </c>
      <c r="AA260" s="96">
        <f t="shared" si="83"/>
        <v>0</v>
      </c>
      <c r="AB260" s="31">
        <f>ROUND(AA260*PARAMETROS!$H$24,0)</f>
        <v>0</v>
      </c>
      <c r="AC260" s="31">
        <f t="shared" si="84"/>
        <v>0</v>
      </c>
      <c r="AD260" s="31">
        <f t="shared" si="85"/>
        <v>0</v>
      </c>
      <c r="AE260" s="31">
        <f t="shared" si="89"/>
        <v>0</v>
      </c>
      <c r="AF260" s="31">
        <f t="shared" si="89"/>
        <v>0</v>
      </c>
      <c r="AG260" s="31">
        <f t="shared" si="86"/>
        <v>0</v>
      </c>
    </row>
    <row r="261" spans="1:33" ht="3" customHeight="1" x14ac:dyDescent="0.25">
      <c r="A261">
        <v>12301</v>
      </c>
      <c r="B261">
        <v>12301</v>
      </c>
      <c r="C261" t="s">
        <v>270</v>
      </c>
      <c r="D261" s="31">
        <f>+DATA!O257</f>
        <v>1751515</v>
      </c>
      <c r="E261" s="31">
        <f>+DATA!T257</f>
        <v>2560597.375</v>
      </c>
      <c r="F261" s="38">
        <f t="shared" si="68"/>
        <v>4312112.375</v>
      </c>
      <c r="G261" s="112">
        <f t="shared" si="69"/>
        <v>0.20200000000000001</v>
      </c>
      <c r="H261" s="95">
        <f t="shared" si="70"/>
        <v>0.59379999999999999</v>
      </c>
      <c r="I261" s="6" t="str">
        <f t="shared" si="71"/>
        <v>SI</v>
      </c>
      <c r="J261" s="117">
        <f t="shared" si="72"/>
        <v>3.3112582781000001E-3</v>
      </c>
      <c r="K261" s="117">
        <f t="shared" si="73"/>
        <v>1.6556291390500001E-3</v>
      </c>
      <c r="L261" s="31">
        <f>IF(I261="SI",VLOOKUP(A261,DATA!$A$4:$D$350,4,0),0)</f>
        <v>7637</v>
      </c>
      <c r="M261" s="95">
        <f>IF(I261="SI",VLOOKUP(A261,DATA!$A$4:$E$350,5,0),0)</f>
        <v>3.6274869319115513E-2</v>
      </c>
      <c r="N261" s="31">
        <f t="shared" si="74"/>
        <v>277</v>
      </c>
      <c r="O261" s="117">
        <f t="shared" si="75"/>
        <v>3.3536936029999998E-4</v>
      </c>
      <c r="P261" s="117">
        <f t="shared" si="76"/>
        <v>3.3536935999999999E-5</v>
      </c>
      <c r="Q261" s="31">
        <f>IF(I261="SI",VLOOKUP(A261,DATA!$A$4:$G$350,7,0),0)</f>
        <v>3375</v>
      </c>
      <c r="R261" s="31">
        <f>IF(I261="SI",VLOOKUP(A261,DATA!$A$4:$H$350,8,0),0)</f>
        <v>3375</v>
      </c>
      <c r="S261" s="117">
        <f t="shared" si="77"/>
        <v>9.8494191620000001E-4</v>
      </c>
      <c r="T261" s="117">
        <f t="shared" si="78"/>
        <v>1.2885665132689338E-3</v>
      </c>
      <c r="U261" s="117">
        <f t="shared" si="79"/>
        <v>2.5771330270000001E-4</v>
      </c>
      <c r="V261" s="31">
        <f>IF(I261="SI",VLOOKUP(A261,COEF_FCM!$A$8:$X$354,24,0),0)</f>
        <v>1751515</v>
      </c>
      <c r="W261" s="121">
        <f t="shared" si="80"/>
        <v>229.35</v>
      </c>
      <c r="X261" s="31">
        <f>IF(AND(W261&gt;0,W261&lt;$W$7),ROUND(($W$7-W261)*L261,PARAMETROS!$L$8),0)</f>
        <v>0</v>
      </c>
      <c r="Y261" s="122">
        <f t="shared" si="81"/>
        <v>0</v>
      </c>
      <c r="Z261" s="117">
        <f t="shared" si="82"/>
        <v>0</v>
      </c>
      <c r="AA261" s="96">
        <f t="shared" si="83"/>
        <v>1.94687937775E-3</v>
      </c>
      <c r="AB261" s="31">
        <f>ROUND(AA261*PARAMETROS!$H$24,0)</f>
        <v>334118572</v>
      </c>
      <c r="AC261" s="31">
        <f t="shared" si="84"/>
        <v>334118572</v>
      </c>
      <c r="AD261" s="31">
        <f t="shared" si="85"/>
        <v>83529643</v>
      </c>
      <c r="AE261" s="31">
        <f t="shared" si="89"/>
        <v>83529643</v>
      </c>
      <c r="AF261" s="31">
        <f t="shared" si="89"/>
        <v>83529643</v>
      </c>
      <c r="AG261" s="31">
        <f t="shared" si="86"/>
        <v>83529643</v>
      </c>
    </row>
    <row r="262" spans="1:33" ht="3" customHeight="1" x14ac:dyDescent="0.25">
      <c r="A262">
        <v>12302</v>
      </c>
      <c r="B262">
        <v>12302</v>
      </c>
      <c r="C262" t="s">
        <v>271</v>
      </c>
      <c r="D262" s="31">
        <f>+DATA!O258</f>
        <v>224666</v>
      </c>
      <c r="E262" s="31">
        <f>+DATA!T258</f>
        <v>1844267.0689999999</v>
      </c>
      <c r="F262" s="38">
        <f t="shared" si="68"/>
        <v>2068933.0689999999</v>
      </c>
      <c r="G262" s="112">
        <f t="shared" si="69"/>
        <v>1.0999999999999999E-2</v>
      </c>
      <c r="H262" s="95">
        <f t="shared" si="70"/>
        <v>0.89139999999999997</v>
      </c>
      <c r="I262" s="6" t="str">
        <f t="shared" si="71"/>
        <v>SI</v>
      </c>
      <c r="J262" s="117">
        <f t="shared" si="72"/>
        <v>3.3112582781000001E-3</v>
      </c>
      <c r="K262" s="117">
        <f t="shared" si="73"/>
        <v>1.6556291390500001E-3</v>
      </c>
      <c r="L262" s="31">
        <f>IF(I262="SI",VLOOKUP(A262,DATA!$A$4:$D$350,4,0),0)</f>
        <v>674</v>
      </c>
      <c r="M262" s="95">
        <f>IF(I262="SI",VLOOKUP(A262,DATA!$A$4:$E$350,5,0),0)</f>
        <v>1.296169787156448E-2</v>
      </c>
      <c r="N262" s="31">
        <f t="shared" si="74"/>
        <v>9</v>
      </c>
      <c r="O262" s="117">
        <f t="shared" si="75"/>
        <v>1.08964774E-5</v>
      </c>
      <c r="P262" s="117">
        <f t="shared" si="76"/>
        <v>1.0896476999999999E-6</v>
      </c>
      <c r="Q262" s="31">
        <f>IF(I262="SI",VLOOKUP(A262,DATA!$A$4:$G$350,7,0),0)</f>
        <v>370</v>
      </c>
      <c r="R262" s="31">
        <f>IF(I262="SI",VLOOKUP(A262,DATA!$A$4:$H$350,8,0),0)</f>
        <v>370</v>
      </c>
      <c r="S262" s="117">
        <f t="shared" si="77"/>
        <v>1.079788175E-4</v>
      </c>
      <c r="T262" s="117">
        <f t="shared" si="78"/>
        <v>1.4126506962936942E-4</v>
      </c>
      <c r="U262" s="117">
        <f t="shared" si="79"/>
        <v>2.8253013899999999E-5</v>
      </c>
      <c r="V262" s="31">
        <f>IF(I262="SI",VLOOKUP(A262,COEF_FCM!$A$8:$X$354,24,0),0)</f>
        <v>224666</v>
      </c>
      <c r="W262" s="121">
        <f t="shared" si="80"/>
        <v>333.33</v>
      </c>
      <c r="X262" s="31">
        <f>IF(AND(W262&gt;0,W262&lt;$W$7),ROUND(($W$7-W262)*L262,PARAMETROS!$L$8),0)</f>
        <v>0</v>
      </c>
      <c r="Y262" s="122">
        <f t="shared" si="81"/>
        <v>0</v>
      </c>
      <c r="Z262" s="117">
        <f t="shared" si="82"/>
        <v>0</v>
      </c>
      <c r="AA262" s="96">
        <f t="shared" si="83"/>
        <v>1.6849718006500002E-3</v>
      </c>
      <c r="AB262" s="31">
        <f>ROUND(AA262*PARAMETROS!$H$24,0)</f>
        <v>289170648</v>
      </c>
      <c r="AC262" s="31">
        <f t="shared" si="84"/>
        <v>289170648</v>
      </c>
      <c r="AD262" s="31">
        <f t="shared" si="85"/>
        <v>72292662</v>
      </c>
      <c r="AE262" s="31">
        <f t="shared" si="89"/>
        <v>72292662</v>
      </c>
      <c r="AF262" s="31">
        <f t="shared" si="89"/>
        <v>72292662</v>
      </c>
      <c r="AG262" s="31">
        <f t="shared" si="86"/>
        <v>72292662</v>
      </c>
    </row>
    <row r="263" spans="1:33" ht="3" customHeight="1" x14ac:dyDescent="0.25">
      <c r="A263">
        <v>12303</v>
      </c>
      <c r="B263">
        <v>12304</v>
      </c>
      <c r="C263" t="s">
        <v>272</v>
      </c>
      <c r="D263" s="31">
        <f>+DATA!O259</f>
        <v>123098</v>
      </c>
      <c r="E263" s="31">
        <f>+DATA!T259</f>
        <v>1890109.459</v>
      </c>
      <c r="F263" s="38">
        <f t="shared" si="68"/>
        <v>2013207.459</v>
      </c>
      <c r="G263" s="112">
        <f t="shared" si="69"/>
        <v>2E-3</v>
      </c>
      <c r="H263" s="95">
        <f t="shared" si="70"/>
        <v>0.93889999999999996</v>
      </c>
      <c r="I263" s="6" t="str">
        <f t="shared" si="71"/>
        <v>SI</v>
      </c>
      <c r="J263" s="117">
        <f t="shared" si="72"/>
        <v>3.3112582781000001E-3</v>
      </c>
      <c r="K263" s="117">
        <f t="shared" si="73"/>
        <v>1.6556291390500001E-3</v>
      </c>
      <c r="L263" s="31">
        <f>IF(I263="SI",VLOOKUP(A263,DATA!$A$4:$D$350,4,0),0)</f>
        <v>276</v>
      </c>
      <c r="M263" s="95">
        <f>IF(I263="SI",VLOOKUP(A263,DATA!$A$4:$E$350,5,0),0)</f>
        <v>6.4338861858849253E-2</v>
      </c>
      <c r="N263" s="31">
        <f t="shared" si="74"/>
        <v>18</v>
      </c>
      <c r="O263" s="117">
        <f t="shared" si="75"/>
        <v>2.17929548E-5</v>
      </c>
      <c r="P263" s="117">
        <f t="shared" si="76"/>
        <v>2.1792954999999998E-6</v>
      </c>
      <c r="Q263" s="31">
        <f>IF(I263="SI",VLOOKUP(A263,DATA!$A$4:$G$350,7,0),0)</f>
        <v>319</v>
      </c>
      <c r="R263" s="31">
        <f>IF(I263="SI",VLOOKUP(A263,DATA!$A$4:$H$350,8,0),0)</f>
        <v>319</v>
      </c>
      <c r="S263" s="117">
        <f t="shared" si="77"/>
        <v>9.3095250700000001E-5</v>
      </c>
      <c r="T263" s="117">
        <f t="shared" si="78"/>
        <v>1.2179339778655291E-4</v>
      </c>
      <c r="U263" s="117">
        <f t="shared" si="79"/>
        <v>2.43586796E-5</v>
      </c>
      <c r="V263" s="31">
        <f>IF(I263="SI",VLOOKUP(A263,COEF_FCM!$A$8:$X$354,24,0),0)</f>
        <v>123098</v>
      </c>
      <c r="W263" s="121">
        <f t="shared" si="80"/>
        <v>446.01</v>
      </c>
      <c r="X263" s="31">
        <f>IF(AND(W263&gt;0,W263&lt;$W$7),ROUND(($W$7-W263)*L263,PARAMETROS!$L$8),0)</f>
        <v>0</v>
      </c>
      <c r="Y263" s="122">
        <f t="shared" si="81"/>
        <v>0</v>
      </c>
      <c r="Z263" s="117">
        <f t="shared" si="82"/>
        <v>0</v>
      </c>
      <c r="AA263" s="96">
        <f t="shared" si="83"/>
        <v>1.68216711415E-3</v>
      </c>
      <c r="AB263" s="31">
        <f>ROUND(AA263*PARAMETROS!$H$24,0)</f>
        <v>288689315</v>
      </c>
      <c r="AC263" s="31">
        <f t="shared" si="84"/>
        <v>288689315</v>
      </c>
      <c r="AD263" s="31">
        <f t="shared" si="85"/>
        <v>72172329</v>
      </c>
      <c r="AE263" s="31">
        <f t="shared" si="89"/>
        <v>72172329</v>
      </c>
      <c r="AF263" s="31">
        <f t="shared" si="89"/>
        <v>72172329</v>
      </c>
      <c r="AG263" s="31">
        <f t="shared" si="86"/>
        <v>72172328</v>
      </c>
    </row>
    <row r="264" spans="1:33" ht="3" customHeight="1" x14ac:dyDescent="0.25">
      <c r="A264">
        <v>12401</v>
      </c>
      <c r="B264">
        <v>12101</v>
      </c>
      <c r="C264" t="s">
        <v>266</v>
      </c>
      <c r="D264" s="31">
        <f>+DATA!O260</f>
        <v>5355782</v>
      </c>
      <c r="E264" s="31">
        <f>+DATA!T260</f>
        <v>5677577.3760000002</v>
      </c>
      <c r="F264" s="38">
        <f t="shared" si="68"/>
        <v>11033359.376</v>
      </c>
      <c r="G264" s="112">
        <f t="shared" si="69"/>
        <v>0.62</v>
      </c>
      <c r="H264" s="95">
        <f t="shared" si="70"/>
        <v>0.51459999999999995</v>
      </c>
      <c r="I264" s="6" t="str">
        <f t="shared" si="71"/>
        <v>SI</v>
      </c>
      <c r="J264" s="117">
        <f t="shared" si="72"/>
        <v>3.3112582781000001E-3</v>
      </c>
      <c r="K264" s="117">
        <f t="shared" si="73"/>
        <v>1.6556291390500001E-3</v>
      </c>
      <c r="L264" s="31">
        <f>IF(I264="SI",VLOOKUP(A264,DATA!$A$4:$D$350,4,0),0)</f>
        <v>24631</v>
      </c>
      <c r="M264" s="95">
        <f>IF(I264="SI",VLOOKUP(A264,DATA!$A$4:$E$350,5,0),0)</f>
        <v>3.103493984765365E-2</v>
      </c>
      <c r="N264" s="31">
        <f t="shared" si="74"/>
        <v>764</v>
      </c>
      <c r="O264" s="117">
        <f t="shared" si="75"/>
        <v>9.2498986019999997E-4</v>
      </c>
      <c r="P264" s="117">
        <f t="shared" si="76"/>
        <v>9.2498985999999998E-5</v>
      </c>
      <c r="Q264" s="31">
        <f>IF(I264="SI",VLOOKUP(A264,DATA!$A$4:$G$350,7,0),0)</f>
        <v>8755</v>
      </c>
      <c r="R264" s="31">
        <f>IF(I264="SI",VLOOKUP(A264,DATA!$A$4:$H$350,8,0),0)</f>
        <v>12189</v>
      </c>
      <c r="S264" s="117">
        <f t="shared" si="77"/>
        <v>1.8351901380000001E-3</v>
      </c>
      <c r="T264" s="117">
        <f t="shared" si="78"/>
        <v>2.4009177784124376E-3</v>
      </c>
      <c r="U264" s="117">
        <f t="shared" si="79"/>
        <v>4.8018355569999998E-4</v>
      </c>
      <c r="V264" s="31">
        <f>IF(I264="SI",VLOOKUP(A264,COEF_FCM!$A$8:$X$354,24,0),0)</f>
        <v>5355782</v>
      </c>
      <c r="W264" s="121">
        <f t="shared" si="80"/>
        <v>217.44</v>
      </c>
      <c r="X264" s="31">
        <f>IF(AND(W264&gt;0,W264&lt;$W$7),ROUND(($W$7-W264)*L264,PARAMETROS!$L$8),0)</f>
        <v>0</v>
      </c>
      <c r="Y264" s="122">
        <f t="shared" si="81"/>
        <v>0</v>
      </c>
      <c r="Z264" s="117">
        <f t="shared" si="82"/>
        <v>0</v>
      </c>
      <c r="AA264" s="96">
        <f t="shared" si="83"/>
        <v>2.22831168075E-3</v>
      </c>
      <c r="AB264" s="31">
        <f>ROUND(AA264*PARAMETROS!$H$24,0)</f>
        <v>382417280</v>
      </c>
      <c r="AC264" s="31">
        <f t="shared" si="84"/>
        <v>382417280</v>
      </c>
      <c r="AD264" s="31">
        <f t="shared" si="85"/>
        <v>95604320</v>
      </c>
      <c r="AE264" s="31">
        <f t="shared" si="89"/>
        <v>95604320</v>
      </c>
      <c r="AF264" s="31">
        <f t="shared" si="89"/>
        <v>95604320</v>
      </c>
      <c r="AG264" s="31">
        <f t="shared" si="86"/>
        <v>95604320</v>
      </c>
    </row>
    <row r="265" spans="1:33" ht="3" customHeight="1" x14ac:dyDescent="0.25">
      <c r="A265">
        <v>12402</v>
      </c>
      <c r="B265">
        <v>12103</v>
      </c>
      <c r="C265" t="s">
        <v>321</v>
      </c>
      <c r="D265" s="31">
        <f>+DATA!O261</f>
        <v>539323</v>
      </c>
      <c r="E265" s="31">
        <f>+DATA!T261</f>
        <v>1796414.9040000001</v>
      </c>
      <c r="F265" s="38">
        <f t="shared" ref="F265:F328" si="90">+D265+E265</f>
        <v>2335737.9040000001</v>
      </c>
      <c r="G265" s="112">
        <f t="shared" ref="G265:G328" si="91">_xlfn.PERCENTRANK.INC($F$9:$F$354,F265,3)</f>
        <v>2.5999999999999999E-2</v>
      </c>
      <c r="H265" s="95">
        <f t="shared" ref="H265:H328" si="92">IFERROR(ROUND(E265/F265,4),0)</f>
        <v>0.76910000000000001</v>
      </c>
      <c r="I265" s="6" t="str">
        <f t="shared" ref="I265:I328" si="93">IF(D265=0,"NO",IF(OR(G265&lt;=$G$7,H265&gt;$H$7),"SI","NO"))</f>
        <v>SI</v>
      </c>
      <c r="J265" s="117">
        <f t="shared" ref="J265:J328" si="94">IF(I265="SI",ROUND(1/$I$7,DEC),0)</f>
        <v>3.3112582781000001E-3</v>
      </c>
      <c r="K265" s="117">
        <f t="shared" ref="K265:K328" si="95">+J265*$K$7</f>
        <v>1.6556291390500001E-3</v>
      </c>
      <c r="L265" s="31">
        <f>IF(I265="SI",VLOOKUP(A265,DATA!$A$4:$D$350,4,0),0)</f>
        <v>1081</v>
      </c>
      <c r="M265" s="95">
        <f>IF(I265="SI",VLOOKUP(A265,DATA!$A$4:$E$350,5,0),0)</f>
        <v>5.2711745351444891E-2</v>
      </c>
      <c r="N265" s="31">
        <f t="shared" ref="N265:N328" si="96">ROUND(L265*M265,0)</f>
        <v>57</v>
      </c>
      <c r="O265" s="117">
        <f t="shared" ref="O265:O328" si="97">ROUND(N265/$N$7,DEC)</f>
        <v>6.90110236E-5</v>
      </c>
      <c r="P265" s="117">
        <f t="shared" ref="P265:P328" si="98">ROUND(O265*$P$7,DEC)</f>
        <v>6.9011024000000001E-6</v>
      </c>
      <c r="Q265" s="31">
        <f>IF(I265="SI",VLOOKUP(A265,DATA!$A$4:$G$350,7,0),0)</f>
        <v>135</v>
      </c>
      <c r="R265" s="31">
        <f>IF(I265="SI",VLOOKUP(A265,DATA!$A$4:$H$350,8,0),0)</f>
        <v>270</v>
      </c>
      <c r="S265" s="117">
        <f t="shared" ref="S265:S328" si="99">IF(R265=0,0,ROUND((Q265/$Q$7)*(Q265/R265),DEC))</f>
        <v>1.9698838300000001E-5</v>
      </c>
      <c r="T265" s="117">
        <f t="shared" ref="T265:T328" si="100">+S265/$S$7</f>
        <v>2.5771330233980279E-5</v>
      </c>
      <c r="U265" s="117">
        <f t="shared" ref="U265:U328" si="101">ROUND(T265*$U$7,DEC)</f>
        <v>5.1542660000000003E-6</v>
      </c>
      <c r="V265" s="31">
        <f>IF(I265="SI",VLOOKUP(A265,COEF_FCM!$A$8:$X$354,24,0),0)</f>
        <v>539323</v>
      </c>
      <c r="W265" s="121">
        <f t="shared" ref="W265:W328" si="102">IFERROR(ROUND(V265/L265,2),0)</f>
        <v>498.91</v>
      </c>
      <c r="X265" s="31">
        <f>IF(AND(W265&gt;0,W265&lt;$W$7),ROUND(($W$7-W265)*L265,PARAMETROS!$L$8),0)</f>
        <v>0</v>
      </c>
      <c r="Y265" s="122">
        <f t="shared" ref="Y265:Y328" si="103">ROUND(X265/$X$7,DEC)</f>
        <v>0</v>
      </c>
      <c r="Z265" s="117">
        <f t="shared" ref="Z265:Z328" si="104">ROUND(Y265*$Z$7,DEC)</f>
        <v>0</v>
      </c>
      <c r="AA265" s="96">
        <f t="shared" ref="AA265:AA328" si="105">+K265+P265+U265+Z265</f>
        <v>1.6676845074500002E-3</v>
      </c>
      <c r="AB265" s="31">
        <f>ROUND(AA265*PARAMETROS!$H$24,0)</f>
        <v>286203846</v>
      </c>
      <c r="AC265" s="31">
        <f t="shared" ref="AC265:AC328" si="106">IF(AB265=$AC$6,AB265+$AC$5,AB265)</f>
        <v>286203846</v>
      </c>
      <c r="AD265" s="31">
        <f t="shared" ref="AD265:AD328" si="107">ROUND(AC265/4,0)</f>
        <v>71550962</v>
      </c>
      <c r="AE265" s="31">
        <f t="shared" si="89"/>
        <v>71550962</v>
      </c>
      <c r="AF265" s="31">
        <f t="shared" si="89"/>
        <v>71550962</v>
      </c>
      <c r="AG265" s="31">
        <f t="shared" ref="AG265:AG328" si="108">+AC265-AD265-AE265-AF265</f>
        <v>71550960</v>
      </c>
    </row>
    <row r="266" spans="1:33" ht="3" customHeight="1" x14ac:dyDescent="0.25">
      <c r="A266">
        <v>13101</v>
      </c>
      <c r="B266">
        <v>13101</v>
      </c>
      <c r="C266" t="s">
        <v>274</v>
      </c>
      <c r="D266" s="31">
        <f>+DATA!O262</f>
        <v>123162816</v>
      </c>
      <c r="E266" s="31">
        <f>+DATA!T262</f>
        <v>14431124.450999999</v>
      </c>
      <c r="F266" s="38">
        <f t="shared" si="90"/>
        <v>137593940.45100001</v>
      </c>
      <c r="G266" s="112">
        <f t="shared" si="91"/>
        <v>0.997</v>
      </c>
      <c r="H266" s="95">
        <f t="shared" si="92"/>
        <v>0.10489999999999999</v>
      </c>
      <c r="I266" s="6" t="str">
        <f t="shared" si="93"/>
        <v>NO</v>
      </c>
      <c r="J266" s="117">
        <f t="shared" si="94"/>
        <v>0</v>
      </c>
      <c r="K266" s="117">
        <f t="shared" si="95"/>
        <v>0</v>
      </c>
      <c r="L266" s="31">
        <f>IF(I266="SI",VLOOKUP(A266,DATA!$A$4:$D$350,4,0),0)</f>
        <v>0</v>
      </c>
      <c r="M266" s="95">
        <f>IF(I266="SI",VLOOKUP(A266,DATA!$A$4:$E$350,5,0),0)</f>
        <v>0</v>
      </c>
      <c r="N266" s="31">
        <f t="shared" si="96"/>
        <v>0</v>
      </c>
      <c r="O266" s="117">
        <f t="shared" si="97"/>
        <v>0</v>
      </c>
      <c r="P266" s="117">
        <f t="shared" si="98"/>
        <v>0</v>
      </c>
      <c r="Q266" s="31">
        <f>IF(I266="SI",VLOOKUP(A266,DATA!$A$4:$G$350,7,0),0)</f>
        <v>0</v>
      </c>
      <c r="R266" s="31">
        <f>IF(I266="SI",VLOOKUP(A266,DATA!$A$4:$H$350,8,0),0)</f>
        <v>0</v>
      </c>
      <c r="S266" s="117">
        <f t="shared" si="99"/>
        <v>0</v>
      </c>
      <c r="T266" s="117">
        <f t="shared" si="100"/>
        <v>0</v>
      </c>
      <c r="U266" s="117">
        <f t="shared" si="101"/>
        <v>0</v>
      </c>
      <c r="V266" s="31">
        <f>IF(I266="SI",VLOOKUP(A266,COEF_FCM!$A$8:$X$354,24,0),0)</f>
        <v>0</v>
      </c>
      <c r="W266" s="121">
        <f t="shared" si="102"/>
        <v>0</v>
      </c>
      <c r="X266" s="31">
        <f>IF(AND(W266&gt;0,W266&lt;$W$7),ROUND(($W$7-W266)*L266,PARAMETROS!$L$8),0)</f>
        <v>0</v>
      </c>
      <c r="Y266" s="122">
        <f t="shared" si="103"/>
        <v>0</v>
      </c>
      <c r="Z266" s="117">
        <f t="shared" si="104"/>
        <v>0</v>
      </c>
      <c r="AA266" s="96">
        <f t="shared" si="105"/>
        <v>0</v>
      </c>
      <c r="AB266" s="31">
        <f>ROUND(AA266*PARAMETROS!$H$24,0)</f>
        <v>0</v>
      </c>
      <c r="AC266" s="31">
        <f t="shared" si="106"/>
        <v>0</v>
      </c>
      <c r="AD266" s="31">
        <f t="shared" si="107"/>
        <v>0</v>
      </c>
      <c r="AE266" s="31">
        <f t="shared" si="89"/>
        <v>0</v>
      </c>
      <c r="AF266" s="31">
        <f t="shared" si="89"/>
        <v>0</v>
      </c>
      <c r="AG266" s="31">
        <f t="shared" si="108"/>
        <v>0</v>
      </c>
    </row>
    <row r="267" spans="1:33" ht="3" customHeight="1" x14ac:dyDescent="0.25">
      <c r="A267">
        <v>13102</v>
      </c>
      <c r="B267">
        <v>13166</v>
      </c>
      <c r="C267" t="s">
        <v>298</v>
      </c>
      <c r="D267" s="31">
        <f>+DATA!O263</f>
        <v>19206241</v>
      </c>
      <c r="E267" s="31">
        <f>+DATA!T263</f>
        <v>5678382.8770000003</v>
      </c>
      <c r="F267" s="38">
        <f t="shared" si="90"/>
        <v>24884623.877</v>
      </c>
      <c r="G267" s="112">
        <f t="shared" si="91"/>
        <v>0.84</v>
      </c>
      <c r="H267" s="95">
        <f t="shared" si="92"/>
        <v>0.22819999999999999</v>
      </c>
      <c r="I267" s="6" t="str">
        <f t="shared" si="93"/>
        <v>NO</v>
      </c>
      <c r="J267" s="117">
        <f t="shared" si="94"/>
        <v>0</v>
      </c>
      <c r="K267" s="117">
        <f t="shared" si="95"/>
        <v>0</v>
      </c>
      <c r="L267" s="31">
        <f>IF(I267="SI",VLOOKUP(A267,DATA!$A$4:$D$350,4,0),0)</f>
        <v>0</v>
      </c>
      <c r="M267" s="95">
        <f>IF(I267="SI",VLOOKUP(A267,DATA!$A$4:$E$350,5,0),0)</f>
        <v>0</v>
      </c>
      <c r="N267" s="31">
        <f t="shared" si="96"/>
        <v>0</v>
      </c>
      <c r="O267" s="117">
        <f t="shared" si="97"/>
        <v>0</v>
      </c>
      <c r="P267" s="117">
        <f t="shared" si="98"/>
        <v>0</v>
      </c>
      <c r="Q267" s="31">
        <f>IF(I267="SI",VLOOKUP(A267,DATA!$A$4:$G$350,7,0),0)</f>
        <v>0</v>
      </c>
      <c r="R267" s="31">
        <f>IF(I267="SI",VLOOKUP(A267,DATA!$A$4:$H$350,8,0),0)</f>
        <v>0</v>
      </c>
      <c r="S267" s="117">
        <f t="shared" si="99"/>
        <v>0</v>
      </c>
      <c r="T267" s="117">
        <f t="shared" si="100"/>
        <v>0</v>
      </c>
      <c r="U267" s="117">
        <f t="shared" si="101"/>
        <v>0</v>
      </c>
      <c r="V267" s="31">
        <f>IF(I267="SI",VLOOKUP(A267,COEF_FCM!$A$8:$X$354,24,0),0)</f>
        <v>0</v>
      </c>
      <c r="W267" s="121">
        <f t="shared" si="102"/>
        <v>0</v>
      </c>
      <c r="X267" s="31">
        <f>IF(AND(W267&gt;0,W267&lt;$W$7),ROUND(($W$7-W267)*L267,PARAMETROS!$L$8),0)</f>
        <v>0</v>
      </c>
      <c r="Y267" s="122">
        <f t="shared" si="103"/>
        <v>0</v>
      </c>
      <c r="Z267" s="117">
        <f t="shared" si="104"/>
        <v>0</v>
      </c>
      <c r="AA267" s="96">
        <f t="shared" si="105"/>
        <v>0</v>
      </c>
      <c r="AB267" s="31">
        <f>ROUND(AA267*PARAMETROS!$H$24,0)</f>
        <v>0</v>
      </c>
      <c r="AC267" s="31">
        <f t="shared" si="106"/>
        <v>0</v>
      </c>
      <c r="AD267" s="31">
        <f t="shared" si="107"/>
        <v>0</v>
      </c>
      <c r="AE267" s="31">
        <f t="shared" si="89"/>
        <v>0</v>
      </c>
      <c r="AF267" s="31">
        <f t="shared" si="89"/>
        <v>0</v>
      </c>
      <c r="AG267" s="31">
        <f t="shared" si="108"/>
        <v>0</v>
      </c>
    </row>
    <row r="268" spans="1:33" ht="3" customHeight="1" x14ac:dyDescent="0.25">
      <c r="A268">
        <v>13103</v>
      </c>
      <c r="B268">
        <v>13156</v>
      </c>
      <c r="C268" t="s">
        <v>290</v>
      </c>
      <c r="D268" s="31">
        <f>+DATA!O264</f>
        <v>3525077</v>
      </c>
      <c r="E268" s="31">
        <f>+DATA!T264</f>
        <v>22522704.532000002</v>
      </c>
      <c r="F268" s="38">
        <f t="shared" si="90"/>
        <v>26047781.532000002</v>
      </c>
      <c r="G268" s="112">
        <f t="shared" si="91"/>
        <v>0.85499999999999998</v>
      </c>
      <c r="H268" s="95">
        <f t="shared" si="92"/>
        <v>0.86470000000000002</v>
      </c>
      <c r="I268" s="6" t="str">
        <f t="shared" si="93"/>
        <v>SI</v>
      </c>
      <c r="J268" s="117">
        <f t="shared" si="94"/>
        <v>3.3112582781000001E-3</v>
      </c>
      <c r="K268" s="117">
        <f t="shared" si="95"/>
        <v>1.6556291390500001E-3</v>
      </c>
      <c r="L268" s="31">
        <f>IF(I268="SI",VLOOKUP(A268,DATA!$A$4:$D$350,4,0),0)</f>
        <v>139632</v>
      </c>
      <c r="M268" s="95">
        <f>IF(I268="SI",VLOOKUP(A268,DATA!$A$4:$E$350,5,0),0)</f>
        <v>6.013533802509001E-2</v>
      </c>
      <c r="N268" s="31">
        <f t="shared" si="96"/>
        <v>8397</v>
      </c>
      <c r="O268" s="117">
        <f t="shared" si="97"/>
        <v>1.01664134245E-2</v>
      </c>
      <c r="P268" s="117">
        <f t="shared" si="98"/>
        <v>1.0166413424999999E-3</v>
      </c>
      <c r="Q268" s="31">
        <f>IF(I268="SI",VLOOKUP(A268,DATA!$A$4:$G$350,7,0),0)</f>
        <v>29720</v>
      </c>
      <c r="R268" s="31">
        <f>IF(I268="SI",VLOOKUP(A268,DATA!$A$4:$H$350,8,0),0)</f>
        <v>31334</v>
      </c>
      <c r="S268" s="117">
        <f t="shared" si="99"/>
        <v>8.2265665249999995E-3</v>
      </c>
      <c r="T268" s="117">
        <f t="shared" si="100"/>
        <v>1.0762541393498446E-2</v>
      </c>
      <c r="U268" s="117">
        <f t="shared" si="101"/>
        <v>2.1525082787000002E-3</v>
      </c>
      <c r="V268" s="31">
        <f>IF(I268="SI",VLOOKUP(A268,COEF_FCM!$A$8:$X$354,24,0),0)</f>
        <v>3525077</v>
      </c>
      <c r="W268" s="121">
        <f t="shared" si="102"/>
        <v>25.25</v>
      </c>
      <c r="X268" s="31">
        <f>IF(AND(W268&gt;0,W268&lt;$W$7),ROUND(($W$7-W268)*L268,PARAMETROS!$L$8),0)</f>
        <v>11395368</v>
      </c>
      <c r="Y268" s="122">
        <f t="shared" si="103"/>
        <v>4.1996455650500003E-2</v>
      </c>
      <c r="Z268" s="117">
        <f t="shared" si="104"/>
        <v>8.3992911300999999E-3</v>
      </c>
      <c r="AA268" s="96">
        <f t="shared" si="105"/>
        <v>1.322406989035E-2</v>
      </c>
      <c r="AB268" s="31">
        <f>ROUND(AA268*PARAMETROS!$H$24,0)</f>
        <v>2269481814</v>
      </c>
      <c r="AC268" s="31">
        <f t="shared" si="106"/>
        <v>2269481814</v>
      </c>
      <c r="AD268" s="31">
        <f t="shared" si="107"/>
        <v>567370454</v>
      </c>
      <c r="AE268" s="31">
        <f t="shared" si="89"/>
        <v>567370454</v>
      </c>
      <c r="AF268" s="31">
        <f t="shared" si="89"/>
        <v>567370454</v>
      </c>
      <c r="AG268" s="31">
        <f t="shared" si="108"/>
        <v>567370452</v>
      </c>
    </row>
    <row r="269" spans="1:33" ht="3" customHeight="1" x14ac:dyDescent="0.25">
      <c r="A269">
        <v>13104</v>
      </c>
      <c r="B269">
        <v>13127</v>
      </c>
      <c r="C269" t="s">
        <v>425</v>
      </c>
      <c r="D269" s="31">
        <f>+DATA!O265</f>
        <v>10751595</v>
      </c>
      <c r="E269" s="31">
        <f>+DATA!T265</f>
        <v>14581575.199999999</v>
      </c>
      <c r="F269" s="38">
        <f t="shared" si="90"/>
        <v>25333170.199999999</v>
      </c>
      <c r="G269" s="112">
        <f t="shared" si="91"/>
        <v>0.84899999999999998</v>
      </c>
      <c r="H269" s="95">
        <f t="shared" si="92"/>
        <v>0.5756</v>
      </c>
      <c r="I269" s="6" t="str">
        <f t="shared" si="93"/>
        <v>SI</v>
      </c>
      <c r="J269" s="117">
        <f t="shared" si="94"/>
        <v>3.3112582781000001E-3</v>
      </c>
      <c r="K269" s="117">
        <f t="shared" si="95"/>
        <v>1.6556291390500001E-3</v>
      </c>
      <c r="L269" s="31">
        <f>IF(I269="SI",VLOOKUP(A269,DATA!$A$4:$D$350,4,0),0)</f>
        <v>136674</v>
      </c>
      <c r="M269" s="95">
        <f>IF(I269="SI",VLOOKUP(A269,DATA!$A$4:$E$350,5,0),0)</f>
        <v>6.079947209369204E-2</v>
      </c>
      <c r="N269" s="31">
        <f t="shared" si="96"/>
        <v>8310</v>
      </c>
      <c r="O269" s="117">
        <f t="shared" si="97"/>
        <v>1.00610808095E-2</v>
      </c>
      <c r="P269" s="117">
        <f t="shared" si="98"/>
        <v>1.006108081E-3</v>
      </c>
      <c r="Q269" s="31">
        <f>IF(I269="SI",VLOOKUP(A269,DATA!$A$4:$G$350,7,0),0)</f>
        <v>30788</v>
      </c>
      <c r="R269" s="31">
        <f>IF(I269="SI",VLOOKUP(A269,DATA!$A$4:$H$350,8,0),0)</f>
        <v>35635</v>
      </c>
      <c r="S269" s="117">
        <f t="shared" si="99"/>
        <v>7.7628829094000002E-3</v>
      </c>
      <c r="T269" s="117">
        <f t="shared" si="100"/>
        <v>1.0155919652676626E-2</v>
      </c>
      <c r="U269" s="117">
        <f t="shared" si="101"/>
        <v>2.0311839305000002E-3</v>
      </c>
      <c r="V269" s="31">
        <f>IF(I269="SI",VLOOKUP(A269,COEF_FCM!$A$8:$X$354,24,0),0)</f>
        <v>10751595</v>
      </c>
      <c r="W269" s="121">
        <f t="shared" si="102"/>
        <v>78.67</v>
      </c>
      <c r="X269" s="31">
        <f>IF(AND(W269&gt;0,W269&lt;$W$7),ROUND(($W$7-W269)*L269,PARAMETROS!$L$8),0)</f>
        <v>3852840</v>
      </c>
      <c r="Y269" s="122">
        <f t="shared" si="103"/>
        <v>1.4199245183499999E-2</v>
      </c>
      <c r="Z269" s="117">
        <f t="shared" si="104"/>
        <v>2.8398490367E-3</v>
      </c>
      <c r="AA269" s="96">
        <f t="shared" si="105"/>
        <v>7.5327701872500005E-3</v>
      </c>
      <c r="AB269" s="31">
        <f>ROUND(AA269*PARAMETROS!$H$24,0)</f>
        <v>1292755188</v>
      </c>
      <c r="AC269" s="31">
        <f t="shared" si="106"/>
        <v>1292755188</v>
      </c>
      <c r="AD269" s="31">
        <f t="shared" si="107"/>
        <v>323188797</v>
      </c>
      <c r="AE269" s="31">
        <f t="shared" ref="AE269:AF288" si="109">+AD269</f>
        <v>323188797</v>
      </c>
      <c r="AF269" s="31">
        <f t="shared" si="109"/>
        <v>323188797</v>
      </c>
      <c r="AG269" s="31">
        <f t="shared" si="108"/>
        <v>323188797</v>
      </c>
    </row>
    <row r="270" spans="1:33" ht="3" customHeight="1" x14ac:dyDescent="0.25">
      <c r="A270">
        <v>13105</v>
      </c>
      <c r="B270">
        <v>13165</v>
      </c>
      <c r="C270" t="s">
        <v>297</v>
      </c>
      <c r="D270" s="31">
        <f>+DATA!O266</f>
        <v>7132758</v>
      </c>
      <c r="E270" s="31">
        <f>+DATA!T266</f>
        <v>25107357.07</v>
      </c>
      <c r="F270" s="38">
        <f t="shared" si="90"/>
        <v>32240115.07</v>
      </c>
      <c r="G270" s="112">
        <f t="shared" si="91"/>
        <v>0.872</v>
      </c>
      <c r="H270" s="95">
        <f t="shared" si="92"/>
        <v>0.77880000000000005</v>
      </c>
      <c r="I270" s="6" t="str">
        <f t="shared" si="93"/>
        <v>SI</v>
      </c>
      <c r="J270" s="117">
        <f t="shared" si="94"/>
        <v>3.3112582781000001E-3</v>
      </c>
      <c r="K270" s="117">
        <f t="shared" si="95"/>
        <v>1.6556291390500001E-3</v>
      </c>
      <c r="L270" s="31">
        <f>IF(I270="SI",VLOOKUP(A270,DATA!$A$4:$D$350,4,0),0)</f>
        <v>169855</v>
      </c>
      <c r="M270" s="95">
        <f>IF(I270="SI",VLOOKUP(A270,DATA!$A$4:$E$350,5,0),0)</f>
        <v>6.1982372591245782E-2</v>
      </c>
      <c r="N270" s="31">
        <f t="shared" si="96"/>
        <v>10528</v>
      </c>
      <c r="O270" s="117">
        <f t="shared" si="97"/>
        <v>1.2746457131399999E-2</v>
      </c>
      <c r="P270" s="117">
        <f t="shared" si="98"/>
        <v>1.2746457131000001E-3</v>
      </c>
      <c r="Q270" s="31">
        <f>IF(I270="SI",VLOOKUP(A270,DATA!$A$4:$G$350,7,0),0)</f>
        <v>41097</v>
      </c>
      <c r="R270" s="31">
        <f>IF(I270="SI",VLOOKUP(A270,DATA!$A$4:$H$350,8,0),0)</f>
        <v>44118</v>
      </c>
      <c r="S270" s="117">
        <f t="shared" si="99"/>
        <v>1.11722660029E-2</v>
      </c>
      <c r="T270" s="117">
        <f t="shared" si="100"/>
        <v>1.4616301339079816E-2</v>
      </c>
      <c r="U270" s="117">
        <f t="shared" si="101"/>
        <v>2.9232602678000001E-3</v>
      </c>
      <c r="V270" s="31">
        <f>IF(I270="SI",VLOOKUP(A270,COEF_FCM!$A$8:$X$354,24,0),0)</f>
        <v>7132758</v>
      </c>
      <c r="W270" s="121">
        <f t="shared" si="102"/>
        <v>41.99</v>
      </c>
      <c r="X270" s="31">
        <f>IF(AND(W270&gt;0,W270&lt;$W$7),ROUND(($W$7-W270)*L270,PARAMETROS!$L$8),0)</f>
        <v>11018494</v>
      </c>
      <c r="Y270" s="122">
        <f t="shared" si="103"/>
        <v>4.0607525321299999E-2</v>
      </c>
      <c r="Z270" s="117">
        <f t="shared" si="104"/>
        <v>8.1215050643000004E-3</v>
      </c>
      <c r="AA270" s="96">
        <f t="shared" si="105"/>
        <v>1.397504018425E-2</v>
      </c>
      <c r="AB270" s="31">
        <f>ROUND(AA270*PARAMETROS!$H$24,0)</f>
        <v>2398361459</v>
      </c>
      <c r="AC270" s="31">
        <f t="shared" si="106"/>
        <v>2398361459</v>
      </c>
      <c r="AD270" s="31">
        <f t="shared" si="107"/>
        <v>599590365</v>
      </c>
      <c r="AE270" s="31">
        <f t="shared" si="109"/>
        <v>599590365</v>
      </c>
      <c r="AF270" s="31">
        <f t="shared" si="109"/>
        <v>599590365</v>
      </c>
      <c r="AG270" s="31">
        <f t="shared" si="108"/>
        <v>599590364</v>
      </c>
    </row>
    <row r="271" spans="1:33" ht="3" customHeight="1" x14ac:dyDescent="0.25">
      <c r="A271">
        <v>13106</v>
      </c>
      <c r="B271">
        <v>13157</v>
      </c>
      <c r="C271" t="s">
        <v>426</v>
      </c>
      <c r="D271" s="31">
        <f>+DATA!O267</f>
        <v>24368743</v>
      </c>
      <c r="E271" s="31">
        <f>+DATA!T267</f>
        <v>13094568.564999999</v>
      </c>
      <c r="F271" s="38">
        <f t="shared" si="90"/>
        <v>37463311.564999998</v>
      </c>
      <c r="G271" s="112">
        <f t="shared" si="91"/>
        <v>0.89800000000000002</v>
      </c>
      <c r="H271" s="95">
        <f t="shared" si="92"/>
        <v>0.34949999999999998</v>
      </c>
      <c r="I271" s="6" t="str">
        <f t="shared" si="93"/>
        <v>NO</v>
      </c>
      <c r="J271" s="117">
        <f t="shared" si="94"/>
        <v>0</v>
      </c>
      <c r="K271" s="117">
        <f t="shared" si="95"/>
        <v>0</v>
      </c>
      <c r="L271" s="31">
        <f>IF(I271="SI",VLOOKUP(A271,DATA!$A$4:$D$350,4,0),0)</f>
        <v>0</v>
      </c>
      <c r="M271" s="95">
        <f>IF(I271="SI",VLOOKUP(A271,DATA!$A$4:$E$350,5,0),0)</f>
        <v>0</v>
      </c>
      <c r="N271" s="31">
        <f t="shared" si="96"/>
        <v>0</v>
      </c>
      <c r="O271" s="117">
        <f t="shared" si="97"/>
        <v>0</v>
      </c>
      <c r="P271" s="117">
        <f t="shared" si="98"/>
        <v>0</v>
      </c>
      <c r="Q271" s="31">
        <f>IF(I271="SI",VLOOKUP(A271,DATA!$A$4:$G$350,7,0),0)</f>
        <v>0</v>
      </c>
      <c r="R271" s="31">
        <f>IF(I271="SI",VLOOKUP(A271,DATA!$A$4:$H$350,8,0),0)</f>
        <v>0</v>
      </c>
      <c r="S271" s="117">
        <f t="shared" si="99"/>
        <v>0</v>
      </c>
      <c r="T271" s="117">
        <f t="shared" si="100"/>
        <v>0</v>
      </c>
      <c r="U271" s="117">
        <f t="shared" si="101"/>
        <v>0</v>
      </c>
      <c r="V271" s="31">
        <f>IF(I271="SI",VLOOKUP(A271,COEF_FCM!$A$8:$X$354,24,0),0)</f>
        <v>0</v>
      </c>
      <c r="W271" s="121">
        <f t="shared" si="102"/>
        <v>0</v>
      </c>
      <c r="X271" s="31">
        <f>IF(AND(W271&gt;0,W271&lt;$W$7),ROUND(($W$7-W271)*L271,PARAMETROS!$L$8),0)</f>
        <v>0</v>
      </c>
      <c r="Y271" s="122">
        <f t="shared" si="103"/>
        <v>0</v>
      </c>
      <c r="Z271" s="117">
        <f t="shared" si="104"/>
        <v>0</v>
      </c>
      <c r="AA271" s="96">
        <f t="shared" si="105"/>
        <v>0</v>
      </c>
      <c r="AB271" s="31">
        <f>ROUND(AA271*PARAMETROS!$H$24,0)</f>
        <v>0</v>
      </c>
      <c r="AC271" s="31">
        <f t="shared" si="106"/>
        <v>0</v>
      </c>
      <c r="AD271" s="31">
        <f t="shared" si="107"/>
        <v>0</v>
      </c>
      <c r="AE271" s="31">
        <f t="shared" si="109"/>
        <v>0</v>
      </c>
      <c r="AF271" s="31">
        <f t="shared" si="109"/>
        <v>0</v>
      </c>
      <c r="AG271" s="31">
        <f t="shared" si="108"/>
        <v>0</v>
      </c>
    </row>
    <row r="272" spans="1:33" ht="3" customHeight="1" x14ac:dyDescent="0.25">
      <c r="A272">
        <v>13107</v>
      </c>
      <c r="B272">
        <v>13158</v>
      </c>
      <c r="C272" t="s">
        <v>291</v>
      </c>
      <c r="D272" s="31">
        <f>+DATA!O268</f>
        <v>43248367</v>
      </c>
      <c r="E272" s="31">
        <f>+DATA!T268</f>
        <v>4158652.588</v>
      </c>
      <c r="F272" s="38">
        <f t="shared" si="90"/>
        <v>47407019.588</v>
      </c>
      <c r="G272" s="112">
        <f t="shared" si="91"/>
        <v>0.91500000000000004</v>
      </c>
      <c r="H272" s="95">
        <f t="shared" si="92"/>
        <v>8.77E-2</v>
      </c>
      <c r="I272" s="6" t="str">
        <f t="shared" si="93"/>
        <v>NO</v>
      </c>
      <c r="J272" s="117">
        <f t="shared" si="94"/>
        <v>0</v>
      </c>
      <c r="K272" s="117">
        <f t="shared" si="95"/>
        <v>0</v>
      </c>
      <c r="L272" s="31">
        <f>IF(I272="SI",VLOOKUP(A272,DATA!$A$4:$D$350,4,0),0)</f>
        <v>0</v>
      </c>
      <c r="M272" s="95">
        <f>IF(I272="SI",VLOOKUP(A272,DATA!$A$4:$E$350,5,0),0)</f>
        <v>0</v>
      </c>
      <c r="N272" s="31">
        <f t="shared" si="96"/>
        <v>0</v>
      </c>
      <c r="O272" s="117">
        <f t="shared" si="97"/>
        <v>0</v>
      </c>
      <c r="P272" s="117">
        <f t="shared" si="98"/>
        <v>0</v>
      </c>
      <c r="Q272" s="31">
        <f>IF(I272="SI",VLOOKUP(A272,DATA!$A$4:$G$350,7,0),0)</f>
        <v>0</v>
      </c>
      <c r="R272" s="31">
        <f>IF(I272="SI",VLOOKUP(A272,DATA!$A$4:$H$350,8,0),0)</f>
        <v>0</v>
      </c>
      <c r="S272" s="117">
        <f t="shared" si="99"/>
        <v>0</v>
      </c>
      <c r="T272" s="117">
        <f t="shared" si="100"/>
        <v>0</v>
      </c>
      <c r="U272" s="117">
        <f t="shared" si="101"/>
        <v>0</v>
      </c>
      <c r="V272" s="31">
        <f>IF(I272="SI",VLOOKUP(A272,COEF_FCM!$A$8:$X$354,24,0),0)</f>
        <v>0</v>
      </c>
      <c r="W272" s="121">
        <f t="shared" si="102"/>
        <v>0</v>
      </c>
      <c r="X272" s="31">
        <f>IF(AND(W272&gt;0,W272&lt;$W$7),ROUND(($W$7-W272)*L272,PARAMETROS!$L$8),0)</f>
        <v>0</v>
      </c>
      <c r="Y272" s="122">
        <f t="shared" si="103"/>
        <v>0</v>
      </c>
      <c r="Z272" s="117">
        <f t="shared" si="104"/>
        <v>0</v>
      </c>
      <c r="AA272" s="96">
        <f t="shared" si="105"/>
        <v>0</v>
      </c>
      <c r="AB272" s="31">
        <f>ROUND(AA272*PARAMETROS!$H$24,0)</f>
        <v>0</v>
      </c>
      <c r="AC272" s="31">
        <f t="shared" si="106"/>
        <v>0</v>
      </c>
      <c r="AD272" s="31">
        <f t="shared" si="107"/>
        <v>0</v>
      </c>
      <c r="AE272" s="31">
        <f t="shared" si="109"/>
        <v>0</v>
      </c>
      <c r="AF272" s="31">
        <f t="shared" si="109"/>
        <v>0</v>
      </c>
      <c r="AG272" s="31">
        <f t="shared" si="108"/>
        <v>0</v>
      </c>
    </row>
    <row r="273" spans="1:33" ht="3" customHeight="1" x14ac:dyDescent="0.25">
      <c r="A273">
        <v>13108</v>
      </c>
      <c r="B273">
        <v>13167</v>
      </c>
      <c r="C273" t="s">
        <v>299</v>
      </c>
      <c r="D273" s="31">
        <f>+DATA!O269</f>
        <v>13577166</v>
      </c>
      <c r="E273" s="31">
        <f>+DATA!T269</f>
        <v>11479421.459000001</v>
      </c>
      <c r="F273" s="38">
        <f t="shared" si="90"/>
        <v>25056587.458999999</v>
      </c>
      <c r="G273" s="112">
        <f t="shared" si="91"/>
        <v>0.84599999999999997</v>
      </c>
      <c r="H273" s="95">
        <f t="shared" si="92"/>
        <v>0.45810000000000001</v>
      </c>
      <c r="I273" s="6" t="str">
        <f t="shared" si="93"/>
        <v>NO</v>
      </c>
      <c r="J273" s="117">
        <f t="shared" si="94"/>
        <v>0</v>
      </c>
      <c r="K273" s="117">
        <f t="shared" si="95"/>
        <v>0</v>
      </c>
      <c r="L273" s="31">
        <f>IF(I273="SI",VLOOKUP(A273,DATA!$A$4:$D$350,4,0),0)</f>
        <v>0</v>
      </c>
      <c r="M273" s="95">
        <f>IF(I273="SI",VLOOKUP(A273,DATA!$A$4:$E$350,5,0),0)</f>
        <v>0</v>
      </c>
      <c r="N273" s="31">
        <f t="shared" si="96"/>
        <v>0</v>
      </c>
      <c r="O273" s="117">
        <f t="shared" si="97"/>
        <v>0</v>
      </c>
      <c r="P273" s="117">
        <f t="shared" si="98"/>
        <v>0</v>
      </c>
      <c r="Q273" s="31">
        <f>IF(I273="SI",VLOOKUP(A273,DATA!$A$4:$G$350,7,0),0)</f>
        <v>0</v>
      </c>
      <c r="R273" s="31">
        <f>IF(I273="SI",VLOOKUP(A273,DATA!$A$4:$H$350,8,0),0)</f>
        <v>0</v>
      </c>
      <c r="S273" s="117">
        <f t="shared" si="99"/>
        <v>0</v>
      </c>
      <c r="T273" s="117">
        <f t="shared" si="100"/>
        <v>0</v>
      </c>
      <c r="U273" s="117">
        <f t="shared" si="101"/>
        <v>0</v>
      </c>
      <c r="V273" s="31">
        <f>IF(I273="SI",VLOOKUP(A273,COEF_FCM!$A$8:$X$354,24,0),0)</f>
        <v>0</v>
      </c>
      <c r="W273" s="121">
        <f t="shared" si="102"/>
        <v>0</v>
      </c>
      <c r="X273" s="31">
        <f>IF(AND(W273&gt;0,W273&lt;$W$7),ROUND(($W$7-W273)*L273,PARAMETROS!$L$8),0)</f>
        <v>0</v>
      </c>
      <c r="Y273" s="122">
        <f t="shared" si="103"/>
        <v>0</v>
      </c>
      <c r="Z273" s="117">
        <f t="shared" si="104"/>
        <v>0</v>
      </c>
      <c r="AA273" s="96">
        <f t="shared" si="105"/>
        <v>0</v>
      </c>
      <c r="AB273" s="31">
        <f>ROUND(AA273*PARAMETROS!$H$24,0)</f>
        <v>0</v>
      </c>
      <c r="AC273" s="31">
        <f t="shared" si="106"/>
        <v>0</v>
      </c>
      <c r="AD273" s="31">
        <f t="shared" si="107"/>
        <v>0</v>
      </c>
      <c r="AE273" s="31">
        <f t="shared" si="109"/>
        <v>0</v>
      </c>
      <c r="AF273" s="31">
        <f t="shared" si="109"/>
        <v>0</v>
      </c>
      <c r="AG273" s="31">
        <f t="shared" si="108"/>
        <v>0</v>
      </c>
    </row>
    <row r="274" spans="1:33" ht="3" customHeight="1" x14ac:dyDescent="0.25">
      <c r="A274">
        <v>13109</v>
      </c>
      <c r="B274">
        <v>13110</v>
      </c>
      <c r="C274" t="s">
        <v>280</v>
      </c>
      <c r="D274" s="31">
        <f>+DATA!O270</f>
        <v>11324057</v>
      </c>
      <c r="E274" s="31">
        <f>+DATA!T270</f>
        <v>7076496.3609999996</v>
      </c>
      <c r="F274" s="38">
        <f t="shared" si="90"/>
        <v>18400553.361000001</v>
      </c>
      <c r="G274" s="112">
        <f t="shared" si="91"/>
        <v>0.76500000000000001</v>
      </c>
      <c r="H274" s="95">
        <f t="shared" si="92"/>
        <v>0.3846</v>
      </c>
      <c r="I274" s="6" t="str">
        <f t="shared" si="93"/>
        <v>SI</v>
      </c>
      <c r="J274" s="117">
        <f t="shared" si="94"/>
        <v>3.3112582781000001E-3</v>
      </c>
      <c r="K274" s="117">
        <f t="shared" si="95"/>
        <v>1.6556291390500001E-3</v>
      </c>
      <c r="L274" s="31">
        <f>IF(I274="SI",VLOOKUP(A274,DATA!$A$4:$D$350,4,0),0)</f>
        <v>101401</v>
      </c>
      <c r="M274" s="95">
        <f>IF(I274="SI",VLOOKUP(A274,DATA!$A$4:$E$350,5,0),0)</f>
        <v>4.0923128577127467E-2</v>
      </c>
      <c r="N274" s="31">
        <f t="shared" si="96"/>
        <v>4150</v>
      </c>
      <c r="O274" s="117">
        <f t="shared" si="97"/>
        <v>5.0244868061999999E-3</v>
      </c>
      <c r="P274" s="117">
        <f t="shared" si="98"/>
        <v>5.0244868060000003E-4</v>
      </c>
      <c r="Q274" s="31">
        <f>IF(I274="SI",VLOOKUP(A274,DATA!$A$4:$G$350,7,0),0)</f>
        <v>31955</v>
      </c>
      <c r="R274" s="31">
        <f>IF(I274="SI",VLOOKUP(A274,DATA!$A$4:$H$350,8,0),0)</f>
        <v>53252</v>
      </c>
      <c r="S274" s="117">
        <f t="shared" si="99"/>
        <v>5.5960110497999998E-3</v>
      </c>
      <c r="T274" s="117">
        <f t="shared" si="100"/>
        <v>7.3210737892801759E-3</v>
      </c>
      <c r="U274" s="117">
        <f t="shared" si="101"/>
        <v>1.4642147579000001E-3</v>
      </c>
      <c r="V274" s="31">
        <f>IF(I274="SI",VLOOKUP(A274,COEF_FCM!$A$8:$X$354,24,0),0)</f>
        <v>11324057</v>
      </c>
      <c r="W274" s="121">
        <f t="shared" si="102"/>
        <v>111.68</v>
      </c>
      <c r="X274" s="31">
        <f>IF(AND(W274&gt;0,W274&lt;$W$7),ROUND(($W$7-W274)*L274,PARAMETROS!$L$8),0)</f>
        <v>0</v>
      </c>
      <c r="Y274" s="122">
        <f t="shared" si="103"/>
        <v>0</v>
      </c>
      <c r="Z274" s="117">
        <f t="shared" si="104"/>
        <v>0</v>
      </c>
      <c r="AA274" s="96">
        <f t="shared" si="105"/>
        <v>3.6222925775500001E-3</v>
      </c>
      <c r="AB274" s="31">
        <f>ROUND(AA274*PARAMETROS!$H$24,0)</f>
        <v>621648796</v>
      </c>
      <c r="AC274" s="31">
        <f t="shared" si="106"/>
        <v>621648796</v>
      </c>
      <c r="AD274" s="31">
        <f t="shared" si="107"/>
        <v>155412199</v>
      </c>
      <c r="AE274" s="31">
        <f t="shared" si="109"/>
        <v>155412199</v>
      </c>
      <c r="AF274" s="31">
        <f t="shared" si="109"/>
        <v>155412199</v>
      </c>
      <c r="AG274" s="31">
        <f t="shared" si="108"/>
        <v>155412199</v>
      </c>
    </row>
    <row r="275" spans="1:33" ht="3" customHeight="1" x14ac:dyDescent="0.25">
      <c r="A275">
        <v>13110</v>
      </c>
      <c r="B275">
        <v>13128</v>
      </c>
      <c r="C275" t="s">
        <v>284</v>
      </c>
      <c r="D275" s="31">
        <f>+DATA!O271</f>
        <v>47231246</v>
      </c>
      <c r="E275" s="31">
        <f>+DATA!T271</f>
        <v>39278763.813000001</v>
      </c>
      <c r="F275" s="38">
        <f t="shared" si="90"/>
        <v>86510009.812999994</v>
      </c>
      <c r="G275" s="112">
        <f t="shared" si="91"/>
        <v>0.97299999999999998</v>
      </c>
      <c r="H275" s="95">
        <f t="shared" si="92"/>
        <v>0.45400000000000001</v>
      </c>
      <c r="I275" s="6" t="str">
        <f t="shared" si="93"/>
        <v>NO</v>
      </c>
      <c r="J275" s="117">
        <f t="shared" si="94"/>
        <v>0</v>
      </c>
      <c r="K275" s="117">
        <f t="shared" si="95"/>
        <v>0</v>
      </c>
      <c r="L275" s="31">
        <f>IF(I275="SI",VLOOKUP(A275,DATA!$A$4:$D$350,4,0),0)</f>
        <v>0</v>
      </c>
      <c r="M275" s="95">
        <f>IF(I275="SI",VLOOKUP(A275,DATA!$A$4:$E$350,5,0),0)</f>
        <v>0</v>
      </c>
      <c r="N275" s="31">
        <f t="shared" si="96"/>
        <v>0</v>
      </c>
      <c r="O275" s="117">
        <f t="shared" si="97"/>
        <v>0</v>
      </c>
      <c r="P275" s="117">
        <f t="shared" si="98"/>
        <v>0</v>
      </c>
      <c r="Q275" s="31">
        <f>IF(I275="SI",VLOOKUP(A275,DATA!$A$4:$G$350,7,0),0)</f>
        <v>0</v>
      </c>
      <c r="R275" s="31">
        <f>IF(I275="SI",VLOOKUP(A275,DATA!$A$4:$H$350,8,0),0)</f>
        <v>0</v>
      </c>
      <c r="S275" s="117">
        <f t="shared" si="99"/>
        <v>0</v>
      </c>
      <c r="T275" s="117">
        <f t="shared" si="100"/>
        <v>0</v>
      </c>
      <c r="U275" s="117">
        <f t="shared" si="101"/>
        <v>0</v>
      </c>
      <c r="V275" s="31">
        <f>IF(I275="SI",VLOOKUP(A275,COEF_FCM!$A$8:$X$354,24,0),0)</f>
        <v>0</v>
      </c>
      <c r="W275" s="121">
        <f t="shared" si="102"/>
        <v>0</v>
      </c>
      <c r="X275" s="31">
        <f>IF(AND(W275&gt;0,W275&lt;$W$7),ROUND(($W$7-W275)*L275,PARAMETROS!$L$8),0)</f>
        <v>0</v>
      </c>
      <c r="Y275" s="122">
        <f t="shared" si="103"/>
        <v>0</v>
      </c>
      <c r="Z275" s="117">
        <f t="shared" si="104"/>
        <v>0</v>
      </c>
      <c r="AA275" s="96">
        <f t="shared" si="105"/>
        <v>0</v>
      </c>
      <c r="AB275" s="31">
        <f>ROUND(AA275*PARAMETROS!$H$24,0)</f>
        <v>0</v>
      </c>
      <c r="AC275" s="31">
        <f t="shared" si="106"/>
        <v>0</v>
      </c>
      <c r="AD275" s="31">
        <f t="shared" si="107"/>
        <v>0</v>
      </c>
      <c r="AE275" s="31">
        <f t="shared" si="109"/>
        <v>0</v>
      </c>
      <c r="AF275" s="31">
        <f t="shared" si="109"/>
        <v>0</v>
      </c>
      <c r="AG275" s="31">
        <f t="shared" si="108"/>
        <v>0</v>
      </c>
    </row>
    <row r="276" spans="1:33" ht="3" customHeight="1" x14ac:dyDescent="0.25">
      <c r="A276">
        <v>13111</v>
      </c>
      <c r="B276">
        <v>13131</v>
      </c>
      <c r="C276" t="s">
        <v>285</v>
      </c>
      <c r="D276" s="31">
        <f>+DATA!O272</f>
        <v>5272131</v>
      </c>
      <c r="E276" s="31">
        <f>+DATA!T272</f>
        <v>18406572.169</v>
      </c>
      <c r="F276" s="38">
        <f t="shared" si="90"/>
        <v>23678703.169</v>
      </c>
      <c r="G276" s="112">
        <f t="shared" si="91"/>
        <v>0.82799999999999996</v>
      </c>
      <c r="H276" s="95">
        <f t="shared" si="92"/>
        <v>0.77729999999999999</v>
      </c>
      <c r="I276" s="6" t="str">
        <f t="shared" si="93"/>
        <v>SI</v>
      </c>
      <c r="J276" s="117">
        <f t="shared" si="94"/>
        <v>3.3112582781000001E-3</v>
      </c>
      <c r="K276" s="117">
        <f t="shared" si="95"/>
        <v>1.6556291390500001E-3</v>
      </c>
      <c r="L276" s="31">
        <f>IF(I276="SI",VLOOKUP(A276,DATA!$A$4:$D$350,4,0),0)</f>
        <v>119321</v>
      </c>
      <c r="M276" s="95">
        <f>IF(I276="SI",VLOOKUP(A276,DATA!$A$4:$E$350,5,0),0)</f>
        <v>6.0301679600837037E-2</v>
      </c>
      <c r="N276" s="31">
        <f t="shared" si="96"/>
        <v>7195</v>
      </c>
      <c r="O276" s="117">
        <f t="shared" si="97"/>
        <v>8.7111283301999996E-3</v>
      </c>
      <c r="P276" s="117">
        <f t="shared" si="98"/>
        <v>8.7111283299999998E-4</v>
      </c>
      <c r="Q276" s="31">
        <f>IF(I276="SI",VLOOKUP(A276,DATA!$A$4:$G$350,7,0),0)</f>
        <v>28644</v>
      </c>
      <c r="R276" s="31">
        <f>IF(I276="SI",VLOOKUP(A276,DATA!$A$4:$H$350,8,0),0)</f>
        <v>31539</v>
      </c>
      <c r="S276" s="117">
        <f t="shared" si="99"/>
        <v>7.5920009526000004E-3</v>
      </c>
      <c r="T276" s="117">
        <f t="shared" si="100"/>
        <v>9.9323605131652597E-3</v>
      </c>
      <c r="U276" s="117">
        <f t="shared" si="101"/>
        <v>1.9864721026000001E-3</v>
      </c>
      <c r="V276" s="31">
        <f>IF(I276="SI",VLOOKUP(A276,COEF_FCM!$A$8:$X$354,24,0),0)</f>
        <v>5272131</v>
      </c>
      <c r="W276" s="121">
        <f t="shared" si="102"/>
        <v>44.18</v>
      </c>
      <c r="X276" s="31">
        <f>IF(AND(W276&gt;0,W276&lt;$W$7),ROUND(($W$7-W276)*L276,PARAMETROS!$L$8),0)</f>
        <v>7479040</v>
      </c>
      <c r="Y276" s="122">
        <f t="shared" si="103"/>
        <v>2.75632319788E-2</v>
      </c>
      <c r="Z276" s="117">
        <f t="shared" si="104"/>
        <v>5.5126463957999999E-3</v>
      </c>
      <c r="AA276" s="96">
        <f t="shared" si="105"/>
        <v>1.0025860470449999E-2</v>
      </c>
      <c r="AB276" s="31">
        <f>ROUND(AA276*PARAMETROS!$H$24,0)</f>
        <v>1720613109</v>
      </c>
      <c r="AC276" s="31">
        <f t="shared" si="106"/>
        <v>1720613109</v>
      </c>
      <c r="AD276" s="31">
        <f t="shared" si="107"/>
        <v>430153277</v>
      </c>
      <c r="AE276" s="31">
        <f t="shared" si="109"/>
        <v>430153277</v>
      </c>
      <c r="AF276" s="31">
        <f t="shared" si="109"/>
        <v>430153277</v>
      </c>
      <c r="AG276" s="31">
        <f t="shared" si="108"/>
        <v>430153278</v>
      </c>
    </row>
    <row r="277" spans="1:33" ht="3" customHeight="1" x14ac:dyDescent="0.25">
      <c r="A277">
        <v>13112</v>
      </c>
      <c r="B277">
        <v>13154</v>
      </c>
      <c r="C277" t="s">
        <v>288</v>
      </c>
      <c r="D277" s="31">
        <f>+DATA!O273</f>
        <v>6715421</v>
      </c>
      <c r="E277" s="31">
        <f>+DATA!T273</f>
        <v>31398211.717</v>
      </c>
      <c r="F277" s="38">
        <f t="shared" si="90"/>
        <v>38113632.717</v>
      </c>
      <c r="G277" s="112">
        <f t="shared" si="91"/>
        <v>0.90400000000000003</v>
      </c>
      <c r="H277" s="95">
        <f t="shared" si="92"/>
        <v>0.82379999999999998</v>
      </c>
      <c r="I277" s="6" t="str">
        <f t="shared" si="93"/>
        <v>SI</v>
      </c>
      <c r="J277" s="117">
        <f t="shared" si="94"/>
        <v>3.3112582781000001E-3</v>
      </c>
      <c r="K277" s="117">
        <f t="shared" si="95"/>
        <v>1.6556291390500001E-3</v>
      </c>
      <c r="L277" s="31">
        <f>IF(I277="SI",VLOOKUP(A277,DATA!$A$4:$D$350,4,0),0)</f>
        <v>188980</v>
      </c>
      <c r="M277" s="95">
        <f>IF(I277="SI",VLOOKUP(A277,DATA!$A$4:$E$350,5,0),0)</f>
        <v>9.2938431861116166E-2</v>
      </c>
      <c r="N277" s="31">
        <f t="shared" si="96"/>
        <v>17564</v>
      </c>
      <c r="O277" s="117">
        <f t="shared" si="97"/>
        <v>2.1265081027400001E-2</v>
      </c>
      <c r="P277" s="117">
        <f t="shared" si="98"/>
        <v>2.1265081027E-3</v>
      </c>
      <c r="Q277" s="31">
        <f>IF(I277="SI",VLOOKUP(A277,DATA!$A$4:$G$350,7,0),0)</f>
        <v>48582</v>
      </c>
      <c r="R277" s="31">
        <f>IF(I277="SI",VLOOKUP(A277,DATA!$A$4:$H$350,8,0),0)</f>
        <v>50265</v>
      </c>
      <c r="S277" s="117">
        <f t="shared" si="99"/>
        <v>1.37031980755E-2</v>
      </c>
      <c r="T277" s="117">
        <f t="shared" si="100"/>
        <v>1.7927434983074791E-2</v>
      </c>
      <c r="U277" s="117">
        <f t="shared" si="101"/>
        <v>3.5854869966000001E-3</v>
      </c>
      <c r="V277" s="31">
        <f>IF(I277="SI",VLOOKUP(A277,COEF_FCM!$A$8:$X$354,24,0),0)</f>
        <v>6715421</v>
      </c>
      <c r="W277" s="121">
        <f t="shared" si="102"/>
        <v>35.54</v>
      </c>
      <c r="X277" s="31">
        <f>IF(AND(W277&gt;0,W277&lt;$W$7),ROUND(($W$7-W277)*L277,PARAMETROS!$L$8),0)</f>
        <v>13478054</v>
      </c>
      <c r="Y277" s="122">
        <f t="shared" si="103"/>
        <v>4.96719804982E-2</v>
      </c>
      <c r="Z277" s="117">
        <f t="shared" si="104"/>
        <v>9.9343960996E-3</v>
      </c>
      <c r="AA277" s="96">
        <f t="shared" si="105"/>
        <v>1.7302020337949999E-2</v>
      </c>
      <c r="AB277" s="31">
        <f>ROUND(AA277*PARAMETROS!$H$24,0)</f>
        <v>2969329475</v>
      </c>
      <c r="AC277" s="31">
        <f t="shared" si="106"/>
        <v>2969329475</v>
      </c>
      <c r="AD277" s="31">
        <f t="shared" si="107"/>
        <v>742332369</v>
      </c>
      <c r="AE277" s="31">
        <f t="shared" si="109"/>
        <v>742332369</v>
      </c>
      <c r="AF277" s="31">
        <f t="shared" si="109"/>
        <v>742332369</v>
      </c>
      <c r="AG277" s="31">
        <f t="shared" si="108"/>
        <v>742332368</v>
      </c>
    </row>
    <row r="278" spans="1:33" ht="3" customHeight="1" x14ac:dyDescent="0.25">
      <c r="A278">
        <v>13113</v>
      </c>
      <c r="B278">
        <v>13132</v>
      </c>
      <c r="C278" t="s">
        <v>286</v>
      </c>
      <c r="D278" s="31">
        <f>+DATA!O274</f>
        <v>31019315</v>
      </c>
      <c r="E278" s="31">
        <f>+DATA!T274</f>
        <v>2637977.568</v>
      </c>
      <c r="F278" s="38">
        <f t="shared" si="90"/>
        <v>33657292.568000004</v>
      </c>
      <c r="G278" s="112">
        <f t="shared" si="91"/>
        <v>0.878</v>
      </c>
      <c r="H278" s="95">
        <f t="shared" si="92"/>
        <v>7.8399999999999997E-2</v>
      </c>
      <c r="I278" s="6" t="str">
        <f t="shared" si="93"/>
        <v>NO</v>
      </c>
      <c r="J278" s="117">
        <f t="shared" si="94"/>
        <v>0</v>
      </c>
      <c r="K278" s="117">
        <f t="shared" si="95"/>
        <v>0</v>
      </c>
      <c r="L278" s="31">
        <f>IF(I278="SI",VLOOKUP(A278,DATA!$A$4:$D$350,4,0),0)</f>
        <v>0</v>
      </c>
      <c r="M278" s="95">
        <f>IF(I278="SI",VLOOKUP(A278,DATA!$A$4:$E$350,5,0),0)</f>
        <v>0</v>
      </c>
      <c r="N278" s="31">
        <f t="shared" si="96"/>
        <v>0</v>
      </c>
      <c r="O278" s="117">
        <f t="shared" si="97"/>
        <v>0</v>
      </c>
      <c r="P278" s="117">
        <f t="shared" si="98"/>
        <v>0</v>
      </c>
      <c r="Q278" s="31">
        <f>IF(I278="SI",VLOOKUP(A278,DATA!$A$4:$G$350,7,0),0)</f>
        <v>0</v>
      </c>
      <c r="R278" s="31">
        <f>IF(I278="SI",VLOOKUP(A278,DATA!$A$4:$H$350,8,0),0)</f>
        <v>0</v>
      </c>
      <c r="S278" s="117">
        <f t="shared" si="99"/>
        <v>0</v>
      </c>
      <c r="T278" s="117">
        <f t="shared" si="100"/>
        <v>0</v>
      </c>
      <c r="U278" s="117">
        <f t="shared" si="101"/>
        <v>0</v>
      </c>
      <c r="V278" s="31">
        <f>IF(I278="SI",VLOOKUP(A278,COEF_FCM!$A$8:$X$354,24,0),0)</f>
        <v>0</v>
      </c>
      <c r="W278" s="121">
        <f t="shared" si="102"/>
        <v>0</v>
      </c>
      <c r="X278" s="31">
        <f>IF(AND(W278&gt;0,W278&lt;$W$7),ROUND(($W$7-W278)*L278,PARAMETROS!$L$8),0)</f>
        <v>0</v>
      </c>
      <c r="Y278" s="122">
        <f t="shared" si="103"/>
        <v>0</v>
      </c>
      <c r="Z278" s="117">
        <f t="shared" si="104"/>
        <v>0</v>
      </c>
      <c r="AA278" s="96">
        <f t="shared" si="105"/>
        <v>0</v>
      </c>
      <c r="AB278" s="31">
        <f>ROUND(AA278*PARAMETROS!$H$24,0)</f>
        <v>0</v>
      </c>
      <c r="AC278" s="31">
        <f t="shared" si="106"/>
        <v>0</v>
      </c>
      <c r="AD278" s="31">
        <f t="shared" si="107"/>
        <v>0</v>
      </c>
      <c r="AE278" s="31">
        <f t="shared" si="109"/>
        <v>0</v>
      </c>
      <c r="AF278" s="31">
        <f t="shared" si="109"/>
        <v>0</v>
      </c>
      <c r="AG278" s="31">
        <f t="shared" si="108"/>
        <v>0</v>
      </c>
    </row>
    <row r="279" spans="1:33" ht="3" customHeight="1" x14ac:dyDescent="0.25">
      <c r="A279">
        <v>13114</v>
      </c>
      <c r="B279">
        <v>13108</v>
      </c>
      <c r="C279" t="s">
        <v>279</v>
      </c>
      <c r="D279" s="31">
        <f>+DATA!O275</f>
        <v>220242010</v>
      </c>
      <c r="E279" s="31">
        <f>+DATA!T275</f>
        <v>5283672.3990000002</v>
      </c>
      <c r="F279" s="38">
        <f t="shared" si="90"/>
        <v>225525682.39899999</v>
      </c>
      <c r="G279" s="112">
        <f t="shared" si="91"/>
        <v>1</v>
      </c>
      <c r="H279" s="95">
        <f t="shared" si="92"/>
        <v>2.3400000000000001E-2</v>
      </c>
      <c r="I279" s="6" t="str">
        <f t="shared" si="93"/>
        <v>NO</v>
      </c>
      <c r="J279" s="117">
        <f t="shared" si="94"/>
        <v>0</v>
      </c>
      <c r="K279" s="117">
        <f t="shared" si="95"/>
        <v>0</v>
      </c>
      <c r="L279" s="31">
        <f>IF(I279="SI",VLOOKUP(A279,DATA!$A$4:$D$350,4,0),0)</f>
        <v>0</v>
      </c>
      <c r="M279" s="95">
        <f>IF(I279="SI",VLOOKUP(A279,DATA!$A$4:$E$350,5,0),0)</f>
        <v>0</v>
      </c>
      <c r="N279" s="31">
        <f t="shared" si="96"/>
        <v>0</v>
      </c>
      <c r="O279" s="117">
        <f t="shared" si="97"/>
        <v>0</v>
      </c>
      <c r="P279" s="117">
        <f t="shared" si="98"/>
        <v>0</v>
      </c>
      <c r="Q279" s="31">
        <f>IF(I279="SI",VLOOKUP(A279,DATA!$A$4:$G$350,7,0),0)</f>
        <v>0</v>
      </c>
      <c r="R279" s="31">
        <f>IF(I279="SI",VLOOKUP(A279,DATA!$A$4:$H$350,8,0),0)</f>
        <v>0</v>
      </c>
      <c r="S279" s="117">
        <f t="shared" si="99"/>
        <v>0</v>
      </c>
      <c r="T279" s="117">
        <f t="shared" si="100"/>
        <v>0</v>
      </c>
      <c r="U279" s="117">
        <f t="shared" si="101"/>
        <v>0</v>
      </c>
      <c r="V279" s="31">
        <f>IF(I279="SI",VLOOKUP(A279,COEF_FCM!$A$8:$X$354,24,0),0)</f>
        <v>0</v>
      </c>
      <c r="W279" s="121">
        <f t="shared" si="102"/>
        <v>0</v>
      </c>
      <c r="X279" s="31">
        <f>IF(AND(W279&gt;0,W279&lt;$W$7),ROUND(($W$7-W279)*L279,PARAMETROS!$L$8),0)</f>
        <v>0</v>
      </c>
      <c r="Y279" s="122">
        <f t="shared" si="103"/>
        <v>0</v>
      </c>
      <c r="Z279" s="117">
        <f t="shared" si="104"/>
        <v>0</v>
      </c>
      <c r="AA279" s="96">
        <f t="shared" si="105"/>
        <v>0</v>
      </c>
      <c r="AB279" s="31">
        <f>ROUND(AA279*PARAMETROS!$H$24,0)</f>
        <v>0</v>
      </c>
      <c r="AC279" s="31">
        <f t="shared" si="106"/>
        <v>0</v>
      </c>
      <c r="AD279" s="31">
        <f t="shared" si="107"/>
        <v>0</v>
      </c>
      <c r="AE279" s="31">
        <f t="shared" si="109"/>
        <v>0</v>
      </c>
      <c r="AF279" s="31">
        <f t="shared" si="109"/>
        <v>0</v>
      </c>
      <c r="AG279" s="31">
        <f t="shared" si="108"/>
        <v>0</v>
      </c>
    </row>
    <row r="280" spans="1:33" ht="3" customHeight="1" x14ac:dyDescent="0.25">
      <c r="A280">
        <v>13115</v>
      </c>
      <c r="B280">
        <v>13161</v>
      </c>
      <c r="C280" t="s">
        <v>294</v>
      </c>
      <c r="D280" s="31">
        <f>+DATA!O276</f>
        <v>118138043</v>
      </c>
      <c r="E280" s="31">
        <f>+DATA!T276</f>
        <v>2704102.4939999999</v>
      </c>
      <c r="F280" s="38">
        <f t="shared" si="90"/>
        <v>120842145.494</v>
      </c>
      <c r="G280" s="112">
        <f t="shared" si="91"/>
        <v>0.99399999999999999</v>
      </c>
      <c r="H280" s="95">
        <f t="shared" si="92"/>
        <v>2.24E-2</v>
      </c>
      <c r="I280" s="6" t="str">
        <f t="shared" si="93"/>
        <v>NO</v>
      </c>
      <c r="J280" s="117">
        <f t="shared" si="94"/>
        <v>0</v>
      </c>
      <c r="K280" s="117">
        <f t="shared" si="95"/>
        <v>0</v>
      </c>
      <c r="L280" s="31">
        <f>IF(I280="SI",VLOOKUP(A280,DATA!$A$4:$D$350,4,0),0)</f>
        <v>0</v>
      </c>
      <c r="M280" s="95">
        <f>IF(I280="SI",VLOOKUP(A280,DATA!$A$4:$E$350,5,0),0)</f>
        <v>0</v>
      </c>
      <c r="N280" s="31">
        <f t="shared" si="96"/>
        <v>0</v>
      </c>
      <c r="O280" s="117">
        <f t="shared" si="97"/>
        <v>0</v>
      </c>
      <c r="P280" s="117">
        <f t="shared" si="98"/>
        <v>0</v>
      </c>
      <c r="Q280" s="31">
        <f>IF(I280="SI",VLOOKUP(A280,DATA!$A$4:$G$350,7,0),0)</f>
        <v>0</v>
      </c>
      <c r="R280" s="31">
        <f>IF(I280="SI",VLOOKUP(A280,DATA!$A$4:$H$350,8,0),0)</f>
        <v>0</v>
      </c>
      <c r="S280" s="117">
        <f t="shared" si="99"/>
        <v>0</v>
      </c>
      <c r="T280" s="117">
        <f t="shared" si="100"/>
        <v>0</v>
      </c>
      <c r="U280" s="117">
        <f t="shared" si="101"/>
        <v>0</v>
      </c>
      <c r="V280" s="31">
        <f>IF(I280="SI",VLOOKUP(A280,COEF_FCM!$A$8:$X$354,24,0),0)</f>
        <v>0</v>
      </c>
      <c r="W280" s="121">
        <f t="shared" si="102"/>
        <v>0</v>
      </c>
      <c r="X280" s="31">
        <f>IF(AND(W280&gt;0,W280&lt;$W$7),ROUND(($W$7-W280)*L280,PARAMETROS!$L$8),0)</f>
        <v>0</v>
      </c>
      <c r="Y280" s="122">
        <f t="shared" si="103"/>
        <v>0</v>
      </c>
      <c r="Z280" s="117">
        <f t="shared" si="104"/>
        <v>0</v>
      </c>
      <c r="AA280" s="96">
        <f t="shared" si="105"/>
        <v>0</v>
      </c>
      <c r="AB280" s="31">
        <f>ROUND(AA280*PARAMETROS!$H$24,0)</f>
        <v>0</v>
      </c>
      <c r="AC280" s="31">
        <f t="shared" si="106"/>
        <v>0</v>
      </c>
      <c r="AD280" s="31">
        <f t="shared" si="107"/>
        <v>0</v>
      </c>
      <c r="AE280" s="31">
        <f t="shared" si="109"/>
        <v>0</v>
      </c>
      <c r="AF280" s="31">
        <f t="shared" si="109"/>
        <v>0</v>
      </c>
      <c r="AG280" s="31">
        <f t="shared" si="108"/>
        <v>0</v>
      </c>
    </row>
    <row r="281" spans="1:33" ht="3" customHeight="1" x14ac:dyDescent="0.25">
      <c r="A281">
        <v>13116</v>
      </c>
      <c r="B281">
        <v>13164</v>
      </c>
      <c r="C281" t="s">
        <v>296</v>
      </c>
      <c r="D281" s="31">
        <f>+DATA!O277</f>
        <v>4269491</v>
      </c>
      <c r="E281" s="31">
        <f>+DATA!T277</f>
        <v>15236332.535</v>
      </c>
      <c r="F281" s="38">
        <f t="shared" si="90"/>
        <v>19505823.535</v>
      </c>
      <c r="G281" s="112">
        <f t="shared" si="91"/>
        <v>0.77900000000000003</v>
      </c>
      <c r="H281" s="95">
        <f t="shared" si="92"/>
        <v>0.78110000000000002</v>
      </c>
      <c r="I281" s="6" t="str">
        <f t="shared" si="93"/>
        <v>SI</v>
      </c>
      <c r="J281" s="117">
        <f t="shared" si="94"/>
        <v>3.3112582781000001E-3</v>
      </c>
      <c r="K281" s="117">
        <f t="shared" si="95"/>
        <v>1.6556291390500001E-3</v>
      </c>
      <c r="L281" s="31">
        <f>IF(I281="SI",VLOOKUP(A281,DATA!$A$4:$D$350,4,0),0)</f>
        <v>100694</v>
      </c>
      <c r="M281" s="95">
        <f>IF(I281="SI",VLOOKUP(A281,DATA!$A$4:$E$350,5,0),0)</f>
        <v>6.7816947929765004E-2</v>
      </c>
      <c r="N281" s="31">
        <f t="shared" si="96"/>
        <v>6829</v>
      </c>
      <c r="O281" s="117">
        <f t="shared" si="97"/>
        <v>8.2680049154999994E-3</v>
      </c>
      <c r="P281" s="117">
        <f t="shared" si="98"/>
        <v>8.268004916E-4</v>
      </c>
      <c r="Q281" s="31">
        <f>IF(I281="SI",VLOOKUP(A281,DATA!$A$4:$G$350,7,0),0)</f>
        <v>23011</v>
      </c>
      <c r="R281" s="31">
        <f>IF(I281="SI",VLOOKUP(A281,DATA!$A$4:$H$350,8,0),0)</f>
        <v>23885</v>
      </c>
      <c r="S281" s="117">
        <f t="shared" si="99"/>
        <v>6.4696767495999999E-3</v>
      </c>
      <c r="T281" s="117">
        <f t="shared" si="100"/>
        <v>8.4640613564022065E-3</v>
      </c>
      <c r="U281" s="117">
        <f t="shared" si="101"/>
        <v>1.6928122713E-3</v>
      </c>
      <c r="V281" s="31">
        <f>IF(I281="SI",VLOOKUP(A281,COEF_FCM!$A$8:$X$354,24,0),0)</f>
        <v>4269491</v>
      </c>
      <c r="W281" s="121">
        <f t="shared" si="102"/>
        <v>42.4</v>
      </c>
      <c r="X281" s="31">
        <f>IF(AND(W281&gt;0,W281&lt;$W$7),ROUND(($W$7-W281)*L281,PARAMETROS!$L$8),0)</f>
        <v>6490735</v>
      </c>
      <c r="Y281" s="122">
        <f t="shared" si="103"/>
        <v>2.39209356439E-2</v>
      </c>
      <c r="Z281" s="117">
        <f t="shared" si="104"/>
        <v>4.7841871287999998E-3</v>
      </c>
      <c r="AA281" s="96">
        <f t="shared" si="105"/>
        <v>8.9594290307500012E-3</v>
      </c>
      <c r="AB281" s="31">
        <f>ROUND(AA281*PARAMETROS!$H$24,0)</f>
        <v>1537594812</v>
      </c>
      <c r="AC281" s="31">
        <f t="shared" si="106"/>
        <v>1537594812</v>
      </c>
      <c r="AD281" s="31">
        <f t="shared" si="107"/>
        <v>384398703</v>
      </c>
      <c r="AE281" s="31">
        <f t="shared" si="109"/>
        <v>384398703</v>
      </c>
      <c r="AF281" s="31">
        <f t="shared" si="109"/>
        <v>384398703</v>
      </c>
      <c r="AG281" s="31">
        <f t="shared" si="108"/>
        <v>384398703</v>
      </c>
    </row>
    <row r="282" spans="1:33" ht="3" customHeight="1" x14ac:dyDescent="0.25">
      <c r="A282">
        <v>13117</v>
      </c>
      <c r="B282">
        <v>13155</v>
      </c>
      <c r="C282" t="s">
        <v>289</v>
      </c>
      <c r="D282" s="31">
        <f>+DATA!O278</f>
        <v>3588866</v>
      </c>
      <c r="E282" s="31">
        <f>+DATA!T278</f>
        <v>16649135.627</v>
      </c>
      <c r="F282" s="38">
        <f t="shared" si="90"/>
        <v>20238001.627</v>
      </c>
      <c r="G282" s="112">
        <f t="shared" si="91"/>
        <v>0.79400000000000004</v>
      </c>
      <c r="H282" s="95">
        <f t="shared" si="92"/>
        <v>0.82269999999999999</v>
      </c>
      <c r="I282" s="6" t="str">
        <f t="shared" si="93"/>
        <v>SI</v>
      </c>
      <c r="J282" s="117">
        <f t="shared" si="94"/>
        <v>3.3112582781000001E-3</v>
      </c>
      <c r="K282" s="117">
        <f t="shared" si="95"/>
        <v>1.6556291390500001E-3</v>
      </c>
      <c r="L282" s="31">
        <f>IF(I282="SI",VLOOKUP(A282,DATA!$A$4:$D$350,4,0),0)</f>
        <v>102078</v>
      </c>
      <c r="M282" s="95">
        <f>IF(I282="SI",VLOOKUP(A282,DATA!$A$4:$E$350,5,0),0)</f>
        <v>5.3266847379490417E-2</v>
      </c>
      <c r="N282" s="31">
        <f t="shared" si="96"/>
        <v>5437</v>
      </c>
      <c r="O282" s="117">
        <f t="shared" si="97"/>
        <v>6.5826830760000003E-3</v>
      </c>
      <c r="P282" s="117">
        <f t="shared" si="98"/>
        <v>6.5826830759999999E-4</v>
      </c>
      <c r="Q282" s="31">
        <f>IF(I282="SI",VLOOKUP(A282,DATA!$A$4:$G$350,7,0),0)</f>
        <v>24001</v>
      </c>
      <c r="R282" s="31">
        <f>IF(I282="SI",VLOOKUP(A282,DATA!$A$4:$H$350,8,0),0)</f>
        <v>25455</v>
      </c>
      <c r="S282" s="117">
        <f t="shared" si="99"/>
        <v>6.6042334333000002E-3</v>
      </c>
      <c r="T282" s="117">
        <f t="shared" si="100"/>
        <v>8.6400973580187043E-3</v>
      </c>
      <c r="U282" s="117">
        <f t="shared" si="101"/>
        <v>1.7280194716000001E-3</v>
      </c>
      <c r="V282" s="31">
        <f>IF(I282="SI",VLOOKUP(A282,COEF_FCM!$A$8:$X$354,24,0),0)</f>
        <v>3588866</v>
      </c>
      <c r="W282" s="121">
        <f t="shared" si="102"/>
        <v>35.159999999999997</v>
      </c>
      <c r="X282" s="31">
        <f>IF(AND(W282&gt;0,W282&lt;$W$7),ROUND(($W$7-W282)*L282,PARAMETROS!$L$8),0)</f>
        <v>7318993</v>
      </c>
      <c r="Y282" s="122">
        <f t="shared" si="103"/>
        <v>2.6973395236600001E-2</v>
      </c>
      <c r="Z282" s="117">
        <f t="shared" si="104"/>
        <v>5.3946790473000002E-3</v>
      </c>
      <c r="AA282" s="96">
        <f t="shared" si="105"/>
        <v>9.4365959655500001E-3</v>
      </c>
      <c r="AB282" s="31">
        <f>ROUND(AA282*PARAMETROS!$H$24,0)</f>
        <v>1619485008</v>
      </c>
      <c r="AC282" s="31">
        <f t="shared" si="106"/>
        <v>1619485008</v>
      </c>
      <c r="AD282" s="31">
        <f t="shared" si="107"/>
        <v>404871252</v>
      </c>
      <c r="AE282" s="31">
        <f t="shared" si="109"/>
        <v>404871252</v>
      </c>
      <c r="AF282" s="31">
        <f t="shared" si="109"/>
        <v>404871252</v>
      </c>
      <c r="AG282" s="31">
        <f t="shared" si="108"/>
        <v>404871252</v>
      </c>
    </row>
    <row r="283" spans="1:33" ht="3" customHeight="1" x14ac:dyDescent="0.25">
      <c r="A283">
        <v>13118</v>
      </c>
      <c r="B283">
        <v>13151</v>
      </c>
      <c r="C283" t="s">
        <v>287</v>
      </c>
      <c r="D283" s="31">
        <f>+DATA!O279</f>
        <v>19664379</v>
      </c>
      <c r="E283" s="31">
        <f>+DATA!T279</f>
        <v>5822268.892</v>
      </c>
      <c r="F283" s="38">
        <f t="shared" si="90"/>
        <v>25486647.892000001</v>
      </c>
      <c r="G283" s="112">
        <f t="shared" si="91"/>
        <v>0.85199999999999998</v>
      </c>
      <c r="H283" s="95">
        <f t="shared" si="92"/>
        <v>0.22839999999999999</v>
      </c>
      <c r="I283" s="6" t="str">
        <f t="shared" si="93"/>
        <v>NO</v>
      </c>
      <c r="J283" s="117">
        <f t="shared" si="94"/>
        <v>0</v>
      </c>
      <c r="K283" s="117">
        <f t="shared" si="95"/>
        <v>0</v>
      </c>
      <c r="L283" s="31">
        <f>IF(I283="SI",VLOOKUP(A283,DATA!$A$4:$D$350,4,0),0)</f>
        <v>0</v>
      </c>
      <c r="M283" s="95">
        <f>IF(I283="SI",VLOOKUP(A283,DATA!$A$4:$E$350,5,0),0)</f>
        <v>0</v>
      </c>
      <c r="N283" s="31">
        <f t="shared" si="96"/>
        <v>0</v>
      </c>
      <c r="O283" s="117">
        <f t="shared" si="97"/>
        <v>0</v>
      </c>
      <c r="P283" s="117">
        <f t="shared" si="98"/>
        <v>0</v>
      </c>
      <c r="Q283" s="31">
        <f>IF(I283="SI",VLOOKUP(A283,DATA!$A$4:$G$350,7,0),0)</f>
        <v>0</v>
      </c>
      <c r="R283" s="31">
        <f>IF(I283="SI",VLOOKUP(A283,DATA!$A$4:$H$350,8,0),0)</f>
        <v>0</v>
      </c>
      <c r="S283" s="117">
        <f t="shared" si="99"/>
        <v>0</v>
      </c>
      <c r="T283" s="117">
        <f t="shared" si="100"/>
        <v>0</v>
      </c>
      <c r="U283" s="117">
        <f t="shared" si="101"/>
        <v>0</v>
      </c>
      <c r="V283" s="31">
        <f>IF(I283="SI",VLOOKUP(A283,COEF_FCM!$A$8:$X$354,24,0),0)</f>
        <v>0</v>
      </c>
      <c r="W283" s="121">
        <f t="shared" si="102"/>
        <v>0</v>
      </c>
      <c r="X283" s="31">
        <f>IF(AND(W283&gt;0,W283&lt;$W$7),ROUND(($W$7-W283)*L283,PARAMETROS!$L$8),0)</f>
        <v>0</v>
      </c>
      <c r="Y283" s="122">
        <f t="shared" si="103"/>
        <v>0</v>
      </c>
      <c r="Z283" s="117">
        <f t="shared" si="104"/>
        <v>0</v>
      </c>
      <c r="AA283" s="96">
        <f t="shared" si="105"/>
        <v>0</v>
      </c>
      <c r="AB283" s="31">
        <f>ROUND(AA283*PARAMETROS!$H$24,0)</f>
        <v>0</v>
      </c>
      <c r="AC283" s="31">
        <f t="shared" si="106"/>
        <v>0</v>
      </c>
      <c r="AD283" s="31">
        <f t="shared" si="107"/>
        <v>0</v>
      </c>
      <c r="AE283" s="31">
        <f t="shared" si="109"/>
        <v>0</v>
      </c>
      <c r="AF283" s="31">
        <f t="shared" si="109"/>
        <v>0</v>
      </c>
      <c r="AG283" s="31">
        <f t="shared" si="108"/>
        <v>0</v>
      </c>
    </row>
    <row r="284" spans="1:33" ht="3" customHeight="1" x14ac:dyDescent="0.25">
      <c r="A284">
        <v>13119</v>
      </c>
      <c r="B284">
        <v>13109</v>
      </c>
      <c r="C284" t="s">
        <v>427</v>
      </c>
      <c r="D284" s="31">
        <f>+DATA!O280</f>
        <v>46214701</v>
      </c>
      <c r="E284" s="31">
        <f>+DATA!T280</f>
        <v>70095143.068000004</v>
      </c>
      <c r="F284" s="38">
        <f t="shared" si="90"/>
        <v>116309844.068</v>
      </c>
      <c r="G284" s="112">
        <f t="shared" si="91"/>
        <v>0.99099999999999999</v>
      </c>
      <c r="H284" s="95">
        <f t="shared" si="92"/>
        <v>0.60270000000000001</v>
      </c>
      <c r="I284" s="6" t="str">
        <f t="shared" si="93"/>
        <v>SI</v>
      </c>
      <c r="J284" s="117">
        <f t="shared" si="94"/>
        <v>3.3112582781000001E-3</v>
      </c>
      <c r="K284" s="117">
        <f t="shared" si="95"/>
        <v>1.6556291390500001E-3</v>
      </c>
      <c r="L284" s="31">
        <f>IF(I284="SI",VLOOKUP(A284,DATA!$A$4:$D$350,4,0),0)</f>
        <v>586812</v>
      </c>
      <c r="M284" s="95">
        <f>IF(I284="SI",VLOOKUP(A284,DATA!$A$4:$E$350,5,0),0)</f>
        <v>3.2512407397817682E-2</v>
      </c>
      <c r="N284" s="31">
        <f t="shared" si="96"/>
        <v>19079</v>
      </c>
      <c r="O284" s="117">
        <f t="shared" si="97"/>
        <v>2.3099321391600001E-2</v>
      </c>
      <c r="P284" s="117">
        <f t="shared" si="98"/>
        <v>2.3099321391999998E-3</v>
      </c>
      <c r="Q284" s="31">
        <f>IF(I284="SI",VLOOKUP(A284,DATA!$A$4:$G$350,7,0),0)</f>
        <v>121734</v>
      </c>
      <c r="R284" s="31">
        <f>IF(I284="SI",VLOOKUP(A284,DATA!$A$4:$H$350,8,0),0)</f>
        <v>171651</v>
      </c>
      <c r="S284" s="117">
        <f t="shared" si="99"/>
        <v>2.5194995790000001E-2</v>
      </c>
      <c r="T284" s="117">
        <f t="shared" si="100"/>
        <v>3.2961768956082695E-2</v>
      </c>
      <c r="U284" s="117">
        <f t="shared" si="101"/>
        <v>6.5923537912000001E-3</v>
      </c>
      <c r="V284" s="31">
        <f>IF(I284="SI",VLOOKUP(A284,COEF_FCM!$A$8:$X$354,24,0),0)</f>
        <v>46214701</v>
      </c>
      <c r="W284" s="121">
        <f t="shared" si="102"/>
        <v>78.760000000000005</v>
      </c>
      <c r="X284" s="31">
        <f>IF(AND(W284&gt;0,W284&lt;$W$7),ROUND(($W$7-W284)*L284,PARAMETROS!$L$8),0)</f>
        <v>16489417</v>
      </c>
      <c r="Y284" s="122">
        <f t="shared" si="103"/>
        <v>6.0770048825300002E-2</v>
      </c>
      <c r="Z284" s="117">
        <f t="shared" si="104"/>
        <v>1.2154009765099999E-2</v>
      </c>
      <c r="AA284" s="96">
        <f t="shared" si="105"/>
        <v>2.271192483455E-2</v>
      </c>
      <c r="AB284" s="31">
        <f>ROUND(AA284*PARAMETROS!$H$24,0)</f>
        <v>3897763760</v>
      </c>
      <c r="AC284" s="31">
        <f t="shared" si="106"/>
        <v>3897763760</v>
      </c>
      <c r="AD284" s="31">
        <f t="shared" si="107"/>
        <v>974440940</v>
      </c>
      <c r="AE284" s="31">
        <f t="shared" si="109"/>
        <v>974440940</v>
      </c>
      <c r="AF284" s="31">
        <f t="shared" si="109"/>
        <v>974440940</v>
      </c>
      <c r="AG284" s="31">
        <f t="shared" si="108"/>
        <v>974440940</v>
      </c>
    </row>
    <row r="285" spans="1:33" ht="3" customHeight="1" x14ac:dyDescent="0.25">
      <c r="A285">
        <v>13120</v>
      </c>
      <c r="B285">
        <v>13105</v>
      </c>
      <c r="C285" t="s">
        <v>276</v>
      </c>
      <c r="D285" s="31">
        <f>+DATA!O281</f>
        <v>46387912</v>
      </c>
      <c r="E285" s="31">
        <f>+DATA!T281</f>
        <v>4485343.8320000004</v>
      </c>
      <c r="F285" s="38">
        <f t="shared" si="90"/>
        <v>50873255.832000002</v>
      </c>
      <c r="G285" s="112">
        <f t="shared" si="91"/>
        <v>0.92700000000000005</v>
      </c>
      <c r="H285" s="95">
        <f t="shared" si="92"/>
        <v>8.8200000000000001E-2</v>
      </c>
      <c r="I285" s="6" t="str">
        <f t="shared" si="93"/>
        <v>NO</v>
      </c>
      <c r="J285" s="117">
        <f t="shared" si="94"/>
        <v>0</v>
      </c>
      <c r="K285" s="117">
        <f t="shared" si="95"/>
        <v>0</v>
      </c>
      <c r="L285" s="31">
        <f>IF(I285="SI",VLOOKUP(A285,DATA!$A$4:$D$350,4,0),0)</f>
        <v>0</v>
      </c>
      <c r="M285" s="95">
        <f>IF(I285="SI",VLOOKUP(A285,DATA!$A$4:$E$350,5,0),0)</f>
        <v>0</v>
      </c>
      <c r="N285" s="31">
        <f t="shared" si="96"/>
        <v>0</v>
      </c>
      <c r="O285" s="117">
        <f t="shared" si="97"/>
        <v>0</v>
      </c>
      <c r="P285" s="117">
        <f t="shared" si="98"/>
        <v>0</v>
      </c>
      <c r="Q285" s="31">
        <f>IF(I285="SI",VLOOKUP(A285,DATA!$A$4:$G$350,7,0),0)</f>
        <v>0</v>
      </c>
      <c r="R285" s="31">
        <f>IF(I285="SI",VLOOKUP(A285,DATA!$A$4:$H$350,8,0),0)</f>
        <v>0</v>
      </c>
      <c r="S285" s="117">
        <f t="shared" si="99"/>
        <v>0</v>
      </c>
      <c r="T285" s="117">
        <f t="shared" si="100"/>
        <v>0</v>
      </c>
      <c r="U285" s="117">
        <f t="shared" si="101"/>
        <v>0</v>
      </c>
      <c r="V285" s="31">
        <f>IF(I285="SI",VLOOKUP(A285,COEF_FCM!$A$8:$X$354,24,0),0)</f>
        <v>0</v>
      </c>
      <c r="W285" s="121">
        <f t="shared" si="102"/>
        <v>0</v>
      </c>
      <c r="X285" s="31">
        <f>IF(AND(W285&gt;0,W285&lt;$W$7),ROUND(($W$7-W285)*L285,PARAMETROS!$L$8),0)</f>
        <v>0</v>
      </c>
      <c r="Y285" s="122">
        <f t="shared" si="103"/>
        <v>0</v>
      </c>
      <c r="Z285" s="117">
        <f t="shared" si="104"/>
        <v>0</v>
      </c>
      <c r="AA285" s="96">
        <f t="shared" si="105"/>
        <v>0</v>
      </c>
      <c r="AB285" s="31">
        <f>ROUND(AA285*PARAMETROS!$H$24,0)</f>
        <v>0</v>
      </c>
      <c r="AC285" s="31">
        <f t="shared" si="106"/>
        <v>0</v>
      </c>
      <c r="AD285" s="31">
        <f t="shared" si="107"/>
        <v>0</v>
      </c>
      <c r="AE285" s="31">
        <f t="shared" si="109"/>
        <v>0</v>
      </c>
      <c r="AF285" s="31">
        <f t="shared" si="109"/>
        <v>0</v>
      </c>
      <c r="AG285" s="31">
        <f t="shared" si="108"/>
        <v>0</v>
      </c>
    </row>
    <row r="286" spans="1:33" ht="3" customHeight="1" x14ac:dyDescent="0.25">
      <c r="A286">
        <v>13121</v>
      </c>
      <c r="B286">
        <v>13162</v>
      </c>
      <c r="C286" t="s">
        <v>295</v>
      </c>
      <c r="D286" s="31">
        <f>+DATA!O282</f>
        <v>6659302</v>
      </c>
      <c r="E286" s="31">
        <f>+DATA!T282</f>
        <v>13986558.49</v>
      </c>
      <c r="F286" s="38">
        <f t="shared" si="90"/>
        <v>20645860.490000002</v>
      </c>
      <c r="G286" s="112">
        <f t="shared" si="91"/>
        <v>0.8</v>
      </c>
      <c r="H286" s="95">
        <f t="shared" si="92"/>
        <v>0.67749999999999999</v>
      </c>
      <c r="I286" s="6" t="str">
        <f t="shared" si="93"/>
        <v>SI</v>
      </c>
      <c r="J286" s="117">
        <f t="shared" si="94"/>
        <v>3.3112582781000001E-3</v>
      </c>
      <c r="K286" s="117">
        <f t="shared" si="95"/>
        <v>1.6556291390500001E-3</v>
      </c>
      <c r="L286" s="31">
        <f>IF(I286="SI",VLOOKUP(A286,DATA!$A$4:$D$350,4,0),0)</f>
        <v>104462</v>
      </c>
      <c r="M286" s="95">
        <f>IF(I286="SI",VLOOKUP(A286,DATA!$A$4:$E$350,5,0),0)</f>
        <v>5.4731728822534881E-2</v>
      </c>
      <c r="N286" s="31">
        <f t="shared" si="96"/>
        <v>5717</v>
      </c>
      <c r="O286" s="117">
        <f t="shared" si="97"/>
        <v>6.9216845954000001E-3</v>
      </c>
      <c r="P286" s="117">
        <f t="shared" si="98"/>
        <v>6.9216845949999996E-4</v>
      </c>
      <c r="Q286" s="31">
        <f>IF(I286="SI",VLOOKUP(A286,DATA!$A$4:$G$350,7,0),0)</f>
        <v>25545</v>
      </c>
      <c r="R286" s="31">
        <f>IF(I286="SI",VLOOKUP(A286,DATA!$A$4:$H$350,8,0),0)</f>
        <v>29113</v>
      </c>
      <c r="S286" s="117">
        <f t="shared" si="99"/>
        <v>6.5412642913000004E-3</v>
      </c>
      <c r="T286" s="117">
        <f t="shared" si="100"/>
        <v>8.5577169390153984E-3</v>
      </c>
      <c r="U286" s="117">
        <f t="shared" si="101"/>
        <v>1.7115433878000001E-3</v>
      </c>
      <c r="V286" s="31">
        <f>IF(I286="SI",VLOOKUP(A286,COEF_FCM!$A$8:$X$354,24,0),0)</f>
        <v>6659302</v>
      </c>
      <c r="W286" s="121">
        <f t="shared" si="102"/>
        <v>63.75</v>
      </c>
      <c r="X286" s="31">
        <f>IF(AND(W286&gt;0,W286&lt;$W$7),ROUND(($W$7-W286)*L286,PARAMETROS!$L$8),0)</f>
        <v>4503357</v>
      </c>
      <c r="Y286" s="122">
        <f t="shared" si="103"/>
        <v>1.6596658618500001E-2</v>
      </c>
      <c r="Z286" s="117">
        <f t="shared" si="104"/>
        <v>3.3193317237000001E-3</v>
      </c>
      <c r="AA286" s="96">
        <f t="shared" si="105"/>
        <v>7.3786727100499999E-3</v>
      </c>
      <c r="AB286" s="31">
        <f>ROUND(AA286*PARAMETROS!$H$24,0)</f>
        <v>1266309364</v>
      </c>
      <c r="AC286" s="31">
        <f t="shared" si="106"/>
        <v>1266309364</v>
      </c>
      <c r="AD286" s="31">
        <f t="shared" si="107"/>
        <v>316577341</v>
      </c>
      <c r="AE286" s="31">
        <f t="shared" si="109"/>
        <v>316577341</v>
      </c>
      <c r="AF286" s="31">
        <f t="shared" si="109"/>
        <v>316577341</v>
      </c>
      <c r="AG286" s="31">
        <f t="shared" si="108"/>
        <v>316577341</v>
      </c>
    </row>
    <row r="287" spans="1:33" ht="3" customHeight="1" x14ac:dyDescent="0.25">
      <c r="A287">
        <v>13122</v>
      </c>
      <c r="B287">
        <v>13152</v>
      </c>
      <c r="C287" t="s">
        <v>428</v>
      </c>
      <c r="D287" s="31">
        <f>+DATA!O283</f>
        <v>36622463</v>
      </c>
      <c r="E287" s="31">
        <f>+DATA!T283</f>
        <v>19686774.609999999</v>
      </c>
      <c r="F287" s="38">
        <f t="shared" si="90"/>
        <v>56309237.609999999</v>
      </c>
      <c r="G287" s="112">
        <f t="shared" si="91"/>
        <v>0.95</v>
      </c>
      <c r="H287" s="95">
        <f t="shared" si="92"/>
        <v>0.34960000000000002</v>
      </c>
      <c r="I287" s="6" t="str">
        <f t="shared" si="93"/>
        <v>NO</v>
      </c>
      <c r="J287" s="117">
        <f t="shared" si="94"/>
        <v>0</v>
      </c>
      <c r="K287" s="117">
        <f t="shared" si="95"/>
        <v>0</v>
      </c>
      <c r="L287" s="31">
        <f>IF(I287="SI",VLOOKUP(A287,DATA!$A$4:$D$350,4,0),0)</f>
        <v>0</v>
      </c>
      <c r="M287" s="95">
        <f>IF(I287="SI",VLOOKUP(A287,DATA!$A$4:$E$350,5,0),0)</f>
        <v>0</v>
      </c>
      <c r="N287" s="31">
        <f t="shared" si="96"/>
        <v>0</v>
      </c>
      <c r="O287" s="117">
        <f t="shared" si="97"/>
        <v>0</v>
      </c>
      <c r="P287" s="117">
        <f t="shared" si="98"/>
        <v>0</v>
      </c>
      <c r="Q287" s="31">
        <f>IF(I287="SI",VLOOKUP(A287,DATA!$A$4:$G$350,7,0),0)</f>
        <v>0</v>
      </c>
      <c r="R287" s="31">
        <f>IF(I287="SI",VLOOKUP(A287,DATA!$A$4:$H$350,8,0),0)</f>
        <v>0</v>
      </c>
      <c r="S287" s="117">
        <f t="shared" si="99"/>
        <v>0</v>
      </c>
      <c r="T287" s="117">
        <f t="shared" si="100"/>
        <v>0</v>
      </c>
      <c r="U287" s="117">
        <f t="shared" si="101"/>
        <v>0</v>
      </c>
      <c r="V287" s="31">
        <f>IF(I287="SI",VLOOKUP(A287,COEF_FCM!$A$8:$X$354,24,0),0)</f>
        <v>0</v>
      </c>
      <c r="W287" s="121">
        <f t="shared" si="102"/>
        <v>0</v>
      </c>
      <c r="X287" s="31">
        <f>IF(AND(W287&gt;0,W287&lt;$W$7),ROUND(($W$7-W287)*L287,PARAMETROS!$L$8),0)</f>
        <v>0</v>
      </c>
      <c r="Y287" s="122">
        <f t="shared" si="103"/>
        <v>0</v>
      </c>
      <c r="Z287" s="117">
        <f t="shared" si="104"/>
        <v>0</v>
      </c>
      <c r="AA287" s="96">
        <f t="shared" si="105"/>
        <v>0</v>
      </c>
      <c r="AB287" s="31">
        <f>ROUND(AA287*PARAMETROS!$H$24,0)</f>
        <v>0</v>
      </c>
      <c r="AC287" s="31">
        <f t="shared" si="106"/>
        <v>0</v>
      </c>
      <c r="AD287" s="31">
        <f t="shared" si="107"/>
        <v>0</v>
      </c>
      <c r="AE287" s="31">
        <f t="shared" si="109"/>
        <v>0</v>
      </c>
      <c r="AF287" s="31">
        <f t="shared" si="109"/>
        <v>0</v>
      </c>
      <c r="AG287" s="31">
        <f t="shared" si="108"/>
        <v>0</v>
      </c>
    </row>
    <row r="288" spans="1:33" ht="3" customHeight="1" x14ac:dyDescent="0.25">
      <c r="A288">
        <v>13123</v>
      </c>
      <c r="B288">
        <v>13103</v>
      </c>
      <c r="C288" t="s">
        <v>275</v>
      </c>
      <c r="D288" s="31">
        <f>+DATA!O284</f>
        <v>100441974</v>
      </c>
      <c r="E288" s="31">
        <f>+DATA!T284</f>
        <v>3509230.6269999999</v>
      </c>
      <c r="F288" s="38">
        <f t="shared" si="90"/>
        <v>103951204.627</v>
      </c>
      <c r="G288" s="112">
        <f t="shared" si="91"/>
        <v>0.98199999999999998</v>
      </c>
      <c r="H288" s="95">
        <f t="shared" si="92"/>
        <v>3.3799999999999997E-2</v>
      </c>
      <c r="I288" s="6" t="str">
        <f t="shared" si="93"/>
        <v>NO</v>
      </c>
      <c r="J288" s="117">
        <f t="shared" si="94"/>
        <v>0</v>
      </c>
      <c r="K288" s="117">
        <f t="shared" si="95"/>
        <v>0</v>
      </c>
      <c r="L288" s="31">
        <f>IF(I288="SI",VLOOKUP(A288,DATA!$A$4:$D$350,4,0),0)</f>
        <v>0</v>
      </c>
      <c r="M288" s="95">
        <f>IF(I288="SI",VLOOKUP(A288,DATA!$A$4:$E$350,5,0),0)</f>
        <v>0</v>
      </c>
      <c r="N288" s="31">
        <f t="shared" si="96"/>
        <v>0</v>
      </c>
      <c r="O288" s="117">
        <f t="shared" si="97"/>
        <v>0</v>
      </c>
      <c r="P288" s="117">
        <f t="shared" si="98"/>
        <v>0</v>
      </c>
      <c r="Q288" s="31">
        <f>IF(I288="SI",VLOOKUP(A288,DATA!$A$4:$G$350,7,0),0)</f>
        <v>0</v>
      </c>
      <c r="R288" s="31">
        <f>IF(I288="SI",VLOOKUP(A288,DATA!$A$4:$H$350,8,0),0)</f>
        <v>0</v>
      </c>
      <c r="S288" s="117">
        <f t="shared" si="99"/>
        <v>0</v>
      </c>
      <c r="T288" s="117">
        <f t="shared" si="100"/>
        <v>0</v>
      </c>
      <c r="U288" s="117">
        <f t="shared" si="101"/>
        <v>0</v>
      </c>
      <c r="V288" s="31">
        <f>IF(I288="SI",VLOOKUP(A288,COEF_FCM!$A$8:$X$354,24,0),0)</f>
        <v>0</v>
      </c>
      <c r="W288" s="121">
        <f t="shared" si="102"/>
        <v>0</v>
      </c>
      <c r="X288" s="31">
        <f>IF(AND(W288&gt;0,W288&lt;$W$7),ROUND(($W$7-W288)*L288,PARAMETROS!$L$8),0)</f>
        <v>0</v>
      </c>
      <c r="Y288" s="122">
        <f t="shared" si="103"/>
        <v>0</v>
      </c>
      <c r="Z288" s="117">
        <f t="shared" si="104"/>
        <v>0</v>
      </c>
      <c r="AA288" s="96">
        <f t="shared" si="105"/>
        <v>0</v>
      </c>
      <c r="AB288" s="31">
        <f>ROUND(AA288*PARAMETROS!$H$24,0)</f>
        <v>0</v>
      </c>
      <c r="AC288" s="31">
        <f t="shared" si="106"/>
        <v>0</v>
      </c>
      <c r="AD288" s="31">
        <f t="shared" si="107"/>
        <v>0</v>
      </c>
      <c r="AE288" s="31">
        <f t="shared" si="109"/>
        <v>0</v>
      </c>
      <c r="AF288" s="31">
        <f t="shared" si="109"/>
        <v>0</v>
      </c>
      <c r="AG288" s="31">
        <f t="shared" si="108"/>
        <v>0</v>
      </c>
    </row>
    <row r="289" spans="1:33" ht="3" customHeight="1" x14ac:dyDescent="0.25">
      <c r="A289">
        <v>13124</v>
      </c>
      <c r="B289">
        <v>13111</v>
      </c>
      <c r="C289" t="s">
        <v>281</v>
      </c>
      <c r="D289" s="31">
        <f>+DATA!O285</f>
        <v>53826090</v>
      </c>
      <c r="E289" s="31">
        <f>+DATA!T285</f>
        <v>21121902.045000002</v>
      </c>
      <c r="F289" s="38">
        <f t="shared" si="90"/>
        <v>74947992.045000002</v>
      </c>
      <c r="G289" s="112">
        <f t="shared" si="91"/>
        <v>0.96499999999999997</v>
      </c>
      <c r="H289" s="95">
        <f t="shared" si="92"/>
        <v>0.28179999999999999</v>
      </c>
      <c r="I289" s="6" t="str">
        <f t="shared" si="93"/>
        <v>NO</v>
      </c>
      <c r="J289" s="117">
        <f t="shared" si="94"/>
        <v>0</v>
      </c>
      <c r="K289" s="117">
        <f t="shared" si="95"/>
        <v>0</v>
      </c>
      <c r="L289" s="31">
        <f>IF(I289="SI",VLOOKUP(A289,DATA!$A$4:$D$350,4,0),0)</f>
        <v>0</v>
      </c>
      <c r="M289" s="95">
        <f>IF(I289="SI",VLOOKUP(A289,DATA!$A$4:$E$350,5,0),0)</f>
        <v>0</v>
      </c>
      <c r="N289" s="31">
        <f t="shared" si="96"/>
        <v>0</v>
      </c>
      <c r="O289" s="117">
        <f t="shared" si="97"/>
        <v>0</v>
      </c>
      <c r="P289" s="117">
        <f t="shared" si="98"/>
        <v>0</v>
      </c>
      <c r="Q289" s="31">
        <f>IF(I289="SI",VLOOKUP(A289,DATA!$A$4:$G$350,7,0),0)</f>
        <v>0</v>
      </c>
      <c r="R289" s="31">
        <f>IF(I289="SI",VLOOKUP(A289,DATA!$A$4:$H$350,8,0),0)</f>
        <v>0</v>
      </c>
      <c r="S289" s="117">
        <f t="shared" si="99"/>
        <v>0</v>
      </c>
      <c r="T289" s="117">
        <f t="shared" si="100"/>
        <v>0</v>
      </c>
      <c r="U289" s="117">
        <f t="shared" si="101"/>
        <v>0</v>
      </c>
      <c r="V289" s="31">
        <f>IF(I289="SI",VLOOKUP(A289,COEF_FCM!$A$8:$X$354,24,0),0)</f>
        <v>0</v>
      </c>
      <c r="W289" s="121">
        <f t="shared" si="102"/>
        <v>0</v>
      </c>
      <c r="X289" s="31">
        <f>IF(AND(W289&gt;0,W289&lt;$W$7),ROUND(($W$7-W289)*L289,PARAMETROS!$L$8),0)</f>
        <v>0</v>
      </c>
      <c r="Y289" s="122">
        <f t="shared" si="103"/>
        <v>0</v>
      </c>
      <c r="Z289" s="117">
        <f t="shared" si="104"/>
        <v>0</v>
      </c>
      <c r="AA289" s="96">
        <f t="shared" si="105"/>
        <v>0</v>
      </c>
      <c r="AB289" s="31">
        <f>ROUND(AA289*PARAMETROS!$H$24,0)</f>
        <v>0</v>
      </c>
      <c r="AC289" s="31">
        <f t="shared" si="106"/>
        <v>0</v>
      </c>
      <c r="AD289" s="31">
        <f t="shared" si="107"/>
        <v>0</v>
      </c>
      <c r="AE289" s="31">
        <f t="shared" ref="AE289:AF308" si="110">+AD289</f>
        <v>0</v>
      </c>
      <c r="AF289" s="31">
        <f t="shared" si="110"/>
        <v>0</v>
      </c>
      <c r="AG289" s="31">
        <f t="shared" si="108"/>
        <v>0</v>
      </c>
    </row>
    <row r="290" spans="1:33" ht="3" customHeight="1" x14ac:dyDescent="0.25">
      <c r="A290">
        <v>13125</v>
      </c>
      <c r="B290">
        <v>13114</v>
      </c>
      <c r="C290" t="s">
        <v>283</v>
      </c>
      <c r="D290" s="31">
        <f>+DATA!O286</f>
        <v>50033693</v>
      </c>
      <c r="E290" s="31">
        <f>+DATA!T286</f>
        <v>12685272.377</v>
      </c>
      <c r="F290" s="38">
        <f t="shared" si="90"/>
        <v>62718965.377000004</v>
      </c>
      <c r="G290" s="112">
        <f t="shared" si="91"/>
        <v>0.95299999999999996</v>
      </c>
      <c r="H290" s="95">
        <f t="shared" si="92"/>
        <v>0.20230000000000001</v>
      </c>
      <c r="I290" s="6" t="str">
        <f t="shared" si="93"/>
        <v>NO</v>
      </c>
      <c r="J290" s="117">
        <f t="shared" si="94"/>
        <v>0</v>
      </c>
      <c r="K290" s="117">
        <f t="shared" si="95"/>
        <v>0</v>
      </c>
      <c r="L290" s="31">
        <f>IF(I290="SI",VLOOKUP(A290,DATA!$A$4:$D$350,4,0),0)</f>
        <v>0</v>
      </c>
      <c r="M290" s="95">
        <f>IF(I290="SI",VLOOKUP(A290,DATA!$A$4:$E$350,5,0),0)</f>
        <v>0</v>
      </c>
      <c r="N290" s="31">
        <f t="shared" si="96"/>
        <v>0</v>
      </c>
      <c r="O290" s="117">
        <f t="shared" si="97"/>
        <v>0</v>
      </c>
      <c r="P290" s="117">
        <f t="shared" si="98"/>
        <v>0</v>
      </c>
      <c r="Q290" s="31">
        <f>IF(I290="SI",VLOOKUP(A290,DATA!$A$4:$G$350,7,0),0)</f>
        <v>0</v>
      </c>
      <c r="R290" s="31">
        <f>IF(I290="SI",VLOOKUP(A290,DATA!$A$4:$H$350,8,0),0)</f>
        <v>0</v>
      </c>
      <c r="S290" s="117">
        <f t="shared" si="99"/>
        <v>0</v>
      </c>
      <c r="T290" s="117">
        <f t="shared" si="100"/>
        <v>0</v>
      </c>
      <c r="U290" s="117">
        <f t="shared" si="101"/>
        <v>0</v>
      </c>
      <c r="V290" s="31">
        <f>IF(I290="SI",VLOOKUP(A290,COEF_FCM!$A$8:$X$354,24,0),0)</f>
        <v>0</v>
      </c>
      <c r="W290" s="121">
        <f t="shared" si="102"/>
        <v>0</v>
      </c>
      <c r="X290" s="31">
        <f>IF(AND(W290&gt;0,W290&lt;$W$7),ROUND(($W$7-W290)*L290,PARAMETROS!$L$8),0)</f>
        <v>0</v>
      </c>
      <c r="Y290" s="122">
        <f t="shared" si="103"/>
        <v>0</v>
      </c>
      <c r="Z290" s="117">
        <f t="shared" si="104"/>
        <v>0</v>
      </c>
      <c r="AA290" s="96">
        <f t="shared" si="105"/>
        <v>0</v>
      </c>
      <c r="AB290" s="31">
        <f>ROUND(AA290*PARAMETROS!$H$24,0)</f>
        <v>0</v>
      </c>
      <c r="AC290" s="31">
        <f t="shared" si="106"/>
        <v>0</v>
      </c>
      <c r="AD290" s="31">
        <f t="shared" si="107"/>
        <v>0</v>
      </c>
      <c r="AE290" s="31">
        <f t="shared" si="110"/>
        <v>0</v>
      </c>
      <c r="AF290" s="31">
        <f t="shared" si="110"/>
        <v>0</v>
      </c>
      <c r="AG290" s="31">
        <f t="shared" si="108"/>
        <v>0</v>
      </c>
    </row>
    <row r="291" spans="1:33" ht="3" customHeight="1" x14ac:dyDescent="0.25">
      <c r="A291">
        <v>13126</v>
      </c>
      <c r="B291">
        <v>13107</v>
      </c>
      <c r="C291" t="s">
        <v>278</v>
      </c>
      <c r="D291" s="31">
        <f>+DATA!O287</f>
        <v>12800718</v>
      </c>
      <c r="E291" s="31">
        <f>+DATA!T287</f>
        <v>12105674.775</v>
      </c>
      <c r="F291" s="38">
        <f t="shared" si="90"/>
        <v>24906392.774999999</v>
      </c>
      <c r="G291" s="112">
        <f t="shared" si="91"/>
        <v>0.84299999999999997</v>
      </c>
      <c r="H291" s="95">
        <f t="shared" si="92"/>
        <v>0.48599999999999999</v>
      </c>
      <c r="I291" s="6" t="str">
        <f t="shared" si="93"/>
        <v>NO</v>
      </c>
      <c r="J291" s="117">
        <f t="shared" si="94"/>
        <v>0</v>
      </c>
      <c r="K291" s="117">
        <f t="shared" si="95"/>
        <v>0</v>
      </c>
      <c r="L291" s="31">
        <f>IF(I291="SI",VLOOKUP(A291,DATA!$A$4:$D$350,4,0),0)</f>
        <v>0</v>
      </c>
      <c r="M291" s="95">
        <f>IF(I291="SI",VLOOKUP(A291,DATA!$A$4:$E$350,5,0),0)</f>
        <v>0</v>
      </c>
      <c r="N291" s="31">
        <f t="shared" si="96"/>
        <v>0</v>
      </c>
      <c r="O291" s="117">
        <f t="shared" si="97"/>
        <v>0</v>
      </c>
      <c r="P291" s="117">
        <f t="shared" si="98"/>
        <v>0</v>
      </c>
      <c r="Q291" s="31">
        <f>IF(I291="SI",VLOOKUP(A291,DATA!$A$4:$G$350,7,0),0)</f>
        <v>0</v>
      </c>
      <c r="R291" s="31">
        <f>IF(I291="SI",VLOOKUP(A291,DATA!$A$4:$H$350,8,0),0)</f>
        <v>0</v>
      </c>
      <c r="S291" s="117">
        <f t="shared" si="99"/>
        <v>0</v>
      </c>
      <c r="T291" s="117">
        <f t="shared" si="100"/>
        <v>0</v>
      </c>
      <c r="U291" s="117">
        <f t="shared" si="101"/>
        <v>0</v>
      </c>
      <c r="V291" s="31">
        <f>IF(I291="SI",VLOOKUP(A291,COEF_FCM!$A$8:$X$354,24,0),0)</f>
        <v>0</v>
      </c>
      <c r="W291" s="121">
        <f t="shared" si="102"/>
        <v>0</v>
      </c>
      <c r="X291" s="31">
        <f>IF(AND(W291&gt;0,W291&lt;$W$7),ROUND(($W$7-W291)*L291,PARAMETROS!$L$8),0)</f>
        <v>0</v>
      </c>
      <c r="Y291" s="122">
        <f t="shared" si="103"/>
        <v>0</v>
      </c>
      <c r="Z291" s="117">
        <f t="shared" si="104"/>
        <v>0</v>
      </c>
      <c r="AA291" s="96">
        <f t="shared" si="105"/>
        <v>0</v>
      </c>
      <c r="AB291" s="31">
        <f>ROUND(AA291*PARAMETROS!$H$24,0)</f>
        <v>0</v>
      </c>
      <c r="AC291" s="31">
        <f t="shared" si="106"/>
        <v>0</v>
      </c>
      <c r="AD291" s="31">
        <f t="shared" si="107"/>
        <v>0</v>
      </c>
      <c r="AE291" s="31">
        <f t="shared" si="110"/>
        <v>0</v>
      </c>
      <c r="AF291" s="31">
        <f t="shared" si="110"/>
        <v>0</v>
      </c>
      <c r="AG291" s="31">
        <f t="shared" si="108"/>
        <v>0</v>
      </c>
    </row>
    <row r="292" spans="1:33" ht="3" customHeight="1" x14ac:dyDescent="0.25">
      <c r="A292">
        <v>13127</v>
      </c>
      <c r="B292">
        <v>13159</v>
      </c>
      <c r="C292" t="s">
        <v>292</v>
      </c>
      <c r="D292" s="31">
        <f>+DATA!O288</f>
        <v>29174871</v>
      </c>
      <c r="E292" s="31">
        <f>+DATA!T288</f>
        <v>8700321.4969999995</v>
      </c>
      <c r="F292" s="38">
        <f t="shared" si="90"/>
        <v>37875192.497000001</v>
      </c>
      <c r="G292" s="112">
        <f t="shared" si="91"/>
        <v>0.90100000000000002</v>
      </c>
      <c r="H292" s="95">
        <f t="shared" si="92"/>
        <v>0.22969999999999999</v>
      </c>
      <c r="I292" s="6" t="str">
        <f t="shared" si="93"/>
        <v>NO</v>
      </c>
      <c r="J292" s="117">
        <f t="shared" si="94"/>
        <v>0</v>
      </c>
      <c r="K292" s="117">
        <f t="shared" si="95"/>
        <v>0</v>
      </c>
      <c r="L292" s="31">
        <f>IF(I292="SI",VLOOKUP(A292,DATA!$A$4:$D$350,4,0),0)</f>
        <v>0</v>
      </c>
      <c r="M292" s="95">
        <f>IF(I292="SI",VLOOKUP(A292,DATA!$A$4:$E$350,5,0),0)</f>
        <v>0</v>
      </c>
      <c r="N292" s="31">
        <f t="shared" si="96"/>
        <v>0</v>
      </c>
      <c r="O292" s="117">
        <f t="shared" si="97"/>
        <v>0</v>
      </c>
      <c r="P292" s="117">
        <f t="shared" si="98"/>
        <v>0</v>
      </c>
      <c r="Q292" s="31">
        <f>IF(I292="SI",VLOOKUP(A292,DATA!$A$4:$G$350,7,0),0)</f>
        <v>0</v>
      </c>
      <c r="R292" s="31">
        <f>IF(I292="SI",VLOOKUP(A292,DATA!$A$4:$H$350,8,0),0)</f>
        <v>0</v>
      </c>
      <c r="S292" s="117">
        <f t="shared" si="99"/>
        <v>0</v>
      </c>
      <c r="T292" s="117">
        <f t="shared" si="100"/>
        <v>0</v>
      </c>
      <c r="U292" s="117">
        <f t="shared" si="101"/>
        <v>0</v>
      </c>
      <c r="V292" s="31">
        <f>IF(I292="SI",VLOOKUP(A292,COEF_FCM!$A$8:$X$354,24,0),0)</f>
        <v>0</v>
      </c>
      <c r="W292" s="121">
        <f t="shared" si="102"/>
        <v>0</v>
      </c>
      <c r="X292" s="31">
        <f>IF(AND(W292&gt;0,W292&lt;$W$7),ROUND(($W$7-W292)*L292,PARAMETROS!$L$8),0)</f>
        <v>0</v>
      </c>
      <c r="Y292" s="122">
        <f t="shared" si="103"/>
        <v>0</v>
      </c>
      <c r="Z292" s="117">
        <f t="shared" si="104"/>
        <v>0</v>
      </c>
      <c r="AA292" s="96">
        <f t="shared" si="105"/>
        <v>0</v>
      </c>
      <c r="AB292" s="31">
        <f>ROUND(AA292*PARAMETROS!$H$24,0)</f>
        <v>0</v>
      </c>
      <c r="AC292" s="31">
        <f t="shared" si="106"/>
        <v>0</v>
      </c>
      <c r="AD292" s="31">
        <f t="shared" si="107"/>
        <v>0</v>
      </c>
      <c r="AE292" s="31">
        <f t="shared" si="110"/>
        <v>0</v>
      </c>
      <c r="AF292" s="31">
        <f t="shared" si="110"/>
        <v>0</v>
      </c>
      <c r="AG292" s="31">
        <f t="shared" si="108"/>
        <v>0</v>
      </c>
    </row>
    <row r="293" spans="1:33" ht="3" customHeight="1" x14ac:dyDescent="0.25">
      <c r="A293">
        <v>13128</v>
      </c>
      <c r="B293">
        <v>13113</v>
      </c>
      <c r="C293" t="s">
        <v>282</v>
      </c>
      <c r="D293" s="31">
        <f>+DATA!O289</f>
        <v>26066880</v>
      </c>
      <c r="E293" s="31">
        <f>+DATA!T289</f>
        <v>10827871.556</v>
      </c>
      <c r="F293" s="38">
        <f t="shared" si="90"/>
        <v>36894751.556000002</v>
      </c>
      <c r="G293" s="112">
        <f t="shared" si="91"/>
        <v>0.88900000000000001</v>
      </c>
      <c r="H293" s="95">
        <f t="shared" si="92"/>
        <v>0.29349999999999998</v>
      </c>
      <c r="I293" s="6" t="str">
        <f t="shared" si="93"/>
        <v>NO</v>
      </c>
      <c r="J293" s="117">
        <f t="shared" si="94"/>
        <v>0</v>
      </c>
      <c r="K293" s="117">
        <f t="shared" si="95"/>
        <v>0</v>
      </c>
      <c r="L293" s="31">
        <f>IF(I293="SI",VLOOKUP(A293,DATA!$A$4:$D$350,4,0),0)</f>
        <v>0</v>
      </c>
      <c r="M293" s="95">
        <f>IF(I293="SI",VLOOKUP(A293,DATA!$A$4:$E$350,5,0),0)</f>
        <v>0</v>
      </c>
      <c r="N293" s="31">
        <f t="shared" si="96"/>
        <v>0</v>
      </c>
      <c r="O293" s="117">
        <f t="shared" si="97"/>
        <v>0</v>
      </c>
      <c r="P293" s="117">
        <f t="shared" si="98"/>
        <v>0</v>
      </c>
      <c r="Q293" s="31">
        <f>IF(I293="SI",VLOOKUP(A293,DATA!$A$4:$G$350,7,0),0)</f>
        <v>0</v>
      </c>
      <c r="R293" s="31">
        <f>IF(I293="SI",VLOOKUP(A293,DATA!$A$4:$H$350,8,0),0)</f>
        <v>0</v>
      </c>
      <c r="S293" s="117">
        <f t="shared" si="99"/>
        <v>0</v>
      </c>
      <c r="T293" s="117">
        <f t="shared" si="100"/>
        <v>0</v>
      </c>
      <c r="U293" s="117">
        <f t="shared" si="101"/>
        <v>0</v>
      </c>
      <c r="V293" s="31">
        <f>IF(I293="SI",VLOOKUP(A293,COEF_FCM!$A$8:$X$354,24,0),0)</f>
        <v>0</v>
      </c>
      <c r="W293" s="121">
        <f t="shared" si="102"/>
        <v>0</v>
      </c>
      <c r="X293" s="31">
        <f>IF(AND(W293&gt;0,W293&lt;$W$7),ROUND(($W$7-W293)*L293,PARAMETROS!$L$8),0)</f>
        <v>0</v>
      </c>
      <c r="Y293" s="122">
        <f t="shared" si="103"/>
        <v>0</v>
      </c>
      <c r="Z293" s="117">
        <f t="shared" si="104"/>
        <v>0</v>
      </c>
      <c r="AA293" s="96">
        <f t="shared" si="105"/>
        <v>0</v>
      </c>
      <c r="AB293" s="31">
        <f>ROUND(AA293*PARAMETROS!$H$24,0)</f>
        <v>0</v>
      </c>
      <c r="AC293" s="31">
        <f t="shared" si="106"/>
        <v>0</v>
      </c>
      <c r="AD293" s="31">
        <f t="shared" si="107"/>
        <v>0</v>
      </c>
      <c r="AE293" s="31">
        <f t="shared" si="110"/>
        <v>0</v>
      </c>
      <c r="AF293" s="31">
        <f t="shared" si="110"/>
        <v>0</v>
      </c>
      <c r="AG293" s="31">
        <f t="shared" si="108"/>
        <v>0</v>
      </c>
    </row>
    <row r="294" spans="1:33" ht="3" customHeight="1" x14ac:dyDescent="0.25">
      <c r="A294">
        <v>13129</v>
      </c>
      <c r="B294">
        <v>13163</v>
      </c>
      <c r="C294" t="s">
        <v>429</v>
      </c>
      <c r="D294" s="31">
        <f>+DATA!O290</f>
        <v>18342646</v>
      </c>
      <c r="E294" s="31">
        <f>+DATA!T290</f>
        <v>6407238.9759999998</v>
      </c>
      <c r="F294" s="38">
        <f t="shared" si="90"/>
        <v>24749884.976</v>
      </c>
      <c r="G294" s="112">
        <f t="shared" si="91"/>
        <v>0.83699999999999997</v>
      </c>
      <c r="H294" s="95">
        <f t="shared" si="92"/>
        <v>0.25890000000000002</v>
      </c>
      <c r="I294" s="6" t="str">
        <f t="shared" si="93"/>
        <v>NO</v>
      </c>
      <c r="J294" s="117">
        <f t="shared" si="94"/>
        <v>0</v>
      </c>
      <c r="K294" s="117">
        <f t="shared" si="95"/>
        <v>0</v>
      </c>
      <c r="L294" s="31">
        <f>IF(I294="SI",VLOOKUP(A294,DATA!$A$4:$D$350,4,0),0)</f>
        <v>0</v>
      </c>
      <c r="M294" s="95">
        <f>IF(I294="SI",VLOOKUP(A294,DATA!$A$4:$E$350,5,0),0)</f>
        <v>0</v>
      </c>
      <c r="N294" s="31">
        <f t="shared" si="96"/>
        <v>0</v>
      </c>
      <c r="O294" s="117">
        <f t="shared" si="97"/>
        <v>0</v>
      </c>
      <c r="P294" s="117">
        <f t="shared" si="98"/>
        <v>0</v>
      </c>
      <c r="Q294" s="31">
        <f>IF(I294="SI",VLOOKUP(A294,DATA!$A$4:$G$350,7,0),0)</f>
        <v>0</v>
      </c>
      <c r="R294" s="31">
        <f>IF(I294="SI",VLOOKUP(A294,DATA!$A$4:$H$350,8,0),0)</f>
        <v>0</v>
      </c>
      <c r="S294" s="117">
        <f t="shared" si="99"/>
        <v>0</v>
      </c>
      <c r="T294" s="117">
        <f t="shared" si="100"/>
        <v>0</v>
      </c>
      <c r="U294" s="117">
        <f t="shared" si="101"/>
        <v>0</v>
      </c>
      <c r="V294" s="31">
        <f>IF(I294="SI",VLOOKUP(A294,COEF_FCM!$A$8:$X$354,24,0),0)</f>
        <v>0</v>
      </c>
      <c r="W294" s="121">
        <f t="shared" si="102"/>
        <v>0</v>
      </c>
      <c r="X294" s="31">
        <f>IF(AND(W294&gt;0,W294&lt;$W$7),ROUND(($W$7-W294)*L294,PARAMETROS!$L$8),0)</f>
        <v>0</v>
      </c>
      <c r="Y294" s="122">
        <f t="shared" si="103"/>
        <v>0</v>
      </c>
      <c r="Z294" s="117">
        <f t="shared" si="104"/>
        <v>0</v>
      </c>
      <c r="AA294" s="96">
        <f t="shared" si="105"/>
        <v>0</v>
      </c>
      <c r="AB294" s="31">
        <f>ROUND(AA294*PARAMETROS!$H$24,0)</f>
        <v>0</v>
      </c>
      <c r="AC294" s="31">
        <f t="shared" si="106"/>
        <v>0</v>
      </c>
      <c r="AD294" s="31">
        <f t="shared" si="107"/>
        <v>0</v>
      </c>
      <c r="AE294" s="31">
        <f t="shared" si="110"/>
        <v>0</v>
      </c>
      <c r="AF294" s="31">
        <f t="shared" si="110"/>
        <v>0</v>
      </c>
      <c r="AG294" s="31">
        <f t="shared" si="108"/>
        <v>0</v>
      </c>
    </row>
    <row r="295" spans="1:33" ht="3" customHeight="1" x14ac:dyDescent="0.25">
      <c r="A295">
        <v>13130</v>
      </c>
      <c r="B295">
        <v>13106</v>
      </c>
      <c r="C295" t="s">
        <v>277</v>
      </c>
      <c r="D295" s="31">
        <f>+DATA!O291</f>
        <v>17321541</v>
      </c>
      <c r="E295" s="31">
        <f>+DATA!T291</f>
        <v>4069968.4139999999</v>
      </c>
      <c r="F295" s="38">
        <f t="shared" si="90"/>
        <v>21391509.414000001</v>
      </c>
      <c r="G295" s="112">
        <f t="shared" si="91"/>
        <v>0.81100000000000005</v>
      </c>
      <c r="H295" s="95">
        <f t="shared" si="92"/>
        <v>0.1903</v>
      </c>
      <c r="I295" s="6" t="str">
        <f t="shared" si="93"/>
        <v>NO</v>
      </c>
      <c r="J295" s="117">
        <f t="shared" si="94"/>
        <v>0</v>
      </c>
      <c r="K295" s="117">
        <f t="shared" si="95"/>
        <v>0</v>
      </c>
      <c r="L295" s="31">
        <f>IF(I295="SI",VLOOKUP(A295,DATA!$A$4:$D$350,4,0),0)</f>
        <v>0</v>
      </c>
      <c r="M295" s="95">
        <f>IF(I295="SI",VLOOKUP(A295,DATA!$A$4:$E$350,5,0),0)</f>
        <v>0</v>
      </c>
      <c r="N295" s="31">
        <f t="shared" si="96"/>
        <v>0</v>
      </c>
      <c r="O295" s="117">
        <f t="shared" si="97"/>
        <v>0</v>
      </c>
      <c r="P295" s="117">
        <f t="shared" si="98"/>
        <v>0</v>
      </c>
      <c r="Q295" s="31">
        <f>IF(I295="SI",VLOOKUP(A295,DATA!$A$4:$G$350,7,0),0)</f>
        <v>0</v>
      </c>
      <c r="R295" s="31">
        <f>IF(I295="SI",VLOOKUP(A295,DATA!$A$4:$H$350,8,0),0)</f>
        <v>0</v>
      </c>
      <c r="S295" s="117">
        <f t="shared" si="99"/>
        <v>0</v>
      </c>
      <c r="T295" s="117">
        <f t="shared" si="100"/>
        <v>0</v>
      </c>
      <c r="U295" s="117">
        <f t="shared" si="101"/>
        <v>0</v>
      </c>
      <c r="V295" s="31">
        <f>IF(I295="SI",VLOOKUP(A295,COEF_FCM!$A$8:$X$354,24,0),0)</f>
        <v>0</v>
      </c>
      <c r="W295" s="121">
        <f t="shared" si="102"/>
        <v>0</v>
      </c>
      <c r="X295" s="31">
        <f>IF(AND(W295&gt;0,W295&lt;$W$7),ROUND(($W$7-W295)*L295,PARAMETROS!$L$8),0)</f>
        <v>0</v>
      </c>
      <c r="Y295" s="122">
        <f t="shared" si="103"/>
        <v>0</v>
      </c>
      <c r="Z295" s="117">
        <f t="shared" si="104"/>
        <v>0</v>
      </c>
      <c r="AA295" s="96">
        <f t="shared" si="105"/>
        <v>0</v>
      </c>
      <c r="AB295" s="31">
        <f>ROUND(AA295*PARAMETROS!$H$24,0)</f>
        <v>0</v>
      </c>
      <c r="AC295" s="31">
        <f t="shared" si="106"/>
        <v>0</v>
      </c>
      <c r="AD295" s="31">
        <f t="shared" si="107"/>
        <v>0</v>
      </c>
      <c r="AE295" s="31">
        <f t="shared" si="110"/>
        <v>0</v>
      </c>
      <c r="AF295" s="31">
        <f t="shared" si="110"/>
        <v>0</v>
      </c>
      <c r="AG295" s="31">
        <f t="shared" si="108"/>
        <v>0</v>
      </c>
    </row>
    <row r="296" spans="1:33" ht="3" customHeight="1" x14ac:dyDescent="0.25">
      <c r="A296">
        <v>13131</v>
      </c>
      <c r="B296">
        <v>13153</v>
      </c>
      <c r="C296" t="s">
        <v>430</v>
      </c>
      <c r="D296" s="31">
        <f>+DATA!O292</f>
        <v>4106548</v>
      </c>
      <c r="E296" s="31">
        <f>+DATA!T292</f>
        <v>13374283.902000001</v>
      </c>
      <c r="F296" s="38">
        <f t="shared" si="90"/>
        <v>17480831.902000003</v>
      </c>
      <c r="G296" s="112">
        <f t="shared" si="91"/>
        <v>0.75900000000000001</v>
      </c>
      <c r="H296" s="95">
        <f t="shared" si="92"/>
        <v>0.7651</v>
      </c>
      <c r="I296" s="6" t="str">
        <f t="shared" si="93"/>
        <v>SI</v>
      </c>
      <c r="J296" s="117">
        <f t="shared" si="94"/>
        <v>3.3112582781000001E-3</v>
      </c>
      <c r="K296" s="117">
        <f t="shared" si="95"/>
        <v>1.6556291390500001E-3</v>
      </c>
      <c r="L296" s="31">
        <f>IF(I296="SI",VLOOKUP(A296,DATA!$A$4:$D$350,4,0),0)</f>
        <v>83695</v>
      </c>
      <c r="M296" s="95">
        <f>IF(I296="SI",VLOOKUP(A296,DATA!$A$4:$E$350,5,0),0)</f>
        <v>6.8821263519756801E-2</v>
      </c>
      <c r="N296" s="31">
        <f t="shared" si="96"/>
        <v>5760</v>
      </c>
      <c r="O296" s="117">
        <f t="shared" si="97"/>
        <v>6.9737455429999999E-3</v>
      </c>
      <c r="P296" s="117">
        <f t="shared" si="98"/>
        <v>6.9737455429999995E-4</v>
      </c>
      <c r="Q296" s="31">
        <f>IF(I296="SI",VLOOKUP(A296,DATA!$A$4:$G$350,7,0),0)</f>
        <v>18945</v>
      </c>
      <c r="R296" s="31">
        <f>IF(I296="SI",VLOOKUP(A296,DATA!$A$4:$H$350,8,0),0)</f>
        <v>20211</v>
      </c>
      <c r="S296" s="117">
        <f t="shared" si="99"/>
        <v>5.1824874621000001E-3</v>
      </c>
      <c r="T296" s="117">
        <f t="shared" si="100"/>
        <v>6.7800747325917924E-3</v>
      </c>
      <c r="U296" s="117">
        <f t="shared" si="101"/>
        <v>1.3560149464999999E-3</v>
      </c>
      <c r="V296" s="31">
        <f>IF(I296="SI",VLOOKUP(A296,COEF_FCM!$A$8:$X$354,24,0),0)</f>
        <v>4106548</v>
      </c>
      <c r="W296" s="121">
        <f t="shared" si="102"/>
        <v>49.07</v>
      </c>
      <c r="X296" s="31">
        <f>IF(AND(W296&gt;0,W296&lt;$W$7),ROUND(($W$7-W296)*L296,PARAMETROS!$L$8),0)</f>
        <v>4836734</v>
      </c>
      <c r="Y296" s="122">
        <f t="shared" si="103"/>
        <v>1.7825285231999999E-2</v>
      </c>
      <c r="Z296" s="117">
        <f t="shared" si="104"/>
        <v>3.5650570464000001E-3</v>
      </c>
      <c r="AA296" s="96">
        <f t="shared" si="105"/>
        <v>7.27407568625E-3</v>
      </c>
      <c r="AB296" s="31">
        <f>ROUND(AA296*PARAMETROS!$H$24,0)</f>
        <v>1248358684</v>
      </c>
      <c r="AC296" s="31">
        <f t="shared" si="106"/>
        <v>1248358684</v>
      </c>
      <c r="AD296" s="31">
        <f t="shared" si="107"/>
        <v>312089671</v>
      </c>
      <c r="AE296" s="31">
        <f t="shared" si="110"/>
        <v>312089671</v>
      </c>
      <c r="AF296" s="31">
        <f t="shared" si="110"/>
        <v>312089671</v>
      </c>
      <c r="AG296" s="31">
        <f t="shared" si="108"/>
        <v>312089671</v>
      </c>
    </row>
    <row r="297" spans="1:33" ht="3" customHeight="1" x14ac:dyDescent="0.25">
      <c r="A297">
        <v>13132</v>
      </c>
      <c r="B297">
        <v>13160</v>
      </c>
      <c r="C297" t="s">
        <v>293</v>
      </c>
      <c r="D297" s="31">
        <f>+DATA!O293</f>
        <v>86514257</v>
      </c>
      <c r="E297" s="31">
        <f>+DATA!T293</f>
        <v>2506503.4700000002</v>
      </c>
      <c r="F297" s="38">
        <f t="shared" si="90"/>
        <v>89020760.469999999</v>
      </c>
      <c r="G297" s="112">
        <f t="shared" si="91"/>
        <v>0.97599999999999998</v>
      </c>
      <c r="H297" s="95">
        <f t="shared" si="92"/>
        <v>2.8199999999999999E-2</v>
      </c>
      <c r="I297" s="6" t="str">
        <f t="shared" si="93"/>
        <v>NO</v>
      </c>
      <c r="J297" s="117">
        <f t="shared" si="94"/>
        <v>0</v>
      </c>
      <c r="K297" s="117">
        <f t="shared" si="95"/>
        <v>0</v>
      </c>
      <c r="L297" s="31">
        <f>IF(I297="SI",VLOOKUP(A297,DATA!$A$4:$D$350,4,0),0)</f>
        <v>0</v>
      </c>
      <c r="M297" s="95">
        <f>IF(I297="SI",VLOOKUP(A297,DATA!$A$4:$E$350,5,0),0)</f>
        <v>0</v>
      </c>
      <c r="N297" s="31">
        <f t="shared" si="96"/>
        <v>0</v>
      </c>
      <c r="O297" s="117">
        <f t="shared" si="97"/>
        <v>0</v>
      </c>
      <c r="P297" s="117">
        <f t="shared" si="98"/>
        <v>0</v>
      </c>
      <c r="Q297" s="31">
        <f>IF(I297="SI",VLOOKUP(A297,DATA!$A$4:$G$350,7,0),0)</f>
        <v>0</v>
      </c>
      <c r="R297" s="31">
        <f>IF(I297="SI",VLOOKUP(A297,DATA!$A$4:$H$350,8,0),0)</f>
        <v>0</v>
      </c>
      <c r="S297" s="117">
        <f t="shared" si="99"/>
        <v>0</v>
      </c>
      <c r="T297" s="117">
        <f t="shared" si="100"/>
        <v>0</v>
      </c>
      <c r="U297" s="117">
        <f t="shared" si="101"/>
        <v>0</v>
      </c>
      <c r="V297" s="31">
        <f>IF(I297="SI",VLOOKUP(A297,COEF_FCM!$A$8:$X$354,24,0),0)</f>
        <v>0</v>
      </c>
      <c r="W297" s="121">
        <f t="shared" si="102"/>
        <v>0</v>
      </c>
      <c r="X297" s="31">
        <f>IF(AND(W297&gt;0,W297&lt;$W$7),ROUND(($W$7-W297)*L297,PARAMETROS!$L$8),0)</f>
        <v>0</v>
      </c>
      <c r="Y297" s="122">
        <f t="shared" si="103"/>
        <v>0</v>
      </c>
      <c r="Z297" s="117">
        <f t="shared" si="104"/>
        <v>0</v>
      </c>
      <c r="AA297" s="96">
        <f t="shared" si="105"/>
        <v>0</v>
      </c>
      <c r="AB297" s="31">
        <f>ROUND(AA297*PARAMETROS!$H$24,0)</f>
        <v>0</v>
      </c>
      <c r="AC297" s="31">
        <f t="shared" si="106"/>
        <v>0</v>
      </c>
      <c r="AD297" s="31">
        <f t="shared" si="107"/>
        <v>0</v>
      </c>
      <c r="AE297" s="31">
        <f t="shared" si="110"/>
        <v>0</v>
      </c>
      <c r="AF297" s="31">
        <f t="shared" si="110"/>
        <v>0</v>
      </c>
      <c r="AG297" s="31">
        <f t="shared" si="108"/>
        <v>0</v>
      </c>
    </row>
    <row r="298" spans="1:33" ht="3" customHeight="1" x14ac:dyDescent="0.25">
      <c r="A298">
        <v>13201</v>
      </c>
      <c r="B298">
        <v>13301</v>
      </c>
      <c r="C298" t="s">
        <v>303</v>
      </c>
      <c r="D298" s="31">
        <f>+DATA!O294</f>
        <v>30874242</v>
      </c>
      <c r="E298" s="31">
        <f>+DATA!T294</f>
        <v>85270627.679000005</v>
      </c>
      <c r="F298" s="38">
        <f t="shared" si="90"/>
        <v>116144869.67900001</v>
      </c>
      <c r="G298" s="112">
        <f t="shared" si="91"/>
        <v>0.98499999999999999</v>
      </c>
      <c r="H298" s="95">
        <f t="shared" si="92"/>
        <v>0.73419999999999996</v>
      </c>
      <c r="I298" s="6" t="str">
        <f t="shared" si="93"/>
        <v>SI</v>
      </c>
      <c r="J298" s="117">
        <f t="shared" si="94"/>
        <v>3.3112582781000001E-3</v>
      </c>
      <c r="K298" s="117">
        <f t="shared" si="95"/>
        <v>1.6556291390500001E-3</v>
      </c>
      <c r="L298" s="31">
        <f>IF(I298="SI",VLOOKUP(A298,DATA!$A$4:$D$350,4,0),0)</f>
        <v>667904</v>
      </c>
      <c r="M298" s="95">
        <f>IF(I298="SI",VLOOKUP(A298,DATA!$A$4:$E$350,5,0),0)</f>
        <v>5.0375919914454913E-2</v>
      </c>
      <c r="N298" s="31">
        <f t="shared" si="96"/>
        <v>33646</v>
      </c>
      <c r="O298" s="117">
        <f t="shared" si="97"/>
        <v>4.0735875441199998E-2</v>
      </c>
      <c r="P298" s="117">
        <f t="shared" si="98"/>
        <v>4.0735875441000003E-3</v>
      </c>
      <c r="Q298" s="31">
        <f>IF(I298="SI",VLOOKUP(A298,DATA!$A$4:$G$350,7,0),0)</f>
        <v>141661</v>
      </c>
      <c r="R298" s="31">
        <f>IF(I298="SI",VLOOKUP(A298,DATA!$A$4:$H$350,8,0),0)</f>
        <v>183165</v>
      </c>
      <c r="S298" s="117">
        <f t="shared" si="99"/>
        <v>3.19738519022E-2</v>
      </c>
      <c r="T298" s="117">
        <f t="shared" si="100"/>
        <v>4.1830319315021472E-2</v>
      </c>
      <c r="U298" s="117">
        <f t="shared" si="101"/>
        <v>8.3660638629999996E-3</v>
      </c>
      <c r="V298" s="31">
        <f>IF(I298="SI",VLOOKUP(A298,COEF_FCM!$A$8:$X$354,24,0),0)</f>
        <v>30874242</v>
      </c>
      <c r="W298" s="121">
        <f t="shared" si="102"/>
        <v>46.23</v>
      </c>
      <c r="X298" s="31">
        <f>IF(AND(W298&gt;0,W298&lt;$W$7),ROUND(($W$7-W298)*L298,PARAMETROS!$L$8),0)</f>
        <v>40495020</v>
      </c>
      <c r="Y298" s="122">
        <f t="shared" si="103"/>
        <v>0.14924022738840001</v>
      </c>
      <c r="Z298" s="117">
        <f t="shared" si="104"/>
        <v>2.9848045477700001E-2</v>
      </c>
      <c r="AA298" s="96">
        <f t="shared" si="105"/>
        <v>4.3943326023850003E-2</v>
      </c>
      <c r="AB298" s="31">
        <f>ROUND(AA298*PARAMETROS!$H$24,0)</f>
        <v>7541443754</v>
      </c>
      <c r="AC298" s="31">
        <f t="shared" si="106"/>
        <v>7541443752</v>
      </c>
      <c r="AD298" s="31">
        <f t="shared" si="107"/>
        <v>1885360938</v>
      </c>
      <c r="AE298" s="31">
        <f t="shared" si="110"/>
        <v>1885360938</v>
      </c>
      <c r="AF298" s="31">
        <f t="shared" si="110"/>
        <v>1885360938</v>
      </c>
      <c r="AG298" s="31">
        <f t="shared" si="108"/>
        <v>1885360938</v>
      </c>
    </row>
    <row r="299" spans="1:33" ht="3" customHeight="1" x14ac:dyDescent="0.25">
      <c r="A299">
        <v>13202</v>
      </c>
      <c r="B299">
        <v>13302</v>
      </c>
      <c r="C299" t="s">
        <v>304</v>
      </c>
      <c r="D299" s="31">
        <f>+DATA!O295</f>
        <v>7273144</v>
      </c>
      <c r="E299" s="31">
        <f>+DATA!T295</f>
        <v>2330487.3870000001</v>
      </c>
      <c r="F299" s="38">
        <f t="shared" si="90"/>
        <v>9603631.3870000001</v>
      </c>
      <c r="G299" s="112">
        <f t="shared" si="91"/>
        <v>0.57599999999999996</v>
      </c>
      <c r="H299" s="95">
        <f t="shared" si="92"/>
        <v>0.2427</v>
      </c>
      <c r="I299" s="6" t="str">
        <f t="shared" si="93"/>
        <v>SI</v>
      </c>
      <c r="J299" s="117">
        <f t="shared" si="94"/>
        <v>3.3112582781000001E-3</v>
      </c>
      <c r="K299" s="117">
        <f t="shared" si="95"/>
        <v>1.6556291390500001E-3</v>
      </c>
      <c r="L299" s="31">
        <f>IF(I299="SI",VLOOKUP(A299,DATA!$A$4:$D$350,4,0),0)</f>
        <v>33021</v>
      </c>
      <c r="M299" s="95">
        <f>IF(I299="SI",VLOOKUP(A299,DATA!$A$4:$E$350,5,0),0)</f>
        <v>2.7431642799948301E-2</v>
      </c>
      <c r="N299" s="31">
        <f t="shared" si="96"/>
        <v>906</v>
      </c>
      <c r="O299" s="117">
        <f t="shared" si="97"/>
        <v>1.0969120593999999E-3</v>
      </c>
      <c r="P299" s="117">
        <f t="shared" si="98"/>
        <v>1.096912059E-4</v>
      </c>
      <c r="Q299" s="31">
        <f>IF(I299="SI",VLOOKUP(A299,DATA!$A$4:$G$350,7,0),0)</f>
        <v>3478</v>
      </c>
      <c r="R299" s="31">
        <f>IF(I299="SI",VLOOKUP(A299,DATA!$A$4:$H$350,8,0),0)</f>
        <v>8401</v>
      </c>
      <c r="S299" s="117">
        <f t="shared" si="99"/>
        <v>4.2020867459999998E-4</v>
      </c>
      <c r="T299" s="117">
        <f t="shared" si="100"/>
        <v>5.4974493192828336E-4</v>
      </c>
      <c r="U299" s="117">
        <f t="shared" si="101"/>
        <v>1.099489864E-4</v>
      </c>
      <c r="V299" s="31">
        <f>IF(I299="SI",VLOOKUP(A299,COEF_FCM!$A$8:$X$354,24,0),0)</f>
        <v>7273144</v>
      </c>
      <c r="W299" s="121">
        <f t="shared" si="102"/>
        <v>220.26</v>
      </c>
      <c r="X299" s="31">
        <f>IF(AND(W299&gt;0,W299&lt;$W$7),ROUND(($W$7-W299)*L299,PARAMETROS!$L$8),0)</f>
        <v>0</v>
      </c>
      <c r="Y299" s="122">
        <f t="shared" si="103"/>
        <v>0</v>
      </c>
      <c r="Z299" s="117">
        <f t="shared" si="104"/>
        <v>0</v>
      </c>
      <c r="AA299" s="96">
        <f t="shared" si="105"/>
        <v>1.8752693313500001E-3</v>
      </c>
      <c r="AB299" s="31">
        <f>ROUND(AA299*PARAMETROS!$H$24,0)</f>
        <v>321829034</v>
      </c>
      <c r="AC299" s="31">
        <f t="shared" si="106"/>
        <v>321829034</v>
      </c>
      <c r="AD299" s="31">
        <f t="shared" si="107"/>
        <v>80457259</v>
      </c>
      <c r="AE299" s="31">
        <f t="shared" si="110"/>
        <v>80457259</v>
      </c>
      <c r="AF299" s="31">
        <f t="shared" si="110"/>
        <v>80457259</v>
      </c>
      <c r="AG299" s="31">
        <f t="shared" si="108"/>
        <v>80457257</v>
      </c>
    </row>
    <row r="300" spans="1:33" ht="3" customHeight="1" x14ac:dyDescent="0.25">
      <c r="A300">
        <v>13203</v>
      </c>
      <c r="B300">
        <v>13303</v>
      </c>
      <c r="C300" t="s">
        <v>431</v>
      </c>
      <c r="D300" s="31">
        <f>+DATA!O296</f>
        <v>3929391</v>
      </c>
      <c r="E300" s="31">
        <f>+DATA!T296</f>
        <v>2333162.5180000002</v>
      </c>
      <c r="F300" s="38">
        <f t="shared" si="90"/>
        <v>6262553.5180000002</v>
      </c>
      <c r="G300" s="112">
        <f t="shared" si="91"/>
        <v>0.42599999999999999</v>
      </c>
      <c r="H300" s="95">
        <f t="shared" si="92"/>
        <v>0.37259999999999999</v>
      </c>
      <c r="I300" s="6" t="str">
        <f t="shared" si="93"/>
        <v>SI</v>
      </c>
      <c r="J300" s="117">
        <f t="shared" si="94"/>
        <v>3.3112582781000001E-3</v>
      </c>
      <c r="K300" s="117">
        <f t="shared" si="95"/>
        <v>1.6556291390500001E-3</v>
      </c>
      <c r="L300" s="31">
        <f>IF(I300="SI",VLOOKUP(A300,DATA!$A$4:$D$350,4,0),0)</f>
        <v>19519</v>
      </c>
      <c r="M300" s="95">
        <f>IF(I300="SI",VLOOKUP(A300,DATA!$A$4:$E$350,5,0),0)</f>
        <v>4.6895985671141109E-2</v>
      </c>
      <c r="N300" s="31">
        <f t="shared" si="96"/>
        <v>915</v>
      </c>
      <c r="O300" s="117">
        <f t="shared" si="97"/>
        <v>1.1078085367999999E-3</v>
      </c>
      <c r="P300" s="117">
        <f t="shared" si="98"/>
        <v>1.1078085369999999E-4</v>
      </c>
      <c r="Q300" s="31">
        <f>IF(I300="SI",VLOOKUP(A300,DATA!$A$4:$G$350,7,0),0)</f>
        <v>2857</v>
      </c>
      <c r="R300" s="31">
        <f>IF(I300="SI",VLOOKUP(A300,DATA!$A$4:$H$350,8,0),0)</f>
        <v>6134</v>
      </c>
      <c r="S300" s="117">
        <f t="shared" si="99"/>
        <v>3.8834127490000001E-4</v>
      </c>
      <c r="T300" s="117">
        <f t="shared" si="100"/>
        <v>5.0805388046323613E-4</v>
      </c>
      <c r="U300" s="117">
        <f t="shared" si="101"/>
        <v>1.0161077610000001E-4</v>
      </c>
      <c r="V300" s="31">
        <f>IF(I300="SI",VLOOKUP(A300,COEF_FCM!$A$8:$X$354,24,0),0)</f>
        <v>3929391</v>
      </c>
      <c r="W300" s="121">
        <f t="shared" si="102"/>
        <v>201.31</v>
      </c>
      <c r="X300" s="31">
        <f>IF(AND(W300&gt;0,W300&lt;$W$7),ROUND(($W$7-W300)*L300,PARAMETROS!$L$8),0)</f>
        <v>0</v>
      </c>
      <c r="Y300" s="122">
        <f t="shared" si="103"/>
        <v>0</v>
      </c>
      <c r="Z300" s="117">
        <f t="shared" si="104"/>
        <v>0</v>
      </c>
      <c r="AA300" s="96">
        <f t="shared" si="105"/>
        <v>1.8680207688500001E-3</v>
      </c>
      <c r="AB300" s="31">
        <f>ROUND(AA300*PARAMETROS!$H$24,0)</f>
        <v>320585054</v>
      </c>
      <c r="AC300" s="31">
        <f t="shared" si="106"/>
        <v>320585054</v>
      </c>
      <c r="AD300" s="31">
        <f t="shared" si="107"/>
        <v>80146264</v>
      </c>
      <c r="AE300" s="31">
        <f t="shared" si="110"/>
        <v>80146264</v>
      </c>
      <c r="AF300" s="31">
        <f t="shared" si="110"/>
        <v>80146264</v>
      </c>
      <c r="AG300" s="31">
        <f t="shared" si="108"/>
        <v>80146262</v>
      </c>
    </row>
    <row r="301" spans="1:33" ht="3" customHeight="1" x14ac:dyDescent="0.25">
      <c r="A301">
        <v>13301</v>
      </c>
      <c r="B301">
        <v>13201</v>
      </c>
      <c r="C301" t="s">
        <v>300</v>
      </c>
      <c r="D301" s="31">
        <f>+DATA!O297</f>
        <v>48819997</v>
      </c>
      <c r="E301" s="31">
        <f>+DATA!T297</f>
        <v>6740647.5659999996</v>
      </c>
      <c r="F301" s="38">
        <f t="shared" si="90"/>
        <v>55560644.566</v>
      </c>
      <c r="G301" s="112">
        <f t="shared" si="91"/>
        <v>0.94699999999999995</v>
      </c>
      <c r="H301" s="95">
        <f t="shared" si="92"/>
        <v>0.12130000000000001</v>
      </c>
      <c r="I301" s="6" t="str">
        <f t="shared" si="93"/>
        <v>NO</v>
      </c>
      <c r="J301" s="117">
        <f t="shared" si="94"/>
        <v>0</v>
      </c>
      <c r="K301" s="117">
        <f t="shared" si="95"/>
        <v>0</v>
      </c>
      <c r="L301" s="31">
        <f>IF(I301="SI",VLOOKUP(A301,DATA!$A$4:$D$350,4,0),0)</f>
        <v>0</v>
      </c>
      <c r="M301" s="95">
        <f>IF(I301="SI",VLOOKUP(A301,DATA!$A$4:$E$350,5,0),0)</f>
        <v>0</v>
      </c>
      <c r="N301" s="31">
        <f t="shared" si="96"/>
        <v>0</v>
      </c>
      <c r="O301" s="117">
        <f t="shared" si="97"/>
        <v>0</v>
      </c>
      <c r="P301" s="117">
        <f t="shared" si="98"/>
        <v>0</v>
      </c>
      <c r="Q301" s="31">
        <f>IF(I301="SI",VLOOKUP(A301,DATA!$A$4:$G$350,7,0),0)</f>
        <v>0</v>
      </c>
      <c r="R301" s="31">
        <f>IF(I301="SI",VLOOKUP(A301,DATA!$A$4:$H$350,8,0),0)</f>
        <v>0</v>
      </c>
      <c r="S301" s="117">
        <f t="shared" si="99"/>
        <v>0</v>
      </c>
      <c r="T301" s="117">
        <f t="shared" si="100"/>
        <v>0</v>
      </c>
      <c r="U301" s="117">
        <f t="shared" si="101"/>
        <v>0</v>
      </c>
      <c r="V301" s="31">
        <f>IF(I301="SI",VLOOKUP(A301,COEF_FCM!$A$8:$X$354,24,0),0)</f>
        <v>0</v>
      </c>
      <c r="W301" s="121">
        <f t="shared" si="102"/>
        <v>0</v>
      </c>
      <c r="X301" s="31">
        <f>IF(AND(W301&gt;0,W301&lt;$W$7),ROUND(($W$7-W301)*L301,PARAMETROS!$L$8),0)</f>
        <v>0</v>
      </c>
      <c r="Y301" s="122">
        <f t="shared" si="103"/>
        <v>0</v>
      </c>
      <c r="Z301" s="117">
        <f t="shared" si="104"/>
        <v>0</v>
      </c>
      <c r="AA301" s="96">
        <f t="shared" si="105"/>
        <v>0</v>
      </c>
      <c r="AB301" s="31">
        <f>ROUND(AA301*PARAMETROS!$H$24,0)</f>
        <v>0</v>
      </c>
      <c r="AC301" s="31">
        <f t="shared" si="106"/>
        <v>0</v>
      </c>
      <c r="AD301" s="31">
        <f t="shared" si="107"/>
        <v>0</v>
      </c>
      <c r="AE301" s="31">
        <f t="shared" si="110"/>
        <v>0</v>
      </c>
      <c r="AF301" s="31">
        <f t="shared" si="110"/>
        <v>0</v>
      </c>
      <c r="AG301" s="31">
        <f t="shared" si="108"/>
        <v>0</v>
      </c>
    </row>
    <row r="302" spans="1:33" ht="3" customHeight="1" x14ac:dyDescent="0.25">
      <c r="A302">
        <v>13302</v>
      </c>
      <c r="B302">
        <v>13202</v>
      </c>
      <c r="C302" t="s">
        <v>301</v>
      </c>
      <c r="D302" s="31">
        <f>+DATA!O298</f>
        <v>28387159</v>
      </c>
      <c r="E302" s="31">
        <f>+DATA!T298</f>
        <v>6029270.3930000002</v>
      </c>
      <c r="F302" s="38">
        <f t="shared" si="90"/>
        <v>34416429.392999999</v>
      </c>
      <c r="G302" s="112">
        <f t="shared" si="91"/>
        <v>0.88400000000000001</v>
      </c>
      <c r="H302" s="95">
        <f t="shared" si="92"/>
        <v>0.17519999999999999</v>
      </c>
      <c r="I302" s="6" t="str">
        <f t="shared" si="93"/>
        <v>NO</v>
      </c>
      <c r="J302" s="117">
        <f t="shared" si="94"/>
        <v>0</v>
      </c>
      <c r="K302" s="117">
        <f t="shared" si="95"/>
        <v>0</v>
      </c>
      <c r="L302" s="31">
        <f>IF(I302="SI",VLOOKUP(A302,DATA!$A$4:$D$350,4,0),0)</f>
        <v>0</v>
      </c>
      <c r="M302" s="95">
        <f>IF(I302="SI",VLOOKUP(A302,DATA!$A$4:$E$350,5,0),0)</f>
        <v>0</v>
      </c>
      <c r="N302" s="31">
        <f t="shared" si="96"/>
        <v>0</v>
      </c>
      <c r="O302" s="117">
        <f t="shared" si="97"/>
        <v>0</v>
      </c>
      <c r="P302" s="117">
        <f t="shared" si="98"/>
        <v>0</v>
      </c>
      <c r="Q302" s="31">
        <f>IF(I302="SI",VLOOKUP(A302,DATA!$A$4:$G$350,7,0),0)</f>
        <v>0</v>
      </c>
      <c r="R302" s="31">
        <f>IF(I302="SI",VLOOKUP(A302,DATA!$A$4:$H$350,8,0),0)</f>
        <v>0</v>
      </c>
      <c r="S302" s="117">
        <f t="shared" si="99"/>
        <v>0</v>
      </c>
      <c r="T302" s="117">
        <f t="shared" si="100"/>
        <v>0</v>
      </c>
      <c r="U302" s="117">
        <f t="shared" si="101"/>
        <v>0</v>
      </c>
      <c r="V302" s="31">
        <f>IF(I302="SI",VLOOKUP(A302,COEF_FCM!$A$8:$X$354,24,0),0)</f>
        <v>0</v>
      </c>
      <c r="W302" s="121">
        <f t="shared" si="102"/>
        <v>0</v>
      </c>
      <c r="X302" s="31">
        <f>IF(AND(W302&gt;0,W302&lt;$W$7),ROUND(($W$7-W302)*L302,PARAMETROS!$L$8),0)</f>
        <v>0</v>
      </c>
      <c r="Y302" s="122">
        <f t="shared" si="103"/>
        <v>0</v>
      </c>
      <c r="Z302" s="117">
        <f t="shared" si="104"/>
        <v>0</v>
      </c>
      <c r="AA302" s="96">
        <f t="shared" si="105"/>
        <v>0</v>
      </c>
      <c r="AB302" s="31">
        <f>ROUND(AA302*PARAMETROS!$H$24,0)</f>
        <v>0</v>
      </c>
      <c r="AC302" s="31">
        <f t="shared" si="106"/>
        <v>0</v>
      </c>
      <c r="AD302" s="31">
        <f t="shared" si="107"/>
        <v>0</v>
      </c>
      <c r="AE302" s="31">
        <f t="shared" si="110"/>
        <v>0</v>
      </c>
      <c r="AF302" s="31">
        <f t="shared" si="110"/>
        <v>0</v>
      </c>
      <c r="AG302" s="31">
        <f t="shared" si="108"/>
        <v>0</v>
      </c>
    </row>
    <row r="303" spans="1:33" ht="3" customHeight="1" x14ac:dyDescent="0.25">
      <c r="A303">
        <v>13303</v>
      </c>
      <c r="B303">
        <v>13203</v>
      </c>
      <c r="C303" t="s">
        <v>302</v>
      </c>
      <c r="D303" s="31">
        <f>+DATA!O299</f>
        <v>2949424</v>
      </c>
      <c r="E303" s="31">
        <f>+DATA!T299</f>
        <v>2520369.4309999999</v>
      </c>
      <c r="F303" s="38">
        <f t="shared" si="90"/>
        <v>5469793.4309999999</v>
      </c>
      <c r="G303" s="112">
        <f t="shared" si="91"/>
        <v>0.33600000000000002</v>
      </c>
      <c r="H303" s="95">
        <f t="shared" si="92"/>
        <v>0.46079999999999999</v>
      </c>
      <c r="I303" s="6" t="str">
        <f t="shared" si="93"/>
        <v>SI</v>
      </c>
      <c r="J303" s="117">
        <f t="shared" si="94"/>
        <v>3.3112582781000001E-3</v>
      </c>
      <c r="K303" s="117">
        <f t="shared" si="95"/>
        <v>1.6556291390500001E-3</v>
      </c>
      <c r="L303" s="31">
        <f>IF(I303="SI",VLOOKUP(A303,DATA!$A$4:$D$350,4,0),0)</f>
        <v>22482</v>
      </c>
      <c r="M303" s="95">
        <f>IF(I303="SI",VLOOKUP(A303,DATA!$A$4:$E$350,5,0),0)</f>
        <v>6.0569842861232091E-2</v>
      </c>
      <c r="N303" s="31">
        <f t="shared" si="96"/>
        <v>1362</v>
      </c>
      <c r="O303" s="117">
        <f t="shared" si="97"/>
        <v>1.6490002481999999E-3</v>
      </c>
      <c r="P303" s="117">
        <f t="shared" si="98"/>
        <v>1.649000248E-4</v>
      </c>
      <c r="Q303" s="31">
        <f>IF(I303="SI",VLOOKUP(A303,DATA!$A$4:$G$350,7,0),0)</f>
        <v>4223</v>
      </c>
      <c r="R303" s="31">
        <f>IF(I303="SI",VLOOKUP(A303,DATA!$A$4:$H$350,8,0),0)</f>
        <v>6696</v>
      </c>
      <c r="S303" s="117">
        <f t="shared" si="99"/>
        <v>7.7725506499999998E-4</v>
      </c>
      <c r="T303" s="117">
        <f t="shared" si="100"/>
        <v>1.0168567633832908E-3</v>
      </c>
      <c r="U303" s="117">
        <f t="shared" si="101"/>
        <v>2.033713527E-4</v>
      </c>
      <c r="V303" s="31">
        <f>IF(I303="SI",VLOOKUP(A303,COEF_FCM!$A$8:$X$354,24,0),0)</f>
        <v>2949424</v>
      </c>
      <c r="W303" s="121">
        <f t="shared" si="102"/>
        <v>131.19</v>
      </c>
      <c r="X303" s="31">
        <f>IF(AND(W303&gt;0,W303&lt;$W$7),ROUND(($W$7-W303)*L303,PARAMETROS!$L$8),0)</f>
        <v>0</v>
      </c>
      <c r="Y303" s="122">
        <f t="shared" si="103"/>
        <v>0</v>
      </c>
      <c r="Z303" s="117">
        <f t="shared" si="104"/>
        <v>0</v>
      </c>
      <c r="AA303" s="96">
        <f t="shared" si="105"/>
        <v>2.0239005165500002E-3</v>
      </c>
      <c r="AB303" s="31">
        <f>ROUND(AA303*PARAMETROS!$H$24,0)</f>
        <v>347336747</v>
      </c>
      <c r="AC303" s="31">
        <f t="shared" si="106"/>
        <v>347336747</v>
      </c>
      <c r="AD303" s="31">
        <f t="shared" si="107"/>
        <v>86834187</v>
      </c>
      <c r="AE303" s="31">
        <f t="shared" si="110"/>
        <v>86834187</v>
      </c>
      <c r="AF303" s="31">
        <f t="shared" si="110"/>
        <v>86834187</v>
      </c>
      <c r="AG303" s="31">
        <f t="shared" si="108"/>
        <v>86834186</v>
      </c>
    </row>
    <row r="304" spans="1:33" ht="3" customHeight="1" x14ac:dyDescent="0.25">
      <c r="A304">
        <v>13401</v>
      </c>
      <c r="B304">
        <v>13401</v>
      </c>
      <c r="C304" t="s">
        <v>305</v>
      </c>
      <c r="D304" s="31">
        <f>+DATA!O300</f>
        <v>45042850</v>
      </c>
      <c r="E304" s="31">
        <f>+DATA!T300</f>
        <v>25616831.004999999</v>
      </c>
      <c r="F304" s="38">
        <f t="shared" si="90"/>
        <v>70659681.004999995</v>
      </c>
      <c r="G304" s="112">
        <f t="shared" si="91"/>
        <v>0.95899999999999996</v>
      </c>
      <c r="H304" s="95">
        <f t="shared" si="92"/>
        <v>0.36249999999999999</v>
      </c>
      <c r="I304" s="6" t="str">
        <f t="shared" si="93"/>
        <v>NO</v>
      </c>
      <c r="J304" s="117">
        <f t="shared" si="94"/>
        <v>0</v>
      </c>
      <c r="K304" s="117">
        <f t="shared" si="95"/>
        <v>0</v>
      </c>
      <c r="L304" s="31">
        <f>IF(I304="SI",VLOOKUP(A304,DATA!$A$4:$D$350,4,0),0)</f>
        <v>0</v>
      </c>
      <c r="M304" s="95">
        <f>IF(I304="SI",VLOOKUP(A304,DATA!$A$4:$E$350,5,0),0)</f>
        <v>0</v>
      </c>
      <c r="N304" s="31">
        <f t="shared" si="96"/>
        <v>0</v>
      </c>
      <c r="O304" s="117">
        <f t="shared" si="97"/>
        <v>0</v>
      </c>
      <c r="P304" s="117">
        <f t="shared" si="98"/>
        <v>0</v>
      </c>
      <c r="Q304" s="31">
        <f>IF(I304="SI",VLOOKUP(A304,DATA!$A$4:$G$350,7,0),0)</f>
        <v>0</v>
      </c>
      <c r="R304" s="31">
        <f>IF(I304="SI",VLOOKUP(A304,DATA!$A$4:$H$350,8,0),0)</f>
        <v>0</v>
      </c>
      <c r="S304" s="117">
        <f t="shared" si="99"/>
        <v>0</v>
      </c>
      <c r="T304" s="117">
        <f t="shared" si="100"/>
        <v>0</v>
      </c>
      <c r="U304" s="117">
        <f t="shared" si="101"/>
        <v>0</v>
      </c>
      <c r="V304" s="31">
        <f>IF(I304="SI",VLOOKUP(A304,COEF_FCM!$A$8:$X$354,24,0),0)</f>
        <v>0</v>
      </c>
      <c r="W304" s="121">
        <f t="shared" si="102"/>
        <v>0</v>
      </c>
      <c r="X304" s="31">
        <f>IF(AND(W304&gt;0,W304&lt;$W$7),ROUND(($W$7-W304)*L304,PARAMETROS!$L$8),0)</f>
        <v>0</v>
      </c>
      <c r="Y304" s="122">
        <f t="shared" si="103"/>
        <v>0</v>
      </c>
      <c r="Z304" s="117">
        <f t="shared" si="104"/>
        <v>0</v>
      </c>
      <c r="AA304" s="96">
        <f t="shared" si="105"/>
        <v>0</v>
      </c>
      <c r="AB304" s="31">
        <f>ROUND(AA304*PARAMETROS!$H$24,0)</f>
        <v>0</v>
      </c>
      <c r="AC304" s="31">
        <f t="shared" si="106"/>
        <v>0</v>
      </c>
      <c r="AD304" s="31">
        <f t="shared" si="107"/>
        <v>0</v>
      </c>
      <c r="AE304" s="31">
        <f t="shared" si="110"/>
        <v>0</v>
      </c>
      <c r="AF304" s="31">
        <f t="shared" si="110"/>
        <v>0</v>
      </c>
      <c r="AG304" s="31">
        <f t="shared" si="108"/>
        <v>0</v>
      </c>
    </row>
    <row r="305" spans="1:33" ht="3" customHeight="1" x14ac:dyDescent="0.25">
      <c r="A305">
        <v>13402</v>
      </c>
      <c r="B305">
        <v>13403</v>
      </c>
      <c r="C305" t="s">
        <v>307</v>
      </c>
      <c r="D305" s="31">
        <f>+DATA!O301</f>
        <v>13618373</v>
      </c>
      <c r="E305" s="31">
        <f>+DATA!T301</f>
        <v>5967308.2989999996</v>
      </c>
      <c r="F305" s="38">
        <f t="shared" si="90"/>
        <v>19585681.298999999</v>
      </c>
      <c r="G305" s="112">
        <f t="shared" si="91"/>
        <v>0.78200000000000003</v>
      </c>
      <c r="H305" s="95">
        <f t="shared" si="92"/>
        <v>0.30470000000000003</v>
      </c>
      <c r="I305" s="6" t="str">
        <f t="shared" si="93"/>
        <v>SI</v>
      </c>
      <c r="J305" s="117">
        <f t="shared" si="94"/>
        <v>3.3112582781000001E-3</v>
      </c>
      <c r="K305" s="117">
        <f t="shared" si="95"/>
        <v>1.6556291390500001E-3</v>
      </c>
      <c r="L305" s="31">
        <f>IF(I305="SI",VLOOKUP(A305,DATA!$A$4:$D$350,4,0),0)</f>
        <v>117982</v>
      </c>
      <c r="M305" s="95">
        <f>IF(I305="SI",VLOOKUP(A305,DATA!$A$4:$E$350,5,0),0)</f>
        <v>4.4472114280194347E-2</v>
      </c>
      <c r="N305" s="31">
        <f t="shared" si="96"/>
        <v>5247</v>
      </c>
      <c r="O305" s="117">
        <f t="shared" si="97"/>
        <v>6.3526463305999996E-3</v>
      </c>
      <c r="P305" s="117">
        <f t="shared" si="98"/>
        <v>6.3526463310000002E-4</v>
      </c>
      <c r="Q305" s="31">
        <f>IF(I305="SI",VLOOKUP(A305,DATA!$A$4:$G$350,7,0),0)</f>
        <v>24107</v>
      </c>
      <c r="R305" s="31">
        <f>IF(I305="SI",VLOOKUP(A305,DATA!$A$4:$H$350,8,0),0)</f>
        <v>38207</v>
      </c>
      <c r="S305" s="117">
        <f t="shared" si="99"/>
        <v>4.4389498685000004E-3</v>
      </c>
      <c r="T305" s="117">
        <f t="shared" si="100"/>
        <v>5.8073294075009921E-3</v>
      </c>
      <c r="U305" s="117">
        <f t="shared" si="101"/>
        <v>1.1614658814999999E-3</v>
      </c>
      <c r="V305" s="31">
        <f>IF(I305="SI",VLOOKUP(A305,COEF_FCM!$A$8:$X$354,24,0),0)</f>
        <v>13618373</v>
      </c>
      <c r="W305" s="121">
        <f t="shared" si="102"/>
        <v>115.43</v>
      </c>
      <c r="X305" s="31">
        <f>IF(AND(W305&gt;0,W305&lt;$W$7),ROUND(($W$7-W305)*L305,PARAMETROS!$L$8),0)</f>
        <v>0</v>
      </c>
      <c r="Y305" s="122">
        <f t="shared" si="103"/>
        <v>0</v>
      </c>
      <c r="Z305" s="117">
        <f t="shared" si="104"/>
        <v>0</v>
      </c>
      <c r="AA305" s="96">
        <f t="shared" si="105"/>
        <v>3.4523596536499999E-3</v>
      </c>
      <c r="AB305" s="31">
        <f>ROUND(AA305*PARAMETROS!$H$24,0)</f>
        <v>592485333</v>
      </c>
      <c r="AC305" s="31">
        <f t="shared" si="106"/>
        <v>592485333</v>
      </c>
      <c r="AD305" s="31">
        <f t="shared" si="107"/>
        <v>148121333</v>
      </c>
      <c r="AE305" s="31">
        <f t="shared" si="110"/>
        <v>148121333</v>
      </c>
      <c r="AF305" s="31">
        <f t="shared" si="110"/>
        <v>148121333</v>
      </c>
      <c r="AG305" s="31">
        <f t="shared" si="108"/>
        <v>148121334</v>
      </c>
    </row>
    <row r="306" spans="1:33" ht="3" customHeight="1" x14ac:dyDescent="0.25">
      <c r="A306">
        <v>13403</v>
      </c>
      <c r="B306">
        <v>13402</v>
      </c>
      <c r="C306" t="s">
        <v>306</v>
      </c>
      <c r="D306" s="31">
        <f>+DATA!O302</f>
        <v>5512385</v>
      </c>
      <c r="E306" s="31">
        <f>+DATA!T302</f>
        <v>2313375.182</v>
      </c>
      <c r="F306" s="38">
        <f t="shared" si="90"/>
        <v>7825760.182</v>
      </c>
      <c r="G306" s="112">
        <f t="shared" si="91"/>
        <v>0.48899999999999999</v>
      </c>
      <c r="H306" s="95">
        <f t="shared" si="92"/>
        <v>0.29559999999999997</v>
      </c>
      <c r="I306" s="6" t="str">
        <f t="shared" si="93"/>
        <v>SI</v>
      </c>
      <c r="J306" s="117">
        <f t="shared" si="94"/>
        <v>3.3112582781000001E-3</v>
      </c>
      <c r="K306" s="117">
        <f t="shared" si="95"/>
        <v>1.6556291390500001E-3</v>
      </c>
      <c r="L306" s="31">
        <f>IF(I306="SI",VLOOKUP(A306,DATA!$A$4:$D$350,4,0),0)</f>
        <v>30283</v>
      </c>
      <c r="M306" s="95">
        <f>IF(I306="SI",VLOOKUP(A306,DATA!$A$4:$E$350,5,0),0)</f>
        <v>3.4845772223698397E-2</v>
      </c>
      <c r="N306" s="31">
        <f t="shared" si="96"/>
        <v>1055</v>
      </c>
      <c r="O306" s="117">
        <f t="shared" si="97"/>
        <v>1.2773092965E-3</v>
      </c>
      <c r="P306" s="117">
        <f t="shared" si="98"/>
        <v>1.2773092970000001E-4</v>
      </c>
      <c r="Q306" s="31">
        <f>IF(I306="SI",VLOOKUP(A306,DATA!$A$4:$G$350,7,0),0)</f>
        <v>3498</v>
      </c>
      <c r="R306" s="31">
        <f>IF(I306="SI",VLOOKUP(A306,DATA!$A$4:$H$350,8,0),0)</f>
        <v>7459</v>
      </c>
      <c r="S306" s="117">
        <f t="shared" si="99"/>
        <v>4.7873573460000001E-4</v>
      </c>
      <c r="T306" s="117">
        <f t="shared" si="100"/>
        <v>6.2631392386137508E-4</v>
      </c>
      <c r="U306" s="117">
        <f t="shared" si="101"/>
        <v>1.2526278480000001E-4</v>
      </c>
      <c r="V306" s="31">
        <f>IF(I306="SI",VLOOKUP(A306,COEF_FCM!$A$8:$X$354,24,0),0)</f>
        <v>5512385</v>
      </c>
      <c r="W306" s="121">
        <f t="shared" si="102"/>
        <v>182.03</v>
      </c>
      <c r="X306" s="31">
        <f>IF(AND(W306&gt;0,W306&lt;$W$7),ROUND(($W$7-W306)*L306,PARAMETROS!$L$8),0)</f>
        <v>0</v>
      </c>
      <c r="Y306" s="122">
        <f t="shared" si="103"/>
        <v>0</v>
      </c>
      <c r="Z306" s="117">
        <f t="shared" si="104"/>
        <v>0</v>
      </c>
      <c r="AA306" s="96">
        <f t="shared" si="105"/>
        <v>1.9086228535500002E-3</v>
      </c>
      <c r="AB306" s="31">
        <f>ROUND(AA306*PARAMETROS!$H$24,0)</f>
        <v>327553083</v>
      </c>
      <c r="AC306" s="31">
        <f t="shared" si="106"/>
        <v>327553083</v>
      </c>
      <c r="AD306" s="31">
        <f t="shared" si="107"/>
        <v>81888271</v>
      </c>
      <c r="AE306" s="31">
        <f t="shared" si="110"/>
        <v>81888271</v>
      </c>
      <c r="AF306" s="31">
        <f t="shared" si="110"/>
        <v>81888271</v>
      </c>
      <c r="AG306" s="31">
        <f t="shared" si="108"/>
        <v>81888270</v>
      </c>
    </row>
    <row r="307" spans="1:33" ht="3" customHeight="1" x14ac:dyDescent="0.25">
      <c r="A307">
        <v>13404</v>
      </c>
      <c r="B307">
        <v>13404</v>
      </c>
      <c r="C307" t="s">
        <v>308</v>
      </c>
      <c r="D307" s="31">
        <f>+DATA!O303</f>
        <v>11063523</v>
      </c>
      <c r="E307" s="31">
        <f>+DATA!T303</f>
        <v>5453724.1780000003</v>
      </c>
      <c r="F307" s="38">
        <f t="shared" si="90"/>
        <v>16517247.177999999</v>
      </c>
      <c r="G307" s="112">
        <f t="shared" si="91"/>
        <v>0.73899999999999999</v>
      </c>
      <c r="H307" s="95">
        <f t="shared" si="92"/>
        <v>0.33019999999999999</v>
      </c>
      <c r="I307" s="6" t="str">
        <f t="shared" si="93"/>
        <v>SI</v>
      </c>
      <c r="J307" s="117">
        <f t="shared" si="94"/>
        <v>3.3112582781000001E-3</v>
      </c>
      <c r="K307" s="117">
        <f t="shared" si="95"/>
        <v>1.6556291390500001E-3</v>
      </c>
      <c r="L307" s="31">
        <f>IF(I307="SI",VLOOKUP(A307,DATA!$A$4:$D$350,4,0),0)</f>
        <v>88317</v>
      </c>
      <c r="M307" s="95">
        <f>IF(I307="SI",VLOOKUP(A307,DATA!$A$4:$E$350,5,0),0)</f>
        <v>5.8651721684238767E-2</v>
      </c>
      <c r="N307" s="31">
        <f t="shared" si="96"/>
        <v>5180</v>
      </c>
      <c r="O307" s="117">
        <f t="shared" si="97"/>
        <v>6.2715281098999999E-3</v>
      </c>
      <c r="P307" s="117">
        <f t="shared" si="98"/>
        <v>6.2715281099999997E-4</v>
      </c>
      <c r="Q307" s="31">
        <f>IF(I307="SI",VLOOKUP(A307,DATA!$A$4:$G$350,7,0),0)</f>
        <v>16094</v>
      </c>
      <c r="R307" s="31">
        <f>IF(I307="SI",VLOOKUP(A307,DATA!$A$4:$H$350,8,0),0)</f>
        <v>25478</v>
      </c>
      <c r="S307" s="117">
        <f t="shared" si="99"/>
        <v>2.9668767392000001E-3</v>
      </c>
      <c r="T307" s="117">
        <f t="shared" si="100"/>
        <v>3.8814654470988668E-3</v>
      </c>
      <c r="U307" s="117">
        <f t="shared" si="101"/>
        <v>7.7629308940000005E-4</v>
      </c>
      <c r="V307" s="31">
        <f>IF(I307="SI",VLOOKUP(A307,COEF_FCM!$A$8:$X$354,24,0),0)</f>
        <v>11063523</v>
      </c>
      <c r="W307" s="121">
        <f t="shared" si="102"/>
        <v>125.27</v>
      </c>
      <c r="X307" s="31">
        <f>IF(AND(W307&gt;0,W307&lt;$W$7),ROUND(($W$7-W307)*L307,PARAMETROS!$L$8),0)</f>
        <v>0</v>
      </c>
      <c r="Y307" s="122">
        <f t="shared" si="103"/>
        <v>0</v>
      </c>
      <c r="Z307" s="117">
        <f t="shared" si="104"/>
        <v>0</v>
      </c>
      <c r="AA307" s="96">
        <f t="shared" si="105"/>
        <v>3.0590750394499998E-3</v>
      </c>
      <c r="AB307" s="31">
        <f>ROUND(AA307*PARAMETROS!$H$24,0)</f>
        <v>524990811</v>
      </c>
      <c r="AC307" s="31">
        <f t="shared" si="106"/>
        <v>524990811</v>
      </c>
      <c r="AD307" s="31">
        <f t="shared" si="107"/>
        <v>131247703</v>
      </c>
      <c r="AE307" s="31">
        <f t="shared" si="110"/>
        <v>131247703</v>
      </c>
      <c r="AF307" s="31">
        <f t="shared" si="110"/>
        <v>131247703</v>
      </c>
      <c r="AG307" s="31">
        <f t="shared" si="108"/>
        <v>131247702</v>
      </c>
    </row>
    <row r="308" spans="1:33" ht="3" customHeight="1" x14ac:dyDescent="0.25">
      <c r="A308">
        <v>13501</v>
      </c>
      <c r="B308">
        <v>13601</v>
      </c>
      <c r="C308" t="s">
        <v>314</v>
      </c>
      <c r="D308" s="31">
        <f>+DATA!O304</f>
        <v>9435514</v>
      </c>
      <c r="E308" s="31">
        <f>+DATA!T304</f>
        <v>19578027.181000002</v>
      </c>
      <c r="F308" s="38">
        <f t="shared" si="90"/>
        <v>29013541.181000002</v>
      </c>
      <c r="G308" s="112">
        <f t="shared" si="91"/>
        <v>0.86599999999999999</v>
      </c>
      <c r="H308" s="95">
        <f t="shared" si="92"/>
        <v>0.67479999999999996</v>
      </c>
      <c r="I308" s="6" t="str">
        <f t="shared" si="93"/>
        <v>SI</v>
      </c>
      <c r="J308" s="117">
        <f t="shared" si="94"/>
        <v>3.3112582781000001E-3</v>
      </c>
      <c r="K308" s="117">
        <f t="shared" si="95"/>
        <v>1.6556291390500001E-3</v>
      </c>
      <c r="L308" s="31">
        <f>IF(I308="SI",VLOOKUP(A308,DATA!$A$4:$D$350,4,0),0)</f>
        <v>148899</v>
      </c>
      <c r="M308" s="95">
        <f>IF(I308="SI",VLOOKUP(A308,DATA!$A$4:$E$350,5,0),0)</f>
        <v>7.5717591306610932E-2</v>
      </c>
      <c r="N308" s="31">
        <f t="shared" si="96"/>
        <v>11274</v>
      </c>
      <c r="O308" s="117">
        <f t="shared" si="97"/>
        <v>1.3649654036799999E-2</v>
      </c>
      <c r="P308" s="117">
        <f t="shared" si="98"/>
        <v>1.3649654037E-3</v>
      </c>
      <c r="Q308" s="31">
        <f>IF(I308="SI",VLOOKUP(A308,DATA!$A$4:$G$350,7,0),0)</f>
        <v>39412</v>
      </c>
      <c r="R308" s="31">
        <f>IF(I308="SI",VLOOKUP(A308,DATA!$A$4:$H$350,8,0),0)</f>
        <v>50530</v>
      </c>
      <c r="S308" s="117">
        <f t="shared" si="99"/>
        <v>8.9710751126000007E-3</v>
      </c>
      <c r="T308" s="117">
        <f t="shared" si="100"/>
        <v>1.173655703751101E-2</v>
      </c>
      <c r="U308" s="117">
        <f t="shared" si="101"/>
        <v>2.3473114074999998E-3</v>
      </c>
      <c r="V308" s="31">
        <f>IF(I308="SI",VLOOKUP(A308,COEF_FCM!$A$8:$X$354,24,0),0)</f>
        <v>9435514</v>
      </c>
      <c r="W308" s="121">
        <f t="shared" si="102"/>
        <v>63.37</v>
      </c>
      <c r="X308" s="31">
        <f>IF(AND(W308&gt;0,W308&lt;$W$7),ROUND(($W$7-W308)*L308,PARAMETROS!$L$8),0)</f>
        <v>6475618</v>
      </c>
      <c r="Y308" s="122">
        <f t="shared" si="103"/>
        <v>2.3865223496599999E-2</v>
      </c>
      <c r="Z308" s="117">
        <f t="shared" si="104"/>
        <v>4.7730446992999996E-3</v>
      </c>
      <c r="AA308" s="96">
        <f t="shared" si="105"/>
        <v>1.014095064955E-2</v>
      </c>
      <c r="AB308" s="31">
        <f>ROUND(AA308*PARAMETROS!$H$24,0)</f>
        <v>1740364598</v>
      </c>
      <c r="AC308" s="31">
        <f t="shared" si="106"/>
        <v>1740364598</v>
      </c>
      <c r="AD308" s="31">
        <f t="shared" si="107"/>
        <v>435091150</v>
      </c>
      <c r="AE308" s="31">
        <f t="shared" si="110"/>
        <v>435091150</v>
      </c>
      <c r="AF308" s="31">
        <f t="shared" si="110"/>
        <v>435091150</v>
      </c>
      <c r="AG308" s="31">
        <f t="shared" si="108"/>
        <v>435091148</v>
      </c>
    </row>
    <row r="309" spans="1:33" ht="3" customHeight="1" x14ac:dyDescent="0.25">
      <c r="A309">
        <v>13502</v>
      </c>
      <c r="B309">
        <v>13605</v>
      </c>
      <c r="C309" t="s">
        <v>432</v>
      </c>
      <c r="D309" s="31">
        <f>+DATA!O305</f>
        <v>10612560</v>
      </c>
      <c r="E309" s="31">
        <f>+DATA!T305</f>
        <v>2130568.5049999999</v>
      </c>
      <c r="F309" s="38">
        <f t="shared" si="90"/>
        <v>12743128.504999999</v>
      </c>
      <c r="G309" s="112">
        <f t="shared" si="91"/>
        <v>0.66</v>
      </c>
      <c r="H309" s="95">
        <f t="shared" si="92"/>
        <v>0.16719999999999999</v>
      </c>
      <c r="I309" s="6" t="str">
        <f t="shared" si="93"/>
        <v>SI</v>
      </c>
      <c r="J309" s="117">
        <f t="shared" si="94"/>
        <v>3.3112582781000001E-3</v>
      </c>
      <c r="K309" s="117">
        <f t="shared" si="95"/>
        <v>1.6556291390500001E-3</v>
      </c>
      <c r="L309" s="31">
        <f>IF(I309="SI",VLOOKUP(A309,DATA!$A$4:$D$350,4,0),0)</f>
        <v>7856</v>
      </c>
      <c r="M309" s="95">
        <f>IF(I309="SI",VLOOKUP(A309,DATA!$A$4:$E$350,5,0),0)</f>
        <v>9.6121569117850983E-2</v>
      </c>
      <c r="N309" s="31">
        <f t="shared" si="96"/>
        <v>755</v>
      </c>
      <c r="O309" s="117">
        <f t="shared" si="97"/>
        <v>9.1409338279999997E-4</v>
      </c>
      <c r="P309" s="117">
        <f t="shared" si="98"/>
        <v>9.1409338299999998E-5</v>
      </c>
      <c r="Q309" s="31">
        <f>IF(I309="SI",VLOOKUP(A309,DATA!$A$4:$G$350,7,0),0)</f>
        <v>1867</v>
      </c>
      <c r="R309" s="31">
        <f>IF(I309="SI",VLOOKUP(A309,DATA!$A$4:$H$350,8,0),0)</f>
        <v>2284</v>
      </c>
      <c r="S309" s="117">
        <f t="shared" si="99"/>
        <v>4.4537863430000002E-4</v>
      </c>
      <c r="T309" s="117">
        <f t="shared" si="100"/>
        <v>5.826739470065317E-4</v>
      </c>
      <c r="U309" s="117">
        <f t="shared" si="101"/>
        <v>1.165347894E-4</v>
      </c>
      <c r="V309" s="31">
        <f>IF(I309="SI",VLOOKUP(A309,COEF_FCM!$A$8:$X$354,24,0),0)</f>
        <v>10612560</v>
      </c>
      <c r="W309" s="121">
        <f t="shared" si="102"/>
        <v>1350.89</v>
      </c>
      <c r="X309" s="31">
        <f>IF(AND(W309&gt;0,W309&lt;$W$7),ROUND(($W$7-W309)*L309,PARAMETROS!$L$8),0)</f>
        <v>0</v>
      </c>
      <c r="Y309" s="122">
        <f t="shared" si="103"/>
        <v>0</v>
      </c>
      <c r="Z309" s="117">
        <f t="shared" si="104"/>
        <v>0</v>
      </c>
      <c r="AA309" s="96">
        <f t="shared" si="105"/>
        <v>1.86357326675E-3</v>
      </c>
      <c r="AB309" s="31">
        <f>ROUND(AA309*PARAMETROS!$H$24,0)</f>
        <v>319821785</v>
      </c>
      <c r="AC309" s="31">
        <f t="shared" si="106"/>
        <v>319821785</v>
      </c>
      <c r="AD309" s="31">
        <f t="shared" si="107"/>
        <v>79955446</v>
      </c>
      <c r="AE309" s="31">
        <f t="shared" ref="AE309:AF328" si="111">+AD309</f>
        <v>79955446</v>
      </c>
      <c r="AF309" s="31">
        <f t="shared" si="111"/>
        <v>79955446</v>
      </c>
      <c r="AG309" s="31">
        <f t="shared" si="108"/>
        <v>79955447</v>
      </c>
    </row>
    <row r="310" spans="1:33" ht="3" customHeight="1" x14ac:dyDescent="0.25">
      <c r="A310">
        <v>13503</v>
      </c>
      <c r="B310">
        <v>13603</v>
      </c>
      <c r="C310" t="s">
        <v>433</v>
      </c>
      <c r="D310" s="31">
        <f>+DATA!O306</f>
        <v>5669196</v>
      </c>
      <c r="E310" s="31">
        <f>+DATA!T306</f>
        <v>3717656.801</v>
      </c>
      <c r="F310" s="38">
        <f t="shared" si="90"/>
        <v>9386852.800999999</v>
      </c>
      <c r="G310" s="112">
        <f t="shared" si="91"/>
        <v>0.56499999999999995</v>
      </c>
      <c r="H310" s="95">
        <f t="shared" si="92"/>
        <v>0.39600000000000002</v>
      </c>
      <c r="I310" s="6" t="str">
        <f t="shared" si="93"/>
        <v>SI</v>
      </c>
      <c r="J310" s="117">
        <f t="shared" si="94"/>
        <v>3.3112582781000001E-3</v>
      </c>
      <c r="K310" s="117">
        <f t="shared" si="95"/>
        <v>1.6556291390500001E-3</v>
      </c>
      <c r="L310" s="31">
        <f>IF(I310="SI",VLOOKUP(A310,DATA!$A$4:$D$350,4,0),0)</f>
        <v>38367</v>
      </c>
      <c r="M310" s="95">
        <f>IF(I310="SI",VLOOKUP(A310,DATA!$A$4:$E$350,5,0),0)</f>
        <v>5.9964589627170613E-2</v>
      </c>
      <c r="N310" s="31">
        <f t="shared" si="96"/>
        <v>2301</v>
      </c>
      <c r="O310" s="117">
        <f t="shared" si="97"/>
        <v>2.7858660581000002E-3</v>
      </c>
      <c r="P310" s="117">
        <f t="shared" si="98"/>
        <v>2.785866058E-4</v>
      </c>
      <c r="Q310" s="31">
        <f>IF(I310="SI",VLOOKUP(A310,DATA!$A$4:$G$350,7,0),0)</f>
        <v>9249</v>
      </c>
      <c r="R310" s="31">
        <f>IF(I310="SI",VLOOKUP(A310,DATA!$A$4:$H$350,8,0),0)</f>
        <v>15605</v>
      </c>
      <c r="S310" s="117">
        <f t="shared" si="99"/>
        <v>1.5997887146E-3</v>
      </c>
      <c r="T310" s="117">
        <f t="shared" si="100"/>
        <v>2.0929499821596802E-3</v>
      </c>
      <c r="U310" s="117">
        <f t="shared" si="101"/>
        <v>4.1858999640000002E-4</v>
      </c>
      <c r="V310" s="31">
        <f>IF(I310="SI",VLOOKUP(A310,COEF_FCM!$A$8:$X$354,24,0),0)</f>
        <v>5669196</v>
      </c>
      <c r="W310" s="121">
        <f t="shared" si="102"/>
        <v>147.76</v>
      </c>
      <c r="X310" s="31">
        <f>IF(AND(W310&gt;0,W310&lt;$W$7),ROUND(($W$7-W310)*L310,PARAMETROS!$L$8),0)</f>
        <v>0</v>
      </c>
      <c r="Y310" s="122">
        <f t="shared" si="103"/>
        <v>0</v>
      </c>
      <c r="Z310" s="117">
        <f t="shared" si="104"/>
        <v>0</v>
      </c>
      <c r="AA310" s="96">
        <f t="shared" si="105"/>
        <v>2.3528057412500001E-3</v>
      </c>
      <c r="AB310" s="31">
        <f>ROUND(AA310*PARAMETROS!$H$24,0)</f>
        <v>403782639</v>
      </c>
      <c r="AC310" s="31">
        <f t="shared" si="106"/>
        <v>403782639</v>
      </c>
      <c r="AD310" s="31">
        <f t="shared" si="107"/>
        <v>100945660</v>
      </c>
      <c r="AE310" s="31">
        <f t="shared" si="111"/>
        <v>100945660</v>
      </c>
      <c r="AF310" s="31">
        <f t="shared" si="111"/>
        <v>100945660</v>
      </c>
      <c r="AG310" s="31">
        <f t="shared" si="108"/>
        <v>100945659</v>
      </c>
    </row>
    <row r="311" spans="1:33" ht="3" customHeight="1" x14ac:dyDescent="0.25">
      <c r="A311">
        <v>13504</v>
      </c>
      <c r="B311">
        <v>13602</v>
      </c>
      <c r="C311" t="s">
        <v>434</v>
      </c>
      <c r="D311" s="31">
        <f>+DATA!O307</f>
        <v>2994899</v>
      </c>
      <c r="E311" s="31">
        <f>+DATA!T307</f>
        <v>2461163.3870000001</v>
      </c>
      <c r="F311" s="38">
        <f t="shared" si="90"/>
        <v>5456062.3870000001</v>
      </c>
      <c r="G311" s="112">
        <f t="shared" si="91"/>
        <v>0.33</v>
      </c>
      <c r="H311" s="95">
        <f t="shared" si="92"/>
        <v>0.4511</v>
      </c>
      <c r="I311" s="6" t="str">
        <f t="shared" si="93"/>
        <v>SI</v>
      </c>
      <c r="J311" s="117">
        <f t="shared" si="94"/>
        <v>3.3112582781000001E-3</v>
      </c>
      <c r="K311" s="117">
        <f t="shared" si="95"/>
        <v>1.6556291390500001E-3</v>
      </c>
      <c r="L311" s="31">
        <f>IF(I311="SI",VLOOKUP(A311,DATA!$A$4:$D$350,4,0),0)</f>
        <v>15669</v>
      </c>
      <c r="M311" s="95">
        <f>IF(I311="SI",VLOOKUP(A311,DATA!$A$4:$E$350,5,0),0)</f>
        <v>7.3137242315189241E-2</v>
      </c>
      <c r="N311" s="31">
        <f t="shared" si="96"/>
        <v>1146</v>
      </c>
      <c r="O311" s="117">
        <f t="shared" si="97"/>
        <v>1.3874847902999999E-3</v>
      </c>
      <c r="P311" s="117">
        <f t="shared" si="98"/>
        <v>1.3874847899999999E-4</v>
      </c>
      <c r="Q311" s="31">
        <f>IF(I311="SI",VLOOKUP(A311,DATA!$A$4:$G$350,7,0),0)</f>
        <v>3727</v>
      </c>
      <c r="R311" s="31">
        <f>IF(I311="SI",VLOOKUP(A311,DATA!$A$4:$H$350,8,0),0)</f>
        <v>5587</v>
      </c>
      <c r="S311" s="117">
        <f t="shared" si="99"/>
        <v>7.2556605610000005E-4</v>
      </c>
      <c r="T311" s="117">
        <f t="shared" si="100"/>
        <v>9.4923376462863608E-4</v>
      </c>
      <c r="U311" s="117">
        <f t="shared" si="101"/>
        <v>1.8984675289999999E-4</v>
      </c>
      <c r="V311" s="31">
        <f>IF(I311="SI",VLOOKUP(A311,COEF_FCM!$A$8:$X$354,24,0),0)</f>
        <v>2994899</v>
      </c>
      <c r="W311" s="121">
        <f t="shared" si="102"/>
        <v>191.14</v>
      </c>
      <c r="X311" s="31">
        <f>IF(AND(W311&gt;0,W311&lt;$W$7),ROUND(($W$7-W311)*L311,PARAMETROS!$L$8),0)</f>
        <v>0</v>
      </c>
      <c r="Y311" s="122">
        <f t="shared" si="103"/>
        <v>0</v>
      </c>
      <c r="Z311" s="117">
        <f t="shared" si="104"/>
        <v>0</v>
      </c>
      <c r="AA311" s="96">
        <f t="shared" si="105"/>
        <v>1.98422437095E-3</v>
      </c>
      <c r="AB311" s="31">
        <f>ROUND(AA311*PARAMETROS!$H$24,0)</f>
        <v>340527626</v>
      </c>
      <c r="AC311" s="31">
        <f t="shared" si="106"/>
        <v>340527626</v>
      </c>
      <c r="AD311" s="31">
        <f t="shared" si="107"/>
        <v>85131907</v>
      </c>
      <c r="AE311" s="31">
        <f t="shared" si="111"/>
        <v>85131907</v>
      </c>
      <c r="AF311" s="31">
        <f t="shared" si="111"/>
        <v>85131907</v>
      </c>
      <c r="AG311" s="31">
        <f t="shared" si="108"/>
        <v>85131905</v>
      </c>
    </row>
    <row r="312" spans="1:33" ht="3" customHeight="1" x14ac:dyDescent="0.25">
      <c r="A312">
        <v>13505</v>
      </c>
      <c r="B312">
        <v>13604</v>
      </c>
      <c r="C312" t="s">
        <v>315</v>
      </c>
      <c r="D312" s="31">
        <f>+DATA!O308</f>
        <v>1396884</v>
      </c>
      <c r="E312" s="31">
        <f>+DATA!T308</f>
        <v>2831266.7450000001</v>
      </c>
      <c r="F312" s="38">
        <f t="shared" si="90"/>
        <v>4228150.7450000001</v>
      </c>
      <c r="G312" s="112">
        <f t="shared" si="91"/>
        <v>0.188</v>
      </c>
      <c r="H312" s="95">
        <f t="shared" si="92"/>
        <v>0.66959999999999997</v>
      </c>
      <c r="I312" s="6" t="str">
        <f t="shared" si="93"/>
        <v>SI</v>
      </c>
      <c r="J312" s="117">
        <f t="shared" si="94"/>
        <v>3.3112582781000001E-3</v>
      </c>
      <c r="K312" s="117">
        <f t="shared" si="95"/>
        <v>1.6556291390500001E-3</v>
      </c>
      <c r="L312" s="31">
        <f>IF(I312="SI",VLOOKUP(A312,DATA!$A$4:$D$350,4,0),0)</f>
        <v>12544</v>
      </c>
      <c r="M312" s="95">
        <f>IF(I312="SI",VLOOKUP(A312,DATA!$A$4:$E$350,5,0),0)</f>
        <v>0.14096295341763421</v>
      </c>
      <c r="N312" s="31">
        <f t="shared" si="96"/>
        <v>1768</v>
      </c>
      <c r="O312" s="117">
        <f t="shared" si="97"/>
        <v>2.1405524513999998E-3</v>
      </c>
      <c r="P312" s="117">
        <f t="shared" si="98"/>
        <v>2.140552451E-4</v>
      </c>
      <c r="Q312" s="31">
        <f>IF(I312="SI",VLOOKUP(A312,DATA!$A$4:$G$350,7,0),0)</f>
        <v>3836</v>
      </c>
      <c r="R312" s="31">
        <f>IF(I312="SI",VLOOKUP(A312,DATA!$A$4:$H$350,8,0),0)</f>
        <v>5498</v>
      </c>
      <c r="S312" s="117">
        <f t="shared" si="99"/>
        <v>7.8106882570000001E-4</v>
      </c>
      <c r="T312" s="117">
        <f t="shared" si="100"/>
        <v>1.0218461787455701E-3</v>
      </c>
      <c r="U312" s="117">
        <f t="shared" si="101"/>
        <v>2.043692357E-4</v>
      </c>
      <c r="V312" s="31">
        <f>IF(I312="SI",VLOOKUP(A312,COEF_FCM!$A$8:$X$354,24,0),0)</f>
        <v>1396884</v>
      </c>
      <c r="W312" s="121">
        <f t="shared" si="102"/>
        <v>111.36</v>
      </c>
      <c r="X312" s="31">
        <f>IF(AND(W312&gt;0,W312&lt;$W$7),ROUND(($W$7-W312)*L312,PARAMETROS!$L$8),0)</f>
        <v>0</v>
      </c>
      <c r="Y312" s="122">
        <f t="shared" si="103"/>
        <v>0</v>
      </c>
      <c r="Z312" s="117">
        <f t="shared" si="104"/>
        <v>0</v>
      </c>
      <c r="AA312" s="96">
        <f t="shared" si="105"/>
        <v>2.0740536198500001E-3</v>
      </c>
      <c r="AB312" s="31">
        <f>ROUND(AA312*PARAMETROS!$H$24,0)</f>
        <v>355943897</v>
      </c>
      <c r="AC312" s="31">
        <f t="shared" si="106"/>
        <v>355943897</v>
      </c>
      <c r="AD312" s="31">
        <f t="shared" si="107"/>
        <v>88985974</v>
      </c>
      <c r="AE312" s="31">
        <f t="shared" si="111"/>
        <v>88985974</v>
      </c>
      <c r="AF312" s="31">
        <f t="shared" si="111"/>
        <v>88985974</v>
      </c>
      <c r="AG312" s="31">
        <f t="shared" si="108"/>
        <v>88985975</v>
      </c>
    </row>
    <row r="313" spans="1:33" ht="3" customHeight="1" x14ac:dyDescent="0.25">
      <c r="A313">
        <v>13601</v>
      </c>
      <c r="B313">
        <v>13501</v>
      </c>
      <c r="C313" t="s">
        <v>309</v>
      </c>
      <c r="D313" s="31">
        <f>+DATA!O309</f>
        <v>7350692</v>
      </c>
      <c r="E313" s="31">
        <f>+DATA!T309</f>
        <v>8644659.8220000006</v>
      </c>
      <c r="F313" s="38">
        <f t="shared" si="90"/>
        <v>15995351.822000001</v>
      </c>
      <c r="G313" s="112">
        <f t="shared" si="91"/>
        <v>0.72699999999999998</v>
      </c>
      <c r="H313" s="95">
        <f t="shared" si="92"/>
        <v>0.54039999999999999</v>
      </c>
      <c r="I313" s="6" t="str">
        <f t="shared" si="93"/>
        <v>SI</v>
      </c>
      <c r="J313" s="117">
        <f t="shared" si="94"/>
        <v>3.3112582781000001E-3</v>
      </c>
      <c r="K313" s="117">
        <f t="shared" si="95"/>
        <v>1.6556291390500001E-3</v>
      </c>
      <c r="L313" s="31">
        <f>IF(I313="SI",VLOOKUP(A313,DATA!$A$4:$D$350,4,0),0)</f>
        <v>85514</v>
      </c>
      <c r="M313" s="95">
        <f>IF(I313="SI",VLOOKUP(A313,DATA!$A$4:$E$350,5,0),0)</f>
        <v>6.2604729009269347E-2</v>
      </c>
      <c r="N313" s="31">
        <f t="shared" si="96"/>
        <v>5354</v>
      </c>
      <c r="O313" s="117">
        <f t="shared" si="97"/>
        <v>6.4821933397999996E-3</v>
      </c>
      <c r="P313" s="117">
        <f t="shared" si="98"/>
        <v>6.4821933399999998E-4</v>
      </c>
      <c r="Q313" s="31">
        <f>IF(I313="SI",VLOOKUP(A313,DATA!$A$4:$G$350,7,0),0)</f>
        <v>17510</v>
      </c>
      <c r="R313" s="31">
        <f>IF(I313="SI",VLOOKUP(A313,DATA!$A$4:$H$350,8,0),0)</f>
        <v>25092</v>
      </c>
      <c r="S313" s="117">
        <f t="shared" si="99"/>
        <v>3.5659385607000002E-3</v>
      </c>
      <c r="T313" s="117">
        <f t="shared" si="100"/>
        <v>4.6651979595103352E-3</v>
      </c>
      <c r="U313" s="117">
        <f t="shared" si="101"/>
        <v>9.3303959190000002E-4</v>
      </c>
      <c r="V313" s="31">
        <f>IF(I313="SI",VLOOKUP(A313,COEF_FCM!$A$8:$X$354,24,0),0)</f>
        <v>7350692</v>
      </c>
      <c r="W313" s="121">
        <f t="shared" si="102"/>
        <v>85.96</v>
      </c>
      <c r="X313" s="31">
        <f>IF(AND(W313&gt;0,W313&lt;$W$7),ROUND(($W$7-W313)*L313,PARAMETROS!$L$8),0)</f>
        <v>1787243</v>
      </c>
      <c r="Y313" s="122">
        <f t="shared" si="103"/>
        <v>6.5867000859999997E-3</v>
      </c>
      <c r="Z313" s="117">
        <f t="shared" si="104"/>
        <v>1.3173400172000001E-3</v>
      </c>
      <c r="AA313" s="96">
        <f t="shared" si="105"/>
        <v>4.5542280821499999E-3</v>
      </c>
      <c r="AB313" s="31">
        <f>ROUND(AA313*PARAMETROS!$H$24,0)</f>
        <v>781585238</v>
      </c>
      <c r="AC313" s="31">
        <f t="shared" si="106"/>
        <v>781585238</v>
      </c>
      <c r="AD313" s="31">
        <f t="shared" si="107"/>
        <v>195396310</v>
      </c>
      <c r="AE313" s="31">
        <f t="shared" si="111"/>
        <v>195396310</v>
      </c>
      <c r="AF313" s="31">
        <f t="shared" si="111"/>
        <v>195396310</v>
      </c>
      <c r="AG313" s="31">
        <f t="shared" si="108"/>
        <v>195396308</v>
      </c>
    </row>
    <row r="314" spans="1:33" ht="3" customHeight="1" x14ac:dyDescent="0.25">
      <c r="A314">
        <v>13602</v>
      </c>
      <c r="B314">
        <v>13503</v>
      </c>
      <c r="C314" t="s">
        <v>311</v>
      </c>
      <c r="D314" s="31">
        <f>+DATA!O310</f>
        <v>3520317</v>
      </c>
      <c r="E314" s="31">
        <f>+DATA!T310</f>
        <v>5031425.8</v>
      </c>
      <c r="F314" s="38">
        <f t="shared" si="90"/>
        <v>8551742.8000000007</v>
      </c>
      <c r="G314" s="112">
        <f t="shared" si="91"/>
        <v>0.52700000000000002</v>
      </c>
      <c r="H314" s="95">
        <f t="shared" si="92"/>
        <v>0.58840000000000003</v>
      </c>
      <c r="I314" s="6" t="str">
        <f t="shared" si="93"/>
        <v>SI</v>
      </c>
      <c r="J314" s="117">
        <f t="shared" si="94"/>
        <v>3.3112582781000001E-3</v>
      </c>
      <c r="K314" s="117">
        <f t="shared" si="95"/>
        <v>1.6556291390500001E-3</v>
      </c>
      <c r="L314" s="31">
        <f>IF(I314="SI",VLOOKUP(A314,DATA!$A$4:$D$350,4,0),0)</f>
        <v>42233</v>
      </c>
      <c r="M314" s="95">
        <f>IF(I314="SI",VLOOKUP(A314,DATA!$A$4:$E$350,5,0),0)</f>
        <v>7.0765050820536579E-2</v>
      </c>
      <c r="N314" s="31">
        <f t="shared" si="96"/>
        <v>2989</v>
      </c>
      <c r="O314" s="117">
        <f t="shared" si="97"/>
        <v>3.6188412202E-3</v>
      </c>
      <c r="P314" s="117">
        <f t="shared" si="98"/>
        <v>3.6188412199999998E-4</v>
      </c>
      <c r="Q314" s="31">
        <f>IF(I314="SI",VLOOKUP(A314,DATA!$A$4:$G$350,7,0),0)</f>
        <v>9592</v>
      </c>
      <c r="R314" s="31">
        <f>IF(I314="SI",VLOOKUP(A314,DATA!$A$4:$H$350,8,0),0)</f>
        <v>11714</v>
      </c>
      <c r="S314" s="117">
        <f t="shared" si="99"/>
        <v>2.2921865688E-3</v>
      </c>
      <c r="T314" s="117">
        <f t="shared" si="100"/>
        <v>2.9987908993820696E-3</v>
      </c>
      <c r="U314" s="117">
        <f t="shared" si="101"/>
        <v>5.9975817989999999E-4</v>
      </c>
      <c r="V314" s="31">
        <f>IF(I314="SI",VLOOKUP(A314,COEF_FCM!$A$8:$X$354,24,0),0)</f>
        <v>3520317</v>
      </c>
      <c r="W314" s="121">
        <f t="shared" si="102"/>
        <v>83.35</v>
      </c>
      <c r="X314" s="31">
        <f>IF(AND(W314&gt;0,W314&lt;$W$7),ROUND(($W$7-W314)*L314,PARAMETROS!$L$8),0)</f>
        <v>992898</v>
      </c>
      <c r="Y314" s="122">
        <f t="shared" si="103"/>
        <v>3.6592233636E-3</v>
      </c>
      <c r="Z314" s="117">
        <f t="shared" si="104"/>
        <v>7.3184467270000003E-4</v>
      </c>
      <c r="AA314" s="96">
        <f t="shared" si="105"/>
        <v>3.3491161136500001E-3</v>
      </c>
      <c r="AB314" s="31">
        <f>ROUND(AA314*PARAMETROS!$H$24,0)</f>
        <v>574766935</v>
      </c>
      <c r="AC314" s="31">
        <f t="shared" si="106"/>
        <v>574766935</v>
      </c>
      <c r="AD314" s="31">
        <f t="shared" si="107"/>
        <v>143691734</v>
      </c>
      <c r="AE314" s="31">
        <f t="shared" si="111"/>
        <v>143691734</v>
      </c>
      <c r="AF314" s="31">
        <f t="shared" si="111"/>
        <v>143691734</v>
      </c>
      <c r="AG314" s="31">
        <f t="shared" si="108"/>
        <v>143691733</v>
      </c>
    </row>
    <row r="315" spans="1:33" ht="3" customHeight="1" x14ac:dyDescent="0.25">
      <c r="A315">
        <v>13603</v>
      </c>
      <c r="B315">
        <v>13502</v>
      </c>
      <c r="C315" t="s">
        <v>310</v>
      </c>
      <c r="D315" s="31">
        <f>+DATA!O311</f>
        <v>4603424</v>
      </c>
      <c r="E315" s="31">
        <f>+DATA!T311</f>
        <v>4166504.7790000001</v>
      </c>
      <c r="F315" s="38">
        <f t="shared" si="90"/>
        <v>8769928.7789999992</v>
      </c>
      <c r="G315" s="112">
        <f t="shared" si="91"/>
        <v>0.54200000000000004</v>
      </c>
      <c r="H315" s="95">
        <f t="shared" si="92"/>
        <v>0.47510000000000002</v>
      </c>
      <c r="I315" s="6" t="str">
        <f t="shared" si="93"/>
        <v>SI</v>
      </c>
      <c r="J315" s="117">
        <f t="shared" si="94"/>
        <v>3.3112582781000001E-3</v>
      </c>
      <c r="K315" s="117">
        <f t="shared" si="95"/>
        <v>1.6556291390500001E-3</v>
      </c>
      <c r="L315" s="31">
        <f>IF(I315="SI",VLOOKUP(A315,DATA!$A$4:$D$350,4,0),0)</f>
        <v>42393</v>
      </c>
      <c r="M315" s="95">
        <f>IF(I315="SI",VLOOKUP(A315,DATA!$A$4:$E$350,5,0),0)</f>
        <v>6.4214867116071647E-2</v>
      </c>
      <c r="N315" s="31">
        <f t="shared" si="96"/>
        <v>2722</v>
      </c>
      <c r="O315" s="117">
        <f t="shared" si="97"/>
        <v>3.2955790570000001E-3</v>
      </c>
      <c r="P315" s="117">
        <f t="shared" si="98"/>
        <v>3.2955790569999999E-4</v>
      </c>
      <c r="Q315" s="31">
        <f>IF(I315="SI",VLOOKUP(A315,DATA!$A$4:$G$350,7,0),0)</f>
        <v>8499</v>
      </c>
      <c r="R315" s="31">
        <f>IF(I315="SI",VLOOKUP(A315,DATA!$A$4:$H$350,8,0),0)</f>
        <v>12610</v>
      </c>
      <c r="S315" s="117">
        <f t="shared" si="99"/>
        <v>1.6716964294E-3</v>
      </c>
      <c r="T315" s="117">
        <f t="shared" si="100"/>
        <v>2.1870244365137562E-3</v>
      </c>
      <c r="U315" s="117">
        <f t="shared" si="101"/>
        <v>4.3740488729999998E-4</v>
      </c>
      <c r="V315" s="31">
        <f>IF(I315="SI",VLOOKUP(A315,COEF_FCM!$A$8:$X$354,24,0),0)</f>
        <v>4603424</v>
      </c>
      <c r="W315" s="121">
        <f t="shared" si="102"/>
        <v>108.59</v>
      </c>
      <c r="X315" s="31">
        <f>IF(AND(W315&gt;0,W315&lt;$W$7),ROUND(($W$7-W315)*L315,PARAMETROS!$L$8),0)</f>
        <v>0</v>
      </c>
      <c r="Y315" s="122">
        <f t="shared" si="103"/>
        <v>0</v>
      </c>
      <c r="Z315" s="117">
        <f t="shared" si="104"/>
        <v>0</v>
      </c>
      <c r="AA315" s="96">
        <f t="shared" si="105"/>
        <v>2.4225919320500001E-3</v>
      </c>
      <c r="AB315" s="31">
        <f>ROUND(AA315*PARAMETROS!$H$24,0)</f>
        <v>415759171</v>
      </c>
      <c r="AC315" s="31">
        <f t="shared" si="106"/>
        <v>415759171</v>
      </c>
      <c r="AD315" s="31">
        <f t="shared" si="107"/>
        <v>103939793</v>
      </c>
      <c r="AE315" s="31">
        <f t="shared" si="111"/>
        <v>103939793</v>
      </c>
      <c r="AF315" s="31">
        <f t="shared" si="111"/>
        <v>103939793</v>
      </c>
      <c r="AG315" s="31">
        <f t="shared" si="108"/>
        <v>103939792</v>
      </c>
    </row>
    <row r="316" spans="1:33" ht="3" customHeight="1" x14ac:dyDescent="0.25">
      <c r="A316">
        <v>13604</v>
      </c>
      <c r="B316">
        <v>13505</v>
      </c>
      <c r="C316" t="s">
        <v>313</v>
      </c>
      <c r="D316" s="31">
        <f>+DATA!O312</f>
        <v>9604438</v>
      </c>
      <c r="E316" s="31">
        <f>+DATA!T312</f>
        <v>7349791.9900000002</v>
      </c>
      <c r="F316" s="38">
        <f t="shared" si="90"/>
        <v>16954229.990000002</v>
      </c>
      <c r="G316" s="112">
        <f t="shared" si="91"/>
        <v>0.74399999999999999</v>
      </c>
      <c r="H316" s="95">
        <f t="shared" si="92"/>
        <v>0.4335</v>
      </c>
      <c r="I316" s="6" t="str">
        <f t="shared" si="93"/>
        <v>SI</v>
      </c>
      <c r="J316" s="117">
        <f t="shared" si="94"/>
        <v>3.3112582781000001E-3</v>
      </c>
      <c r="K316" s="117">
        <f t="shared" si="95"/>
        <v>1.6556291390500001E-3</v>
      </c>
      <c r="L316" s="31">
        <f>IF(I316="SI",VLOOKUP(A316,DATA!$A$4:$D$350,4,0),0)</f>
        <v>81743</v>
      </c>
      <c r="M316" s="95">
        <f>IF(I316="SI",VLOOKUP(A316,DATA!$A$4:$E$350,5,0),0)</f>
        <v>3.6555849221063051E-2</v>
      </c>
      <c r="N316" s="31">
        <f t="shared" si="96"/>
        <v>2988</v>
      </c>
      <c r="O316" s="117">
        <f t="shared" si="97"/>
        <v>3.6176305005000001E-3</v>
      </c>
      <c r="P316" s="117">
        <f t="shared" si="98"/>
        <v>3.6176305010000002E-4</v>
      </c>
      <c r="Q316" s="31">
        <f>IF(I316="SI",VLOOKUP(A316,DATA!$A$4:$G$350,7,0),0)</f>
        <v>17803</v>
      </c>
      <c r="R316" s="31">
        <f>IF(I316="SI",VLOOKUP(A316,DATA!$A$4:$H$350,8,0),0)</f>
        <v>26941</v>
      </c>
      <c r="S316" s="117">
        <f t="shared" si="99"/>
        <v>3.4332823014000002E-3</v>
      </c>
      <c r="T316" s="117">
        <f t="shared" si="100"/>
        <v>4.4916482194718669E-3</v>
      </c>
      <c r="U316" s="117">
        <f t="shared" si="101"/>
        <v>8.9832964389999995E-4</v>
      </c>
      <c r="V316" s="31">
        <f>IF(I316="SI",VLOOKUP(A316,COEF_FCM!$A$8:$X$354,24,0),0)</f>
        <v>9604438</v>
      </c>
      <c r="W316" s="121">
        <f t="shared" si="102"/>
        <v>117.5</v>
      </c>
      <c r="X316" s="31">
        <f>IF(AND(W316&gt;0,W316&lt;$W$7),ROUND(($W$7-W316)*L316,PARAMETROS!$L$8),0)</f>
        <v>0</v>
      </c>
      <c r="Y316" s="122">
        <f t="shared" si="103"/>
        <v>0</v>
      </c>
      <c r="Z316" s="117">
        <f t="shared" si="104"/>
        <v>0</v>
      </c>
      <c r="AA316" s="96">
        <f t="shared" si="105"/>
        <v>2.9157218330500001E-3</v>
      </c>
      <c r="AB316" s="31">
        <f>ROUND(AA316*PARAMETROS!$H$24,0)</f>
        <v>500388892</v>
      </c>
      <c r="AC316" s="31">
        <f t="shared" si="106"/>
        <v>500388892</v>
      </c>
      <c r="AD316" s="31">
        <f t="shared" si="107"/>
        <v>125097223</v>
      </c>
      <c r="AE316" s="31">
        <f t="shared" si="111"/>
        <v>125097223</v>
      </c>
      <c r="AF316" s="31">
        <f t="shared" si="111"/>
        <v>125097223</v>
      </c>
      <c r="AG316" s="31">
        <f t="shared" si="108"/>
        <v>125097223</v>
      </c>
    </row>
    <row r="317" spans="1:33" ht="3" customHeight="1" x14ac:dyDescent="0.25">
      <c r="A317">
        <v>13605</v>
      </c>
      <c r="B317">
        <v>13504</v>
      </c>
      <c r="C317" t="s">
        <v>312</v>
      </c>
      <c r="D317" s="31">
        <f>+DATA!O313</f>
        <v>7820854</v>
      </c>
      <c r="E317" s="31">
        <f>+DATA!T313</f>
        <v>11209957.912</v>
      </c>
      <c r="F317" s="38">
        <f t="shared" si="90"/>
        <v>19030811.912</v>
      </c>
      <c r="G317" s="112">
        <f t="shared" si="91"/>
        <v>0.77300000000000002</v>
      </c>
      <c r="H317" s="95">
        <f t="shared" si="92"/>
        <v>0.58899999999999997</v>
      </c>
      <c r="I317" s="6" t="str">
        <f t="shared" si="93"/>
        <v>SI</v>
      </c>
      <c r="J317" s="117">
        <f t="shared" si="94"/>
        <v>3.3112582781000001E-3</v>
      </c>
      <c r="K317" s="117">
        <f t="shared" si="95"/>
        <v>1.6556291390500001E-3</v>
      </c>
      <c r="L317" s="31">
        <f>IF(I317="SI",VLOOKUP(A317,DATA!$A$4:$D$350,4,0),0)</f>
        <v>106840</v>
      </c>
      <c r="M317" s="95">
        <f>IF(I317="SI",VLOOKUP(A317,DATA!$A$4:$E$350,5,0),0)</f>
        <v>7.328609476344701E-2</v>
      </c>
      <c r="N317" s="31">
        <f t="shared" si="96"/>
        <v>7830</v>
      </c>
      <c r="O317" s="117">
        <f t="shared" si="97"/>
        <v>9.4799353475999992E-3</v>
      </c>
      <c r="P317" s="117">
        <f t="shared" si="98"/>
        <v>9.4799353480000002E-4</v>
      </c>
      <c r="Q317" s="31">
        <f>IF(I317="SI",VLOOKUP(A317,DATA!$A$4:$G$350,7,0),0)</f>
        <v>21754</v>
      </c>
      <c r="R317" s="31">
        <f>IF(I317="SI",VLOOKUP(A317,DATA!$A$4:$H$350,8,0),0)</f>
        <v>30135</v>
      </c>
      <c r="S317" s="117">
        <f t="shared" si="99"/>
        <v>4.5829370879000002E-3</v>
      </c>
      <c r="T317" s="117">
        <f t="shared" si="100"/>
        <v>5.9957030630495003E-3</v>
      </c>
      <c r="U317" s="117">
        <f t="shared" si="101"/>
        <v>1.1991406126E-3</v>
      </c>
      <c r="V317" s="31">
        <f>IF(I317="SI",VLOOKUP(A317,COEF_FCM!$A$8:$X$354,24,0),0)</f>
        <v>7820854</v>
      </c>
      <c r="W317" s="121">
        <f t="shared" si="102"/>
        <v>73.2</v>
      </c>
      <c r="X317" s="31">
        <f>IF(AND(W317&gt;0,W317&lt;$W$7),ROUND(($W$7-W317)*L317,PARAMETROS!$L$8),0)</f>
        <v>3596234</v>
      </c>
      <c r="Y317" s="122">
        <f t="shared" si="103"/>
        <v>1.32535501872E-2</v>
      </c>
      <c r="Z317" s="117">
        <f t="shared" si="104"/>
        <v>2.6507100373999999E-3</v>
      </c>
      <c r="AA317" s="96">
        <f t="shared" si="105"/>
        <v>6.4534733238500001E-3</v>
      </c>
      <c r="AB317" s="31">
        <f>ROUND(AA317*PARAMETROS!$H$24,0)</f>
        <v>1107528958</v>
      </c>
      <c r="AC317" s="31">
        <f t="shared" si="106"/>
        <v>1107528958</v>
      </c>
      <c r="AD317" s="31">
        <f t="shared" si="107"/>
        <v>276882240</v>
      </c>
      <c r="AE317" s="31">
        <f t="shared" si="111"/>
        <v>276882240</v>
      </c>
      <c r="AF317" s="31">
        <f t="shared" si="111"/>
        <v>276882240</v>
      </c>
      <c r="AG317" s="31">
        <f t="shared" si="108"/>
        <v>276882238</v>
      </c>
    </row>
    <row r="318" spans="1:33" ht="3" customHeight="1" x14ac:dyDescent="0.25">
      <c r="A318">
        <v>14101</v>
      </c>
      <c r="B318">
        <v>10101</v>
      </c>
      <c r="C318" t="s">
        <v>232</v>
      </c>
      <c r="D318" s="31">
        <f>+DATA!O314</f>
        <v>20507538</v>
      </c>
      <c r="E318" s="31">
        <f>+DATA!T314</f>
        <v>29188027.833999999</v>
      </c>
      <c r="F318" s="38">
        <f t="shared" si="90"/>
        <v>49695565.833999999</v>
      </c>
      <c r="G318" s="112">
        <f t="shared" si="91"/>
        <v>0.92100000000000004</v>
      </c>
      <c r="H318" s="95">
        <f t="shared" si="92"/>
        <v>0.58730000000000004</v>
      </c>
      <c r="I318" s="6" t="str">
        <f t="shared" si="93"/>
        <v>SI</v>
      </c>
      <c r="J318" s="117">
        <f t="shared" si="94"/>
        <v>3.3112582781000001E-3</v>
      </c>
      <c r="K318" s="117">
        <f t="shared" si="95"/>
        <v>1.6556291390500001E-3</v>
      </c>
      <c r="L318" s="31">
        <f>IF(I318="SI",VLOOKUP(A318,DATA!$A$4:$D$350,4,0),0)</f>
        <v>182086</v>
      </c>
      <c r="M318" s="95">
        <f>IF(I318="SI",VLOOKUP(A318,DATA!$A$4:$E$350,5,0),0)</f>
        <v>3.4271533403377977E-2</v>
      </c>
      <c r="N318" s="31">
        <f t="shared" si="96"/>
        <v>6240</v>
      </c>
      <c r="O318" s="117">
        <f t="shared" si="97"/>
        <v>7.5548910049999998E-3</v>
      </c>
      <c r="P318" s="117">
        <f t="shared" si="98"/>
        <v>7.5548910049999995E-4</v>
      </c>
      <c r="Q318" s="31">
        <f>IF(I318="SI",VLOOKUP(A318,DATA!$A$4:$G$350,7,0),0)</f>
        <v>41189</v>
      </c>
      <c r="R318" s="31">
        <f>IF(I318="SI",VLOOKUP(A318,DATA!$A$4:$H$350,8,0),0)</f>
        <v>66577</v>
      </c>
      <c r="S318" s="117">
        <f t="shared" si="99"/>
        <v>7.4366119051000002E-3</v>
      </c>
      <c r="T318" s="117">
        <f t="shared" si="100"/>
        <v>9.7290702278763977E-3</v>
      </c>
      <c r="U318" s="117">
        <f t="shared" si="101"/>
        <v>1.9458140456E-3</v>
      </c>
      <c r="V318" s="31">
        <f>IF(I318="SI",VLOOKUP(A318,COEF_FCM!$A$8:$X$354,24,0),0)</f>
        <v>20507538</v>
      </c>
      <c r="W318" s="121">
        <f t="shared" si="102"/>
        <v>112.63</v>
      </c>
      <c r="X318" s="31">
        <f>IF(AND(W318&gt;0,W318&lt;$W$7),ROUND(($W$7-W318)*L318,PARAMETROS!$L$8),0)</f>
        <v>0</v>
      </c>
      <c r="Y318" s="122">
        <f t="shared" si="103"/>
        <v>0</v>
      </c>
      <c r="Z318" s="117">
        <f t="shared" si="104"/>
        <v>0</v>
      </c>
      <c r="AA318" s="96">
        <f t="shared" si="105"/>
        <v>4.35693228515E-3</v>
      </c>
      <c r="AB318" s="31">
        <f>ROUND(AA318*PARAMETROS!$H$24,0)</f>
        <v>747725826</v>
      </c>
      <c r="AC318" s="31">
        <f t="shared" si="106"/>
        <v>747725826</v>
      </c>
      <c r="AD318" s="31">
        <f t="shared" si="107"/>
        <v>186931457</v>
      </c>
      <c r="AE318" s="31">
        <f t="shared" si="111"/>
        <v>186931457</v>
      </c>
      <c r="AF318" s="31">
        <f t="shared" si="111"/>
        <v>186931457</v>
      </c>
      <c r="AG318" s="31">
        <f t="shared" si="108"/>
        <v>186931455</v>
      </c>
    </row>
    <row r="319" spans="1:33" ht="3" customHeight="1" x14ac:dyDescent="0.25">
      <c r="A319">
        <v>14102</v>
      </c>
      <c r="B319">
        <v>10106</v>
      </c>
      <c r="C319" t="s">
        <v>236</v>
      </c>
      <c r="D319" s="31">
        <f>+DATA!O315</f>
        <v>402706</v>
      </c>
      <c r="E319" s="31">
        <f>+DATA!T315</f>
        <v>2868327.0219999999</v>
      </c>
      <c r="F319" s="38">
        <f t="shared" si="90"/>
        <v>3271033.0219999999</v>
      </c>
      <c r="G319" s="112">
        <f t="shared" si="91"/>
        <v>8.4000000000000005E-2</v>
      </c>
      <c r="H319" s="95">
        <f t="shared" si="92"/>
        <v>0.87690000000000001</v>
      </c>
      <c r="I319" s="6" t="str">
        <f t="shared" si="93"/>
        <v>SI</v>
      </c>
      <c r="J319" s="117">
        <f t="shared" si="94"/>
        <v>3.3112582781000001E-3</v>
      </c>
      <c r="K319" s="117">
        <f t="shared" si="95"/>
        <v>1.6556291390500001E-3</v>
      </c>
      <c r="L319" s="31">
        <f>IF(I319="SI",VLOOKUP(A319,DATA!$A$4:$D$350,4,0),0)</f>
        <v>5424</v>
      </c>
      <c r="M319" s="95">
        <f>IF(I319="SI",VLOOKUP(A319,DATA!$A$4:$E$350,5,0),0)</f>
        <v>7.5900025712041921E-2</v>
      </c>
      <c r="N319" s="31">
        <f t="shared" si="96"/>
        <v>412</v>
      </c>
      <c r="O319" s="117">
        <f t="shared" si="97"/>
        <v>4.9881652149999999E-4</v>
      </c>
      <c r="P319" s="117">
        <f t="shared" si="98"/>
        <v>4.9881652199999999E-5</v>
      </c>
      <c r="Q319" s="31">
        <f>IF(I319="SI",VLOOKUP(A319,DATA!$A$4:$G$350,7,0),0)</f>
        <v>2448</v>
      </c>
      <c r="R319" s="31">
        <f>IF(I319="SI",VLOOKUP(A319,DATA!$A$4:$H$350,8,0),0)</f>
        <v>3447</v>
      </c>
      <c r="S319" s="117">
        <f t="shared" si="99"/>
        <v>5.0736252549999999E-4</v>
      </c>
      <c r="T319" s="117">
        <f t="shared" si="100"/>
        <v>6.6376539539424206E-4</v>
      </c>
      <c r="U319" s="117">
        <f t="shared" si="101"/>
        <v>1.3275307910000001E-4</v>
      </c>
      <c r="V319" s="31">
        <f>IF(I319="SI",VLOOKUP(A319,COEF_FCM!$A$8:$X$354,24,0),0)</f>
        <v>402706</v>
      </c>
      <c r="W319" s="121">
        <f t="shared" si="102"/>
        <v>74.25</v>
      </c>
      <c r="X319" s="31">
        <f>IF(AND(W319&gt;0,W319&lt;$W$7),ROUND(($W$7-W319)*L319,PARAMETROS!$L$8),0)</f>
        <v>176877</v>
      </c>
      <c r="Y319" s="122">
        <f t="shared" si="103"/>
        <v>6.5186197459999999E-4</v>
      </c>
      <c r="Z319" s="117">
        <f t="shared" si="104"/>
        <v>1.3037239490000001E-4</v>
      </c>
      <c r="AA319" s="96">
        <f t="shared" si="105"/>
        <v>1.9686362652500001E-3</v>
      </c>
      <c r="AB319" s="31">
        <f>ROUND(AA319*PARAMETROS!$H$24,0)</f>
        <v>337852434</v>
      </c>
      <c r="AC319" s="31">
        <f t="shared" si="106"/>
        <v>337852434</v>
      </c>
      <c r="AD319" s="31">
        <f t="shared" si="107"/>
        <v>84463109</v>
      </c>
      <c r="AE319" s="31">
        <f t="shared" si="111"/>
        <v>84463109</v>
      </c>
      <c r="AF319" s="31">
        <f t="shared" si="111"/>
        <v>84463109</v>
      </c>
      <c r="AG319" s="31">
        <f t="shared" si="108"/>
        <v>84463107</v>
      </c>
    </row>
    <row r="320" spans="1:33" ht="3" customHeight="1" x14ac:dyDescent="0.25">
      <c r="A320">
        <v>14103</v>
      </c>
      <c r="B320">
        <v>10103</v>
      </c>
      <c r="C320" t="s">
        <v>233</v>
      </c>
      <c r="D320" s="31">
        <f>+DATA!O316</f>
        <v>1114278</v>
      </c>
      <c r="E320" s="31">
        <f>+DATA!T316</f>
        <v>4389694.2110000001</v>
      </c>
      <c r="F320" s="38">
        <f t="shared" si="90"/>
        <v>5503972.2110000001</v>
      </c>
      <c r="G320" s="112">
        <f t="shared" si="91"/>
        <v>0.34399999999999997</v>
      </c>
      <c r="H320" s="95">
        <f t="shared" si="92"/>
        <v>0.79759999999999998</v>
      </c>
      <c r="I320" s="6" t="str">
        <f t="shared" si="93"/>
        <v>SI</v>
      </c>
      <c r="J320" s="117">
        <f t="shared" si="94"/>
        <v>3.3112582781000001E-3</v>
      </c>
      <c r="K320" s="117">
        <f t="shared" si="95"/>
        <v>1.6556291390500001E-3</v>
      </c>
      <c r="L320" s="31">
        <f>IF(I320="SI",VLOOKUP(A320,DATA!$A$4:$D$350,4,0),0)</f>
        <v>18050</v>
      </c>
      <c r="M320" s="95">
        <f>IF(I320="SI",VLOOKUP(A320,DATA!$A$4:$E$350,5,0),0)</f>
        <v>3.9367036023378779E-2</v>
      </c>
      <c r="N320" s="31">
        <f t="shared" si="96"/>
        <v>711</v>
      </c>
      <c r="O320" s="117">
        <f t="shared" si="97"/>
        <v>8.6082171549999996E-4</v>
      </c>
      <c r="P320" s="117">
        <f t="shared" si="98"/>
        <v>8.6082171600000004E-5</v>
      </c>
      <c r="Q320" s="31">
        <f>IF(I320="SI",VLOOKUP(A320,DATA!$A$4:$G$350,7,0),0)</f>
        <v>6519</v>
      </c>
      <c r="R320" s="31">
        <f>IF(I320="SI",VLOOKUP(A320,DATA!$A$4:$H$350,8,0),0)</f>
        <v>7995</v>
      </c>
      <c r="S320" s="117">
        <f t="shared" si="99"/>
        <v>1.5512447937000001E-3</v>
      </c>
      <c r="T320" s="117">
        <f t="shared" si="100"/>
        <v>2.0294415966745265E-3</v>
      </c>
      <c r="U320" s="117">
        <f t="shared" si="101"/>
        <v>4.0588831929999999E-4</v>
      </c>
      <c r="V320" s="31">
        <f>IF(I320="SI",VLOOKUP(A320,COEF_FCM!$A$8:$X$354,24,0),0)</f>
        <v>1114278</v>
      </c>
      <c r="W320" s="121">
        <f t="shared" si="102"/>
        <v>61.73</v>
      </c>
      <c r="X320" s="31">
        <f>IF(AND(W320&gt;0,W320&lt;$W$7),ROUND(($W$7-W320)*L320,PARAMETROS!$L$8),0)</f>
        <v>814597</v>
      </c>
      <c r="Y320" s="122">
        <f t="shared" si="103"/>
        <v>3.0021133836000001E-3</v>
      </c>
      <c r="Z320" s="117">
        <f t="shared" si="104"/>
        <v>6.0042267670000005E-4</v>
      </c>
      <c r="AA320" s="96">
        <f t="shared" si="105"/>
        <v>2.7480223066500002E-3</v>
      </c>
      <c r="AB320" s="31">
        <f>ROUND(AA320*PARAMETROS!$H$24,0)</f>
        <v>471608718</v>
      </c>
      <c r="AC320" s="31">
        <f t="shared" si="106"/>
        <v>471608718</v>
      </c>
      <c r="AD320" s="31">
        <f t="shared" si="107"/>
        <v>117902180</v>
      </c>
      <c r="AE320" s="31">
        <f t="shared" si="111"/>
        <v>117902180</v>
      </c>
      <c r="AF320" s="31">
        <f t="shared" si="111"/>
        <v>117902180</v>
      </c>
      <c r="AG320" s="31">
        <f t="shared" si="108"/>
        <v>117902178</v>
      </c>
    </row>
    <row r="321" spans="1:33" ht="3" customHeight="1" x14ac:dyDescent="0.25">
      <c r="A321">
        <v>14104</v>
      </c>
      <c r="B321">
        <v>10104</v>
      </c>
      <c r="C321" t="s">
        <v>234</v>
      </c>
      <c r="D321" s="31">
        <f>+DATA!O317</f>
        <v>1846051</v>
      </c>
      <c r="E321" s="31">
        <f>+DATA!T317</f>
        <v>3655376.9169999999</v>
      </c>
      <c r="F321" s="38">
        <f t="shared" si="90"/>
        <v>5501427.9169999994</v>
      </c>
      <c r="G321" s="112">
        <f t="shared" si="91"/>
        <v>0.34200000000000003</v>
      </c>
      <c r="H321" s="95">
        <f t="shared" si="92"/>
        <v>0.66439999999999999</v>
      </c>
      <c r="I321" s="6" t="str">
        <f t="shared" si="93"/>
        <v>SI</v>
      </c>
      <c r="J321" s="117">
        <f t="shared" si="94"/>
        <v>3.3112582781000001E-3</v>
      </c>
      <c r="K321" s="117">
        <f t="shared" si="95"/>
        <v>1.6556291390500001E-3</v>
      </c>
      <c r="L321" s="31">
        <f>IF(I321="SI",VLOOKUP(A321,DATA!$A$4:$D$350,4,0),0)</f>
        <v>20520</v>
      </c>
      <c r="M321" s="95">
        <f>IF(I321="SI",VLOOKUP(A321,DATA!$A$4:$E$350,5,0),0)</f>
        <v>6.734383166378613E-2</v>
      </c>
      <c r="N321" s="31">
        <f t="shared" si="96"/>
        <v>1382</v>
      </c>
      <c r="O321" s="117">
        <f t="shared" si="97"/>
        <v>1.6732146424000001E-3</v>
      </c>
      <c r="P321" s="117">
        <f t="shared" si="98"/>
        <v>1.6732146420000001E-4</v>
      </c>
      <c r="Q321" s="31">
        <f>IF(I321="SI",VLOOKUP(A321,DATA!$A$4:$G$350,7,0),0)</f>
        <v>6289</v>
      </c>
      <c r="R321" s="31">
        <f>IF(I321="SI",VLOOKUP(A321,DATA!$A$4:$H$350,8,0),0)</f>
        <v>9868</v>
      </c>
      <c r="S321" s="117">
        <f t="shared" si="99"/>
        <v>1.1696903085E-3</v>
      </c>
      <c r="T321" s="117">
        <f t="shared" si="100"/>
        <v>1.5302666458173713E-3</v>
      </c>
      <c r="U321" s="117">
        <f t="shared" si="101"/>
        <v>3.0605332919999997E-4</v>
      </c>
      <c r="V321" s="31">
        <f>IF(I321="SI",VLOOKUP(A321,COEF_FCM!$A$8:$X$354,24,0),0)</f>
        <v>1846051</v>
      </c>
      <c r="W321" s="121">
        <f t="shared" si="102"/>
        <v>89.96</v>
      </c>
      <c r="X321" s="31">
        <f>IF(AND(W321&gt;0,W321&lt;$W$7),ROUND(($W$7-W321)*L321,PARAMETROS!$L$8),0)</f>
        <v>346788</v>
      </c>
      <c r="Y321" s="122">
        <f t="shared" si="103"/>
        <v>1.2780514734000001E-3</v>
      </c>
      <c r="Z321" s="117">
        <f t="shared" si="104"/>
        <v>2.556102947E-4</v>
      </c>
      <c r="AA321" s="96">
        <f t="shared" si="105"/>
        <v>2.3846142271499999E-3</v>
      </c>
      <c r="AB321" s="31">
        <f>ROUND(AA321*PARAMETROS!$H$24,0)</f>
        <v>409241532</v>
      </c>
      <c r="AC321" s="31">
        <f t="shared" si="106"/>
        <v>409241532</v>
      </c>
      <c r="AD321" s="31">
        <f t="shared" si="107"/>
        <v>102310383</v>
      </c>
      <c r="AE321" s="31">
        <f t="shared" si="111"/>
        <v>102310383</v>
      </c>
      <c r="AF321" s="31">
        <f t="shared" si="111"/>
        <v>102310383</v>
      </c>
      <c r="AG321" s="31">
        <f t="shared" si="108"/>
        <v>102310383</v>
      </c>
    </row>
    <row r="322" spans="1:33" ht="3" customHeight="1" x14ac:dyDescent="0.25">
      <c r="A322">
        <v>14105</v>
      </c>
      <c r="B322">
        <v>10107</v>
      </c>
      <c r="C322" t="s">
        <v>435</v>
      </c>
      <c r="D322" s="31">
        <f>+DATA!O318</f>
        <v>784754</v>
      </c>
      <c r="E322" s="31">
        <f>+DATA!T318</f>
        <v>2476501.4909999999</v>
      </c>
      <c r="F322" s="38">
        <f t="shared" si="90"/>
        <v>3261255.4909999999</v>
      </c>
      <c r="G322" s="112">
        <f t="shared" si="91"/>
        <v>8.1000000000000003E-2</v>
      </c>
      <c r="H322" s="95">
        <f t="shared" si="92"/>
        <v>0.75939999999999996</v>
      </c>
      <c r="I322" s="6" t="str">
        <f t="shared" si="93"/>
        <v>SI</v>
      </c>
      <c r="J322" s="117">
        <f t="shared" si="94"/>
        <v>3.3112582781000001E-3</v>
      </c>
      <c r="K322" s="117">
        <f t="shared" si="95"/>
        <v>1.6556291390500001E-3</v>
      </c>
      <c r="L322" s="31">
        <f>IF(I322="SI",VLOOKUP(A322,DATA!$A$4:$D$350,4,0),0)</f>
        <v>7375</v>
      </c>
      <c r="M322" s="95">
        <f>IF(I322="SI",VLOOKUP(A322,DATA!$A$4:$E$350,5,0),0)</f>
        <v>7.1602326687359844E-2</v>
      </c>
      <c r="N322" s="31">
        <f t="shared" si="96"/>
        <v>528</v>
      </c>
      <c r="O322" s="117">
        <f t="shared" si="97"/>
        <v>6.3926000809999995E-4</v>
      </c>
      <c r="P322" s="117">
        <f t="shared" si="98"/>
        <v>6.3926000799999997E-5</v>
      </c>
      <c r="Q322" s="31">
        <f>IF(I322="SI",VLOOKUP(A322,DATA!$A$4:$G$350,7,0),0)</f>
        <v>2448</v>
      </c>
      <c r="R322" s="31">
        <f>IF(I322="SI",VLOOKUP(A322,DATA!$A$4:$H$350,8,0),0)</f>
        <v>3584</v>
      </c>
      <c r="S322" s="117">
        <f t="shared" si="99"/>
        <v>4.8796836649999997E-4</v>
      </c>
      <c r="T322" s="117">
        <f t="shared" si="100"/>
        <v>6.3839266688165157E-4</v>
      </c>
      <c r="U322" s="117">
        <f t="shared" si="101"/>
        <v>1.276785334E-4</v>
      </c>
      <c r="V322" s="31">
        <f>IF(I322="SI",VLOOKUP(A322,COEF_FCM!$A$8:$X$354,24,0),0)</f>
        <v>784754</v>
      </c>
      <c r="W322" s="121">
        <f t="shared" si="102"/>
        <v>106.41</v>
      </c>
      <c r="X322" s="31">
        <f>IF(AND(W322&gt;0,W322&lt;$W$7),ROUND(($W$7-W322)*L322,PARAMETROS!$L$8),0)</f>
        <v>3319</v>
      </c>
      <c r="Y322" s="122">
        <f t="shared" si="103"/>
        <v>1.2231832800000001E-5</v>
      </c>
      <c r="Z322" s="117">
        <f t="shared" si="104"/>
        <v>2.4463666E-6</v>
      </c>
      <c r="AA322" s="96">
        <f t="shared" si="105"/>
        <v>1.8496800398500001E-3</v>
      </c>
      <c r="AB322" s="31">
        <f>ROUND(AA322*PARAMETROS!$H$24,0)</f>
        <v>317437464</v>
      </c>
      <c r="AC322" s="31">
        <f t="shared" si="106"/>
        <v>317437464</v>
      </c>
      <c r="AD322" s="31">
        <f t="shared" si="107"/>
        <v>79359366</v>
      </c>
      <c r="AE322" s="31">
        <f t="shared" si="111"/>
        <v>79359366</v>
      </c>
      <c r="AF322" s="31">
        <f t="shared" si="111"/>
        <v>79359366</v>
      </c>
      <c r="AG322" s="31">
        <f t="shared" si="108"/>
        <v>79359366</v>
      </c>
    </row>
    <row r="323" spans="1:33" ht="3" customHeight="1" x14ac:dyDescent="0.25">
      <c r="A323">
        <v>14106</v>
      </c>
      <c r="B323">
        <v>10102</v>
      </c>
      <c r="C323" t="s">
        <v>317</v>
      </c>
      <c r="D323" s="31">
        <f>+DATA!O319</f>
        <v>1958647</v>
      </c>
      <c r="E323" s="31">
        <f>+DATA!T319</f>
        <v>5648691.3559999997</v>
      </c>
      <c r="F323" s="38">
        <f t="shared" si="90"/>
        <v>7607338.3559999997</v>
      </c>
      <c r="G323" s="112">
        <f t="shared" si="91"/>
        <v>0.47499999999999998</v>
      </c>
      <c r="H323" s="95">
        <f t="shared" si="92"/>
        <v>0.74250000000000005</v>
      </c>
      <c r="I323" s="6" t="str">
        <f t="shared" si="93"/>
        <v>SI</v>
      </c>
      <c r="J323" s="117">
        <f t="shared" si="94"/>
        <v>3.3112582781000001E-3</v>
      </c>
      <c r="K323" s="117">
        <f t="shared" si="95"/>
        <v>1.6556291390500001E-3</v>
      </c>
      <c r="L323" s="31">
        <f>IF(I323="SI",VLOOKUP(A323,DATA!$A$4:$D$350,4,0),0)</f>
        <v>24006</v>
      </c>
      <c r="M323" s="95">
        <f>IF(I323="SI",VLOOKUP(A323,DATA!$A$4:$E$350,5,0),0)</f>
        <v>7.8532800255992741E-2</v>
      </c>
      <c r="N323" s="31">
        <f t="shared" si="96"/>
        <v>1885</v>
      </c>
      <c r="O323" s="117">
        <f t="shared" si="97"/>
        <v>2.2822066577000001E-3</v>
      </c>
      <c r="P323" s="117">
        <f t="shared" si="98"/>
        <v>2.2822066579999999E-4</v>
      </c>
      <c r="Q323" s="31">
        <f>IF(I323="SI",VLOOKUP(A323,DATA!$A$4:$G$350,7,0),0)</f>
        <v>8631</v>
      </c>
      <c r="R323" s="31">
        <f>IF(I323="SI",VLOOKUP(A323,DATA!$A$4:$H$350,8,0),0)</f>
        <v>11470</v>
      </c>
      <c r="S323" s="117">
        <f t="shared" si="99"/>
        <v>1.8953772269999999E-3</v>
      </c>
      <c r="T323" s="117">
        <f t="shared" si="100"/>
        <v>2.4796585306750196E-3</v>
      </c>
      <c r="U323" s="117">
        <f t="shared" si="101"/>
        <v>4.959317061E-4</v>
      </c>
      <c r="V323" s="31">
        <f>IF(I323="SI",VLOOKUP(A323,COEF_FCM!$A$8:$X$354,24,0),0)</f>
        <v>1958647</v>
      </c>
      <c r="W323" s="121">
        <f t="shared" si="102"/>
        <v>81.59</v>
      </c>
      <c r="X323" s="31">
        <f>IF(AND(W323&gt;0,W323&lt;$W$7),ROUND(($W$7-W323)*L323,PARAMETROS!$L$8),0)</f>
        <v>606632</v>
      </c>
      <c r="Y323" s="122">
        <f t="shared" si="103"/>
        <v>2.2356797852999999E-3</v>
      </c>
      <c r="Z323" s="117">
        <f t="shared" si="104"/>
        <v>4.4713595709999998E-4</v>
      </c>
      <c r="AA323" s="96">
        <f t="shared" si="105"/>
        <v>2.8269174680499998E-3</v>
      </c>
      <c r="AB323" s="31">
        <f>ROUND(AA323*PARAMETROS!$H$24,0)</f>
        <v>485148509</v>
      </c>
      <c r="AC323" s="31">
        <f t="shared" si="106"/>
        <v>485148509</v>
      </c>
      <c r="AD323" s="31">
        <f t="shared" si="107"/>
        <v>121287127</v>
      </c>
      <c r="AE323" s="31">
        <f t="shared" si="111"/>
        <v>121287127</v>
      </c>
      <c r="AF323" s="31">
        <f t="shared" si="111"/>
        <v>121287127</v>
      </c>
      <c r="AG323" s="31">
        <f t="shared" si="108"/>
        <v>121287128</v>
      </c>
    </row>
    <row r="324" spans="1:33" ht="3" customHeight="1" x14ac:dyDescent="0.25">
      <c r="A324">
        <v>14107</v>
      </c>
      <c r="B324">
        <v>10110</v>
      </c>
      <c r="C324" t="s">
        <v>238</v>
      </c>
      <c r="D324" s="31">
        <f>+DATA!O320</f>
        <v>1929268</v>
      </c>
      <c r="E324" s="31">
        <f>+DATA!T320</f>
        <v>3919044.568</v>
      </c>
      <c r="F324" s="38">
        <f t="shared" si="90"/>
        <v>5848312.568</v>
      </c>
      <c r="G324" s="112">
        <f t="shared" si="91"/>
        <v>0.38200000000000001</v>
      </c>
      <c r="H324" s="95">
        <f t="shared" si="92"/>
        <v>0.67010000000000003</v>
      </c>
      <c r="I324" s="6" t="str">
        <f t="shared" si="93"/>
        <v>SI</v>
      </c>
      <c r="J324" s="117">
        <f t="shared" si="94"/>
        <v>3.3112582781000001E-3</v>
      </c>
      <c r="K324" s="117">
        <f t="shared" si="95"/>
        <v>1.6556291390500001E-3</v>
      </c>
      <c r="L324" s="31">
        <f>IF(I324="SI",VLOOKUP(A324,DATA!$A$4:$D$350,4,0),0)</f>
        <v>20942</v>
      </c>
      <c r="M324" s="95">
        <f>IF(I324="SI",VLOOKUP(A324,DATA!$A$4:$E$350,5,0),0)</f>
        <v>6.4307819849362707E-2</v>
      </c>
      <c r="N324" s="31">
        <f t="shared" si="96"/>
        <v>1347</v>
      </c>
      <c r="O324" s="117">
        <f t="shared" si="97"/>
        <v>1.6308394525E-3</v>
      </c>
      <c r="P324" s="117">
        <f t="shared" si="98"/>
        <v>1.6308394529999999E-4</v>
      </c>
      <c r="Q324" s="31">
        <f>IF(I324="SI",VLOOKUP(A324,DATA!$A$4:$G$350,7,0),0)</f>
        <v>6502</v>
      </c>
      <c r="R324" s="31">
        <f>IF(I324="SI",VLOOKUP(A324,DATA!$A$4:$H$350,8,0),0)</f>
        <v>9320</v>
      </c>
      <c r="S324" s="117">
        <f t="shared" si="99"/>
        <v>1.3237770907E-3</v>
      </c>
      <c r="T324" s="117">
        <f t="shared" si="100"/>
        <v>1.7318532210403171E-3</v>
      </c>
      <c r="U324" s="117">
        <f t="shared" si="101"/>
        <v>3.4637064420000002E-4</v>
      </c>
      <c r="V324" s="31">
        <f>IF(I324="SI",VLOOKUP(A324,COEF_FCM!$A$8:$X$354,24,0),0)</f>
        <v>1929268</v>
      </c>
      <c r="W324" s="121">
        <f t="shared" si="102"/>
        <v>92.12</v>
      </c>
      <c r="X324" s="31">
        <f>IF(AND(W324&gt;0,W324&lt;$W$7),ROUND(($W$7-W324)*L324,PARAMETROS!$L$8),0)</f>
        <v>308685</v>
      </c>
      <c r="Y324" s="122">
        <f t="shared" si="103"/>
        <v>1.1376267895E-3</v>
      </c>
      <c r="Z324" s="117">
        <f t="shared" si="104"/>
        <v>2.2752535789999999E-4</v>
      </c>
      <c r="AA324" s="96">
        <f t="shared" si="105"/>
        <v>2.3926090864500003E-3</v>
      </c>
      <c r="AB324" s="31">
        <f>ROUND(AA324*PARAMETROS!$H$24,0)</f>
        <v>410613590</v>
      </c>
      <c r="AC324" s="31">
        <f t="shared" si="106"/>
        <v>410613590</v>
      </c>
      <c r="AD324" s="31">
        <f t="shared" si="107"/>
        <v>102653398</v>
      </c>
      <c r="AE324" s="31">
        <f t="shared" si="111"/>
        <v>102653398</v>
      </c>
      <c r="AF324" s="31">
        <f t="shared" si="111"/>
        <v>102653398</v>
      </c>
      <c r="AG324" s="31">
        <f t="shared" si="108"/>
        <v>102653396</v>
      </c>
    </row>
    <row r="325" spans="1:33" ht="3" customHeight="1" x14ac:dyDescent="0.25">
      <c r="A325">
        <v>14108</v>
      </c>
      <c r="B325">
        <v>10108</v>
      </c>
      <c r="C325" t="s">
        <v>237</v>
      </c>
      <c r="D325" s="31">
        <f>+DATA!O321</f>
        <v>5233095</v>
      </c>
      <c r="E325" s="31">
        <f>+DATA!T321</f>
        <v>10085527.040999999</v>
      </c>
      <c r="F325" s="38">
        <f t="shared" si="90"/>
        <v>15318622.040999999</v>
      </c>
      <c r="G325" s="112">
        <f t="shared" si="91"/>
        <v>0.71499999999999997</v>
      </c>
      <c r="H325" s="95">
        <f t="shared" si="92"/>
        <v>0.65839999999999999</v>
      </c>
      <c r="I325" s="6" t="str">
        <f t="shared" si="93"/>
        <v>SI</v>
      </c>
      <c r="J325" s="117">
        <f t="shared" si="94"/>
        <v>3.3112582781000001E-3</v>
      </c>
      <c r="K325" s="117">
        <f t="shared" si="95"/>
        <v>1.6556291390500001E-3</v>
      </c>
      <c r="L325" s="31">
        <f>IF(I325="SI",VLOOKUP(A325,DATA!$A$4:$D$350,4,0),0)</f>
        <v>36220</v>
      </c>
      <c r="M325" s="95">
        <f>IF(I325="SI",VLOOKUP(A325,DATA!$A$4:$E$350,5,0),0)</f>
        <v>0.1019868755754151</v>
      </c>
      <c r="N325" s="31">
        <f t="shared" si="96"/>
        <v>3694</v>
      </c>
      <c r="O325" s="117">
        <f t="shared" si="97"/>
        <v>4.4723986173999999E-3</v>
      </c>
      <c r="P325" s="117">
        <f t="shared" si="98"/>
        <v>4.4723986169999997E-4</v>
      </c>
      <c r="Q325" s="31">
        <f>IF(I325="SI",VLOOKUP(A325,DATA!$A$4:$G$350,7,0),0)</f>
        <v>12892</v>
      </c>
      <c r="R325" s="31">
        <f>IF(I325="SI",VLOOKUP(A325,DATA!$A$4:$H$350,8,0),0)</f>
        <v>19891</v>
      </c>
      <c r="S325" s="117">
        <f t="shared" si="99"/>
        <v>2.4384891032999999E-3</v>
      </c>
      <c r="T325" s="117">
        <f t="shared" si="100"/>
        <v>3.19019360411252E-3</v>
      </c>
      <c r="U325" s="117">
        <f t="shared" si="101"/>
        <v>6.3803872080000004E-4</v>
      </c>
      <c r="V325" s="31">
        <f>IF(I325="SI",VLOOKUP(A325,COEF_FCM!$A$8:$X$354,24,0),0)</f>
        <v>5233095</v>
      </c>
      <c r="W325" s="121">
        <f t="shared" si="102"/>
        <v>144.47999999999999</v>
      </c>
      <c r="X325" s="31">
        <f>IF(AND(W325&gt;0,W325&lt;$W$7),ROUND(($W$7-W325)*L325,PARAMETROS!$L$8),0)</f>
        <v>0</v>
      </c>
      <c r="Y325" s="122">
        <f t="shared" si="103"/>
        <v>0</v>
      </c>
      <c r="Z325" s="117">
        <f t="shared" si="104"/>
        <v>0</v>
      </c>
      <c r="AA325" s="96">
        <f t="shared" si="105"/>
        <v>2.7409077215500002E-3</v>
      </c>
      <c r="AB325" s="31">
        <f>ROUND(AA325*PARAMETROS!$H$24,0)</f>
        <v>470387731</v>
      </c>
      <c r="AC325" s="31">
        <f t="shared" si="106"/>
        <v>470387731</v>
      </c>
      <c r="AD325" s="31">
        <f t="shared" si="107"/>
        <v>117596933</v>
      </c>
      <c r="AE325" s="31">
        <f t="shared" si="111"/>
        <v>117596933</v>
      </c>
      <c r="AF325" s="31">
        <f t="shared" si="111"/>
        <v>117596933</v>
      </c>
      <c r="AG325" s="31">
        <f t="shared" si="108"/>
        <v>117596932</v>
      </c>
    </row>
    <row r="326" spans="1:33" ht="3" customHeight="1" x14ac:dyDescent="0.25">
      <c r="A326">
        <v>14201</v>
      </c>
      <c r="B326">
        <v>10109</v>
      </c>
      <c r="C326" t="s">
        <v>436</v>
      </c>
      <c r="D326" s="31">
        <f>+DATA!O322</f>
        <v>4002335</v>
      </c>
      <c r="E326" s="31">
        <f>+DATA!T322</f>
        <v>6717124.5120000001</v>
      </c>
      <c r="F326" s="38">
        <f t="shared" si="90"/>
        <v>10719459.512</v>
      </c>
      <c r="G326" s="112">
        <f t="shared" si="91"/>
        <v>0.61099999999999999</v>
      </c>
      <c r="H326" s="95">
        <f t="shared" si="92"/>
        <v>0.62660000000000005</v>
      </c>
      <c r="I326" s="6" t="str">
        <f t="shared" si="93"/>
        <v>SI</v>
      </c>
      <c r="J326" s="117">
        <f t="shared" si="94"/>
        <v>3.3112582781000001E-3</v>
      </c>
      <c r="K326" s="117">
        <f t="shared" si="95"/>
        <v>1.6556291390500001E-3</v>
      </c>
      <c r="L326" s="31">
        <f>IF(I326="SI",VLOOKUP(A326,DATA!$A$4:$D$350,4,0),0)</f>
        <v>39705</v>
      </c>
      <c r="M326" s="95">
        <f>IF(I326="SI",VLOOKUP(A326,DATA!$A$4:$E$350,5,0),0)</f>
        <v>8.6548958101477225E-2</v>
      </c>
      <c r="N326" s="31">
        <f t="shared" si="96"/>
        <v>3436</v>
      </c>
      <c r="O326" s="117">
        <f t="shared" si="97"/>
        <v>4.1600329316000004E-3</v>
      </c>
      <c r="P326" s="117">
        <f t="shared" si="98"/>
        <v>4.160032932E-4</v>
      </c>
      <c r="Q326" s="31">
        <f>IF(I326="SI",VLOOKUP(A326,DATA!$A$4:$G$350,7,0),0)</f>
        <v>14027</v>
      </c>
      <c r="R326" s="31">
        <f>IF(I326="SI",VLOOKUP(A326,DATA!$A$4:$H$350,8,0),0)</f>
        <v>20368</v>
      </c>
      <c r="S326" s="117">
        <f t="shared" si="99"/>
        <v>2.8191491326999998E-3</v>
      </c>
      <c r="T326" s="117">
        <f t="shared" si="100"/>
        <v>3.6881983684109326E-3</v>
      </c>
      <c r="U326" s="117">
        <f t="shared" si="101"/>
        <v>7.3763967369999998E-4</v>
      </c>
      <c r="V326" s="31">
        <f>IF(I326="SI",VLOOKUP(A326,COEF_FCM!$A$8:$X$354,24,0),0)</f>
        <v>4002335</v>
      </c>
      <c r="W326" s="121">
        <f t="shared" si="102"/>
        <v>100.8</v>
      </c>
      <c r="X326" s="31">
        <f>IF(AND(W326&gt;0,W326&lt;$W$7),ROUND(($W$7-W326)*L326,PARAMETROS!$L$8),0)</f>
        <v>240612</v>
      </c>
      <c r="Y326" s="122">
        <f t="shared" si="103"/>
        <v>8.8675075580000001E-4</v>
      </c>
      <c r="Z326" s="117">
        <f t="shared" si="104"/>
        <v>1.773501512E-4</v>
      </c>
      <c r="AA326" s="96">
        <f t="shared" si="105"/>
        <v>2.9866222571500001E-3</v>
      </c>
      <c r="AB326" s="31">
        <f>ROUND(AA326*PARAMETROS!$H$24,0)</f>
        <v>512556645</v>
      </c>
      <c r="AC326" s="31">
        <f t="shared" si="106"/>
        <v>512556645</v>
      </c>
      <c r="AD326" s="31">
        <f t="shared" si="107"/>
        <v>128139161</v>
      </c>
      <c r="AE326" s="31">
        <f t="shared" si="111"/>
        <v>128139161</v>
      </c>
      <c r="AF326" s="31">
        <f t="shared" si="111"/>
        <v>128139161</v>
      </c>
      <c r="AG326" s="31">
        <f t="shared" si="108"/>
        <v>128139162</v>
      </c>
    </row>
    <row r="327" spans="1:33" ht="3" customHeight="1" x14ac:dyDescent="0.25">
      <c r="A327">
        <v>14202</v>
      </c>
      <c r="B327">
        <v>10105</v>
      </c>
      <c r="C327" t="s">
        <v>235</v>
      </c>
      <c r="D327" s="31">
        <f>+DATA!O323</f>
        <v>2307406</v>
      </c>
      <c r="E327" s="31">
        <f>+DATA!T323</f>
        <v>3409143.594</v>
      </c>
      <c r="F327" s="38">
        <f t="shared" si="90"/>
        <v>5716549.5940000005</v>
      </c>
      <c r="G327" s="112">
        <f t="shared" si="91"/>
        <v>0.36499999999999999</v>
      </c>
      <c r="H327" s="95">
        <f t="shared" si="92"/>
        <v>0.59640000000000004</v>
      </c>
      <c r="I327" s="6" t="str">
        <f t="shared" si="93"/>
        <v>SI</v>
      </c>
      <c r="J327" s="117">
        <f t="shared" si="94"/>
        <v>3.3112582781000001E-3</v>
      </c>
      <c r="K327" s="117">
        <f t="shared" si="95"/>
        <v>1.6556291390500001E-3</v>
      </c>
      <c r="L327" s="31">
        <f>IF(I327="SI",VLOOKUP(A327,DATA!$A$4:$D$350,4,0),0)</f>
        <v>15188</v>
      </c>
      <c r="M327" s="95">
        <f>IF(I327="SI",VLOOKUP(A327,DATA!$A$4:$E$350,5,0),0)</f>
        <v>9.3146747531727539E-2</v>
      </c>
      <c r="N327" s="31">
        <f t="shared" si="96"/>
        <v>1415</v>
      </c>
      <c r="O327" s="117">
        <f t="shared" si="97"/>
        <v>1.7131683930000001E-3</v>
      </c>
      <c r="P327" s="117">
        <f t="shared" si="98"/>
        <v>1.7131683929999999E-4</v>
      </c>
      <c r="Q327" s="31">
        <f>IF(I327="SI",VLOOKUP(A327,DATA!$A$4:$G$350,7,0),0)</f>
        <v>4992</v>
      </c>
      <c r="R327" s="31">
        <f>IF(I327="SI",VLOOKUP(A327,DATA!$A$4:$H$350,8,0),0)</f>
        <v>7914</v>
      </c>
      <c r="S327" s="117">
        <f t="shared" si="99"/>
        <v>9.1894591250000005E-4</v>
      </c>
      <c r="T327" s="117">
        <f t="shared" si="100"/>
        <v>1.2022261525038178E-3</v>
      </c>
      <c r="U327" s="117">
        <f t="shared" si="101"/>
        <v>2.4044523049999999E-4</v>
      </c>
      <c r="V327" s="31">
        <f>IF(I327="SI",VLOOKUP(A327,COEF_FCM!$A$8:$X$354,24,0),0)</f>
        <v>2307406</v>
      </c>
      <c r="W327" s="121">
        <f t="shared" si="102"/>
        <v>151.91999999999999</v>
      </c>
      <c r="X327" s="31">
        <f>IF(AND(W327&gt;0,W327&lt;$W$7),ROUND(($W$7-W327)*L327,PARAMETROS!$L$8),0)</f>
        <v>0</v>
      </c>
      <c r="Y327" s="122">
        <f t="shared" si="103"/>
        <v>0</v>
      </c>
      <c r="Z327" s="117">
        <f t="shared" si="104"/>
        <v>0</v>
      </c>
      <c r="AA327" s="96">
        <f t="shared" si="105"/>
        <v>2.0673912088500002E-3</v>
      </c>
      <c r="AB327" s="31">
        <f>ROUND(AA327*PARAMETROS!$H$24,0)</f>
        <v>354800511</v>
      </c>
      <c r="AC327" s="31">
        <f t="shared" si="106"/>
        <v>354800511</v>
      </c>
      <c r="AD327" s="31">
        <f t="shared" si="107"/>
        <v>88700128</v>
      </c>
      <c r="AE327" s="31">
        <f t="shared" si="111"/>
        <v>88700128</v>
      </c>
      <c r="AF327" s="31">
        <f t="shared" si="111"/>
        <v>88700128</v>
      </c>
      <c r="AG327" s="31">
        <f t="shared" si="108"/>
        <v>88700127</v>
      </c>
    </row>
    <row r="328" spans="1:33" ht="3" customHeight="1" x14ac:dyDescent="0.25">
      <c r="A328">
        <v>14203</v>
      </c>
      <c r="B328">
        <v>10112</v>
      </c>
      <c r="C328" t="s">
        <v>239</v>
      </c>
      <c r="D328" s="31">
        <f>+DATA!O324</f>
        <v>4004619</v>
      </c>
      <c r="E328" s="31">
        <f>+DATA!T324</f>
        <v>2947116.9309999999</v>
      </c>
      <c r="F328" s="38">
        <f t="shared" si="90"/>
        <v>6951735.9309999999</v>
      </c>
      <c r="G328" s="112">
        <f t="shared" si="91"/>
        <v>0.46300000000000002</v>
      </c>
      <c r="H328" s="95">
        <f t="shared" si="92"/>
        <v>0.4239</v>
      </c>
      <c r="I328" s="6" t="str">
        <f t="shared" si="93"/>
        <v>SI</v>
      </c>
      <c r="J328" s="117">
        <f t="shared" si="94"/>
        <v>3.3112582781000001E-3</v>
      </c>
      <c r="K328" s="117">
        <f t="shared" si="95"/>
        <v>1.6556291390500001E-3</v>
      </c>
      <c r="L328" s="31">
        <f>IF(I328="SI",VLOOKUP(A328,DATA!$A$4:$D$350,4,0),0)</f>
        <v>10272</v>
      </c>
      <c r="M328" s="95">
        <f>IF(I328="SI",VLOOKUP(A328,DATA!$A$4:$E$350,5,0),0)</f>
        <v>0.1237322296459419</v>
      </c>
      <c r="N328" s="31">
        <f t="shared" si="96"/>
        <v>1271</v>
      </c>
      <c r="O328" s="117">
        <f t="shared" si="97"/>
        <v>1.5388247544E-3</v>
      </c>
      <c r="P328" s="117">
        <f t="shared" si="98"/>
        <v>1.5388247540000001E-4</v>
      </c>
      <c r="Q328" s="31">
        <f>IF(I328="SI",VLOOKUP(A328,DATA!$A$4:$G$350,7,0),0)</f>
        <v>4142</v>
      </c>
      <c r="R328" s="31">
        <f>IF(I328="SI",VLOOKUP(A328,DATA!$A$4:$H$350,8,0),0)</f>
        <v>7307</v>
      </c>
      <c r="S328" s="117">
        <f t="shared" si="99"/>
        <v>6.8520090000000005E-4</v>
      </c>
      <c r="T328" s="117">
        <f t="shared" si="100"/>
        <v>8.9642538314152768E-4</v>
      </c>
      <c r="U328" s="117">
        <f t="shared" si="101"/>
        <v>1.792850766E-4</v>
      </c>
      <c r="V328" s="31">
        <f>IF(I328="SI",VLOOKUP(A328,COEF_FCM!$A$8:$X$354,24,0),0)</f>
        <v>4004619</v>
      </c>
      <c r="W328" s="121">
        <f t="shared" si="102"/>
        <v>389.86</v>
      </c>
      <c r="X328" s="31">
        <f>IF(AND(W328&gt;0,W328&lt;$W$7),ROUND(($W$7-W328)*L328,PARAMETROS!$L$8),0)</f>
        <v>0</v>
      </c>
      <c r="Y328" s="122">
        <f t="shared" si="103"/>
        <v>0</v>
      </c>
      <c r="Z328" s="117">
        <f t="shared" si="104"/>
        <v>0</v>
      </c>
      <c r="AA328" s="96">
        <f t="shared" si="105"/>
        <v>1.9887966910500003E-3</v>
      </c>
      <c r="AB328" s="31">
        <f>ROUND(AA328*PARAMETROS!$H$24,0)</f>
        <v>341312316</v>
      </c>
      <c r="AC328" s="31">
        <f t="shared" si="106"/>
        <v>341312316</v>
      </c>
      <c r="AD328" s="31">
        <f t="shared" si="107"/>
        <v>85328079</v>
      </c>
      <c r="AE328" s="31">
        <f t="shared" si="111"/>
        <v>85328079</v>
      </c>
      <c r="AF328" s="31">
        <f t="shared" si="111"/>
        <v>85328079</v>
      </c>
      <c r="AG328" s="31">
        <f t="shared" si="108"/>
        <v>85328079</v>
      </c>
    </row>
    <row r="329" spans="1:33" ht="3" customHeight="1" x14ac:dyDescent="0.25">
      <c r="A329">
        <v>14204</v>
      </c>
      <c r="B329">
        <v>10111</v>
      </c>
      <c r="C329" t="s">
        <v>437</v>
      </c>
      <c r="D329" s="31">
        <f>+DATA!O325</f>
        <v>3197875</v>
      </c>
      <c r="E329" s="31">
        <f>+DATA!T325</f>
        <v>6234059.9009999996</v>
      </c>
      <c r="F329" s="38">
        <f t="shared" ref="F329:F354" si="112">+D329+E329</f>
        <v>9431934.9010000005</v>
      </c>
      <c r="G329" s="112">
        <f t="shared" ref="G329:G354" si="113">_xlfn.PERCENTRANK.INC($F$9:$F$354,F329,3)</f>
        <v>0.56799999999999995</v>
      </c>
      <c r="H329" s="95">
        <f t="shared" ref="H329:H354" si="114">IFERROR(ROUND(E329/F329,4),0)</f>
        <v>0.66100000000000003</v>
      </c>
      <c r="I329" s="6" t="str">
        <f t="shared" ref="I329:I354" si="115">IF(D329=0,"NO",IF(OR(G329&lt;=$G$7,H329&gt;$H$7),"SI","NO"))</f>
        <v>SI</v>
      </c>
      <c r="J329" s="117">
        <f t="shared" ref="J329:J354" si="116">IF(I329="SI",ROUND(1/$I$7,DEC),0)</f>
        <v>3.3112582781000001E-3</v>
      </c>
      <c r="K329" s="117">
        <f t="shared" ref="K329:K354" si="117">+J329*$K$7</f>
        <v>1.6556291390500001E-3</v>
      </c>
      <c r="L329" s="31">
        <f>IF(I329="SI",VLOOKUP(A329,DATA!$A$4:$D$350,4,0),0)</f>
        <v>32998</v>
      </c>
      <c r="M329" s="95">
        <f>IF(I329="SI",VLOOKUP(A329,DATA!$A$4:$E$350,5,0),0)</f>
        <v>5.7198540290497243E-2</v>
      </c>
      <c r="N329" s="31">
        <f t="shared" ref="N329:N354" si="118">ROUND(L329*M329,0)</f>
        <v>1887</v>
      </c>
      <c r="O329" s="117">
        <f t="shared" ref="O329:O354" si="119">ROUND(N329/$N$7,DEC)</f>
        <v>2.2846280972000001E-3</v>
      </c>
      <c r="P329" s="117">
        <f t="shared" ref="P329:P354" si="120">ROUND(O329*$P$7,DEC)</f>
        <v>2.284628097E-4</v>
      </c>
      <c r="Q329" s="31">
        <f>IF(I329="SI",VLOOKUP(A329,DATA!$A$4:$G$350,7,0),0)</f>
        <v>12726</v>
      </c>
      <c r="R329" s="31">
        <f>IF(I329="SI",VLOOKUP(A329,DATA!$A$4:$H$350,8,0),0)</f>
        <v>17416</v>
      </c>
      <c r="S329" s="117">
        <f t="shared" ref="S329:S354" si="121">IF(R329=0,0,ROUND((Q329/$Q$7)*(Q329/R329),DEC))</f>
        <v>2.7137651731999998E-3</v>
      </c>
      <c r="T329" s="117">
        <f t="shared" ref="T329:T354" si="122">+S329/$S$7</f>
        <v>3.5503280645748478E-3</v>
      </c>
      <c r="U329" s="117">
        <f t="shared" ref="U329:U354" si="123">ROUND(T329*$U$7,DEC)</f>
        <v>7.1006561290000002E-4</v>
      </c>
      <c r="V329" s="31">
        <f>IF(I329="SI",VLOOKUP(A329,COEF_FCM!$A$8:$X$354,24,0),0)</f>
        <v>3197875</v>
      </c>
      <c r="W329" s="121">
        <f t="shared" ref="W329:W354" si="124">IFERROR(ROUND(V329/L329,2),0)</f>
        <v>96.91</v>
      </c>
      <c r="X329" s="31">
        <f>IF(AND(W329&gt;0,W329&lt;$W$7),ROUND(($W$7-W329)*L329,PARAMETROS!$L$8),0)</f>
        <v>328330</v>
      </c>
      <c r="Y329" s="122">
        <f t="shared" ref="Y329:Y354" si="125">ROUND(X329/$X$7,DEC)</f>
        <v>1.2100264146000001E-3</v>
      </c>
      <c r="Z329" s="117">
        <f t="shared" ref="Z329:Z354" si="126">ROUND(Y329*$Z$7,DEC)</f>
        <v>2.420052829E-4</v>
      </c>
      <c r="AA329" s="96">
        <f t="shared" ref="AA329:AA354" si="127">+K329+P329+U329+Z329</f>
        <v>2.83616284455E-3</v>
      </c>
      <c r="AB329" s="31">
        <f>ROUND(AA329*PARAMETROS!$H$24,0)</f>
        <v>486735177</v>
      </c>
      <c r="AC329" s="31">
        <f t="shared" ref="AC329:AC354" si="128">IF(AB329=$AC$6,AB329+$AC$5,AB329)</f>
        <v>486735177</v>
      </c>
      <c r="AD329" s="31">
        <f t="shared" ref="AD329:AD354" si="129">ROUND(AC329/4,0)</f>
        <v>121683794</v>
      </c>
      <c r="AE329" s="31">
        <f t="shared" ref="AE329:AF348" si="130">+AD329</f>
        <v>121683794</v>
      </c>
      <c r="AF329" s="31">
        <f t="shared" si="130"/>
        <v>121683794</v>
      </c>
      <c r="AG329" s="31">
        <f t="shared" ref="AG329:AG354" si="131">+AC329-AD329-AE329-AF329</f>
        <v>121683795</v>
      </c>
    </row>
    <row r="330" spans="1:33" ht="3" customHeight="1" x14ac:dyDescent="0.25">
      <c r="A330">
        <v>15101</v>
      </c>
      <c r="B330">
        <v>1101</v>
      </c>
      <c r="C330" t="s">
        <v>52</v>
      </c>
      <c r="D330" s="31">
        <f>+DATA!O326</f>
        <v>23613770</v>
      </c>
      <c r="E330" s="31">
        <f>+DATA!T326</f>
        <v>30787949.909000002</v>
      </c>
      <c r="F330" s="38">
        <f t="shared" si="112"/>
        <v>54401719.909000002</v>
      </c>
      <c r="G330" s="112">
        <f t="shared" si="113"/>
        <v>0.93899999999999995</v>
      </c>
      <c r="H330" s="95">
        <f t="shared" si="114"/>
        <v>0.56589999999999996</v>
      </c>
      <c r="I330" s="6" t="str">
        <f t="shared" si="115"/>
        <v>SI</v>
      </c>
      <c r="J330" s="117">
        <f t="shared" si="116"/>
        <v>3.3112582781000001E-3</v>
      </c>
      <c r="K330" s="117">
        <f t="shared" si="117"/>
        <v>1.6556291390500001E-3</v>
      </c>
      <c r="L330" s="31">
        <f>IF(I330="SI",VLOOKUP(A330,DATA!$A$4:$D$350,4,0),0)</f>
        <v>257163</v>
      </c>
      <c r="M330" s="95">
        <f>IF(I330="SI",VLOOKUP(A330,DATA!$A$4:$E$350,5,0),0)</f>
        <v>9.1350031060376549E-2</v>
      </c>
      <c r="N330" s="31">
        <f t="shared" si="118"/>
        <v>23492</v>
      </c>
      <c r="O330" s="117">
        <f t="shared" si="119"/>
        <v>2.8442227482099999E-2</v>
      </c>
      <c r="P330" s="117">
        <f t="shared" si="120"/>
        <v>2.8442227482000002E-3</v>
      </c>
      <c r="Q330" s="31">
        <f>IF(I330="SI",VLOOKUP(A330,DATA!$A$4:$G$350,7,0),0)</f>
        <v>61101</v>
      </c>
      <c r="R330" s="31">
        <f>IF(I330="SI",VLOOKUP(A330,DATA!$A$4:$H$350,8,0),0)</f>
        <v>80309</v>
      </c>
      <c r="S330" s="117">
        <f t="shared" si="121"/>
        <v>1.35665450408E-2</v>
      </c>
      <c r="T330" s="117">
        <f t="shared" si="122"/>
        <v>1.7748656395673051E-2</v>
      </c>
      <c r="U330" s="117">
        <f t="shared" si="123"/>
        <v>3.5497312791E-3</v>
      </c>
      <c r="V330" s="31">
        <f>IF(I330="SI",VLOOKUP(A330,COEF_FCM!$A$8:$X$354,24,0),0)</f>
        <v>23613770</v>
      </c>
      <c r="W330" s="121">
        <f t="shared" si="124"/>
        <v>91.82</v>
      </c>
      <c r="X330" s="31">
        <f>IF(AND(W330&gt;0,W330&lt;$W$7),ROUND(($W$7-W330)*L330,PARAMETROS!$L$8),0)</f>
        <v>3867732</v>
      </c>
      <c r="Y330" s="122">
        <f t="shared" si="125"/>
        <v>1.42541281164E-2</v>
      </c>
      <c r="Z330" s="117">
        <f t="shared" si="126"/>
        <v>2.8508256233000001E-3</v>
      </c>
      <c r="AA330" s="96">
        <f t="shared" si="127"/>
        <v>1.090040878965E-2</v>
      </c>
      <c r="AB330" s="31">
        <f>ROUND(AA330*PARAMETROS!$H$24,0)</f>
        <v>1870700905</v>
      </c>
      <c r="AC330" s="31">
        <f t="shared" si="128"/>
        <v>1870700905</v>
      </c>
      <c r="AD330" s="31">
        <f t="shared" si="129"/>
        <v>467675226</v>
      </c>
      <c r="AE330" s="31">
        <f t="shared" si="130"/>
        <v>467675226</v>
      </c>
      <c r="AF330" s="31">
        <f t="shared" si="130"/>
        <v>467675226</v>
      </c>
      <c r="AG330" s="31">
        <f t="shared" si="131"/>
        <v>467675227</v>
      </c>
    </row>
    <row r="331" spans="1:33" ht="3" customHeight="1" x14ac:dyDescent="0.25">
      <c r="A331">
        <v>15102</v>
      </c>
      <c r="B331">
        <v>1106</v>
      </c>
      <c r="C331" t="s">
        <v>53</v>
      </c>
      <c r="D331" s="31">
        <f>+DATA!O327</f>
        <v>1140745</v>
      </c>
      <c r="E331" s="31">
        <f>+DATA!T327</f>
        <v>2212077.5290000001</v>
      </c>
      <c r="F331" s="38">
        <f t="shared" si="112"/>
        <v>3352822.5290000001</v>
      </c>
      <c r="G331" s="112">
        <f t="shared" si="113"/>
        <v>9.1999999999999998E-2</v>
      </c>
      <c r="H331" s="95">
        <f t="shared" si="114"/>
        <v>0.65980000000000005</v>
      </c>
      <c r="I331" s="6" t="str">
        <f t="shared" si="115"/>
        <v>SI</v>
      </c>
      <c r="J331" s="117">
        <f t="shared" si="116"/>
        <v>3.3112582781000001E-3</v>
      </c>
      <c r="K331" s="117">
        <f t="shared" si="117"/>
        <v>1.6556291390500001E-3</v>
      </c>
      <c r="L331" s="31">
        <f>IF(I331="SI",VLOOKUP(A331,DATA!$A$4:$D$350,4,0),0)</f>
        <v>1246</v>
      </c>
      <c r="M331" s="95">
        <f>IF(I331="SI",VLOOKUP(A331,DATA!$A$4:$E$350,5,0),0)</f>
        <v>0.12584517373594761</v>
      </c>
      <c r="N331" s="31">
        <f t="shared" si="118"/>
        <v>157</v>
      </c>
      <c r="O331" s="117">
        <f t="shared" si="119"/>
        <v>1.900829948E-4</v>
      </c>
      <c r="P331" s="117">
        <f t="shared" si="120"/>
        <v>1.9008299500000001E-5</v>
      </c>
      <c r="Q331" s="31">
        <f>IF(I331="SI",VLOOKUP(A331,DATA!$A$4:$G$350,7,0),0)</f>
        <v>2201</v>
      </c>
      <c r="R331" s="31">
        <f>IF(I331="SI",VLOOKUP(A331,DATA!$A$4:$H$350,8,0),0)</f>
        <v>2326</v>
      </c>
      <c r="S331" s="117">
        <f t="shared" si="121"/>
        <v>6.0780912749999999E-4</v>
      </c>
      <c r="T331" s="117">
        <f t="shared" si="122"/>
        <v>7.951763198152616E-4</v>
      </c>
      <c r="U331" s="117">
        <f t="shared" si="123"/>
        <v>1.59035264E-4</v>
      </c>
      <c r="V331" s="31">
        <f>IF(I331="SI",VLOOKUP(A331,COEF_FCM!$A$8:$X$354,24,0),0)</f>
        <v>1140745</v>
      </c>
      <c r="W331" s="121">
        <f t="shared" si="124"/>
        <v>915.53</v>
      </c>
      <c r="X331" s="31">
        <f>IF(AND(W331&gt;0,W331&lt;$W$7),ROUND(($W$7-W331)*L331,PARAMETROS!$L$8),0)</f>
        <v>0</v>
      </c>
      <c r="Y331" s="122">
        <f t="shared" si="125"/>
        <v>0</v>
      </c>
      <c r="Z331" s="117">
        <f t="shared" si="126"/>
        <v>0</v>
      </c>
      <c r="AA331" s="96">
        <f t="shared" si="127"/>
        <v>1.8336727025500001E-3</v>
      </c>
      <c r="AB331" s="31">
        <f>ROUND(AA331*PARAMETROS!$H$24,0)</f>
        <v>314690325</v>
      </c>
      <c r="AC331" s="31">
        <f t="shared" si="128"/>
        <v>314690325</v>
      </c>
      <c r="AD331" s="31">
        <f t="shared" si="129"/>
        <v>78672581</v>
      </c>
      <c r="AE331" s="31">
        <f t="shared" si="130"/>
        <v>78672581</v>
      </c>
      <c r="AF331" s="31">
        <f t="shared" si="130"/>
        <v>78672581</v>
      </c>
      <c r="AG331" s="31">
        <f t="shared" si="131"/>
        <v>78672582</v>
      </c>
    </row>
    <row r="332" spans="1:33" ht="3" customHeight="1" x14ac:dyDescent="0.25">
      <c r="A332">
        <v>15201</v>
      </c>
      <c r="B332">
        <v>1301</v>
      </c>
      <c r="C332" t="s">
        <v>61</v>
      </c>
      <c r="D332" s="31">
        <f>+DATA!O328</f>
        <v>507675</v>
      </c>
      <c r="E332" s="31">
        <f>+DATA!T328</f>
        <v>3000021.0329999998</v>
      </c>
      <c r="F332" s="38">
        <f t="shared" si="112"/>
        <v>3507696.0329999998</v>
      </c>
      <c r="G332" s="112">
        <f t="shared" si="113"/>
        <v>0.115</v>
      </c>
      <c r="H332" s="95">
        <f t="shared" si="114"/>
        <v>0.85529999999999995</v>
      </c>
      <c r="I332" s="6" t="str">
        <f t="shared" si="115"/>
        <v>SI</v>
      </c>
      <c r="J332" s="117">
        <f t="shared" si="116"/>
        <v>3.3112582781000001E-3</v>
      </c>
      <c r="K332" s="117">
        <f t="shared" si="117"/>
        <v>1.6556291390500001E-3</v>
      </c>
      <c r="L332" s="31">
        <f>IF(I332="SI",VLOOKUP(A332,DATA!$A$4:$D$350,4,0),0)</f>
        <v>2569</v>
      </c>
      <c r="M332" s="95">
        <f>IF(I332="SI",VLOOKUP(A332,DATA!$A$4:$E$350,5,0),0)</f>
        <v>7.3455778259526677E-2</v>
      </c>
      <c r="N332" s="31">
        <f t="shared" si="118"/>
        <v>189</v>
      </c>
      <c r="O332" s="117">
        <f t="shared" si="119"/>
        <v>2.2882602559999999E-4</v>
      </c>
      <c r="P332" s="117">
        <f t="shared" si="120"/>
        <v>2.2882602599999999E-5</v>
      </c>
      <c r="Q332" s="31">
        <f>IF(I332="SI",VLOOKUP(A332,DATA!$A$4:$G$350,7,0),0)</f>
        <v>5249</v>
      </c>
      <c r="R332" s="31">
        <f>IF(I332="SI",VLOOKUP(A332,DATA!$A$4:$H$350,8,0),0)</f>
        <v>5488</v>
      </c>
      <c r="S332" s="117">
        <f t="shared" si="121"/>
        <v>1.4651290713000001E-3</v>
      </c>
      <c r="T332" s="117">
        <f t="shared" si="122"/>
        <v>1.916779281947664E-3</v>
      </c>
      <c r="U332" s="117">
        <f t="shared" si="123"/>
        <v>3.8335585640000001E-4</v>
      </c>
      <c r="V332" s="31">
        <f>IF(I332="SI",VLOOKUP(A332,COEF_FCM!$A$8:$X$354,24,0),0)</f>
        <v>507675</v>
      </c>
      <c r="W332" s="121">
        <f t="shared" si="124"/>
        <v>197.62</v>
      </c>
      <c r="X332" s="31">
        <f>IF(AND(W332&gt;0,W332&lt;$W$7),ROUND(($W$7-W332)*L332,PARAMETROS!$L$8),0)</f>
        <v>0</v>
      </c>
      <c r="Y332" s="122">
        <f t="shared" si="125"/>
        <v>0</v>
      </c>
      <c r="Z332" s="117">
        <f t="shared" si="126"/>
        <v>0</v>
      </c>
      <c r="AA332" s="96">
        <f t="shared" si="127"/>
        <v>2.0618675980499999E-3</v>
      </c>
      <c r="AB332" s="31">
        <f>ROUND(AA332*PARAMETROS!$H$24,0)</f>
        <v>353852563</v>
      </c>
      <c r="AC332" s="31">
        <f t="shared" si="128"/>
        <v>353852563</v>
      </c>
      <c r="AD332" s="31">
        <f t="shared" si="129"/>
        <v>88463141</v>
      </c>
      <c r="AE332" s="31">
        <f t="shared" si="130"/>
        <v>88463141</v>
      </c>
      <c r="AF332" s="31">
        <f t="shared" si="130"/>
        <v>88463141</v>
      </c>
      <c r="AG332" s="31">
        <f t="shared" si="131"/>
        <v>88463140</v>
      </c>
    </row>
    <row r="333" spans="1:33" ht="3" customHeight="1" x14ac:dyDescent="0.25">
      <c r="A333">
        <v>15202</v>
      </c>
      <c r="B333">
        <v>1302</v>
      </c>
      <c r="C333" t="s">
        <v>62</v>
      </c>
      <c r="D333" s="31">
        <f>+DATA!O329</f>
        <v>222842</v>
      </c>
      <c r="E333" s="31">
        <f>+DATA!T329</f>
        <v>1867695.62</v>
      </c>
      <c r="F333" s="38">
        <f t="shared" si="112"/>
        <v>2090537.62</v>
      </c>
      <c r="G333" s="112">
        <f t="shared" si="113"/>
        <v>1.4E-2</v>
      </c>
      <c r="H333" s="95">
        <f t="shared" si="114"/>
        <v>0.89339999999999997</v>
      </c>
      <c r="I333" s="6" t="str">
        <f t="shared" si="115"/>
        <v>SI</v>
      </c>
      <c r="J333" s="117">
        <f t="shared" si="116"/>
        <v>3.3112582781000001E-3</v>
      </c>
      <c r="K333" s="117">
        <f t="shared" si="117"/>
        <v>1.6556291390500001E-3</v>
      </c>
      <c r="L333" s="31">
        <f>IF(I333="SI",VLOOKUP(A333,DATA!$A$4:$D$350,4,0),0)</f>
        <v>801</v>
      </c>
      <c r="M333" s="95">
        <f>IF(I333="SI",VLOOKUP(A333,DATA!$A$4:$E$350,5,0),0)</f>
        <v>0.21238344227953801</v>
      </c>
      <c r="N333" s="31">
        <f t="shared" si="118"/>
        <v>170</v>
      </c>
      <c r="O333" s="117">
        <f t="shared" si="119"/>
        <v>2.0582235109999999E-4</v>
      </c>
      <c r="P333" s="117">
        <f t="shared" si="120"/>
        <v>2.0582235100000002E-5</v>
      </c>
      <c r="Q333" s="31">
        <f>IF(I333="SI",VLOOKUP(A333,DATA!$A$4:$G$350,7,0),0)</f>
        <v>311</v>
      </c>
      <c r="R333" s="31">
        <f>IF(I333="SI",VLOOKUP(A333,DATA!$A$4:$H$350,8,0),0)</f>
        <v>339</v>
      </c>
      <c r="S333" s="117">
        <f t="shared" si="121"/>
        <v>8.3264124999999996E-5</v>
      </c>
      <c r="T333" s="117">
        <f t="shared" si="122"/>
        <v>1.0893166537736457E-4</v>
      </c>
      <c r="U333" s="117">
        <f t="shared" si="123"/>
        <v>2.17863331E-5</v>
      </c>
      <c r="V333" s="31">
        <f>IF(I333="SI",VLOOKUP(A333,COEF_FCM!$A$8:$X$354,24,0),0)</f>
        <v>222842</v>
      </c>
      <c r="W333" s="121">
        <f t="shared" si="124"/>
        <v>278.2</v>
      </c>
      <c r="X333" s="31">
        <f>IF(AND(W333&gt;0,W333&lt;$W$7),ROUND(($W$7-W333)*L333,PARAMETROS!$L$8),0)</f>
        <v>0</v>
      </c>
      <c r="Y333" s="122">
        <f t="shared" si="125"/>
        <v>0</v>
      </c>
      <c r="Z333" s="117">
        <f t="shared" si="126"/>
        <v>0</v>
      </c>
      <c r="AA333" s="96">
        <f t="shared" si="127"/>
        <v>1.69799770725E-3</v>
      </c>
      <c r="AB333" s="31">
        <f>ROUND(AA333*PARAMETROS!$H$24,0)</f>
        <v>291406122</v>
      </c>
      <c r="AC333" s="31">
        <f t="shared" si="128"/>
        <v>291406122</v>
      </c>
      <c r="AD333" s="31">
        <f t="shared" si="129"/>
        <v>72851531</v>
      </c>
      <c r="AE333" s="31">
        <f t="shared" si="130"/>
        <v>72851531</v>
      </c>
      <c r="AF333" s="31">
        <f t="shared" si="130"/>
        <v>72851531</v>
      </c>
      <c r="AG333" s="31">
        <f t="shared" si="131"/>
        <v>72851529</v>
      </c>
    </row>
    <row r="334" spans="1:33" ht="3" customHeight="1" x14ac:dyDescent="0.25">
      <c r="A334">
        <v>16101</v>
      </c>
      <c r="B334">
        <v>8101</v>
      </c>
      <c r="C334" t="s">
        <v>401</v>
      </c>
      <c r="D334" s="31">
        <f>+DATA!O330</f>
        <v>24405133</v>
      </c>
      <c r="E334" s="31">
        <f>+DATA!T330</f>
        <v>23800836.857000001</v>
      </c>
      <c r="F334" s="38">
        <f t="shared" si="112"/>
        <v>48205969.857000001</v>
      </c>
      <c r="G334" s="112">
        <f t="shared" si="113"/>
        <v>0.91800000000000004</v>
      </c>
      <c r="H334" s="95">
        <f t="shared" si="114"/>
        <v>0.49370000000000003</v>
      </c>
      <c r="I334" s="6" t="str">
        <f t="shared" si="115"/>
        <v>NO</v>
      </c>
      <c r="J334" s="117">
        <f t="shared" si="116"/>
        <v>0</v>
      </c>
      <c r="K334" s="117">
        <f t="shared" si="117"/>
        <v>0</v>
      </c>
      <c r="L334" s="31">
        <f>IF(I334="SI",VLOOKUP(A334,DATA!$A$4:$D$350,4,0),0)</f>
        <v>0</v>
      </c>
      <c r="M334" s="95">
        <f>IF(I334="SI",VLOOKUP(A334,DATA!$A$4:$E$350,5,0),0)</f>
        <v>0</v>
      </c>
      <c r="N334" s="31">
        <f t="shared" si="118"/>
        <v>0</v>
      </c>
      <c r="O334" s="117">
        <f t="shared" si="119"/>
        <v>0</v>
      </c>
      <c r="P334" s="117">
        <f t="shared" si="120"/>
        <v>0</v>
      </c>
      <c r="Q334" s="31">
        <f>IF(I334="SI",VLOOKUP(A334,DATA!$A$4:$G$350,7,0),0)</f>
        <v>0</v>
      </c>
      <c r="R334" s="31">
        <f>IF(I334="SI",VLOOKUP(A334,DATA!$A$4:$H$350,8,0),0)</f>
        <v>0</v>
      </c>
      <c r="S334" s="117">
        <f t="shared" si="121"/>
        <v>0</v>
      </c>
      <c r="T334" s="117">
        <f t="shared" si="122"/>
        <v>0</v>
      </c>
      <c r="U334" s="117">
        <f t="shared" si="123"/>
        <v>0</v>
      </c>
      <c r="V334" s="31">
        <f>IF(I334="SI",VLOOKUP(A334,COEF_FCM!$A$8:$X$354,24,0),0)</f>
        <v>0</v>
      </c>
      <c r="W334" s="121">
        <f t="shared" si="124"/>
        <v>0</v>
      </c>
      <c r="X334" s="31">
        <f>IF(AND(W334&gt;0,W334&lt;$W$7),ROUND(($W$7-W334)*L334,PARAMETROS!$L$8),0)</f>
        <v>0</v>
      </c>
      <c r="Y334" s="122">
        <f t="shared" si="125"/>
        <v>0</v>
      </c>
      <c r="Z334" s="117">
        <f t="shared" si="126"/>
        <v>0</v>
      </c>
      <c r="AA334" s="96">
        <f t="shared" si="127"/>
        <v>0</v>
      </c>
      <c r="AB334" s="31">
        <f>ROUND(AA334*PARAMETROS!$H$24,0)</f>
        <v>0</v>
      </c>
      <c r="AC334" s="31">
        <f t="shared" si="128"/>
        <v>0</v>
      </c>
      <c r="AD334" s="31">
        <f t="shared" si="129"/>
        <v>0</v>
      </c>
      <c r="AE334" s="31">
        <f t="shared" si="130"/>
        <v>0</v>
      </c>
      <c r="AF334" s="31">
        <f t="shared" si="130"/>
        <v>0</v>
      </c>
      <c r="AG334" s="31">
        <f t="shared" si="131"/>
        <v>0</v>
      </c>
    </row>
    <row r="335" spans="1:33" ht="3" customHeight="1" x14ac:dyDescent="0.25">
      <c r="A335">
        <v>16102</v>
      </c>
      <c r="B335">
        <v>8113</v>
      </c>
      <c r="C335" t="s">
        <v>177</v>
      </c>
      <c r="D335" s="31">
        <f>+DATA!O331</f>
        <v>1863601</v>
      </c>
      <c r="E335" s="31">
        <f>+DATA!T331</f>
        <v>4970509.9110000003</v>
      </c>
      <c r="F335" s="38">
        <f t="shared" si="112"/>
        <v>6834110.9110000003</v>
      </c>
      <c r="G335" s="112">
        <f t="shared" si="113"/>
        <v>0.45500000000000002</v>
      </c>
      <c r="H335" s="95">
        <f t="shared" si="114"/>
        <v>0.72729999999999995</v>
      </c>
      <c r="I335" s="6" t="str">
        <f t="shared" si="115"/>
        <v>SI</v>
      </c>
      <c r="J335" s="117">
        <f t="shared" si="116"/>
        <v>3.3112582781000001E-3</v>
      </c>
      <c r="K335" s="117">
        <f t="shared" si="117"/>
        <v>1.6556291390500001E-3</v>
      </c>
      <c r="L335" s="31">
        <f>IF(I335="SI",VLOOKUP(A335,DATA!$A$4:$D$350,4,0),0)</f>
        <v>22754</v>
      </c>
      <c r="M335" s="95">
        <f>IF(I335="SI",VLOOKUP(A335,DATA!$A$4:$E$350,5,0),0)</f>
        <v>0.12741203744136989</v>
      </c>
      <c r="N335" s="31">
        <f t="shared" si="118"/>
        <v>2899</v>
      </c>
      <c r="O335" s="117">
        <f t="shared" si="119"/>
        <v>3.5098764461000001E-3</v>
      </c>
      <c r="P335" s="117">
        <f t="shared" si="120"/>
        <v>3.5098764459999998E-4</v>
      </c>
      <c r="Q335" s="31">
        <f>IF(I335="SI",VLOOKUP(A335,DATA!$A$4:$G$350,7,0),0)</f>
        <v>10619</v>
      </c>
      <c r="R335" s="31">
        <f>IF(I335="SI",VLOOKUP(A335,DATA!$A$4:$H$350,8,0),0)</f>
        <v>14239</v>
      </c>
      <c r="S335" s="117">
        <f t="shared" si="121"/>
        <v>2.3111311679999999E-3</v>
      </c>
      <c r="T335" s="117">
        <f t="shared" si="122"/>
        <v>3.0235754838686376E-3</v>
      </c>
      <c r="U335" s="117">
        <f t="shared" si="123"/>
        <v>6.0471509680000001E-4</v>
      </c>
      <c r="V335" s="31">
        <f>IF(I335="SI",VLOOKUP(A335,COEF_FCM!$A$8:$X$354,24,0),0)</f>
        <v>1863601</v>
      </c>
      <c r="W335" s="121">
        <f t="shared" si="124"/>
        <v>81.900000000000006</v>
      </c>
      <c r="X335" s="31">
        <f>IF(AND(W335&gt;0,W335&lt;$W$7),ROUND(($W$7-W335)*L335,PARAMETROS!$L$8),0)</f>
        <v>567940</v>
      </c>
      <c r="Y335" s="122">
        <f t="shared" si="125"/>
        <v>2.0930844026E-3</v>
      </c>
      <c r="Z335" s="117">
        <f t="shared" si="126"/>
        <v>4.1861688050000002E-4</v>
      </c>
      <c r="AA335" s="96">
        <f t="shared" si="127"/>
        <v>3.0299487609499998E-3</v>
      </c>
      <c r="AB335" s="31">
        <f>ROUND(AA335*PARAMETROS!$H$24,0)</f>
        <v>519992231</v>
      </c>
      <c r="AC335" s="31">
        <f t="shared" si="128"/>
        <v>519992231</v>
      </c>
      <c r="AD335" s="31">
        <f t="shared" si="129"/>
        <v>129998058</v>
      </c>
      <c r="AE335" s="31">
        <f t="shared" si="130"/>
        <v>129998058</v>
      </c>
      <c r="AF335" s="31">
        <f t="shared" si="130"/>
        <v>129998058</v>
      </c>
      <c r="AG335" s="31">
        <f t="shared" si="131"/>
        <v>129998057</v>
      </c>
    </row>
    <row r="336" spans="1:33" ht="3" customHeight="1" x14ac:dyDescent="0.25">
      <c r="A336">
        <v>16103</v>
      </c>
      <c r="B336">
        <v>8121</v>
      </c>
      <c r="C336" t="s">
        <v>402</v>
      </c>
      <c r="D336" s="31">
        <f>+DATA!O332</f>
        <v>3144532</v>
      </c>
      <c r="E336" s="31">
        <f>+DATA!T332</f>
        <v>5810995.6909999996</v>
      </c>
      <c r="F336" s="38">
        <f t="shared" si="112"/>
        <v>8955527.6909999996</v>
      </c>
      <c r="G336" s="112">
        <f t="shared" si="113"/>
        <v>0.55300000000000005</v>
      </c>
      <c r="H336" s="95">
        <f t="shared" si="114"/>
        <v>0.64890000000000003</v>
      </c>
      <c r="I336" s="6" t="str">
        <f t="shared" si="115"/>
        <v>SI</v>
      </c>
      <c r="J336" s="117">
        <f t="shared" si="116"/>
        <v>3.3112582781000001E-3</v>
      </c>
      <c r="K336" s="117">
        <f t="shared" si="117"/>
        <v>1.6556291390500001E-3</v>
      </c>
      <c r="L336" s="31">
        <f>IF(I336="SI",VLOOKUP(A336,DATA!$A$4:$D$350,4,0),0)</f>
        <v>35580</v>
      </c>
      <c r="M336" s="95">
        <f>IF(I336="SI",VLOOKUP(A336,DATA!$A$4:$E$350,5,0),0)</f>
        <v>8.5460198027746473E-2</v>
      </c>
      <c r="N336" s="31">
        <f t="shared" si="118"/>
        <v>3041</v>
      </c>
      <c r="O336" s="117">
        <f t="shared" si="119"/>
        <v>3.6817986452000002E-3</v>
      </c>
      <c r="P336" s="117">
        <f t="shared" si="120"/>
        <v>3.6817986450000001E-4</v>
      </c>
      <c r="Q336" s="31">
        <f>IF(I336="SI",VLOOKUP(A336,DATA!$A$4:$G$350,7,0),0)</f>
        <v>12199</v>
      </c>
      <c r="R336" s="31">
        <f>IF(I336="SI",VLOOKUP(A336,DATA!$A$4:$H$350,8,0),0)</f>
        <v>14247</v>
      </c>
      <c r="S336" s="117">
        <f t="shared" si="121"/>
        <v>3.0483293055000001E-3</v>
      </c>
      <c r="T336" s="117">
        <f t="shared" si="122"/>
        <v>3.9880271109164981E-3</v>
      </c>
      <c r="U336" s="117">
        <f t="shared" si="123"/>
        <v>7.9760542219999995E-4</v>
      </c>
      <c r="V336" s="31">
        <f>IF(I336="SI",VLOOKUP(A336,COEF_FCM!$A$8:$X$354,24,0),0)</f>
        <v>3144532</v>
      </c>
      <c r="W336" s="121">
        <f t="shared" si="124"/>
        <v>88.38</v>
      </c>
      <c r="X336" s="31">
        <f>IF(AND(W336&gt;0,W336&lt;$W$7),ROUND(($W$7-W336)*L336,PARAMETROS!$L$8),0)</f>
        <v>657518</v>
      </c>
      <c r="Y336" s="122">
        <f t="shared" si="125"/>
        <v>2.4232148998000001E-3</v>
      </c>
      <c r="Z336" s="117">
        <f t="shared" si="126"/>
        <v>4.8464298000000001E-4</v>
      </c>
      <c r="AA336" s="96">
        <f t="shared" si="127"/>
        <v>3.3060574057500003E-3</v>
      </c>
      <c r="AB336" s="31">
        <f>ROUND(AA336*PARAMETROS!$H$24,0)</f>
        <v>567377307</v>
      </c>
      <c r="AC336" s="31">
        <f t="shared" si="128"/>
        <v>567377307</v>
      </c>
      <c r="AD336" s="31">
        <f t="shared" si="129"/>
        <v>141844327</v>
      </c>
      <c r="AE336" s="31">
        <f t="shared" si="130"/>
        <v>141844327</v>
      </c>
      <c r="AF336" s="31">
        <f t="shared" si="130"/>
        <v>141844327</v>
      </c>
      <c r="AG336" s="31">
        <f t="shared" si="131"/>
        <v>141844326</v>
      </c>
    </row>
    <row r="337" spans="1:33" ht="3" customHeight="1" x14ac:dyDescent="0.25">
      <c r="A337">
        <v>16104</v>
      </c>
      <c r="B337">
        <v>8118</v>
      </c>
      <c r="C337" t="s">
        <v>181</v>
      </c>
      <c r="D337" s="31">
        <f>+DATA!O333</f>
        <v>991982</v>
      </c>
      <c r="E337" s="31">
        <f>+DATA!T333</f>
        <v>3751726.5819999999</v>
      </c>
      <c r="F337" s="38">
        <f t="shared" si="112"/>
        <v>4743708.5820000004</v>
      </c>
      <c r="G337" s="112">
        <f t="shared" si="113"/>
        <v>0.246</v>
      </c>
      <c r="H337" s="95">
        <f t="shared" si="114"/>
        <v>0.79090000000000005</v>
      </c>
      <c r="I337" s="6" t="str">
        <f t="shared" si="115"/>
        <v>SI</v>
      </c>
      <c r="J337" s="117">
        <f t="shared" si="116"/>
        <v>3.3112582781000001E-3</v>
      </c>
      <c r="K337" s="117">
        <f t="shared" si="117"/>
        <v>1.6556291390500001E-3</v>
      </c>
      <c r="L337" s="31">
        <f>IF(I337="SI",VLOOKUP(A337,DATA!$A$4:$D$350,4,0),0)</f>
        <v>12197</v>
      </c>
      <c r="M337" s="95">
        <f>IF(I337="SI",VLOOKUP(A337,DATA!$A$4:$E$350,5,0),0)</f>
        <v>0.1492478148913714</v>
      </c>
      <c r="N337" s="31">
        <f t="shared" si="118"/>
        <v>1820</v>
      </c>
      <c r="O337" s="117">
        <f t="shared" si="119"/>
        <v>2.2035098764000001E-3</v>
      </c>
      <c r="P337" s="117">
        <f t="shared" si="120"/>
        <v>2.2035098760000001E-4</v>
      </c>
      <c r="Q337" s="31">
        <f>IF(I337="SI",VLOOKUP(A337,DATA!$A$4:$G$350,7,0),0)</f>
        <v>7237</v>
      </c>
      <c r="R337" s="31">
        <f>IF(I337="SI",VLOOKUP(A337,DATA!$A$4:$H$350,8,0),0)</f>
        <v>9656</v>
      </c>
      <c r="S337" s="117">
        <f t="shared" si="121"/>
        <v>1.5829118528000001E-3</v>
      </c>
      <c r="T337" s="117">
        <f t="shared" si="122"/>
        <v>2.0708705492440325E-3</v>
      </c>
      <c r="U337" s="117">
        <f t="shared" si="123"/>
        <v>4.1417410979999999E-4</v>
      </c>
      <c r="V337" s="31">
        <f>IF(I337="SI",VLOOKUP(A337,COEF_FCM!$A$8:$X$354,24,0),0)</f>
        <v>991982</v>
      </c>
      <c r="W337" s="121">
        <f t="shared" si="124"/>
        <v>81.33</v>
      </c>
      <c r="X337" s="31">
        <f>IF(AND(W337&gt;0,W337&lt;$W$7),ROUND(($W$7-W337)*L337,PARAMETROS!$L$8),0)</f>
        <v>311389</v>
      </c>
      <c r="Y337" s="122">
        <f t="shared" si="125"/>
        <v>1.1475921030999999E-3</v>
      </c>
      <c r="Z337" s="117">
        <f t="shared" si="126"/>
        <v>2.2951842060000001E-4</v>
      </c>
      <c r="AA337" s="96">
        <f t="shared" si="127"/>
        <v>2.5196726570500001E-3</v>
      </c>
      <c r="AB337" s="31">
        <f>ROUND(AA337*PARAMETROS!$H$24,0)</f>
        <v>432419922</v>
      </c>
      <c r="AC337" s="31">
        <f t="shared" si="128"/>
        <v>432419922</v>
      </c>
      <c r="AD337" s="31">
        <f t="shared" si="129"/>
        <v>108104981</v>
      </c>
      <c r="AE337" s="31">
        <f t="shared" si="130"/>
        <v>108104981</v>
      </c>
      <c r="AF337" s="31">
        <f t="shared" si="130"/>
        <v>108104981</v>
      </c>
      <c r="AG337" s="31">
        <f t="shared" si="131"/>
        <v>108104979</v>
      </c>
    </row>
    <row r="338" spans="1:33" ht="3" customHeight="1" x14ac:dyDescent="0.25">
      <c r="A338">
        <v>16105</v>
      </c>
      <c r="B338">
        <v>8117</v>
      </c>
      <c r="C338" t="s">
        <v>180</v>
      </c>
      <c r="D338" s="31">
        <f>+DATA!O334</f>
        <v>1373776</v>
      </c>
      <c r="E338" s="31">
        <f>+DATA!T334</f>
        <v>2585098.7489999998</v>
      </c>
      <c r="F338" s="38">
        <f t="shared" si="112"/>
        <v>3958874.7489999998</v>
      </c>
      <c r="G338" s="112">
        <f t="shared" si="113"/>
        <v>0.14699999999999999</v>
      </c>
      <c r="H338" s="95">
        <f t="shared" si="114"/>
        <v>0.65300000000000002</v>
      </c>
      <c r="I338" s="6" t="str">
        <f t="shared" si="115"/>
        <v>SI</v>
      </c>
      <c r="J338" s="117">
        <f t="shared" si="116"/>
        <v>3.3112582781000001E-3</v>
      </c>
      <c r="K338" s="117">
        <f t="shared" si="117"/>
        <v>1.6556291390500001E-3</v>
      </c>
      <c r="L338" s="31">
        <f>IF(I338="SI",VLOOKUP(A338,DATA!$A$4:$D$350,4,0),0)</f>
        <v>8583</v>
      </c>
      <c r="M338" s="95">
        <f>IF(I338="SI",VLOOKUP(A338,DATA!$A$4:$E$350,5,0),0)</f>
        <v>0.19017621091411049</v>
      </c>
      <c r="N338" s="31">
        <f t="shared" si="118"/>
        <v>1632</v>
      </c>
      <c r="O338" s="117">
        <f t="shared" si="119"/>
        <v>1.9758945704999998E-3</v>
      </c>
      <c r="P338" s="117">
        <f t="shared" si="120"/>
        <v>1.9758945709999999E-4</v>
      </c>
      <c r="Q338" s="31">
        <f>IF(I338="SI",VLOOKUP(A338,DATA!$A$4:$G$350,7,0),0)</f>
        <v>4405</v>
      </c>
      <c r="R338" s="31">
        <f>IF(I338="SI",VLOOKUP(A338,DATA!$A$4:$H$350,8,0),0)</f>
        <v>6406</v>
      </c>
      <c r="S338" s="117">
        <f t="shared" si="121"/>
        <v>8.8397856479999995E-4</v>
      </c>
      <c r="T338" s="117">
        <f t="shared" si="122"/>
        <v>1.1564795429190732E-3</v>
      </c>
      <c r="U338" s="117">
        <f t="shared" si="123"/>
        <v>2.3129590859999999E-4</v>
      </c>
      <c r="V338" s="31">
        <f>IF(I338="SI",VLOOKUP(A338,COEF_FCM!$A$8:$X$354,24,0),0)</f>
        <v>1373776</v>
      </c>
      <c r="W338" s="121">
        <f t="shared" si="124"/>
        <v>160.06</v>
      </c>
      <c r="X338" s="31">
        <f>IF(AND(W338&gt;0,W338&lt;$W$7),ROUND(($W$7-W338)*L338,PARAMETROS!$L$8),0)</f>
        <v>0</v>
      </c>
      <c r="Y338" s="122">
        <f t="shared" si="125"/>
        <v>0</v>
      </c>
      <c r="Z338" s="117">
        <f t="shared" si="126"/>
        <v>0</v>
      </c>
      <c r="AA338" s="96">
        <f t="shared" si="127"/>
        <v>2.08451450475E-3</v>
      </c>
      <c r="AB338" s="31">
        <f>ROUND(AA338*PARAMETROS!$H$24,0)</f>
        <v>357739168</v>
      </c>
      <c r="AC338" s="31">
        <f t="shared" si="128"/>
        <v>357739168</v>
      </c>
      <c r="AD338" s="31">
        <f t="shared" si="129"/>
        <v>89434792</v>
      </c>
      <c r="AE338" s="31">
        <f t="shared" si="130"/>
        <v>89434792</v>
      </c>
      <c r="AF338" s="31">
        <f t="shared" si="130"/>
        <v>89434792</v>
      </c>
      <c r="AG338" s="31">
        <f t="shared" si="131"/>
        <v>89434792</v>
      </c>
    </row>
    <row r="339" spans="1:33" ht="3" customHeight="1" x14ac:dyDescent="0.25">
      <c r="A339">
        <v>16106</v>
      </c>
      <c r="B339">
        <v>8102</v>
      </c>
      <c r="C339" t="s">
        <v>169</v>
      </c>
      <c r="D339" s="31">
        <f>+DATA!O335</f>
        <v>1716556</v>
      </c>
      <c r="E339" s="31">
        <f>+DATA!T335</f>
        <v>3014101.5240000002</v>
      </c>
      <c r="F339" s="38">
        <f t="shared" si="112"/>
        <v>4730657.5240000002</v>
      </c>
      <c r="G339" s="112">
        <f t="shared" si="113"/>
        <v>0.24299999999999999</v>
      </c>
      <c r="H339" s="95">
        <f t="shared" si="114"/>
        <v>0.6371</v>
      </c>
      <c r="I339" s="6" t="str">
        <f t="shared" si="115"/>
        <v>SI</v>
      </c>
      <c r="J339" s="117">
        <f t="shared" si="116"/>
        <v>3.3112582781000001E-3</v>
      </c>
      <c r="K339" s="117">
        <f t="shared" si="117"/>
        <v>1.6556291390500001E-3</v>
      </c>
      <c r="L339" s="31">
        <f>IF(I339="SI",VLOOKUP(A339,DATA!$A$4:$D$350,4,0),0)</f>
        <v>12179</v>
      </c>
      <c r="M339" s="95">
        <f>IF(I339="SI",VLOOKUP(A339,DATA!$A$4:$E$350,5,0),0)</f>
        <v>0.10267164290034719</v>
      </c>
      <c r="N339" s="31">
        <f t="shared" si="118"/>
        <v>1250</v>
      </c>
      <c r="O339" s="117">
        <f t="shared" si="119"/>
        <v>1.5133996404000001E-3</v>
      </c>
      <c r="P339" s="117">
        <f t="shared" si="120"/>
        <v>1.5133996400000001E-4</v>
      </c>
      <c r="Q339" s="31">
        <f>IF(I339="SI",VLOOKUP(A339,DATA!$A$4:$G$350,7,0),0)</f>
        <v>6959</v>
      </c>
      <c r="R339" s="31">
        <f>IF(I339="SI",VLOOKUP(A339,DATA!$A$4:$H$350,8,0),0)</f>
        <v>11725</v>
      </c>
      <c r="S339" s="117">
        <f t="shared" si="121"/>
        <v>1.2053624680999999E-3</v>
      </c>
      <c r="T339" s="117">
        <f t="shared" si="122"/>
        <v>1.576935337199586E-3</v>
      </c>
      <c r="U339" s="117">
        <f t="shared" si="123"/>
        <v>3.153870674E-4</v>
      </c>
      <c r="V339" s="31">
        <f>IF(I339="SI",VLOOKUP(A339,COEF_FCM!$A$8:$X$354,24,0),0)</f>
        <v>1716556</v>
      </c>
      <c r="W339" s="121">
        <f t="shared" si="124"/>
        <v>140.94</v>
      </c>
      <c r="X339" s="31">
        <f>IF(AND(W339&gt;0,W339&lt;$W$7),ROUND(($W$7-W339)*L339,PARAMETROS!$L$8),0)</f>
        <v>0</v>
      </c>
      <c r="Y339" s="122">
        <f t="shared" si="125"/>
        <v>0</v>
      </c>
      <c r="Z339" s="117">
        <f t="shared" si="126"/>
        <v>0</v>
      </c>
      <c r="AA339" s="96">
        <f t="shared" si="127"/>
        <v>2.1223561704500002E-3</v>
      </c>
      <c r="AB339" s="31">
        <f>ROUND(AA339*PARAMETROS!$H$24,0)</f>
        <v>364233460</v>
      </c>
      <c r="AC339" s="31">
        <f t="shared" si="128"/>
        <v>364233460</v>
      </c>
      <c r="AD339" s="31">
        <f t="shared" si="129"/>
        <v>91058365</v>
      </c>
      <c r="AE339" s="31">
        <f t="shared" si="130"/>
        <v>91058365</v>
      </c>
      <c r="AF339" s="31">
        <f t="shared" si="130"/>
        <v>91058365</v>
      </c>
      <c r="AG339" s="31">
        <f t="shared" si="131"/>
        <v>91058365</v>
      </c>
    </row>
    <row r="340" spans="1:33" ht="3" customHeight="1" x14ac:dyDescent="0.25">
      <c r="A340">
        <v>16107</v>
      </c>
      <c r="B340">
        <v>8115</v>
      </c>
      <c r="C340" t="s">
        <v>404</v>
      </c>
      <c r="D340" s="31">
        <f>+DATA!O336</f>
        <v>1523039</v>
      </c>
      <c r="E340" s="31">
        <f>+DATA!T336</f>
        <v>11541916.108999999</v>
      </c>
      <c r="F340" s="38">
        <f t="shared" si="112"/>
        <v>13064955.108999999</v>
      </c>
      <c r="G340" s="112">
        <f t="shared" si="113"/>
        <v>0.67200000000000004</v>
      </c>
      <c r="H340" s="95">
        <f t="shared" si="114"/>
        <v>0.88339999999999996</v>
      </c>
      <c r="I340" s="6" t="str">
        <f t="shared" si="115"/>
        <v>SI</v>
      </c>
      <c r="J340" s="117">
        <f t="shared" si="116"/>
        <v>3.3112582781000001E-3</v>
      </c>
      <c r="K340" s="117">
        <f t="shared" si="117"/>
        <v>1.6556291390500001E-3</v>
      </c>
      <c r="L340" s="31">
        <f>IF(I340="SI",VLOOKUP(A340,DATA!$A$4:$D$350,4,0),0)</f>
        <v>19304</v>
      </c>
      <c r="M340" s="95">
        <f>IF(I340="SI",VLOOKUP(A340,DATA!$A$4:$E$350,5,0),0)</f>
        <v>0.159685311127159</v>
      </c>
      <c r="N340" s="31">
        <f t="shared" si="118"/>
        <v>3083</v>
      </c>
      <c r="O340" s="117">
        <f t="shared" si="119"/>
        <v>3.7326488731000002E-3</v>
      </c>
      <c r="P340" s="117">
        <f t="shared" si="120"/>
        <v>3.7326488730000002E-4</v>
      </c>
      <c r="Q340" s="31">
        <f>IF(I340="SI",VLOOKUP(A340,DATA!$A$4:$G$350,7,0),0)</f>
        <v>13584</v>
      </c>
      <c r="R340" s="31">
        <f>IF(I340="SI",VLOOKUP(A340,DATA!$A$4:$H$350,8,0),0)</f>
        <v>18247</v>
      </c>
      <c r="S340" s="117">
        <f t="shared" si="121"/>
        <v>2.9512140968000001E-3</v>
      </c>
      <c r="T340" s="117">
        <f t="shared" si="122"/>
        <v>3.8609745367477149E-3</v>
      </c>
      <c r="U340" s="117">
        <f t="shared" si="123"/>
        <v>7.7219490730000002E-4</v>
      </c>
      <c r="V340" s="31">
        <f>IF(I340="SI",VLOOKUP(A340,COEF_FCM!$A$8:$X$354,24,0),0)</f>
        <v>1523039</v>
      </c>
      <c r="W340" s="121">
        <f t="shared" si="124"/>
        <v>78.900000000000006</v>
      </c>
      <c r="X340" s="31">
        <f>IF(AND(W340&gt;0,W340&lt;$W$7),ROUND(($W$7-W340)*L340,PARAMETROS!$L$8),0)</f>
        <v>539740</v>
      </c>
      <c r="Y340" s="122">
        <f t="shared" si="125"/>
        <v>1.9891562055999999E-3</v>
      </c>
      <c r="Z340" s="117">
        <f t="shared" si="126"/>
        <v>3.9783124110000001E-4</v>
      </c>
      <c r="AA340" s="96">
        <f t="shared" si="127"/>
        <v>3.1989201747500006E-3</v>
      </c>
      <c r="AB340" s="31">
        <f>ROUND(AA340*PARAMETROS!$H$24,0)</f>
        <v>548990683</v>
      </c>
      <c r="AC340" s="31">
        <f t="shared" si="128"/>
        <v>548990683</v>
      </c>
      <c r="AD340" s="31">
        <f t="shared" si="129"/>
        <v>137247671</v>
      </c>
      <c r="AE340" s="31">
        <f t="shared" si="130"/>
        <v>137247671</v>
      </c>
      <c r="AF340" s="31">
        <f t="shared" si="130"/>
        <v>137247671</v>
      </c>
      <c r="AG340" s="31">
        <f t="shared" si="131"/>
        <v>137247670</v>
      </c>
    </row>
    <row r="341" spans="1:33" ht="3" customHeight="1" x14ac:dyDescent="0.25">
      <c r="A341">
        <v>16108</v>
      </c>
      <c r="B341">
        <v>8114</v>
      </c>
      <c r="C341" t="s">
        <v>178</v>
      </c>
      <c r="D341" s="31">
        <f>+DATA!O337</f>
        <v>847816</v>
      </c>
      <c r="E341" s="31">
        <f>+DATA!T337</f>
        <v>4937355.5980000002</v>
      </c>
      <c r="F341" s="38">
        <f t="shared" si="112"/>
        <v>5785171.5980000002</v>
      </c>
      <c r="G341" s="112">
        <f t="shared" si="113"/>
        <v>0.373</v>
      </c>
      <c r="H341" s="95">
        <f t="shared" si="114"/>
        <v>0.85350000000000004</v>
      </c>
      <c r="I341" s="6" t="str">
        <f t="shared" si="115"/>
        <v>SI</v>
      </c>
      <c r="J341" s="117">
        <f t="shared" si="116"/>
        <v>3.3112582781000001E-3</v>
      </c>
      <c r="K341" s="117">
        <f t="shared" si="117"/>
        <v>1.6556291390500001E-3</v>
      </c>
      <c r="L341" s="31">
        <f>IF(I341="SI",VLOOKUP(A341,DATA!$A$4:$D$350,4,0),0)</f>
        <v>16600</v>
      </c>
      <c r="M341" s="95">
        <f>IF(I341="SI",VLOOKUP(A341,DATA!$A$4:$E$350,5,0),0)</f>
        <v>0.15737748548504371</v>
      </c>
      <c r="N341" s="31">
        <f t="shared" si="118"/>
        <v>2612</v>
      </c>
      <c r="O341" s="117">
        <f t="shared" si="119"/>
        <v>3.1623998886000002E-3</v>
      </c>
      <c r="P341" s="117">
        <f t="shared" si="120"/>
        <v>3.1623998889999998E-4</v>
      </c>
      <c r="Q341" s="31">
        <f>IF(I341="SI",VLOOKUP(A341,DATA!$A$4:$G$350,7,0),0)</f>
        <v>10679</v>
      </c>
      <c r="R341" s="31">
        <f>IF(I341="SI",VLOOKUP(A341,DATA!$A$4:$H$350,8,0),0)</f>
        <v>13396</v>
      </c>
      <c r="S341" s="117">
        <f t="shared" si="121"/>
        <v>2.4844077600000001E-3</v>
      </c>
      <c r="T341" s="117">
        <f t="shared" si="122"/>
        <v>3.2502674443915416E-3</v>
      </c>
      <c r="U341" s="117">
        <f t="shared" si="123"/>
        <v>6.5005348889999996E-4</v>
      </c>
      <c r="V341" s="31">
        <f>IF(I341="SI",VLOOKUP(A341,COEF_FCM!$A$8:$X$354,24,0),0)</f>
        <v>847816</v>
      </c>
      <c r="W341" s="121">
        <f t="shared" si="124"/>
        <v>51.07</v>
      </c>
      <c r="X341" s="31">
        <f>IF(AND(W341&gt;0,W341&lt;$W$7),ROUND(($W$7-W341)*L341,PARAMETROS!$L$8),0)</f>
        <v>926114</v>
      </c>
      <c r="Y341" s="122">
        <f t="shared" si="125"/>
        <v>3.4130978068E-3</v>
      </c>
      <c r="Z341" s="117">
        <f t="shared" si="126"/>
        <v>6.8261956140000003E-4</v>
      </c>
      <c r="AA341" s="96">
        <f t="shared" si="127"/>
        <v>3.3045421782500004E-3</v>
      </c>
      <c r="AB341" s="31">
        <f>ROUND(AA341*PARAMETROS!$H$24,0)</f>
        <v>567117267</v>
      </c>
      <c r="AC341" s="31">
        <f t="shared" si="128"/>
        <v>567117267</v>
      </c>
      <c r="AD341" s="31">
        <f t="shared" si="129"/>
        <v>141779317</v>
      </c>
      <c r="AE341" s="31">
        <f t="shared" si="130"/>
        <v>141779317</v>
      </c>
      <c r="AF341" s="31">
        <f t="shared" si="130"/>
        <v>141779317</v>
      </c>
      <c r="AG341" s="31">
        <f t="shared" si="131"/>
        <v>141779316</v>
      </c>
    </row>
    <row r="342" spans="1:33" ht="3" customHeight="1" x14ac:dyDescent="0.25">
      <c r="A342">
        <v>16109</v>
      </c>
      <c r="B342">
        <v>8116</v>
      </c>
      <c r="C342" t="s">
        <v>179</v>
      </c>
      <c r="D342" s="31">
        <f>+DATA!O338</f>
        <v>1739728</v>
      </c>
      <c r="E342" s="31">
        <f>+DATA!T338</f>
        <v>6844041.3789999997</v>
      </c>
      <c r="F342" s="38">
        <f t="shared" si="112"/>
        <v>8583769.3790000007</v>
      </c>
      <c r="G342" s="112">
        <f t="shared" si="113"/>
        <v>0.53</v>
      </c>
      <c r="H342" s="95">
        <f t="shared" si="114"/>
        <v>0.79730000000000001</v>
      </c>
      <c r="I342" s="6" t="str">
        <f t="shared" si="115"/>
        <v>SI</v>
      </c>
      <c r="J342" s="117">
        <f t="shared" si="116"/>
        <v>3.3112582781000001E-3</v>
      </c>
      <c r="K342" s="117">
        <f t="shared" si="117"/>
        <v>1.6556291390500001E-3</v>
      </c>
      <c r="L342" s="31">
        <f>IF(I342="SI",VLOOKUP(A342,DATA!$A$4:$D$350,4,0),0)</f>
        <v>18835</v>
      </c>
      <c r="M342" s="95">
        <f>IF(I342="SI",VLOOKUP(A342,DATA!$A$4:$E$350,5,0),0)</f>
        <v>0.1083309460468144</v>
      </c>
      <c r="N342" s="31">
        <f t="shared" si="118"/>
        <v>2040</v>
      </c>
      <c r="O342" s="117">
        <f t="shared" si="119"/>
        <v>2.4698682131999998E-3</v>
      </c>
      <c r="P342" s="117">
        <f t="shared" si="120"/>
        <v>2.469868213E-4</v>
      </c>
      <c r="Q342" s="31">
        <f>IF(I342="SI",VLOOKUP(A342,DATA!$A$4:$G$350,7,0),0)</f>
        <v>9183</v>
      </c>
      <c r="R342" s="31">
        <f>IF(I342="SI",VLOOKUP(A342,DATA!$A$4:$H$350,8,0),0)</f>
        <v>12531</v>
      </c>
      <c r="S342" s="117">
        <f t="shared" si="121"/>
        <v>1.9639041215999999E-3</v>
      </c>
      <c r="T342" s="117">
        <f t="shared" si="122"/>
        <v>2.5693099712193971E-3</v>
      </c>
      <c r="U342" s="117">
        <f t="shared" si="123"/>
        <v>5.138619942E-4</v>
      </c>
      <c r="V342" s="31">
        <f>IF(I342="SI",VLOOKUP(A342,COEF_FCM!$A$8:$X$354,24,0),0)</f>
        <v>1739728</v>
      </c>
      <c r="W342" s="121">
        <f t="shared" si="124"/>
        <v>92.37</v>
      </c>
      <c r="X342" s="31">
        <f>IF(AND(W342&gt;0,W342&lt;$W$7),ROUND(($W$7-W342)*L342,PARAMETROS!$L$8),0)</f>
        <v>272919</v>
      </c>
      <c r="Y342" s="122">
        <f t="shared" si="125"/>
        <v>1.0058148783999999E-3</v>
      </c>
      <c r="Z342" s="117">
        <f t="shared" si="126"/>
        <v>2.011629757E-4</v>
      </c>
      <c r="AA342" s="96">
        <f t="shared" si="127"/>
        <v>2.6176409302499999E-3</v>
      </c>
      <c r="AB342" s="31">
        <f>ROUND(AA342*PARAMETROS!$H$24,0)</f>
        <v>449232992</v>
      </c>
      <c r="AC342" s="31">
        <f t="shared" si="128"/>
        <v>449232992</v>
      </c>
      <c r="AD342" s="31">
        <f t="shared" si="129"/>
        <v>112308248</v>
      </c>
      <c r="AE342" s="31">
        <f t="shared" si="130"/>
        <v>112308248</v>
      </c>
      <c r="AF342" s="31">
        <f t="shared" si="130"/>
        <v>112308248</v>
      </c>
      <c r="AG342" s="31">
        <f t="shared" si="131"/>
        <v>112308248</v>
      </c>
    </row>
    <row r="343" spans="1:33" ht="3" customHeight="1" x14ac:dyDescent="0.25">
      <c r="A343">
        <v>16201</v>
      </c>
      <c r="B343">
        <v>8104</v>
      </c>
      <c r="C343" t="s">
        <v>171</v>
      </c>
      <c r="D343" s="31">
        <f>+DATA!O339</f>
        <v>757046</v>
      </c>
      <c r="E343" s="31">
        <f>+DATA!T339</f>
        <v>4304588.5449999999</v>
      </c>
      <c r="F343" s="38">
        <f t="shared" si="112"/>
        <v>5061634.5449999999</v>
      </c>
      <c r="G343" s="112">
        <f t="shared" si="113"/>
        <v>0.29199999999999998</v>
      </c>
      <c r="H343" s="95">
        <f t="shared" si="114"/>
        <v>0.85040000000000004</v>
      </c>
      <c r="I343" s="6" t="str">
        <f t="shared" si="115"/>
        <v>SI</v>
      </c>
      <c r="J343" s="117">
        <f t="shared" si="116"/>
        <v>3.3112582781000001E-3</v>
      </c>
      <c r="K343" s="117">
        <f t="shared" si="117"/>
        <v>1.6556291390500001E-3</v>
      </c>
      <c r="L343" s="31">
        <f>IF(I343="SI",VLOOKUP(A343,DATA!$A$4:$D$350,4,0),0)</f>
        <v>12241</v>
      </c>
      <c r="M343" s="95">
        <f>IF(I343="SI",VLOOKUP(A343,DATA!$A$4:$E$350,5,0),0)</f>
        <v>7.7661955984902692E-2</v>
      </c>
      <c r="N343" s="31">
        <f t="shared" si="118"/>
        <v>951</v>
      </c>
      <c r="O343" s="117">
        <f t="shared" si="119"/>
        <v>1.1513944463999999E-3</v>
      </c>
      <c r="P343" s="117">
        <f t="shared" si="120"/>
        <v>1.151394446E-4</v>
      </c>
      <c r="Q343" s="31">
        <f>IF(I343="SI",VLOOKUP(A343,DATA!$A$4:$G$350,7,0),0)</f>
        <v>8237</v>
      </c>
      <c r="R343" s="31">
        <f>IF(I343="SI",VLOOKUP(A343,DATA!$A$4:$H$350,8,0),0)</f>
        <v>9941</v>
      </c>
      <c r="S343" s="117">
        <f t="shared" si="121"/>
        <v>1.9917962074999999E-3</v>
      </c>
      <c r="T343" s="117">
        <f t="shared" si="122"/>
        <v>2.6058002528134873E-3</v>
      </c>
      <c r="U343" s="117">
        <f t="shared" si="123"/>
        <v>5.211600506E-4</v>
      </c>
      <c r="V343" s="31">
        <f>IF(I343="SI",VLOOKUP(A343,COEF_FCM!$A$8:$X$354,24,0),0)</f>
        <v>757046</v>
      </c>
      <c r="W343" s="121">
        <f t="shared" si="124"/>
        <v>61.85</v>
      </c>
      <c r="X343" s="31">
        <f>IF(AND(W343&gt;0,W343&lt;$W$7),ROUND(($W$7-W343)*L343,PARAMETROS!$L$8),0)</f>
        <v>550967</v>
      </c>
      <c r="Y343" s="122">
        <f t="shared" si="125"/>
        <v>2.0305321584E-3</v>
      </c>
      <c r="Z343" s="117">
        <f t="shared" si="126"/>
        <v>4.0610643170000001E-4</v>
      </c>
      <c r="AA343" s="96">
        <f t="shared" si="127"/>
        <v>2.6980350659500003E-3</v>
      </c>
      <c r="AB343" s="31">
        <f>ROUND(AA343*PARAMETROS!$H$24,0)</f>
        <v>463030033</v>
      </c>
      <c r="AC343" s="31">
        <f t="shared" si="128"/>
        <v>463030033</v>
      </c>
      <c r="AD343" s="31">
        <f t="shared" si="129"/>
        <v>115757508</v>
      </c>
      <c r="AE343" s="31">
        <f t="shared" si="130"/>
        <v>115757508</v>
      </c>
      <c r="AF343" s="31">
        <f t="shared" si="130"/>
        <v>115757508</v>
      </c>
      <c r="AG343" s="31">
        <f t="shared" si="131"/>
        <v>115757509</v>
      </c>
    </row>
    <row r="344" spans="1:33" ht="3" customHeight="1" x14ac:dyDescent="0.25">
      <c r="A344">
        <v>16202</v>
      </c>
      <c r="B344">
        <v>8107</v>
      </c>
      <c r="C344" t="s">
        <v>174</v>
      </c>
      <c r="D344" s="31">
        <f>+DATA!O340</f>
        <v>670591</v>
      </c>
      <c r="E344" s="31">
        <f>+DATA!T340</f>
        <v>3813920.159</v>
      </c>
      <c r="F344" s="38">
        <f t="shared" si="112"/>
        <v>4484511.159</v>
      </c>
      <c r="G344" s="112">
        <f t="shared" si="113"/>
        <v>0.21099999999999999</v>
      </c>
      <c r="H344" s="95">
        <f t="shared" si="114"/>
        <v>0.85050000000000003</v>
      </c>
      <c r="I344" s="6" t="str">
        <f t="shared" si="115"/>
        <v>SI</v>
      </c>
      <c r="J344" s="117">
        <f t="shared" si="116"/>
        <v>3.3112582781000001E-3</v>
      </c>
      <c r="K344" s="117">
        <f t="shared" si="117"/>
        <v>1.6556291390500001E-3</v>
      </c>
      <c r="L344" s="31">
        <f>IF(I344="SI",VLOOKUP(A344,DATA!$A$4:$D$350,4,0),0)</f>
        <v>5224</v>
      </c>
      <c r="M344" s="95">
        <f>IF(I344="SI",VLOOKUP(A344,DATA!$A$4:$E$350,5,0),0)</f>
        <v>0.1905337466302314</v>
      </c>
      <c r="N344" s="31">
        <f t="shared" si="118"/>
        <v>995</v>
      </c>
      <c r="O344" s="117">
        <f t="shared" si="119"/>
        <v>1.2046661138000001E-3</v>
      </c>
      <c r="P344" s="117">
        <f t="shared" si="120"/>
        <v>1.204666114E-4</v>
      </c>
      <c r="Q344" s="31">
        <f>IF(I344="SI",VLOOKUP(A344,DATA!$A$4:$G$350,7,0),0)</f>
        <v>5964</v>
      </c>
      <c r="R344" s="31">
        <f>IF(I344="SI",VLOOKUP(A344,DATA!$A$4:$H$350,8,0),0)</f>
        <v>7787</v>
      </c>
      <c r="S344" s="117">
        <f t="shared" si="121"/>
        <v>1.3330361830999999E-3</v>
      </c>
      <c r="T344" s="117">
        <f t="shared" si="122"/>
        <v>1.743966581446313E-3</v>
      </c>
      <c r="U344" s="117">
        <f t="shared" si="123"/>
        <v>3.4879331629999999E-4</v>
      </c>
      <c r="V344" s="31">
        <f>IF(I344="SI",VLOOKUP(A344,COEF_FCM!$A$8:$X$354,24,0),0)</f>
        <v>670591</v>
      </c>
      <c r="W344" s="121">
        <f t="shared" si="124"/>
        <v>128.37</v>
      </c>
      <c r="X344" s="31">
        <f>IF(AND(W344&gt;0,W344&lt;$W$7),ROUND(($W$7-W344)*L344,PARAMETROS!$L$8),0)</f>
        <v>0</v>
      </c>
      <c r="Y344" s="122">
        <f t="shared" si="125"/>
        <v>0</v>
      </c>
      <c r="Z344" s="117">
        <f t="shared" si="126"/>
        <v>0</v>
      </c>
      <c r="AA344" s="96">
        <f t="shared" si="127"/>
        <v>2.1248890667500001E-3</v>
      </c>
      <c r="AB344" s="31">
        <f>ROUND(AA344*PARAMETROS!$H$24,0)</f>
        <v>364668149</v>
      </c>
      <c r="AC344" s="31">
        <f t="shared" si="128"/>
        <v>364668149</v>
      </c>
      <c r="AD344" s="31">
        <f t="shared" si="129"/>
        <v>91167037</v>
      </c>
      <c r="AE344" s="31">
        <f t="shared" si="130"/>
        <v>91167037</v>
      </c>
      <c r="AF344" s="31">
        <f t="shared" si="130"/>
        <v>91167037</v>
      </c>
      <c r="AG344" s="31">
        <f t="shared" si="131"/>
        <v>91167038</v>
      </c>
    </row>
    <row r="345" spans="1:33" ht="3" customHeight="1" x14ac:dyDescent="0.25">
      <c r="A345">
        <v>16203</v>
      </c>
      <c r="B345">
        <v>8120</v>
      </c>
      <c r="C345" t="s">
        <v>182</v>
      </c>
      <c r="D345" s="31">
        <f>+DATA!O341</f>
        <v>1259186</v>
      </c>
      <c r="E345" s="31">
        <f>+DATA!T341</f>
        <v>5131595.5930000003</v>
      </c>
      <c r="F345" s="38">
        <f t="shared" si="112"/>
        <v>6390781.5930000003</v>
      </c>
      <c r="G345" s="112">
        <f t="shared" si="113"/>
        <v>0.44</v>
      </c>
      <c r="H345" s="95">
        <f t="shared" si="114"/>
        <v>0.80300000000000005</v>
      </c>
      <c r="I345" s="6" t="str">
        <f t="shared" si="115"/>
        <v>SI</v>
      </c>
      <c r="J345" s="117">
        <f t="shared" si="116"/>
        <v>3.3112582781000001E-3</v>
      </c>
      <c r="K345" s="117">
        <f t="shared" si="117"/>
        <v>1.6556291390500001E-3</v>
      </c>
      <c r="L345" s="31">
        <f>IF(I345="SI",VLOOKUP(A345,DATA!$A$4:$D$350,4,0),0)</f>
        <v>16901</v>
      </c>
      <c r="M345" s="95">
        <f>IF(I345="SI",VLOOKUP(A345,DATA!$A$4:$E$350,5,0),0)</f>
        <v>0.13046297026480991</v>
      </c>
      <c r="N345" s="31">
        <f t="shared" si="118"/>
        <v>2205</v>
      </c>
      <c r="O345" s="117">
        <f t="shared" si="119"/>
        <v>2.6696369657E-3</v>
      </c>
      <c r="P345" s="117">
        <f t="shared" si="120"/>
        <v>2.6696369660000001E-4</v>
      </c>
      <c r="Q345" s="31">
        <f>IF(I345="SI",VLOOKUP(A345,DATA!$A$4:$G$350,7,0),0)</f>
        <v>7550</v>
      </c>
      <c r="R345" s="31">
        <f>IF(I345="SI",VLOOKUP(A345,DATA!$A$4:$H$350,8,0),0)</f>
        <v>8811</v>
      </c>
      <c r="S345" s="117">
        <f t="shared" si="121"/>
        <v>1.8880154546000001E-3</v>
      </c>
      <c r="T345" s="117">
        <f t="shared" si="122"/>
        <v>2.4700273704645315E-3</v>
      </c>
      <c r="U345" s="117">
        <f t="shared" si="123"/>
        <v>4.9400547409999998E-4</v>
      </c>
      <c r="V345" s="31">
        <f>IF(I345="SI",VLOOKUP(A345,COEF_FCM!$A$8:$X$354,24,0),0)</f>
        <v>1259186</v>
      </c>
      <c r="W345" s="121">
        <f t="shared" si="124"/>
        <v>74.5</v>
      </c>
      <c r="X345" s="31">
        <f>IF(AND(W345&gt;0,W345&lt;$W$7),ROUND(($W$7-W345)*L345,PARAMETROS!$L$8),0)</f>
        <v>546916</v>
      </c>
      <c r="Y345" s="122">
        <f t="shared" si="125"/>
        <v>2.0156026148999999E-3</v>
      </c>
      <c r="Z345" s="117">
        <f t="shared" si="126"/>
        <v>4.03120523E-4</v>
      </c>
      <c r="AA345" s="96">
        <f t="shared" si="127"/>
        <v>2.8197188327499997E-3</v>
      </c>
      <c r="AB345" s="31">
        <f>ROUND(AA345*PARAMETROS!$H$24,0)</f>
        <v>483913097</v>
      </c>
      <c r="AC345" s="31">
        <f t="shared" si="128"/>
        <v>483913097</v>
      </c>
      <c r="AD345" s="31">
        <f t="shared" si="129"/>
        <v>120978274</v>
      </c>
      <c r="AE345" s="31">
        <f t="shared" si="130"/>
        <v>120978274</v>
      </c>
      <c r="AF345" s="31">
        <f t="shared" si="130"/>
        <v>120978274</v>
      </c>
      <c r="AG345" s="31">
        <f t="shared" si="131"/>
        <v>120978275</v>
      </c>
    </row>
    <row r="346" spans="1:33" ht="3" customHeight="1" x14ac:dyDescent="0.25">
      <c r="A346">
        <v>16204</v>
      </c>
      <c r="B346">
        <v>8105</v>
      </c>
      <c r="C346" t="s">
        <v>172</v>
      </c>
      <c r="D346" s="31">
        <f>+DATA!O342</f>
        <v>352787</v>
      </c>
      <c r="E346" s="31">
        <f>+DATA!T342</f>
        <v>3088644.8149999999</v>
      </c>
      <c r="F346" s="38">
        <f t="shared" si="112"/>
        <v>3441431.8149999999</v>
      </c>
      <c r="G346" s="112">
        <f t="shared" si="113"/>
        <v>0.107</v>
      </c>
      <c r="H346" s="95">
        <f t="shared" si="114"/>
        <v>0.89749999999999996</v>
      </c>
      <c r="I346" s="6" t="str">
        <f t="shared" si="115"/>
        <v>SI</v>
      </c>
      <c r="J346" s="117">
        <f t="shared" si="116"/>
        <v>3.3112582781000001E-3</v>
      </c>
      <c r="K346" s="117">
        <f t="shared" si="117"/>
        <v>1.6556291390500001E-3</v>
      </c>
      <c r="L346" s="31">
        <f>IF(I346="SI",VLOOKUP(A346,DATA!$A$4:$D$350,4,0),0)</f>
        <v>5353</v>
      </c>
      <c r="M346" s="95">
        <f>IF(I346="SI",VLOOKUP(A346,DATA!$A$4:$E$350,5,0),0)</f>
        <v>0.1612982869088716</v>
      </c>
      <c r="N346" s="31">
        <f t="shared" si="118"/>
        <v>863</v>
      </c>
      <c r="O346" s="117">
        <f t="shared" si="119"/>
        <v>1.0448511117E-3</v>
      </c>
      <c r="P346" s="117">
        <f t="shared" si="120"/>
        <v>1.044851112E-4</v>
      </c>
      <c r="Q346" s="31">
        <f>IF(I346="SI",VLOOKUP(A346,DATA!$A$4:$G$350,7,0),0)</f>
        <v>5065</v>
      </c>
      <c r="R346" s="31">
        <f>IF(I346="SI",VLOOKUP(A346,DATA!$A$4:$H$350,8,0),0)</f>
        <v>5948</v>
      </c>
      <c r="S346" s="117">
        <f t="shared" si="121"/>
        <v>1.2587073914000001E-3</v>
      </c>
      <c r="T346" s="117">
        <f t="shared" si="122"/>
        <v>1.6467247132903907E-3</v>
      </c>
      <c r="U346" s="117">
        <f t="shared" si="123"/>
        <v>3.2934494270000001E-4</v>
      </c>
      <c r="V346" s="31">
        <f>IF(I346="SI",VLOOKUP(A346,COEF_FCM!$A$8:$X$354,24,0),0)</f>
        <v>352787</v>
      </c>
      <c r="W346" s="121">
        <f t="shared" si="124"/>
        <v>65.900000000000006</v>
      </c>
      <c r="X346" s="31">
        <f>IF(AND(W346&gt;0,W346&lt;$W$7),ROUND(($W$7-W346)*L346,PARAMETROS!$L$8),0)</f>
        <v>219259</v>
      </c>
      <c r="Y346" s="122">
        <f t="shared" si="125"/>
        <v>8.0805647249999999E-4</v>
      </c>
      <c r="Z346" s="117">
        <f t="shared" si="126"/>
        <v>1.616112945E-4</v>
      </c>
      <c r="AA346" s="96">
        <f t="shared" si="127"/>
        <v>2.2510704874500005E-3</v>
      </c>
      <c r="AB346" s="31">
        <f>ROUND(AA346*PARAMETROS!$H$24,0)</f>
        <v>386323089</v>
      </c>
      <c r="AC346" s="31">
        <f t="shared" si="128"/>
        <v>386323089</v>
      </c>
      <c r="AD346" s="31">
        <f t="shared" si="129"/>
        <v>96580772</v>
      </c>
      <c r="AE346" s="31">
        <f t="shared" si="130"/>
        <v>96580772</v>
      </c>
      <c r="AF346" s="31">
        <f t="shared" si="130"/>
        <v>96580772</v>
      </c>
      <c r="AG346" s="31">
        <f t="shared" si="131"/>
        <v>96580773</v>
      </c>
    </row>
    <row r="347" spans="1:33" ht="3" customHeight="1" x14ac:dyDescent="0.25">
      <c r="A347">
        <v>16205</v>
      </c>
      <c r="B347">
        <v>8106</v>
      </c>
      <c r="C347" t="s">
        <v>173</v>
      </c>
      <c r="D347" s="31">
        <f>+DATA!O343</f>
        <v>464731</v>
      </c>
      <c r="E347" s="31">
        <f>+DATA!T343</f>
        <v>2960134.014</v>
      </c>
      <c r="F347" s="38">
        <f t="shared" si="112"/>
        <v>3424865.014</v>
      </c>
      <c r="G347" s="112">
        <f t="shared" si="113"/>
        <v>0.104</v>
      </c>
      <c r="H347" s="95">
        <f t="shared" si="114"/>
        <v>0.86429999999999996</v>
      </c>
      <c r="I347" s="6" t="str">
        <f t="shared" si="115"/>
        <v>SI</v>
      </c>
      <c r="J347" s="117">
        <f t="shared" si="116"/>
        <v>3.3112582781000001E-3</v>
      </c>
      <c r="K347" s="117">
        <f t="shared" si="117"/>
        <v>1.6556291390500001E-3</v>
      </c>
      <c r="L347" s="31">
        <f>IF(I347="SI",VLOOKUP(A347,DATA!$A$4:$D$350,4,0),0)</f>
        <v>4876</v>
      </c>
      <c r="M347" s="95">
        <f>IF(I347="SI",VLOOKUP(A347,DATA!$A$4:$E$350,5,0),0)</f>
        <v>0.15111233028570051</v>
      </c>
      <c r="N347" s="31">
        <f t="shared" si="118"/>
        <v>737</v>
      </c>
      <c r="O347" s="117">
        <f t="shared" si="119"/>
        <v>8.9230042799999998E-4</v>
      </c>
      <c r="P347" s="117">
        <f t="shared" si="120"/>
        <v>8.9230042800000006E-5</v>
      </c>
      <c r="Q347" s="31">
        <f>IF(I347="SI",VLOOKUP(A347,DATA!$A$4:$G$350,7,0),0)</f>
        <v>4285</v>
      </c>
      <c r="R347" s="31">
        <f>IF(I347="SI",VLOOKUP(A347,DATA!$A$4:$H$350,8,0),0)</f>
        <v>4797</v>
      </c>
      <c r="S347" s="117">
        <f t="shared" si="121"/>
        <v>1.1170401337E-3</v>
      </c>
      <c r="T347" s="117">
        <f t="shared" si="122"/>
        <v>1.4613861859149421E-3</v>
      </c>
      <c r="U347" s="117">
        <f t="shared" si="123"/>
        <v>2.9227723720000001E-4</v>
      </c>
      <c r="V347" s="31">
        <f>IF(I347="SI",VLOOKUP(A347,COEF_FCM!$A$8:$X$354,24,0),0)</f>
        <v>464731</v>
      </c>
      <c r="W347" s="121">
        <f t="shared" si="124"/>
        <v>95.31</v>
      </c>
      <c r="X347" s="31">
        <f>IF(AND(W347&gt;0,W347&lt;$W$7),ROUND(($W$7-W347)*L347,PARAMETROS!$L$8),0)</f>
        <v>56318</v>
      </c>
      <c r="Y347" s="122">
        <f t="shared" si="125"/>
        <v>2.075541913E-4</v>
      </c>
      <c r="Z347" s="117">
        <f t="shared" si="126"/>
        <v>4.1510838300000001E-5</v>
      </c>
      <c r="AA347" s="96">
        <f t="shared" si="127"/>
        <v>2.0786472573500001E-3</v>
      </c>
      <c r="AB347" s="31">
        <f>ROUND(AA347*PARAMETROS!$H$24,0)</f>
        <v>356732246</v>
      </c>
      <c r="AC347" s="31">
        <f t="shared" si="128"/>
        <v>356732246</v>
      </c>
      <c r="AD347" s="31">
        <f t="shared" si="129"/>
        <v>89183062</v>
      </c>
      <c r="AE347" s="31">
        <f t="shared" si="130"/>
        <v>89183062</v>
      </c>
      <c r="AF347" s="31">
        <f t="shared" si="130"/>
        <v>89183062</v>
      </c>
      <c r="AG347" s="31">
        <f t="shared" si="131"/>
        <v>89183060</v>
      </c>
    </row>
    <row r="348" spans="1:33" ht="3" customHeight="1" x14ac:dyDescent="0.25">
      <c r="A348">
        <v>16206</v>
      </c>
      <c r="B348">
        <v>8119</v>
      </c>
      <c r="C348" t="s">
        <v>33</v>
      </c>
      <c r="D348" s="31">
        <f>+DATA!O344</f>
        <v>1089082</v>
      </c>
      <c r="E348" s="31">
        <f>+DATA!T344</f>
        <v>2692289.3220000002</v>
      </c>
      <c r="F348" s="38">
        <f t="shared" si="112"/>
        <v>3781371.3220000002</v>
      </c>
      <c r="G348" s="112">
        <f t="shared" si="113"/>
        <v>0.13</v>
      </c>
      <c r="H348" s="95">
        <f t="shared" si="114"/>
        <v>0.71199999999999997</v>
      </c>
      <c r="I348" s="6" t="str">
        <f t="shared" si="115"/>
        <v>SI</v>
      </c>
      <c r="J348" s="117">
        <f t="shared" si="116"/>
        <v>3.3112582781000001E-3</v>
      </c>
      <c r="K348" s="117">
        <f t="shared" si="117"/>
        <v>1.6556291390500001E-3</v>
      </c>
      <c r="L348" s="31">
        <f>IF(I348="SI",VLOOKUP(A348,DATA!$A$4:$D$350,4,0),0)</f>
        <v>6293</v>
      </c>
      <c r="M348" s="95">
        <f>IF(I348="SI",VLOOKUP(A348,DATA!$A$4:$E$350,5,0),0)</f>
        <v>0.16772665802501149</v>
      </c>
      <c r="N348" s="31">
        <f t="shared" si="118"/>
        <v>1056</v>
      </c>
      <c r="O348" s="117">
        <f t="shared" si="119"/>
        <v>1.2785200161999999E-3</v>
      </c>
      <c r="P348" s="117">
        <f t="shared" si="120"/>
        <v>1.2785200159999999E-4</v>
      </c>
      <c r="Q348" s="31">
        <f>IF(I348="SI",VLOOKUP(A348,DATA!$A$4:$G$350,7,0),0)</f>
        <v>4797</v>
      </c>
      <c r="R348" s="31">
        <f>IF(I348="SI",VLOOKUP(A348,DATA!$A$4:$H$350,8,0),0)</f>
        <v>5376</v>
      </c>
      <c r="S348" s="117">
        <f t="shared" si="121"/>
        <v>1.2491569821999999E-3</v>
      </c>
      <c r="T348" s="117">
        <f t="shared" si="122"/>
        <v>1.6342302328741093E-3</v>
      </c>
      <c r="U348" s="117">
        <f t="shared" si="123"/>
        <v>3.268460466E-4</v>
      </c>
      <c r="V348" s="31">
        <f>IF(I348="SI",VLOOKUP(A348,COEF_FCM!$A$8:$X$354,24,0),0)</f>
        <v>1089082</v>
      </c>
      <c r="W348" s="121">
        <f t="shared" si="124"/>
        <v>173.06</v>
      </c>
      <c r="X348" s="31">
        <f>IF(AND(W348&gt;0,W348&lt;$W$7),ROUND(($W$7-W348)*L348,PARAMETROS!$L$8),0)</f>
        <v>0</v>
      </c>
      <c r="Y348" s="122">
        <f t="shared" si="125"/>
        <v>0</v>
      </c>
      <c r="Z348" s="117">
        <f t="shared" si="126"/>
        <v>0</v>
      </c>
      <c r="AA348" s="96">
        <f t="shared" si="127"/>
        <v>2.1103271872500002E-3</v>
      </c>
      <c r="AB348" s="31">
        <f>ROUND(AA348*PARAMETROS!$H$24,0)</f>
        <v>362169076</v>
      </c>
      <c r="AC348" s="31">
        <f t="shared" si="128"/>
        <v>362169076</v>
      </c>
      <c r="AD348" s="31">
        <f t="shared" si="129"/>
        <v>90542269</v>
      </c>
      <c r="AE348" s="31">
        <f t="shared" si="130"/>
        <v>90542269</v>
      </c>
      <c r="AF348" s="31">
        <f t="shared" si="130"/>
        <v>90542269</v>
      </c>
      <c r="AG348" s="31">
        <f t="shared" si="131"/>
        <v>90542269</v>
      </c>
    </row>
    <row r="349" spans="1:33" ht="3" customHeight="1" x14ac:dyDescent="0.25">
      <c r="A349">
        <v>16207</v>
      </c>
      <c r="B349">
        <v>8108</v>
      </c>
      <c r="C349" t="s">
        <v>175</v>
      </c>
      <c r="D349" s="31">
        <f>+DATA!O345</f>
        <v>404777</v>
      </c>
      <c r="E349" s="31">
        <f>+DATA!T345</f>
        <v>3191111.1669999999</v>
      </c>
      <c r="F349" s="38">
        <f t="shared" si="112"/>
        <v>3595888.1669999999</v>
      </c>
      <c r="G349" s="112">
        <f t="shared" si="113"/>
        <v>0.11799999999999999</v>
      </c>
      <c r="H349" s="95">
        <f t="shared" si="114"/>
        <v>0.88739999999999997</v>
      </c>
      <c r="I349" s="6" t="str">
        <f t="shared" si="115"/>
        <v>SI</v>
      </c>
      <c r="J349" s="117">
        <f t="shared" si="116"/>
        <v>3.3112582781000001E-3</v>
      </c>
      <c r="K349" s="117">
        <f t="shared" si="117"/>
        <v>1.6556291390500001E-3</v>
      </c>
      <c r="L349" s="31">
        <f>IF(I349="SI",VLOOKUP(A349,DATA!$A$4:$D$350,4,0),0)</f>
        <v>5766</v>
      </c>
      <c r="M349" s="95">
        <f>IF(I349="SI",VLOOKUP(A349,DATA!$A$4:$E$350,5,0),0)</f>
        <v>0.17145885347911261</v>
      </c>
      <c r="N349" s="31">
        <f t="shared" si="118"/>
        <v>989</v>
      </c>
      <c r="O349" s="117">
        <f t="shared" si="119"/>
        <v>1.1974017954999999E-3</v>
      </c>
      <c r="P349" s="117">
        <f t="shared" si="120"/>
        <v>1.1974017959999999E-4</v>
      </c>
      <c r="Q349" s="31">
        <f>IF(I349="SI",VLOOKUP(A349,DATA!$A$4:$G$350,7,0),0)</f>
        <v>4848</v>
      </c>
      <c r="R349" s="31">
        <f>IF(I349="SI",VLOOKUP(A349,DATA!$A$4:$H$350,8,0),0)</f>
        <v>5861</v>
      </c>
      <c r="S349" s="117">
        <f t="shared" si="121"/>
        <v>1.1702815113E-3</v>
      </c>
      <c r="T349" s="117">
        <f t="shared" si="122"/>
        <v>1.5310400966352326E-3</v>
      </c>
      <c r="U349" s="117">
        <f t="shared" si="123"/>
        <v>3.062080193E-4</v>
      </c>
      <c r="V349" s="31">
        <f>IF(I349="SI",VLOOKUP(A349,COEF_FCM!$A$8:$X$354,24,0),0)</f>
        <v>404777</v>
      </c>
      <c r="W349" s="121">
        <f t="shared" si="124"/>
        <v>70.2</v>
      </c>
      <c r="X349" s="31">
        <f>IF(AND(W349&gt;0,W349&lt;$W$7),ROUND(($W$7-W349)*L349,PARAMETROS!$L$8),0)</f>
        <v>211382</v>
      </c>
      <c r="Y349" s="122">
        <f t="shared" si="125"/>
        <v>7.7902660000000003E-4</v>
      </c>
      <c r="Z349" s="117">
        <f t="shared" si="126"/>
        <v>1.5580532000000001E-4</v>
      </c>
      <c r="AA349" s="96">
        <f t="shared" si="127"/>
        <v>2.23738265795E-3</v>
      </c>
      <c r="AB349" s="31">
        <f>ROUND(AA349*PARAMETROS!$H$24,0)</f>
        <v>383974018</v>
      </c>
      <c r="AC349" s="31">
        <f t="shared" si="128"/>
        <v>383974018</v>
      </c>
      <c r="AD349" s="31">
        <f t="shared" si="129"/>
        <v>95993505</v>
      </c>
      <c r="AE349" s="31">
        <f t="shared" ref="AE349:AF354" si="132">+AD349</f>
        <v>95993505</v>
      </c>
      <c r="AF349" s="31">
        <f t="shared" si="132"/>
        <v>95993505</v>
      </c>
      <c r="AG349" s="31">
        <f t="shared" si="131"/>
        <v>95993503</v>
      </c>
    </row>
    <row r="350" spans="1:33" ht="3" customHeight="1" x14ac:dyDescent="0.25">
      <c r="A350">
        <v>16301</v>
      </c>
      <c r="B350">
        <v>8109</v>
      </c>
      <c r="C350" t="s">
        <v>176</v>
      </c>
      <c r="D350" s="31">
        <f>+DATA!O346</f>
        <v>4143618</v>
      </c>
      <c r="E350" s="31">
        <f>+DATA!T346</f>
        <v>12155306.307</v>
      </c>
      <c r="F350" s="38">
        <f t="shared" si="112"/>
        <v>16298924.307</v>
      </c>
      <c r="G350" s="112">
        <f t="shared" si="113"/>
        <v>0.73299999999999998</v>
      </c>
      <c r="H350" s="95">
        <f t="shared" si="114"/>
        <v>0.74580000000000002</v>
      </c>
      <c r="I350" s="6" t="str">
        <f t="shared" si="115"/>
        <v>SI</v>
      </c>
      <c r="J350" s="117">
        <f t="shared" si="116"/>
        <v>3.3112582781000001E-3</v>
      </c>
      <c r="K350" s="117">
        <f t="shared" si="117"/>
        <v>1.6556291390500001E-3</v>
      </c>
      <c r="L350" s="31">
        <f>IF(I350="SI",VLOOKUP(A350,DATA!$A$4:$D$350,4,0),0)</f>
        <v>57061</v>
      </c>
      <c r="M350" s="95">
        <f>IF(I350="SI",VLOOKUP(A350,DATA!$A$4:$E$350,5,0),0)</f>
        <v>0.13692435692484781</v>
      </c>
      <c r="N350" s="31">
        <f t="shared" si="118"/>
        <v>7813</v>
      </c>
      <c r="O350" s="117">
        <f t="shared" si="119"/>
        <v>9.4593531125000008E-3</v>
      </c>
      <c r="P350" s="117">
        <f t="shared" si="120"/>
        <v>9.4593531129999995E-4</v>
      </c>
      <c r="Q350" s="31">
        <f>IF(I350="SI",VLOOKUP(A350,DATA!$A$4:$G$350,7,0),0)</f>
        <v>24959</v>
      </c>
      <c r="R350" s="31">
        <f>IF(I350="SI",VLOOKUP(A350,DATA!$A$4:$H$350,8,0),0)</f>
        <v>31888</v>
      </c>
      <c r="S350" s="117">
        <f t="shared" si="121"/>
        <v>5.7011691136999998E-3</v>
      </c>
      <c r="T350" s="117">
        <f t="shared" si="122"/>
        <v>7.4586485614703156E-3</v>
      </c>
      <c r="U350" s="117">
        <f t="shared" si="123"/>
        <v>1.4917297123E-3</v>
      </c>
      <c r="V350" s="31">
        <f>IF(I350="SI",VLOOKUP(A350,COEF_FCM!$A$8:$X$354,24,0),0)</f>
        <v>4143618</v>
      </c>
      <c r="W350" s="121">
        <f t="shared" si="124"/>
        <v>72.62</v>
      </c>
      <c r="X350" s="31">
        <f>IF(AND(W350&gt;0,W350&lt;$W$7),ROUND(($W$7-W350)*L350,PARAMETROS!$L$8),0)</f>
        <v>1953769</v>
      </c>
      <c r="Y350" s="122">
        <f t="shared" si="125"/>
        <v>7.2004145158000004E-3</v>
      </c>
      <c r="Z350" s="117">
        <f t="shared" si="126"/>
        <v>1.4400829031999999E-3</v>
      </c>
      <c r="AA350" s="96">
        <f t="shared" si="127"/>
        <v>5.5333770658499998E-3</v>
      </c>
      <c r="AB350" s="31">
        <f>ROUND(AA350*PARAMETROS!$H$24,0)</f>
        <v>949624339</v>
      </c>
      <c r="AC350" s="31">
        <f t="shared" si="128"/>
        <v>949624339</v>
      </c>
      <c r="AD350" s="31">
        <f t="shared" si="129"/>
        <v>237406085</v>
      </c>
      <c r="AE350" s="31">
        <f t="shared" si="132"/>
        <v>237406085</v>
      </c>
      <c r="AF350" s="31">
        <f t="shared" si="132"/>
        <v>237406085</v>
      </c>
      <c r="AG350" s="31">
        <f t="shared" si="131"/>
        <v>237406084</v>
      </c>
    </row>
    <row r="351" spans="1:33" ht="3" customHeight="1" x14ac:dyDescent="0.25">
      <c r="A351">
        <v>16302</v>
      </c>
      <c r="B351">
        <v>8103</v>
      </c>
      <c r="C351" t="s">
        <v>170</v>
      </c>
      <c r="D351" s="31">
        <f>+DATA!O347</f>
        <v>1883537</v>
      </c>
      <c r="E351" s="31">
        <f>+DATA!T347</f>
        <v>8078587.1509999996</v>
      </c>
      <c r="F351" s="38">
        <f t="shared" si="112"/>
        <v>9962124.1510000005</v>
      </c>
      <c r="G351" s="112">
        <f t="shared" si="113"/>
        <v>0.59099999999999997</v>
      </c>
      <c r="H351" s="95">
        <f t="shared" si="114"/>
        <v>0.81089999999999995</v>
      </c>
      <c r="I351" s="6" t="str">
        <f t="shared" si="115"/>
        <v>SI</v>
      </c>
      <c r="J351" s="117">
        <f t="shared" si="116"/>
        <v>3.3112582781000001E-3</v>
      </c>
      <c r="K351" s="117">
        <f t="shared" si="117"/>
        <v>1.6556291390500001E-3</v>
      </c>
      <c r="L351" s="31">
        <f>IF(I351="SI",VLOOKUP(A351,DATA!$A$4:$D$350,4,0),0)</f>
        <v>29067</v>
      </c>
      <c r="M351" s="95">
        <f>IF(I351="SI",VLOOKUP(A351,DATA!$A$4:$E$350,5,0),0)</f>
        <v>0.13488559526706681</v>
      </c>
      <c r="N351" s="31">
        <f t="shared" si="118"/>
        <v>3921</v>
      </c>
      <c r="O351" s="117">
        <f t="shared" si="119"/>
        <v>4.7472319920999996E-3</v>
      </c>
      <c r="P351" s="117">
        <f t="shared" si="120"/>
        <v>4.747231992E-4</v>
      </c>
      <c r="Q351" s="31">
        <f>IF(I351="SI",VLOOKUP(A351,DATA!$A$4:$G$350,7,0),0)</f>
        <v>11042</v>
      </c>
      <c r="R351" s="31">
        <f>IF(I351="SI",VLOOKUP(A351,DATA!$A$4:$H$350,8,0),0)</f>
        <v>14903</v>
      </c>
      <c r="S351" s="117">
        <f t="shared" si="121"/>
        <v>2.3875838198E-3</v>
      </c>
      <c r="T351" s="117">
        <f t="shared" si="122"/>
        <v>3.1235959270437719E-3</v>
      </c>
      <c r="U351" s="117">
        <f t="shared" si="123"/>
        <v>6.2471918539999997E-4</v>
      </c>
      <c r="V351" s="31">
        <f>IF(I351="SI",VLOOKUP(A351,COEF_FCM!$A$8:$X$354,24,0),0)</f>
        <v>1883537</v>
      </c>
      <c r="W351" s="121">
        <f t="shared" si="124"/>
        <v>64.8</v>
      </c>
      <c r="X351" s="31">
        <f>IF(AND(W351&gt;0,W351&lt;$W$7),ROUND(($W$7-W351)*L351,PARAMETROS!$L$8),0)</f>
        <v>1222558</v>
      </c>
      <c r="Y351" s="122">
        <f t="shared" si="125"/>
        <v>4.5056116509000002E-3</v>
      </c>
      <c r="Z351" s="117">
        <f t="shared" si="126"/>
        <v>9.0112233020000002E-4</v>
      </c>
      <c r="AA351" s="96">
        <f t="shared" si="127"/>
        <v>3.6561938538499997E-3</v>
      </c>
      <c r="AB351" s="31">
        <f>ROUND(AA351*PARAMETROS!$H$24,0)</f>
        <v>627466849</v>
      </c>
      <c r="AC351" s="31">
        <f t="shared" si="128"/>
        <v>627466849</v>
      </c>
      <c r="AD351" s="31">
        <f t="shared" si="129"/>
        <v>156866712</v>
      </c>
      <c r="AE351" s="31">
        <f t="shared" si="132"/>
        <v>156866712</v>
      </c>
      <c r="AF351" s="31">
        <f t="shared" si="132"/>
        <v>156866712</v>
      </c>
      <c r="AG351" s="31">
        <f t="shared" si="131"/>
        <v>156866713</v>
      </c>
    </row>
    <row r="352" spans="1:33" ht="3" customHeight="1" x14ac:dyDescent="0.25">
      <c r="A352">
        <v>16303</v>
      </c>
      <c r="B352">
        <v>8110</v>
      </c>
      <c r="C352" t="s">
        <v>403</v>
      </c>
      <c r="D352" s="31">
        <f>+DATA!O348</f>
        <v>966062</v>
      </c>
      <c r="E352" s="31">
        <f>+DATA!T348</f>
        <v>3816781.0419999999</v>
      </c>
      <c r="F352" s="38">
        <f t="shared" si="112"/>
        <v>4782843.0419999994</v>
      </c>
      <c r="G352" s="112">
        <f t="shared" si="113"/>
        <v>0.249</v>
      </c>
      <c r="H352" s="95">
        <f t="shared" si="114"/>
        <v>0.79800000000000004</v>
      </c>
      <c r="I352" s="6" t="str">
        <f t="shared" si="115"/>
        <v>SI</v>
      </c>
      <c r="J352" s="117">
        <f t="shared" si="116"/>
        <v>3.3112582781000001E-3</v>
      </c>
      <c r="K352" s="117">
        <f t="shared" si="117"/>
        <v>1.6556291390500001E-3</v>
      </c>
      <c r="L352" s="31">
        <f>IF(I352="SI",VLOOKUP(A352,DATA!$A$4:$D$350,4,0),0)</f>
        <v>11526</v>
      </c>
      <c r="M352" s="95">
        <f>IF(I352="SI",VLOOKUP(A352,DATA!$A$4:$E$350,5,0),0)</f>
        <v>0.1384196963915372</v>
      </c>
      <c r="N352" s="31">
        <f t="shared" si="118"/>
        <v>1595</v>
      </c>
      <c r="O352" s="117">
        <f t="shared" si="119"/>
        <v>1.9310979412E-3</v>
      </c>
      <c r="P352" s="117">
        <f t="shared" si="120"/>
        <v>1.9310979409999999E-4</v>
      </c>
      <c r="Q352" s="31">
        <f>IF(I352="SI",VLOOKUP(A352,DATA!$A$4:$G$350,7,0),0)</f>
        <v>7493</v>
      </c>
      <c r="R352" s="31">
        <f>IF(I352="SI",VLOOKUP(A352,DATA!$A$4:$H$350,8,0),0)</f>
        <v>9507</v>
      </c>
      <c r="S352" s="117">
        <f t="shared" si="121"/>
        <v>1.7234743100000001E-3</v>
      </c>
      <c r="T352" s="117">
        <f t="shared" si="122"/>
        <v>2.2547637031363065E-3</v>
      </c>
      <c r="U352" s="117">
        <f t="shared" si="123"/>
        <v>4.5095274060000002E-4</v>
      </c>
      <c r="V352" s="31">
        <f>IF(I352="SI",VLOOKUP(A352,COEF_FCM!$A$8:$X$354,24,0),0)</f>
        <v>966062</v>
      </c>
      <c r="W352" s="121">
        <f t="shared" si="124"/>
        <v>83.82</v>
      </c>
      <c r="X352" s="31">
        <f>IF(AND(W352&gt;0,W352&lt;$W$7),ROUND(($W$7-W352)*L352,PARAMETROS!$L$8),0)</f>
        <v>265559</v>
      </c>
      <c r="Y352" s="122">
        <f t="shared" si="125"/>
        <v>9.7869035609999991E-4</v>
      </c>
      <c r="Z352" s="117">
        <f t="shared" si="126"/>
        <v>1.9573807120000001E-4</v>
      </c>
      <c r="AA352" s="96">
        <f t="shared" si="127"/>
        <v>2.4954297449500001E-3</v>
      </c>
      <c r="AB352" s="31">
        <f>ROUND(AA352*PARAMETROS!$H$24,0)</f>
        <v>428259414</v>
      </c>
      <c r="AC352" s="31">
        <f t="shared" si="128"/>
        <v>428259414</v>
      </c>
      <c r="AD352" s="31">
        <f t="shared" si="129"/>
        <v>107064854</v>
      </c>
      <c r="AE352" s="31">
        <f t="shared" si="132"/>
        <v>107064854</v>
      </c>
      <c r="AF352" s="31">
        <f t="shared" si="132"/>
        <v>107064854</v>
      </c>
      <c r="AG352" s="31">
        <f t="shared" si="131"/>
        <v>107064852</v>
      </c>
    </row>
    <row r="353" spans="1:33" ht="3" customHeight="1" x14ac:dyDescent="0.25">
      <c r="A353">
        <v>16304</v>
      </c>
      <c r="B353">
        <v>8111</v>
      </c>
      <c r="C353" t="s">
        <v>405</v>
      </c>
      <c r="D353" s="31">
        <f>+DATA!O349</f>
        <v>658249</v>
      </c>
      <c r="E353" s="31">
        <f>+DATA!T349</f>
        <v>2233513.3199999998</v>
      </c>
      <c r="F353" s="38">
        <f t="shared" si="112"/>
        <v>2891762.32</v>
      </c>
      <c r="G353" s="112">
        <f t="shared" si="113"/>
        <v>0.06</v>
      </c>
      <c r="H353" s="95">
        <f t="shared" si="114"/>
        <v>0.77239999999999998</v>
      </c>
      <c r="I353" s="6" t="str">
        <f t="shared" si="115"/>
        <v>SI</v>
      </c>
      <c r="J353" s="117">
        <f t="shared" si="116"/>
        <v>3.3112582781000001E-3</v>
      </c>
      <c r="K353" s="117">
        <f t="shared" si="117"/>
        <v>1.6556291390500001E-3</v>
      </c>
      <c r="L353" s="31">
        <f>IF(I353="SI",VLOOKUP(A353,DATA!$A$4:$D$350,4,0),0)</f>
        <v>4793</v>
      </c>
      <c r="M353" s="95">
        <f>IF(I353="SI",VLOOKUP(A353,DATA!$A$4:$E$350,5,0),0)</f>
        <v>0.14957041287153819</v>
      </c>
      <c r="N353" s="31">
        <f t="shared" si="118"/>
        <v>717</v>
      </c>
      <c r="O353" s="117">
        <f t="shared" si="119"/>
        <v>8.6808603370000005E-4</v>
      </c>
      <c r="P353" s="117">
        <f t="shared" si="120"/>
        <v>8.6808603399999995E-5</v>
      </c>
      <c r="Q353" s="31">
        <f>IF(I353="SI",VLOOKUP(A353,DATA!$A$4:$G$350,7,0),0)</f>
        <v>2633</v>
      </c>
      <c r="R353" s="31">
        <f>IF(I353="SI",VLOOKUP(A353,DATA!$A$4:$H$350,8,0),0)</f>
        <v>3770</v>
      </c>
      <c r="S353" s="117">
        <f t="shared" si="121"/>
        <v>5.3665750959999996E-4</v>
      </c>
      <c r="T353" s="117">
        <f t="shared" si="122"/>
        <v>7.0209104170610109E-4</v>
      </c>
      <c r="U353" s="117">
        <f t="shared" si="123"/>
        <v>1.4041820830000001E-4</v>
      </c>
      <c r="V353" s="31">
        <f>IF(I353="SI",VLOOKUP(A353,COEF_FCM!$A$8:$X$354,24,0),0)</f>
        <v>658249</v>
      </c>
      <c r="W353" s="121">
        <f t="shared" si="124"/>
        <v>137.34</v>
      </c>
      <c r="X353" s="31">
        <f>IF(AND(W353&gt;0,W353&lt;$W$7),ROUND(($W$7-W353)*L353,PARAMETROS!$L$8),0)</f>
        <v>0</v>
      </c>
      <c r="Y353" s="122">
        <f t="shared" si="125"/>
        <v>0</v>
      </c>
      <c r="Z353" s="117">
        <f t="shared" si="126"/>
        <v>0</v>
      </c>
      <c r="AA353" s="96">
        <f t="shared" si="127"/>
        <v>1.8828559507500001E-3</v>
      </c>
      <c r="AB353" s="31">
        <f>ROUND(AA353*PARAMETROS!$H$24,0)</f>
        <v>323131031</v>
      </c>
      <c r="AC353" s="31">
        <f t="shared" si="128"/>
        <v>323131031</v>
      </c>
      <c r="AD353" s="31">
        <f t="shared" si="129"/>
        <v>80782758</v>
      </c>
      <c r="AE353" s="31">
        <f t="shared" si="132"/>
        <v>80782758</v>
      </c>
      <c r="AF353" s="31">
        <f t="shared" si="132"/>
        <v>80782758</v>
      </c>
      <c r="AG353" s="31">
        <f t="shared" si="131"/>
        <v>80782757</v>
      </c>
    </row>
    <row r="354" spans="1:33" ht="3" customHeight="1" x14ac:dyDescent="0.25">
      <c r="A354">
        <v>16305</v>
      </c>
      <c r="B354">
        <v>8112</v>
      </c>
      <c r="C354" t="s">
        <v>406</v>
      </c>
      <c r="D354" s="31">
        <f>+DATA!O350</f>
        <v>1931345</v>
      </c>
      <c r="E354" s="31">
        <f>+DATA!T350</f>
        <v>3099166.7850000001</v>
      </c>
      <c r="F354" s="38">
        <f t="shared" si="112"/>
        <v>5030511.7850000001</v>
      </c>
      <c r="G354" s="112">
        <f t="shared" si="113"/>
        <v>0.28399999999999997</v>
      </c>
      <c r="H354" s="95">
        <f t="shared" si="114"/>
        <v>0.61609999999999998</v>
      </c>
      <c r="I354" s="6" t="str">
        <f t="shared" si="115"/>
        <v>SI</v>
      </c>
      <c r="J354" s="117">
        <f t="shared" si="116"/>
        <v>3.3112582781000001E-3</v>
      </c>
      <c r="K354" s="117">
        <f t="shared" si="117"/>
        <v>1.6556291390500001E-3</v>
      </c>
      <c r="L354" s="31">
        <f>IF(I354="SI",VLOOKUP(A354,DATA!$A$4:$D$350,4,0),0)</f>
        <v>12487</v>
      </c>
      <c r="M354" s="95">
        <f>IF(I354="SI",VLOOKUP(A354,DATA!$A$4:$E$350,5,0),0)</f>
        <v>0.1077681430225962</v>
      </c>
      <c r="N354" s="31">
        <f t="shared" si="118"/>
        <v>1346</v>
      </c>
      <c r="O354" s="117">
        <f t="shared" si="119"/>
        <v>1.6296287328000001E-3</v>
      </c>
      <c r="P354" s="117">
        <f t="shared" si="120"/>
        <v>1.629628733E-4</v>
      </c>
      <c r="Q354" s="31">
        <f>IF(I354="SI",VLOOKUP(A354,DATA!$A$4:$G$350,7,0),0)</f>
        <v>7565</v>
      </c>
      <c r="R354" s="31">
        <f>IF(I354="SI",VLOOKUP(A354,DATA!$A$4:$H$350,8,0),0)</f>
        <v>10696</v>
      </c>
      <c r="S354" s="117">
        <f t="shared" si="121"/>
        <v>1.5614688089E-3</v>
      </c>
      <c r="T354" s="117">
        <f t="shared" si="122"/>
        <v>2.04281733325471E-3</v>
      </c>
      <c r="U354" s="117">
        <f t="shared" si="123"/>
        <v>4.0856346670000001E-4</v>
      </c>
      <c r="V354" s="31">
        <f>IF(I354="SI",VLOOKUP(A354,COEF_FCM!$A$8:$X$354,24,0),0)</f>
        <v>1931345</v>
      </c>
      <c r="W354" s="121">
        <f t="shared" si="124"/>
        <v>154.66999999999999</v>
      </c>
      <c r="X354" s="31">
        <f>IF(AND(W354&gt;0,W354&lt;$W$7),ROUND(($W$7-W354)*L354,PARAMETROS!$L$8),0)</f>
        <v>0</v>
      </c>
      <c r="Y354" s="122">
        <f t="shared" si="125"/>
        <v>0</v>
      </c>
      <c r="Z354" s="117">
        <f t="shared" si="126"/>
        <v>0</v>
      </c>
      <c r="AA354" s="96">
        <f t="shared" si="127"/>
        <v>2.2271554790499999E-3</v>
      </c>
      <c r="AB354" s="31">
        <f>ROUND(AA354*PARAMETROS!$H$24,0)</f>
        <v>382218855</v>
      </c>
      <c r="AC354" s="31">
        <f t="shared" si="128"/>
        <v>382218855</v>
      </c>
      <c r="AD354" s="31">
        <f t="shared" si="129"/>
        <v>95554714</v>
      </c>
      <c r="AE354" s="31">
        <f t="shared" si="132"/>
        <v>95554714</v>
      </c>
      <c r="AF354" s="31">
        <f t="shared" si="132"/>
        <v>95554714</v>
      </c>
      <c r="AG354" s="31">
        <f t="shared" si="131"/>
        <v>95554713</v>
      </c>
    </row>
    <row r="355" spans="1:33" ht="3" customHeight="1" x14ac:dyDescent="0.25">
      <c r="F355" s="38"/>
    </row>
  </sheetData>
  <sheetProtection algorithmName="SHA-512" hashValue="jcLCt57k+otfICYA8hW1N+fYGXIrO/fd7mY3jG4o9kLs9yjlK2Uc/klJdJZb3ndM67C1qWZ6VN5l3EBph+BRWQ==" saltValue="9Ggs9AxlDgMPx+FGThDjIA==" spinCount="100000" sheet="1" objects="1" scenarios="1" selectLockedCells="1" selectUnlockedCells="1"/>
  <phoneticPr fontId="36" type="noConversion"/>
  <conditionalFormatting sqref="G9:G354">
    <cfRule type="cellIs" dxfId="3" priority="3" operator="lessThanOrEqual">
      <formula>$G$7</formula>
    </cfRule>
  </conditionalFormatting>
  <conditionalFormatting sqref="H9:H354">
    <cfRule type="cellIs" dxfId="2" priority="2" operator="greaterThan">
      <formula>$H$7</formula>
    </cfRule>
  </conditionalFormatting>
  <conditionalFormatting sqref="I9:I354">
    <cfRule type="cellIs" dxfId="1" priority="1" operator="equal">
      <formula>"SI"</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4070A-781B-449D-A0BE-2A9F1B943174}">
  <sheetPr codeName="Hoja8">
    <tabColor theme="5" tint="0.39997558519241921"/>
  </sheetPr>
  <dimension ref="A1:AP354"/>
  <sheetViews>
    <sheetView showOutlineSymbols="0" showWhiteSpace="0" workbookViewId="0">
      <selection sqref="A1:XFD1048576"/>
    </sheetView>
  </sheetViews>
  <sheetFormatPr baseColWidth="10" defaultColWidth="11.5703125" defaultRowHeight="3" customHeight="1" outlineLevelCol="1" x14ac:dyDescent="0.25"/>
  <cols>
    <col min="1" max="1" width="17.140625" customWidth="1"/>
    <col min="2" max="2" width="11.5703125" customWidth="1"/>
    <col min="3" max="3" width="25.85546875" bestFit="1" customWidth="1"/>
    <col min="4" max="4" width="18.140625" style="126" bestFit="1" customWidth="1" outlineLevel="1"/>
    <col min="5" max="5" width="18.7109375" style="359" bestFit="1" customWidth="1" outlineLevel="1"/>
    <col min="6" max="6" width="21.85546875" style="95" bestFit="1" customWidth="1"/>
    <col min="7" max="7" width="15.42578125" style="31" bestFit="1" customWidth="1" outlineLevel="1"/>
    <col min="8" max="8" width="14.140625" bestFit="1" customWidth="1" outlineLevel="1"/>
    <col min="9" max="9" width="16.85546875" style="31" customWidth="1" outlineLevel="1"/>
    <col min="10" max="10" width="19.85546875" style="359" bestFit="1" customWidth="1" outlineLevel="1"/>
    <col min="11" max="11" width="21.85546875" style="359" bestFit="1" customWidth="1"/>
    <col min="12" max="12" width="13.42578125" style="31" bestFit="1" customWidth="1" outlineLevel="1"/>
    <col min="13" max="13" width="11.5703125" style="31" bestFit="1" customWidth="1" outlineLevel="1"/>
    <col min="14" max="14" width="19.7109375" style="359" bestFit="1" customWidth="1" outlineLevel="1"/>
    <col min="15" max="15" width="19.28515625" style="359" bestFit="1" customWidth="1" outlineLevel="1"/>
    <col min="16" max="16" width="21.85546875" style="359" bestFit="1" customWidth="1"/>
    <col min="17" max="17" width="18.28515625" bestFit="1" customWidth="1" outlineLevel="1"/>
    <col min="18" max="18" width="16.85546875" bestFit="1" customWidth="1" outlineLevel="1"/>
    <col min="19" max="19" width="16.85546875" style="31" bestFit="1" customWidth="1" outlineLevel="1"/>
    <col min="20" max="20" width="19" bestFit="1" customWidth="1" outlineLevel="1"/>
    <col min="21" max="21" width="20.42578125" bestFit="1" customWidth="1"/>
    <col min="22" max="22" width="26.5703125" customWidth="1" outlineLevel="1"/>
    <col min="23" max="23" width="22.42578125" bestFit="1" customWidth="1"/>
    <col min="24" max="24" width="19.85546875" bestFit="1" customWidth="1"/>
    <col min="25" max="25" width="21.5703125" bestFit="1" customWidth="1" outlineLevel="1"/>
    <col min="26" max="26" width="17" bestFit="1" customWidth="1" outlineLevel="1"/>
    <col min="27" max="30" width="21.5703125" bestFit="1" customWidth="1" outlineLevel="1"/>
    <col min="31" max="31" width="15" customWidth="1" outlineLevel="1"/>
    <col min="32" max="34" width="15" customWidth="1"/>
    <col min="35" max="42" width="11.5703125" customWidth="1"/>
  </cols>
  <sheetData>
    <row r="1" spans="1:42" ht="3" customHeight="1" x14ac:dyDescent="0.25">
      <c r="C1" s="103"/>
      <c r="D1" s="131">
        <f>COLUMN()</f>
        <v>4</v>
      </c>
      <c r="E1" s="126">
        <f>COLUMN()</f>
        <v>5</v>
      </c>
      <c r="F1" s="131">
        <f>COLUMN()</f>
        <v>6</v>
      </c>
      <c r="G1" s="131">
        <f>COLUMN()</f>
        <v>7</v>
      </c>
      <c r="H1" s="131">
        <f>COLUMN()</f>
        <v>8</v>
      </c>
      <c r="I1" s="131">
        <f>COLUMN()</f>
        <v>9</v>
      </c>
      <c r="J1" s="126">
        <f>COLUMN()</f>
        <v>10</v>
      </c>
      <c r="K1" s="126">
        <f>COLUMN()</f>
        <v>11</v>
      </c>
      <c r="L1" s="131">
        <f>COLUMN()</f>
        <v>12</v>
      </c>
      <c r="M1" s="131">
        <f>COLUMN()</f>
        <v>13</v>
      </c>
      <c r="N1" s="126">
        <f>COLUMN()</f>
        <v>14</v>
      </c>
      <c r="O1" s="126">
        <f>COLUMN()</f>
        <v>15</v>
      </c>
      <c r="P1" s="126">
        <f>COLUMN()</f>
        <v>16</v>
      </c>
      <c r="Q1" s="131">
        <f>COLUMN()</f>
        <v>17</v>
      </c>
      <c r="R1" s="131">
        <f>COLUMN()</f>
        <v>18</v>
      </c>
      <c r="S1" s="131">
        <f>COLUMN()</f>
        <v>19</v>
      </c>
      <c r="T1" s="131">
        <f>COLUMN()</f>
        <v>20</v>
      </c>
      <c r="U1" s="131">
        <f>COLUMN()</f>
        <v>21</v>
      </c>
      <c r="V1" s="131">
        <f>COLUMN()</f>
        <v>22</v>
      </c>
      <c r="W1" s="131">
        <f>COLUMN()</f>
        <v>23</v>
      </c>
      <c r="X1" s="131">
        <f>COLUMN()</f>
        <v>24</v>
      </c>
      <c r="Y1" s="131">
        <f>COLUMN()</f>
        <v>25</v>
      </c>
      <c r="Z1" s="131">
        <f>COLUMN()</f>
        <v>26</v>
      </c>
      <c r="AA1" s="131">
        <f>COLUMN()</f>
        <v>27</v>
      </c>
      <c r="AB1" s="131">
        <f>COLUMN()</f>
        <v>28</v>
      </c>
      <c r="AC1" s="131">
        <f>COLUMN()</f>
        <v>29</v>
      </c>
      <c r="AD1" s="131">
        <f>COLUMN()</f>
        <v>30</v>
      </c>
      <c r="AE1" s="31"/>
      <c r="AI1" s="31"/>
      <c r="AJ1" s="31"/>
      <c r="AL1" s="31"/>
      <c r="AM1" s="31"/>
    </row>
    <row r="2" spans="1:42" s="104" customFormat="1" ht="3" customHeight="1" x14ac:dyDescent="0.25">
      <c r="C2" s="373"/>
      <c r="D2" s="101" t="s">
        <v>639</v>
      </c>
      <c r="E2" s="358" t="s">
        <v>640</v>
      </c>
      <c r="F2" s="113" t="s">
        <v>641</v>
      </c>
      <c r="G2" s="113" t="s">
        <v>642</v>
      </c>
      <c r="H2" s="104" t="s">
        <v>643</v>
      </c>
      <c r="I2" s="104" t="s">
        <v>644</v>
      </c>
      <c r="J2" s="358" t="s">
        <v>645</v>
      </c>
      <c r="K2" s="362" t="s">
        <v>646</v>
      </c>
      <c r="L2" s="101" t="s">
        <v>647</v>
      </c>
      <c r="M2" s="104" t="s">
        <v>648</v>
      </c>
      <c r="N2" s="358" t="s">
        <v>649</v>
      </c>
      <c r="O2" s="358" t="s">
        <v>650</v>
      </c>
      <c r="P2" s="362" t="s">
        <v>651</v>
      </c>
      <c r="Q2" s="101" t="s">
        <v>652</v>
      </c>
      <c r="R2" s="101" t="s">
        <v>653</v>
      </c>
      <c r="S2" s="104" t="s">
        <v>654</v>
      </c>
      <c r="T2" s="104" t="s">
        <v>655</v>
      </c>
      <c r="U2" s="104" t="s">
        <v>656</v>
      </c>
      <c r="V2" s="104" t="s">
        <v>657</v>
      </c>
      <c r="W2" s="101" t="s">
        <v>658</v>
      </c>
      <c r="X2" s="104" t="s">
        <v>659</v>
      </c>
      <c r="Y2" s="104" t="s">
        <v>660</v>
      </c>
      <c r="AH2" s="101"/>
      <c r="AL2" s="101"/>
      <c r="AM2" s="101"/>
      <c r="AO2" s="101"/>
      <c r="AP2" s="101"/>
    </row>
    <row r="3" spans="1:42" ht="3" customHeight="1" x14ac:dyDescent="0.25">
      <c r="C3" s="373"/>
    </row>
    <row r="4" spans="1:42" ht="3" customHeight="1" thickBot="1" x14ac:dyDescent="0.3">
      <c r="C4" s="373"/>
      <c r="D4" s="359"/>
    </row>
    <row r="5" spans="1:42" ht="3" customHeight="1" thickBot="1" x14ac:dyDescent="0.3">
      <c r="C5" s="374"/>
      <c r="D5" s="359"/>
      <c r="Y5" s="348" t="str">
        <f>IF(Y7&lt;&gt;Y6,"Ajustar","")</f>
        <v>Ajustar</v>
      </c>
      <c r="Z5" s="349">
        <f>+Y6-Y7</f>
        <v>1</v>
      </c>
      <c r="AA5" s="6"/>
      <c r="AB5" s="6"/>
      <c r="AC5" s="6"/>
    </row>
    <row r="6" spans="1:42" ht="3" customHeight="1" thickBot="1" x14ac:dyDescent="0.35">
      <c r="A6" s="118" t="s">
        <v>682</v>
      </c>
      <c r="B6" s="119"/>
      <c r="C6" s="120" t="str">
        <f>+PARAMETROS!B32</f>
        <v>FCMi 2026</v>
      </c>
      <c r="D6" s="359"/>
      <c r="Y6" s="128">
        <f>+PARAMETROS!H35</f>
        <v>54917600000</v>
      </c>
      <c r="Z6" s="350">
        <f>IF(Z5&lt;0,LARGE($Y$9:$Y$354,1),IF(Y6=Y7,0,SMALL($Y$9:$Y$354,COUNTIF($Y$9:$Y$354,"&lt;=0")+1)))</f>
        <v>512340071</v>
      </c>
      <c r="AA6" s="347"/>
      <c r="AB6" s="347"/>
      <c r="AC6" s="347"/>
    </row>
    <row r="7" spans="1:42" ht="3" customHeight="1" thickBot="1" x14ac:dyDescent="0.3">
      <c r="D7" s="136">
        <f>COUNTIF($D$9:$D$354,"SI")+COUNTIF($D$9:$D$354,"Sí")</f>
        <v>45</v>
      </c>
      <c r="F7" s="364">
        <f>+PARAMETROS!D36</f>
        <v>0.4</v>
      </c>
      <c r="G7" s="102">
        <f>SUM($G$9:$G$354)</f>
        <v>2713658</v>
      </c>
      <c r="I7" s="102">
        <f>SUM($I$9:$I$354)</f>
        <v>200106</v>
      </c>
      <c r="K7" s="364">
        <f>+PARAMETROS!$D$37</f>
        <v>7.4999999999999997E-2</v>
      </c>
      <c r="L7" s="31">
        <f>SUM(L9:L354)</f>
        <v>704504</v>
      </c>
      <c r="M7" s="31">
        <f>SUM(M9:M354)</f>
        <v>1128168</v>
      </c>
      <c r="N7" s="359">
        <f>SUM(N9:N354)</f>
        <v>0.66658635632740004</v>
      </c>
      <c r="P7" s="364">
        <f>+PARAMETROS!D38</f>
        <v>0.05</v>
      </c>
      <c r="Q7" s="102">
        <f>SUM(Q9:Q354)</f>
        <v>446456636</v>
      </c>
      <c r="R7" s="123">
        <f>ROUND(Q7/G7,2)</f>
        <v>164.52</v>
      </c>
      <c r="S7" s="102">
        <f>SUM($S$9:$S$354)</f>
        <v>69038443</v>
      </c>
      <c r="U7" s="366">
        <f>+PARAMETROS!D39</f>
        <v>7.4999999999999997E-2</v>
      </c>
      <c r="W7" s="377">
        <f>+PARAMETROS!$D$40</f>
        <v>0.4</v>
      </c>
      <c r="X7" s="127">
        <f>+U7+P7+K7+F7+W7</f>
        <v>1</v>
      </c>
      <c r="Y7" s="129">
        <f>SUM(Y9:Y354)</f>
        <v>54917599999</v>
      </c>
      <c r="Z7" s="351">
        <f>SUM(Z9:Z354)</f>
        <v>54917600000</v>
      </c>
      <c r="AA7" s="347">
        <f>SUM(AA9:AA354)</f>
        <v>13729400003</v>
      </c>
      <c r="AB7" s="347">
        <f t="shared" ref="AB7:AD7" si="0">SUM(AB9:AB354)</f>
        <v>13729400003</v>
      </c>
      <c r="AC7" s="347">
        <f t="shared" si="0"/>
        <v>13729400003</v>
      </c>
      <c r="AD7" s="347">
        <f t="shared" si="0"/>
        <v>13729399991</v>
      </c>
    </row>
    <row r="8" spans="1:42" ht="3" customHeight="1" thickBot="1" x14ac:dyDescent="0.3">
      <c r="A8" s="97" t="s">
        <v>638</v>
      </c>
      <c r="B8" s="97" t="s">
        <v>340</v>
      </c>
      <c r="C8" s="97" t="s">
        <v>544</v>
      </c>
      <c r="D8" s="376" t="str">
        <f>+DATA!U4</f>
        <v>ACCESO COMUNAS MINERAS</v>
      </c>
      <c r="E8" s="360" t="str">
        <f>+COEF_FCM!D8</f>
        <v>INDICADOR PARTES IGUALES</v>
      </c>
      <c r="F8" s="365" t="str">
        <f>+COEF_FCM!E8</f>
        <v>PONDERACION INDICADOR PARTES IGUALES</v>
      </c>
      <c r="G8" s="100" t="str">
        <f>+DATA!D4</f>
        <v>Población Comunal, Estimada por el INE (N° ) Año 2024</v>
      </c>
      <c r="H8" s="100" t="str">
        <f>+DATA!E4</f>
        <v>Estimación de Porcentaje de Personas Pobres, Encuesta CASEN</v>
      </c>
      <c r="I8" s="106" t="str">
        <f>+COEF_FCM!H8</f>
        <v>NÚMERO DE POBRES POR Comuna (EN BASE A INFORMACIÓN CASEN)</v>
      </c>
      <c r="J8" s="360" t="str">
        <f>+COEF_FCM!I8</f>
        <v>INDICADOR POBREZA</v>
      </c>
      <c r="K8" s="363" t="str">
        <f>+COEF_FCM!J8</f>
        <v>PONDERACION INDICADOR POBREZA</v>
      </c>
      <c r="L8" s="100" t="str">
        <f>+DATA!G4</f>
        <v>TOTAL 
PREDIOS 
EXENTOS 
Comuna
 AÑO 2024 (N° ) 
(PXci)</v>
      </c>
      <c r="M8" s="100" t="str">
        <f>+DATA!H4</f>
        <v>TOTAL PREDIOS 
por Comuna 
AÑO 2024 (N° ) 
(PTci)</v>
      </c>
      <c r="N8" s="360" t="s">
        <v>680</v>
      </c>
      <c r="O8" s="360" t="str">
        <f>+COEF_FCM!R8</f>
        <v>INDICADOR PREDIOS</v>
      </c>
      <c r="P8" s="363" t="s">
        <v>323</v>
      </c>
      <c r="Q8" s="98" t="str">
        <f>+DATA!N4</f>
        <v>IPP FCMi
(V) 2024</v>
      </c>
      <c r="R8" s="98" t="str">
        <f>"IPP percápita 
("&amp;
LEFT(Q8,9)&amp;"/"&amp;G8&amp;")"</f>
        <v>IPP percápita 
(IPP FCMi
/Población Comunal, Estimada por el INE (N° ) Año 2024)</v>
      </c>
      <c r="S8" s="106" t="str">
        <f>+COEF_FCM!AD8</f>
        <v>DISTANCIA IPP PROMEDIO x POBLACIÓN</v>
      </c>
      <c r="T8" s="106" t="str">
        <f>+COEF_FCM!AE8</f>
        <v>COEFICIENTE INGRESO PROPIO PERMANENTE</v>
      </c>
      <c r="U8" s="367" t="str">
        <f>+COEF_FCM!AF8</f>
        <v>PONDERACION INDICADOR IPP</v>
      </c>
      <c r="V8" s="375" t="str">
        <f>+DATA!V4</f>
        <v>INDICADOR DE NIVEL DE INCIDENCIA DE ACTIVIDAD MINERA (YA PONDERADO 40%)</v>
      </c>
      <c r="W8" s="375" t="str">
        <f>+V8</f>
        <v>INDICADOR DE NIVEL DE INCIDENCIA DE ACTIVIDAD MINERA (YA PONDERADO 40%)</v>
      </c>
      <c r="X8" s="105" t="str">
        <f>"COEFICIENTE 
FCMi "&amp;RIGHT(PARAMETROS!B3,4)</f>
        <v>COEFICIENTE 
FCMi 2026</v>
      </c>
      <c r="Y8" s="106" t="s">
        <v>684</v>
      </c>
      <c r="Z8" s="397" t="s">
        <v>1022</v>
      </c>
      <c r="AA8" s="397" t="s">
        <v>1014</v>
      </c>
      <c r="AB8" s="397" t="s">
        <v>1015</v>
      </c>
      <c r="AC8" s="397" t="s">
        <v>1016</v>
      </c>
      <c r="AD8" s="398" t="s">
        <v>1017</v>
      </c>
    </row>
    <row r="9" spans="1:42" ht="3" customHeight="1" x14ac:dyDescent="0.25">
      <c r="A9">
        <v>1101</v>
      </c>
      <c r="B9">
        <v>1201</v>
      </c>
      <c r="C9" t="s">
        <v>54</v>
      </c>
      <c r="D9" s="6" t="str">
        <f>+DATA!U5</f>
        <v>SI</v>
      </c>
      <c r="E9" s="361">
        <f t="shared" ref="E9:E72" si="1">IF(OR(D9="SI",D9="Sí"),ROUND(1/$D$7,DEC),0)</f>
        <v>2.2222222222200001E-2</v>
      </c>
      <c r="F9" s="95">
        <f>+E9*$F$7</f>
        <v>8.8888888888800002E-3</v>
      </c>
      <c r="G9" s="31">
        <f>IF(OR(D9="SI",D9="Sí"),VLOOKUP(A9,DATA!$A$4:$D$350,4,0),0)</f>
        <v>231962</v>
      </c>
      <c r="H9" s="95">
        <f>IF(OR(D9="SI",D9="Sí"),VLOOKUP(A9,DATA!$A$4:$E$350,5,0),0)</f>
        <v>7.8903808412546558E-2</v>
      </c>
      <c r="I9" s="31">
        <f>ROUND(G9*H9,0)</f>
        <v>18303</v>
      </c>
      <c r="J9" s="361">
        <f t="shared" ref="J9:J72" si="2">ROUND(I9/$I$7,DEC)</f>
        <v>9.14665227429E-2</v>
      </c>
      <c r="K9" s="361">
        <f t="shared" ref="K9:K72" si="3">ROUND(J9*$K$7,DEC)</f>
        <v>6.8599892056999999E-3</v>
      </c>
      <c r="L9" s="31">
        <f>IF(OR(D9="SI",D9="Sí"),VLOOKUP(A9,DATA!$A$4:$G$350,7,0),0)</f>
        <v>32357</v>
      </c>
      <c r="M9" s="31">
        <f>IF(OR(D9="SI",D9="Sí"),VLOOKUP(A9,DATA!$A$4:$H$350,8,0),0)</f>
        <v>90669</v>
      </c>
      <c r="N9" s="361">
        <f t="shared" ref="N9:N72" si="4">IF(M9=0,0,ROUND((L9/$L$7)*(L9/M9),DEC))</f>
        <v>1.63905757289E-2</v>
      </c>
      <c r="O9" s="361">
        <f>+N9/$N$7</f>
        <v>2.4588825698751052E-2</v>
      </c>
      <c r="P9" s="361">
        <f t="shared" ref="P9:P72" si="5">ROUND(O9*$P$7,DEC)</f>
        <v>1.2294412849E-3</v>
      </c>
      <c r="Q9" s="31">
        <f>IF(OR(D9="SI",D9="Sí"),VLOOKUP(A9,DATA!$A$4:$P$350,14,0),0)</f>
        <v>47463055</v>
      </c>
      <c r="R9" s="121">
        <f>IFERROR(ROUND(Q9/G9,2),0)</f>
        <v>204.62</v>
      </c>
      <c r="S9" s="31">
        <f>IF(AND(R9&gt;0,R9&lt;$R$7),ROUND(($R$7-R9)*G9,PARAMETROS!$L$8),0)</f>
        <v>0</v>
      </c>
      <c r="T9" s="122">
        <f t="shared" ref="T9:T72" si="6">ROUND(S9/$S$7,DEC)</f>
        <v>0</v>
      </c>
      <c r="U9" s="117">
        <f t="shared" ref="U9:U72" si="7">ROUND(T9*$U$7,DEC)</f>
        <v>0</v>
      </c>
      <c r="V9" s="117">
        <f>VLOOKUP(A9,DATA!$A$4:$V$350,DATA!$V$1,0)</f>
        <v>2E-3</v>
      </c>
      <c r="W9" s="117">
        <f>VLOOKUP(A9,DATA!$A$4:$V$350,22,0)</f>
        <v>2E-3</v>
      </c>
      <c r="X9" s="96">
        <f t="shared" ref="X9:X72" si="8">+F9+K9+P9+U9+W9</f>
        <v>1.8978319379480003E-2</v>
      </c>
      <c r="Y9" s="31">
        <f>ROUND(X9*PARAMETROS!$H$35,0)</f>
        <v>1042243752</v>
      </c>
      <c r="Z9" s="31">
        <f>IF(Y9=$Z$6,Y9+$Z$5,Y9)</f>
        <v>1042243752</v>
      </c>
      <c r="AA9" s="31">
        <f>ROUND(Z9/4,0)</f>
        <v>260560938</v>
      </c>
      <c r="AB9" s="31">
        <f>+AA9</f>
        <v>260560938</v>
      </c>
      <c r="AC9" s="31">
        <f>+AB9</f>
        <v>260560938</v>
      </c>
      <c r="AD9" s="38">
        <f>+Z9-AA9-AB9-AC9</f>
        <v>260560938</v>
      </c>
    </row>
    <row r="10" spans="1:42" ht="3" customHeight="1" x14ac:dyDescent="0.25">
      <c r="A10">
        <v>1107</v>
      </c>
      <c r="B10">
        <v>1211</v>
      </c>
      <c r="C10" t="s">
        <v>60</v>
      </c>
      <c r="D10" s="6" t="str">
        <f>+DATA!U6</f>
        <v>No</v>
      </c>
      <c r="E10" s="361">
        <f t="shared" si="1"/>
        <v>0</v>
      </c>
      <c r="F10" s="95">
        <f t="shared" ref="F10:F73" si="9">+E10*$F$7</f>
        <v>0</v>
      </c>
      <c r="G10" s="31">
        <f>IF(OR(D10="SI",D10="Sí"),VLOOKUP(A10,DATA!$A$4:$D$350,4,0),0)</f>
        <v>0</v>
      </c>
      <c r="H10" s="95">
        <f>IF(OR(D10="SI",D10="Sí"),VLOOKUP(A10,DATA!$A$4:$E$350,5,0),0)</f>
        <v>0</v>
      </c>
      <c r="I10" s="31">
        <f t="shared" ref="I10:I73" si="10">ROUND(G10*H10,0)</f>
        <v>0</v>
      </c>
      <c r="J10" s="361">
        <f t="shared" si="2"/>
        <v>0</v>
      </c>
      <c r="K10" s="361">
        <f t="shared" si="3"/>
        <v>0</v>
      </c>
      <c r="L10" s="31">
        <f>IF(OR(D10="SI",D10="Sí"),VLOOKUP(A10,DATA!$A$4:$G$350,7,0),0)</f>
        <v>0</v>
      </c>
      <c r="M10" s="31">
        <f>IF(OR(D10="SI",D10="Sí"),VLOOKUP(A10,DATA!$A$4:$H$350,8,0),0)</f>
        <v>0</v>
      </c>
      <c r="N10" s="361">
        <f t="shared" si="4"/>
        <v>0</v>
      </c>
      <c r="O10" s="361">
        <f t="shared" ref="O10:O73" si="11">+N10/$N$7</f>
        <v>0</v>
      </c>
      <c r="P10" s="361">
        <f t="shared" si="5"/>
        <v>0</v>
      </c>
      <c r="Q10" s="31">
        <f>IF(OR(D10="SI",D10="Sí"),VLOOKUP(A10,DATA!$A$4:$P$350,14,0),0)</f>
        <v>0</v>
      </c>
      <c r="R10" s="121">
        <f t="shared" ref="R10:R73" si="12">IFERROR(ROUND(Q10/G10,2),0)</f>
        <v>0</v>
      </c>
      <c r="S10" s="31">
        <f>IF(AND(R10&gt;0,R10&lt;$R$7),ROUND(($R$7-R10)*G10,PARAMETROS!$L$8),0)</f>
        <v>0</v>
      </c>
      <c r="T10" s="122">
        <f t="shared" si="6"/>
        <v>0</v>
      </c>
      <c r="U10" s="117">
        <f t="shared" si="7"/>
        <v>0</v>
      </c>
      <c r="V10" s="117">
        <f>VLOOKUP(A10,DATA!$A$4:$V$350,DATA!$V$1,0)</f>
        <v>0</v>
      </c>
      <c r="W10" s="117">
        <f>VLOOKUP(A10,DATA!$A$4:$V$350,22,0)</f>
        <v>0</v>
      </c>
      <c r="X10" s="96">
        <f t="shared" si="8"/>
        <v>0</v>
      </c>
      <c r="Y10" s="31">
        <f>ROUND(X10*PARAMETROS!$H$35,0)</f>
        <v>0</v>
      </c>
      <c r="Z10" s="31">
        <f t="shared" ref="Z10:Z73" si="13">IF(Y10=$Z$6,Y10+$Z$5,Y10)</f>
        <v>0</v>
      </c>
      <c r="AA10" s="31">
        <f t="shared" ref="AA10:AA73" si="14">ROUND(Z10/4,0)</f>
        <v>0</v>
      </c>
      <c r="AB10" s="31">
        <f t="shared" ref="AB10:AC73" si="15">+AA10</f>
        <v>0</v>
      </c>
      <c r="AC10" s="31">
        <f t="shared" si="15"/>
        <v>0</v>
      </c>
      <c r="AD10" s="38">
        <f t="shared" ref="AD10:AD73" si="16">+Z10-AA10-AB10-AC10</f>
        <v>0</v>
      </c>
    </row>
    <row r="11" spans="1:42" ht="3" customHeight="1" x14ac:dyDescent="0.25">
      <c r="A11">
        <v>1401</v>
      </c>
      <c r="B11">
        <v>1204</v>
      </c>
      <c r="C11" t="s">
        <v>56</v>
      </c>
      <c r="D11" s="6" t="str">
        <f>+DATA!U7</f>
        <v>No</v>
      </c>
      <c r="E11" s="361">
        <f t="shared" si="1"/>
        <v>0</v>
      </c>
      <c r="F11" s="95">
        <f t="shared" si="9"/>
        <v>0</v>
      </c>
      <c r="G11" s="31">
        <f>IF(OR(D11="SI",D11="Sí"),VLOOKUP(A11,DATA!$A$4:$D$350,4,0),0)</f>
        <v>0</v>
      </c>
      <c r="H11" s="95">
        <f>IF(OR(D11="SI",D11="Sí"),VLOOKUP(A11,DATA!$A$4:$E$350,5,0),0)</f>
        <v>0</v>
      </c>
      <c r="I11" s="31">
        <f t="shared" si="10"/>
        <v>0</v>
      </c>
      <c r="J11" s="361">
        <f t="shared" si="2"/>
        <v>0</v>
      </c>
      <c r="K11" s="361">
        <f t="shared" si="3"/>
        <v>0</v>
      </c>
      <c r="L11" s="31">
        <f>IF(OR(D11="SI",D11="Sí"),VLOOKUP(A11,DATA!$A$4:$G$350,7,0),0)</f>
        <v>0</v>
      </c>
      <c r="M11" s="31">
        <f>IF(OR(D11="SI",D11="Sí"),VLOOKUP(A11,DATA!$A$4:$H$350,8,0),0)</f>
        <v>0</v>
      </c>
      <c r="N11" s="361">
        <f t="shared" si="4"/>
        <v>0</v>
      </c>
      <c r="O11" s="361">
        <f t="shared" si="11"/>
        <v>0</v>
      </c>
      <c r="P11" s="361">
        <f t="shared" si="5"/>
        <v>0</v>
      </c>
      <c r="Q11" s="31">
        <f>IF(OR(D11="SI",D11="Sí"),VLOOKUP(A11,DATA!$A$4:$P$350,14,0),0)</f>
        <v>0</v>
      </c>
      <c r="R11" s="121">
        <f t="shared" si="12"/>
        <v>0</v>
      </c>
      <c r="S11" s="31">
        <f>IF(AND(R11&gt;0,R11&lt;$R$7),ROUND(($R$7-R11)*G11,PARAMETROS!$L$8),0)</f>
        <v>0</v>
      </c>
      <c r="T11" s="122">
        <f t="shared" si="6"/>
        <v>0</v>
      </c>
      <c r="U11" s="117">
        <f t="shared" si="7"/>
        <v>0</v>
      </c>
      <c r="V11" s="117">
        <f>VLOOKUP(A11,DATA!$A$4:$V$350,DATA!$V$1,0)</f>
        <v>0</v>
      </c>
      <c r="W11" s="117">
        <f>VLOOKUP(A11,DATA!$A$4:$V$350,22,0)</f>
        <v>0</v>
      </c>
      <c r="X11" s="96">
        <f t="shared" si="8"/>
        <v>0</v>
      </c>
      <c r="Y11" s="31">
        <f>ROUND(X11*PARAMETROS!$H$35,0)</f>
        <v>0</v>
      </c>
      <c r="Z11" s="31">
        <f t="shared" si="13"/>
        <v>0</v>
      </c>
      <c r="AA11" s="31">
        <f t="shared" si="14"/>
        <v>0</v>
      </c>
      <c r="AB11" s="31">
        <f t="shared" si="15"/>
        <v>0</v>
      </c>
      <c r="AC11" s="31">
        <f t="shared" si="15"/>
        <v>0</v>
      </c>
      <c r="AD11" s="38">
        <f t="shared" si="16"/>
        <v>0</v>
      </c>
    </row>
    <row r="12" spans="1:42" ht="3" customHeight="1" x14ac:dyDescent="0.25">
      <c r="A12">
        <v>1402</v>
      </c>
      <c r="B12">
        <v>1208</v>
      </c>
      <c r="C12" t="s">
        <v>58</v>
      </c>
      <c r="D12" s="6" t="str">
        <f>+DATA!U8</f>
        <v>No</v>
      </c>
      <c r="E12" s="361">
        <f t="shared" si="1"/>
        <v>0</v>
      </c>
      <c r="F12" s="95">
        <f t="shared" si="9"/>
        <v>0</v>
      </c>
      <c r="G12" s="31">
        <f>IF(OR(D12="SI",D12="Sí"),VLOOKUP(A12,DATA!$A$4:$D$350,4,0),0)</f>
        <v>0</v>
      </c>
      <c r="H12" s="95">
        <f>IF(OR(D12="SI",D12="Sí"),VLOOKUP(A12,DATA!$A$4:$E$350,5,0),0)</f>
        <v>0</v>
      </c>
      <c r="I12" s="31">
        <f t="shared" si="10"/>
        <v>0</v>
      </c>
      <c r="J12" s="361">
        <f t="shared" si="2"/>
        <v>0</v>
      </c>
      <c r="K12" s="361">
        <f t="shared" si="3"/>
        <v>0</v>
      </c>
      <c r="L12" s="31">
        <f>IF(OR(D12="SI",D12="Sí"),VLOOKUP(A12,DATA!$A$4:$G$350,7,0),0)</f>
        <v>0</v>
      </c>
      <c r="M12" s="31">
        <f>IF(OR(D12="SI",D12="Sí"),VLOOKUP(A12,DATA!$A$4:$H$350,8,0),0)</f>
        <v>0</v>
      </c>
      <c r="N12" s="361">
        <f t="shared" si="4"/>
        <v>0</v>
      </c>
      <c r="O12" s="361">
        <f t="shared" si="11"/>
        <v>0</v>
      </c>
      <c r="P12" s="361">
        <f t="shared" si="5"/>
        <v>0</v>
      </c>
      <c r="Q12" s="31">
        <f>IF(OR(D12="SI",D12="Sí"),VLOOKUP(A12,DATA!$A$4:$P$350,14,0),0)</f>
        <v>0</v>
      </c>
      <c r="R12" s="121">
        <f t="shared" si="12"/>
        <v>0</v>
      </c>
      <c r="S12" s="31">
        <f>IF(AND(R12&gt;0,R12&lt;$R$7),ROUND(($R$7-R12)*G12,PARAMETROS!$L$8),0)</f>
        <v>0</v>
      </c>
      <c r="T12" s="122">
        <f t="shared" si="6"/>
        <v>0</v>
      </c>
      <c r="U12" s="117">
        <f t="shared" si="7"/>
        <v>0</v>
      </c>
      <c r="V12" s="117">
        <f>VLOOKUP(A12,DATA!$A$4:$V$350,DATA!$V$1,0)</f>
        <v>0</v>
      </c>
      <c r="W12" s="117">
        <f>VLOOKUP(A12,DATA!$A$4:$V$350,22,0)</f>
        <v>0</v>
      </c>
      <c r="X12" s="96">
        <f t="shared" si="8"/>
        <v>0</v>
      </c>
      <c r="Y12" s="31">
        <f>ROUND(X12*PARAMETROS!$H$35,0)</f>
        <v>0</v>
      </c>
      <c r="Z12" s="31">
        <f t="shared" si="13"/>
        <v>0</v>
      </c>
      <c r="AA12" s="31">
        <f t="shared" si="14"/>
        <v>0</v>
      </c>
      <c r="AB12" s="31">
        <f t="shared" si="15"/>
        <v>0</v>
      </c>
      <c r="AC12" s="31">
        <f t="shared" si="15"/>
        <v>0</v>
      </c>
      <c r="AD12" s="38">
        <f t="shared" si="16"/>
        <v>0</v>
      </c>
    </row>
    <row r="13" spans="1:42" ht="3" customHeight="1" x14ac:dyDescent="0.25">
      <c r="A13">
        <v>1403</v>
      </c>
      <c r="B13">
        <v>1210</v>
      </c>
      <c r="C13" t="s">
        <v>59</v>
      </c>
      <c r="D13" s="6" t="str">
        <f>+DATA!U9</f>
        <v>No</v>
      </c>
      <c r="E13" s="361">
        <f t="shared" si="1"/>
        <v>0</v>
      </c>
      <c r="F13" s="95">
        <f t="shared" si="9"/>
        <v>0</v>
      </c>
      <c r="G13" s="31">
        <f>IF(OR(D13="SI",D13="Sí"),VLOOKUP(A13,DATA!$A$4:$D$350,4,0),0)</f>
        <v>0</v>
      </c>
      <c r="H13" s="95">
        <f>IF(OR(D13="SI",D13="Sí"),VLOOKUP(A13,DATA!$A$4:$E$350,5,0),0)</f>
        <v>0</v>
      </c>
      <c r="I13" s="31">
        <f t="shared" si="10"/>
        <v>0</v>
      </c>
      <c r="J13" s="361">
        <f t="shared" si="2"/>
        <v>0</v>
      </c>
      <c r="K13" s="361">
        <f t="shared" si="3"/>
        <v>0</v>
      </c>
      <c r="L13" s="31">
        <f>IF(OR(D13="SI",D13="Sí"),VLOOKUP(A13,DATA!$A$4:$G$350,7,0),0)</f>
        <v>0</v>
      </c>
      <c r="M13" s="31">
        <f>IF(OR(D13="SI",D13="Sí"),VLOOKUP(A13,DATA!$A$4:$H$350,8,0),0)</f>
        <v>0</v>
      </c>
      <c r="N13" s="361">
        <f t="shared" si="4"/>
        <v>0</v>
      </c>
      <c r="O13" s="361">
        <f t="shared" si="11"/>
        <v>0</v>
      </c>
      <c r="P13" s="361">
        <f t="shared" si="5"/>
        <v>0</v>
      </c>
      <c r="Q13" s="31">
        <f>IF(OR(D13="SI",D13="Sí"),VLOOKUP(A13,DATA!$A$4:$P$350,14,0),0)</f>
        <v>0</v>
      </c>
      <c r="R13" s="121">
        <f t="shared" si="12"/>
        <v>0</v>
      </c>
      <c r="S13" s="31">
        <f>IF(AND(R13&gt;0,R13&lt;$R$7),ROUND(($R$7-R13)*G13,PARAMETROS!$L$8),0)</f>
        <v>0</v>
      </c>
      <c r="T13" s="122">
        <f t="shared" si="6"/>
        <v>0</v>
      </c>
      <c r="U13" s="117">
        <f t="shared" si="7"/>
        <v>0</v>
      </c>
      <c r="V13" s="117">
        <f>VLOOKUP(A13,DATA!$A$4:$V$350,DATA!$V$1,0)</f>
        <v>0</v>
      </c>
      <c r="W13" s="117">
        <f>VLOOKUP(A13,DATA!$A$4:$V$350,22,0)</f>
        <v>0</v>
      </c>
      <c r="X13" s="96">
        <f t="shared" si="8"/>
        <v>0</v>
      </c>
      <c r="Y13" s="31">
        <f>ROUND(X13*PARAMETROS!$H$35,0)</f>
        <v>0</v>
      </c>
      <c r="Z13" s="31">
        <f t="shared" si="13"/>
        <v>0</v>
      </c>
      <c r="AA13" s="31">
        <f t="shared" si="14"/>
        <v>0</v>
      </c>
      <c r="AB13" s="31">
        <f t="shared" si="15"/>
        <v>0</v>
      </c>
      <c r="AC13" s="31">
        <f t="shared" si="15"/>
        <v>0</v>
      </c>
      <c r="AD13" s="38">
        <f t="shared" si="16"/>
        <v>0</v>
      </c>
    </row>
    <row r="14" spans="1:42" ht="3" customHeight="1" x14ac:dyDescent="0.25">
      <c r="A14">
        <v>1404</v>
      </c>
      <c r="B14">
        <v>1206</v>
      </c>
      <c r="C14" t="s">
        <v>57</v>
      </c>
      <c r="D14" s="6" t="str">
        <f>+DATA!U10</f>
        <v>No</v>
      </c>
      <c r="E14" s="361">
        <f t="shared" si="1"/>
        <v>0</v>
      </c>
      <c r="F14" s="95">
        <f t="shared" si="9"/>
        <v>0</v>
      </c>
      <c r="G14" s="31">
        <f>IF(OR(D14="SI",D14="Sí"),VLOOKUP(A14,DATA!$A$4:$D$350,4,0),0)</f>
        <v>0</v>
      </c>
      <c r="H14" s="95">
        <f>IF(OR(D14="SI",D14="Sí"),VLOOKUP(A14,DATA!$A$4:$E$350,5,0),0)</f>
        <v>0</v>
      </c>
      <c r="I14" s="31">
        <f t="shared" si="10"/>
        <v>0</v>
      </c>
      <c r="J14" s="361">
        <f t="shared" si="2"/>
        <v>0</v>
      </c>
      <c r="K14" s="361">
        <f t="shared" si="3"/>
        <v>0</v>
      </c>
      <c r="L14" s="31">
        <f>IF(OR(D14="SI",D14="Sí"),VLOOKUP(A14,DATA!$A$4:$G$350,7,0),0)</f>
        <v>0</v>
      </c>
      <c r="M14" s="31">
        <f>IF(OR(D14="SI",D14="Sí"),VLOOKUP(A14,DATA!$A$4:$H$350,8,0),0)</f>
        <v>0</v>
      </c>
      <c r="N14" s="361">
        <f t="shared" si="4"/>
        <v>0</v>
      </c>
      <c r="O14" s="361">
        <f t="shared" si="11"/>
        <v>0</v>
      </c>
      <c r="P14" s="361">
        <f t="shared" si="5"/>
        <v>0</v>
      </c>
      <c r="Q14" s="31">
        <f>IF(OR(D14="SI",D14="Sí"),VLOOKUP(A14,DATA!$A$4:$P$350,14,0),0)</f>
        <v>0</v>
      </c>
      <c r="R14" s="121">
        <f t="shared" si="12"/>
        <v>0</v>
      </c>
      <c r="S14" s="31">
        <f>IF(AND(R14&gt;0,R14&lt;$R$7),ROUND(($R$7-R14)*G14,PARAMETROS!$L$8),0)</f>
        <v>0</v>
      </c>
      <c r="T14" s="122">
        <f t="shared" si="6"/>
        <v>0</v>
      </c>
      <c r="U14" s="117">
        <f t="shared" si="7"/>
        <v>0</v>
      </c>
      <c r="V14" s="117">
        <f>VLOOKUP(A14,DATA!$A$4:$V$350,DATA!$V$1,0)</f>
        <v>0</v>
      </c>
      <c r="W14" s="117">
        <f>VLOOKUP(A14,DATA!$A$4:$V$350,22,0)</f>
        <v>0</v>
      </c>
      <c r="X14" s="96">
        <f t="shared" si="8"/>
        <v>0</v>
      </c>
      <c r="Y14" s="31">
        <f>ROUND(X14*PARAMETROS!$H$35,0)</f>
        <v>0</v>
      </c>
      <c r="Z14" s="31">
        <f t="shared" si="13"/>
        <v>0</v>
      </c>
      <c r="AA14" s="31">
        <f t="shared" si="14"/>
        <v>0</v>
      </c>
      <c r="AB14" s="31">
        <f t="shared" si="15"/>
        <v>0</v>
      </c>
      <c r="AC14" s="31">
        <f t="shared" si="15"/>
        <v>0</v>
      </c>
      <c r="AD14" s="38">
        <f t="shared" si="16"/>
        <v>0</v>
      </c>
    </row>
    <row r="15" spans="1:42" ht="3" customHeight="1" x14ac:dyDescent="0.25">
      <c r="A15">
        <v>1405</v>
      </c>
      <c r="B15">
        <v>1203</v>
      </c>
      <c r="C15" t="s">
        <v>55</v>
      </c>
      <c r="D15" s="6" t="str">
        <f>+DATA!U11</f>
        <v>SI</v>
      </c>
      <c r="E15" s="361">
        <f t="shared" si="1"/>
        <v>2.2222222222200001E-2</v>
      </c>
      <c r="F15" s="95">
        <f t="shared" si="9"/>
        <v>8.8888888888800002E-3</v>
      </c>
      <c r="G15" s="31">
        <f>IF(OR(D15="SI",D15="Sí"),VLOOKUP(A15,DATA!$A$4:$D$350,4,0),0)</f>
        <v>6291</v>
      </c>
      <c r="H15" s="95">
        <f>IF(OR(D15="SI",D15="Sí"),VLOOKUP(A15,DATA!$A$4:$E$350,5,0),0)</f>
        <v>0.1073139711951238</v>
      </c>
      <c r="I15" s="31">
        <f t="shared" si="10"/>
        <v>675</v>
      </c>
      <c r="J15" s="361">
        <f t="shared" si="2"/>
        <v>3.3732121974999999E-3</v>
      </c>
      <c r="K15" s="361">
        <f t="shared" si="3"/>
        <v>2.5299091479999999E-4</v>
      </c>
      <c r="L15" s="31">
        <f>IF(OR(D15="SI",D15="Sí"),VLOOKUP(A15,DATA!$A$4:$G$350,7,0),0)</f>
        <v>3351</v>
      </c>
      <c r="M15" s="31">
        <f>IF(OR(D15="SI",D15="Sí"),VLOOKUP(A15,DATA!$A$4:$H$350,8,0),0)</f>
        <v>4342</v>
      </c>
      <c r="N15" s="361">
        <f t="shared" si="4"/>
        <v>3.6709255213999998E-3</v>
      </c>
      <c r="O15" s="361">
        <f t="shared" si="11"/>
        <v>5.5070516918846006E-3</v>
      </c>
      <c r="P15" s="361">
        <f t="shared" si="5"/>
        <v>2.753525846E-4</v>
      </c>
      <c r="Q15" s="31">
        <f>IF(OR(D15="SI",D15="Sí"),VLOOKUP(A15,DATA!$A$4:$P$350,14,0),0)</f>
        <v>5592051</v>
      </c>
      <c r="R15" s="121">
        <f t="shared" si="12"/>
        <v>888.9</v>
      </c>
      <c r="S15" s="31">
        <f>IF(AND(R15&gt;0,R15&lt;$R$7),ROUND(($R$7-R15)*G15,PARAMETROS!$L$8),0)</f>
        <v>0</v>
      </c>
      <c r="T15" s="122">
        <f t="shared" si="6"/>
        <v>0</v>
      </c>
      <c r="U15" s="117">
        <f t="shared" si="7"/>
        <v>0</v>
      </c>
      <c r="V15" s="117">
        <f>VLOOKUP(A15,DATA!$A$4:$V$350,DATA!$V$1,0)</f>
        <v>2.1327480500000001E-3</v>
      </c>
      <c r="W15" s="117">
        <f>VLOOKUP(A15,DATA!$A$4:$V$350,22,0)</f>
        <v>2.1327480500000001E-3</v>
      </c>
      <c r="X15" s="96">
        <f t="shared" si="8"/>
        <v>1.154998043828E-2</v>
      </c>
      <c r="Y15" s="31">
        <f>ROUND(X15*PARAMETROS!$H$35,0)</f>
        <v>634297206</v>
      </c>
      <c r="Z15" s="31">
        <f t="shared" si="13"/>
        <v>634297206</v>
      </c>
      <c r="AA15" s="31">
        <f t="shared" si="14"/>
        <v>158574302</v>
      </c>
      <c r="AB15" s="31">
        <f t="shared" si="15"/>
        <v>158574302</v>
      </c>
      <c r="AC15" s="31">
        <f t="shared" si="15"/>
        <v>158574302</v>
      </c>
      <c r="AD15" s="38">
        <f t="shared" si="16"/>
        <v>158574300</v>
      </c>
    </row>
    <row r="16" spans="1:42" ht="3" customHeight="1" x14ac:dyDescent="0.25">
      <c r="A16">
        <v>2101</v>
      </c>
      <c r="B16">
        <v>2201</v>
      </c>
      <c r="C16" t="s">
        <v>64</v>
      </c>
      <c r="D16" s="6" t="str">
        <f>+DATA!U12</f>
        <v>SI</v>
      </c>
      <c r="E16" s="361">
        <f t="shared" si="1"/>
        <v>2.2222222222200001E-2</v>
      </c>
      <c r="F16" s="95">
        <f t="shared" si="9"/>
        <v>8.8888888888800002E-3</v>
      </c>
      <c r="G16" s="31">
        <f>IF(OR(D16="SI",D16="Sí"),VLOOKUP(A16,DATA!$A$4:$D$350,4,0),0)</f>
        <v>444276</v>
      </c>
      <c r="H16" s="95">
        <f>IF(OR(D16="SI",D16="Sí"),VLOOKUP(A16,DATA!$A$4:$E$350,5,0),0)</f>
        <v>7.2328001178032467E-2</v>
      </c>
      <c r="I16" s="31">
        <f t="shared" si="10"/>
        <v>32134</v>
      </c>
      <c r="J16" s="361">
        <f t="shared" si="2"/>
        <v>0.16058489000830001</v>
      </c>
      <c r="K16" s="361">
        <f t="shared" si="3"/>
        <v>1.2043866750600001E-2</v>
      </c>
      <c r="L16" s="31">
        <f>IF(OR(D16="SI",D16="Sí"),VLOOKUP(A16,DATA!$A$4:$G$350,7,0),0)</f>
        <v>83130</v>
      </c>
      <c r="M16" s="31">
        <f>IF(OR(D16="SI",D16="Sí"),VLOOKUP(A16,DATA!$A$4:$H$350,8,0),0)</f>
        <v>167429</v>
      </c>
      <c r="N16" s="361">
        <f t="shared" si="4"/>
        <v>5.8587020809299999E-2</v>
      </c>
      <c r="O16" s="361">
        <f t="shared" si="11"/>
        <v>8.7891119062335626E-2</v>
      </c>
      <c r="P16" s="361">
        <f t="shared" si="5"/>
        <v>4.3945559530999996E-3</v>
      </c>
      <c r="Q16" s="31">
        <f>IF(OR(D16="SI",D16="Sí"),VLOOKUP(A16,DATA!$A$4:$P$350,14,0),0)</f>
        <v>74332575</v>
      </c>
      <c r="R16" s="121">
        <f t="shared" si="12"/>
        <v>167.31</v>
      </c>
      <c r="S16" s="31">
        <f>IF(AND(R16&gt;0,R16&lt;$R$7),ROUND(($R$7-R16)*G16,PARAMETROS!$L$8),0)</f>
        <v>0</v>
      </c>
      <c r="T16" s="122">
        <f t="shared" si="6"/>
        <v>0</v>
      </c>
      <c r="U16" s="117">
        <f t="shared" si="7"/>
        <v>0</v>
      </c>
      <c r="V16" s="117">
        <f>VLOOKUP(A16,DATA!$A$4:$V$350,DATA!$V$1,0)</f>
        <v>1.364504029E-2</v>
      </c>
      <c r="W16" s="117">
        <f>VLOOKUP(A16,DATA!$A$4:$V$350,22,0)</f>
        <v>1.364504029E-2</v>
      </c>
      <c r="X16" s="96">
        <f t="shared" si="8"/>
        <v>3.8972351882579997E-2</v>
      </c>
      <c r="Y16" s="31">
        <f>ROUND(X16*PARAMETROS!$H$35,0)</f>
        <v>2140268032</v>
      </c>
      <c r="Z16" s="31">
        <f t="shared" si="13"/>
        <v>2140268032</v>
      </c>
      <c r="AA16" s="31">
        <f t="shared" si="14"/>
        <v>535067008</v>
      </c>
      <c r="AB16" s="31">
        <f t="shared" si="15"/>
        <v>535067008</v>
      </c>
      <c r="AC16" s="31">
        <f t="shared" si="15"/>
        <v>535067008</v>
      </c>
      <c r="AD16" s="38">
        <f t="shared" si="16"/>
        <v>535067008</v>
      </c>
    </row>
    <row r="17" spans="1:30" ht="3" customHeight="1" x14ac:dyDescent="0.25">
      <c r="A17">
        <v>2102</v>
      </c>
      <c r="B17">
        <v>2203</v>
      </c>
      <c r="C17" t="s">
        <v>66</v>
      </c>
      <c r="D17" s="6" t="str">
        <f>+DATA!U13</f>
        <v>SI</v>
      </c>
      <c r="E17" s="361">
        <f t="shared" si="1"/>
        <v>2.2222222222200001E-2</v>
      </c>
      <c r="F17" s="95">
        <f t="shared" si="9"/>
        <v>8.8888888888800002E-3</v>
      </c>
      <c r="G17" s="31">
        <f>IF(OR(D17="SI",D17="Sí"),VLOOKUP(A17,DATA!$A$4:$D$350,4,0),0)</f>
        <v>15877</v>
      </c>
      <c r="H17" s="95">
        <f>IF(OR(D17="SI",D17="Sí"),VLOOKUP(A17,DATA!$A$4:$E$350,5,0),0)</f>
        <v>7.1397404410535312E-2</v>
      </c>
      <c r="I17" s="31">
        <f t="shared" si="10"/>
        <v>1134</v>
      </c>
      <c r="J17" s="361">
        <f t="shared" si="2"/>
        <v>5.6669964919000004E-3</v>
      </c>
      <c r="K17" s="361">
        <f t="shared" si="3"/>
        <v>4.2502473689999998E-4</v>
      </c>
      <c r="L17" s="31">
        <f>IF(OR(D17="SI",D17="Sí"),VLOOKUP(A17,DATA!$A$4:$G$350,7,0),0)</f>
        <v>4841</v>
      </c>
      <c r="M17" s="31">
        <f>IF(OR(D17="SI",D17="Sí"),VLOOKUP(A17,DATA!$A$4:$H$350,8,0),0)</f>
        <v>5602</v>
      </c>
      <c r="N17" s="361">
        <f t="shared" si="4"/>
        <v>5.9380465457999996E-3</v>
      </c>
      <c r="O17" s="361">
        <f t="shared" si="11"/>
        <v>8.9081429426729423E-3</v>
      </c>
      <c r="P17" s="361">
        <f t="shared" si="5"/>
        <v>4.4540714709999997E-4</v>
      </c>
      <c r="Q17" s="31">
        <f>IF(OR(D17="SI",D17="Sí"),VLOOKUP(A17,DATA!$A$4:$P$350,14,0),0)</f>
        <v>8869794</v>
      </c>
      <c r="R17" s="121">
        <f t="shared" si="12"/>
        <v>558.66</v>
      </c>
      <c r="S17" s="31">
        <f>IF(AND(R17&gt;0,R17&lt;$R$7),ROUND(($R$7-R17)*G17,PARAMETROS!$L$8),0)</f>
        <v>0</v>
      </c>
      <c r="T17" s="122">
        <f t="shared" si="6"/>
        <v>0</v>
      </c>
      <c r="U17" s="117">
        <f t="shared" si="7"/>
        <v>0</v>
      </c>
      <c r="V17" s="117">
        <f>VLOOKUP(A17,DATA!$A$4:$V$350,DATA!$V$1,0)</f>
        <v>3.97959627E-3</v>
      </c>
      <c r="W17" s="117">
        <f>VLOOKUP(A17,DATA!$A$4:$V$350,22,0)</f>
        <v>3.97959627E-3</v>
      </c>
      <c r="X17" s="96">
        <f t="shared" si="8"/>
        <v>1.3738917042880001E-2</v>
      </c>
      <c r="Y17" s="31">
        <f>ROUND(X17*PARAMETROS!$H$35,0)</f>
        <v>754508351</v>
      </c>
      <c r="Z17" s="31">
        <f t="shared" si="13"/>
        <v>754508351</v>
      </c>
      <c r="AA17" s="31">
        <f t="shared" si="14"/>
        <v>188627088</v>
      </c>
      <c r="AB17" s="31">
        <f t="shared" si="15"/>
        <v>188627088</v>
      </c>
      <c r="AC17" s="31">
        <f t="shared" si="15"/>
        <v>188627088</v>
      </c>
      <c r="AD17" s="38">
        <f t="shared" si="16"/>
        <v>188627087</v>
      </c>
    </row>
    <row r="18" spans="1:30" ht="3" customHeight="1" x14ac:dyDescent="0.25">
      <c r="A18">
        <v>2103</v>
      </c>
      <c r="B18">
        <v>2206</v>
      </c>
      <c r="C18" t="s">
        <v>67</v>
      </c>
      <c r="D18" s="6" t="str">
        <f>+DATA!U14</f>
        <v>SI</v>
      </c>
      <c r="E18" s="361">
        <f t="shared" si="1"/>
        <v>2.2222222222200001E-2</v>
      </c>
      <c r="F18" s="95">
        <f t="shared" si="9"/>
        <v>8.8888888888800002E-3</v>
      </c>
      <c r="G18" s="31">
        <f>IF(OR(D18="SI",D18="Sí"),VLOOKUP(A18,DATA!$A$4:$D$350,4,0),0)</f>
        <v>1800</v>
      </c>
      <c r="H18" s="95">
        <f>IF(OR(D18="SI",D18="Sí"),VLOOKUP(A18,DATA!$A$4:$E$350,5,0),0)</f>
        <v>2.1060184458724391E-2</v>
      </c>
      <c r="I18" s="31">
        <f t="shared" si="10"/>
        <v>38</v>
      </c>
      <c r="J18" s="361">
        <f t="shared" si="2"/>
        <v>1.8989935330000001E-4</v>
      </c>
      <c r="K18" s="361">
        <f t="shared" si="3"/>
        <v>1.42424515E-5</v>
      </c>
      <c r="L18" s="31">
        <f>IF(OR(D18="SI",D18="Sí"),VLOOKUP(A18,DATA!$A$4:$G$350,7,0),0)</f>
        <v>934</v>
      </c>
      <c r="M18" s="31">
        <f>IF(OR(D18="SI",D18="Sí"),VLOOKUP(A18,DATA!$A$4:$H$350,8,0),0)</f>
        <v>1179</v>
      </c>
      <c r="N18" s="361">
        <f t="shared" si="4"/>
        <v>1.0502591748E-3</v>
      </c>
      <c r="O18" s="361">
        <f t="shared" si="11"/>
        <v>1.5755785650736535E-3</v>
      </c>
      <c r="P18" s="361">
        <f t="shared" si="5"/>
        <v>7.8778928300000004E-5</v>
      </c>
      <c r="Q18" s="31">
        <f>IF(OR(D18="SI",D18="Sí"),VLOOKUP(A18,DATA!$A$4:$P$350,14,0),0)</f>
        <v>13774988</v>
      </c>
      <c r="R18" s="121">
        <f t="shared" si="12"/>
        <v>7652.77</v>
      </c>
      <c r="S18" s="31">
        <f>IF(AND(R18&gt;0,R18&lt;$R$7),ROUND(($R$7-R18)*G18,PARAMETROS!$L$8),0)</f>
        <v>0</v>
      </c>
      <c r="T18" s="122">
        <f t="shared" si="6"/>
        <v>0</v>
      </c>
      <c r="U18" s="117">
        <f t="shared" si="7"/>
        <v>0</v>
      </c>
      <c r="V18" s="117">
        <f>VLOOKUP(A18,DATA!$A$4:$V$350,DATA!$V$1,0)</f>
        <v>6.4973653300000002E-3</v>
      </c>
      <c r="W18" s="117">
        <f>VLOOKUP(A18,DATA!$A$4:$V$350,22,0)</f>
        <v>6.4973653300000002E-3</v>
      </c>
      <c r="X18" s="96">
        <f t="shared" si="8"/>
        <v>1.5479275598679999E-2</v>
      </c>
      <c r="Y18" s="31">
        <f>ROUND(X18*PARAMETROS!$H$35,0)</f>
        <v>850084666</v>
      </c>
      <c r="Z18" s="31">
        <f t="shared" si="13"/>
        <v>850084666</v>
      </c>
      <c r="AA18" s="31">
        <f t="shared" si="14"/>
        <v>212521167</v>
      </c>
      <c r="AB18" s="31">
        <f t="shared" si="15"/>
        <v>212521167</v>
      </c>
      <c r="AC18" s="31">
        <f t="shared" si="15"/>
        <v>212521167</v>
      </c>
      <c r="AD18" s="38">
        <f t="shared" si="16"/>
        <v>212521165</v>
      </c>
    </row>
    <row r="19" spans="1:30" ht="3" customHeight="1" x14ac:dyDescent="0.25">
      <c r="A19">
        <v>2104</v>
      </c>
      <c r="B19">
        <v>2202</v>
      </c>
      <c r="C19" t="s">
        <v>65</v>
      </c>
      <c r="D19" s="6" t="str">
        <f>+DATA!U15</f>
        <v>SI</v>
      </c>
      <c r="E19" s="361">
        <f t="shared" si="1"/>
        <v>2.2222222222200001E-2</v>
      </c>
      <c r="F19" s="95">
        <f t="shared" si="9"/>
        <v>8.8888888888800002E-3</v>
      </c>
      <c r="G19" s="31">
        <f>IF(OR(D19="SI",D19="Sí"),VLOOKUP(A19,DATA!$A$4:$D$350,4,0),0)</f>
        <v>13967</v>
      </c>
      <c r="H19" s="95">
        <f>IF(OR(D19="SI",D19="Sí"),VLOOKUP(A19,DATA!$A$4:$E$350,5,0),0)</f>
        <v>0.11480221609318229</v>
      </c>
      <c r="I19" s="31">
        <f t="shared" si="10"/>
        <v>1603</v>
      </c>
      <c r="J19" s="361">
        <f t="shared" si="2"/>
        <v>8.0107543002000004E-3</v>
      </c>
      <c r="K19" s="361">
        <f t="shared" si="3"/>
        <v>6.0080657250000005E-4</v>
      </c>
      <c r="L19" s="31">
        <f>IF(OR(D19="SI",D19="Sí"),VLOOKUP(A19,DATA!$A$4:$G$350,7,0),0)</f>
        <v>4165</v>
      </c>
      <c r="M19" s="31">
        <f>IF(OR(D19="SI",D19="Sí"),VLOOKUP(A19,DATA!$A$4:$H$350,8,0),0)</f>
        <v>4454</v>
      </c>
      <c r="N19" s="361">
        <f t="shared" si="4"/>
        <v>5.5283602482999999E-3</v>
      </c>
      <c r="O19" s="361">
        <f t="shared" si="11"/>
        <v>8.2935394579013774E-3</v>
      </c>
      <c r="P19" s="361">
        <f t="shared" si="5"/>
        <v>4.1467697289999998E-4</v>
      </c>
      <c r="Q19" s="31">
        <f>IF(OR(D19="SI",D19="Sí"),VLOOKUP(A19,DATA!$A$4:$P$350,14,0),0)</f>
        <v>5450341</v>
      </c>
      <c r="R19" s="121">
        <f t="shared" si="12"/>
        <v>390.23</v>
      </c>
      <c r="S19" s="31">
        <f>IF(AND(R19&gt;0,R19&lt;$R$7),ROUND(($R$7-R19)*G19,PARAMETROS!$L$8),0)</f>
        <v>0</v>
      </c>
      <c r="T19" s="122">
        <f t="shared" si="6"/>
        <v>0</v>
      </c>
      <c r="U19" s="117">
        <f t="shared" si="7"/>
        <v>0</v>
      </c>
      <c r="V19" s="117">
        <f>VLOOKUP(A19,DATA!$A$4:$V$350,DATA!$V$1,0)</f>
        <v>6.5307305399999998E-3</v>
      </c>
      <c r="W19" s="117">
        <f>VLOOKUP(A19,DATA!$A$4:$V$350,22,0)</f>
        <v>6.5307305399999998E-3</v>
      </c>
      <c r="X19" s="96">
        <f t="shared" si="8"/>
        <v>1.6435102974279997E-2</v>
      </c>
      <c r="Y19" s="31">
        <f>ROUND(X19*PARAMETROS!$H$35,0)</f>
        <v>902576411</v>
      </c>
      <c r="Z19" s="31">
        <f t="shared" si="13"/>
        <v>902576411</v>
      </c>
      <c r="AA19" s="31">
        <f t="shared" si="14"/>
        <v>225644103</v>
      </c>
      <c r="AB19" s="31">
        <f t="shared" si="15"/>
        <v>225644103</v>
      </c>
      <c r="AC19" s="31">
        <f t="shared" si="15"/>
        <v>225644103</v>
      </c>
      <c r="AD19" s="38">
        <f t="shared" si="16"/>
        <v>225644102</v>
      </c>
    </row>
    <row r="20" spans="1:30" ht="3" customHeight="1" x14ac:dyDescent="0.25">
      <c r="A20">
        <v>2201</v>
      </c>
      <c r="B20">
        <v>2301</v>
      </c>
      <c r="C20" t="s">
        <v>68</v>
      </c>
      <c r="D20" s="6" t="str">
        <f>+DATA!U16</f>
        <v>SI</v>
      </c>
      <c r="E20" s="361">
        <f t="shared" si="1"/>
        <v>2.2222222222200001E-2</v>
      </c>
      <c r="F20" s="95">
        <f t="shared" si="9"/>
        <v>8.8888888888800002E-3</v>
      </c>
      <c r="G20" s="31">
        <f>IF(OR(D20="SI",D20="Sí"),VLOOKUP(A20,DATA!$A$4:$D$350,4,0),0)</f>
        <v>196152</v>
      </c>
      <c r="H20" s="95">
        <f>IF(OR(D20="SI",D20="Sí"),VLOOKUP(A20,DATA!$A$4:$E$350,5,0),0)</f>
        <v>8.1431433649548926E-2</v>
      </c>
      <c r="I20" s="31">
        <f t="shared" si="10"/>
        <v>15973</v>
      </c>
      <c r="J20" s="361">
        <f t="shared" si="2"/>
        <v>7.9822693972200001E-2</v>
      </c>
      <c r="K20" s="361">
        <f t="shared" si="3"/>
        <v>5.9867020478999999E-3</v>
      </c>
      <c r="L20" s="31">
        <f>IF(OR(D20="SI",D20="Sí"),VLOOKUP(A20,DATA!$A$4:$G$350,7,0),0)</f>
        <v>31408</v>
      </c>
      <c r="M20" s="31">
        <f>IF(OR(D20="SI",D20="Sí"),VLOOKUP(A20,DATA!$A$4:$H$350,8,0),0)</f>
        <v>55975</v>
      </c>
      <c r="N20" s="361">
        <f t="shared" si="4"/>
        <v>2.5015143524399999E-2</v>
      </c>
      <c r="O20" s="361">
        <f t="shared" si="11"/>
        <v>3.7527236024185263E-2</v>
      </c>
      <c r="P20" s="361">
        <f t="shared" si="5"/>
        <v>1.8763618012E-3</v>
      </c>
      <c r="Q20" s="31">
        <f>IF(OR(D20="SI",D20="Sí"),VLOOKUP(A20,DATA!$A$4:$P$350,14,0),0)</f>
        <v>28364299</v>
      </c>
      <c r="R20" s="121">
        <f t="shared" si="12"/>
        <v>144.6</v>
      </c>
      <c r="S20" s="31">
        <f>IF(AND(R20&gt;0,R20&lt;$R$7),ROUND(($R$7-R20)*G20,PARAMETROS!$L$8),0)</f>
        <v>3907348</v>
      </c>
      <c r="T20" s="122">
        <f t="shared" si="6"/>
        <v>5.6596699320100002E-2</v>
      </c>
      <c r="U20" s="117">
        <f t="shared" si="7"/>
        <v>4.2447524489999996E-3</v>
      </c>
      <c r="V20" s="117">
        <f>VLOOKUP(A20,DATA!$A$4:$V$350,DATA!$V$1,0)</f>
        <v>6.1408269410000001E-2</v>
      </c>
      <c r="W20" s="117">
        <f>VLOOKUP(A20,DATA!$A$4:$V$350,22,0)</f>
        <v>6.1408269410000001E-2</v>
      </c>
      <c r="X20" s="96">
        <f t="shared" si="8"/>
        <v>8.2404974596979999E-2</v>
      </c>
      <c r="Y20" s="31">
        <f>ROUND(X20*PARAMETROS!$H$35,0)</f>
        <v>4525483433</v>
      </c>
      <c r="Z20" s="31">
        <f t="shared" si="13"/>
        <v>4525483433</v>
      </c>
      <c r="AA20" s="31">
        <f t="shared" si="14"/>
        <v>1131370858</v>
      </c>
      <c r="AB20" s="31">
        <f t="shared" si="15"/>
        <v>1131370858</v>
      </c>
      <c r="AC20" s="31">
        <f t="shared" si="15"/>
        <v>1131370858</v>
      </c>
      <c r="AD20" s="38">
        <f t="shared" si="16"/>
        <v>1131370859</v>
      </c>
    </row>
    <row r="21" spans="1:30" ht="3" customHeight="1" x14ac:dyDescent="0.25">
      <c r="A21">
        <v>2202</v>
      </c>
      <c r="B21">
        <v>2302</v>
      </c>
      <c r="C21" t="s">
        <v>27</v>
      </c>
      <c r="D21" s="6" t="str">
        <f>+DATA!U17</f>
        <v>SI</v>
      </c>
      <c r="E21" s="361">
        <f t="shared" si="1"/>
        <v>2.2222222222200001E-2</v>
      </c>
      <c r="F21" s="95">
        <f t="shared" si="9"/>
        <v>8.8888888888800002E-3</v>
      </c>
      <c r="G21" s="31">
        <f>IF(OR(D21="SI",D21="Sí"),VLOOKUP(A21,DATA!$A$4:$D$350,4,0),0)</f>
        <v>269</v>
      </c>
      <c r="H21" s="95">
        <f>IF(OR(D21="SI",D21="Sí"),VLOOKUP(A21,DATA!$A$4:$E$350,5,0),0)</f>
        <v>8.7212215477328936E-2</v>
      </c>
      <c r="I21" s="31">
        <f t="shared" si="10"/>
        <v>23</v>
      </c>
      <c r="J21" s="361">
        <f t="shared" si="2"/>
        <v>1.149390823E-4</v>
      </c>
      <c r="K21" s="361">
        <f t="shared" si="3"/>
        <v>8.6204311999999993E-6</v>
      </c>
      <c r="L21" s="31">
        <f>IF(OR(D21="SI",D21="Sí"),VLOOKUP(A21,DATA!$A$4:$G$350,7,0),0)</f>
        <v>185</v>
      </c>
      <c r="M21" s="31">
        <f>IF(OR(D21="SI",D21="Sí"),VLOOKUP(A21,DATA!$A$4:$H$350,8,0),0)</f>
        <v>198</v>
      </c>
      <c r="N21" s="361">
        <f t="shared" si="4"/>
        <v>2.4535493819999998E-4</v>
      </c>
      <c r="O21" s="361">
        <f t="shared" si="11"/>
        <v>3.6807674785274431E-4</v>
      </c>
      <c r="P21" s="361">
        <f t="shared" si="5"/>
        <v>1.8403837399999999E-5</v>
      </c>
      <c r="Q21" s="31">
        <f>IF(OR(D21="SI",D21="Sí"),VLOOKUP(A21,DATA!$A$4:$P$350,14,0),0)</f>
        <v>1255041</v>
      </c>
      <c r="R21" s="121">
        <f t="shared" si="12"/>
        <v>4665.58</v>
      </c>
      <c r="S21" s="31">
        <f>IF(AND(R21&gt;0,R21&lt;$R$7),ROUND(($R$7-R21)*G21,PARAMETROS!$L$8),0)</f>
        <v>0</v>
      </c>
      <c r="T21" s="122">
        <f t="shared" si="6"/>
        <v>0</v>
      </c>
      <c r="U21" s="117">
        <f t="shared" si="7"/>
        <v>0</v>
      </c>
      <c r="V21" s="117">
        <f>VLOOKUP(A21,DATA!$A$4:$V$350,DATA!$V$1,0)</f>
        <v>4.3795619999999999E-4</v>
      </c>
      <c r="W21" s="117">
        <f>VLOOKUP(A21,DATA!$A$4:$V$350,22,0)</f>
        <v>4.3795619999999999E-4</v>
      </c>
      <c r="X21" s="96">
        <f t="shared" si="8"/>
        <v>9.3538693574800012E-3</v>
      </c>
      <c r="Y21" s="31">
        <f>ROUND(X21*PARAMETROS!$H$35,0)</f>
        <v>513692056</v>
      </c>
      <c r="Z21" s="31">
        <f t="shared" si="13"/>
        <v>513692056</v>
      </c>
      <c r="AA21" s="31">
        <f t="shared" si="14"/>
        <v>128423014</v>
      </c>
      <c r="AB21" s="31">
        <f t="shared" si="15"/>
        <v>128423014</v>
      </c>
      <c r="AC21" s="31">
        <f t="shared" si="15"/>
        <v>128423014</v>
      </c>
      <c r="AD21" s="38">
        <f t="shared" si="16"/>
        <v>128423014</v>
      </c>
    </row>
    <row r="22" spans="1:30" ht="3" customHeight="1" x14ac:dyDescent="0.25">
      <c r="A22">
        <v>2203</v>
      </c>
      <c r="B22">
        <v>2303</v>
      </c>
      <c r="C22" t="s">
        <v>69</v>
      </c>
      <c r="D22" s="6" t="str">
        <f>+DATA!U18</f>
        <v>SI</v>
      </c>
      <c r="E22" s="361">
        <f t="shared" si="1"/>
        <v>2.2222222222200001E-2</v>
      </c>
      <c r="F22" s="95">
        <f t="shared" si="9"/>
        <v>8.8888888888800002E-3</v>
      </c>
      <c r="G22" s="31">
        <f>IF(OR(D22="SI",D22="Sí"),VLOOKUP(A22,DATA!$A$4:$D$350,4,0),0)</f>
        <v>11030</v>
      </c>
      <c r="H22" s="95">
        <f>IF(OR(D22="SI",D22="Sí"),VLOOKUP(A22,DATA!$A$4:$E$350,5,0),0)</f>
        <v>4.8730078667678887E-2</v>
      </c>
      <c r="I22" s="31">
        <f t="shared" si="10"/>
        <v>537</v>
      </c>
      <c r="J22" s="361">
        <f t="shared" si="2"/>
        <v>2.6835777038E-3</v>
      </c>
      <c r="K22" s="361">
        <f t="shared" si="3"/>
        <v>2.0126832780000001E-4</v>
      </c>
      <c r="L22" s="31">
        <f>IF(OR(D22="SI",D22="Sí"),VLOOKUP(A22,DATA!$A$4:$G$350,7,0),0)</f>
        <v>5524</v>
      </c>
      <c r="M22" s="31">
        <f>IF(OR(D22="SI",D22="Sí"),VLOOKUP(A22,DATA!$A$4:$H$350,8,0),0)</f>
        <v>6138</v>
      </c>
      <c r="N22" s="361">
        <f t="shared" si="4"/>
        <v>7.0566242441999997E-3</v>
      </c>
      <c r="O22" s="361">
        <f t="shared" si="11"/>
        <v>1.0586211639672495E-2</v>
      </c>
      <c r="P22" s="361">
        <f t="shared" si="5"/>
        <v>5.2931058200000002E-4</v>
      </c>
      <c r="Q22" s="31">
        <f>IF(OR(D22="SI",D22="Sí"),VLOOKUP(A22,DATA!$A$4:$P$350,14,0),0)</f>
        <v>6674338</v>
      </c>
      <c r="R22" s="121">
        <f t="shared" si="12"/>
        <v>605.11</v>
      </c>
      <c r="S22" s="31">
        <f>IF(AND(R22&gt;0,R22&lt;$R$7),ROUND(($R$7-R22)*G22,PARAMETROS!$L$8),0)</f>
        <v>0</v>
      </c>
      <c r="T22" s="122">
        <f t="shared" si="6"/>
        <v>0</v>
      </c>
      <c r="U22" s="117">
        <f t="shared" si="7"/>
        <v>0</v>
      </c>
      <c r="V22" s="117">
        <f>VLOOKUP(A22,DATA!$A$4:$V$350,DATA!$V$1,0)</f>
        <v>8.7591240999999995E-4</v>
      </c>
      <c r="W22" s="117">
        <f>VLOOKUP(A22,DATA!$A$4:$V$350,22,0)</f>
        <v>8.7591240999999995E-4</v>
      </c>
      <c r="X22" s="96">
        <f t="shared" si="8"/>
        <v>1.0495380208680001E-2</v>
      </c>
      <c r="Y22" s="31">
        <f>ROUND(X22*PARAMETROS!$H$35,0)</f>
        <v>576381092</v>
      </c>
      <c r="Z22" s="31">
        <f t="shared" si="13"/>
        <v>576381092</v>
      </c>
      <c r="AA22" s="31">
        <f t="shared" si="14"/>
        <v>144095273</v>
      </c>
      <c r="AB22" s="31">
        <f t="shared" si="15"/>
        <v>144095273</v>
      </c>
      <c r="AC22" s="31">
        <f t="shared" si="15"/>
        <v>144095273</v>
      </c>
      <c r="AD22" s="38">
        <f t="shared" si="16"/>
        <v>144095273</v>
      </c>
    </row>
    <row r="23" spans="1:30" ht="3" customHeight="1" x14ac:dyDescent="0.25">
      <c r="A23">
        <v>2301</v>
      </c>
      <c r="B23">
        <v>2101</v>
      </c>
      <c r="C23" t="s">
        <v>63</v>
      </c>
      <c r="D23" s="6" t="str">
        <f>+DATA!U19</f>
        <v>SI</v>
      </c>
      <c r="E23" s="361">
        <f t="shared" si="1"/>
        <v>2.2222222222200001E-2</v>
      </c>
      <c r="F23" s="95">
        <f t="shared" si="9"/>
        <v>8.8888888888800002E-3</v>
      </c>
      <c r="G23" s="31">
        <f>IF(OR(D23="SI",D23="Sí"),VLOOKUP(A23,DATA!$A$4:$D$350,4,0),0)</f>
        <v>28354</v>
      </c>
      <c r="H23" s="95">
        <f>IF(OR(D23="SI",D23="Sí"),VLOOKUP(A23,DATA!$A$4:$E$350,5,0),0)</f>
        <v>0.10427636654800319</v>
      </c>
      <c r="I23" s="31">
        <f t="shared" si="10"/>
        <v>2957</v>
      </c>
      <c r="J23" s="361">
        <f t="shared" si="2"/>
        <v>1.47771681009E-2</v>
      </c>
      <c r="K23" s="361">
        <f t="shared" si="3"/>
        <v>1.1082876075999999E-3</v>
      </c>
      <c r="L23" s="31">
        <f>IF(OR(D23="SI",D23="Sí"),VLOOKUP(A23,DATA!$A$4:$G$350,7,0),0)</f>
        <v>9446</v>
      </c>
      <c r="M23" s="31">
        <f>IF(OR(D23="SI",D23="Sí"),VLOOKUP(A23,DATA!$A$4:$H$350,8,0),0)</f>
        <v>10106</v>
      </c>
      <c r="N23" s="361">
        <f t="shared" si="4"/>
        <v>1.2532367604800001E-2</v>
      </c>
      <c r="O23" s="361">
        <f t="shared" si="11"/>
        <v>1.8800816257098146E-2</v>
      </c>
      <c r="P23" s="361">
        <f t="shared" si="5"/>
        <v>9.4004081289999998E-4</v>
      </c>
      <c r="Q23" s="31">
        <f>IF(OR(D23="SI",D23="Sí"),VLOOKUP(A23,DATA!$A$4:$P$350,14,0),0)</f>
        <v>3264150</v>
      </c>
      <c r="R23" s="121">
        <f t="shared" si="12"/>
        <v>115.12</v>
      </c>
      <c r="S23" s="31">
        <f>IF(AND(R23&gt;0,R23&lt;$R$7),ROUND(($R$7-R23)*G23,PARAMETROS!$L$8),0)</f>
        <v>1400688</v>
      </c>
      <c r="T23" s="122">
        <f t="shared" si="6"/>
        <v>2.0288522439599999E-2</v>
      </c>
      <c r="U23" s="117">
        <f t="shared" si="7"/>
        <v>1.5216391829999999E-3</v>
      </c>
      <c r="V23" s="117">
        <f>VLOOKUP(A23,DATA!$A$4:$V$350,DATA!$V$1,0)</f>
        <v>3.18226601E-3</v>
      </c>
      <c r="W23" s="117">
        <f>VLOOKUP(A23,DATA!$A$4:$V$350,22,0)</f>
        <v>3.18226601E-3</v>
      </c>
      <c r="X23" s="96">
        <f t="shared" si="8"/>
        <v>1.5641122502379999E-2</v>
      </c>
      <c r="Y23" s="31">
        <f>ROUND(X23*PARAMETROS!$H$35,0)</f>
        <v>858972909</v>
      </c>
      <c r="Z23" s="31">
        <f t="shared" si="13"/>
        <v>858972909</v>
      </c>
      <c r="AA23" s="31">
        <f t="shared" si="14"/>
        <v>214743227</v>
      </c>
      <c r="AB23" s="31">
        <f t="shared" si="15"/>
        <v>214743227</v>
      </c>
      <c r="AC23" s="31">
        <f t="shared" si="15"/>
        <v>214743227</v>
      </c>
      <c r="AD23" s="38">
        <f t="shared" si="16"/>
        <v>214743228</v>
      </c>
    </row>
    <row r="24" spans="1:30" ht="3" customHeight="1" x14ac:dyDescent="0.25">
      <c r="A24">
        <v>2302</v>
      </c>
      <c r="B24">
        <v>2103</v>
      </c>
      <c r="C24" t="s">
        <v>374</v>
      </c>
      <c r="D24" s="6" t="str">
        <f>+DATA!U20</f>
        <v>SI</v>
      </c>
      <c r="E24" s="361">
        <f t="shared" si="1"/>
        <v>2.2222222222200001E-2</v>
      </c>
      <c r="F24" s="95">
        <f t="shared" si="9"/>
        <v>8.8888888888800002E-3</v>
      </c>
      <c r="G24" s="31">
        <f>IF(OR(D24="SI",D24="Sí"),VLOOKUP(A24,DATA!$A$4:$D$350,4,0),0)</f>
        <v>6507</v>
      </c>
      <c r="H24" s="95">
        <f>IF(OR(D24="SI",D24="Sí"),VLOOKUP(A24,DATA!$A$4:$E$350,5,0),0)</f>
        <v>5.5513796245607212E-2</v>
      </c>
      <c r="I24" s="31">
        <f t="shared" si="10"/>
        <v>361</v>
      </c>
      <c r="J24" s="361">
        <f t="shared" si="2"/>
        <v>1.8040438568000001E-3</v>
      </c>
      <c r="K24" s="361">
        <f t="shared" si="3"/>
        <v>1.353032893E-4</v>
      </c>
      <c r="L24" s="31">
        <f>IF(OR(D24="SI",D24="Sí"),VLOOKUP(A24,DATA!$A$4:$G$350,7,0),0)</f>
        <v>492</v>
      </c>
      <c r="M24" s="31">
        <f>IF(OR(D24="SI",D24="Sí"),VLOOKUP(A24,DATA!$A$4:$H$350,8,0),0)</f>
        <v>585</v>
      </c>
      <c r="N24" s="361">
        <f t="shared" si="4"/>
        <v>5.8734175450000003E-4</v>
      </c>
      <c r="O24" s="361">
        <f t="shared" si="11"/>
        <v>8.8111877617177287E-4</v>
      </c>
      <c r="P24" s="361">
        <f t="shared" si="5"/>
        <v>4.4055938800000003E-5</v>
      </c>
      <c r="Q24" s="31">
        <f>IF(OR(D24="SI",D24="Sí"),VLOOKUP(A24,DATA!$A$4:$P$350,14,0),0)</f>
        <v>6646122</v>
      </c>
      <c r="R24" s="121">
        <f t="shared" si="12"/>
        <v>1021.38</v>
      </c>
      <c r="S24" s="31">
        <f>IF(AND(R24&gt;0,R24&lt;$R$7),ROUND(($R$7-R24)*G24,PARAMETROS!$L$8),0)</f>
        <v>0</v>
      </c>
      <c r="T24" s="122">
        <f t="shared" si="6"/>
        <v>0</v>
      </c>
      <c r="U24" s="117">
        <f t="shared" si="7"/>
        <v>0</v>
      </c>
      <c r="V24" s="117">
        <f>VLOOKUP(A24,DATA!$A$4:$V$350,DATA!$V$1,0)</f>
        <v>1.62022221E-3</v>
      </c>
      <c r="W24" s="117">
        <f>VLOOKUP(A24,DATA!$A$4:$V$350,22,0)</f>
        <v>1.62022221E-3</v>
      </c>
      <c r="X24" s="96">
        <f t="shared" si="8"/>
        <v>1.0688470326980001E-2</v>
      </c>
      <c r="Y24" s="31">
        <f>ROUND(X24*PARAMETROS!$H$35,0)</f>
        <v>586985138</v>
      </c>
      <c r="Z24" s="31">
        <f t="shared" si="13"/>
        <v>586985138</v>
      </c>
      <c r="AA24" s="31">
        <f t="shared" si="14"/>
        <v>146746285</v>
      </c>
      <c r="AB24" s="31">
        <f t="shared" si="15"/>
        <v>146746285</v>
      </c>
      <c r="AC24" s="31">
        <f t="shared" si="15"/>
        <v>146746285</v>
      </c>
      <c r="AD24" s="38">
        <f t="shared" si="16"/>
        <v>146746283</v>
      </c>
    </row>
    <row r="25" spans="1:30" ht="3" customHeight="1" x14ac:dyDescent="0.25">
      <c r="A25">
        <v>3101</v>
      </c>
      <c r="B25">
        <v>3201</v>
      </c>
      <c r="C25" t="s">
        <v>375</v>
      </c>
      <c r="D25" s="6" t="str">
        <f>+DATA!U21</f>
        <v>SI</v>
      </c>
      <c r="E25" s="361">
        <f t="shared" si="1"/>
        <v>2.2222222222200001E-2</v>
      </c>
      <c r="F25" s="95">
        <f t="shared" si="9"/>
        <v>8.8888888888800002E-3</v>
      </c>
      <c r="G25" s="31">
        <f>IF(OR(D25="SI",D25="Sí"),VLOOKUP(A25,DATA!$A$4:$D$350,4,0),0)</f>
        <v>176100</v>
      </c>
      <c r="H25" s="95">
        <f>IF(OR(D25="SI",D25="Sí"),VLOOKUP(A25,DATA!$A$4:$E$350,5,0),0)</f>
        <v>7.232720034645454E-2</v>
      </c>
      <c r="I25" s="31">
        <f t="shared" si="10"/>
        <v>12737</v>
      </c>
      <c r="J25" s="361">
        <f t="shared" si="2"/>
        <v>6.3651264829599999E-2</v>
      </c>
      <c r="K25" s="361">
        <f t="shared" si="3"/>
        <v>4.7738448621999999E-3</v>
      </c>
      <c r="L25" s="31">
        <f>IF(OR(D25="SI",D25="Sí"),VLOOKUP(A25,DATA!$A$4:$G$350,7,0),0)</f>
        <v>46758</v>
      </c>
      <c r="M25" s="31">
        <f>IF(OR(D25="SI",D25="Sí"),VLOOKUP(A25,DATA!$A$4:$H$350,8,0),0)</f>
        <v>65681</v>
      </c>
      <c r="N25" s="361">
        <f t="shared" si="4"/>
        <v>4.7248566161400003E-2</v>
      </c>
      <c r="O25" s="361">
        <f t="shared" si="11"/>
        <v>7.0881388004577509E-2</v>
      </c>
      <c r="P25" s="361">
        <f t="shared" si="5"/>
        <v>3.5440694001999998E-3</v>
      </c>
      <c r="Q25" s="31">
        <f>IF(OR(D25="SI",D25="Sí"),VLOOKUP(A25,DATA!$A$4:$P$350,14,0),0)</f>
        <v>26253692</v>
      </c>
      <c r="R25" s="121">
        <f t="shared" si="12"/>
        <v>149.08000000000001</v>
      </c>
      <c r="S25" s="31">
        <f>IF(AND(R25&gt;0,R25&lt;$R$7),ROUND(($R$7-R25)*G25,PARAMETROS!$L$8),0)</f>
        <v>2718984</v>
      </c>
      <c r="T25" s="122">
        <f t="shared" si="6"/>
        <v>3.9383622831700001E-2</v>
      </c>
      <c r="U25" s="117">
        <f t="shared" si="7"/>
        <v>2.9537717124000001E-3</v>
      </c>
      <c r="V25" s="117">
        <f>VLOOKUP(A25,DATA!$A$4:$V$350,DATA!$V$1,0)</f>
        <v>3.4181601729999997E-2</v>
      </c>
      <c r="W25" s="117">
        <f>VLOOKUP(A25,DATA!$A$4:$V$350,22,0)</f>
        <v>3.4181601729999997E-2</v>
      </c>
      <c r="X25" s="96">
        <f t="shared" si="8"/>
        <v>5.434217659368E-2</v>
      </c>
      <c r="Y25" s="31">
        <f>ROUND(X25*PARAMETROS!$H$35,0)</f>
        <v>2984341917</v>
      </c>
      <c r="Z25" s="31">
        <f t="shared" si="13"/>
        <v>2984341917</v>
      </c>
      <c r="AA25" s="31">
        <f t="shared" si="14"/>
        <v>746085479</v>
      </c>
      <c r="AB25" s="31">
        <f t="shared" si="15"/>
        <v>746085479</v>
      </c>
      <c r="AC25" s="31">
        <f t="shared" si="15"/>
        <v>746085479</v>
      </c>
      <c r="AD25" s="38">
        <f t="shared" si="16"/>
        <v>746085480</v>
      </c>
    </row>
    <row r="26" spans="1:30" ht="3" customHeight="1" x14ac:dyDescent="0.25">
      <c r="A26">
        <v>3102</v>
      </c>
      <c r="B26">
        <v>3202</v>
      </c>
      <c r="C26" t="s">
        <v>72</v>
      </c>
      <c r="D26" s="6" t="str">
        <f>+DATA!U22</f>
        <v>SI</v>
      </c>
      <c r="E26" s="361">
        <f t="shared" si="1"/>
        <v>2.2222222222200001E-2</v>
      </c>
      <c r="F26" s="95">
        <f t="shared" si="9"/>
        <v>8.8888888888800002E-3</v>
      </c>
      <c r="G26" s="31">
        <f>IF(OR(D26="SI",D26="Sí"),VLOOKUP(A26,DATA!$A$4:$D$350,4,0),0)</f>
        <v>19964</v>
      </c>
      <c r="H26" s="95">
        <f>IF(OR(D26="SI",D26="Sí"),VLOOKUP(A26,DATA!$A$4:$E$350,5,0),0)</f>
        <v>4.1111214166464051E-2</v>
      </c>
      <c r="I26" s="31">
        <f t="shared" si="10"/>
        <v>821</v>
      </c>
      <c r="J26" s="361">
        <f t="shared" si="2"/>
        <v>4.1028255025E-3</v>
      </c>
      <c r="K26" s="361">
        <f t="shared" si="3"/>
        <v>3.077119127E-4</v>
      </c>
      <c r="L26" s="31">
        <f>IF(OR(D26="SI",D26="Sí"),VLOOKUP(A26,DATA!$A$4:$G$350,7,0),0)</f>
        <v>8138</v>
      </c>
      <c r="M26" s="31">
        <f>IF(OR(D26="SI",D26="Sí"),VLOOKUP(A26,DATA!$A$4:$H$350,8,0),0)</f>
        <v>10147</v>
      </c>
      <c r="N26" s="361">
        <f t="shared" si="4"/>
        <v>9.2643349266000007E-3</v>
      </c>
      <c r="O26" s="361">
        <f t="shared" si="11"/>
        <v>1.3898176640821819E-2</v>
      </c>
      <c r="P26" s="361">
        <f t="shared" si="5"/>
        <v>6.9490883199999998E-4</v>
      </c>
      <c r="Q26" s="31">
        <f>IF(OR(D26="SI",D26="Sí"),VLOOKUP(A26,DATA!$A$4:$P$350,14,0),0)</f>
        <v>3543232</v>
      </c>
      <c r="R26" s="121">
        <f t="shared" si="12"/>
        <v>177.48</v>
      </c>
      <c r="S26" s="31">
        <f>IF(AND(R26&gt;0,R26&lt;$R$7),ROUND(($R$7-R26)*G26,PARAMETROS!$L$8),0)</f>
        <v>0</v>
      </c>
      <c r="T26" s="122">
        <f t="shared" si="6"/>
        <v>0</v>
      </c>
      <c r="U26" s="117">
        <f t="shared" si="7"/>
        <v>0</v>
      </c>
      <c r="V26" s="117">
        <f>VLOOKUP(A26,DATA!$A$4:$V$350,DATA!$V$1,0)</f>
        <v>3.0389512099999998E-3</v>
      </c>
      <c r="W26" s="117">
        <f>VLOOKUP(A26,DATA!$A$4:$V$350,22,0)</f>
        <v>3.0389512099999998E-3</v>
      </c>
      <c r="X26" s="96">
        <f t="shared" si="8"/>
        <v>1.2930460843579999E-2</v>
      </c>
      <c r="Y26" s="31">
        <f>ROUND(X26*PARAMETROS!$H$35,0)</f>
        <v>710109876</v>
      </c>
      <c r="Z26" s="31">
        <f t="shared" si="13"/>
        <v>710109876</v>
      </c>
      <c r="AA26" s="31">
        <f t="shared" si="14"/>
        <v>177527469</v>
      </c>
      <c r="AB26" s="31">
        <f t="shared" si="15"/>
        <v>177527469</v>
      </c>
      <c r="AC26" s="31">
        <f t="shared" si="15"/>
        <v>177527469</v>
      </c>
      <c r="AD26" s="38">
        <f t="shared" si="16"/>
        <v>177527469</v>
      </c>
    </row>
    <row r="27" spans="1:30" ht="3" customHeight="1" x14ac:dyDescent="0.25">
      <c r="A27">
        <v>3103</v>
      </c>
      <c r="B27">
        <v>3203</v>
      </c>
      <c r="C27" t="s">
        <v>73</v>
      </c>
      <c r="D27" s="6" t="str">
        <f>+DATA!U23</f>
        <v>SI</v>
      </c>
      <c r="E27" s="361">
        <f t="shared" si="1"/>
        <v>2.2222222222200001E-2</v>
      </c>
      <c r="F27" s="95">
        <f t="shared" si="9"/>
        <v>8.8888888888800002E-3</v>
      </c>
      <c r="G27" s="31">
        <f>IF(OR(D27="SI",D27="Sí"),VLOOKUP(A27,DATA!$A$4:$D$350,4,0),0)</f>
        <v>14431</v>
      </c>
      <c r="H27" s="95">
        <f>IF(OR(D27="SI",D27="Sí"),VLOOKUP(A27,DATA!$A$4:$E$350,5,0),0)</f>
        <v>6.874896010670549E-2</v>
      </c>
      <c r="I27" s="31">
        <f t="shared" si="10"/>
        <v>992</v>
      </c>
      <c r="J27" s="361">
        <f t="shared" si="2"/>
        <v>4.9573725925000003E-3</v>
      </c>
      <c r="K27" s="361">
        <f t="shared" si="3"/>
        <v>3.718029444E-4</v>
      </c>
      <c r="L27" s="31">
        <f>IF(OR(D27="SI",D27="Sí"),VLOOKUP(A27,DATA!$A$4:$G$350,7,0),0)</f>
        <v>3624</v>
      </c>
      <c r="M27" s="31">
        <f>IF(OR(D27="SI",D27="Sí"),VLOOKUP(A27,DATA!$A$4:$H$350,8,0),0)</f>
        <v>4394</v>
      </c>
      <c r="N27" s="361">
        <f t="shared" si="4"/>
        <v>4.2426075662999998E-3</v>
      </c>
      <c r="O27" s="361">
        <f t="shared" si="11"/>
        <v>6.3646780736331243E-3</v>
      </c>
      <c r="P27" s="361">
        <f t="shared" si="5"/>
        <v>3.1823390369999999E-4</v>
      </c>
      <c r="Q27" s="31">
        <f>IF(OR(D27="SI",D27="Sí"),VLOOKUP(A27,DATA!$A$4:$P$350,14,0),0)</f>
        <v>7458135</v>
      </c>
      <c r="R27" s="121">
        <f t="shared" si="12"/>
        <v>516.80999999999995</v>
      </c>
      <c r="S27" s="31">
        <f>IF(AND(R27&gt;0,R27&lt;$R$7),ROUND(($R$7-R27)*G27,PARAMETROS!$L$8),0)</f>
        <v>0</v>
      </c>
      <c r="T27" s="122">
        <f t="shared" si="6"/>
        <v>0</v>
      </c>
      <c r="U27" s="117">
        <f t="shared" si="7"/>
        <v>0</v>
      </c>
      <c r="V27" s="117">
        <f>VLOOKUP(A27,DATA!$A$4:$V$350,DATA!$V$1,0)</f>
        <v>3.2240938390000001E-2</v>
      </c>
      <c r="W27" s="117">
        <f>VLOOKUP(A27,DATA!$A$4:$V$350,22,0)</f>
        <v>3.2240938390000001E-2</v>
      </c>
      <c r="X27" s="96">
        <f t="shared" si="8"/>
        <v>4.1819864126980001E-2</v>
      </c>
      <c r="Y27" s="31">
        <f>ROUND(X27*PARAMETROS!$H$35,0)</f>
        <v>2296646570</v>
      </c>
      <c r="Z27" s="31">
        <f t="shared" si="13"/>
        <v>2296646570</v>
      </c>
      <c r="AA27" s="31">
        <f t="shared" si="14"/>
        <v>574161643</v>
      </c>
      <c r="AB27" s="31">
        <f t="shared" si="15"/>
        <v>574161643</v>
      </c>
      <c r="AC27" s="31">
        <f t="shared" si="15"/>
        <v>574161643</v>
      </c>
      <c r="AD27" s="38">
        <f t="shared" si="16"/>
        <v>574161641</v>
      </c>
    </row>
    <row r="28" spans="1:30" ht="3" customHeight="1" x14ac:dyDescent="0.25">
      <c r="A28">
        <v>3201</v>
      </c>
      <c r="B28">
        <v>3101</v>
      </c>
      <c r="C28" t="s">
        <v>70</v>
      </c>
      <c r="D28" s="6" t="str">
        <f>+DATA!U24</f>
        <v>SI</v>
      </c>
      <c r="E28" s="361">
        <f t="shared" si="1"/>
        <v>2.2222222222200001E-2</v>
      </c>
      <c r="F28" s="95">
        <f t="shared" si="9"/>
        <v>8.8888888888800002E-3</v>
      </c>
      <c r="G28" s="31">
        <f>IF(OR(D28="SI",D28="Sí"),VLOOKUP(A28,DATA!$A$4:$D$350,4,0),0)</f>
        <v>13017</v>
      </c>
      <c r="H28" s="95">
        <f>IF(OR(D28="SI",D28="Sí"),VLOOKUP(A28,DATA!$A$4:$E$350,5,0),0)</f>
        <v>0.1146199488480459</v>
      </c>
      <c r="I28" s="31">
        <f t="shared" si="10"/>
        <v>1492</v>
      </c>
      <c r="J28" s="361">
        <f t="shared" si="2"/>
        <v>7.4560482943999999E-3</v>
      </c>
      <c r="K28" s="361">
        <f t="shared" si="3"/>
        <v>5.5920362209999996E-4</v>
      </c>
      <c r="L28" s="31">
        <f>IF(OR(D28="SI",D28="Sí"),VLOOKUP(A28,DATA!$A$4:$G$350,7,0),0)</f>
        <v>5017</v>
      </c>
      <c r="M28" s="31">
        <f>IF(OR(D28="SI",D28="Sí"),VLOOKUP(A28,DATA!$A$4:$H$350,8,0),0)</f>
        <v>5582</v>
      </c>
      <c r="N28" s="361">
        <f t="shared" si="4"/>
        <v>6.4005148072999998E-3</v>
      </c>
      <c r="O28" s="361">
        <f t="shared" si="11"/>
        <v>9.6019289122028298E-3</v>
      </c>
      <c r="P28" s="361">
        <f t="shared" si="5"/>
        <v>4.8009644559999999E-4</v>
      </c>
      <c r="Q28" s="31">
        <f>IF(OR(D28="SI",D28="Sí"),VLOOKUP(A28,DATA!$A$4:$P$350,14,0),0)</f>
        <v>3063852</v>
      </c>
      <c r="R28" s="121">
        <f t="shared" si="12"/>
        <v>235.37</v>
      </c>
      <c r="S28" s="31">
        <f>IF(AND(R28&gt;0,R28&lt;$R$7),ROUND(($R$7-R28)*G28,PARAMETROS!$L$8),0)</f>
        <v>0</v>
      </c>
      <c r="T28" s="122">
        <f t="shared" si="6"/>
        <v>0</v>
      </c>
      <c r="U28" s="117">
        <f t="shared" si="7"/>
        <v>0</v>
      </c>
      <c r="V28" s="117">
        <f>VLOOKUP(A28,DATA!$A$4:$V$350,DATA!$V$1,0)</f>
        <v>6.7402527999999998E-3</v>
      </c>
      <c r="W28" s="117">
        <f>VLOOKUP(A28,DATA!$A$4:$V$350,22,0)</f>
        <v>6.7402527999999998E-3</v>
      </c>
      <c r="X28" s="96">
        <f t="shared" si="8"/>
        <v>1.6668441756579999E-2</v>
      </c>
      <c r="Y28" s="31">
        <f>ROUND(X28*PARAMETROS!$H$35,0)</f>
        <v>915390817</v>
      </c>
      <c r="Z28" s="31">
        <f t="shared" si="13"/>
        <v>915390817</v>
      </c>
      <c r="AA28" s="31">
        <f t="shared" si="14"/>
        <v>228847704</v>
      </c>
      <c r="AB28" s="31">
        <f t="shared" si="15"/>
        <v>228847704</v>
      </c>
      <c r="AC28" s="31">
        <f t="shared" si="15"/>
        <v>228847704</v>
      </c>
      <c r="AD28" s="38">
        <f t="shared" si="16"/>
        <v>228847705</v>
      </c>
    </row>
    <row r="29" spans="1:30" ht="3" customHeight="1" x14ac:dyDescent="0.25">
      <c r="A29">
        <v>3202</v>
      </c>
      <c r="B29">
        <v>3102</v>
      </c>
      <c r="C29" t="s">
        <v>71</v>
      </c>
      <c r="D29" s="6" t="str">
        <f>+DATA!U25</f>
        <v>SI</v>
      </c>
      <c r="E29" s="361">
        <f t="shared" si="1"/>
        <v>2.2222222222200001E-2</v>
      </c>
      <c r="F29" s="95">
        <f t="shared" si="9"/>
        <v>8.8888888888800002E-3</v>
      </c>
      <c r="G29" s="31">
        <f>IF(OR(D29="SI",D29="Sí"),VLOOKUP(A29,DATA!$A$4:$D$350,4,0),0)</f>
        <v>13909</v>
      </c>
      <c r="H29" s="95">
        <f>IF(OR(D29="SI",D29="Sí"),VLOOKUP(A29,DATA!$A$4:$E$350,5,0),0)</f>
        <v>5.6804255654079823E-2</v>
      </c>
      <c r="I29" s="31">
        <f t="shared" si="10"/>
        <v>790</v>
      </c>
      <c r="J29" s="361">
        <f t="shared" si="2"/>
        <v>3.9479076090000002E-3</v>
      </c>
      <c r="K29" s="361">
        <f t="shared" si="3"/>
        <v>2.9609307069999998E-4</v>
      </c>
      <c r="L29" s="31">
        <f>IF(OR(D29="SI",D29="Sí"),VLOOKUP(A29,DATA!$A$4:$G$350,7,0),0)</f>
        <v>3221</v>
      </c>
      <c r="M29" s="31">
        <f>IF(OR(D29="SI",D29="Sí"),VLOOKUP(A29,DATA!$A$4:$H$350,8,0),0)</f>
        <v>3795</v>
      </c>
      <c r="N29" s="361">
        <f t="shared" si="4"/>
        <v>3.8804867614000002E-3</v>
      </c>
      <c r="O29" s="361">
        <f t="shared" si="11"/>
        <v>5.8214314237989943E-3</v>
      </c>
      <c r="P29" s="361">
        <f t="shared" si="5"/>
        <v>2.9107157120000001E-4</v>
      </c>
      <c r="Q29" s="31">
        <f>IF(OR(D29="SI",D29="Sí"),VLOOKUP(A29,DATA!$A$4:$P$350,14,0),0)</f>
        <v>5348541</v>
      </c>
      <c r="R29" s="121">
        <f t="shared" si="12"/>
        <v>384.54</v>
      </c>
      <c r="S29" s="31">
        <f>IF(AND(R29&gt;0,R29&lt;$R$7),ROUND(($R$7-R29)*G29,PARAMETROS!$L$8),0)</f>
        <v>0</v>
      </c>
      <c r="T29" s="122">
        <f t="shared" si="6"/>
        <v>0</v>
      </c>
      <c r="U29" s="117">
        <f t="shared" si="7"/>
        <v>0</v>
      </c>
      <c r="V29" s="117">
        <f>VLOOKUP(A29,DATA!$A$4:$V$350,DATA!$V$1,0)</f>
        <v>1.476966146E-2</v>
      </c>
      <c r="W29" s="117">
        <f>VLOOKUP(A29,DATA!$A$4:$V$350,22,0)</f>
        <v>1.476966146E-2</v>
      </c>
      <c r="X29" s="96">
        <f t="shared" si="8"/>
        <v>2.4245714990780001E-2</v>
      </c>
      <c r="Y29" s="31">
        <f>ROUND(X29*PARAMETROS!$H$35,0)</f>
        <v>1331516478</v>
      </c>
      <c r="Z29" s="31">
        <f t="shared" si="13"/>
        <v>1331516478</v>
      </c>
      <c r="AA29" s="31">
        <f t="shared" si="14"/>
        <v>332879120</v>
      </c>
      <c r="AB29" s="31">
        <f t="shared" si="15"/>
        <v>332879120</v>
      </c>
      <c r="AC29" s="31">
        <f t="shared" si="15"/>
        <v>332879120</v>
      </c>
      <c r="AD29" s="38">
        <f t="shared" si="16"/>
        <v>332879118</v>
      </c>
    </row>
    <row r="30" spans="1:30" ht="3" customHeight="1" x14ac:dyDescent="0.25">
      <c r="A30">
        <v>3301</v>
      </c>
      <c r="B30">
        <v>3301</v>
      </c>
      <c r="C30" t="s">
        <v>74</v>
      </c>
      <c r="D30" s="6" t="str">
        <f>+DATA!U26</f>
        <v>SI</v>
      </c>
      <c r="E30" s="361">
        <f t="shared" si="1"/>
        <v>2.2222222222200001E-2</v>
      </c>
      <c r="F30" s="95">
        <f t="shared" si="9"/>
        <v>8.8888888888800002E-3</v>
      </c>
      <c r="G30" s="31">
        <f>IF(OR(D30="SI",D30="Sí"),VLOOKUP(A30,DATA!$A$4:$D$350,4,0),0)</f>
        <v>57360</v>
      </c>
      <c r="H30" s="95">
        <f>IF(OR(D30="SI",D30="Sí"),VLOOKUP(A30,DATA!$A$4:$E$350,5,0),0)</f>
        <v>0.10727825897008141</v>
      </c>
      <c r="I30" s="31">
        <f t="shared" si="10"/>
        <v>6153</v>
      </c>
      <c r="J30" s="361">
        <f t="shared" si="2"/>
        <v>3.0748703187300001E-2</v>
      </c>
      <c r="K30" s="361">
        <f t="shared" si="3"/>
        <v>2.3061527390000002E-3</v>
      </c>
      <c r="L30" s="31">
        <f>IF(OR(D30="SI",D30="Sí"),VLOOKUP(A30,DATA!$A$4:$G$350,7,0),0)</f>
        <v>18999</v>
      </c>
      <c r="M30" s="31">
        <f>IF(OR(D30="SI",D30="Sí"),VLOOKUP(A30,DATA!$A$4:$H$350,8,0),0)</f>
        <v>23264</v>
      </c>
      <c r="N30" s="361">
        <f t="shared" si="4"/>
        <v>2.2023869906500002E-2</v>
      </c>
      <c r="O30" s="361">
        <f t="shared" si="11"/>
        <v>3.3039785014265688E-2</v>
      </c>
      <c r="P30" s="361">
        <f t="shared" si="5"/>
        <v>1.6519892507E-3</v>
      </c>
      <c r="Q30" s="31">
        <f>IF(OR(D30="SI",D30="Sí"),VLOOKUP(A30,DATA!$A$4:$P$350,14,0),0)</f>
        <v>6253296</v>
      </c>
      <c r="R30" s="121">
        <f t="shared" si="12"/>
        <v>109.02</v>
      </c>
      <c r="S30" s="31">
        <f>IF(AND(R30&gt;0,R30&lt;$R$7),ROUND(($R$7-R30)*G30,PARAMETROS!$L$8),0)</f>
        <v>3183480</v>
      </c>
      <c r="T30" s="122">
        <f t="shared" si="6"/>
        <v>4.6111700404399998E-2</v>
      </c>
      <c r="U30" s="117">
        <f t="shared" si="7"/>
        <v>3.4583775303E-3</v>
      </c>
      <c r="V30" s="117">
        <f>VLOOKUP(A30,DATA!$A$4:$V$350,DATA!$V$1,0)</f>
        <v>3.0815049E-3</v>
      </c>
      <c r="W30" s="117">
        <f>VLOOKUP(A30,DATA!$A$4:$V$350,22,0)</f>
        <v>3.0815049E-3</v>
      </c>
      <c r="X30" s="96">
        <f t="shared" si="8"/>
        <v>1.938691330888E-2</v>
      </c>
      <c r="Y30" s="31">
        <f>ROUND(X30*PARAMETROS!$H$35,0)</f>
        <v>1064682750</v>
      </c>
      <c r="Z30" s="31">
        <f t="shared" si="13"/>
        <v>1064682750</v>
      </c>
      <c r="AA30" s="31">
        <f t="shared" si="14"/>
        <v>266170688</v>
      </c>
      <c r="AB30" s="31">
        <f t="shared" si="15"/>
        <v>266170688</v>
      </c>
      <c r="AC30" s="31">
        <f t="shared" si="15"/>
        <v>266170688</v>
      </c>
      <c r="AD30" s="38">
        <f t="shared" si="16"/>
        <v>266170686</v>
      </c>
    </row>
    <row r="31" spans="1:30" ht="3" customHeight="1" x14ac:dyDescent="0.25">
      <c r="A31">
        <v>3302</v>
      </c>
      <c r="B31">
        <v>3304</v>
      </c>
      <c r="C31" t="s">
        <v>77</v>
      </c>
      <c r="D31" s="6" t="str">
        <f>+DATA!U27</f>
        <v>No</v>
      </c>
      <c r="E31" s="361">
        <f t="shared" si="1"/>
        <v>0</v>
      </c>
      <c r="F31" s="95">
        <f t="shared" si="9"/>
        <v>0</v>
      </c>
      <c r="G31" s="31">
        <f>IF(OR(D31="SI",D31="Sí"),VLOOKUP(A31,DATA!$A$4:$D$350,4,0),0)</f>
        <v>0</v>
      </c>
      <c r="H31" s="95">
        <f>IF(OR(D31="SI",D31="Sí"),VLOOKUP(A31,DATA!$A$4:$E$350,5,0),0)</f>
        <v>0</v>
      </c>
      <c r="I31" s="31">
        <f t="shared" si="10"/>
        <v>0</v>
      </c>
      <c r="J31" s="361">
        <f t="shared" si="2"/>
        <v>0</v>
      </c>
      <c r="K31" s="361">
        <f t="shared" si="3"/>
        <v>0</v>
      </c>
      <c r="L31" s="31">
        <f>IF(OR(D31="SI",D31="Sí"),VLOOKUP(A31,DATA!$A$4:$G$350,7,0),0)</f>
        <v>0</v>
      </c>
      <c r="M31" s="31">
        <f>IF(OR(D31="SI",D31="Sí"),VLOOKUP(A31,DATA!$A$4:$H$350,8,0),0)</f>
        <v>0</v>
      </c>
      <c r="N31" s="361">
        <f t="shared" si="4"/>
        <v>0</v>
      </c>
      <c r="O31" s="361">
        <f t="shared" si="11"/>
        <v>0</v>
      </c>
      <c r="P31" s="361">
        <f t="shared" si="5"/>
        <v>0</v>
      </c>
      <c r="Q31" s="31">
        <f>IF(OR(D31="SI",D31="Sí"),VLOOKUP(A31,DATA!$A$4:$P$350,14,0),0)</f>
        <v>0</v>
      </c>
      <c r="R31" s="121">
        <f t="shared" si="12"/>
        <v>0</v>
      </c>
      <c r="S31" s="31">
        <f>IF(AND(R31&gt;0,R31&lt;$R$7),ROUND(($R$7-R31)*G31,PARAMETROS!$L$8),0)</f>
        <v>0</v>
      </c>
      <c r="T31" s="122">
        <f t="shared" si="6"/>
        <v>0</v>
      </c>
      <c r="U31" s="117">
        <f t="shared" si="7"/>
        <v>0</v>
      </c>
      <c r="V31" s="117">
        <f>VLOOKUP(A31,DATA!$A$4:$V$350,DATA!$V$1,0)</f>
        <v>0</v>
      </c>
      <c r="W31" s="117">
        <f>VLOOKUP(A31,DATA!$A$4:$V$350,22,0)</f>
        <v>0</v>
      </c>
      <c r="X31" s="96">
        <f t="shared" si="8"/>
        <v>0</v>
      </c>
      <c r="Y31" s="31">
        <f>ROUND(X31*PARAMETROS!$H$35,0)</f>
        <v>0</v>
      </c>
      <c r="Z31" s="31">
        <f t="shared" si="13"/>
        <v>0</v>
      </c>
      <c r="AA31" s="31">
        <f t="shared" si="14"/>
        <v>0</v>
      </c>
      <c r="AB31" s="31">
        <f t="shared" si="15"/>
        <v>0</v>
      </c>
      <c r="AC31" s="31">
        <f t="shared" si="15"/>
        <v>0</v>
      </c>
      <c r="AD31" s="38">
        <f t="shared" si="16"/>
        <v>0</v>
      </c>
    </row>
    <row r="32" spans="1:30" ht="3" customHeight="1" x14ac:dyDescent="0.25">
      <c r="A32">
        <v>3303</v>
      </c>
      <c r="B32">
        <v>3302</v>
      </c>
      <c r="C32" t="s">
        <v>75</v>
      </c>
      <c r="D32" s="6" t="str">
        <f>+DATA!U28</f>
        <v>SI</v>
      </c>
      <c r="E32" s="361">
        <f t="shared" si="1"/>
        <v>2.2222222222200001E-2</v>
      </c>
      <c r="F32" s="95">
        <f t="shared" si="9"/>
        <v>8.8888888888800002E-3</v>
      </c>
      <c r="G32" s="31">
        <f>IF(OR(D32="SI",D32="Sí"),VLOOKUP(A32,DATA!$A$4:$D$350,4,0),0)</f>
        <v>7840</v>
      </c>
      <c r="H32" s="95">
        <f>IF(OR(D32="SI",D32="Sí"),VLOOKUP(A32,DATA!$A$4:$E$350,5,0),0)</f>
        <v>0.1338693829029102</v>
      </c>
      <c r="I32" s="31">
        <f t="shared" si="10"/>
        <v>1050</v>
      </c>
      <c r="J32" s="361">
        <f t="shared" si="2"/>
        <v>5.2472189739000002E-3</v>
      </c>
      <c r="K32" s="361">
        <f t="shared" si="3"/>
        <v>3.9354142300000001E-4</v>
      </c>
      <c r="L32" s="31">
        <f>IF(OR(D32="SI",D32="Sí"),VLOOKUP(A32,DATA!$A$4:$G$350,7,0),0)</f>
        <v>2840</v>
      </c>
      <c r="M32" s="31">
        <f>IF(OR(D32="SI",D32="Sí"),VLOOKUP(A32,DATA!$A$4:$H$350,8,0),0)</f>
        <v>3321</v>
      </c>
      <c r="N32" s="361">
        <f t="shared" si="4"/>
        <v>3.4473417673E-3</v>
      </c>
      <c r="O32" s="361">
        <f t="shared" si="11"/>
        <v>5.1716356546709849E-3</v>
      </c>
      <c r="P32" s="361">
        <f t="shared" si="5"/>
        <v>2.585817827E-4</v>
      </c>
      <c r="Q32" s="31">
        <f>IF(OR(D32="SI",D32="Sí"),VLOOKUP(A32,DATA!$A$4:$P$350,14,0),0)</f>
        <v>1304181</v>
      </c>
      <c r="R32" s="121">
        <f t="shared" si="12"/>
        <v>166.35</v>
      </c>
      <c r="S32" s="31">
        <f>IF(AND(R32&gt;0,R32&lt;$R$7),ROUND(($R$7-R32)*G32,PARAMETROS!$L$8),0)</f>
        <v>0</v>
      </c>
      <c r="T32" s="122">
        <f t="shared" si="6"/>
        <v>0</v>
      </c>
      <c r="U32" s="117">
        <f t="shared" si="7"/>
        <v>0</v>
      </c>
      <c r="V32" s="117">
        <f>VLOOKUP(A32,DATA!$A$4:$V$350,DATA!$V$1,0)</f>
        <v>6.4589010600000002E-3</v>
      </c>
      <c r="W32" s="117">
        <f>VLOOKUP(A32,DATA!$A$4:$V$350,22,0)</f>
        <v>6.4589010600000002E-3</v>
      </c>
      <c r="X32" s="96">
        <f t="shared" si="8"/>
        <v>1.5999913154579999E-2</v>
      </c>
      <c r="Y32" s="31">
        <f>ROUND(X32*PARAMETROS!$H$35,0)</f>
        <v>878676831</v>
      </c>
      <c r="Z32" s="31">
        <f t="shared" si="13"/>
        <v>878676831</v>
      </c>
      <c r="AA32" s="31">
        <f t="shared" si="14"/>
        <v>219669208</v>
      </c>
      <c r="AB32" s="31">
        <f t="shared" si="15"/>
        <v>219669208</v>
      </c>
      <c r="AC32" s="31">
        <f t="shared" si="15"/>
        <v>219669208</v>
      </c>
      <c r="AD32" s="38">
        <f t="shared" si="16"/>
        <v>219669207</v>
      </c>
    </row>
    <row r="33" spans="1:30" ht="3" customHeight="1" x14ac:dyDescent="0.25">
      <c r="A33">
        <v>3304</v>
      </c>
      <c r="B33">
        <v>3303</v>
      </c>
      <c r="C33" t="s">
        <v>76</v>
      </c>
      <c r="D33" s="6" t="str">
        <f>+DATA!U29</f>
        <v>SI</v>
      </c>
      <c r="E33" s="361">
        <f t="shared" si="1"/>
        <v>2.2222222222200001E-2</v>
      </c>
      <c r="F33" s="95">
        <f t="shared" si="9"/>
        <v>8.8888888888800002E-3</v>
      </c>
      <c r="G33" s="31">
        <f>IF(OR(D33="SI",D33="Sí"),VLOOKUP(A33,DATA!$A$4:$D$350,4,0),0)</f>
        <v>11590</v>
      </c>
      <c r="H33" s="95">
        <f>IF(OR(D33="SI",D33="Sí"),VLOOKUP(A33,DATA!$A$4:$E$350,5,0),0)</f>
        <v>0.11374127862958169</v>
      </c>
      <c r="I33" s="31">
        <f t="shared" si="10"/>
        <v>1318</v>
      </c>
      <c r="J33" s="361">
        <f t="shared" si="2"/>
        <v>6.5865091501999999E-3</v>
      </c>
      <c r="K33" s="361">
        <f t="shared" si="3"/>
        <v>4.9398818629999995E-4</v>
      </c>
      <c r="L33" s="31">
        <f>IF(OR(D33="SI",D33="Sí"),VLOOKUP(A33,DATA!$A$4:$G$350,7,0),0)</f>
        <v>4598</v>
      </c>
      <c r="M33" s="31">
        <f>IF(OR(D33="SI",D33="Sí"),VLOOKUP(A33,DATA!$A$4:$H$350,8,0),0)</f>
        <v>5341</v>
      </c>
      <c r="N33" s="361">
        <f t="shared" si="4"/>
        <v>5.6186488743999998E-3</v>
      </c>
      <c r="O33" s="361">
        <f t="shared" si="11"/>
        <v>8.4289887140149462E-3</v>
      </c>
      <c r="P33" s="361">
        <f t="shared" si="5"/>
        <v>4.2144943570000001E-4</v>
      </c>
      <c r="Q33" s="31">
        <f>IF(OR(D33="SI",D33="Sí"),VLOOKUP(A33,DATA!$A$4:$P$350,14,0),0)</f>
        <v>2389550</v>
      </c>
      <c r="R33" s="121">
        <f t="shared" si="12"/>
        <v>206.17</v>
      </c>
      <c r="S33" s="31">
        <f>IF(AND(R33&gt;0,R33&lt;$R$7),ROUND(($R$7-R33)*G33,PARAMETROS!$L$8),0)</f>
        <v>0</v>
      </c>
      <c r="T33" s="122">
        <f t="shared" si="6"/>
        <v>0</v>
      </c>
      <c r="U33" s="117">
        <f t="shared" si="7"/>
        <v>0</v>
      </c>
      <c r="V33" s="117">
        <f>VLOOKUP(A33,DATA!$A$4:$V$350,DATA!$V$1,0)</f>
        <v>3.4533229749999998E-2</v>
      </c>
      <c r="W33" s="117">
        <f>VLOOKUP(A33,DATA!$A$4:$V$350,22,0)</f>
        <v>3.4533229749999998E-2</v>
      </c>
      <c r="X33" s="96">
        <f t="shared" si="8"/>
        <v>4.4337556260879998E-2</v>
      </c>
      <c r="Y33" s="31">
        <f>ROUND(X33*PARAMETROS!$H$35,0)</f>
        <v>2434912180</v>
      </c>
      <c r="Z33" s="31">
        <f t="shared" si="13"/>
        <v>2434912180</v>
      </c>
      <c r="AA33" s="31">
        <f t="shared" si="14"/>
        <v>608728045</v>
      </c>
      <c r="AB33" s="31">
        <f t="shared" si="15"/>
        <v>608728045</v>
      </c>
      <c r="AC33" s="31">
        <f t="shared" si="15"/>
        <v>608728045</v>
      </c>
      <c r="AD33" s="38">
        <f t="shared" si="16"/>
        <v>608728045</v>
      </c>
    </row>
    <row r="34" spans="1:30" ht="3" customHeight="1" x14ac:dyDescent="0.25">
      <c r="A34">
        <v>4101</v>
      </c>
      <c r="B34">
        <v>4101</v>
      </c>
      <c r="C34" t="s">
        <v>78</v>
      </c>
      <c r="D34" s="6" t="str">
        <f>+DATA!U30</f>
        <v>SI</v>
      </c>
      <c r="E34" s="361">
        <f t="shared" si="1"/>
        <v>2.2222222222200001E-2</v>
      </c>
      <c r="F34" s="95">
        <f t="shared" si="9"/>
        <v>8.8888888888800002E-3</v>
      </c>
      <c r="G34" s="31">
        <f>IF(OR(D34="SI",D34="Sí"),VLOOKUP(A34,DATA!$A$4:$D$350,4,0),0)</f>
        <v>267400</v>
      </c>
      <c r="H34" s="95">
        <f>IF(OR(D34="SI",D34="Sí"),VLOOKUP(A34,DATA!$A$4:$E$350,5,0),0)</f>
        <v>5.9288006054940771E-2</v>
      </c>
      <c r="I34" s="31">
        <f t="shared" si="10"/>
        <v>15854</v>
      </c>
      <c r="J34" s="361">
        <f t="shared" si="2"/>
        <v>7.9228009155100004E-2</v>
      </c>
      <c r="K34" s="361">
        <f t="shared" si="3"/>
        <v>5.9421006865999996E-3</v>
      </c>
      <c r="L34" s="31">
        <f>IF(OR(D34="SI",D34="Sí"),VLOOKUP(A34,DATA!$A$4:$G$350,7,0),0)</f>
        <v>62584</v>
      </c>
      <c r="M34" s="31">
        <f>IF(OR(D34="SI",D34="Sí"),VLOOKUP(A34,DATA!$A$4:$H$350,8,0),0)</f>
        <v>131635</v>
      </c>
      <c r="N34" s="361">
        <f t="shared" si="4"/>
        <v>4.2234931430800003E-2</v>
      </c>
      <c r="O34" s="361">
        <f t="shared" si="11"/>
        <v>6.3360029844439128E-2</v>
      </c>
      <c r="P34" s="361">
        <f t="shared" si="5"/>
        <v>3.1680014922000001E-3</v>
      </c>
      <c r="Q34" s="31">
        <f>IF(OR(D34="SI",D34="Sí"),VLOOKUP(A34,DATA!$A$4:$P$350,14,0),0)</f>
        <v>36318399</v>
      </c>
      <c r="R34" s="121">
        <f t="shared" si="12"/>
        <v>135.82</v>
      </c>
      <c r="S34" s="31">
        <f>IF(AND(R34&gt;0,R34&lt;$R$7),ROUND(($R$7-R34)*G34,PARAMETROS!$L$8),0)</f>
        <v>7674380</v>
      </c>
      <c r="T34" s="122">
        <f t="shared" si="6"/>
        <v>0.1111609657825</v>
      </c>
      <c r="U34" s="117">
        <f t="shared" si="7"/>
        <v>8.3370724337000005E-3</v>
      </c>
      <c r="V34" s="117">
        <f>VLOOKUP(A34,DATA!$A$4:$V$350,DATA!$V$1,0)</f>
        <v>6.8629066900000001E-3</v>
      </c>
      <c r="W34" s="117">
        <f>VLOOKUP(A34,DATA!$A$4:$V$350,22,0)</f>
        <v>6.8629066900000001E-3</v>
      </c>
      <c r="X34" s="96">
        <f t="shared" si="8"/>
        <v>3.3198970191380003E-2</v>
      </c>
      <c r="Y34" s="31">
        <f>ROUND(X34*PARAMETROS!$H$35,0)</f>
        <v>1823207765</v>
      </c>
      <c r="Z34" s="31">
        <f t="shared" si="13"/>
        <v>1823207765</v>
      </c>
      <c r="AA34" s="31">
        <f t="shared" si="14"/>
        <v>455801941</v>
      </c>
      <c r="AB34" s="31">
        <f t="shared" si="15"/>
        <v>455801941</v>
      </c>
      <c r="AC34" s="31">
        <f t="shared" si="15"/>
        <v>455801941</v>
      </c>
      <c r="AD34" s="38">
        <f t="shared" si="16"/>
        <v>455801942</v>
      </c>
    </row>
    <row r="35" spans="1:30" ht="3" customHeight="1" x14ac:dyDescent="0.25">
      <c r="A35">
        <v>4102</v>
      </c>
      <c r="B35">
        <v>4103</v>
      </c>
      <c r="C35" t="s">
        <v>80</v>
      </c>
      <c r="D35" s="6" t="str">
        <f>+DATA!U31</f>
        <v>SI</v>
      </c>
      <c r="E35" s="361">
        <f t="shared" si="1"/>
        <v>2.2222222222200001E-2</v>
      </c>
      <c r="F35" s="95">
        <f t="shared" si="9"/>
        <v>8.8888888888800002E-3</v>
      </c>
      <c r="G35" s="31">
        <f>IF(OR(D35="SI",D35="Sí"),VLOOKUP(A35,DATA!$A$4:$D$350,4,0),0)</f>
        <v>275644</v>
      </c>
      <c r="H35" s="95">
        <f>IF(OR(D35="SI",D35="Sí"),VLOOKUP(A35,DATA!$A$4:$E$350,5,0),0)</f>
        <v>7.0644308453171739E-2</v>
      </c>
      <c r="I35" s="31">
        <f t="shared" si="10"/>
        <v>19473</v>
      </c>
      <c r="J35" s="361">
        <f t="shared" si="2"/>
        <v>9.7313423885299996E-2</v>
      </c>
      <c r="K35" s="361">
        <f t="shared" si="3"/>
        <v>7.2985067914E-3</v>
      </c>
      <c r="L35" s="31">
        <f>IF(OR(D35="SI",D35="Sí"),VLOOKUP(A35,DATA!$A$4:$G$350,7,0),0)</f>
        <v>75986</v>
      </c>
      <c r="M35" s="31">
        <f>IF(OR(D35="SI",D35="Sí"),VLOOKUP(A35,DATA!$A$4:$H$350,8,0),0)</f>
        <v>120279</v>
      </c>
      <c r="N35" s="361">
        <f t="shared" si="4"/>
        <v>6.8138708014599994E-2</v>
      </c>
      <c r="O35" s="361">
        <f t="shared" si="11"/>
        <v>0.10222037605152098</v>
      </c>
      <c r="P35" s="361">
        <f t="shared" si="5"/>
        <v>5.1110188025999996E-3</v>
      </c>
      <c r="Q35" s="31">
        <f>IF(OR(D35="SI",D35="Sí"),VLOOKUP(A35,DATA!$A$4:$P$350,14,0),0)</f>
        <v>46773782</v>
      </c>
      <c r="R35" s="121">
        <f t="shared" si="12"/>
        <v>169.69</v>
      </c>
      <c r="S35" s="31">
        <f>IF(AND(R35&gt;0,R35&lt;$R$7),ROUND(($R$7-R35)*G35,PARAMETROS!$L$8),0)</f>
        <v>0</v>
      </c>
      <c r="T35" s="122">
        <f t="shared" si="6"/>
        <v>0</v>
      </c>
      <c r="U35" s="117">
        <f t="shared" si="7"/>
        <v>0</v>
      </c>
      <c r="V35" s="117">
        <f>VLOOKUP(A35,DATA!$A$4:$V$350,DATA!$V$1,0)</f>
        <v>6.5257676799999999E-3</v>
      </c>
      <c r="W35" s="117">
        <f>VLOOKUP(A35,DATA!$A$4:$V$350,22,0)</f>
        <v>6.5257676799999999E-3</v>
      </c>
      <c r="X35" s="96">
        <f t="shared" si="8"/>
        <v>2.7824182162879997E-2</v>
      </c>
      <c r="Y35" s="31">
        <f>ROUND(X35*PARAMETROS!$H$35,0)</f>
        <v>1528037306</v>
      </c>
      <c r="Z35" s="31">
        <f t="shared" si="13"/>
        <v>1528037306</v>
      </c>
      <c r="AA35" s="31">
        <f t="shared" si="14"/>
        <v>382009327</v>
      </c>
      <c r="AB35" s="31">
        <f t="shared" si="15"/>
        <v>382009327</v>
      </c>
      <c r="AC35" s="31">
        <f t="shared" si="15"/>
        <v>382009327</v>
      </c>
      <c r="AD35" s="38">
        <f t="shared" si="16"/>
        <v>382009325</v>
      </c>
    </row>
    <row r="36" spans="1:30" ht="3" customHeight="1" x14ac:dyDescent="0.25">
      <c r="A36">
        <v>4103</v>
      </c>
      <c r="B36">
        <v>4104</v>
      </c>
      <c r="C36" t="s">
        <v>81</v>
      </c>
      <c r="D36" s="6" t="str">
        <f>+DATA!U32</f>
        <v>SI</v>
      </c>
      <c r="E36" s="361">
        <f t="shared" si="1"/>
        <v>2.2222222222200001E-2</v>
      </c>
      <c r="F36" s="95">
        <f t="shared" si="9"/>
        <v>8.8888888888800002E-3</v>
      </c>
      <c r="G36" s="31">
        <f>IF(OR(D36="SI",D36="Sí"),VLOOKUP(A36,DATA!$A$4:$D$350,4,0),0)</f>
        <v>11836</v>
      </c>
      <c r="H36" s="95">
        <f>IF(OR(D36="SI",D36="Sí"),VLOOKUP(A36,DATA!$A$4:$E$350,5,0),0)</f>
        <v>0.10450254705398181</v>
      </c>
      <c r="I36" s="31">
        <f t="shared" si="10"/>
        <v>1237</v>
      </c>
      <c r="J36" s="361">
        <f t="shared" si="2"/>
        <v>6.1817236864000003E-3</v>
      </c>
      <c r="K36" s="361">
        <f t="shared" si="3"/>
        <v>4.636292765E-4</v>
      </c>
      <c r="L36" s="31">
        <f>IF(OR(D36="SI",D36="Sí"),VLOOKUP(A36,DATA!$A$4:$G$350,7,0),0)</f>
        <v>4472</v>
      </c>
      <c r="M36" s="31">
        <f>IF(OR(D36="SI",D36="Sí"),VLOOKUP(A36,DATA!$A$4:$H$350,8,0),0)</f>
        <v>5128</v>
      </c>
      <c r="N36" s="361">
        <f t="shared" si="4"/>
        <v>5.5356944413999997E-3</v>
      </c>
      <c r="O36" s="361">
        <f t="shared" si="11"/>
        <v>8.3045420729870034E-3</v>
      </c>
      <c r="P36" s="361">
        <f t="shared" si="5"/>
        <v>4.152271036E-4</v>
      </c>
      <c r="Q36" s="31">
        <f>IF(OR(D36="SI",D36="Sí"),VLOOKUP(A36,DATA!$A$4:$P$350,14,0),0)</f>
        <v>1556394</v>
      </c>
      <c r="R36" s="121">
        <f t="shared" si="12"/>
        <v>131.5</v>
      </c>
      <c r="S36" s="31">
        <f>IF(AND(R36&gt;0,R36&lt;$R$7),ROUND(($R$7-R36)*G36,PARAMETROS!$L$8),0)</f>
        <v>390825</v>
      </c>
      <c r="T36" s="122">
        <f t="shared" si="6"/>
        <v>5.6609764505E-3</v>
      </c>
      <c r="U36" s="117">
        <f t="shared" si="7"/>
        <v>4.2457323380000001E-4</v>
      </c>
      <c r="V36" s="117">
        <f>VLOOKUP(A36,DATA!$A$4:$V$350,DATA!$V$1,0)</f>
        <v>2.033947069E-2</v>
      </c>
      <c r="W36" s="117">
        <f>VLOOKUP(A36,DATA!$A$4:$V$350,22,0)</f>
        <v>2.033947069E-2</v>
      </c>
      <c r="X36" s="96">
        <f t="shared" si="8"/>
        <v>3.053178919278E-2</v>
      </c>
      <c r="Y36" s="31">
        <f>ROUND(X36*PARAMETROS!$H$35,0)</f>
        <v>1676732586</v>
      </c>
      <c r="Z36" s="31">
        <f t="shared" si="13"/>
        <v>1676732586</v>
      </c>
      <c r="AA36" s="31">
        <f t="shared" si="14"/>
        <v>419183147</v>
      </c>
      <c r="AB36" s="31">
        <f t="shared" si="15"/>
        <v>419183147</v>
      </c>
      <c r="AC36" s="31">
        <f t="shared" si="15"/>
        <v>419183147</v>
      </c>
      <c r="AD36" s="38">
        <f t="shared" si="16"/>
        <v>419183145</v>
      </c>
    </row>
    <row r="37" spans="1:30" ht="3" customHeight="1" x14ac:dyDescent="0.25">
      <c r="A37">
        <v>4104</v>
      </c>
      <c r="B37">
        <v>4102</v>
      </c>
      <c r="C37" t="s">
        <v>79</v>
      </c>
      <c r="D37" s="6" t="str">
        <f>+DATA!U33</f>
        <v>SI</v>
      </c>
      <c r="E37" s="361">
        <f t="shared" si="1"/>
        <v>2.2222222222200001E-2</v>
      </c>
      <c r="F37" s="95">
        <f t="shared" si="9"/>
        <v>8.8888888888800002E-3</v>
      </c>
      <c r="G37" s="31">
        <f>IF(OR(D37="SI",D37="Sí"),VLOOKUP(A37,DATA!$A$4:$D$350,4,0),0)</f>
        <v>4533</v>
      </c>
      <c r="H37" s="95">
        <f>IF(OR(D37="SI",D37="Sí"),VLOOKUP(A37,DATA!$A$4:$E$350,5,0),0)</f>
        <v>0.1074879738365082</v>
      </c>
      <c r="I37" s="31">
        <f t="shared" si="10"/>
        <v>487</v>
      </c>
      <c r="J37" s="361">
        <f t="shared" si="2"/>
        <v>2.4337101335999999E-3</v>
      </c>
      <c r="K37" s="361">
        <f t="shared" si="3"/>
        <v>1.8252825999999999E-4</v>
      </c>
      <c r="L37" s="31">
        <f>IF(OR(D37="SI",D37="Sí"),VLOOKUP(A37,DATA!$A$4:$G$350,7,0),0)</f>
        <v>5078</v>
      </c>
      <c r="M37" s="31">
        <f>IF(OR(D37="SI",D37="Sí"),VLOOKUP(A37,DATA!$A$4:$H$350,8,0),0)</f>
        <v>6724</v>
      </c>
      <c r="N37" s="361">
        <f t="shared" si="4"/>
        <v>5.4434498358999998E-3</v>
      </c>
      <c r="O37" s="361">
        <f t="shared" si="11"/>
        <v>8.1661584942887711E-3</v>
      </c>
      <c r="P37" s="361">
        <f t="shared" si="5"/>
        <v>4.0830792470000001E-4</v>
      </c>
      <c r="Q37" s="31">
        <f>IF(OR(D37="SI",D37="Sí"),VLOOKUP(A37,DATA!$A$4:$P$350,14,0),0)</f>
        <v>2122638</v>
      </c>
      <c r="R37" s="121">
        <f t="shared" si="12"/>
        <v>468.26</v>
      </c>
      <c r="S37" s="31">
        <f>IF(AND(R37&gt;0,R37&lt;$R$7),ROUND(($R$7-R37)*G37,PARAMETROS!$L$8),0)</f>
        <v>0</v>
      </c>
      <c r="T37" s="122">
        <f t="shared" si="6"/>
        <v>0</v>
      </c>
      <c r="U37" s="117">
        <f t="shared" si="7"/>
        <v>0</v>
      </c>
      <c r="V37" s="117">
        <f>VLOOKUP(A37,DATA!$A$4:$V$350,DATA!$V$1,0)</f>
        <v>3.83704866E-3</v>
      </c>
      <c r="W37" s="117">
        <f>VLOOKUP(A37,DATA!$A$4:$V$350,22,0)</f>
        <v>3.83704866E-3</v>
      </c>
      <c r="X37" s="96">
        <f t="shared" si="8"/>
        <v>1.3316773733580001E-2</v>
      </c>
      <c r="Y37" s="31">
        <f>ROUND(X37*PARAMETROS!$H$35,0)</f>
        <v>731325253</v>
      </c>
      <c r="Z37" s="31">
        <f t="shared" si="13"/>
        <v>731325253</v>
      </c>
      <c r="AA37" s="31">
        <f t="shared" si="14"/>
        <v>182831313</v>
      </c>
      <c r="AB37" s="31">
        <f t="shared" si="15"/>
        <v>182831313</v>
      </c>
      <c r="AC37" s="31">
        <f t="shared" si="15"/>
        <v>182831313</v>
      </c>
      <c r="AD37" s="38">
        <f t="shared" si="16"/>
        <v>182831314</v>
      </c>
    </row>
    <row r="38" spans="1:30" ht="3" customHeight="1" x14ac:dyDescent="0.25">
      <c r="A38">
        <v>4105</v>
      </c>
      <c r="B38">
        <v>4106</v>
      </c>
      <c r="C38" t="s">
        <v>28</v>
      </c>
      <c r="D38" s="6" t="str">
        <f>+DATA!U34</f>
        <v>No</v>
      </c>
      <c r="E38" s="361">
        <f t="shared" si="1"/>
        <v>0</v>
      </c>
      <c r="F38" s="95">
        <f t="shared" si="9"/>
        <v>0</v>
      </c>
      <c r="G38" s="31">
        <f>IF(OR(D38="SI",D38="Sí"),VLOOKUP(A38,DATA!$A$4:$D$350,4,0),0)</f>
        <v>0</v>
      </c>
      <c r="H38" s="95">
        <f>IF(OR(D38="SI",D38="Sí"),VLOOKUP(A38,DATA!$A$4:$E$350,5,0),0)</f>
        <v>0</v>
      </c>
      <c r="I38" s="31">
        <f t="shared" si="10"/>
        <v>0</v>
      </c>
      <c r="J38" s="361">
        <f t="shared" si="2"/>
        <v>0</v>
      </c>
      <c r="K38" s="361">
        <f t="shared" si="3"/>
        <v>0</v>
      </c>
      <c r="L38" s="31">
        <f>IF(OR(D38="SI",D38="Sí"),VLOOKUP(A38,DATA!$A$4:$G$350,7,0),0)</f>
        <v>0</v>
      </c>
      <c r="M38" s="31">
        <f>IF(OR(D38="SI",D38="Sí"),VLOOKUP(A38,DATA!$A$4:$H$350,8,0),0)</f>
        <v>0</v>
      </c>
      <c r="N38" s="361">
        <f t="shared" si="4"/>
        <v>0</v>
      </c>
      <c r="O38" s="361">
        <f t="shared" si="11"/>
        <v>0</v>
      </c>
      <c r="P38" s="361">
        <f t="shared" si="5"/>
        <v>0</v>
      </c>
      <c r="Q38" s="31">
        <f>IF(OR(D38="SI",D38="Sí"),VLOOKUP(A38,DATA!$A$4:$P$350,14,0),0)</f>
        <v>0</v>
      </c>
      <c r="R38" s="121">
        <f t="shared" si="12"/>
        <v>0</v>
      </c>
      <c r="S38" s="31">
        <f>IF(AND(R38&gt;0,R38&lt;$R$7),ROUND(($R$7-R38)*G38,PARAMETROS!$L$8),0)</f>
        <v>0</v>
      </c>
      <c r="T38" s="122">
        <f t="shared" si="6"/>
        <v>0</v>
      </c>
      <c r="U38" s="117">
        <f t="shared" si="7"/>
        <v>0</v>
      </c>
      <c r="V38" s="117">
        <f>VLOOKUP(A38,DATA!$A$4:$V$350,DATA!$V$1,0)</f>
        <v>0</v>
      </c>
      <c r="W38" s="117">
        <f>VLOOKUP(A38,DATA!$A$4:$V$350,22,0)</f>
        <v>0</v>
      </c>
      <c r="X38" s="96">
        <f t="shared" si="8"/>
        <v>0</v>
      </c>
      <c r="Y38" s="31">
        <f>ROUND(X38*PARAMETROS!$H$35,0)</f>
        <v>0</v>
      </c>
      <c r="Z38" s="31">
        <f t="shared" si="13"/>
        <v>0</v>
      </c>
      <c r="AA38" s="31">
        <f t="shared" si="14"/>
        <v>0</v>
      </c>
      <c r="AB38" s="31">
        <f t="shared" si="15"/>
        <v>0</v>
      </c>
      <c r="AC38" s="31">
        <f t="shared" si="15"/>
        <v>0</v>
      </c>
      <c r="AD38" s="38">
        <f t="shared" si="16"/>
        <v>0</v>
      </c>
    </row>
    <row r="39" spans="1:30" ht="3" customHeight="1" x14ac:dyDescent="0.25">
      <c r="A39">
        <v>4106</v>
      </c>
      <c r="B39">
        <v>4105</v>
      </c>
      <c r="C39" t="s">
        <v>82</v>
      </c>
      <c r="D39" s="6" t="str">
        <f>+DATA!U35</f>
        <v>No</v>
      </c>
      <c r="E39" s="361">
        <f t="shared" si="1"/>
        <v>0</v>
      </c>
      <c r="F39" s="95">
        <f t="shared" si="9"/>
        <v>0</v>
      </c>
      <c r="G39" s="31">
        <f>IF(OR(D39="SI",D39="Sí"),VLOOKUP(A39,DATA!$A$4:$D$350,4,0),0)</f>
        <v>0</v>
      </c>
      <c r="H39" s="95">
        <f>IF(OR(D39="SI",D39="Sí"),VLOOKUP(A39,DATA!$A$4:$E$350,5,0),0)</f>
        <v>0</v>
      </c>
      <c r="I39" s="31">
        <f t="shared" si="10"/>
        <v>0</v>
      </c>
      <c r="J39" s="361">
        <f t="shared" si="2"/>
        <v>0</v>
      </c>
      <c r="K39" s="361">
        <f t="shared" si="3"/>
        <v>0</v>
      </c>
      <c r="L39" s="31">
        <f>IF(OR(D39="SI",D39="Sí"),VLOOKUP(A39,DATA!$A$4:$G$350,7,0),0)</f>
        <v>0</v>
      </c>
      <c r="M39" s="31">
        <f>IF(OR(D39="SI",D39="Sí"),VLOOKUP(A39,DATA!$A$4:$H$350,8,0),0)</f>
        <v>0</v>
      </c>
      <c r="N39" s="361">
        <f t="shared" si="4"/>
        <v>0</v>
      </c>
      <c r="O39" s="361">
        <f t="shared" si="11"/>
        <v>0</v>
      </c>
      <c r="P39" s="361">
        <f t="shared" si="5"/>
        <v>0</v>
      </c>
      <c r="Q39" s="31">
        <f>IF(OR(D39="SI",D39="Sí"),VLOOKUP(A39,DATA!$A$4:$P$350,14,0),0)</f>
        <v>0</v>
      </c>
      <c r="R39" s="121">
        <f t="shared" si="12"/>
        <v>0</v>
      </c>
      <c r="S39" s="31">
        <f>IF(AND(R39&gt;0,R39&lt;$R$7),ROUND(($R$7-R39)*G39,PARAMETROS!$L$8),0)</f>
        <v>0</v>
      </c>
      <c r="T39" s="122">
        <f t="shared" si="6"/>
        <v>0</v>
      </c>
      <c r="U39" s="117">
        <f t="shared" si="7"/>
        <v>0</v>
      </c>
      <c r="V39" s="117">
        <f>VLOOKUP(A39,DATA!$A$4:$V$350,DATA!$V$1,0)</f>
        <v>0</v>
      </c>
      <c r="W39" s="117">
        <f>VLOOKUP(A39,DATA!$A$4:$V$350,22,0)</f>
        <v>0</v>
      </c>
      <c r="X39" s="96">
        <f t="shared" si="8"/>
        <v>0</v>
      </c>
      <c r="Y39" s="31">
        <f>ROUND(X39*PARAMETROS!$H$35,0)</f>
        <v>0</v>
      </c>
      <c r="Z39" s="31">
        <f t="shared" si="13"/>
        <v>0</v>
      </c>
      <c r="AA39" s="31">
        <f t="shared" si="14"/>
        <v>0</v>
      </c>
      <c r="AB39" s="31">
        <f t="shared" si="15"/>
        <v>0</v>
      </c>
      <c r="AC39" s="31">
        <f t="shared" si="15"/>
        <v>0</v>
      </c>
      <c r="AD39" s="38">
        <f t="shared" si="16"/>
        <v>0</v>
      </c>
    </row>
    <row r="40" spans="1:30" ht="3" customHeight="1" x14ac:dyDescent="0.25">
      <c r="A40">
        <v>4201</v>
      </c>
      <c r="B40">
        <v>4301</v>
      </c>
      <c r="C40" t="s">
        <v>86</v>
      </c>
      <c r="D40" s="6" t="str">
        <f>+DATA!U36</f>
        <v>SI</v>
      </c>
      <c r="E40" s="361">
        <f t="shared" si="1"/>
        <v>2.2222222222200001E-2</v>
      </c>
      <c r="F40" s="95">
        <f t="shared" si="9"/>
        <v>8.8888888888800002E-3</v>
      </c>
      <c r="G40" s="31">
        <f>IF(OR(D40="SI",D40="Sí"),VLOOKUP(A40,DATA!$A$4:$D$350,4,0),0)</f>
        <v>33021</v>
      </c>
      <c r="H40" s="95">
        <f>IF(OR(D40="SI",D40="Sí"),VLOOKUP(A40,DATA!$A$4:$E$350,5,0),0)</f>
        <v>8.0524927147214931E-2</v>
      </c>
      <c r="I40" s="31">
        <f t="shared" si="10"/>
        <v>2659</v>
      </c>
      <c r="J40" s="361">
        <f t="shared" si="2"/>
        <v>1.32879573826E-2</v>
      </c>
      <c r="K40" s="361">
        <f t="shared" si="3"/>
        <v>9.9659680369999998E-4</v>
      </c>
      <c r="L40" s="31">
        <f>IF(OR(D40="SI",D40="Sí"),VLOOKUP(A40,DATA!$A$4:$G$350,7,0),0)</f>
        <v>11402</v>
      </c>
      <c r="M40" s="31">
        <f>IF(OR(D40="SI",D40="Sí"),VLOOKUP(A40,DATA!$A$4:$H$350,8,0),0)</f>
        <v>14115</v>
      </c>
      <c r="N40" s="361">
        <f t="shared" si="4"/>
        <v>1.30736762943E-2</v>
      </c>
      <c r="O40" s="361">
        <f t="shared" si="11"/>
        <v>1.9612877116672853E-2</v>
      </c>
      <c r="P40" s="361">
        <f t="shared" si="5"/>
        <v>9.806438558000001E-4</v>
      </c>
      <c r="Q40" s="31">
        <f>IF(OR(D40="SI",D40="Sí"),VLOOKUP(A40,DATA!$A$4:$P$350,14,0),0)</f>
        <v>2700481</v>
      </c>
      <c r="R40" s="121">
        <f t="shared" si="12"/>
        <v>81.78</v>
      </c>
      <c r="S40" s="31">
        <f>IF(AND(R40&gt;0,R40&lt;$R$7),ROUND(($R$7-R40)*G40,PARAMETROS!$L$8),0)</f>
        <v>2732158</v>
      </c>
      <c r="T40" s="122">
        <f t="shared" si="6"/>
        <v>3.9574444052899997E-2</v>
      </c>
      <c r="U40" s="117">
        <f t="shared" si="7"/>
        <v>2.9680833039999999E-3</v>
      </c>
      <c r="V40" s="117">
        <f>VLOOKUP(A40,DATA!$A$4:$V$350,DATA!$V$1,0)</f>
        <v>7.3262766299999997E-3</v>
      </c>
      <c r="W40" s="117">
        <f>VLOOKUP(A40,DATA!$A$4:$V$350,22,0)</f>
        <v>7.3262766299999997E-3</v>
      </c>
      <c r="X40" s="96">
        <f t="shared" si="8"/>
        <v>2.1160489482380002E-2</v>
      </c>
      <c r="Y40" s="31">
        <f>ROUND(X40*PARAMETROS!$H$35,0)</f>
        <v>1162083297</v>
      </c>
      <c r="Z40" s="31">
        <f t="shared" si="13"/>
        <v>1162083297</v>
      </c>
      <c r="AA40" s="31">
        <f t="shared" si="14"/>
        <v>290520824</v>
      </c>
      <c r="AB40" s="31">
        <f t="shared" si="15"/>
        <v>290520824</v>
      </c>
      <c r="AC40" s="31">
        <f t="shared" si="15"/>
        <v>290520824</v>
      </c>
      <c r="AD40" s="38">
        <f t="shared" si="16"/>
        <v>290520825</v>
      </c>
    </row>
    <row r="41" spans="1:30" ht="3" customHeight="1" x14ac:dyDescent="0.25">
      <c r="A41">
        <v>4202</v>
      </c>
      <c r="B41">
        <v>4304</v>
      </c>
      <c r="C41" t="s">
        <v>89</v>
      </c>
      <c r="D41" s="6" t="str">
        <f>+DATA!U37</f>
        <v>SI</v>
      </c>
      <c r="E41" s="361">
        <f t="shared" si="1"/>
        <v>2.2222222222200001E-2</v>
      </c>
      <c r="F41" s="95">
        <f t="shared" si="9"/>
        <v>8.8888888888800002E-3</v>
      </c>
      <c r="G41" s="31">
        <f>IF(OR(D41="SI",D41="Sí"),VLOOKUP(A41,DATA!$A$4:$D$350,4,0),0)</f>
        <v>9509</v>
      </c>
      <c r="H41" s="95">
        <f>IF(OR(D41="SI",D41="Sí"),VLOOKUP(A41,DATA!$A$4:$E$350,5,0),0)</f>
        <v>0.1631210174806921</v>
      </c>
      <c r="I41" s="31">
        <f t="shared" si="10"/>
        <v>1551</v>
      </c>
      <c r="J41" s="361">
        <f t="shared" si="2"/>
        <v>7.7508920271999997E-3</v>
      </c>
      <c r="K41" s="361">
        <f t="shared" si="3"/>
        <v>5.8131690199999999E-4</v>
      </c>
      <c r="L41" s="31">
        <f>IF(OR(D41="SI",D41="Sí"),VLOOKUP(A41,DATA!$A$4:$G$350,7,0),0)</f>
        <v>4423</v>
      </c>
      <c r="M41" s="31">
        <f>IF(OR(D41="SI",D41="Sí"),VLOOKUP(A41,DATA!$A$4:$H$350,8,0),0)</f>
        <v>6450</v>
      </c>
      <c r="N41" s="361">
        <f t="shared" si="4"/>
        <v>4.305173921E-3</v>
      </c>
      <c r="O41" s="361">
        <f t="shared" si="11"/>
        <v>6.4585389126768653E-3</v>
      </c>
      <c r="P41" s="361">
        <f t="shared" si="5"/>
        <v>3.2292694560000001E-4</v>
      </c>
      <c r="Q41" s="31">
        <f>IF(OR(D41="SI",D41="Sí"),VLOOKUP(A41,DATA!$A$4:$P$350,14,0),0)</f>
        <v>1195637</v>
      </c>
      <c r="R41" s="121">
        <f t="shared" si="12"/>
        <v>125.74</v>
      </c>
      <c r="S41" s="31">
        <f>IF(AND(R41&gt;0,R41&lt;$R$7),ROUND(($R$7-R41)*G41,PARAMETROS!$L$8),0)</f>
        <v>368759</v>
      </c>
      <c r="T41" s="122">
        <f t="shared" si="6"/>
        <v>5.3413574231000001E-3</v>
      </c>
      <c r="U41" s="117">
        <f t="shared" si="7"/>
        <v>4.0060180669999998E-4</v>
      </c>
      <c r="V41" s="117">
        <f>VLOOKUP(A41,DATA!$A$4:$V$350,DATA!$V$1,0)</f>
        <v>1.02026342E-3</v>
      </c>
      <c r="W41" s="117">
        <f>VLOOKUP(A41,DATA!$A$4:$V$350,22,0)</f>
        <v>1.02026342E-3</v>
      </c>
      <c r="X41" s="96">
        <f t="shared" si="8"/>
        <v>1.1213997963180001E-2</v>
      </c>
      <c r="Y41" s="31">
        <f>ROUND(X41*PARAMETROS!$H$35,0)</f>
        <v>615845855</v>
      </c>
      <c r="Z41" s="31">
        <f t="shared" si="13"/>
        <v>615845855</v>
      </c>
      <c r="AA41" s="31">
        <f t="shared" si="14"/>
        <v>153961464</v>
      </c>
      <c r="AB41" s="31">
        <f t="shared" si="15"/>
        <v>153961464</v>
      </c>
      <c r="AC41" s="31">
        <f t="shared" si="15"/>
        <v>153961464</v>
      </c>
      <c r="AD41" s="38">
        <f t="shared" si="16"/>
        <v>153961463</v>
      </c>
    </row>
    <row r="42" spans="1:30" ht="3" customHeight="1" x14ac:dyDescent="0.25">
      <c r="A42">
        <v>4203</v>
      </c>
      <c r="B42">
        <v>4303</v>
      </c>
      <c r="C42" t="s">
        <v>88</v>
      </c>
      <c r="D42" s="6" t="str">
        <f>+DATA!U38</f>
        <v>SI</v>
      </c>
      <c r="E42" s="361">
        <f t="shared" si="1"/>
        <v>2.2222222222200001E-2</v>
      </c>
      <c r="F42" s="95">
        <f t="shared" si="9"/>
        <v>8.8888888888800002E-3</v>
      </c>
      <c r="G42" s="31">
        <f>IF(OR(D42="SI",D42="Sí"),VLOOKUP(A42,DATA!$A$4:$D$350,4,0),0)</f>
        <v>24408</v>
      </c>
      <c r="H42" s="95">
        <f>IF(OR(D42="SI",D42="Sí"),VLOOKUP(A42,DATA!$A$4:$E$350,5,0),0)</f>
        <v>8.4524265276058747E-2</v>
      </c>
      <c r="I42" s="31">
        <f t="shared" si="10"/>
        <v>2063</v>
      </c>
      <c r="J42" s="361">
        <f t="shared" si="2"/>
        <v>1.0309535945900001E-2</v>
      </c>
      <c r="K42" s="361">
        <f t="shared" si="3"/>
        <v>7.7321519589999995E-4</v>
      </c>
      <c r="L42" s="31">
        <f>IF(OR(D42="SI",D42="Sí"),VLOOKUP(A42,DATA!$A$4:$G$350,7,0),0)</f>
        <v>11217</v>
      </c>
      <c r="M42" s="31">
        <f>IF(OR(D42="SI",D42="Sí"),VLOOKUP(A42,DATA!$A$4:$H$350,8,0),0)</f>
        <v>16018</v>
      </c>
      <c r="N42" s="361">
        <f t="shared" si="4"/>
        <v>1.11496616182E-2</v>
      </c>
      <c r="O42" s="361">
        <f t="shared" si="11"/>
        <v>1.67265073945254E-2</v>
      </c>
      <c r="P42" s="361">
        <f t="shared" si="5"/>
        <v>8.3632536969999996E-4</v>
      </c>
      <c r="Q42" s="31">
        <f>IF(OR(D42="SI",D42="Sí"),VLOOKUP(A42,DATA!$A$4:$P$350,14,0),0)</f>
        <v>3520226</v>
      </c>
      <c r="R42" s="121">
        <f t="shared" si="12"/>
        <v>144.22</v>
      </c>
      <c r="S42" s="31">
        <f>IF(AND(R42&gt;0,R42&lt;$R$7),ROUND(($R$7-R42)*G42,PARAMETROS!$L$8),0)</f>
        <v>495482</v>
      </c>
      <c r="T42" s="122">
        <f t="shared" si="6"/>
        <v>7.1768999773000001E-3</v>
      </c>
      <c r="U42" s="117">
        <f t="shared" si="7"/>
        <v>5.3826749830000005E-4</v>
      </c>
      <c r="V42" s="117">
        <f>VLOOKUP(A42,DATA!$A$4:$V$350,DATA!$V$1,0)</f>
        <v>3.5419294699999999E-3</v>
      </c>
      <c r="W42" s="117">
        <f>VLOOKUP(A42,DATA!$A$4:$V$350,22,0)</f>
        <v>3.5419294699999999E-3</v>
      </c>
      <c r="X42" s="96">
        <f t="shared" si="8"/>
        <v>1.4578626422780001E-2</v>
      </c>
      <c r="Y42" s="31">
        <f>ROUND(X42*PARAMETROS!$H$35,0)</f>
        <v>800623174</v>
      </c>
      <c r="Z42" s="31">
        <f t="shared" si="13"/>
        <v>800623174</v>
      </c>
      <c r="AA42" s="31">
        <f t="shared" si="14"/>
        <v>200155794</v>
      </c>
      <c r="AB42" s="31">
        <f t="shared" si="15"/>
        <v>200155794</v>
      </c>
      <c r="AC42" s="31">
        <f t="shared" si="15"/>
        <v>200155794</v>
      </c>
      <c r="AD42" s="38">
        <f t="shared" si="16"/>
        <v>200155792</v>
      </c>
    </row>
    <row r="43" spans="1:30" ht="3" customHeight="1" x14ac:dyDescent="0.25">
      <c r="A43">
        <v>4204</v>
      </c>
      <c r="B43">
        <v>4302</v>
      </c>
      <c r="C43" t="s">
        <v>87</v>
      </c>
      <c r="D43" s="6" t="str">
        <f>+DATA!U39</f>
        <v>SI</v>
      </c>
      <c r="E43" s="361">
        <f t="shared" si="1"/>
        <v>2.2222222222200001E-2</v>
      </c>
      <c r="F43" s="95">
        <f t="shared" si="9"/>
        <v>8.8888888888800002E-3</v>
      </c>
      <c r="G43" s="31">
        <f>IF(OR(D43="SI",D43="Sí"),VLOOKUP(A43,DATA!$A$4:$D$350,4,0),0)</f>
        <v>29916</v>
      </c>
      <c r="H43" s="95">
        <f>IF(OR(D43="SI",D43="Sí"),VLOOKUP(A43,DATA!$A$4:$E$350,5,0),0)</f>
        <v>9.1075665513342632E-2</v>
      </c>
      <c r="I43" s="31">
        <f t="shared" si="10"/>
        <v>2725</v>
      </c>
      <c r="J43" s="361">
        <f t="shared" si="2"/>
        <v>1.3617782575200001E-2</v>
      </c>
      <c r="K43" s="361">
        <f t="shared" si="3"/>
        <v>1.0213336931000001E-3</v>
      </c>
      <c r="L43" s="31">
        <f>IF(OR(D43="SI",D43="Sí"),VLOOKUP(A43,DATA!$A$4:$G$350,7,0),0)</f>
        <v>11658</v>
      </c>
      <c r="M43" s="31">
        <f>IF(OR(D43="SI",D43="Sí"),VLOOKUP(A43,DATA!$A$4:$H$350,8,0),0)</f>
        <v>14447</v>
      </c>
      <c r="N43" s="361">
        <f t="shared" si="4"/>
        <v>1.33532495682E-2</v>
      </c>
      <c r="O43" s="361">
        <f t="shared" si="11"/>
        <v>2.0032287552014385E-2</v>
      </c>
      <c r="P43" s="361">
        <f t="shared" si="5"/>
        <v>1.0016143775999999E-3</v>
      </c>
      <c r="Q43" s="31">
        <f>IF(OR(D43="SI",D43="Sí"),VLOOKUP(A43,DATA!$A$4:$P$350,14,0),0)</f>
        <v>4404570</v>
      </c>
      <c r="R43" s="121">
        <f t="shared" si="12"/>
        <v>147.22999999999999</v>
      </c>
      <c r="S43" s="31">
        <f>IF(AND(R43&gt;0,R43&lt;$R$7),ROUND(($R$7-R43)*G43,PARAMETROS!$L$8),0)</f>
        <v>517248</v>
      </c>
      <c r="T43" s="122">
        <f t="shared" si="6"/>
        <v>7.4921735996000003E-3</v>
      </c>
      <c r="U43" s="117">
        <f t="shared" si="7"/>
        <v>5.6191301999999996E-4</v>
      </c>
      <c r="V43" s="117">
        <f>VLOOKUP(A43,DATA!$A$4:$V$350,DATA!$V$1,0)</f>
        <v>6.7222019100000004E-3</v>
      </c>
      <c r="W43" s="117">
        <f>VLOOKUP(A43,DATA!$A$4:$V$350,22,0)</f>
        <v>6.7222019100000004E-3</v>
      </c>
      <c r="X43" s="96">
        <f t="shared" si="8"/>
        <v>1.8195951889580002E-2</v>
      </c>
      <c r="Y43" s="31">
        <f>ROUND(X43*PARAMETROS!$H$35,0)</f>
        <v>999278007</v>
      </c>
      <c r="Z43" s="31">
        <f t="shared" si="13"/>
        <v>999278007</v>
      </c>
      <c r="AA43" s="31">
        <f t="shared" si="14"/>
        <v>249819502</v>
      </c>
      <c r="AB43" s="31">
        <f t="shared" si="15"/>
        <v>249819502</v>
      </c>
      <c r="AC43" s="31">
        <f t="shared" si="15"/>
        <v>249819502</v>
      </c>
      <c r="AD43" s="38">
        <f t="shared" si="16"/>
        <v>249819501</v>
      </c>
    </row>
    <row r="44" spans="1:30" ht="3" customHeight="1" x14ac:dyDescent="0.25">
      <c r="A44">
        <v>4301</v>
      </c>
      <c r="B44">
        <v>4201</v>
      </c>
      <c r="C44" t="s">
        <v>83</v>
      </c>
      <c r="D44" s="6" t="str">
        <f>+DATA!U40</f>
        <v>No</v>
      </c>
      <c r="E44" s="361">
        <f t="shared" si="1"/>
        <v>0</v>
      </c>
      <c r="F44" s="95">
        <f t="shared" si="9"/>
        <v>0</v>
      </c>
      <c r="G44" s="31">
        <f>IF(OR(D44="SI",D44="Sí"),VLOOKUP(A44,DATA!$A$4:$D$350,4,0),0)</f>
        <v>0</v>
      </c>
      <c r="H44" s="95">
        <f>IF(OR(D44="SI",D44="Sí"),VLOOKUP(A44,DATA!$A$4:$E$350,5,0),0)</f>
        <v>0</v>
      </c>
      <c r="I44" s="31">
        <f t="shared" si="10"/>
        <v>0</v>
      </c>
      <c r="J44" s="361">
        <f t="shared" si="2"/>
        <v>0</v>
      </c>
      <c r="K44" s="361">
        <f t="shared" si="3"/>
        <v>0</v>
      </c>
      <c r="L44" s="31">
        <f>IF(OR(D44="SI",D44="Sí"),VLOOKUP(A44,DATA!$A$4:$G$350,7,0),0)</f>
        <v>0</v>
      </c>
      <c r="M44" s="31">
        <f>IF(OR(D44="SI",D44="Sí"),VLOOKUP(A44,DATA!$A$4:$H$350,8,0),0)</f>
        <v>0</v>
      </c>
      <c r="N44" s="361">
        <f t="shared" si="4"/>
        <v>0</v>
      </c>
      <c r="O44" s="361">
        <f t="shared" si="11"/>
        <v>0</v>
      </c>
      <c r="P44" s="361">
        <f t="shared" si="5"/>
        <v>0</v>
      </c>
      <c r="Q44" s="31">
        <f>IF(OR(D44="SI",D44="Sí"),VLOOKUP(A44,DATA!$A$4:$P$350,14,0),0)</f>
        <v>0</v>
      </c>
      <c r="R44" s="121">
        <f t="shared" si="12"/>
        <v>0</v>
      </c>
      <c r="S44" s="31">
        <f>IF(AND(R44&gt;0,R44&lt;$R$7),ROUND(($R$7-R44)*G44,PARAMETROS!$L$8),0)</f>
        <v>0</v>
      </c>
      <c r="T44" s="122">
        <f t="shared" si="6"/>
        <v>0</v>
      </c>
      <c r="U44" s="117">
        <f t="shared" si="7"/>
        <v>0</v>
      </c>
      <c r="V44" s="117">
        <f>VLOOKUP(A44,DATA!$A$4:$V$350,DATA!$V$1,0)</f>
        <v>0</v>
      </c>
      <c r="W44" s="117">
        <f>VLOOKUP(A44,DATA!$A$4:$V$350,22,0)</f>
        <v>0</v>
      </c>
      <c r="X44" s="96">
        <f t="shared" si="8"/>
        <v>0</v>
      </c>
      <c r="Y44" s="31">
        <f>ROUND(X44*PARAMETROS!$H$35,0)</f>
        <v>0</v>
      </c>
      <c r="Z44" s="31">
        <f t="shared" si="13"/>
        <v>0</v>
      </c>
      <c r="AA44" s="31">
        <f t="shared" si="14"/>
        <v>0</v>
      </c>
      <c r="AB44" s="31">
        <f t="shared" si="15"/>
        <v>0</v>
      </c>
      <c r="AC44" s="31">
        <f t="shared" si="15"/>
        <v>0</v>
      </c>
      <c r="AD44" s="38">
        <f t="shared" si="16"/>
        <v>0</v>
      </c>
    </row>
    <row r="45" spans="1:30" ht="3" customHeight="1" x14ac:dyDescent="0.25">
      <c r="A45">
        <v>4302</v>
      </c>
      <c r="B45">
        <v>4205</v>
      </c>
      <c r="C45" t="s">
        <v>376</v>
      </c>
      <c r="D45" s="6" t="str">
        <f>+DATA!U41</f>
        <v>SI</v>
      </c>
      <c r="E45" s="361">
        <f t="shared" si="1"/>
        <v>2.2222222222200001E-2</v>
      </c>
      <c r="F45" s="95">
        <f t="shared" si="9"/>
        <v>8.8888888888800002E-3</v>
      </c>
      <c r="G45" s="31">
        <f>IF(OR(D45="SI",D45="Sí"),VLOOKUP(A45,DATA!$A$4:$D$350,4,0),0)</f>
        <v>13855</v>
      </c>
      <c r="H45" s="95">
        <f>IF(OR(D45="SI",D45="Sí"),VLOOKUP(A45,DATA!$A$4:$E$350,5,0),0)</f>
        <v>0.1099473813298209</v>
      </c>
      <c r="I45" s="31">
        <f t="shared" si="10"/>
        <v>1523</v>
      </c>
      <c r="J45" s="361">
        <f t="shared" si="2"/>
        <v>7.6109661878999996E-3</v>
      </c>
      <c r="K45" s="361">
        <f t="shared" si="3"/>
        <v>5.7082246409999998E-4</v>
      </c>
      <c r="L45" s="31">
        <f>IF(OR(D45="SI",D45="Sí"),VLOOKUP(A45,DATA!$A$4:$G$350,7,0),0)</f>
        <v>7891</v>
      </c>
      <c r="M45" s="31">
        <f>IF(OR(D45="SI",D45="Sí"),VLOOKUP(A45,DATA!$A$4:$H$350,8,0),0)</f>
        <v>8852</v>
      </c>
      <c r="N45" s="361">
        <f t="shared" si="4"/>
        <v>9.9847965067000003E-3</v>
      </c>
      <c r="O45" s="361">
        <f t="shared" si="11"/>
        <v>1.4978999212812984E-2</v>
      </c>
      <c r="P45" s="361">
        <f t="shared" si="5"/>
        <v>7.4894996059999999E-4</v>
      </c>
      <c r="Q45" s="31">
        <f>IF(OR(D45="SI",D45="Sí"),VLOOKUP(A45,DATA!$A$4:$P$350,14,0),0)</f>
        <v>759952</v>
      </c>
      <c r="R45" s="121">
        <f t="shared" si="12"/>
        <v>54.85</v>
      </c>
      <c r="S45" s="31">
        <f>IF(AND(R45&gt;0,R45&lt;$R$7),ROUND(($R$7-R45)*G45,PARAMETROS!$L$8),0)</f>
        <v>1519478</v>
      </c>
      <c r="T45" s="122">
        <f t="shared" si="6"/>
        <v>2.2009157999099999E-2</v>
      </c>
      <c r="U45" s="117">
        <f t="shared" si="7"/>
        <v>1.6506868498999999E-3</v>
      </c>
      <c r="V45" s="117">
        <f>VLOOKUP(A45,DATA!$A$4:$V$350,DATA!$V$1,0)</f>
        <v>2.9334703000000002E-3</v>
      </c>
      <c r="W45" s="117">
        <f>VLOOKUP(A45,DATA!$A$4:$V$350,22,0)</f>
        <v>2.9334703000000002E-3</v>
      </c>
      <c r="X45" s="96">
        <f t="shared" si="8"/>
        <v>1.479281846348E-2</v>
      </c>
      <c r="Y45" s="31">
        <f>ROUND(X45*PARAMETROS!$H$35,0)</f>
        <v>812386087</v>
      </c>
      <c r="Z45" s="31">
        <f t="shared" si="13"/>
        <v>812386087</v>
      </c>
      <c r="AA45" s="31">
        <f t="shared" si="14"/>
        <v>203096522</v>
      </c>
      <c r="AB45" s="31">
        <f t="shared" si="15"/>
        <v>203096522</v>
      </c>
      <c r="AC45" s="31">
        <f t="shared" si="15"/>
        <v>203096522</v>
      </c>
      <c r="AD45" s="38">
        <f t="shared" si="16"/>
        <v>203096521</v>
      </c>
    </row>
    <row r="46" spans="1:30" ht="3" customHeight="1" x14ac:dyDescent="0.25">
      <c r="A46">
        <v>4303</v>
      </c>
      <c r="B46">
        <v>4203</v>
      </c>
      <c r="C46" t="s">
        <v>84</v>
      </c>
      <c r="D46" s="6" t="str">
        <f>+DATA!U42</f>
        <v>SI</v>
      </c>
      <c r="E46" s="361">
        <f t="shared" si="1"/>
        <v>2.2222222222200001E-2</v>
      </c>
      <c r="F46" s="95">
        <f t="shared" si="9"/>
        <v>8.8888888888800002E-3</v>
      </c>
      <c r="G46" s="31">
        <f>IF(OR(D46="SI",D46="Sí"),VLOOKUP(A46,DATA!$A$4:$D$350,4,0),0)</f>
        <v>32672</v>
      </c>
      <c r="H46" s="95">
        <f>IF(OR(D46="SI",D46="Sí"),VLOOKUP(A46,DATA!$A$4:$E$350,5,0),0)</f>
        <v>0.127703937398395</v>
      </c>
      <c r="I46" s="31">
        <f t="shared" si="10"/>
        <v>4172</v>
      </c>
      <c r="J46" s="361">
        <f t="shared" si="2"/>
        <v>2.0848950056500001E-2</v>
      </c>
      <c r="K46" s="361">
        <f t="shared" si="3"/>
        <v>1.5636712542E-3</v>
      </c>
      <c r="L46" s="31">
        <f>IF(OR(D46="SI",D46="Sí"),VLOOKUP(A46,DATA!$A$4:$G$350,7,0),0)</f>
        <v>15424</v>
      </c>
      <c r="M46" s="31">
        <f>IF(OR(D46="SI",D46="Sí"),VLOOKUP(A46,DATA!$A$4:$H$350,8,0),0)</f>
        <v>17381</v>
      </c>
      <c r="N46" s="361">
        <f t="shared" si="4"/>
        <v>1.9428345152099999E-2</v>
      </c>
      <c r="O46" s="361">
        <f t="shared" si="11"/>
        <v>2.9146028819344132E-2</v>
      </c>
      <c r="P46" s="361">
        <f t="shared" si="5"/>
        <v>1.457301441E-3</v>
      </c>
      <c r="Q46" s="31">
        <f>IF(OR(D46="SI",D46="Sí"),VLOOKUP(A46,DATA!$A$4:$P$350,14,0),0)</f>
        <v>1927539</v>
      </c>
      <c r="R46" s="121">
        <f t="shared" si="12"/>
        <v>59</v>
      </c>
      <c r="S46" s="31">
        <f>IF(AND(R46&gt;0,R46&lt;$R$7),ROUND(($R$7-R46)*G46,PARAMETROS!$L$8),0)</f>
        <v>3447549</v>
      </c>
      <c r="T46" s="122">
        <f t="shared" si="6"/>
        <v>4.9936656306100002E-2</v>
      </c>
      <c r="U46" s="117">
        <f t="shared" si="7"/>
        <v>3.745249223E-3</v>
      </c>
      <c r="V46" s="117">
        <f>VLOOKUP(A46,DATA!$A$4:$V$350,DATA!$V$1,0)</f>
        <v>1.3087206699999999E-3</v>
      </c>
      <c r="W46" s="117">
        <f>VLOOKUP(A46,DATA!$A$4:$V$350,22,0)</f>
        <v>1.3087206699999999E-3</v>
      </c>
      <c r="X46" s="96">
        <f t="shared" si="8"/>
        <v>1.6963831477079999E-2</v>
      </c>
      <c r="Y46" s="31">
        <f>ROUND(X46*PARAMETROS!$H$35,0)</f>
        <v>931612912</v>
      </c>
      <c r="Z46" s="31">
        <f t="shared" si="13"/>
        <v>931612912</v>
      </c>
      <c r="AA46" s="31">
        <f t="shared" si="14"/>
        <v>232903228</v>
      </c>
      <c r="AB46" s="31">
        <f t="shared" si="15"/>
        <v>232903228</v>
      </c>
      <c r="AC46" s="31">
        <f t="shared" si="15"/>
        <v>232903228</v>
      </c>
      <c r="AD46" s="38">
        <f t="shared" si="16"/>
        <v>232903228</v>
      </c>
    </row>
    <row r="47" spans="1:30" ht="3" customHeight="1" x14ac:dyDescent="0.25">
      <c r="A47">
        <v>4304</v>
      </c>
      <c r="B47">
        <v>4204</v>
      </c>
      <c r="C47" t="s">
        <v>85</v>
      </c>
      <c r="D47" s="6" t="str">
        <f>+DATA!U43</f>
        <v>SI</v>
      </c>
      <c r="E47" s="361">
        <f t="shared" si="1"/>
        <v>2.2222222222200001E-2</v>
      </c>
      <c r="F47" s="95">
        <f t="shared" si="9"/>
        <v>8.8888888888800002E-3</v>
      </c>
      <c r="G47" s="31">
        <f>IF(OR(D47="SI",D47="Sí"),VLOOKUP(A47,DATA!$A$4:$D$350,4,0),0)</f>
        <v>12514</v>
      </c>
      <c r="H47" s="95">
        <f>IF(OR(D47="SI",D47="Sí"),VLOOKUP(A47,DATA!$A$4:$E$350,5,0),0)</f>
        <v>0.14464948024439669</v>
      </c>
      <c r="I47" s="31">
        <f t="shared" si="10"/>
        <v>1810</v>
      </c>
      <c r="J47" s="361">
        <f t="shared" si="2"/>
        <v>9.0452060408000006E-3</v>
      </c>
      <c r="K47" s="361">
        <f t="shared" si="3"/>
        <v>6.7839045309999997E-4</v>
      </c>
      <c r="L47" s="31">
        <f>IF(OR(D47="SI",D47="Sí"),VLOOKUP(A47,DATA!$A$4:$G$350,7,0),0)</f>
        <v>5478</v>
      </c>
      <c r="M47" s="31">
        <f>IF(OR(D47="SI",D47="Sí"),VLOOKUP(A47,DATA!$A$4:$H$350,8,0),0)</f>
        <v>6639</v>
      </c>
      <c r="N47" s="361">
        <f t="shared" si="4"/>
        <v>6.4159049877999998E-3</v>
      </c>
      <c r="O47" s="361">
        <f t="shared" si="11"/>
        <v>9.6250169642667707E-3</v>
      </c>
      <c r="P47" s="361">
        <f t="shared" si="5"/>
        <v>4.812508482E-4</v>
      </c>
      <c r="Q47" s="31">
        <f>IF(OR(D47="SI",D47="Sí"),VLOOKUP(A47,DATA!$A$4:$P$350,14,0),0)</f>
        <v>954709</v>
      </c>
      <c r="R47" s="121">
        <f t="shared" si="12"/>
        <v>76.290000000000006</v>
      </c>
      <c r="S47" s="31">
        <f>IF(AND(R47&gt;0,R47&lt;$R$7),ROUND(($R$7-R47)*G47,PARAMETROS!$L$8),0)</f>
        <v>1104110</v>
      </c>
      <c r="T47" s="122">
        <f t="shared" si="6"/>
        <v>1.59926839602E-2</v>
      </c>
      <c r="U47" s="117">
        <f t="shared" si="7"/>
        <v>1.1994512969999999E-3</v>
      </c>
      <c r="V47" s="117">
        <f>VLOOKUP(A47,DATA!$A$4:$V$350,DATA!$V$1,0)</f>
        <v>2.3482526000000001E-3</v>
      </c>
      <c r="W47" s="117">
        <f>VLOOKUP(A47,DATA!$A$4:$V$350,22,0)</f>
        <v>2.3482526000000001E-3</v>
      </c>
      <c r="X47" s="96">
        <f t="shared" si="8"/>
        <v>1.359623408718E-2</v>
      </c>
      <c r="Y47" s="31">
        <f>ROUND(X47*PARAMETROS!$H$35,0)</f>
        <v>746672545</v>
      </c>
      <c r="Z47" s="31">
        <f t="shared" si="13"/>
        <v>746672545</v>
      </c>
      <c r="AA47" s="31">
        <f t="shared" si="14"/>
        <v>186668136</v>
      </c>
      <c r="AB47" s="31">
        <f t="shared" si="15"/>
        <v>186668136</v>
      </c>
      <c r="AC47" s="31">
        <f t="shared" si="15"/>
        <v>186668136</v>
      </c>
      <c r="AD47" s="38">
        <f t="shared" si="16"/>
        <v>186668137</v>
      </c>
    </row>
    <row r="48" spans="1:30" ht="3" customHeight="1" x14ac:dyDescent="0.25">
      <c r="A48">
        <v>4305</v>
      </c>
      <c r="B48">
        <v>4206</v>
      </c>
      <c r="C48" t="s">
        <v>377</v>
      </c>
      <c r="D48" s="6" t="str">
        <f>+DATA!U44</f>
        <v>No</v>
      </c>
      <c r="E48" s="361">
        <f t="shared" si="1"/>
        <v>0</v>
      </c>
      <c r="F48" s="95">
        <f t="shared" si="9"/>
        <v>0</v>
      </c>
      <c r="G48" s="31">
        <f>IF(OR(D48="SI",D48="Sí"),VLOOKUP(A48,DATA!$A$4:$D$350,4,0),0)</f>
        <v>0</v>
      </c>
      <c r="H48" s="95">
        <f>IF(OR(D48="SI",D48="Sí"),VLOOKUP(A48,DATA!$A$4:$E$350,5,0),0)</f>
        <v>0</v>
      </c>
      <c r="I48" s="31">
        <f t="shared" si="10"/>
        <v>0</v>
      </c>
      <c r="J48" s="361">
        <f t="shared" si="2"/>
        <v>0</v>
      </c>
      <c r="K48" s="361">
        <f t="shared" si="3"/>
        <v>0</v>
      </c>
      <c r="L48" s="31">
        <f>IF(OR(D48="SI",D48="Sí"),VLOOKUP(A48,DATA!$A$4:$G$350,7,0),0)</f>
        <v>0</v>
      </c>
      <c r="M48" s="31">
        <f>IF(OR(D48="SI",D48="Sí"),VLOOKUP(A48,DATA!$A$4:$H$350,8,0),0)</f>
        <v>0</v>
      </c>
      <c r="N48" s="361">
        <f t="shared" si="4"/>
        <v>0</v>
      </c>
      <c r="O48" s="361">
        <f t="shared" si="11"/>
        <v>0</v>
      </c>
      <c r="P48" s="361">
        <f t="shared" si="5"/>
        <v>0</v>
      </c>
      <c r="Q48" s="31">
        <f>IF(OR(D48="SI",D48="Sí"),VLOOKUP(A48,DATA!$A$4:$P$350,14,0),0)</f>
        <v>0</v>
      </c>
      <c r="R48" s="121">
        <f t="shared" si="12"/>
        <v>0</v>
      </c>
      <c r="S48" s="31">
        <f>IF(AND(R48&gt;0,R48&lt;$R$7),ROUND(($R$7-R48)*G48,PARAMETROS!$L$8),0)</f>
        <v>0</v>
      </c>
      <c r="T48" s="122">
        <f t="shared" si="6"/>
        <v>0</v>
      </c>
      <c r="U48" s="117">
        <f t="shared" si="7"/>
        <v>0</v>
      </c>
      <c r="V48" s="117">
        <f>VLOOKUP(A48,DATA!$A$4:$V$350,DATA!$V$1,0)</f>
        <v>0</v>
      </c>
      <c r="W48" s="117">
        <f>VLOOKUP(A48,DATA!$A$4:$V$350,22,0)</f>
        <v>0</v>
      </c>
      <c r="X48" s="96">
        <f t="shared" si="8"/>
        <v>0</v>
      </c>
      <c r="Y48" s="31">
        <f>ROUND(X48*PARAMETROS!$H$35,0)</f>
        <v>0</v>
      </c>
      <c r="Z48" s="31">
        <f t="shared" si="13"/>
        <v>0</v>
      </c>
      <c r="AA48" s="31">
        <f t="shared" si="14"/>
        <v>0</v>
      </c>
      <c r="AB48" s="31">
        <f t="shared" si="15"/>
        <v>0</v>
      </c>
      <c r="AC48" s="31">
        <f t="shared" si="15"/>
        <v>0</v>
      </c>
      <c r="AD48" s="38">
        <f t="shared" si="16"/>
        <v>0</v>
      </c>
    </row>
    <row r="49" spans="1:30" ht="3" customHeight="1" x14ac:dyDescent="0.25">
      <c r="A49">
        <v>5101</v>
      </c>
      <c r="B49">
        <v>5301</v>
      </c>
      <c r="C49" t="s">
        <v>378</v>
      </c>
      <c r="D49" s="6" t="str">
        <f>+DATA!U45</f>
        <v>No</v>
      </c>
      <c r="E49" s="361">
        <f t="shared" si="1"/>
        <v>0</v>
      </c>
      <c r="F49" s="95">
        <f t="shared" si="9"/>
        <v>0</v>
      </c>
      <c r="G49" s="31">
        <f>IF(OR(D49="SI",D49="Sí"),VLOOKUP(A49,DATA!$A$4:$D$350,4,0),0)</f>
        <v>0</v>
      </c>
      <c r="H49" s="95">
        <f>IF(OR(D49="SI",D49="Sí"),VLOOKUP(A49,DATA!$A$4:$E$350,5,0),0)</f>
        <v>0</v>
      </c>
      <c r="I49" s="31">
        <f t="shared" si="10"/>
        <v>0</v>
      </c>
      <c r="J49" s="361">
        <f t="shared" si="2"/>
        <v>0</v>
      </c>
      <c r="K49" s="361">
        <f t="shared" si="3"/>
        <v>0</v>
      </c>
      <c r="L49" s="31">
        <f>IF(OR(D49="SI",D49="Sí"),VLOOKUP(A49,DATA!$A$4:$G$350,7,0),0)</f>
        <v>0</v>
      </c>
      <c r="M49" s="31">
        <f>IF(OR(D49="SI",D49="Sí"),VLOOKUP(A49,DATA!$A$4:$H$350,8,0),0)</f>
        <v>0</v>
      </c>
      <c r="N49" s="361">
        <f t="shared" si="4"/>
        <v>0</v>
      </c>
      <c r="O49" s="361">
        <f t="shared" si="11"/>
        <v>0</v>
      </c>
      <c r="P49" s="361">
        <f t="shared" si="5"/>
        <v>0</v>
      </c>
      <c r="Q49" s="31">
        <f>IF(OR(D49="SI",D49="Sí"),VLOOKUP(A49,DATA!$A$4:$P$350,14,0),0)</f>
        <v>0</v>
      </c>
      <c r="R49" s="121">
        <f t="shared" si="12"/>
        <v>0</v>
      </c>
      <c r="S49" s="31">
        <f>IF(AND(R49&gt;0,R49&lt;$R$7),ROUND(($R$7-R49)*G49,PARAMETROS!$L$8),0)</f>
        <v>0</v>
      </c>
      <c r="T49" s="122">
        <f t="shared" si="6"/>
        <v>0</v>
      </c>
      <c r="U49" s="117">
        <f t="shared" si="7"/>
        <v>0</v>
      </c>
      <c r="V49" s="117">
        <f>VLOOKUP(A49,DATA!$A$4:$V$350,DATA!$V$1,0)</f>
        <v>0</v>
      </c>
      <c r="W49" s="117">
        <f>VLOOKUP(A49,DATA!$A$4:$V$350,22,0)</f>
        <v>0</v>
      </c>
      <c r="X49" s="96">
        <f t="shared" si="8"/>
        <v>0</v>
      </c>
      <c r="Y49" s="31">
        <f>ROUND(X49*PARAMETROS!$H$35,0)</f>
        <v>0</v>
      </c>
      <c r="Z49" s="31">
        <f t="shared" si="13"/>
        <v>0</v>
      </c>
      <c r="AA49" s="31">
        <f t="shared" si="14"/>
        <v>0</v>
      </c>
      <c r="AB49" s="31">
        <f t="shared" si="15"/>
        <v>0</v>
      </c>
      <c r="AC49" s="31">
        <f t="shared" si="15"/>
        <v>0</v>
      </c>
      <c r="AD49" s="38">
        <f t="shared" si="16"/>
        <v>0</v>
      </c>
    </row>
    <row r="50" spans="1:30" ht="3" customHeight="1" x14ac:dyDescent="0.25">
      <c r="A50">
        <v>5102</v>
      </c>
      <c r="B50">
        <v>5305</v>
      </c>
      <c r="C50" t="s">
        <v>97</v>
      </c>
      <c r="D50" s="6" t="str">
        <f>+DATA!U46</f>
        <v>No</v>
      </c>
      <c r="E50" s="361">
        <f t="shared" si="1"/>
        <v>0</v>
      </c>
      <c r="F50" s="95">
        <f t="shared" si="9"/>
        <v>0</v>
      </c>
      <c r="G50" s="31">
        <f>IF(OR(D50="SI",D50="Sí"),VLOOKUP(A50,DATA!$A$4:$D$350,4,0),0)</f>
        <v>0</v>
      </c>
      <c r="H50" s="95">
        <f>IF(OR(D50="SI",D50="Sí"),VLOOKUP(A50,DATA!$A$4:$E$350,5,0),0)</f>
        <v>0</v>
      </c>
      <c r="I50" s="31">
        <f t="shared" si="10"/>
        <v>0</v>
      </c>
      <c r="J50" s="361">
        <f t="shared" si="2"/>
        <v>0</v>
      </c>
      <c r="K50" s="361">
        <f t="shared" si="3"/>
        <v>0</v>
      </c>
      <c r="L50" s="31">
        <f>IF(OR(D50="SI",D50="Sí"),VLOOKUP(A50,DATA!$A$4:$G$350,7,0),0)</f>
        <v>0</v>
      </c>
      <c r="M50" s="31">
        <f>IF(OR(D50="SI",D50="Sí"),VLOOKUP(A50,DATA!$A$4:$H$350,8,0),0)</f>
        <v>0</v>
      </c>
      <c r="N50" s="361">
        <f t="shared" si="4"/>
        <v>0</v>
      </c>
      <c r="O50" s="361">
        <f t="shared" si="11"/>
        <v>0</v>
      </c>
      <c r="P50" s="361">
        <f t="shared" si="5"/>
        <v>0</v>
      </c>
      <c r="Q50" s="31">
        <f>IF(OR(D50="SI",D50="Sí"),VLOOKUP(A50,DATA!$A$4:$P$350,14,0),0)</f>
        <v>0</v>
      </c>
      <c r="R50" s="121">
        <f t="shared" si="12"/>
        <v>0</v>
      </c>
      <c r="S50" s="31">
        <f>IF(AND(R50&gt;0,R50&lt;$R$7),ROUND(($R$7-R50)*G50,PARAMETROS!$L$8),0)</f>
        <v>0</v>
      </c>
      <c r="T50" s="122">
        <f t="shared" si="6"/>
        <v>0</v>
      </c>
      <c r="U50" s="117">
        <f t="shared" si="7"/>
        <v>0</v>
      </c>
      <c r="V50" s="117">
        <f>VLOOKUP(A50,DATA!$A$4:$V$350,DATA!$V$1,0)</f>
        <v>0</v>
      </c>
      <c r="W50" s="117">
        <f>VLOOKUP(A50,DATA!$A$4:$V$350,22,0)</f>
        <v>0</v>
      </c>
      <c r="X50" s="96">
        <f t="shared" si="8"/>
        <v>0</v>
      </c>
      <c r="Y50" s="31">
        <f>ROUND(X50*PARAMETROS!$H$35,0)</f>
        <v>0</v>
      </c>
      <c r="Z50" s="31">
        <f t="shared" si="13"/>
        <v>0</v>
      </c>
      <c r="AA50" s="31">
        <f t="shared" si="14"/>
        <v>0</v>
      </c>
      <c r="AB50" s="31">
        <f t="shared" si="15"/>
        <v>0</v>
      </c>
      <c r="AC50" s="31">
        <f t="shared" si="15"/>
        <v>0</v>
      </c>
      <c r="AD50" s="38">
        <f t="shared" si="16"/>
        <v>0</v>
      </c>
    </row>
    <row r="51" spans="1:30" ht="3" customHeight="1" x14ac:dyDescent="0.25">
      <c r="A51">
        <v>5103</v>
      </c>
      <c r="B51">
        <v>5309</v>
      </c>
      <c r="C51" t="s">
        <v>379</v>
      </c>
      <c r="D51" s="6" t="str">
        <f>+DATA!U47</f>
        <v>No</v>
      </c>
      <c r="E51" s="361">
        <f t="shared" si="1"/>
        <v>0</v>
      </c>
      <c r="F51" s="95">
        <f t="shared" si="9"/>
        <v>0</v>
      </c>
      <c r="G51" s="31">
        <f>IF(OR(D51="SI",D51="Sí"),VLOOKUP(A51,DATA!$A$4:$D$350,4,0),0)</f>
        <v>0</v>
      </c>
      <c r="H51" s="95">
        <f>IF(OR(D51="SI",D51="Sí"),VLOOKUP(A51,DATA!$A$4:$E$350,5,0),0)</f>
        <v>0</v>
      </c>
      <c r="I51" s="31">
        <f t="shared" si="10"/>
        <v>0</v>
      </c>
      <c r="J51" s="361">
        <f t="shared" si="2"/>
        <v>0</v>
      </c>
      <c r="K51" s="361">
        <f t="shared" si="3"/>
        <v>0</v>
      </c>
      <c r="L51" s="31">
        <f>IF(OR(D51="SI",D51="Sí"),VLOOKUP(A51,DATA!$A$4:$G$350,7,0),0)</f>
        <v>0</v>
      </c>
      <c r="M51" s="31">
        <f>IF(OR(D51="SI",D51="Sí"),VLOOKUP(A51,DATA!$A$4:$H$350,8,0),0)</f>
        <v>0</v>
      </c>
      <c r="N51" s="361">
        <f t="shared" si="4"/>
        <v>0</v>
      </c>
      <c r="O51" s="361">
        <f t="shared" si="11"/>
        <v>0</v>
      </c>
      <c r="P51" s="361">
        <f t="shared" si="5"/>
        <v>0</v>
      </c>
      <c r="Q51" s="31">
        <f>IF(OR(D51="SI",D51="Sí"),VLOOKUP(A51,DATA!$A$4:$P$350,14,0),0)</f>
        <v>0</v>
      </c>
      <c r="R51" s="121">
        <f t="shared" si="12"/>
        <v>0</v>
      </c>
      <c r="S51" s="31">
        <f>IF(AND(R51&gt;0,R51&lt;$R$7),ROUND(($R$7-R51)*G51,PARAMETROS!$L$8),0)</f>
        <v>0</v>
      </c>
      <c r="T51" s="122">
        <f t="shared" si="6"/>
        <v>0</v>
      </c>
      <c r="U51" s="117">
        <f t="shared" si="7"/>
        <v>0</v>
      </c>
      <c r="V51" s="117">
        <f>VLOOKUP(A51,DATA!$A$4:$V$350,DATA!$V$1,0)</f>
        <v>0</v>
      </c>
      <c r="W51" s="117">
        <f>VLOOKUP(A51,DATA!$A$4:$V$350,22,0)</f>
        <v>0</v>
      </c>
      <c r="X51" s="96">
        <f t="shared" si="8"/>
        <v>0</v>
      </c>
      <c r="Y51" s="31">
        <f>ROUND(X51*PARAMETROS!$H$35,0)</f>
        <v>0</v>
      </c>
      <c r="Z51" s="31">
        <f t="shared" si="13"/>
        <v>0</v>
      </c>
      <c r="AA51" s="31">
        <f t="shared" si="14"/>
        <v>0</v>
      </c>
      <c r="AB51" s="31">
        <f t="shared" si="15"/>
        <v>0</v>
      </c>
      <c r="AC51" s="31">
        <f t="shared" si="15"/>
        <v>0</v>
      </c>
      <c r="AD51" s="38">
        <f t="shared" si="16"/>
        <v>0</v>
      </c>
    </row>
    <row r="52" spans="1:30" ht="3" customHeight="1" x14ac:dyDescent="0.25">
      <c r="A52">
        <v>5104</v>
      </c>
      <c r="B52">
        <v>5308</v>
      </c>
      <c r="C52" t="s">
        <v>380</v>
      </c>
      <c r="D52" s="6" t="str">
        <f>+DATA!U48</f>
        <v>No</v>
      </c>
      <c r="E52" s="361">
        <f t="shared" si="1"/>
        <v>0</v>
      </c>
      <c r="F52" s="95">
        <f t="shared" si="9"/>
        <v>0</v>
      </c>
      <c r="G52" s="31">
        <f>IF(OR(D52="SI",D52="Sí"),VLOOKUP(A52,DATA!$A$4:$D$350,4,0),0)</f>
        <v>0</v>
      </c>
      <c r="H52" s="95">
        <f>IF(OR(D52="SI",D52="Sí"),VLOOKUP(A52,DATA!$A$4:$E$350,5,0),0)</f>
        <v>0</v>
      </c>
      <c r="I52" s="31">
        <f t="shared" si="10"/>
        <v>0</v>
      </c>
      <c r="J52" s="361">
        <f t="shared" si="2"/>
        <v>0</v>
      </c>
      <c r="K52" s="361">
        <f t="shared" si="3"/>
        <v>0</v>
      </c>
      <c r="L52" s="31">
        <f>IF(OR(D52="SI",D52="Sí"),VLOOKUP(A52,DATA!$A$4:$G$350,7,0),0)</f>
        <v>0</v>
      </c>
      <c r="M52" s="31">
        <f>IF(OR(D52="SI",D52="Sí"),VLOOKUP(A52,DATA!$A$4:$H$350,8,0),0)</f>
        <v>0</v>
      </c>
      <c r="N52" s="361">
        <f t="shared" si="4"/>
        <v>0</v>
      </c>
      <c r="O52" s="361">
        <f t="shared" si="11"/>
        <v>0</v>
      </c>
      <c r="P52" s="361">
        <f t="shared" si="5"/>
        <v>0</v>
      </c>
      <c r="Q52" s="31">
        <f>IF(OR(D52="SI",D52="Sí"),VLOOKUP(A52,DATA!$A$4:$P$350,14,0),0)</f>
        <v>0</v>
      </c>
      <c r="R52" s="121">
        <f t="shared" si="12"/>
        <v>0</v>
      </c>
      <c r="S52" s="31">
        <f>IF(AND(R52&gt;0,R52&lt;$R$7),ROUND(($R$7-R52)*G52,PARAMETROS!$L$8),0)</f>
        <v>0</v>
      </c>
      <c r="T52" s="122">
        <f t="shared" si="6"/>
        <v>0</v>
      </c>
      <c r="U52" s="117">
        <f t="shared" si="7"/>
        <v>0</v>
      </c>
      <c r="V52" s="117">
        <f>VLOOKUP(A52,DATA!$A$4:$V$350,DATA!$V$1,0)</f>
        <v>0</v>
      </c>
      <c r="W52" s="117">
        <f>VLOOKUP(A52,DATA!$A$4:$V$350,22,0)</f>
        <v>0</v>
      </c>
      <c r="X52" s="96">
        <f t="shared" si="8"/>
        <v>0</v>
      </c>
      <c r="Y52" s="31">
        <f>ROUND(X52*PARAMETROS!$H$35,0)</f>
        <v>0</v>
      </c>
      <c r="Z52" s="31">
        <f t="shared" si="13"/>
        <v>0</v>
      </c>
      <c r="AA52" s="31">
        <f t="shared" si="14"/>
        <v>0</v>
      </c>
      <c r="AB52" s="31">
        <f t="shared" si="15"/>
        <v>0</v>
      </c>
      <c r="AC52" s="31">
        <f t="shared" si="15"/>
        <v>0</v>
      </c>
      <c r="AD52" s="38">
        <f t="shared" si="16"/>
        <v>0</v>
      </c>
    </row>
    <row r="53" spans="1:30" ht="3" customHeight="1" x14ac:dyDescent="0.25">
      <c r="A53">
        <v>5105</v>
      </c>
      <c r="B53">
        <v>5307</v>
      </c>
      <c r="C53" t="s">
        <v>381</v>
      </c>
      <c r="D53" s="6" t="str">
        <f>+DATA!U49</f>
        <v>SI</v>
      </c>
      <c r="E53" s="361">
        <f t="shared" si="1"/>
        <v>2.2222222222200001E-2</v>
      </c>
      <c r="F53" s="95">
        <f t="shared" si="9"/>
        <v>8.8888888888800002E-3</v>
      </c>
      <c r="G53" s="31">
        <f>IF(OR(D53="SI",D53="Sí"),VLOOKUP(A53,DATA!$A$4:$D$350,4,0),0)</f>
        <v>21221</v>
      </c>
      <c r="H53" s="95">
        <f>IF(OR(D53="SI",D53="Sí"),VLOOKUP(A53,DATA!$A$4:$E$350,5,0),0)</f>
        <v>3.2935928149776E-2</v>
      </c>
      <c r="I53" s="31">
        <f t="shared" si="10"/>
        <v>699</v>
      </c>
      <c r="J53" s="361">
        <f t="shared" si="2"/>
        <v>3.4931486312E-3</v>
      </c>
      <c r="K53" s="361">
        <f t="shared" si="3"/>
        <v>2.6198614730000002E-4</v>
      </c>
      <c r="L53" s="31">
        <f>IF(OR(D53="SI",D53="Sí"),VLOOKUP(A53,DATA!$A$4:$G$350,7,0),0)</f>
        <v>9380</v>
      </c>
      <c r="M53" s="31">
        <f>IF(OR(D53="SI",D53="Sí"),VLOOKUP(A53,DATA!$A$4:$H$350,8,0),0)</f>
        <v>22628</v>
      </c>
      <c r="N53" s="361">
        <f t="shared" si="4"/>
        <v>5.5191988750999997E-3</v>
      </c>
      <c r="O53" s="361">
        <f t="shared" si="11"/>
        <v>8.2797957424577025E-3</v>
      </c>
      <c r="P53" s="361">
        <f t="shared" si="5"/>
        <v>4.139897871E-4</v>
      </c>
      <c r="Q53" s="31">
        <f>IF(OR(D53="SI",D53="Sí"),VLOOKUP(A53,DATA!$A$4:$P$350,14,0),0)</f>
        <v>8550433</v>
      </c>
      <c r="R53" s="121">
        <f t="shared" si="12"/>
        <v>402.92</v>
      </c>
      <c r="S53" s="31">
        <f>IF(AND(R53&gt;0,R53&lt;$R$7),ROUND(($R$7-R53)*G53,PARAMETROS!$L$8),0)</f>
        <v>0</v>
      </c>
      <c r="T53" s="122">
        <f t="shared" si="6"/>
        <v>0</v>
      </c>
      <c r="U53" s="117">
        <f t="shared" si="7"/>
        <v>0</v>
      </c>
      <c r="V53" s="117">
        <f>VLOOKUP(A53,DATA!$A$4:$V$350,DATA!$V$1,0)</f>
        <v>1.4008964630000001E-2</v>
      </c>
      <c r="W53" s="117">
        <f>VLOOKUP(A53,DATA!$A$4:$V$350,22,0)</f>
        <v>1.4008964630000001E-2</v>
      </c>
      <c r="X53" s="96">
        <f t="shared" si="8"/>
        <v>2.3573829453280001E-2</v>
      </c>
      <c r="Y53" s="31">
        <f>ROUND(X53*PARAMETROS!$H$35,0)</f>
        <v>1294618136</v>
      </c>
      <c r="Z53" s="31">
        <f t="shared" si="13"/>
        <v>1294618136</v>
      </c>
      <c r="AA53" s="31">
        <f t="shared" si="14"/>
        <v>323654534</v>
      </c>
      <c r="AB53" s="31">
        <f t="shared" si="15"/>
        <v>323654534</v>
      </c>
      <c r="AC53" s="31">
        <f t="shared" si="15"/>
        <v>323654534</v>
      </c>
      <c r="AD53" s="38">
        <f t="shared" si="16"/>
        <v>323654534</v>
      </c>
    </row>
    <row r="54" spans="1:30" ht="3" customHeight="1" x14ac:dyDescent="0.25">
      <c r="A54">
        <v>5107</v>
      </c>
      <c r="B54">
        <v>5306</v>
      </c>
      <c r="C54" t="s">
        <v>98</v>
      </c>
      <c r="D54" s="6" t="str">
        <f>+DATA!U50</f>
        <v>SI</v>
      </c>
      <c r="E54" s="361">
        <f t="shared" si="1"/>
        <v>2.2222222222200001E-2</v>
      </c>
      <c r="F54" s="95">
        <f t="shared" si="9"/>
        <v>8.8888888888800002E-3</v>
      </c>
      <c r="G54" s="31">
        <f>IF(OR(D54="SI",D54="Sí"),VLOOKUP(A54,DATA!$A$4:$D$350,4,0),0)</f>
        <v>38613</v>
      </c>
      <c r="H54" s="95">
        <f>IF(OR(D54="SI",D54="Sí"),VLOOKUP(A54,DATA!$A$4:$E$350,5,0),0)</f>
        <v>7.7221617901614942E-2</v>
      </c>
      <c r="I54" s="31">
        <f t="shared" si="10"/>
        <v>2982</v>
      </c>
      <c r="J54" s="361">
        <f t="shared" si="2"/>
        <v>1.4902101886E-2</v>
      </c>
      <c r="K54" s="361">
        <f t="shared" si="3"/>
        <v>1.1176576415E-3</v>
      </c>
      <c r="L54" s="31">
        <f>IF(OR(D54="SI",D54="Sí"),VLOOKUP(A54,DATA!$A$4:$G$350,7,0),0)</f>
        <v>12779</v>
      </c>
      <c r="M54" s="31">
        <f>IF(OR(D54="SI",D54="Sí"),VLOOKUP(A54,DATA!$A$4:$H$350,8,0),0)</f>
        <v>20266</v>
      </c>
      <c r="N54" s="361">
        <f t="shared" si="4"/>
        <v>1.1437793163999999E-2</v>
      </c>
      <c r="O54" s="361">
        <f t="shared" si="11"/>
        <v>1.7158756784368116E-2</v>
      </c>
      <c r="P54" s="361">
        <f t="shared" si="5"/>
        <v>8.5793783919999999E-4</v>
      </c>
      <c r="Q54" s="31">
        <f>IF(OR(D54="SI",D54="Sí"),VLOOKUP(A54,DATA!$A$4:$P$350,14,0),0)</f>
        <v>4630693</v>
      </c>
      <c r="R54" s="121">
        <f t="shared" si="12"/>
        <v>119.93</v>
      </c>
      <c r="S54" s="31">
        <f>IF(AND(R54&gt;0,R54&lt;$R$7),ROUND(($R$7-R54)*G54,PARAMETROS!$L$8),0)</f>
        <v>1721754</v>
      </c>
      <c r="T54" s="122">
        <f t="shared" si="6"/>
        <v>2.49390618499E-2</v>
      </c>
      <c r="U54" s="117">
        <f t="shared" si="7"/>
        <v>1.8704296387000001E-3</v>
      </c>
      <c r="V54" s="117">
        <f>VLOOKUP(A54,DATA!$A$4:$V$350,DATA!$V$1,0)</f>
        <v>1.099392835E-2</v>
      </c>
      <c r="W54" s="117">
        <f>VLOOKUP(A54,DATA!$A$4:$V$350,22,0)</f>
        <v>1.099392835E-2</v>
      </c>
      <c r="X54" s="96">
        <f t="shared" si="8"/>
        <v>2.3728842358280003E-2</v>
      </c>
      <c r="Y54" s="31">
        <f>ROUND(X54*PARAMETROS!$H$35,0)</f>
        <v>1303131073</v>
      </c>
      <c r="Z54" s="31">
        <f t="shared" si="13"/>
        <v>1303131073</v>
      </c>
      <c r="AA54" s="31">
        <f t="shared" si="14"/>
        <v>325782768</v>
      </c>
      <c r="AB54" s="31">
        <f t="shared" si="15"/>
        <v>325782768</v>
      </c>
      <c r="AC54" s="31">
        <f t="shared" si="15"/>
        <v>325782768</v>
      </c>
      <c r="AD54" s="38">
        <f t="shared" si="16"/>
        <v>325782769</v>
      </c>
    </row>
    <row r="55" spans="1:30" ht="3" customHeight="1" x14ac:dyDescent="0.25">
      <c r="A55">
        <v>5109</v>
      </c>
      <c r="B55">
        <v>5302</v>
      </c>
      <c r="C55" t="s">
        <v>95</v>
      </c>
      <c r="D55" s="6" t="str">
        <f>+DATA!U51</f>
        <v>No</v>
      </c>
      <c r="E55" s="361">
        <f t="shared" si="1"/>
        <v>0</v>
      </c>
      <c r="F55" s="95">
        <f t="shared" si="9"/>
        <v>0</v>
      </c>
      <c r="G55" s="31">
        <f>IF(OR(D55="SI",D55="Sí"),VLOOKUP(A55,DATA!$A$4:$D$350,4,0),0)</f>
        <v>0</v>
      </c>
      <c r="H55" s="95">
        <f>IF(OR(D55="SI",D55="Sí"),VLOOKUP(A55,DATA!$A$4:$E$350,5,0),0)</f>
        <v>0</v>
      </c>
      <c r="I55" s="31">
        <f t="shared" si="10"/>
        <v>0</v>
      </c>
      <c r="J55" s="361">
        <f t="shared" si="2"/>
        <v>0</v>
      </c>
      <c r="K55" s="361">
        <f t="shared" si="3"/>
        <v>0</v>
      </c>
      <c r="L55" s="31">
        <f>IF(OR(D55="SI",D55="Sí"),VLOOKUP(A55,DATA!$A$4:$G$350,7,0),0)</f>
        <v>0</v>
      </c>
      <c r="M55" s="31">
        <f>IF(OR(D55="SI",D55="Sí"),VLOOKUP(A55,DATA!$A$4:$H$350,8,0),0)</f>
        <v>0</v>
      </c>
      <c r="N55" s="361">
        <f t="shared" si="4"/>
        <v>0</v>
      </c>
      <c r="O55" s="361">
        <f t="shared" si="11"/>
        <v>0</v>
      </c>
      <c r="P55" s="361">
        <f t="shared" si="5"/>
        <v>0</v>
      </c>
      <c r="Q55" s="31">
        <f>IF(OR(D55="SI",D55="Sí"),VLOOKUP(A55,DATA!$A$4:$P$350,14,0),0)</f>
        <v>0</v>
      </c>
      <c r="R55" s="121">
        <f t="shared" si="12"/>
        <v>0</v>
      </c>
      <c r="S55" s="31">
        <f>IF(AND(R55&gt;0,R55&lt;$R$7),ROUND(($R$7-R55)*G55,PARAMETROS!$L$8),0)</f>
        <v>0</v>
      </c>
      <c r="T55" s="122">
        <f t="shared" si="6"/>
        <v>0</v>
      </c>
      <c r="U55" s="117">
        <f t="shared" si="7"/>
        <v>0</v>
      </c>
      <c r="V55" s="117">
        <f>VLOOKUP(A55,DATA!$A$4:$V$350,DATA!$V$1,0)</f>
        <v>0</v>
      </c>
      <c r="W55" s="117">
        <f>VLOOKUP(A55,DATA!$A$4:$V$350,22,0)</f>
        <v>0</v>
      </c>
      <c r="X55" s="96">
        <f t="shared" si="8"/>
        <v>0</v>
      </c>
      <c r="Y55" s="31">
        <f>ROUND(X55*PARAMETROS!$H$35,0)</f>
        <v>0</v>
      </c>
      <c r="Z55" s="31">
        <f t="shared" si="13"/>
        <v>0</v>
      </c>
      <c r="AA55" s="31">
        <f t="shared" si="14"/>
        <v>0</v>
      </c>
      <c r="AB55" s="31">
        <f t="shared" si="15"/>
        <v>0</v>
      </c>
      <c r="AC55" s="31">
        <f t="shared" si="15"/>
        <v>0</v>
      </c>
      <c r="AD55" s="38">
        <f t="shared" si="16"/>
        <v>0</v>
      </c>
    </row>
    <row r="56" spans="1:30" ht="3" customHeight="1" x14ac:dyDescent="0.25">
      <c r="A56">
        <v>5201</v>
      </c>
      <c r="B56">
        <v>5101</v>
      </c>
      <c r="C56" t="s">
        <v>504</v>
      </c>
      <c r="D56" s="6" t="str">
        <f>+DATA!U52</f>
        <v>No</v>
      </c>
      <c r="E56" s="361">
        <f t="shared" si="1"/>
        <v>0</v>
      </c>
      <c r="F56" s="95">
        <f t="shared" si="9"/>
        <v>0</v>
      </c>
      <c r="G56" s="31">
        <f>IF(OR(D56="SI",D56="Sí"),VLOOKUP(A56,DATA!$A$4:$D$350,4,0),0)</f>
        <v>0</v>
      </c>
      <c r="H56" s="95">
        <f>IF(OR(D56="SI",D56="Sí"),VLOOKUP(A56,DATA!$A$4:$E$350,5,0),0)</f>
        <v>0</v>
      </c>
      <c r="I56" s="31">
        <f t="shared" si="10"/>
        <v>0</v>
      </c>
      <c r="J56" s="361">
        <f t="shared" si="2"/>
        <v>0</v>
      </c>
      <c r="K56" s="361">
        <f t="shared" si="3"/>
        <v>0</v>
      </c>
      <c r="L56" s="31">
        <f>IF(OR(D56="SI",D56="Sí"),VLOOKUP(A56,DATA!$A$4:$G$350,7,0),0)</f>
        <v>0</v>
      </c>
      <c r="M56" s="31">
        <f>IF(OR(D56="SI",D56="Sí"),VLOOKUP(A56,DATA!$A$4:$H$350,8,0),0)</f>
        <v>0</v>
      </c>
      <c r="N56" s="361">
        <f t="shared" si="4"/>
        <v>0</v>
      </c>
      <c r="O56" s="361">
        <f t="shared" si="11"/>
        <v>0</v>
      </c>
      <c r="P56" s="361">
        <f t="shared" si="5"/>
        <v>0</v>
      </c>
      <c r="Q56" s="31">
        <f>IF(OR(D56="SI",D56="Sí"),VLOOKUP(A56,DATA!$A$4:$P$350,14,0),0)</f>
        <v>0</v>
      </c>
      <c r="R56" s="121">
        <f t="shared" si="12"/>
        <v>0</v>
      </c>
      <c r="S56" s="31">
        <f>IF(AND(R56&gt;0,R56&lt;$R$7),ROUND(($R$7-R56)*G56,PARAMETROS!$L$8),0)</f>
        <v>0</v>
      </c>
      <c r="T56" s="122">
        <f t="shared" si="6"/>
        <v>0</v>
      </c>
      <c r="U56" s="117">
        <f t="shared" si="7"/>
        <v>0</v>
      </c>
      <c r="V56" s="117">
        <f>VLOOKUP(A56,DATA!$A$4:$V$350,DATA!$V$1,0)</f>
        <v>0</v>
      </c>
      <c r="W56" s="117">
        <f>VLOOKUP(A56,DATA!$A$4:$V$350,22,0)</f>
        <v>0</v>
      </c>
      <c r="X56" s="96">
        <f t="shared" si="8"/>
        <v>0</v>
      </c>
      <c r="Y56" s="31">
        <f>ROUND(X56*PARAMETROS!$H$35,0)</f>
        <v>0</v>
      </c>
      <c r="Z56" s="31">
        <f t="shared" si="13"/>
        <v>0</v>
      </c>
      <c r="AA56" s="31">
        <f t="shared" si="14"/>
        <v>0</v>
      </c>
      <c r="AB56" s="31">
        <f t="shared" si="15"/>
        <v>0</v>
      </c>
      <c r="AC56" s="31">
        <f t="shared" si="15"/>
        <v>0</v>
      </c>
      <c r="AD56" s="38">
        <f t="shared" si="16"/>
        <v>0</v>
      </c>
    </row>
    <row r="57" spans="1:30" ht="3" customHeight="1" x14ac:dyDescent="0.25">
      <c r="A57">
        <v>5301</v>
      </c>
      <c r="B57">
        <v>5701</v>
      </c>
      <c r="C57" t="s">
        <v>115</v>
      </c>
      <c r="D57" s="6" t="str">
        <f>+DATA!U53</f>
        <v>SI</v>
      </c>
      <c r="E57" s="361">
        <f t="shared" si="1"/>
        <v>2.2222222222200001E-2</v>
      </c>
      <c r="F57" s="95">
        <f t="shared" si="9"/>
        <v>8.8888888888800002E-3</v>
      </c>
      <c r="G57" s="31">
        <f>IF(OR(D57="SI",D57="Sí"),VLOOKUP(A57,DATA!$A$4:$D$350,4,0),0)</f>
        <v>68939</v>
      </c>
      <c r="H57" s="95">
        <f>IF(OR(D57="SI",D57="Sí"),VLOOKUP(A57,DATA!$A$4:$E$350,5,0),0)</f>
        <v>8.1276749212604901E-2</v>
      </c>
      <c r="I57" s="31">
        <f t="shared" si="10"/>
        <v>5603</v>
      </c>
      <c r="J57" s="361">
        <f t="shared" si="2"/>
        <v>2.8000159915199999E-2</v>
      </c>
      <c r="K57" s="361">
        <f t="shared" si="3"/>
        <v>2.1000119936000002E-3</v>
      </c>
      <c r="L57" s="31">
        <f>IF(OR(D57="SI",D57="Sí"),VLOOKUP(A57,DATA!$A$4:$G$350,7,0),0)</f>
        <v>22510</v>
      </c>
      <c r="M57" s="31">
        <f>IF(OR(D57="SI",D57="Sí"),VLOOKUP(A57,DATA!$A$4:$H$350,8,0),0)</f>
        <v>28150</v>
      </c>
      <c r="N57" s="361">
        <f t="shared" si="4"/>
        <v>2.5549895461800001E-2</v>
      </c>
      <c r="O57" s="361">
        <f t="shared" si="11"/>
        <v>3.8329460570673504E-2</v>
      </c>
      <c r="P57" s="361">
        <f t="shared" si="5"/>
        <v>1.9164730285E-3</v>
      </c>
      <c r="Q57" s="31">
        <f>IF(OR(D57="SI",D57="Sí"),VLOOKUP(A57,DATA!$A$4:$P$350,14,0),0)</f>
        <v>6943810</v>
      </c>
      <c r="R57" s="121">
        <f t="shared" si="12"/>
        <v>100.72</v>
      </c>
      <c r="S57" s="31">
        <f>IF(AND(R57&gt;0,R57&lt;$R$7),ROUND(($R$7-R57)*G57,PARAMETROS!$L$8),0)</f>
        <v>4398308</v>
      </c>
      <c r="T57" s="122">
        <f t="shared" si="6"/>
        <v>6.3708099558399997E-2</v>
      </c>
      <c r="U57" s="117">
        <f t="shared" si="7"/>
        <v>4.7781074668999998E-3</v>
      </c>
      <c r="V57" s="117">
        <f>VLOOKUP(A57,DATA!$A$4:$V$350,DATA!$V$1,0)</f>
        <v>6.3399584800000004E-3</v>
      </c>
      <c r="W57" s="117">
        <f>VLOOKUP(A57,DATA!$A$4:$V$350,22,0)</f>
        <v>6.3399584800000004E-3</v>
      </c>
      <c r="X57" s="96">
        <f t="shared" si="8"/>
        <v>2.402343985788E-2</v>
      </c>
      <c r="Y57" s="31">
        <f>ROUND(X57*PARAMETROS!$H$35,0)</f>
        <v>1319309661</v>
      </c>
      <c r="Z57" s="31">
        <f t="shared" si="13"/>
        <v>1319309661</v>
      </c>
      <c r="AA57" s="31">
        <f t="shared" si="14"/>
        <v>329827415</v>
      </c>
      <c r="AB57" s="31">
        <f t="shared" si="15"/>
        <v>329827415</v>
      </c>
      <c r="AC57" s="31">
        <f t="shared" si="15"/>
        <v>329827415</v>
      </c>
      <c r="AD57" s="38">
        <f t="shared" si="16"/>
        <v>329827416</v>
      </c>
    </row>
    <row r="58" spans="1:30" ht="3" customHeight="1" x14ac:dyDescent="0.25">
      <c r="A58">
        <v>5302</v>
      </c>
      <c r="B58">
        <v>5702</v>
      </c>
      <c r="C58" t="s">
        <v>116</v>
      </c>
      <c r="D58" s="6" t="str">
        <f>+DATA!U54</f>
        <v>SI</v>
      </c>
      <c r="E58" s="361">
        <f t="shared" si="1"/>
        <v>2.2222222222200001E-2</v>
      </c>
      <c r="F58" s="95">
        <f t="shared" si="9"/>
        <v>8.8888888888800002E-3</v>
      </c>
      <c r="G58" s="31">
        <f>IF(OR(D58="SI",D58="Sí"),VLOOKUP(A58,DATA!$A$4:$D$350,4,0),0)</f>
        <v>17673</v>
      </c>
      <c r="H58" s="95">
        <f>IF(OR(D58="SI",D58="Sí"),VLOOKUP(A58,DATA!$A$4:$E$350,5,0),0)</f>
        <v>6.9963617704811215E-2</v>
      </c>
      <c r="I58" s="31">
        <f t="shared" si="10"/>
        <v>1236</v>
      </c>
      <c r="J58" s="361">
        <f t="shared" si="2"/>
        <v>6.1767263350000004E-3</v>
      </c>
      <c r="K58" s="361">
        <f t="shared" si="3"/>
        <v>4.632544751E-4</v>
      </c>
      <c r="L58" s="31">
        <f>IF(OR(D58="SI",D58="Sí"),VLOOKUP(A58,DATA!$A$4:$G$350,7,0),0)</f>
        <v>4719</v>
      </c>
      <c r="M58" s="31">
        <f>IF(OR(D58="SI",D58="Sí"),VLOOKUP(A58,DATA!$A$4:$H$350,8,0),0)</f>
        <v>6486</v>
      </c>
      <c r="N58" s="361">
        <f t="shared" si="4"/>
        <v>4.8734840279999999E-3</v>
      </c>
      <c r="O58" s="361">
        <f t="shared" si="11"/>
        <v>7.3111067781986569E-3</v>
      </c>
      <c r="P58" s="361">
        <f t="shared" si="5"/>
        <v>3.6555533890000002E-4</v>
      </c>
      <c r="Q58" s="31">
        <f>IF(OR(D58="SI",D58="Sí"),VLOOKUP(A58,DATA!$A$4:$P$350,14,0),0)</f>
        <v>3371385</v>
      </c>
      <c r="R58" s="121">
        <f t="shared" si="12"/>
        <v>190.76</v>
      </c>
      <c r="S58" s="31">
        <f>IF(AND(R58&gt;0,R58&lt;$R$7),ROUND(($R$7-R58)*G58,PARAMETROS!$L$8),0)</f>
        <v>0</v>
      </c>
      <c r="T58" s="122">
        <f t="shared" si="6"/>
        <v>0</v>
      </c>
      <c r="U58" s="117">
        <f t="shared" si="7"/>
        <v>0</v>
      </c>
      <c r="V58" s="117">
        <f>VLOOKUP(A58,DATA!$A$4:$V$350,DATA!$V$1,0)</f>
        <v>1.1166469899999999E-3</v>
      </c>
      <c r="W58" s="117">
        <f>VLOOKUP(A58,DATA!$A$4:$V$350,22,0)</f>
        <v>1.1166469899999999E-3</v>
      </c>
      <c r="X58" s="96">
        <f t="shared" si="8"/>
        <v>1.083434569288E-2</v>
      </c>
      <c r="Y58" s="31">
        <f>ROUND(X58*PARAMETROS!$H$35,0)</f>
        <v>594996263</v>
      </c>
      <c r="Z58" s="31">
        <f t="shared" si="13"/>
        <v>594996263</v>
      </c>
      <c r="AA58" s="31">
        <f t="shared" si="14"/>
        <v>148749066</v>
      </c>
      <c r="AB58" s="31">
        <f t="shared" si="15"/>
        <v>148749066</v>
      </c>
      <c r="AC58" s="31">
        <f t="shared" si="15"/>
        <v>148749066</v>
      </c>
      <c r="AD58" s="38">
        <f t="shared" si="16"/>
        <v>148749065</v>
      </c>
    </row>
    <row r="59" spans="1:30" ht="3" customHeight="1" x14ac:dyDescent="0.25">
      <c r="A59">
        <v>5303</v>
      </c>
      <c r="B59">
        <v>5704</v>
      </c>
      <c r="C59" t="s">
        <v>118</v>
      </c>
      <c r="D59" s="6" t="str">
        <f>+DATA!U55</f>
        <v>No</v>
      </c>
      <c r="E59" s="361">
        <f t="shared" si="1"/>
        <v>0</v>
      </c>
      <c r="F59" s="95">
        <f t="shared" si="9"/>
        <v>0</v>
      </c>
      <c r="G59" s="31">
        <f>IF(OR(D59="SI",D59="Sí"),VLOOKUP(A59,DATA!$A$4:$D$350,4,0),0)</f>
        <v>0</v>
      </c>
      <c r="H59" s="95">
        <f>IF(OR(D59="SI",D59="Sí"),VLOOKUP(A59,DATA!$A$4:$E$350,5,0),0)</f>
        <v>0</v>
      </c>
      <c r="I59" s="31">
        <f t="shared" si="10"/>
        <v>0</v>
      </c>
      <c r="J59" s="361">
        <f t="shared" si="2"/>
        <v>0</v>
      </c>
      <c r="K59" s="361">
        <f t="shared" si="3"/>
        <v>0</v>
      </c>
      <c r="L59" s="31">
        <f>IF(OR(D59="SI",D59="Sí"),VLOOKUP(A59,DATA!$A$4:$G$350,7,0),0)</f>
        <v>0</v>
      </c>
      <c r="M59" s="31">
        <f>IF(OR(D59="SI",D59="Sí"),VLOOKUP(A59,DATA!$A$4:$H$350,8,0),0)</f>
        <v>0</v>
      </c>
      <c r="N59" s="361">
        <f t="shared" si="4"/>
        <v>0</v>
      </c>
      <c r="O59" s="361">
        <f t="shared" si="11"/>
        <v>0</v>
      </c>
      <c r="P59" s="361">
        <f t="shared" si="5"/>
        <v>0</v>
      </c>
      <c r="Q59" s="31">
        <f>IF(OR(D59="SI",D59="Sí"),VLOOKUP(A59,DATA!$A$4:$P$350,14,0),0)</f>
        <v>0</v>
      </c>
      <c r="R59" s="121">
        <f t="shared" si="12"/>
        <v>0</v>
      </c>
      <c r="S59" s="31">
        <f>IF(AND(R59&gt;0,R59&lt;$R$7),ROUND(($R$7-R59)*G59,PARAMETROS!$L$8),0)</f>
        <v>0</v>
      </c>
      <c r="T59" s="122">
        <f t="shared" si="6"/>
        <v>0</v>
      </c>
      <c r="U59" s="117">
        <f t="shared" si="7"/>
        <v>0</v>
      </c>
      <c r="V59" s="117">
        <f>VLOOKUP(A59,DATA!$A$4:$V$350,DATA!$V$1,0)</f>
        <v>0</v>
      </c>
      <c r="W59" s="117">
        <f>VLOOKUP(A59,DATA!$A$4:$V$350,22,0)</f>
        <v>0</v>
      </c>
      <c r="X59" s="96">
        <f t="shared" si="8"/>
        <v>0</v>
      </c>
      <c r="Y59" s="31">
        <f>ROUND(X59*PARAMETROS!$H$35,0)</f>
        <v>0</v>
      </c>
      <c r="Z59" s="31">
        <f t="shared" si="13"/>
        <v>0</v>
      </c>
      <c r="AA59" s="31">
        <f t="shared" si="14"/>
        <v>0</v>
      </c>
      <c r="AB59" s="31">
        <f t="shared" si="15"/>
        <v>0</v>
      </c>
      <c r="AC59" s="31">
        <f t="shared" si="15"/>
        <v>0</v>
      </c>
      <c r="AD59" s="38">
        <f t="shared" si="16"/>
        <v>0</v>
      </c>
    </row>
    <row r="60" spans="1:30" ht="3" customHeight="1" x14ac:dyDescent="0.25">
      <c r="A60">
        <v>5304</v>
      </c>
      <c r="B60">
        <v>5703</v>
      </c>
      <c r="C60" t="s">
        <v>117</v>
      </c>
      <c r="D60" s="6" t="str">
        <f>+DATA!U56</f>
        <v>No</v>
      </c>
      <c r="E60" s="361">
        <f t="shared" si="1"/>
        <v>0</v>
      </c>
      <c r="F60" s="95">
        <f t="shared" si="9"/>
        <v>0</v>
      </c>
      <c r="G60" s="31">
        <f>IF(OR(D60="SI",D60="Sí"),VLOOKUP(A60,DATA!$A$4:$D$350,4,0),0)</f>
        <v>0</v>
      </c>
      <c r="H60" s="95">
        <f>IF(OR(D60="SI",D60="Sí"),VLOOKUP(A60,DATA!$A$4:$E$350,5,0),0)</f>
        <v>0</v>
      </c>
      <c r="I60" s="31">
        <f t="shared" si="10"/>
        <v>0</v>
      </c>
      <c r="J60" s="361">
        <f t="shared" si="2"/>
        <v>0</v>
      </c>
      <c r="K60" s="361">
        <f t="shared" si="3"/>
        <v>0</v>
      </c>
      <c r="L60" s="31">
        <f>IF(OR(D60="SI",D60="Sí"),VLOOKUP(A60,DATA!$A$4:$G$350,7,0),0)</f>
        <v>0</v>
      </c>
      <c r="M60" s="31">
        <f>IF(OR(D60="SI",D60="Sí"),VLOOKUP(A60,DATA!$A$4:$H$350,8,0),0)</f>
        <v>0</v>
      </c>
      <c r="N60" s="361">
        <f t="shared" si="4"/>
        <v>0</v>
      </c>
      <c r="O60" s="361">
        <f t="shared" si="11"/>
        <v>0</v>
      </c>
      <c r="P60" s="361">
        <f t="shared" si="5"/>
        <v>0</v>
      </c>
      <c r="Q60" s="31">
        <f>IF(OR(D60="SI",D60="Sí"),VLOOKUP(A60,DATA!$A$4:$P$350,14,0),0)</f>
        <v>0</v>
      </c>
      <c r="R60" s="121">
        <f t="shared" si="12"/>
        <v>0</v>
      </c>
      <c r="S60" s="31">
        <f>IF(AND(R60&gt;0,R60&lt;$R$7),ROUND(($R$7-R60)*G60,PARAMETROS!$L$8),0)</f>
        <v>0</v>
      </c>
      <c r="T60" s="122">
        <f t="shared" si="6"/>
        <v>0</v>
      </c>
      <c r="U60" s="117">
        <f t="shared" si="7"/>
        <v>0</v>
      </c>
      <c r="V60" s="117">
        <f>VLOOKUP(A60,DATA!$A$4:$V$350,DATA!$V$1,0)</f>
        <v>0</v>
      </c>
      <c r="W60" s="117">
        <f>VLOOKUP(A60,DATA!$A$4:$V$350,22,0)</f>
        <v>0</v>
      </c>
      <c r="X60" s="96">
        <f t="shared" si="8"/>
        <v>0</v>
      </c>
      <c r="Y60" s="31">
        <f>ROUND(X60*PARAMETROS!$H$35,0)</f>
        <v>0</v>
      </c>
      <c r="Z60" s="31">
        <f t="shared" si="13"/>
        <v>0</v>
      </c>
      <c r="AA60" s="31">
        <f t="shared" si="14"/>
        <v>0</v>
      </c>
      <c r="AB60" s="31">
        <f t="shared" si="15"/>
        <v>0</v>
      </c>
      <c r="AC60" s="31">
        <f t="shared" si="15"/>
        <v>0</v>
      </c>
      <c r="AD60" s="38">
        <f t="shared" si="16"/>
        <v>0</v>
      </c>
    </row>
    <row r="61" spans="1:30" ht="3" customHeight="1" x14ac:dyDescent="0.25">
      <c r="A61">
        <v>5401</v>
      </c>
      <c r="B61">
        <v>5201</v>
      </c>
      <c r="C61" t="s">
        <v>90</v>
      </c>
      <c r="D61" s="6" t="str">
        <f>+DATA!U57</f>
        <v>No</v>
      </c>
      <c r="E61" s="361">
        <f t="shared" si="1"/>
        <v>0</v>
      </c>
      <c r="F61" s="95">
        <f t="shared" si="9"/>
        <v>0</v>
      </c>
      <c r="G61" s="31">
        <f>IF(OR(D61="SI",D61="Sí"),VLOOKUP(A61,DATA!$A$4:$D$350,4,0),0)</f>
        <v>0</v>
      </c>
      <c r="H61" s="95">
        <f>IF(OR(D61="SI",D61="Sí"),VLOOKUP(A61,DATA!$A$4:$E$350,5,0),0)</f>
        <v>0</v>
      </c>
      <c r="I61" s="31">
        <f t="shared" si="10"/>
        <v>0</v>
      </c>
      <c r="J61" s="361">
        <f t="shared" si="2"/>
        <v>0</v>
      </c>
      <c r="K61" s="361">
        <f t="shared" si="3"/>
        <v>0</v>
      </c>
      <c r="L61" s="31">
        <f>IF(OR(D61="SI",D61="Sí"),VLOOKUP(A61,DATA!$A$4:$G$350,7,0),0)</f>
        <v>0</v>
      </c>
      <c r="M61" s="31">
        <f>IF(OR(D61="SI",D61="Sí"),VLOOKUP(A61,DATA!$A$4:$H$350,8,0),0)</f>
        <v>0</v>
      </c>
      <c r="N61" s="361">
        <f t="shared" si="4"/>
        <v>0</v>
      </c>
      <c r="O61" s="361">
        <f t="shared" si="11"/>
        <v>0</v>
      </c>
      <c r="P61" s="361">
        <f t="shared" si="5"/>
        <v>0</v>
      </c>
      <c r="Q61" s="31">
        <f>IF(OR(D61="SI",D61="Sí"),VLOOKUP(A61,DATA!$A$4:$P$350,14,0),0)</f>
        <v>0</v>
      </c>
      <c r="R61" s="121">
        <f t="shared" si="12"/>
        <v>0</v>
      </c>
      <c r="S61" s="31">
        <f>IF(AND(R61&gt;0,R61&lt;$R$7),ROUND(($R$7-R61)*G61,PARAMETROS!$L$8),0)</f>
        <v>0</v>
      </c>
      <c r="T61" s="122">
        <f t="shared" si="6"/>
        <v>0</v>
      </c>
      <c r="U61" s="117">
        <f t="shared" si="7"/>
        <v>0</v>
      </c>
      <c r="V61" s="117">
        <f>VLOOKUP(A61,DATA!$A$4:$V$350,DATA!$V$1,0)</f>
        <v>0</v>
      </c>
      <c r="W61" s="117">
        <f>VLOOKUP(A61,DATA!$A$4:$V$350,22,0)</f>
        <v>0</v>
      </c>
      <c r="X61" s="96">
        <f t="shared" si="8"/>
        <v>0</v>
      </c>
      <c r="Y61" s="31">
        <f>ROUND(X61*PARAMETROS!$H$35,0)</f>
        <v>0</v>
      </c>
      <c r="Z61" s="31">
        <f t="shared" si="13"/>
        <v>0</v>
      </c>
      <c r="AA61" s="31">
        <f t="shared" si="14"/>
        <v>0</v>
      </c>
      <c r="AB61" s="31">
        <f t="shared" si="15"/>
        <v>0</v>
      </c>
      <c r="AC61" s="31">
        <f t="shared" si="15"/>
        <v>0</v>
      </c>
      <c r="AD61" s="38">
        <f t="shared" si="16"/>
        <v>0</v>
      </c>
    </row>
    <row r="62" spans="1:30" ht="3" customHeight="1" x14ac:dyDescent="0.25">
      <c r="A62">
        <v>5402</v>
      </c>
      <c r="B62">
        <v>5203</v>
      </c>
      <c r="C62" t="s">
        <v>92</v>
      </c>
      <c r="D62" s="6" t="str">
        <f>+DATA!U58</f>
        <v>SI</v>
      </c>
      <c r="E62" s="361">
        <f t="shared" si="1"/>
        <v>2.2222222222200001E-2</v>
      </c>
      <c r="F62" s="95">
        <f t="shared" si="9"/>
        <v>8.8888888888800002E-3</v>
      </c>
      <c r="G62" s="31">
        <f>IF(OR(D62="SI",D62="Sí"),VLOOKUP(A62,DATA!$A$4:$D$350,4,0),0)</f>
        <v>20757</v>
      </c>
      <c r="H62" s="95">
        <f>IF(OR(D62="SI",D62="Sí"),VLOOKUP(A62,DATA!$A$4:$E$350,5,0),0)</f>
        <v>8.9311136082705994E-2</v>
      </c>
      <c r="I62" s="31">
        <f t="shared" si="10"/>
        <v>1854</v>
      </c>
      <c r="J62" s="361">
        <f t="shared" si="2"/>
        <v>9.2650895026000005E-3</v>
      </c>
      <c r="K62" s="361">
        <f t="shared" si="3"/>
        <v>6.9488171269999999E-4</v>
      </c>
      <c r="L62" s="31">
        <f>IF(OR(D62="SI",D62="Sí"),VLOOKUP(A62,DATA!$A$4:$G$350,7,0),0)</f>
        <v>6995</v>
      </c>
      <c r="M62" s="31">
        <f>IF(OR(D62="SI",D62="Sí"),VLOOKUP(A62,DATA!$A$4:$H$350,8,0),0)</f>
        <v>8629</v>
      </c>
      <c r="N62" s="361">
        <f t="shared" si="4"/>
        <v>8.0488068461999993E-3</v>
      </c>
      <c r="O62" s="361">
        <f t="shared" si="11"/>
        <v>1.2074664849945944E-2</v>
      </c>
      <c r="P62" s="361">
        <f t="shared" si="5"/>
        <v>6.0373324249999997E-4</v>
      </c>
      <c r="Q62" s="31">
        <f>IF(OR(D62="SI",D62="Sí"),VLOOKUP(A62,DATA!$A$4:$P$350,14,0),0)</f>
        <v>1762633</v>
      </c>
      <c r="R62" s="121">
        <f t="shared" si="12"/>
        <v>84.92</v>
      </c>
      <c r="S62" s="31">
        <f>IF(AND(R62&gt;0,R62&lt;$R$7),ROUND(($R$7-R62)*G62,PARAMETROS!$L$8),0)</f>
        <v>1652257</v>
      </c>
      <c r="T62" s="122">
        <f t="shared" si="6"/>
        <v>2.3932419796900001E-2</v>
      </c>
      <c r="U62" s="117">
        <f t="shared" si="7"/>
        <v>1.7949314848000001E-3</v>
      </c>
      <c r="V62" s="117">
        <f>VLOOKUP(A62,DATA!$A$4:$V$350,DATA!$V$1,0)</f>
        <v>9.6120116500000002E-3</v>
      </c>
      <c r="W62" s="117">
        <f>VLOOKUP(A62,DATA!$A$4:$V$350,22,0)</f>
        <v>9.6120116500000002E-3</v>
      </c>
      <c r="X62" s="96">
        <f t="shared" si="8"/>
        <v>2.1594446978880001E-2</v>
      </c>
      <c r="Y62" s="31">
        <f>ROUND(X62*PARAMETROS!$H$35,0)</f>
        <v>1185915201</v>
      </c>
      <c r="Z62" s="31">
        <f t="shared" si="13"/>
        <v>1185915201</v>
      </c>
      <c r="AA62" s="31">
        <f t="shared" si="14"/>
        <v>296478800</v>
      </c>
      <c r="AB62" s="31">
        <f t="shared" si="15"/>
        <v>296478800</v>
      </c>
      <c r="AC62" s="31">
        <f t="shared" si="15"/>
        <v>296478800</v>
      </c>
      <c r="AD62" s="38">
        <f t="shared" si="16"/>
        <v>296478801</v>
      </c>
    </row>
    <row r="63" spans="1:30" ht="3" customHeight="1" x14ac:dyDescent="0.25">
      <c r="A63">
        <v>5403</v>
      </c>
      <c r="B63">
        <v>5205</v>
      </c>
      <c r="C63" t="s">
        <v>94</v>
      </c>
      <c r="D63" s="6" t="str">
        <f>+DATA!U59</f>
        <v>No</v>
      </c>
      <c r="E63" s="361">
        <f t="shared" si="1"/>
        <v>0</v>
      </c>
      <c r="F63" s="95">
        <f t="shared" si="9"/>
        <v>0</v>
      </c>
      <c r="G63" s="31">
        <f>IF(OR(D63="SI",D63="Sí"),VLOOKUP(A63,DATA!$A$4:$D$350,4,0),0)</f>
        <v>0</v>
      </c>
      <c r="H63" s="95">
        <f>IF(OR(D63="SI",D63="Sí"),VLOOKUP(A63,DATA!$A$4:$E$350,5,0),0)</f>
        <v>0</v>
      </c>
      <c r="I63" s="31">
        <f t="shared" si="10"/>
        <v>0</v>
      </c>
      <c r="J63" s="361">
        <f t="shared" si="2"/>
        <v>0</v>
      </c>
      <c r="K63" s="361">
        <f t="shared" si="3"/>
        <v>0</v>
      </c>
      <c r="L63" s="31">
        <f>IF(OR(D63="SI",D63="Sí"),VLOOKUP(A63,DATA!$A$4:$G$350,7,0),0)</f>
        <v>0</v>
      </c>
      <c r="M63" s="31">
        <f>IF(OR(D63="SI",D63="Sí"),VLOOKUP(A63,DATA!$A$4:$H$350,8,0),0)</f>
        <v>0</v>
      </c>
      <c r="N63" s="361">
        <f t="shared" si="4"/>
        <v>0</v>
      </c>
      <c r="O63" s="361">
        <f t="shared" si="11"/>
        <v>0</v>
      </c>
      <c r="P63" s="361">
        <f t="shared" si="5"/>
        <v>0</v>
      </c>
      <c r="Q63" s="31">
        <f>IF(OR(D63="SI",D63="Sí"),VLOOKUP(A63,DATA!$A$4:$P$350,14,0),0)</f>
        <v>0</v>
      </c>
      <c r="R63" s="121">
        <f t="shared" si="12"/>
        <v>0</v>
      </c>
      <c r="S63" s="31">
        <f>IF(AND(R63&gt;0,R63&lt;$R$7),ROUND(($R$7-R63)*G63,PARAMETROS!$L$8),0)</f>
        <v>0</v>
      </c>
      <c r="T63" s="122">
        <f t="shared" si="6"/>
        <v>0</v>
      </c>
      <c r="U63" s="117">
        <f t="shared" si="7"/>
        <v>0</v>
      </c>
      <c r="V63" s="117">
        <f>VLOOKUP(A63,DATA!$A$4:$V$350,DATA!$V$1,0)</f>
        <v>0</v>
      </c>
      <c r="W63" s="117">
        <f>VLOOKUP(A63,DATA!$A$4:$V$350,22,0)</f>
        <v>0</v>
      </c>
      <c r="X63" s="96">
        <f t="shared" si="8"/>
        <v>0</v>
      </c>
      <c r="Y63" s="31">
        <f>ROUND(X63*PARAMETROS!$H$35,0)</f>
        <v>0</v>
      </c>
      <c r="Z63" s="31">
        <f t="shared" si="13"/>
        <v>0</v>
      </c>
      <c r="AA63" s="31">
        <f t="shared" si="14"/>
        <v>0</v>
      </c>
      <c r="AB63" s="31">
        <f t="shared" si="15"/>
        <v>0</v>
      </c>
      <c r="AC63" s="31">
        <f t="shared" si="15"/>
        <v>0</v>
      </c>
      <c r="AD63" s="38">
        <f t="shared" si="16"/>
        <v>0</v>
      </c>
    </row>
    <row r="64" spans="1:30" ht="3" customHeight="1" x14ac:dyDescent="0.25">
      <c r="A64">
        <v>5404</v>
      </c>
      <c r="B64">
        <v>5202</v>
      </c>
      <c r="C64" t="s">
        <v>91</v>
      </c>
      <c r="D64" s="6" t="str">
        <f>+DATA!U60</f>
        <v>SI</v>
      </c>
      <c r="E64" s="361">
        <f t="shared" si="1"/>
        <v>2.2222222222200001E-2</v>
      </c>
      <c r="F64" s="95">
        <f t="shared" si="9"/>
        <v>8.8888888888800002E-3</v>
      </c>
      <c r="G64" s="31">
        <f>IF(OR(D64="SI",D64="Sí"),VLOOKUP(A64,DATA!$A$4:$D$350,4,0),0)</f>
        <v>10633</v>
      </c>
      <c r="H64" s="95">
        <f>IF(OR(D64="SI",D64="Sí"),VLOOKUP(A64,DATA!$A$4:$E$350,5,0),0)</f>
        <v>4.5377290448041709E-2</v>
      </c>
      <c r="I64" s="31">
        <f t="shared" si="10"/>
        <v>482</v>
      </c>
      <c r="J64" s="361">
        <f t="shared" si="2"/>
        <v>2.4087233766000001E-3</v>
      </c>
      <c r="K64" s="361">
        <f t="shared" si="3"/>
        <v>1.8065425320000001E-4</v>
      </c>
      <c r="L64" s="31">
        <f>IF(OR(D64="SI",D64="Sí"),VLOOKUP(A64,DATA!$A$4:$G$350,7,0),0)</f>
        <v>5228</v>
      </c>
      <c r="M64" s="31">
        <f>IF(OR(D64="SI",D64="Sí"),VLOOKUP(A64,DATA!$A$4:$H$350,8,0),0)</f>
        <v>6013</v>
      </c>
      <c r="N64" s="361">
        <f t="shared" si="4"/>
        <v>6.4520316734000003E-3</v>
      </c>
      <c r="O64" s="361">
        <f t="shared" si="11"/>
        <v>9.6792135214826165E-3</v>
      </c>
      <c r="P64" s="361">
        <f t="shared" si="5"/>
        <v>4.8396067610000001E-4</v>
      </c>
      <c r="Q64" s="31">
        <f>IF(OR(D64="SI",D64="Sí"),VLOOKUP(A64,DATA!$A$4:$P$350,14,0),0)</f>
        <v>1732312</v>
      </c>
      <c r="R64" s="121">
        <f t="shared" si="12"/>
        <v>162.91999999999999</v>
      </c>
      <c r="S64" s="31">
        <f>IF(AND(R64&gt;0,R64&lt;$R$7),ROUND(($R$7-R64)*G64,PARAMETROS!$L$8),0)</f>
        <v>17013</v>
      </c>
      <c r="T64" s="122">
        <f t="shared" si="6"/>
        <v>2.4642792130000001E-4</v>
      </c>
      <c r="U64" s="117">
        <f t="shared" si="7"/>
        <v>1.8482094099999999E-5</v>
      </c>
      <c r="V64" s="117">
        <f>VLOOKUP(A64,DATA!$A$4:$V$350,DATA!$V$1,0)</f>
        <v>2.37253127E-3</v>
      </c>
      <c r="W64" s="117">
        <f>VLOOKUP(A64,DATA!$A$4:$V$350,22,0)</f>
        <v>2.37253127E-3</v>
      </c>
      <c r="X64" s="96">
        <f t="shared" si="8"/>
        <v>1.194451718228E-2</v>
      </c>
      <c r="Y64" s="31">
        <f>ROUND(X64*PARAMETROS!$H$35,0)</f>
        <v>655964217</v>
      </c>
      <c r="Z64" s="31">
        <f t="shared" si="13"/>
        <v>655964217</v>
      </c>
      <c r="AA64" s="31">
        <f t="shared" si="14"/>
        <v>163991054</v>
      </c>
      <c r="AB64" s="31">
        <f t="shared" si="15"/>
        <v>163991054</v>
      </c>
      <c r="AC64" s="31">
        <f t="shared" si="15"/>
        <v>163991054</v>
      </c>
      <c r="AD64" s="38">
        <f t="shared" si="16"/>
        <v>163991055</v>
      </c>
    </row>
    <row r="65" spans="1:30" ht="3" customHeight="1" x14ac:dyDescent="0.25">
      <c r="A65">
        <v>5405</v>
      </c>
      <c r="B65">
        <v>5204</v>
      </c>
      <c r="C65" t="s">
        <v>93</v>
      </c>
      <c r="D65" s="6" t="str">
        <f>+DATA!U61</f>
        <v>No</v>
      </c>
      <c r="E65" s="361">
        <f t="shared" si="1"/>
        <v>0</v>
      </c>
      <c r="F65" s="95">
        <f t="shared" si="9"/>
        <v>0</v>
      </c>
      <c r="G65" s="31">
        <f>IF(OR(D65="SI",D65="Sí"),VLOOKUP(A65,DATA!$A$4:$D$350,4,0),0)</f>
        <v>0</v>
      </c>
      <c r="H65" s="95">
        <f>IF(OR(D65="SI",D65="Sí"),VLOOKUP(A65,DATA!$A$4:$E$350,5,0),0)</f>
        <v>0</v>
      </c>
      <c r="I65" s="31">
        <f t="shared" si="10"/>
        <v>0</v>
      </c>
      <c r="J65" s="361">
        <f t="shared" si="2"/>
        <v>0</v>
      </c>
      <c r="K65" s="361">
        <f t="shared" si="3"/>
        <v>0</v>
      </c>
      <c r="L65" s="31">
        <f>IF(OR(D65="SI",D65="Sí"),VLOOKUP(A65,DATA!$A$4:$G$350,7,0),0)</f>
        <v>0</v>
      </c>
      <c r="M65" s="31">
        <f>IF(OR(D65="SI",D65="Sí"),VLOOKUP(A65,DATA!$A$4:$H$350,8,0),0)</f>
        <v>0</v>
      </c>
      <c r="N65" s="361">
        <f t="shared" si="4"/>
        <v>0</v>
      </c>
      <c r="O65" s="361">
        <f t="shared" si="11"/>
        <v>0</v>
      </c>
      <c r="P65" s="361">
        <f t="shared" si="5"/>
        <v>0</v>
      </c>
      <c r="Q65" s="31">
        <f>IF(OR(D65="SI",D65="Sí"),VLOOKUP(A65,DATA!$A$4:$P$350,14,0),0)</f>
        <v>0</v>
      </c>
      <c r="R65" s="121">
        <f t="shared" si="12"/>
        <v>0</v>
      </c>
      <c r="S65" s="31">
        <f>IF(AND(R65&gt;0,R65&lt;$R$7),ROUND(($R$7-R65)*G65,PARAMETROS!$L$8),0)</f>
        <v>0</v>
      </c>
      <c r="T65" s="122">
        <f t="shared" si="6"/>
        <v>0</v>
      </c>
      <c r="U65" s="117">
        <f t="shared" si="7"/>
        <v>0</v>
      </c>
      <c r="V65" s="117">
        <f>VLOOKUP(A65,DATA!$A$4:$V$350,DATA!$V$1,0)</f>
        <v>0</v>
      </c>
      <c r="W65" s="117">
        <f>VLOOKUP(A65,DATA!$A$4:$V$350,22,0)</f>
        <v>0</v>
      </c>
      <c r="X65" s="96">
        <f t="shared" si="8"/>
        <v>0</v>
      </c>
      <c r="Y65" s="31">
        <f>ROUND(X65*PARAMETROS!$H$35,0)</f>
        <v>0</v>
      </c>
      <c r="Z65" s="31">
        <f t="shared" si="13"/>
        <v>0</v>
      </c>
      <c r="AA65" s="31">
        <f t="shared" si="14"/>
        <v>0</v>
      </c>
      <c r="AB65" s="31">
        <f t="shared" si="15"/>
        <v>0</v>
      </c>
      <c r="AC65" s="31">
        <f t="shared" si="15"/>
        <v>0</v>
      </c>
      <c r="AD65" s="38">
        <f t="shared" si="16"/>
        <v>0</v>
      </c>
    </row>
    <row r="66" spans="1:30" ht="3" customHeight="1" x14ac:dyDescent="0.25">
      <c r="A66">
        <v>5501</v>
      </c>
      <c r="B66">
        <v>5501</v>
      </c>
      <c r="C66" t="s">
        <v>105</v>
      </c>
      <c r="D66" s="6" t="str">
        <f>+DATA!U62</f>
        <v>No</v>
      </c>
      <c r="E66" s="361">
        <f t="shared" si="1"/>
        <v>0</v>
      </c>
      <c r="F66" s="95">
        <f t="shared" si="9"/>
        <v>0</v>
      </c>
      <c r="G66" s="31">
        <f>IF(OR(D66="SI",D66="Sí"),VLOOKUP(A66,DATA!$A$4:$D$350,4,0),0)</f>
        <v>0</v>
      </c>
      <c r="H66" s="95">
        <f>IF(OR(D66="SI",D66="Sí"),VLOOKUP(A66,DATA!$A$4:$E$350,5,0),0)</f>
        <v>0</v>
      </c>
      <c r="I66" s="31">
        <f t="shared" si="10"/>
        <v>0</v>
      </c>
      <c r="J66" s="361">
        <f t="shared" si="2"/>
        <v>0</v>
      </c>
      <c r="K66" s="361">
        <f t="shared" si="3"/>
        <v>0</v>
      </c>
      <c r="L66" s="31">
        <f>IF(OR(D66="SI",D66="Sí"),VLOOKUP(A66,DATA!$A$4:$G$350,7,0),0)</f>
        <v>0</v>
      </c>
      <c r="M66" s="31">
        <f>IF(OR(D66="SI",D66="Sí"),VLOOKUP(A66,DATA!$A$4:$H$350,8,0),0)</f>
        <v>0</v>
      </c>
      <c r="N66" s="361">
        <f t="shared" si="4"/>
        <v>0</v>
      </c>
      <c r="O66" s="361">
        <f t="shared" si="11"/>
        <v>0</v>
      </c>
      <c r="P66" s="361">
        <f t="shared" si="5"/>
        <v>0</v>
      </c>
      <c r="Q66" s="31">
        <f>IF(OR(D66="SI",D66="Sí"),VLOOKUP(A66,DATA!$A$4:$P$350,14,0),0)</f>
        <v>0</v>
      </c>
      <c r="R66" s="121">
        <f t="shared" si="12"/>
        <v>0</v>
      </c>
      <c r="S66" s="31">
        <f>IF(AND(R66&gt;0,R66&lt;$R$7),ROUND(($R$7-R66)*G66,PARAMETROS!$L$8),0)</f>
        <v>0</v>
      </c>
      <c r="T66" s="122">
        <f t="shared" si="6"/>
        <v>0</v>
      </c>
      <c r="U66" s="117">
        <f t="shared" si="7"/>
        <v>0</v>
      </c>
      <c r="V66" s="117">
        <f>VLOOKUP(A66,DATA!$A$4:$V$350,DATA!$V$1,0)</f>
        <v>0</v>
      </c>
      <c r="W66" s="117">
        <f>VLOOKUP(A66,DATA!$A$4:$V$350,22,0)</f>
        <v>0</v>
      </c>
      <c r="X66" s="96">
        <f t="shared" si="8"/>
        <v>0</v>
      </c>
      <c r="Y66" s="31">
        <f>ROUND(X66*PARAMETROS!$H$35,0)</f>
        <v>0</v>
      </c>
      <c r="Z66" s="31">
        <f t="shared" si="13"/>
        <v>0</v>
      </c>
      <c r="AA66" s="31">
        <f t="shared" si="14"/>
        <v>0</v>
      </c>
      <c r="AB66" s="31">
        <f t="shared" si="15"/>
        <v>0</v>
      </c>
      <c r="AC66" s="31">
        <f t="shared" si="15"/>
        <v>0</v>
      </c>
      <c r="AD66" s="38">
        <f t="shared" si="16"/>
        <v>0</v>
      </c>
    </row>
    <row r="67" spans="1:30" ht="3" customHeight="1" x14ac:dyDescent="0.25">
      <c r="A67">
        <v>5502</v>
      </c>
      <c r="B67">
        <v>5504</v>
      </c>
      <c r="C67" t="s">
        <v>108</v>
      </c>
      <c r="D67" s="6" t="str">
        <f>+DATA!U63</f>
        <v>No</v>
      </c>
      <c r="E67" s="361">
        <f t="shared" si="1"/>
        <v>0</v>
      </c>
      <c r="F67" s="95">
        <f t="shared" si="9"/>
        <v>0</v>
      </c>
      <c r="G67" s="31">
        <f>IF(OR(D67="SI",D67="Sí"),VLOOKUP(A67,DATA!$A$4:$D$350,4,0),0)</f>
        <v>0</v>
      </c>
      <c r="H67" s="95">
        <f>IF(OR(D67="SI",D67="Sí"),VLOOKUP(A67,DATA!$A$4:$E$350,5,0),0)</f>
        <v>0</v>
      </c>
      <c r="I67" s="31">
        <f t="shared" si="10"/>
        <v>0</v>
      </c>
      <c r="J67" s="361">
        <f t="shared" si="2"/>
        <v>0</v>
      </c>
      <c r="K67" s="361">
        <f t="shared" si="3"/>
        <v>0</v>
      </c>
      <c r="L67" s="31">
        <f>IF(OR(D67="SI",D67="Sí"),VLOOKUP(A67,DATA!$A$4:$G$350,7,0),0)</f>
        <v>0</v>
      </c>
      <c r="M67" s="31">
        <f>IF(OR(D67="SI",D67="Sí"),VLOOKUP(A67,DATA!$A$4:$H$350,8,0),0)</f>
        <v>0</v>
      </c>
      <c r="N67" s="361">
        <f t="shared" si="4"/>
        <v>0</v>
      </c>
      <c r="O67" s="361">
        <f t="shared" si="11"/>
        <v>0</v>
      </c>
      <c r="P67" s="361">
        <f t="shared" si="5"/>
        <v>0</v>
      </c>
      <c r="Q67" s="31">
        <f>IF(OR(D67="SI",D67="Sí"),VLOOKUP(A67,DATA!$A$4:$P$350,14,0),0)</f>
        <v>0</v>
      </c>
      <c r="R67" s="121">
        <f t="shared" si="12"/>
        <v>0</v>
      </c>
      <c r="S67" s="31">
        <f>IF(AND(R67&gt;0,R67&lt;$R$7),ROUND(($R$7-R67)*G67,PARAMETROS!$L$8),0)</f>
        <v>0</v>
      </c>
      <c r="T67" s="122">
        <f t="shared" si="6"/>
        <v>0</v>
      </c>
      <c r="U67" s="117">
        <f t="shared" si="7"/>
        <v>0</v>
      </c>
      <c r="V67" s="117">
        <f>VLOOKUP(A67,DATA!$A$4:$V$350,DATA!$V$1,0)</f>
        <v>0</v>
      </c>
      <c r="W67" s="117">
        <f>VLOOKUP(A67,DATA!$A$4:$V$350,22,0)</f>
        <v>0</v>
      </c>
      <c r="X67" s="96">
        <f t="shared" si="8"/>
        <v>0</v>
      </c>
      <c r="Y67" s="31">
        <f>ROUND(X67*PARAMETROS!$H$35,0)</f>
        <v>0</v>
      </c>
      <c r="Z67" s="31">
        <f t="shared" si="13"/>
        <v>0</v>
      </c>
      <c r="AA67" s="31">
        <f t="shared" si="14"/>
        <v>0</v>
      </c>
      <c r="AB67" s="31">
        <f t="shared" si="15"/>
        <v>0</v>
      </c>
      <c r="AC67" s="31">
        <f t="shared" si="15"/>
        <v>0</v>
      </c>
      <c r="AD67" s="38">
        <f t="shared" si="16"/>
        <v>0</v>
      </c>
    </row>
    <row r="68" spans="1:30" ht="3" customHeight="1" x14ac:dyDescent="0.25">
      <c r="A68">
        <v>5503</v>
      </c>
      <c r="B68">
        <v>5503</v>
      </c>
      <c r="C68" t="s">
        <v>107</v>
      </c>
      <c r="D68" s="6" t="str">
        <f>+DATA!U64</f>
        <v>No</v>
      </c>
      <c r="E68" s="361">
        <f t="shared" si="1"/>
        <v>0</v>
      </c>
      <c r="F68" s="95">
        <f t="shared" si="9"/>
        <v>0</v>
      </c>
      <c r="G68" s="31">
        <f>IF(OR(D68="SI",D68="Sí"),VLOOKUP(A68,DATA!$A$4:$D$350,4,0),0)</f>
        <v>0</v>
      </c>
      <c r="H68" s="95">
        <f>IF(OR(D68="SI",D68="Sí"),VLOOKUP(A68,DATA!$A$4:$E$350,5,0),0)</f>
        <v>0</v>
      </c>
      <c r="I68" s="31">
        <f t="shared" si="10"/>
        <v>0</v>
      </c>
      <c r="J68" s="361">
        <f t="shared" si="2"/>
        <v>0</v>
      </c>
      <c r="K68" s="361">
        <f t="shared" si="3"/>
        <v>0</v>
      </c>
      <c r="L68" s="31">
        <f>IF(OR(D68="SI",D68="Sí"),VLOOKUP(A68,DATA!$A$4:$G$350,7,0),0)</f>
        <v>0</v>
      </c>
      <c r="M68" s="31">
        <f>IF(OR(D68="SI",D68="Sí"),VLOOKUP(A68,DATA!$A$4:$H$350,8,0),0)</f>
        <v>0</v>
      </c>
      <c r="N68" s="361">
        <f t="shared" si="4"/>
        <v>0</v>
      </c>
      <c r="O68" s="361">
        <f t="shared" si="11"/>
        <v>0</v>
      </c>
      <c r="P68" s="361">
        <f t="shared" si="5"/>
        <v>0</v>
      </c>
      <c r="Q68" s="31">
        <f>IF(OR(D68="SI",D68="Sí"),VLOOKUP(A68,DATA!$A$4:$P$350,14,0),0)</f>
        <v>0</v>
      </c>
      <c r="R68" s="121">
        <f t="shared" si="12"/>
        <v>0</v>
      </c>
      <c r="S68" s="31">
        <f>IF(AND(R68&gt;0,R68&lt;$R$7),ROUND(($R$7-R68)*G68,PARAMETROS!$L$8),0)</f>
        <v>0</v>
      </c>
      <c r="T68" s="122">
        <f t="shared" si="6"/>
        <v>0</v>
      </c>
      <c r="U68" s="117">
        <f t="shared" si="7"/>
        <v>0</v>
      </c>
      <c r="V68" s="117">
        <f>VLOOKUP(A68,DATA!$A$4:$V$350,DATA!$V$1,0)</f>
        <v>0</v>
      </c>
      <c r="W68" s="117">
        <f>VLOOKUP(A68,DATA!$A$4:$V$350,22,0)</f>
        <v>0</v>
      </c>
      <c r="X68" s="96">
        <f t="shared" si="8"/>
        <v>0</v>
      </c>
      <c r="Y68" s="31">
        <f>ROUND(X68*PARAMETROS!$H$35,0)</f>
        <v>0</v>
      </c>
      <c r="Z68" s="31">
        <f t="shared" si="13"/>
        <v>0</v>
      </c>
      <c r="AA68" s="31">
        <f t="shared" si="14"/>
        <v>0</v>
      </c>
      <c r="AB68" s="31">
        <f t="shared" si="15"/>
        <v>0</v>
      </c>
      <c r="AC68" s="31">
        <f t="shared" si="15"/>
        <v>0</v>
      </c>
      <c r="AD68" s="38">
        <f t="shared" si="16"/>
        <v>0</v>
      </c>
    </row>
    <row r="69" spans="1:30" ht="3" customHeight="1" x14ac:dyDescent="0.25">
      <c r="A69">
        <v>5504</v>
      </c>
      <c r="B69">
        <v>5505</v>
      </c>
      <c r="C69" t="s">
        <v>109</v>
      </c>
      <c r="D69" s="6" t="str">
        <f>+DATA!U65</f>
        <v>No</v>
      </c>
      <c r="E69" s="361">
        <f t="shared" si="1"/>
        <v>0</v>
      </c>
      <c r="F69" s="95">
        <f t="shared" si="9"/>
        <v>0</v>
      </c>
      <c r="G69" s="31">
        <f>IF(OR(D69="SI",D69="Sí"),VLOOKUP(A69,DATA!$A$4:$D$350,4,0),0)</f>
        <v>0</v>
      </c>
      <c r="H69" s="95">
        <f>IF(OR(D69="SI",D69="Sí"),VLOOKUP(A69,DATA!$A$4:$E$350,5,0),0)</f>
        <v>0</v>
      </c>
      <c r="I69" s="31">
        <f t="shared" si="10"/>
        <v>0</v>
      </c>
      <c r="J69" s="361">
        <f t="shared" si="2"/>
        <v>0</v>
      </c>
      <c r="K69" s="361">
        <f t="shared" si="3"/>
        <v>0</v>
      </c>
      <c r="L69" s="31">
        <f>IF(OR(D69="SI",D69="Sí"),VLOOKUP(A69,DATA!$A$4:$G$350,7,0),0)</f>
        <v>0</v>
      </c>
      <c r="M69" s="31">
        <f>IF(OR(D69="SI",D69="Sí"),VLOOKUP(A69,DATA!$A$4:$H$350,8,0),0)</f>
        <v>0</v>
      </c>
      <c r="N69" s="361">
        <f t="shared" si="4"/>
        <v>0</v>
      </c>
      <c r="O69" s="361">
        <f t="shared" si="11"/>
        <v>0</v>
      </c>
      <c r="P69" s="361">
        <f t="shared" si="5"/>
        <v>0</v>
      </c>
      <c r="Q69" s="31">
        <f>IF(OR(D69="SI",D69="Sí"),VLOOKUP(A69,DATA!$A$4:$P$350,14,0),0)</f>
        <v>0</v>
      </c>
      <c r="R69" s="121">
        <f t="shared" si="12"/>
        <v>0</v>
      </c>
      <c r="S69" s="31">
        <f>IF(AND(R69&gt;0,R69&lt;$R$7),ROUND(($R$7-R69)*G69,PARAMETROS!$L$8),0)</f>
        <v>0</v>
      </c>
      <c r="T69" s="122">
        <f t="shared" si="6"/>
        <v>0</v>
      </c>
      <c r="U69" s="117">
        <f t="shared" si="7"/>
        <v>0</v>
      </c>
      <c r="V69" s="117">
        <f>VLOOKUP(A69,DATA!$A$4:$V$350,DATA!$V$1,0)</f>
        <v>0</v>
      </c>
      <c r="W69" s="117">
        <f>VLOOKUP(A69,DATA!$A$4:$V$350,22,0)</f>
        <v>0</v>
      </c>
      <c r="X69" s="96">
        <f t="shared" si="8"/>
        <v>0</v>
      </c>
      <c r="Y69" s="31">
        <f>ROUND(X69*PARAMETROS!$H$35,0)</f>
        <v>0</v>
      </c>
      <c r="Z69" s="31">
        <f t="shared" si="13"/>
        <v>0</v>
      </c>
      <c r="AA69" s="31">
        <f t="shared" si="14"/>
        <v>0</v>
      </c>
      <c r="AB69" s="31">
        <f t="shared" si="15"/>
        <v>0</v>
      </c>
      <c r="AC69" s="31">
        <f t="shared" si="15"/>
        <v>0</v>
      </c>
      <c r="AD69" s="38">
        <f t="shared" si="16"/>
        <v>0</v>
      </c>
    </row>
    <row r="70" spans="1:30" ht="3" customHeight="1" x14ac:dyDescent="0.25">
      <c r="A70">
        <v>5506</v>
      </c>
      <c r="B70">
        <v>5502</v>
      </c>
      <c r="C70" t="s">
        <v>106</v>
      </c>
      <c r="D70" s="6" t="str">
        <f>+DATA!U66</f>
        <v>SI</v>
      </c>
      <c r="E70" s="361">
        <f t="shared" si="1"/>
        <v>2.2222222222200001E-2</v>
      </c>
      <c r="F70" s="95">
        <f t="shared" si="9"/>
        <v>8.8888888888800002E-3</v>
      </c>
      <c r="G70" s="31">
        <f>IF(OR(D70="SI",D70="Sí"),VLOOKUP(A70,DATA!$A$4:$D$350,4,0),0)</f>
        <v>23645</v>
      </c>
      <c r="H70" s="95">
        <f>IF(OR(D70="SI",D70="Sí"),VLOOKUP(A70,DATA!$A$4:$E$350,5,0),0)</f>
        <v>5.5620380743951918E-2</v>
      </c>
      <c r="I70" s="31">
        <f t="shared" si="10"/>
        <v>1315</v>
      </c>
      <c r="J70" s="361">
        <f t="shared" si="2"/>
        <v>6.5715170959000004E-3</v>
      </c>
      <c r="K70" s="361">
        <f t="shared" si="3"/>
        <v>4.9286378220000004E-4</v>
      </c>
      <c r="L70" s="31">
        <f>IF(OR(D70="SI",D70="Sí"),VLOOKUP(A70,DATA!$A$4:$G$350,7,0),0)</f>
        <v>6495</v>
      </c>
      <c r="M70" s="31">
        <f>IF(OR(D70="SI",D70="Sí"),VLOOKUP(A70,DATA!$A$4:$H$350,8,0),0)</f>
        <v>8130</v>
      </c>
      <c r="N70" s="361">
        <f t="shared" si="4"/>
        <v>7.3651958869000002E-3</v>
      </c>
      <c r="O70" s="361">
        <f t="shared" si="11"/>
        <v>1.104912486880022E-2</v>
      </c>
      <c r="P70" s="361">
        <f t="shared" si="5"/>
        <v>5.5245624340000002E-4</v>
      </c>
      <c r="Q70" s="31">
        <f>IF(OR(D70="SI",D70="Sí"),VLOOKUP(A70,DATA!$A$4:$P$350,14,0),0)</f>
        <v>2382743</v>
      </c>
      <c r="R70" s="121">
        <f t="shared" si="12"/>
        <v>100.77</v>
      </c>
      <c r="S70" s="31">
        <f>IF(AND(R70&gt;0,R70&lt;$R$7),ROUND(($R$7-R70)*G70,PARAMETROS!$L$8),0)</f>
        <v>1507369</v>
      </c>
      <c r="T70" s="122">
        <f t="shared" si="6"/>
        <v>2.1833762965899998E-2</v>
      </c>
      <c r="U70" s="117">
        <f t="shared" si="7"/>
        <v>1.6375322224E-3</v>
      </c>
      <c r="V70" s="117">
        <f>VLOOKUP(A70,DATA!$A$4:$V$350,DATA!$V$1,0)</f>
        <v>6.32933461E-3</v>
      </c>
      <c r="W70" s="117">
        <f>VLOOKUP(A70,DATA!$A$4:$V$350,22,0)</f>
        <v>6.32933461E-3</v>
      </c>
      <c r="X70" s="96">
        <f t="shared" si="8"/>
        <v>1.7901075746880001E-2</v>
      </c>
      <c r="Y70" s="31">
        <f>ROUND(X70*PARAMETROS!$H$35,0)</f>
        <v>983084117</v>
      </c>
      <c r="Z70" s="31">
        <f t="shared" si="13"/>
        <v>983084117</v>
      </c>
      <c r="AA70" s="31">
        <f t="shared" si="14"/>
        <v>245771029</v>
      </c>
      <c r="AB70" s="31">
        <f t="shared" si="15"/>
        <v>245771029</v>
      </c>
      <c r="AC70" s="31">
        <f t="shared" si="15"/>
        <v>245771029</v>
      </c>
      <c r="AD70" s="38">
        <f t="shared" si="16"/>
        <v>245771030</v>
      </c>
    </row>
    <row r="71" spans="1:30" ht="3" customHeight="1" x14ac:dyDescent="0.25">
      <c r="A71">
        <v>5601</v>
      </c>
      <c r="B71">
        <v>5401</v>
      </c>
      <c r="C71" t="s">
        <v>99</v>
      </c>
      <c r="D71" s="6" t="str">
        <f>+DATA!U67</f>
        <v>No</v>
      </c>
      <c r="E71" s="361">
        <f t="shared" si="1"/>
        <v>0</v>
      </c>
      <c r="F71" s="95">
        <f t="shared" si="9"/>
        <v>0</v>
      </c>
      <c r="G71" s="31">
        <f>IF(OR(D71="SI",D71="Sí"),VLOOKUP(A71,DATA!$A$4:$D$350,4,0),0)</f>
        <v>0</v>
      </c>
      <c r="H71" s="95">
        <f>IF(OR(D71="SI",D71="Sí"),VLOOKUP(A71,DATA!$A$4:$E$350,5,0),0)</f>
        <v>0</v>
      </c>
      <c r="I71" s="31">
        <f t="shared" si="10"/>
        <v>0</v>
      </c>
      <c r="J71" s="361">
        <f t="shared" si="2"/>
        <v>0</v>
      </c>
      <c r="K71" s="361">
        <f t="shared" si="3"/>
        <v>0</v>
      </c>
      <c r="L71" s="31">
        <f>IF(OR(D71="SI",D71="Sí"),VLOOKUP(A71,DATA!$A$4:$G$350,7,0),0)</f>
        <v>0</v>
      </c>
      <c r="M71" s="31">
        <f>IF(OR(D71="SI",D71="Sí"),VLOOKUP(A71,DATA!$A$4:$H$350,8,0),0)</f>
        <v>0</v>
      </c>
      <c r="N71" s="361">
        <f t="shared" si="4"/>
        <v>0</v>
      </c>
      <c r="O71" s="361">
        <f t="shared" si="11"/>
        <v>0</v>
      </c>
      <c r="P71" s="361">
        <f t="shared" si="5"/>
        <v>0</v>
      </c>
      <c r="Q71" s="31">
        <f>IF(OR(D71="SI",D71="Sí"),VLOOKUP(A71,DATA!$A$4:$P$350,14,0),0)</f>
        <v>0</v>
      </c>
      <c r="R71" s="121">
        <f t="shared" si="12"/>
        <v>0</v>
      </c>
      <c r="S71" s="31">
        <f>IF(AND(R71&gt;0,R71&lt;$R$7),ROUND(($R$7-R71)*G71,PARAMETROS!$L$8),0)</f>
        <v>0</v>
      </c>
      <c r="T71" s="122">
        <f t="shared" si="6"/>
        <v>0</v>
      </c>
      <c r="U71" s="117">
        <f t="shared" si="7"/>
        <v>0</v>
      </c>
      <c r="V71" s="117">
        <f>VLOOKUP(A71,DATA!$A$4:$V$350,DATA!$V$1,0)</f>
        <v>0</v>
      </c>
      <c r="W71" s="117">
        <f>VLOOKUP(A71,DATA!$A$4:$V$350,22,0)</f>
        <v>0</v>
      </c>
      <c r="X71" s="96">
        <f t="shared" si="8"/>
        <v>0</v>
      </c>
      <c r="Y71" s="31">
        <f>ROUND(X71*PARAMETROS!$H$35,0)</f>
        <v>0</v>
      </c>
      <c r="Z71" s="31">
        <f t="shared" si="13"/>
        <v>0</v>
      </c>
      <c r="AA71" s="31">
        <f t="shared" si="14"/>
        <v>0</v>
      </c>
      <c r="AB71" s="31">
        <f t="shared" si="15"/>
        <v>0</v>
      </c>
      <c r="AC71" s="31">
        <f t="shared" si="15"/>
        <v>0</v>
      </c>
      <c r="AD71" s="38">
        <f t="shared" si="16"/>
        <v>0</v>
      </c>
    </row>
    <row r="72" spans="1:30" ht="3" customHeight="1" x14ac:dyDescent="0.25">
      <c r="A72">
        <v>5602</v>
      </c>
      <c r="B72">
        <v>5406</v>
      </c>
      <c r="C72" t="s">
        <v>104</v>
      </c>
      <c r="D72" s="6" t="str">
        <f>+DATA!U68</f>
        <v>No</v>
      </c>
      <c r="E72" s="361">
        <f t="shared" si="1"/>
        <v>0</v>
      </c>
      <c r="F72" s="95">
        <f t="shared" si="9"/>
        <v>0</v>
      </c>
      <c r="G72" s="31">
        <f>IF(OR(D72="SI",D72="Sí"),VLOOKUP(A72,DATA!$A$4:$D$350,4,0),0)</f>
        <v>0</v>
      </c>
      <c r="H72" s="95">
        <f>IF(OR(D72="SI",D72="Sí"),VLOOKUP(A72,DATA!$A$4:$E$350,5,0),0)</f>
        <v>0</v>
      </c>
      <c r="I72" s="31">
        <f t="shared" si="10"/>
        <v>0</v>
      </c>
      <c r="J72" s="361">
        <f t="shared" si="2"/>
        <v>0</v>
      </c>
      <c r="K72" s="361">
        <f t="shared" si="3"/>
        <v>0</v>
      </c>
      <c r="L72" s="31">
        <f>IF(OR(D72="SI",D72="Sí"),VLOOKUP(A72,DATA!$A$4:$G$350,7,0),0)</f>
        <v>0</v>
      </c>
      <c r="M72" s="31">
        <f>IF(OR(D72="SI",D72="Sí"),VLOOKUP(A72,DATA!$A$4:$H$350,8,0),0)</f>
        <v>0</v>
      </c>
      <c r="N72" s="361">
        <f t="shared" si="4"/>
        <v>0</v>
      </c>
      <c r="O72" s="361">
        <f t="shared" si="11"/>
        <v>0</v>
      </c>
      <c r="P72" s="361">
        <f t="shared" si="5"/>
        <v>0</v>
      </c>
      <c r="Q72" s="31">
        <f>IF(OR(D72="SI",D72="Sí"),VLOOKUP(A72,DATA!$A$4:$P$350,14,0),0)</f>
        <v>0</v>
      </c>
      <c r="R72" s="121">
        <f t="shared" si="12"/>
        <v>0</v>
      </c>
      <c r="S72" s="31">
        <f>IF(AND(R72&gt;0,R72&lt;$R$7),ROUND(($R$7-R72)*G72,PARAMETROS!$L$8),0)</f>
        <v>0</v>
      </c>
      <c r="T72" s="122">
        <f t="shared" si="6"/>
        <v>0</v>
      </c>
      <c r="U72" s="117">
        <f t="shared" si="7"/>
        <v>0</v>
      </c>
      <c r="V72" s="117">
        <f>VLOOKUP(A72,DATA!$A$4:$V$350,DATA!$V$1,0)</f>
        <v>0</v>
      </c>
      <c r="W72" s="117">
        <f>VLOOKUP(A72,DATA!$A$4:$V$350,22,0)</f>
        <v>0</v>
      </c>
      <c r="X72" s="96">
        <f t="shared" si="8"/>
        <v>0</v>
      </c>
      <c r="Y72" s="31">
        <f>ROUND(X72*PARAMETROS!$H$35,0)</f>
        <v>0</v>
      </c>
      <c r="Z72" s="31">
        <f t="shared" si="13"/>
        <v>0</v>
      </c>
      <c r="AA72" s="31">
        <f t="shared" si="14"/>
        <v>0</v>
      </c>
      <c r="AB72" s="31">
        <f t="shared" si="15"/>
        <v>0</v>
      </c>
      <c r="AC72" s="31">
        <f t="shared" si="15"/>
        <v>0</v>
      </c>
      <c r="AD72" s="38">
        <f t="shared" si="16"/>
        <v>0</v>
      </c>
    </row>
    <row r="73" spans="1:30" ht="3" customHeight="1" x14ac:dyDescent="0.25">
      <c r="A73">
        <v>5603</v>
      </c>
      <c r="B73">
        <v>5403</v>
      </c>
      <c r="C73" t="s">
        <v>101</v>
      </c>
      <c r="D73" s="6" t="str">
        <f>+DATA!U69</f>
        <v>No</v>
      </c>
      <c r="E73" s="361">
        <f t="shared" ref="E73:E136" si="17">IF(OR(D73="SI",D73="Sí"),ROUND(1/$D$7,DEC),0)</f>
        <v>0</v>
      </c>
      <c r="F73" s="95">
        <f t="shared" si="9"/>
        <v>0</v>
      </c>
      <c r="G73" s="31">
        <f>IF(OR(D73="SI",D73="Sí"),VLOOKUP(A73,DATA!$A$4:$D$350,4,0),0)</f>
        <v>0</v>
      </c>
      <c r="H73" s="95">
        <f>IF(OR(D73="SI",D73="Sí"),VLOOKUP(A73,DATA!$A$4:$E$350,5,0),0)</f>
        <v>0</v>
      </c>
      <c r="I73" s="31">
        <f t="shared" si="10"/>
        <v>0</v>
      </c>
      <c r="J73" s="361">
        <f t="shared" ref="J73:J136" si="18">ROUND(I73/$I$7,DEC)</f>
        <v>0</v>
      </c>
      <c r="K73" s="361">
        <f t="shared" ref="K73:K136" si="19">ROUND(J73*$K$7,DEC)</f>
        <v>0</v>
      </c>
      <c r="L73" s="31">
        <f>IF(OR(D73="SI",D73="Sí"),VLOOKUP(A73,DATA!$A$4:$G$350,7,0),0)</f>
        <v>0</v>
      </c>
      <c r="M73" s="31">
        <f>IF(OR(D73="SI",D73="Sí"),VLOOKUP(A73,DATA!$A$4:$H$350,8,0),0)</f>
        <v>0</v>
      </c>
      <c r="N73" s="361">
        <f t="shared" ref="N73:N136" si="20">IF(M73=0,0,ROUND((L73/$L$7)*(L73/M73),DEC))</f>
        <v>0</v>
      </c>
      <c r="O73" s="361">
        <f t="shared" si="11"/>
        <v>0</v>
      </c>
      <c r="P73" s="361">
        <f t="shared" ref="P73:P136" si="21">ROUND(O73*$P$7,DEC)</f>
        <v>0</v>
      </c>
      <c r="Q73" s="31">
        <f>IF(OR(D73="SI",D73="Sí"),VLOOKUP(A73,DATA!$A$4:$P$350,14,0),0)</f>
        <v>0</v>
      </c>
      <c r="R73" s="121">
        <f t="shared" si="12"/>
        <v>0</v>
      </c>
      <c r="S73" s="31">
        <f>IF(AND(R73&gt;0,R73&lt;$R$7),ROUND(($R$7-R73)*G73,PARAMETROS!$L$8),0)</f>
        <v>0</v>
      </c>
      <c r="T73" s="122">
        <f t="shared" ref="T73:T136" si="22">ROUND(S73/$S$7,DEC)</f>
        <v>0</v>
      </c>
      <c r="U73" s="117">
        <f t="shared" ref="U73:U136" si="23">ROUND(T73*$U$7,DEC)</f>
        <v>0</v>
      </c>
      <c r="V73" s="117">
        <f>VLOOKUP(A73,DATA!$A$4:$V$350,DATA!$V$1,0)</f>
        <v>0</v>
      </c>
      <c r="W73" s="117">
        <f>VLOOKUP(A73,DATA!$A$4:$V$350,22,0)</f>
        <v>0</v>
      </c>
      <c r="X73" s="96">
        <f t="shared" ref="X73:X136" si="24">+F73+K73+P73+U73+W73</f>
        <v>0</v>
      </c>
      <c r="Y73" s="31">
        <f>ROUND(X73*PARAMETROS!$H$35,0)</f>
        <v>0</v>
      </c>
      <c r="Z73" s="31">
        <f t="shared" si="13"/>
        <v>0</v>
      </c>
      <c r="AA73" s="31">
        <f t="shared" si="14"/>
        <v>0</v>
      </c>
      <c r="AB73" s="31">
        <f t="shared" si="15"/>
        <v>0</v>
      </c>
      <c r="AC73" s="31">
        <f t="shared" si="15"/>
        <v>0</v>
      </c>
      <c r="AD73" s="38">
        <f t="shared" si="16"/>
        <v>0</v>
      </c>
    </row>
    <row r="74" spans="1:30" ht="3" customHeight="1" x14ac:dyDescent="0.25">
      <c r="A74">
        <v>5604</v>
      </c>
      <c r="B74">
        <v>5405</v>
      </c>
      <c r="C74" t="s">
        <v>103</v>
      </c>
      <c r="D74" s="6" t="str">
        <f>+DATA!U70</f>
        <v>No</v>
      </c>
      <c r="E74" s="361">
        <f t="shared" si="17"/>
        <v>0</v>
      </c>
      <c r="F74" s="95">
        <f t="shared" ref="F74:F137" si="25">+E74*$F$7</f>
        <v>0</v>
      </c>
      <c r="G74" s="31">
        <f>IF(OR(D74="SI",D74="Sí"),VLOOKUP(A74,DATA!$A$4:$D$350,4,0),0)</f>
        <v>0</v>
      </c>
      <c r="H74" s="95">
        <f>IF(OR(D74="SI",D74="Sí"),VLOOKUP(A74,DATA!$A$4:$E$350,5,0),0)</f>
        <v>0</v>
      </c>
      <c r="I74" s="31">
        <f t="shared" ref="I74:I137" si="26">ROUND(G74*H74,0)</f>
        <v>0</v>
      </c>
      <c r="J74" s="361">
        <f t="shared" si="18"/>
        <v>0</v>
      </c>
      <c r="K74" s="361">
        <f t="shared" si="19"/>
        <v>0</v>
      </c>
      <c r="L74" s="31">
        <f>IF(OR(D74="SI",D74="Sí"),VLOOKUP(A74,DATA!$A$4:$G$350,7,0),0)</f>
        <v>0</v>
      </c>
      <c r="M74" s="31">
        <f>IF(OR(D74="SI",D74="Sí"),VLOOKUP(A74,DATA!$A$4:$H$350,8,0),0)</f>
        <v>0</v>
      </c>
      <c r="N74" s="361">
        <f t="shared" si="20"/>
        <v>0</v>
      </c>
      <c r="O74" s="361">
        <f t="shared" ref="O74:O137" si="27">+N74/$N$7</f>
        <v>0</v>
      </c>
      <c r="P74" s="361">
        <f t="shared" si="21"/>
        <v>0</v>
      </c>
      <c r="Q74" s="31">
        <f>IF(OR(D74="SI",D74="Sí"),VLOOKUP(A74,DATA!$A$4:$P$350,14,0),0)</f>
        <v>0</v>
      </c>
      <c r="R74" s="121">
        <f t="shared" ref="R74:R137" si="28">IFERROR(ROUND(Q74/G74,2),0)</f>
        <v>0</v>
      </c>
      <c r="S74" s="31">
        <f>IF(AND(R74&gt;0,R74&lt;$R$7),ROUND(($R$7-R74)*G74,PARAMETROS!$L$8),0)</f>
        <v>0</v>
      </c>
      <c r="T74" s="122">
        <f t="shared" si="22"/>
        <v>0</v>
      </c>
      <c r="U74" s="117">
        <f t="shared" si="23"/>
        <v>0</v>
      </c>
      <c r="V74" s="117">
        <f>VLOOKUP(A74,DATA!$A$4:$V$350,DATA!$V$1,0)</f>
        <v>0</v>
      </c>
      <c r="W74" s="117">
        <f>VLOOKUP(A74,DATA!$A$4:$V$350,22,0)</f>
        <v>0</v>
      </c>
      <c r="X74" s="96">
        <f t="shared" si="24"/>
        <v>0</v>
      </c>
      <c r="Y74" s="31">
        <f>ROUND(X74*PARAMETROS!$H$35,0)</f>
        <v>0</v>
      </c>
      <c r="Z74" s="31">
        <f t="shared" ref="Z74:Z137" si="29">IF(Y74=$Z$6,Y74+$Z$5,Y74)</f>
        <v>0</v>
      </c>
      <c r="AA74" s="31">
        <f t="shared" ref="AA74:AA137" si="30">ROUND(Z74/4,0)</f>
        <v>0</v>
      </c>
      <c r="AB74" s="31">
        <f t="shared" ref="AB74:AC137" si="31">+AA74</f>
        <v>0</v>
      </c>
      <c r="AC74" s="31">
        <f t="shared" si="31"/>
        <v>0</v>
      </c>
      <c r="AD74" s="38">
        <f t="shared" ref="AD74:AD137" si="32">+Z74-AA74-AB74-AC74</f>
        <v>0</v>
      </c>
    </row>
    <row r="75" spans="1:30" ht="3" customHeight="1" x14ac:dyDescent="0.25">
      <c r="A75">
        <v>5605</v>
      </c>
      <c r="B75">
        <v>5404</v>
      </c>
      <c r="C75" t="s">
        <v>102</v>
      </c>
      <c r="D75" s="6" t="str">
        <f>+DATA!U71</f>
        <v>No</v>
      </c>
      <c r="E75" s="361">
        <f t="shared" si="17"/>
        <v>0</v>
      </c>
      <c r="F75" s="95">
        <f t="shared" si="25"/>
        <v>0</v>
      </c>
      <c r="G75" s="31">
        <f>IF(OR(D75="SI",D75="Sí"),VLOOKUP(A75,DATA!$A$4:$D$350,4,0),0)</f>
        <v>0</v>
      </c>
      <c r="H75" s="95">
        <f>IF(OR(D75="SI",D75="Sí"),VLOOKUP(A75,DATA!$A$4:$E$350,5,0),0)</f>
        <v>0</v>
      </c>
      <c r="I75" s="31">
        <f t="shared" si="26"/>
        <v>0</v>
      </c>
      <c r="J75" s="361">
        <f t="shared" si="18"/>
        <v>0</v>
      </c>
      <c r="K75" s="361">
        <f t="shared" si="19"/>
        <v>0</v>
      </c>
      <c r="L75" s="31">
        <f>IF(OR(D75="SI",D75="Sí"),VLOOKUP(A75,DATA!$A$4:$G$350,7,0),0)</f>
        <v>0</v>
      </c>
      <c r="M75" s="31">
        <f>IF(OR(D75="SI",D75="Sí"),VLOOKUP(A75,DATA!$A$4:$H$350,8,0),0)</f>
        <v>0</v>
      </c>
      <c r="N75" s="361">
        <f t="shared" si="20"/>
        <v>0</v>
      </c>
      <c r="O75" s="361">
        <f t="shared" si="27"/>
        <v>0</v>
      </c>
      <c r="P75" s="361">
        <f t="shared" si="21"/>
        <v>0</v>
      </c>
      <c r="Q75" s="31">
        <f>IF(OR(D75="SI",D75="Sí"),VLOOKUP(A75,DATA!$A$4:$P$350,14,0),0)</f>
        <v>0</v>
      </c>
      <c r="R75" s="121">
        <f t="shared" si="28"/>
        <v>0</v>
      </c>
      <c r="S75" s="31">
        <f>IF(AND(R75&gt;0,R75&lt;$R$7),ROUND(($R$7-R75)*G75,PARAMETROS!$L$8),0)</f>
        <v>0</v>
      </c>
      <c r="T75" s="122">
        <f t="shared" si="22"/>
        <v>0</v>
      </c>
      <c r="U75" s="117">
        <f t="shared" si="23"/>
        <v>0</v>
      </c>
      <c r="V75" s="117">
        <f>VLOOKUP(A75,DATA!$A$4:$V$350,DATA!$V$1,0)</f>
        <v>0</v>
      </c>
      <c r="W75" s="117">
        <f>VLOOKUP(A75,DATA!$A$4:$V$350,22,0)</f>
        <v>0</v>
      </c>
      <c r="X75" s="96">
        <f t="shared" si="24"/>
        <v>0</v>
      </c>
      <c r="Y75" s="31">
        <f>ROUND(X75*PARAMETROS!$H$35,0)</f>
        <v>0</v>
      </c>
      <c r="Z75" s="31">
        <f t="shared" si="29"/>
        <v>0</v>
      </c>
      <c r="AA75" s="31">
        <f t="shared" si="30"/>
        <v>0</v>
      </c>
      <c r="AB75" s="31">
        <f t="shared" si="31"/>
        <v>0</v>
      </c>
      <c r="AC75" s="31">
        <f t="shared" si="31"/>
        <v>0</v>
      </c>
      <c r="AD75" s="38">
        <f t="shared" si="32"/>
        <v>0</v>
      </c>
    </row>
    <row r="76" spans="1:30" ht="3" customHeight="1" x14ac:dyDescent="0.25">
      <c r="A76">
        <v>5606</v>
      </c>
      <c r="B76">
        <v>5402</v>
      </c>
      <c r="C76" t="s">
        <v>100</v>
      </c>
      <c r="D76" s="6" t="str">
        <f>+DATA!U72</f>
        <v>No</v>
      </c>
      <c r="E76" s="361">
        <f t="shared" si="17"/>
        <v>0</v>
      </c>
      <c r="F76" s="95">
        <f t="shared" si="25"/>
        <v>0</v>
      </c>
      <c r="G76" s="31">
        <f>IF(OR(D76="SI",D76="Sí"),VLOOKUP(A76,DATA!$A$4:$D$350,4,0),0)</f>
        <v>0</v>
      </c>
      <c r="H76" s="95">
        <f>IF(OR(D76="SI",D76="Sí"),VLOOKUP(A76,DATA!$A$4:$E$350,5,0),0)</f>
        <v>0</v>
      </c>
      <c r="I76" s="31">
        <f t="shared" si="26"/>
        <v>0</v>
      </c>
      <c r="J76" s="361">
        <f t="shared" si="18"/>
        <v>0</v>
      </c>
      <c r="K76" s="361">
        <f t="shared" si="19"/>
        <v>0</v>
      </c>
      <c r="L76" s="31">
        <f>IF(OR(D76="SI",D76="Sí"),VLOOKUP(A76,DATA!$A$4:$G$350,7,0),0)</f>
        <v>0</v>
      </c>
      <c r="M76" s="31">
        <f>IF(OR(D76="SI",D76="Sí"),VLOOKUP(A76,DATA!$A$4:$H$350,8,0),0)</f>
        <v>0</v>
      </c>
      <c r="N76" s="361">
        <f t="shared" si="20"/>
        <v>0</v>
      </c>
      <c r="O76" s="361">
        <f t="shared" si="27"/>
        <v>0</v>
      </c>
      <c r="P76" s="361">
        <f t="shared" si="21"/>
        <v>0</v>
      </c>
      <c r="Q76" s="31">
        <f>IF(OR(D76="SI",D76="Sí"),VLOOKUP(A76,DATA!$A$4:$P$350,14,0),0)</f>
        <v>0</v>
      </c>
      <c r="R76" s="121">
        <f t="shared" si="28"/>
        <v>0</v>
      </c>
      <c r="S76" s="31">
        <f>IF(AND(R76&gt;0,R76&lt;$R$7),ROUND(($R$7-R76)*G76,PARAMETROS!$L$8),0)</f>
        <v>0</v>
      </c>
      <c r="T76" s="122">
        <f t="shared" si="22"/>
        <v>0</v>
      </c>
      <c r="U76" s="117">
        <f t="shared" si="23"/>
        <v>0</v>
      </c>
      <c r="V76" s="117">
        <f>VLOOKUP(A76,DATA!$A$4:$V$350,DATA!$V$1,0)</f>
        <v>0</v>
      </c>
      <c r="W76" s="117">
        <f>VLOOKUP(A76,DATA!$A$4:$V$350,22,0)</f>
        <v>0</v>
      </c>
      <c r="X76" s="96">
        <f t="shared" si="24"/>
        <v>0</v>
      </c>
      <c r="Y76" s="31">
        <f>ROUND(X76*PARAMETROS!$H$35,0)</f>
        <v>0</v>
      </c>
      <c r="Z76" s="31">
        <f t="shared" si="29"/>
        <v>0</v>
      </c>
      <c r="AA76" s="31">
        <f t="shared" si="30"/>
        <v>0</v>
      </c>
      <c r="AB76" s="31">
        <f t="shared" si="31"/>
        <v>0</v>
      </c>
      <c r="AC76" s="31">
        <f t="shared" si="31"/>
        <v>0</v>
      </c>
      <c r="AD76" s="38">
        <f t="shared" si="32"/>
        <v>0</v>
      </c>
    </row>
    <row r="77" spans="1:30" ht="3" customHeight="1" x14ac:dyDescent="0.25">
      <c r="A77">
        <v>5701</v>
      </c>
      <c r="B77">
        <v>5601</v>
      </c>
      <c r="C77" t="s">
        <v>111</v>
      </c>
      <c r="D77" s="6" t="str">
        <f>+DATA!U73</f>
        <v>SI</v>
      </c>
      <c r="E77" s="361">
        <f t="shared" si="17"/>
        <v>2.2222222222200001E-2</v>
      </c>
      <c r="F77" s="95">
        <f t="shared" si="25"/>
        <v>8.8888888888800002E-3</v>
      </c>
      <c r="G77" s="31">
        <f>IF(OR(D77="SI",D77="Sí"),VLOOKUP(A77,DATA!$A$4:$D$350,4,0),0)</f>
        <v>86838</v>
      </c>
      <c r="H77" s="95">
        <f>IF(OR(D77="SI",D77="Sí"),VLOOKUP(A77,DATA!$A$4:$E$350,5,0),0)</f>
        <v>7.0200091599420145E-2</v>
      </c>
      <c r="I77" s="31">
        <f t="shared" si="26"/>
        <v>6096</v>
      </c>
      <c r="J77" s="361">
        <f t="shared" si="18"/>
        <v>3.0463854157300001E-2</v>
      </c>
      <c r="K77" s="361">
        <f t="shared" si="19"/>
        <v>2.2847890618000002E-3</v>
      </c>
      <c r="L77" s="31">
        <f>IF(OR(D77="SI",D77="Sí"),VLOOKUP(A77,DATA!$A$4:$G$350,7,0),0)</f>
        <v>25772</v>
      </c>
      <c r="M77" s="31">
        <f>IF(OR(D77="SI",D77="Sí"),VLOOKUP(A77,DATA!$A$4:$H$350,8,0),0)</f>
        <v>32065</v>
      </c>
      <c r="N77" s="361">
        <f t="shared" si="20"/>
        <v>2.94023157963E-2</v>
      </c>
      <c r="O77" s="361">
        <f t="shared" si="27"/>
        <v>4.4108787281956878E-2</v>
      </c>
      <c r="P77" s="361">
        <f t="shared" si="21"/>
        <v>2.2054393641000002E-3</v>
      </c>
      <c r="Q77" s="31">
        <f>IF(OR(D77="SI",D77="Sí"),VLOOKUP(A77,DATA!$A$4:$P$350,14,0),0)</f>
        <v>6795136</v>
      </c>
      <c r="R77" s="121">
        <f t="shared" si="28"/>
        <v>78.25</v>
      </c>
      <c r="S77" s="31">
        <f>IF(AND(R77&gt;0,R77&lt;$R$7),ROUND(($R$7-R77)*G77,PARAMETROS!$L$8),0)</f>
        <v>7491514</v>
      </c>
      <c r="T77" s="122">
        <f t="shared" si="22"/>
        <v>0.10851220963950001</v>
      </c>
      <c r="U77" s="117">
        <f t="shared" si="23"/>
        <v>8.1384157229999997E-3</v>
      </c>
      <c r="V77" s="117">
        <f>VLOOKUP(A77,DATA!$A$4:$V$350,DATA!$V$1,0)</f>
        <v>2.7626905799999998E-3</v>
      </c>
      <c r="W77" s="117">
        <f>VLOOKUP(A77,DATA!$A$4:$V$350,22,0)</f>
        <v>2.7626905799999998E-3</v>
      </c>
      <c r="X77" s="96">
        <f t="shared" si="24"/>
        <v>2.4280223617780001E-2</v>
      </c>
      <c r="Y77" s="31">
        <f>ROUND(X77*PARAMETROS!$H$35,0)</f>
        <v>1333411609</v>
      </c>
      <c r="Z77" s="31">
        <f t="shared" si="29"/>
        <v>1333411609</v>
      </c>
      <c r="AA77" s="31">
        <f t="shared" si="30"/>
        <v>333352902</v>
      </c>
      <c r="AB77" s="31">
        <f t="shared" si="31"/>
        <v>333352902</v>
      </c>
      <c r="AC77" s="31">
        <f t="shared" si="31"/>
        <v>333352902</v>
      </c>
      <c r="AD77" s="38">
        <f t="shared" si="32"/>
        <v>333352903</v>
      </c>
    </row>
    <row r="78" spans="1:30" ht="3" customHeight="1" x14ac:dyDescent="0.25">
      <c r="A78">
        <v>5702</v>
      </c>
      <c r="B78">
        <v>5603</v>
      </c>
      <c r="C78" t="s">
        <v>113</v>
      </c>
      <c r="D78" s="6" t="str">
        <f>+DATA!U74</f>
        <v>SI</v>
      </c>
      <c r="E78" s="361">
        <f t="shared" si="17"/>
        <v>2.2222222222200001E-2</v>
      </c>
      <c r="F78" s="95">
        <f t="shared" si="25"/>
        <v>8.8888888888800002E-3</v>
      </c>
      <c r="G78" s="31">
        <f>IF(OR(D78="SI",D78="Sí"),VLOOKUP(A78,DATA!$A$4:$D$350,4,0),0)</f>
        <v>15714</v>
      </c>
      <c r="H78" s="95">
        <f>IF(OR(D78="SI",D78="Sí"),VLOOKUP(A78,DATA!$A$4:$E$350,5,0),0)</f>
        <v>0.1204219901044855</v>
      </c>
      <c r="I78" s="31">
        <f t="shared" si="26"/>
        <v>1892</v>
      </c>
      <c r="J78" s="361">
        <f t="shared" si="18"/>
        <v>9.4549888558999994E-3</v>
      </c>
      <c r="K78" s="361">
        <f t="shared" si="19"/>
        <v>7.0912416419999995E-4</v>
      </c>
      <c r="L78" s="31">
        <f>IF(OR(D78="SI",D78="Sí"),VLOOKUP(A78,DATA!$A$4:$G$350,7,0),0)</f>
        <v>4949</v>
      </c>
      <c r="M78" s="31">
        <f>IF(OR(D78="SI",D78="Sí"),VLOOKUP(A78,DATA!$A$4:$H$350,8,0),0)</f>
        <v>6477</v>
      </c>
      <c r="N78" s="361">
        <f t="shared" si="20"/>
        <v>5.3675679038000003E-3</v>
      </c>
      <c r="O78" s="361">
        <f t="shared" si="27"/>
        <v>8.0523218827534323E-3</v>
      </c>
      <c r="P78" s="361">
        <f t="shared" si="21"/>
        <v>4.0261609409999999E-4</v>
      </c>
      <c r="Q78" s="31">
        <f>IF(OR(D78="SI",D78="Sí"),VLOOKUP(A78,DATA!$A$4:$P$350,14,0),0)</f>
        <v>1881281</v>
      </c>
      <c r="R78" s="121">
        <f t="shared" si="28"/>
        <v>119.72</v>
      </c>
      <c r="S78" s="31">
        <f>IF(AND(R78&gt;0,R78&lt;$R$7),ROUND(($R$7-R78)*G78,PARAMETROS!$L$8),0)</f>
        <v>703987</v>
      </c>
      <c r="T78" s="122">
        <f t="shared" si="22"/>
        <v>1.0197028921999999E-2</v>
      </c>
      <c r="U78" s="117">
        <f t="shared" si="23"/>
        <v>7.6477716920000005E-4</v>
      </c>
      <c r="V78" s="117">
        <f>VLOOKUP(A78,DATA!$A$4:$V$350,DATA!$V$1,0)</f>
        <v>1.158419112E-2</v>
      </c>
      <c r="W78" s="117">
        <f>VLOOKUP(A78,DATA!$A$4:$V$350,22,0)</f>
        <v>1.158419112E-2</v>
      </c>
      <c r="X78" s="96">
        <f t="shared" si="24"/>
        <v>2.234959743638E-2</v>
      </c>
      <c r="Y78" s="31">
        <f>ROUND(X78*PARAMETROS!$H$35,0)</f>
        <v>1227386252</v>
      </c>
      <c r="Z78" s="31">
        <f t="shared" si="29"/>
        <v>1227386252</v>
      </c>
      <c r="AA78" s="31">
        <f t="shared" si="30"/>
        <v>306846563</v>
      </c>
      <c r="AB78" s="31">
        <f t="shared" si="31"/>
        <v>306846563</v>
      </c>
      <c r="AC78" s="31">
        <f t="shared" si="31"/>
        <v>306846563</v>
      </c>
      <c r="AD78" s="38">
        <f t="shared" si="32"/>
        <v>306846563</v>
      </c>
    </row>
    <row r="79" spans="1:30" ht="3" customHeight="1" x14ac:dyDescent="0.25">
      <c r="A79">
        <v>5703</v>
      </c>
      <c r="B79">
        <v>5606</v>
      </c>
      <c r="C79" t="s">
        <v>0</v>
      </c>
      <c r="D79" s="6" t="str">
        <f>+DATA!U75</f>
        <v>No</v>
      </c>
      <c r="E79" s="361">
        <f t="shared" si="17"/>
        <v>0</v>
      </c>
      <c r="F79" s="95">
        <f t="shared" si="25"/>
        <v>0</v>
      </c>
      <c r="G79" s="31">
        <f>IF(OR(D79="SI",D79="Sí"),VLOOKUP(A79,DATA!$A$4:$D$350,4,0),0)</f>
        <v>0</v>
      </c>
      <c r="H79" s="95">
        <f>IF(OR(D79="SI",D79="Sí"),VLOOKUP(A79,DATA!$A$4:$E$350,5,0),0)</f>
        <v>0</v>
      </c>
      <c r="I79" s="31">
        <f t="shared" si="26"/>
        <v>0</v>
      </c>
      <c r="J79" s="361">
        <f t="shared" si="18"/>
        <v>0</v>
      </c>
      <c r="K79" s="361">
        <f t="shared" si="19"/>
        <v>0</v>
      </c>
      <c r="L79" s="31">
        <f>IF(OR(D79="SI",D79="Sí"),VLOOKUP(A79,DATA!$A$4:$G$350,7,0),0)</f>
        <v>0</v>
      </c>
      <c r="M79" s="31">
        <f>IF(OR(D79="SI",D79="Sí"),VLOOKUP(A79,DATA!$A$4:$H$350,8,0),0)</f>
        <v>0</v>
      </c>
      <c r="N79" s="361">
        <f t="shared" si="20"/>
        <v>0</v>
      </c>
      <c r="O79" s="361">
        <f t="shared" si="27"/>
        <v>0</v>
      </c>
      <c r="P79" s="361">
        <f t="shared" si="21"/>
        <v>0</v>
      </c>
      <c r="Q79" s="31">
        <f>IF(OR(D79="SI",D79="Sí"),VLOOKUP(A79,DATA!$A$4:$P$350,14,0),0)</f>
        <v>0</v>
      </c>
      <c r="R79" s="121">
        <f t="shared" si="28"/>
        <v>0</v>
      </c>
      <c r="S79" s="31">
        <f>IF(AND(R79&gt;0,R79&lt;$R$7),ROUND(($R$7-R79)*G79,PARAMETROS!$L$8),0)</f>
        <v>0</v>
      </c>
      <c r="T79" s="122">
        <f t="shared" si="22"/>
        <v>0</v>
      </c>
      <c r="U79" s="117">
        <f t="shared" si="23"/>
        <v>0</v>
      </c>
      <c r="V79" s="117">
        <f>VLOOKUP(A79,DATA!$A$4:$V$350,DATA!$V$1,0)</f>
        <v>0</v>
      </c>
      <c r="W79" s="117">
        <f>VLOOKUP(A79,DATA!$A$4:$V$350,22,0)</f>
        <v>0</v>
      </c>
      <c r="X79" s="96">
        <f t="shared" si="24"/>
        <v>0</v>
      </c>
      <c r="Y79" s="31">
        <f>ROUND(X79*PARAMETROS!$H$35,0)</f>
        <v>0</v>
      </c>
      <c r="Z79" s="31">
        <f t="shared" si="29"/>
        <v>0</v>
      </c>
      <c r="AA79" s="31">
        <f t="shared" si="30"/>
        <v>0</v>
      </c>
      <c r="AB79" s="31">
        <f t="shared" si="31"/>
        <v>0</v>
      </c>
      <c r="AC79" s="31">
        <f t="shared" si="31"/>
        <v>0</v>
      </c>
      <c r="AD79" s="38">
        <f t="shared" si="32"/>
        <v>0</v>
      </c>
    </row>
    <row r="80" spans="1:30" ht="3" customHeight="1" x14ac:dyDescent="0.25">
      <c r="A80">
        <v>5704</v>
      </c>
      <c r="B80">
        <v>5602</v>
      </c>
      <c r="C80" t="s">
        <v>112</v>
      </c>
      <c r="D80" s="6" t="str">
        <f>+DATA!U76</f>
        <v>No</v>
      </c>
      <c r="E80" s="361">
        <f t="shared" si="17"/>
        <v>0</v>
      </c>
      <c r="F80" s="95">
        <f t="shared" si="25"/>
        <v>0</v>
      </c>
      <c r="G80" s="31">
        <f>IF(OR(D80="SI",D80="Sí"),VLOOKUP(A80,DATA!$A$4:$D$350,4,0),0)</f>
        <v>0</v>
      </c>
      <c r="H80" s="95">
        <f>IF(OR(D80="SI",D80="Sí"),VLOOKUP(A80,DATA!$A$4:$E$350,5,0),0)</f>
        <v>0</v>
      </c>
      <c r="I80" s="31">
        <f t="shared" si="26"/>
        <v>0</v>
      </c>
      <c r="J80" s="361">
        <f t="shared" si="18"/>
        <v>0</v>
      </c>
      <c r="K80" s="361">
        <f t="shared" si="19"/>
        <v>0</v>
      </c>
      <c r="L80" s="31">
        <f>IF(OR(D80="SI",D80="Sí"),VLOOKUP(A80,DATA!$A$4:$G$350,7,0),0)</f>
        <v>0</v>
      </c>
      <c r="M80" s="31">
        <f>IF(OR(D80="SI",D80="Sí"),VLOOKUP(A80,DATA!$A$4:$H$350,8,0),0)</f>
        <v>0</v>
      </c>
      <c r="N80" s="361">
        <f t="shared" si="20"/>
        <v>0</v>
      </c>
      <c r="O80" s="361">
        <f t="shared" si="27"/>
        <v>0</v>
      </c>
      <c r="P80" s="361">
        <f t="shared" si="21"/>
        <v>0</v>
      </c>
      <c r="Q80" s="31">
        <f>IF(OR(D80="SI",D80="Sí"),VLOOKUP(A80,DATA!$A$4:$P$350,14,0),0)</f>
        <v>0</v>
      </c>
      <c r="R80" s="121">
        <f t="shared" si="28"/>
        <v>0</v>
      </c>
      <c r="S80" s="31">
        <f>IF(AND(R80&gt;0,R80&lt;$R$7),ROUND(($R$7-R80)*G80,PARAMETROS!$L$8),0)</f>
        <v>0</v>
      </c>
      <c r="T80" s="122">
        <f t="shared" si="22"/>
        <v>0</v>
      </c>
      <c r="U80" s="117">
        <f t="shared" si="23"/>
        <v>0</v>
      </c>
      <c r="V80" s="117">
        <f>VLOOKUP(A80,DATA!$A$4:$V$350,DATA!$V$1,0)</f>
        <v>0</v>
      </c>
      <c r="W80" s="117">
        <f>VLOOKUP(A80,DATA!$A$4:$V$350,22,0)</f>
        <v>0</v>
      </c>
      <c r="X80" s="96">
        <f t="shared" si="24"/>
        <v>0</v>
      </c>
      <c r="Y80" s="31">
        <f>ROUND(X80*PARAMETROS!$H$35,0)</f>
        <v>0</v>
      </c>
      <c r="Z80" s="31">
        <f t="shared" si="29"/>
        <v>0</v>
      </c>
      <c r="AA80" s="31">
        <f t="shared" si="30"/>
        <v>0</v>
      </c>
      <c r="AB80" s="31">
        <f t="shared" si="31"/>
        <v>0</v>
      </c>
      <c r="AC80" s="31">
        <f t="shared" si="31"/>
        <v>0</v>
      </c>
      <c r="AD80" s="38">
        <f t="shared" si="32"/>
        <v>0</v>
      </c>
    </row>
    <row r="81" spans="1:30" ht="3" customHeight="1" x14ac:dyDescent="0.25">
      <c r="A81">
        <v>5705</v>
      </c>
      <c r="B81">
        <v>5604</v>
      </c>
      <c r="C81" t="s">
        <v>114</v>
      </c>
      <c r="D81" s="6" t="str">
        <f>+DATA!U77</f>
        <v>No</v>
      </c>
      <c r="E81" s="361">
        <f t="shared" si="17"/>
        <v>0</v>
      </c>
      <c r="F81" s="95">
        <f t="shared" si="25"/>
        <v>0</v>
      </c>
      <c r="G81" s="31">
        <f>IF(OR(D81="SI",D81="Sí"),VLOOKUP(A81,DATA!$A$4:$D$350,4,0),0)</f>
        <v>0</v>
      </c>
      <c r="H81" s="95">
        <f>IF(OR(D81="SI",D81="Sí"),VLOOKUP(A81,DATA!$A$4:$E$350,5,0),0)</f>
        <v>0</v>
      </c>
      <c r="I81" s="31">
        <f t="shared" si="26"/>
        <v>0</v>
      </c>
      <c r="J81" s="361">
        <f t="shared" si="18"/>
        <v>0</v>
      </c>
      <c r="K81" s="361">
        <f t="shared" si="19"/>
        <v>0</v>
      </c>
      <c r="L81" s="31">
        <f>IF(OR(D81="SI",D81="Sí"),VLOOKUP(A81,DATA!$A$4:$G$350,7,0),0)</f>
        <v>0</v>
      </c>
      <c r="M81" s="31">
        <f>IF(OR(D81="SI",D81="Sí"),VLOOKUP(A81,DATA!$A$4:$H$350,8,0),0)</f>
        <v>0</v>
      </c>
      <c r="N81" s="361">
        <f t="shared" si="20"/>
        <v>0</v>
      </c>
      <c r="O81" s="361">
        <f t="shared" si="27"/>
        <v>0</v>
      </c>
      <c r="P81" s="361">
        <f t="shared" si="21"/>
        <v>0</v>
      </c>
      <c r="Q81" s="31">
        <f>IF(OR(D81="SI",D81="Sí"),VLOOKUP(A81,DATA!$A$4:$P$350,14,0),0)</f>
        <v>0</v>
      </c>
      <c r="R81" s="121">
        <f t="shared" si="28"/>
        <v>0</v>
      </c>
      <c r="S81" s="31">
        <f>IF(AND(R81&gt;0,R81&lt;$R$7),ROUND(($R$7-R81)*G81,PARAMETROS!$L$8),0)</f>
        <v>0</v>
      </c>
      <c r="T81" s="122">
        <f t="shared" si="22"/>
        <v>0</v>
      </c>
      <c r="U81" s="117">
        <f t="shared" si="23"/>
        <v>0</v>
      </c>
      <c r="V81" s="117">
        <f>VLOOKUP(A81,DATA!$A$4:$V$350,DATA!$V$1,0)</f>
        <v>0</v>
      </c>
      <c r="W81" s="117">
        <f>VLOOKUP(A81,DATA!$A$4:$V$350,22,0)</f>
        <v>0</v>
      </c>
      <c r="X81" s="96">
        <f t="shared" si="24"/>
        <v>0</v>
      </c>
      <c r="Y81" s="31">
        <f>ROUND(X81*PARAMETROS!$H$35,0)</f>
        <v>0</v>
      </c>
      <c r="Z81" s="31">
        <f t="shared" si="29"/>
        <v>0</v>
      </c>
      <c r="AA81" s="31">
        <f t="shared" si="30"/>
        <v>0</v>
      </c>
      <c r="AB81" s="31">
        <f t="shared" si="31"/>
        <v>0</v>
      </c>
      <c r="AC81" s="31">
        <f t="shared" si="31"/>
        <v>0</v>
      </c>
      <c r="AD81" s="38">
        <f t="shared" si="32"/>
        <v>0</v>
      </c>
    </row>
    <row r="82" spans="1:30" ht="3" customHeight="1" x14ac:dyDescent="0.25">
      <c r="A82">
        <v>5706</v>
      </c>
      <c r="B82">
        <v>5605</v>
      </c>
      <c r="C82" t="s">
        <v>382</v>
      </c>
      <c r="D82" s="6" t="str">
        <f>+DATA!U78</f>
        <v>No</v>
      </c>
      <c r="E82" s="361">
        <f t="shared" si="17"/>
        <v>0</v>
      </c>
      <c r="F82" s="95">
        <f t="shared" si="25"/>
        <v>0</v>
      </c>
      <c r="G82" s="31">
        <f>IF(OR(D82="SI",D82="Sí"),VLOOKUP(A82,DATA!$A$4:$D$350,4,0),0)</f>
        <v>0</v>
      </c>
      <c r="H82" s="95">
        <f>IF(OR(D82="SI",D82="Sí"),VLOOKUP(A82,DATA!$A$4:$E$350,5,0),0)</f>
        <v>0</v>
      </c>
      <c r="I82" s="31">
        <f t="shared" si="26"/>
        <v>0</v>
      </c>
      <c r="J82" s="361">
        <f t="shared" si="18"/>
        <v>0</v>
      </c>
      <c r="K82" s="361">
        <f t="shared" si="19"/>
        <v>0</v>
      </c>
      <c r="L82" s="31">
        <f>IF(OR(D82="SI",D82="Sí"),VLOOKUP(A82,DATA!$A$4:$G$350,7,0),0)</f>
        <v>0</v>
      </c>
      <c r="M82" s="31">
        <f>IF(OR(D82="SI",D82="Sí"),VLOOKUP(A82,DATA!$A$4:$H$350,8,0),0)</f>
        <v>0</v>
      </c>
      <c r="N82" s="361">
        <f t="shared" si="20"/>
        <v>0</v>
      </c>
      <c r="O82" s="361">
        <f t="shared" si="27"/>
        <v>0</v>
      </c>
      <c r="P82" s="361">
        <f t="shared" si="21"/>
        <v>0</v>
      </c>
      <c r="Q82" s="31">
        <f>IF(OR(D82="SI",D82="Sí"),VLOOKUP(A82,DATA!$A$4:$P$350,14,0),0)</f>
        <v>0</v>
      </c>
      <c r="R82" s="121">
        <f t="shared" si="28"/>
        <v>0</v>
      </c>
      <c r="S82" s="31">
        <f>IF(AND(R82&gt;0,R82&lt;$R$7),ROUND(($R$7-R82)*G82,PARAMETROS!$L$8),0)</f>
        <v>0</v>
      </c>
      <c r="T82" s="122">
        <f t="shared" si="22"/>
        <v>0</v>
      </c>
      <c r="U82" s="117">
        <f t="shared" si="23"/>
        <v>0</v>
      </c>
      <c r="V82" s="117">
        <f>VLOOKUP(A82,DATA!$A$4:$V$350,DATA!$V$1,0)</f>
        <v>0</v>
      </c>
      <c r="W82" s="117">
        <f>VLOOKUP(A82,DATA!$A$4:$V$350,22,0)</f>
        <v>0</v>
      </c>
      <c r="X82" s="96">
        <f t="shared" si="24"/>
        <v>0</v>
      </c>
      <c r="Y82" s="31">
        <f>ROUND(X82*PARAMETROS!$H$35,0)</f>
        <v>0</v>
      </c>
      <c r="Z82" s="31">
        <f t="shared" si="29"/>
        <v>0</v>
      </c>
      <c r="AA82" s="31">
        <f t="shared" si="30"/>
        <v>0</v>
      </c>
      <c r="AB82" s="31">
        <f t="shared" si="31"/>
        <v>0</v>
      </c>
      <c r="AC82" s="31">
        <f t="shared" si="31"/>
        <v>0</v>
      </c>
      <c r="AD82" s="38">
        <f t="shared" si="32"/>
        <v>0</v>
      </c>
    </row>
    <row r="83" spans="1:30" ht="3" customHeight="1" x14ac:dyDescent="0.25">
      <c r="A83">
        <v>5801</v>
      </c>
      <c r="B83">
        <v>5304</v>
      </c>
      <c r="C83" t="s">
        <v>383</v>
      </c>
      <c r="D83" s="6" t="str">
        <f>+DATA!U79</f>
        <v>No</v>
      </c>
      <c r="E83" s="361">
        <f t="shared" si="17"/>
        <v>0</v>
      </c>
      <c r="F83" s="95">
        <f t="shared" si="25"/>
        <v>0</v>
      </c>
      <c r="G83" s="31">
        <f>IF(OR(D83="SI",D83="Sí"),VLOOKUP(A83,DATA!$A$4:$D$350,4,0),0)</f>
        <v>0</v>
      </c>
      <c r="H83" s="95">
        <f>IF(OR(D83="SI",D83="Sí"),VLOOKUP(A83,DATA!$A$4:$E$350,5,0),0)</f>
        <v>0</v>
      </c>
      <c r="I83" s="31">
        <f t="shared" si="26"/>
        <v>0</v>
      </c>
      <c r="J83" s="361">
        <f t="shared" si="18"/>
        <v>0</v>
      </c>
      <c r="K83" s="361">
        <f t="shared" si="19"/>
        <v>0</v>
      </c>
      <c r="L83" s="31">
        <f>IF(OR(D83="SI",D83="Sí"),VLOOKUP(A83,DATA!$A$4:$G$350,7,0),0)</f>
        <v>0</v>
      </c>
      <c r="M83" s="31">
        <f>IF(OR(D83="SI",D83="Sí"),VLOOKUP(A83,DATA!$A$4:$H$350,8,0),0)</f>
        <v>0</v>
      </c>
      <c r="N83" s="361">
        <f t="shared" si="20"/>
        <v>0</v>
      </c>
      <c r="O83" s="361">
        <f t="shared" si="27"/>
        <v>0</v>
      </c>
      <c r="P83" s="361">
        <f t="shared" si="21"/>
        <v>0</v>
      </c>
      <c r="Q83" s="31">
        <f>IF(OR(D83="SI",D83="Sí"),VLOOKUP(A83,DATA!$A$4:$P$350,14,0),0)</f>
        <v>0</v>
      </c>
      <c r="R83" s="121">
        <f t="shared" si="28"/>
        <v>0</v>
      </c>
      <c r="S83" s="31">
        <f>IF(AND(R83&gt;0,R83&lt;$R$7),ROUND(($R$7-R83)*G83,PARAMETROS!$L$8),0)</f>
        <v>0</v>
      </c>
      <c r="T83" s="122">
        <f t="shared" si="22"/>
        <v>0</v>
      </c>
      <c r="U83" s="117">
        <f t="shared" si="23"/>
        <v>0</v>
      </c>
      <c r="V83" s="117">
        <f>VLOOKUP(A83,DATA!$A$4:$V$350,DATA!$V$1,0)</f>
        <v>0</v>
      </c>
      <c r="W83" s="117">
        <f>VLOOKUP(A83,DATA!$A$4:$V$350,22,0)</f>
        <v>0</v>
      </c>
      <c r="X83" s="96">
        <f t="shared" si="24"/>
        <v>0</v>
      </c>
      <c r="Y83" s="31">
        <f>ROUND(X83*PARAMETROS!$H$35,0)</f>
        <v>0</v>
      </c>
      <c r="Z83" s="31">
        <f t="shared" si="29"/>
        <v>0</v>
      </c>
      <c r="AA83" s="31">
        <f t="shared" si="30"/>
        <v>0</v>
      </c>
      <c r="AB83" s="31">
        <f t="shared" si="31"/>
        <v>0</v>
      </c>
      <c r="AC83" s="31">
        <f t="shared" si="31"/>
        <v>0</v>
      </c>
      <c r="AD83" s="38">
        <f t="shared" si="32"/>
        <v>0</v>
      </c>
    </row>
    <row r="84" spans="1:30" ht="3" customHeight="1" x14ac:dyDescent="0.25">
      <c r="A84">
        <v>5802</v>
      </c>
      <c r="B84">
        <v>5506</v>
      </c>
      <c r="C84" t="s">
        <v>110</v>
      </c>
      <c r="D84" s="6" t="str">
        <f>+DATA!U80</f>
        <v>No</v>
      </c>
      <c r="E84" s="361">
        <f t="shared" si="17"/>
        <v>0</v>
      </c>
      <c r="F84" s="95">
        <f t="shared" si="25"/>
        <v>0</v>
      </c>
      <c r="G84" s="31">
        <f>IF(OR(D84="SI",D84="Sí"),VLOOKUP(A84,DATA!$A$4:$D$350,4,0),0)</f>
        <v>0</v>
      </c>
      <c r="H84" s="95">
        <f>IF(OR(D84="SI",D84="Sí"),VLOOKUP(A84,DATA!$A$4:$E$350,5,0),0)</f>
        <v>0</v>
      </c>
      <c r="I84" s="31">
        <f t="shared" si="26"/>
        <v>0</v>
      </c>
      <c r="J84" s="361">
        <f t="shared" si="18"/>
        <v>0</v>
      </c>
      <c r="K84" s="361">
        <f t="shared" si="19"/>
        <v>0</v>
      </c>
      <c r="L84" s="31">
        <f>IF(OR(D84="SI",D84="Sí"),VLOOKUP(A84,DATA!$A$4:$G$350,7,0),0)</f>
        <v>0</v>
      </c>
      <c r="M84" s="31">
        <f>IF(OR(D84="SI",D84="Sí"),VLOOKUP(A84,DATA!$A$4:$H$350,8,0),0)</f>
        <v>0</v>
      </c>
      <c r="N84" s="361">
        <f t="shared" si="20"/>
        <v>0</v>
      </c>
      <c r="O84" s="361">
        <f t="shared" si="27"/>
        <v>0</v>
      </c>
      <c r="P84" s="361">
        <f t="shared" si="21"/>
        <v>0</v>
      </c>
      <c r="Q84" s="31">
        <f>IF(OR(D84="SI",D84="Sí"),VLOOKUP(A84,DATA!$A$4:$P$350,14,0),0)</f>
        <v>0</v>
      </c>
      <c r="R84" s="121">
        <f t="shared" si="28"/>
        <v>0</v>
      </c>
      <c r="S84" s="31">
        <f>IF(AND(R84&gt;0,R84&lt;$R$7),ROUND(($R$7-R84)*G84,PARAMETROS!$L$8),0)</f>
        <v>0</v>
      </c>
      <c r="T84" s="122">
        <f t="shared" si="22"/>
        <v>0</v>
      </c>
      <c r="U84" s="117">
        <f t="shared" si="23"/>
        <v>0</v>
      </c>
      <c r="V84" s="117">
        <f>VLOOKUP(A84,DATA!$A$4:$V$350,DATA!$V$1,0)</f>
        <v>0</v>
      </c>
      <c r="W84" s="117">
        <f>VLOOKUP(A84,DATA!$A$4:$V$350,22,0)</f>
        <v>0</v>
      </c>
      <c r="X84" s="96">
        <f t="shared" si="24"/>
        <v>0</v>
      </c>
      <c r="Y84" s="31">
        <f>ROUND(X84*PARAMETROS!$H$35,0)</f>
        <v>0</v>
      </c>
      <c r="Z84" s="31">
        <f t="shared" si="29"/>
        <v>0</v>
      </c>
      <c r="AA84" s="31">
        <f t="shared" si="30"/>
        <v>0</v>
      </c>
      <c r="AB84" s="31">
        <f t="shared" si="31"/>
        <v>0</v>
      </c>
      <c r="AC84" s="31">
        <f t="shared" si="31"/>
        <v>0</v>
      </c>
      <c r="AD84" s="38">
        <f t="shared" si="32"/>
        <v>0</v>
      </c>
    </row>
    <row r="85" spans="1:30" ht="3" customHeight="1" x14ac:dyDescent="0.25">
      <c r="A85">
        <v>5803</v>
      </c>
      <c r="B85">
        <v>5507</v>
      </c>
      <c r="C85" t="s">
        <v>384</v>
      </c>
      <c r="D85" s="6" t="str">
        <f>+DATA!U81</f>
        <v>No</v>
      </c>
      <c r="E85" s="361">
        <f t="shared" si="17"/>
        <v>0</v>
      </c>
      <c r="F85" s="95">
        <f t="shared" si="25"/>
        <v>0</v>
      </c>
      <c r="G85" s="31">
        <f>IF(OR(D85="SI",D85="Sí"),VLOOKUP(A85,DATA!$A$4:$D$350,4,0),0)</f>
        <v>0</v>
      </c>
      <c r="H85" s="95">
        <f>IF(OR(D85="SI",D85="Sí"),VLOOKUP(A85,DATA!$A$4:$E$350,5,0),0)</f>
        <v>0</v>
      </c>
      <c r="I85" s="31">
        <f t="shared" si="26"/>
        <v>0</v>
      </c>
      <c r="J85" s="361">
        <f t="shared" si="18"/>
        <v>0</v>
      </c>
      <c r="K85" s="361">
        <f t="shared" si="19"/>
        <v>0</v>
      </c>
      <c r="L85" s="31">
        <f>IF(OR(D85="SI",D85="Sí"),VLOOKUP(A85,DATA!$A$4:$G$350,7,0),0)</f>
        <v>0</v>
      </c>
      <c r="M85" s="31">
        <f>IF(OR(D85="SI",D85="Sí"),VLOOKUP(A85,DATA!$A$4:$H$350,8,0),0)</f>
        <v>0</v>
      </c>
      <c r="N85" s="361">
        <f t="shared" si="20"/>
        <v>0</v>
      </c>
      <c r="O85" s="361">
        <f t="shared" si="27"/>
        <v>0</v>
      </c>
      <c r="P85" s="361">
        <f t="shared" si="21"/>
        <v>0</v>
      </c>
      <c r="Q85" s="31">
        <f>IF(OR(D85="SI",D85="Sí"),VLOOKUP(A85,DATA!$A$4:$P$350,14,0),0)</f>
        <v>0</v>
      </c>
      <c r="R85" s="121">
        <f t="shared" si="28"/>
        <v>0</v>
      </c>
      <c r="S85" s="31">
        <f>IF(AND(R85&gt;0,R85&lt;$R$7),ROUND(($R$7-R85)*G85,PARAMETROS!$L$8),0)</f>
        <v>0</v>
      </c>
      <c r="T85" s="122">
        <f t="shared" si="22"/>
        <v>0</v>
      </c>
      <c r="U85" s="117">
        <f t="shared" si="23"/>
        <v>0</v>
      </c>
      <c r="V85" s="117">
        <f>VLOOKUP(A85,DATA!$A$4:$V$350,DATA!$V$1,0)</f>
        <v>0</v>
      </c>
      <c r="W85" s="117">
        <f>VLOOKUP(A85,DATA!$A$4:$V$350,22,0)</f>
        <v>0</v>
      </c>
      <c r="X85" s="96">
        <f t="shared" si="24"/>
        <v>0</v>
      </c>
      <c r="Y85" s="31">
        <f>ROUND(X85*PARAMETROS!$H$35,0)</f>
        <v>0</v>
      </c>
      <c r="Z85" s="31">
        <f t="shared" si="29"/>
        <v>0</v>
      </c>
      <c r="AA85" s="31">
        <f t="shared" si="30"/>
        <v>0</v>
      </c>
      <c r="AB85" s="31">
        <f t="shared" si="31"/>
        <v>0</v>
      </c>
      <c r="AC85" s="31">
        <f t="shared" si="31"/>
        <v>0</v>
      </c>
      <c r="AD85" s="38">
        <f t="shared" si="32"/>
        <v>0</v>
      </c>
    </row>
    <row r="86" spans="1:30" ht="3" customHeight="1" x14ac:dyDescent="0.25">
      <c r="A86">
        <v>5804</v>
      </c>
      <c r="B86">
        <v>5303</v>
      </c>
      <c r="C86" t="s">
        <v>96</v>
      </c>
      <c r="D86" s="6" t="str">
        <f>+DATA!U82</f>
        <v>No</v>
      </c>
      <c r="E86" s="361">
        <f t="shared" si="17"/>
        <v>0</v>
      </c>
      <c r="F86" s="95">
        <f t="shared" si="25"/>
        <v>0</v>
      </c>
      <c r="G86" s="31">
        <f>IF(OR(D86="SI",D86="Sí"),VLOOKUP(A86,DATA!$A$4:$D$350,4,0),0)</f>
        <v>0</v>
      </c>
      <c r="H86" s="95">
        <f>IF(OR(D86="SI",D86="Sí"),VLOOKUP(A86,DATA!$A$4:$E$350,5,0),0)</f>
        <v>0</v>
      </c>
      <c r="I86" s="31">
        <f t="shared" si="26"/>
        <v>0</v>
      </c>
      <c r="J86" s="361">
        <f t="shared" si="18"/>
        <v>0</v>
      </c>
      <c r="K86" s="361">
        <f t="shared" si="19"/>
        <v>0</v>
      </c>
      <c r="L86" s="31">
        <f>IF(OR(D86="SI",D86="Sí"),VLOOKUP(A86,DATA!$A$4:$G$350,7,0),0)</f>
        <v>0</v>
      </c>
      <c r="M86" s="31">
        <f>IF(OR(D86="SI",D86="Sí"),VLOOKUP(A86,DATA!$A$4:$H$350,8,0),0)</f>
        <v>0</v>
      </c>
      <c r="N86" s="361">
        <f t="shared" si="20"/>
        <v>0</v>
      </c>
      <c r="O86" s="361">
        <f t="shared" si="27"/>
        <v>0</v>
      </c>
      <c r="P86" s="361">
        <f t="shared" si="21"/>
        <v>0</v>
      </c>
      <c r="Q86" s="31">
        <f>IF(OR(D86="SI",D86="Sí"),VLOOKUP(A86,DATA!$A$4:$P$350,14,0),0)</f>
        <v>0</v>
      </c>
      <c r="R86" s="121">
        <f t="shared" si="28"/>
        <v>0</v>
      </c>
      <c r="S86" s="31">
        <f>IF(AND(R86&gt;0,R86&lt;$R$7),ROUND(($R$7-R86)*G86,PARAMETROS!$L$8),0)</f>
        <v>0</v>
      </c>
      <c r="T86" s="122">
        <f t="shared" si="22"/>
        <v>0</v>
      </c>
      <c r="U86" s="117">
        <f t="shared" si="23"/>
        <v>0</v>
      </c>
      <c r="V86" s="117">
        <f>VLOOKUP(A86,DATA!$A$4:$V$350,DATA!$V$1,0)</f>
        <v>0</v>
      </c>
      <c r="W86" s="117">
        <f>VLOOKUP(A86,DATA!$A$4:$V$350,22,0)</f>
        <v>0</v>
      </c>
      <c r="X86" s="96">
        <f t="shared" si="24"/>
        <v>0</v>
      </c>
      <c r="Y86" s="31">
        <f>ROUND(X86*PARAMETROS!$H$35,0)</f>
        <v>0</v>
      </c>
      <c r="Z86" s="31">
        <f t="shared" si="29"/>
        <v>0</v>
      </c>
      <c r="AA86" s="31">
        <f t="shared" si="30"/>
        <v>0</v>
      </c>
      <c r="AB86" s="31">
        <f t="shared" si="31"/>
        <v>0</v>
      </c>
      <c r="AC86" s="31">
        <f t="shared" si="31"/>
        <v>0</v>
      </c>
      <c r="AD86" s="38">
        <f t="shared" si="32"/>
        <v>0</v>
      </c>
    </row>
    <row r="87" spans="1:30" ht="3" customHeight="1" x14ac:dyDescent="0.25">
      <c r="A87">
        <v>6101</v>
      </c>
      <c r="B87">
        <v>6101</v>
      </c>
      <c r="C87" t="s">
        <v>119</v>
      </c>
      <c r="D87" s="6" t="str">
        <f>+DATA!U83</f>
        <v>SI</v>
      </c>
      <c r="E87" s="361">
        <f t="shared" si="17"/>
        <v>2.2222222222200001E-2</v>
      </c>
      <c r="F87" s="95">
        <f t="shared" si="25"/>
        <v>8.8888888888800002E-3</v>
      </c>
      <c r="G87" s="31">
        <f>IF(OR(D87="SI",D87="Sí"),VLOOKUP(A87,DATA!$A$4:$D$350,4,0),0)</f>
        <v>274407</v>
      </c>
      <c r="H87" s="95">
        <f>IF(OR(D87="SI",D87="Sí"),VLOOKUP(A87,DATA!$A$4:$E$350,5,0),0)</f>
        <v>6.3314789896825791E-2</v>
      </c>
      <c r="I87" s="31">
        <f t="shared" si="26"/>
        <v>17374</v>
      </c>
      <c r="J87" s="361">
        <f t="shared" si="18"/>
        <v>8.6823983288899995E-2</v>
      </c>
      <c r="K87" s="361">
        <f t="shared" si="19"/>
        <v>6.5117987466999996E-3</v>
      </c>
      <c r="L87" s="31">
        <f>IF(OR(D87="SI",D87="Sí"),VLOOKUP(A87,DATA!$A$4:$G$350,7,0),0)</f>
        <v>82843</v>
      </c>
      <c r="M87" s="31">
        <f>IF(OR(D87="SI",D87="Sí"),VLOOKUP(A87,DATA!$A$4:$H$350,8,0),0)</f>
        <v>108296</v>
      </c>
      <c r="N87" s="361">
        <f t="shared" si="20"/>
        <v>8.9953021571599998E-2</v>
      </c>
      <c r="O87" s="361">
        <f t="shared" si="27"/>
        <v>0.13494578867050608</v>
      </c>
      <c r="P87" s="361">
        <f t="shared" si="21"/>
        <v>6.7472894334999999E-3</v>
      </c>
      <c r="Q87" s="31">
        <f>IF(OR(D87="SI",D87="Sí"),VLOOKUP(A87,DATA!$A$4:$P$350,14,0),0)</f>
        <v>28899132</v>
      </c>
      <c r="R87" s="121">
        <f t="shared" si="28"/>
        <v>105.31</v>
      </c>
      <c r="S87" s="31">
        <f>IF(AND(R87&gt;0,R87&lt;$R$7),ROUND(($R$7-R87)*G87,PARAMETROS!$L$8),0)</f>
        <v>16247638</v>
      </c>
      <c r="T87" s="122">
        <f t="shared" si="22"/>
        <v>0.23534189494970001</v>
      </c>
      <c r="U87" s="117">
        <f t="shared" si="23"/>
        <v>1.7650642121199999E-2</v>
      </c>
      <c r="V87" s="117">
        <f>VLOOKUP(A87,DATA!$A$4:$V$350,DATA!$V$1,0)</f>
        <v>7.8838121300000008E-3</v>
      </c>
      <c r="W87" s="117">
        <f>VLOOKUP(A87,DATA!$A$4:$V$350,22,0)</f>
        <v>7.8838121300000008E-3</v>
      </c>
      <c r="X87" s="96">
        <f t="shared" si="24"/>
        <v>4.7682431320279994E-2</v>
      </c>
      <c r="Y87" s="31">
        <f>ROUND(X87*PARAMETROS!$H$35,0)</f>
        <v>2618604690</v>
      </c>
      <c r="Z87" s="31">
        <f t="shared" si="29"/>
        <v>2618604690</v>
      </c>
      <c r="AA87" s="31">
        <f t="shared" si="30"/>
        <v>654651173</v>
      </c>
      <c r="AB87" s="31">
        <f t="shared" si="31"/>
        <v>654651173</v>
      </c>
      <c r="AC87" s="31">
        <f t="shared" si="31"/>
        <v>654651173</v>
      </c>
      <c r="AD87" s="38">
        <f t="shared" si="32"/>
        <v>654651171</v>
      </c>
    </row>
    <row r="88" spans="1:30" ht="3" customHeight="1" x14ac:dyDescent="0.25">
      <c r="A88">
        <v>6102</v>
      </c>
      <c r="B88">
        <v>6107</v>
      </c>
      <c r="C88" t="s">
        <v>124</v>
      </c>
      <c r="D88" s="6" t="str">
        <f>+DATA!U84</f>
        <v>No</v>
      </c>
      <c r="E88" s="361">
        <f t="shared" si="17"/>
        <v>0</v>
      </c>
      <c r="F88" s="95">
        <f t="shared" si="25"/>
        <v>0</v>
      </c>
      <c r="G88" s="31">
        <f>IF(OR(D88="SI",D88="Sí"),VLOOKUP(A88,DATA!$A$4:$D$350,4,0),0)</f>
        <v>0</v>
      </c>
      <c r="H88" s="95">
        <f>IF(OR(D88="SI",D88="Sí"),VLOOKUP(A88,DATA!$A$4:$E$350,5,0),0)</f>
        <v>0</v>
      </c>
      <c r="I88" s="31">
        <f t="shared" si="26"/>
        <v>0</v>
      </c>
      <c r="J88" s="361">
        <f t="shared" si="18"/>
        <v>0</v>
      </c>
      <c r="K88" s="361">
        <f t="shared" si="19"/>
        <v>0</v>
      </c>
      <c r="L88" s="31">
        <f>IF(OR(D88="SI",D88="Sí"),VLOOKUP(A88,DATA!$A$4:$G$350,7,0),0)</f>
        <v>0</v>
      </c>
      <c r="M88" s="31">
        <f>IF(OR(D88="SI",D88="Sí"),VLOOKUP(A88,DATA!$A$4:$H$350,8,0),0)</f>
        <v>0</v>
      </c>
      <c r="N88" s="361">
        <f t="shared" si="20"/>
        <v>0</v>
      </c>
      <c r="O88" s="361">
        <f t="shared" si="27"/>
        <v>0</v>
      </c>
      <c r="P88" s="361">
        <f t="shared" si="21"/>
        <v>0</v>
      </c>
      <c r="Q88" s="31">
        <f>IF(OR(D88="SI",D88="Sí"),VLOOKUP(A88,DATA!$A$4:$P$350,14,0),0)</f>
        <v>0</v>
      </c>
      <c r="R88" s="121">
        <f t="shared" si="28"/>
        <v>0</v>
      </c>
      <c r="S88" s="31">
        <f>IF(AND(R88&gt;0,R88&lt;$R$7),ROUND(($R$7-R88)*G88,PARAMETROS!$L$8),0)</f>
        <v>0</v>
      </c>
      <c r="T88" s="122">
        <f t="shared" si="22"/>
        <v>0</v>
      </c>
      <c r="U88" s="117">
        <f t="shared" si="23"/>
        <v>0</v>
      </c>
      <c r="V88" s="117">
        <f>VLOOKUP(A88,DATA!$A$4:$V$350,DATA!$V$1,0)</f>
        <v>0</v>
      </c>
      <c r="W88" s="117">
        <f>VLOOKUP(A88,DATA!$A$4:$V$350,22,0)</f>
        <v>0</v>
      </c>
      <c r="X88" s="96">
        <f t="shared" si="24"/>
        <v>0</v>
      </c>
      <c r="Y88" s="31">
        <f>ROUND(X88*PARAMETROS!$H$35,0)</f>
        <v>0</v>
      </c>
      <c r="Z88" s="31">
        <f t="shared" si="29"/>
        <v>0</v>
      </c>
      <c r="AA88" s="31">
        <f t="shared" si="30"/>
        <v>0</v>
      </c>
      <c r="AB88" s="31">
        <f t="shared" si="31"/>
        <v>0</v>
      </c>
      <c r="AC88" s="31">
        <f t="shared" si="31"/>
        <v>0</v>
      </c>
      <c r="AD88" s="38">
        <f t="shared" si="32"/>
        <v>0</v>
      </c>
    </row>
    <row r="89" spans="1:30" ht="3" customHeight="1" x14ac:dyDescent="0.25">
      <c r="A89">
        <v>6103</v>
      </c>
      <c r="B89">
        <v>6116</v>
      </c>
      <c r="C89" t="s">
        <v>131</v>
      </c>
      <c r="D89" s="6" t="str">
        <f>+DATA!U85</f>
        <v>No</v>
      </c>
      <c r="E89" s="361">
        <f t="shared" si="17"/>
        <v>0</v>
      </c>
      <c r="F89" s="95">
        <f t="shared" si="25"/>
        <v>0</v>
      </c>
      <c r="G89" s="31">
        <f>IF(OR(D89="SI",D89="Sí"),VLOOKUP(A89,DATA!$A$4:$D$350,4,0),0)</f>
        <v>0</v>
      </c>
      <c r="H89" s="95">
        <f>IF(OR(D89="SI",D89="Sí"),VLOOKUP(A89,DATA!$A$4:$E$350,5,0),0)</f>
        <v>0</v>
      </c>
      <c r="I89" s="31">
        <f t="shared" si="26"/>
        <v>0</v>
      </c>
      <c r="J89" s="361">
        <f t="shared" si="18"/>
        <v>0</v>
      </c>
      <c r="K89" s="361">
        <f t="shared" si="19"/>
        <v>0</v>
      </c>
      <c r="L89" s="31">
        <f>IF(OR(D89="SI",D89="Sí"),VLOOKUP(A89,DATA!$A$4:$G$350,7,0),0)</f>
        <v>0</v>
      </c>
      <c r="M89" s="31">
        <f>IF(OR(D89="SI",D89="Sí"),VLOOKUP(A89,DATA!$A$4:$H$350,8,0),0)</f>
        <v>0</v>
      </c>
      <c r="N89" s="361">
        <f t="shared" si="20"/>
        <v>0</v>
      </c>
      <c r="O89" s="361">
        <f t="shared" si="27"/>
        <v>0</v>
      </c>
      <c r="P89" s="361">
        <f t="shared" si="21"/>
        <v>0</v>
      </c>
      <c r="Q89" s="31">
        <f>IF(OR(D89="SI",D89="Sí"),VLOOKUP(A89,DATA!$A$4:$P$350,14,0),0)</f>
        <v>0</v>
      </c>
      <c r="R89" s="121">
        <f t="shared" si="28"/>
        <v>0</v>
      </c>
      <c r="S89" s="31">
        <f>IF(AND(R89&gt;0,R89&lt;$R$7),ROUND(($R$7-R89)*G89,PARAMETROS!$L$8),0)</f>
        <v>0</v>
      </c>
      <c r="T89" s="122">
        <f t="shared" si="22"/>
        <v>0</v>
      </c>
      <c r="U89" s="117">
        <f t="shared" si="23"/>
        <v>0</v>
      </c>
      <c r="V89" s="117">
        <f>VLOOKUP(A89,DATA!$A$4:$V$350,DATA!$V$1,0)</f>
        <v>0</v>
      </c>
      <c r="W89" s="117">
        <f>VLOOKUP(A89,DATA!$A$4:$V$350,22,0)</f>
        <v>0</v>
      </c>
      <c r="X89" s="96">
        <f t="shared" si="24"/>
        <v>0</v>
      </c>
      <c r="Y89" s="31">
        <f>ROUND(X89*PARAMETROS!$H$35,0)</f>
        <v>0</v>
      </c>
      <c r="Z89" s="31">
        <f t="shared" si="29"/>
        <v>0</v>
      </c>
      <c r="AA89" s="31">
        <f t="shared" si="30"/>
        <v>0</v>
      </c>
      <c r="AB89" s="31">
        <f t="shared" si="31"/>
        <v>0</v>
      </c>
      <c r="AC89" s="31">
        <f t="shared" si="31"/>
        <v>0</v>
      </c>
      <c r="AD89" s="38">
        <f t="shared" si="32"/>
        <v>0</v>
      </c>
    </row>
    <row r="90" spans="1:30" ht="3" customHeight="1" x14ac:dyDescent="0.25">
      <c r="A90">
        <v>6104</v>
      </c>
      <c r="B90">
        <v>6106</v>
      </c>
      <c r="C90" t="s">
        <v>123</v>
      </c>
      <c r="D90" s="6" t="str">
        <f>+DATA!U86</f>
        <v>SI</v>
      </c>
      <c r="E90" s="361">
        <f t="shared" si="17"/>
        <v>2.2222222222200001E-2</v>
      </c>
      <c r="F90" s="95">
        <f t="shared" si="25"/>
        <v>8.8888888888800002E-3</v>
      </c>
      <c r="G90" s="31">
        <f>IF(OR(D90="SI",D90="Sí"),VLOOKUP(A90,DATA!$A$4:$D$350,4,0),0)</f>
        <v>22143</v>
      </c>
      <c r="H90" s="95">
        <f>IF(OR(D90="SI",D90="Sí"),VLOOKUP(A90,DATA!$A$4:$E$350,5,0),0)</f>
        <v>0.1002123568807099</v>
      </c>
      <c r="I90" s="31">
        <f t="shared" si="26"/>
        <v>2219</v>
      </c>
      <c r="J90" s="361">
        <f t="shared" si="18"/>
        <v>1.1089122764900001E-2</v>
      </c>
      <c r="K90" s="361">
        <f t="shared" si="19"/>
        <v>8.3168420740000002E-4</v>
      </c>
      <c r="L90" s="31">
        <f>IF(OR(D90="SI",D90="Sí"),VLOOKUP(A90,DATA!$A$4:$G$350,7,0),0)</f>
        <v>8234</v>
      </c>
      <c r="M90" s="31">
        <f>IF(OR(D90="SI",D90="Sí"),VLOOKUP(A90,DATA!$A$4:$H$350,8,0),0)</f>
        <v>9925</v>
      </c>
      <c r="N90" s="361">
        <f t="shared" si="20"/>
        <v>9.6963380149000002E-3</v>
      </c>
      <c r="O90" s="361">
        <f t="shared" si="27"/>
        <v>1.4546259344884573E-2</v>
      </c>
      <c r="P90" s="361">
        <f t="shared" si="21"/>
        <v>7.2731296720000003E-4</v>
      </c>
      <c r="Q90" s="31">
        <f>IF(OR(D90="SI",D90="Sí"),VLOOKUP(A90,DATA!$A$4:$P$350,14,0),0)</f>
        <v>1294862</v>
      </c>
      <c r="R90" s="121">
        <f t="shared" si="28"/>
        <v>58.48</v>
      </c>
      <c r="S90" s="31">
        <f>IF(AND(R90&gt;0,R90&lt;$R$7),ROUND(($R$7-R90)*G90,PARAMETROS!$L$8),0)</f>
        <v>2348044</v>
      </c>
      <c r="T90" s="122">
        <f t="shared" si="22"/>
        <v>3.4010674313700001E-2</v>
      </c>
      <c r="U90" s="117">
        <f t="shared" si="23"/>
        <v>2.5508005734999999E-3</v>
      </c>
      <c r="V90" s="117">
        <f>VLOOKUP(A90,DATA!$A$4:$V$350,DATA!$V$1,0)</f>
        <v>3.8600500300000002E-3</v>
      </c>
      <c r="W90" s="117">
        <f>VLOOKUP(A90,DATA!$A$4:$V$350,22,0)</f>
        <v>3.8600500300000002E-3</v>
      </c>
      <c r="X90" s="96">
        <f t="shared" si="24"/>
        <v>1.6858736666980002E-2</v>
      </c>
      <c r="Y90" s="31">
        <f>ROUND(X90*PARAMETROS!$H$35,0)</f>
        <v>925841357</v>
      </c>
      <c r="Z90" s="31">
        <f t="shared" si="29"/>
        <v>925841357</v>
      </c>
      <c r="AA90" s="31">
        <f t="shared" si="30"/>
        <v>231460339</v>
      </c>
      <c r="AB90" s="31">
        <f t="shared" si="31"/>
        <v>231460339</v>
      </c>
      <c r="AC90" s="31">
        <f t="shared" si="31"/>
        <v>231460339</v>
      </c>
      <c r="AD90" s="38">
        <f t="shared" si="32"/>
        <v>231460340</v>
      </c>
    </row>
    <row r="91" spans="1:30" ht="3" customHeight="1" x14ac:dyDescent="0.25">
      <c r="A91">
        <v>6105</v>
      </c>
      <c r="B91">
        <v>6105</v>
      </c>
      <c r="C91" t="s">
        <v>122</v>
      </c>
      <c r="D91" s="6" t="str">
        <f>+DATA!U87</f>
        <v>SI</v>
      </c>
      <c r="E91" s="361">
        <f t="shared" si="17"/>
        <v>2.2222222222200001E-2</v>
      </c>
      <c r="F91" s="95">
        <f t="shared" si="25"/>
        <v>8.8888888888800002E-3</v>
      </c>
      <c r="G91" s="31">
        <f>IF(OR(D91="SI",D91="Sí"),VLOOKUP(A91,DATA!$A$4:$D$350,4,0),0)</f>
        <v>23647</v>
      </c>
      <c r="H91" s="95">
        <f>IF(OR(D91="SI",D91="Sí"),VLOOKUP(A91,DATA!$A$4:$E$350,5,0),0)</f>
        <v>9.0615467517776771E-2</v>
      </c>
      <c r="I91" s="31">
        <f t="shared" si="26"/>
        <v>2143</v>
      </c>
      <c r="J91" s="361">
        <f t="shared" si="18"/>
        <v>1.07093240582E-2</v>
      </c>
      <c r="K91" s="361">
        <f t="shared" si="19"/>
        <v>8.0319930439999999E-4</v>
      </c>
      <c r="L91" s="31">
        <f>IF(OR(D91="SI",D91="Sí"),VLOOKUP(A91,DATA!$A$4:$G$350,7,0),0)</f>
        <v>7158</v>
      </c>
      <c r="M91" s="31">
        <f>IF(OR(D91="SI",D91="Sí"),VLOOKUP(A91,DATA!$A$4:$H$350,8,0),0)</f>
        <v>8804</v>
      </c>
      <c r="N91" s="361">
        <f t="shared" si="20"/>
        <v>8.2607578350000002E-3</v>
      </c>
      <c r="O91" s="361">
        <f t="shared" si="27"/>
        <v>1.2392629636935822E-2</v>
      </c>
      <c r="P91" s="361">
        <f t="shared" si="21"/>
        <v>6.1963148180000001E-4</v>
      </c>
      <c r="Q91" s="31">
        <f>IF(OR(D91="SI",D91="Sí"),VLOOKUP(A91,DATA!$A$4:$P$350,14,0),0)</f>
        <v>2035246</v>
      </c>
      <c r="R91" s="121">
        <f t="shared" si="28"/>
        <v>86.07</v>
      </c>
      <c r="S91" s="31">
        <f>IF(AND(R91&gt;0,R91&lt;$R$7),ROUND(($R$7-R91)*G91,PARAMETROS!$L$8),0)</f>
        <v>1855107</v>
      </c>
      <c r="T91" s="122">
        <f t="shared" si="22"/>
        <v>2.6870637856099999E-2</v>
      </c>
      <c r="U91" s="117">
        <f t="shared" si="23"/>
        <v>2.0152978392E-3</v>
      </c>
      <c r="V91" s="117">
        <f>VLOOKUP(A91,DATA!$A$4:$V$350,DATA!$V$1,0)</f>
        <v>3.6257411399999999E-3</v>
      </c>
      <c r="W91" s="117">
        <f>VLOOKUP(A91,DATA!$A$4:$V$350,22,0)</f>
        <v>3.6257411399999999E-3</v>
      </c>
      <c r="X91" s="96">
        <f t="shared" si="24"/>
        <v>1.5952758654279999E-2</v>
      </c>
      <c r="Y91" s="31">
        <f>ROUND(X91*PARAMETROS!$H$35,0)</f>
        <v>876087219</v>
      </c>
      <c r="Z91" s="31">
        <f t="shared" si="29"/>
        <v>876087219</v>
      </c>
      <c r="AA91" s="31">
        <f t="shared" si="30"/>
        <v>219021805</v>
      </c>
      <c r="AB91" s="31">
        <f t="shared" si="31"/>
        <v>219021805</v>
      </c>
      <c r="AC91" s="31">
        <f t="shared" si="31"/>
        <v>219021805</v>
      </c>
      <c r="AD91" s="38">
        <f t="shared" si="32"/>
        <v>219021804</v>
      </c>
    </row>
    <row r="92" spans="1:30" ht="3" customHeight="1" x14ac:dyDescent="0.25">
      <c r="A92">
        <v>6106</v>
      </c>
      <c r="B92">
        <v>6103</v>
      </c>
      <c r="C92" t="s">
        <v>120</v>
      </c>
      <c r="D92" s="6" t="str">
        <f>+DATA!U88</f>
        <v>No</v>
      </c>
      <c r="E92" s="361">
        <f t="shared" si="17"/>
        <v>0</v>
      </c>
      <c r="F92" s="95">
        <f t="shared" si="25"/>
        <v>0</v>
      </c>
      <c r="G92" s="31">
        <f>IF(OR(D92="SI",D92="Sí"),VLOOKUP(A92,DATA!$A$4:$D$350,4,0),0)</f>
        <v>0</v>
      </c>
      <c r="H92" s="95">
        <f>IF(OR(D92="SI",D92="Sí"),VLOOKUP(A92,DATA!$A$4:$E$350,5,0),0)</f>
        <v>0</v>
      </c>
      <c r="I92" s="31">
        <f t="shared" si="26"/>
        <v>0</v>
      </c>
      <c r="J92" s="361">
        <f t="shared" si="18"/>
        <v>0</v>
      </c>
      <c r="K92" s="361">
        <f t="shared" si="19"/>
        <v>0</v>
      </c>
      <c r="L92" s="31">
        <f>IF(OR(D92="SI",D92="Sí"),VLOOKUP(A92,DATA!$A$4:$G$350,7,0),0)</f>
        <v>0</v>
      </c>
      <c r="M92" s="31">
        <f>IF(OR(D92="SI",D92="Sí"),VLOOKUP(A92,DATA!$A$4:$H$350,8,0),0)</f>
        <v>0</v>
      </c>
      <c r="N92" s="361">
        <f t="shared" si="20"/>
        <v>0</v>
      </c>
      <c r="O92" s="361">
        <f t="shared" si="27"/>
        <v>0</v>
      </c>
      <c r="P92" s="361">
        <f t="shared" si="21"/>
        <v>0</v>
      </c>
      <c r="Q92" s="31">
        <f>IF(OR(D92="SI",D92="Sí"),VLOOKUP(A92,DATA!$A$4:$P$350,14,0),0)</f>
        <v>0</v>
      </c>
      <c r="R92" s="121">
        <f t="shared" si="28"/>
        <v>0</v>
      </c>
      <c r="S92" s="31">
        <f>IF(AND(R92&gt;0,R92&lt;$R$7),ROUND(($R$7-R92)*G92,PARAMETROS!$L$8),0)</f>
        <v>0</v>
      </c>
      <c r="T92" s="122">
        <f t="shared" si="22"/>
        <v>0</v>
      </c>
      <c r="U92" s="117">
        <f t="shared" si="23"/>
        <v>0</v>
      </c>
      <c r="V92" s="117">
        <f>VLOOKUP(A92,DATA!$A$4:$V$350,DATA!$V$1,0)</f>
        <v>0</v>
      </c>
      <c r="W92" s="117">
        <f>VLOOKUP(A92,DATA!$A$4:$V$350,22,0)</f>
        <v>0</v>
      </c>
      <c r="X92" s="96">
        <f t="shared" si="24"/>
        <v>0</v>
      </c>
      <c r="Y92" s="31">
        <f>ROUND(X92*PARAMETROS!$H$35,0)</f>
        <v>0</v>
      </c>
      <c r="Z92" s="31">
        <f t="shared" si="29"/>
        <v>0</v>
      </c>
      <c r="AA92" s="31">
        <f t="shared" si="30"/>
        <v>0</v>
      </c>
      <c r="AB92" s="31">
        <f t="shared" si="31"/>
        <v>0</v>
      </c>
      <c r="AC92" s="31">
        <f t="shared" si="31"/>
        <v>0</v>
      </c>
      <c r="AD92" s="38">
        <f t="shared" si="32"/>
        <v>0</v>
      </c>
    </row>
    <row r="93" spans="1:30" ht="3" customHeight="1" x14ac:dyDescent="0.25">
      <c r="A93">
        <v>6107</v>
      </c>
      <c r="B93">
        <v>6109</v>
      </c>
      <c r="C93" t="s">
        <v>126</v>
      </c>
      <c r="D93" s="6" t="str">
        <f>+DATA!U89</f>
        <v>No</v>
      </c>
      <c r="E93" s="361">
        <f t="shared" si="17"/>
        <v>0</v>
      </c>
      <c r="F93" s="95">
        <f t="shared" si="25"/>
        <v>0</v>
      </c>
      <c r="G93" s="31">
        <f>IF(OR(D93="SI",D93="Sí"),VLOOKUP(A93,DATA!$A$4:$D$350,4,0),0)</f>
        <v>0</v>
      </c>
      <c r="H93" s="95">
        <f>IF(OR(D93="SI",D93="Sí"),VLOOKUP(A93,DATA!$A$4:$E$350,5,0),0)</f>
        <v>0</v>
      </c>
      <c r="I93" s="31">
        <f t="shared" si="26"/>
        <v>0</v>
      </c>
      <c r="J93" s="361">
        <f t="shared" si="18"/>
        <v>0</v>
      </c>
      <c r="K93" s="361">
        <f t="shared" si="19"/>
        <v>0</v>
      </c>
      <c r="L93" s="31">
        <f>IF(OR(D93="SI",D93="Sí"),VLOOKUP(A93,DATA!$A$4:$G$350,7,0),0)</f>
        <v>0</v>
      </c>
      <c r="M93" s="31">
        <f>IF(OR(D93="SI",D93="Sí"),VLOOKUP(A93,DATA!$A$4:$H$350,8,0),0)</f>
        <v>0</v>
      </c>
      <c r="N93" s="361">
        <f t="shared" si="20"/>
        <v>0</v>
      </c>
      <c r="O93" s="361">
        <f t="shared" si="27"/>
        <v>0</v>
      </c>
      <c r="P93" s="361">
        <f t="shared" si="21"/>
        <v>0</v>
      </c>
      <c r="Q93" s="31">
        <f>IF(OR(D93="SI",D93="Sí"),VLOOKUP(A93,DATA!$A$4:$P$350,14,0),0)</f>
        <v>0</v>
      </c>
      <c r="R93" s="121">
        <f t="shared" si="28"/>
        <v>0</v>
      </c>
      <c r="S93" s="31">
        <f>IF(AND(R93&gt;0,R93&lt;$R$7),ROUND(($R$7-R93)*G93,PARAMETROS!$L$8),0)</f>
        <v>0</v>
      </c>
      <c r="T93" s="122">
        <f t="shared" si="22"/>
        <v>0</v>
      </c>
      <c r="U93" s="117">
        <f t="shared" si="23"/>
        <v>0</v>
      </c>
      <c r="V93" s="117">
        <f>VLOOKUP(A93,DATA!$A$4:$V$350,DATA!$V$1,0)</f>
        <v>0</v>
      </c>
      <c r="W93" s="117">
        <f>VLOOKUP(A93,DATA!$A$4:$V$350,22,0)</f>
        <v>0</v>
      </c>
      <c r="X93" s="96">
        <f t="shared" si="24"/>
        <v>0</v>
      </c>
      <c r="Y93" s="31">
        <f>ROUND(X93*PARAMETROS!$H$35,0)</f>
        <v>0</v>
      </c>
      <c r="Z93" s="31">
        <f t="shared" si="29"/>
        <v>0</v>
      </c>
      <c r="AA93" s="31">
        <f t="shared" si="30"/>
        <v>0</v>
      </c>
      <c r="AB93" s="31">
        <f t="shared" si="31"/>
        <v>0</v>
      </c>
      <c r="AC93" s="31">
        <f t="shared" si="31"/>
        <v>0</v>
      </c>
      <c r="AD93" s="38">
        <f t="shared" si="32"/>
        <v>0</v>
      </c>
    </row>
    <row r="94" spans="1:30" ht="3" customHeight="1" x14ac:dyDescent="0.25">
      <c r="A94">
        <v>6108</v>
      </c>
      <c r="B94">
        <v>6102</v>
      </c>
      <c r="C94" t="s">
        <v>385</v>
      </c>
      <c r="D94" s="6" t="str">
        <f>+DATA!U90</f>
        <v>SI</v>
      </c>
      <c r="E94" s="361">
        <f t="shared" si="17"/>
        <v>2.2222222222200001E-2</v>
      </c>
      <c r="F94" s="95">
        <f t="shared" si="25"/>
        <v>8.8888888888800002E-3</v>
      </c>
      <c r="G94" s="31">
        <f>IF(OR(D94="SI",D94="Sí"),VLOOKUP(A94,DATA!$A$4:$D$350,4,0),0)</f>
        <v>64751</v>
      </c>
      <c r="H94" s="95">
        <f>IF(OR(D94="SI",D94="Sí"),VLOOKUP(A94,DATA!$A$4:$E$350,5,0),0)</f>
        <v>3.0424030078365551E-2</v>
      </c>
      <c r="I94" s="31">
        <f t="shared" si="26"/>
        <v>1970</v>
      </c>
      <c r="J94" s="361">
        <f t="shared" si="18"/>
        <v>9.8447822654000004E-3</v>
      </c>
      <c r="K94" s="361">
        <f t="shared" si="19"/>
        <v>7.383586699E-4</v>
      </c>
      <c r="L94" s="31">
        <f>IF(OR(D94="SI",D94="Sí"),VLOOKUP(A94,DATA!$A$4:$G$350,7,0),0)</f>
        <v>12053</v>
      </c>
      <c r="M94" s="31">
        <f>IF(OR(D94="SI",D94="Sí"),VLOOKUP(A94,DATA!$A$4:$H$350,8,0),0)</f>
        <v>24096</v>
      </c>
      <c r="N94" s="361">
        <f t="shared" si="20"/>
        <v>8.5577953247999994E-3</v>
      </c>
      <c r="O94" s="361">
        <f t="shared" si="27"/>
        <v>1.2838239552261042E-2</v>
      </c>
      <c r="P94" s="361">
        <f t="shared" si="21"/>
        <v>6.4191197759999998E-4</v>
      </c>
      <c r="Q94" s="31">
        <f>IF(OR(D94="SI",D94="Sí"),VLOOKUP(A94,DATA!$A$4:$P$350,14,0),0)</f>
        <v>9017577</v>
      </c>
      <c r="R94" s="121">
        <f t="shared" si="28"/>
        <v>139.27000000000001</v>
      </c>
      <c r="S94" s="31">
        <f>IF(AND(R94&gt;0,R94&lt;$R$7),ROUND(($R$7-R94)*G94,PARAMETROS!$L$8),0)</f>
        <v>1634963</v>
      </c>
      <c r="T94" s="122">
        <f t="shared" si="22"/>
        <v>2.36819216795E-2</v>
      </c>
      <c r="U94" s="117">
        <f t="shared" si="23"/>
        <v>1.776144126E-3</v>
      </c>
      <c r="V94" s="117">
        <f>VLOOKUP(A94,DATA!$A$4:$V$350,DATA!$V$1,0)</f>
        <v>1.51051673E-2</v>
      </c>
      <c r="W94" s="117">
        <f>VLOOKUP(A94,DATA!$A$4:$V$350,22,0)</f>
        <v>1.51051673E-2</v>
      </c>
      <c r="X94" s="96">
        <f t="shared" si="24"/>
        <v>2.7150470962379998E-2</v>
      </c>
      <c r="Y94" s="31">
        <f>ROUND(X94*PARAMETROS!$H$35,0)</f>
        <v>1491038704</v>
      </c>
      <c r="Z94" s="31">
        <f t="shared" si="29"/>
        <v>1491038704</v>
      </c>
      <c r="AA94" s="31">
        <f t="shared" si="30"/>
        <v>372759676</v>
      </c>
      <c r="AB94" s="31">
        <f t="shared" si="31"/>
        <v>372759676</v>
      </c>
      <c r="AC94" s="31">
        <f t="shared" si="31"/>
        <v>372759676</v>
      </c>
      <c r="AD94" s="38">
        <f t="shared" si="32"/>
        <v>372759676</v>
      </c>
    </row>
    <row r="95" spans="1:30" ht="3" customHeight="1" x14ac:dyDescent="0.25">
      <c r="A95">
        <v>6109</v>
      </c>
      <c r="B95">
        <v>6115</v>
      </c>
      <c r="C95" t="s">
        <v>130</v>
      </c>
      <c r="D95" s="6" t="str">
        <f>+DATA!U91</f>
        <v>No</v>
      </c>
      <c r="E95" s="361">
        <f t="shared" si="17"/>
        <v>0</v>
      </c>
      <c r="F95" s="95">
        <f t="shared" si="25"/>
        <v>0</v>
      </c>
      <c r="G95" s="31">
        <f>IF(OR(D95="SI",D95="Sí"),VLOOKUP(A95,DATA!$A$4:$D$350,4,0),0)</f>
        <v>0</v>
      </c>
      <c r="H95" s="95">
        <f>IF(OR(D95="SI",D95="Sí"),VLOOKUP(A95,DATA!$A$4:$E$350,5,0),0)</f>
        <v>0</v>
      </c>
      <c r="I95" s="31">
        <f t="shared" si="26"/>
        <v>0</v>
      </c>
      <c r="J95" s="361">
        <f t="shared" si="18"/>
        <v>0</v>
      </c>
      <c r="K95" s="361">
        <f t="shared" si="19"/>
        <v>0</v>
      </c>
      <c r="L95" s="31">
        <f>IF(OR(D95="SI",D95="Sí"),VLOOKUP(A95,DATA!$A$4:$G$350,7,0),0)</f>
        <v>0</v>
      </c>
      <c r="M95" s="31">
        <f>IF(OR(D95="SI",D95="Sí"),VLOOKUP(A95,DATA!$A$4:$H$350,8,0),0)</f>
        <v>0</v>
      </c>
      <c r="N95" s="361">
        <f t="shared" si="20"/>
        <v>0</v>
      </c>
      <c r="O95" s="361">
        <f t="shared" si="27"/>
        <v>0</v>
      </c>
      <c r="P95" s="361">
        <f t="shared" si="21"/>
        <v>0</v>
      </c>
      <c r="Q95" s="31">
        <f>IF(OR(D95="SI",D95="Sí"),VLOOKUP(A95,DATA!$A$4:$P$350,14,0),0)</f>
        <v>0</v>
      </c>
      <c r="R95" s="121">
        <f t="shared" si="28"/>
        <v>0</v>
      </c>
      <c r="S95" s="31">
        <f>IF(AND(R95&gt;0,R95&lt;$R$7),ROUND(($R$7-R95)*G95,PARAMETROS!$L$8),0)</f>
        <v>0</v>
      </c>
      <c r="T95" s="122">
        <f t="shared" si="22"/>
        <v>0</v>
      </c>
      <c r="U95" s="117">
        <f t="shared" si="23"/>
        <v>0</v>
      </c>
      <c r="V95" s="117">
        <f>VLOOKUP(A95,DATA!$A$4:$V$350,DATA!$V$1,0)</f>
        <v>0</v>
      </c>
      <c r="W95" s="117">
        <f>VLOOKUP(A95,DATA!$A$4:$V$350,22,0)</f>
        <v>0</v>
      </c>
      <c r="X95" s="96">
        <f t="shared" si="24"/>
        <v>0</v>
      </c>
      <c r="Y95" s="31">
        <f>ROUND(X95*PARAMETROS!$H$35,0)</f>
        <v>0</v>
      </c>
      <c r="Z95" s="31">
        <f t="shared" si="29"/>
        <v>0</v>
      </c>
      <c r="AA95" s="31">
        <f t="shared" si="30"/>
        <v>0</v>
      </c>
      <c r="AB95" s="31">
        <f t="shared" si="31"/>
        <v>0</v>
      </c>
      <c r="AC95" s="31">
        <f t="shared" si="31"/>
        <v>0</v>
      </c>
      <c r="AD95" s="38">
        <f t="shared" si="32"/>
        <v>0</v>
      </c>
    </row>
    <row r="96" spans="1:30" ht="3" customHeight="1" x14ac:dyDescent="0.25">
      <c r="A96">
        <v>6110</v>
      </c>
      <c r="B96">
        <v>6104</v>
      </c>
      <c r="C96" t="s">
        <v>121</v>
      </c>
      <c r="D96" s="6" t="str">
        <f>+DATA!U92</f>
        <v>No</v>
      </c>
      <c r="E96" s="361">
        <f t="shared" si="17"/>
        <v>0</v>
      </c>
      <c r="F96" s="95">
        <f t="shared" si="25"/>
        <v>0</v>
      </c>
      <c r="G96" s="31">
        <f>IF(OR(D96="SI",D96="Sí"),VLOOKUP(A96,DATA!$A$4:$D$350,4,0),0)</f>
        <v>0</v>
      </c>
      <c r="H96" s="95">
        <f>IF(OR(D96="SI",D96="Sí"),VLOOKUP(A96,DATA!$A$4:$E$350,5,0),0)</f>
        <v>0</v>
      </c>
      <c r="I96" s="31">
        <f t="shared" si="26"/>
        <v>0</v>
      </c>
      <c r="J96" s="361">
        <f t="shared" si="18"/>
        <v>0</v>
      </c>
      <c r="K96" s="361">
        <f t="shared" si="19"/>
        <v>0</v>
      </c>
      <c r="L96" s="31">
        <f>IF(OR(D96="SI",D96="Sí"),VLOOKUP(A96,DATA!$A$4:$G$350,7,0),0)</f>
        <v>0</v>
      </c>
      <c r="M96" s="31">
        <f>IF(OR(D96="SI",D96="Sí"),VLOOKUP(A96,DATA!$A$4:$H$350,8,0),0)</f>
        <v>0</v>
      </c>
      <c r="N96" s="361">
        <f t="shared" si="20"/>
        <v>0</v>
      </c>
      <c r="O96" s="361">
        <f t="shared" si="27"/>
        <v>0</v>
      </c>
      <c r="P96" s="361">
        <f t="shared" si="21"/>
        <v>0</v>
      </c>
      <c r="Q96" s="31">
        <f>IF(OR(D96="SI",D96="Sí"),VLOOKUP(A96,DATA!$A$4:$P$350,14,0),0)</f>
        <v>0</v>
      </c>
      <c r="R96" s="121">
        <f t="shared" si="28"/>
        <v>0</v>
      </c>
      <c r="S96" s="31">
        <f>IF(AND(R96&gt;0,R96&lt;$R$7),ROUND(($R$7-R96)*G96,PARAMETROS!$L$8),0)</f>
        <v>0</v>
      </c>
      <c r="T96" s="122">
        <f t="shared" si="22"/>
        <v>0</v>
      </c>
      <c r="U96" s="117">
        <f t="shared" si="23"/>
        <v>0</v>
      </c>
      <c r="V96" s="117">
        <f>VLOOKUP(A96,DATA!$A$4:$V$350,DATA!$V$1,0)</f>
        <v>0</v>
      </c>
      <c r="W96" s="117">
        <f>VLOOKUP(A96,DATA!$A$4:$V$350,22,0)</f>
        <v>0</v>
      </c>
      <c r="X96" s="96">
        <f t="shared" si="24"/>
        <v>0</v>
      </c>
      <c r="Y96" s="31">
        <f>ROUND(X96*PARAMETROS!$H$35,0)</f>
        <v>0</v>
      </c>
      <c r="Z96" s="31">
        <f t="shared" si="29"/>
        <v>0</v>
      </c>
      <c r="AA96" s="31">
        <f t="shared" si="30"/>
        <v>0</v>
      </c>
      <c r="AB96" s="31">
        <f t="shared" si="31"/>
        <v>0</v>
      </c>
      <c r="AC96" s="31">
        <f t="shared" si="31"/>
        <v>0</v>
      </c>
      <c r="AD96" s="38">
        <f t="shared" si="32"/>
        <v>0</v>
      </c>
    </row>
    <row r="97" spans="1:30" ht="3" customHeight="1" x14ac:dyDescent="0.25">
      <c r="A97">
        <v>6111</v>
      </c>
      <c r="B97">
        <v>6114</v>
      </c>
      <c r="C97" t="s">
        <v>129</v>
      </c>
      <c r="D97" s="6" t="str">
        <f>+DATA!U93</f>
        <v>No</v>
      </c>
      <c r="E97" s="361">
        <f t="shared" si="17"/>
        <v>0</v>
      </c>
      <c r="F97" s="95">
        <f t="shared" si="25"/>
        <v>0</v>
      </c>
      <c r="G97" s="31">
        <f>IF(OR(D97="SI",D97="Sí"),VLOOKUP(A97,DATA!$A$4:$D$350,4,0),0)</f>
        <v>0</v>
      </c>
      <c r="H97" s="95">
        <f>IF(OR(D97="SI",D97="Sí"),VLOOKUP(A97,DATA!$A$4:$E$350,5,0),0)</f>
        <v>0</v>
      </c>
      <c r="I97" s="31">
        <f t="shared" si="26"/>
        <v>0</v>
      </c>
      <c r="J97" s="361">
        <f t="shared" si="18"/>
        <v>0</v>
      </c>
      <c r="K97" s="361">
        <f t="shared" si="19"/>
        <v>0</v>
      </c>
      <c r="L97" s="31">
        <f>IF(OR(D97="SI",D97="Sí"),VLOOKUP(A97,DATA!$A$4:$G$350,7,0),0)</f>
        <v>0</v>
      </c>
      <c r="M97" s="31">
        <f>IF(OR(D97="SI",D97="Sí"),VLOOKUP(A97,DATA!$A$4:$H$350,8,0),0)</f>
        <v>0</v>
      </c>
      <c r="N97" s="361">
        <f t="shared" si="20"/>
        <v>0</v>
      </c>
      <c r="O97" s="361">
        <f t="shared" si="27"/>
        <v>0</v>
      </c>
      <c r="P97" s="361">
        <f t="shared" si="21"/>
        <v>0</v>
      </c>
      <c r="Q97" s="31">
        <f>IF(OR(D97="SI",D97="Sí"),VLOOKUP(A97,DATA!$A$4:$P$350,14,0),0)</f>
        <v>0</v>
      </c>
      <c r="R97" s="121">
        <f t="shared" si="28"/>
        <v>0</v>
      </c>
      <c r="S97" s="31">
        <f>IF(AND(R97&gt;0,R97&lt;$R$7),ROUND(($R$7-R97)*G97,PARAMETROS!$L$8),0)</f>
        <v>0</v>
      </c>
      <c r="T97" s="122">
        <f t="shared" si="22"/>
        <v>0</v>
      </c>
      <c r="U97" s="117">
        <f t="shared" si="23"/>
        <v>0</v>
      </c>
      <c r="V97" s="117">
        <f>VLOOKUP(A97,DATA!$A$4:$V$350,DATA!$V$1,0)</f>
        <v>0</v>
      </c>
      <c r="W97" s="117">
        <f>VLOOKUP(A97,DATA!$A$4:$V$350,22,0)</f>
        <v>0</v>
      </c>
      <c r="X97" s="96">
        <f t="shared" si="24"/>
        <v>0</v>
      </c>
      <c r="Y97" s="31">
        <f>ROUND(X97*PARAMETROS!$H$35,0)</f>
        <v>0</v>
      </c>
      <c r="Z97" s="31">
        <f t="shared" si="29"/>
        <v>0</v>
      </c>
      <c r="AA97" s="31">
        <f t="shared" si="30"/>
        <v>0</v>
      </c>
      <c r="AB97" s="31">
        <f t="shared" si="31"/>
        <v>0</v>
      </c>
      <c r="AC97" s="31">
        <f t="shared" si="31"/>
        <v>0</v>
      </c>
      <c r="AD97" s="38">
        <f t="shared" si="32"/>
        <v>0</v>
      </c>
    </row>
    <row r="98" spans="1:30" ht="3" customHeight="1" x14ac:dyDescent="0.25">
      <c r="A98">
        <v>6112</v>
      </c>
      <c r="B98">
        <v>6108</v>
      </c>
      <c r="C98" t="s">
        <v>125</v>
      </c>
      <c r="D98" s="6" t="str">
        <f>+DATA!U94</f>
        <v>No</v>
      </c>
      <c r="E98" s="361">
        <f t="shared" si="17"/>
        <v>0</v>
      </c>
      <c r="F98" s="95">
        <f t="shared" si="25"/>
        <v>0</v>
      </c>
      <c r="G98" s="31">
        <f>IF(OR(D98="SI",D98="Sí"),VLOOKUP(A98,DATA!$A$4:$D$350,4,0),0)</f>
        <v>0</v>
      </c>
      <c r="H98" s="95">
        <f>IF(OR(D98="SI",D98="Sí"),VLOOKUP(A98,DATA!$A$4:$E$350,5,0),0)</f>
        <v>0</v>
      </c>
      <c r="I98" s="31">
        <f t="shared" si="26"/>
        <v>0</v>
      </c>
      <c r="J98" s="361">
        <f t="shared" si="18"/>
        <v>0</v>
      </c>
      <c r="K98" s="361">
        <f t="shared" si="19"/>
        <v>0</v>
      </c>
      <c r="L98" s="31">
        <f>IF(OR(D98="SI",D98="Sí"),VLOOKUP(A98,DATA!$A$4:$G$350,7,0),0)</f>
        <v>0</v>
      </c>
      <c r="M98" s="31">
        <f>IF(OR(D98="SI",D98="Sí"),VLOOKUP(A98,DATA!$A$4:$H$350,8,0),0)</f>
        <v>0</v>
      </c>
      <c r="N98" s="361">
        <f t="shared" si="20"/>
        <v>0</v>
      </c>
      <c r="O98" s="361">
        <f t="shared" si="27"/>
        <v>0</v>
      </c>
      <c r="P98" s="361">
        <f t="shared" si="21"/>
        <v>0</v>
      </c>
      <c r="Q98" s="31">
        <f>IF(OR(D98="SI",D98="Sí"),VLOOKUP(A98,DATA!$A$4:$P$350,14,0),0)</f>
        <v>0</v>
      </c>
      <c r="R98" s="121">
        <f t="shared" si="28"/>
        <v>0</v>
      </c>
      <c r="S98" s="31">
        <f>IF(AND(R98&gt;0,R98&lt;$R$7),ROUND(($R$7-R98)*G98,PARAMETROS!$L$8),0)</f>
        <v>0</v>
      </c>
      <c r="T98" s="122">
        <f t="shared" si="22"/>
        <v>0</v>
      </c>
      <c r="U98" s="117">
        <f t="shared" si="23"/>
        <v>0</v>
      </c>
      <c r="V98" s="117">
        <f>VLOOKUP(A98,DATA!$A$4:$V$350,DATA!$V$1,0)</f>
        <v>0</v>
      </c>
      <c r="W98" s="117">
        <f>VLOOKUP(A98,DATA!$A$4:$V$350,22,0)</f>
        <v>0</v>
      </c>
      <c r="X98" s="96">
        <f t="shared" si="24"/>
        <v>0</v>
      </c>
      <c r="Y98" s="31">
        <f>ROUND(X98*PARAMETROS!$H$35,0)</f>
        <v>0</v>
      </c>
      <c r="Z98" s="31">
        <f t="shared" si="29"/>
        <v>0</v>
      </c>
      <c r="AA98" s="31">
        <f t="shared" si="30"/>
        <v>0</v>
      </c>
      <c r="AB98" s="31">
        <f t="shared" si="31"/>
        <v>0</v>
      </c>
      <c r="AC98" s="31">
        <f t="shared" si="31"/>
        <v>0</v>
      </c>
      <c r="AD98" s="38">
        <f t="shared" si="32"/>
        <v>0</v>
      </c>
    </row>
    <row r="99" spans="1:30" ht="3" customHeight="1" x14ac:dyDescent="0.25">
      <c r="A99">
        <v>6113</v>
      </c>
      <c r="B99">
        <v>6111</v>
      </c>
      <c r="C99" t="s">
        <v>127</v>
      </c>
      <c r="D99" s="6" t="str">
        <f>+DATA!U95</f>
        <v>No</v>
      </c>
      <c r="E99" s="361">
        <f t="shared" si="17"/>
        <v>0</v>
      </c>
      <c r="F99" s="95">
        <f t="shared" si="25"/>
        <v>0</v>
      </c>
      <c r="G99" s="31">
        <f>IF(OR(D99="SI",D99="Sí"),VLOOKUP(A99,DATA!$A$4:$D$350,4,0),0)</f>
        <v>0</v>
      </c>
      <c r="H99" s="95">
        <f>IF(OR(D99="SI",D99="Sí"),VLOOKUP(A99,DATA!$A$4:$E$350,5,0),0)</f>
        <v>0</v>
      </c>
      <c r="I99" s="31">
        <f t="shared" si="26"/>
        <v>0</v>
      </c>
      <c r="J99" s="361">
        <f t="shared" si="18"/>
        <v>0</v>
      </c>
      <c r="K99" s="361">
        <f t="shared" si="19"/>
        <v>0</v>
      </c>
      <c r="L99" s="31">
        <f>IF(OR(D99="SI",D99="Sí"),VLOOKUP(A99,DATA!$A$4:$G$350,7,0),0)</f>
        <v>0</v>
      </c>
      <c r="M99" s="31">
        <f>IF(OR(D99="SI",D99="Sí"),VLOOKUP(A99,DATA!$A$4:$H$350,8,0),0)</f>
        <v>0</v>
      </c>
      <c r="N99" s="361">
        <f t="shared" si="20"/>
        <v>0</v>
      </c>
      <c r="O99" s="361">
        <f t="shared" si="27"/>
        <v>0</v>
      </c>
      <c r="P99" s="361">
        <f t="shared" si="21"/>
        <v>0</v>
      </c>
      <c r="Q99" s="31">
        <f>IF(OR(D99="SI",D99="Sí"),VLOOKUP(A99,DATA!$A$4:$P$350,14,0),0)</f>
        <v>0</v>
      </c>
      <c r="R99" s="121">
        <f t="shared" si="28"/>
        <v>0</v>
      </c>
      <c r="S99" s="31">
        <f>IF(AND(R99&gt;0,R99&lt;$R$7),ROUND(($R$7-R99)*G99,PARAMETROS!$L$8),0)</f>
        <v>0</v>
      </c>
      <c r="T99" s="122">
        <f t="shared" si="22"/>
        <v>0</v>
      </c>
      <c r="U99" s="117">
        <f t="shared" si="23"/>
        <v>0</v>
      </c>
      <c r="V99" s="117">
        <f>VLOOKUP(A99,DATA!$A$4:$V$350,DATA!$V$1,0)</f>
        <v>0</v>
      </c>
      <c r="W99" s="117">
        <f>VLOOKUP(A99,DATA!$A$4:$V$350,22,0)</f>
        <v>0</v>
      </c>
      <c r="X99" s="96">
        <f t="shared" si="24"/>
        <v>0</v>
      </c>
      <c r="Y99" s="31">
        <f>ROUND(X99*PARAMETROS!$H$35,0)</f>
        <v>0</v>
      </c>
      <c r="Z99" s="31">
        <f t="shared" si="29"/>
        <v>0</v>
      </c>
      <c r="AA99" s="31">
        <f t="shared" si="30"/>
        <v>0</v>
      </c>
      <c r="AB99" s="31">
        <f t="shared" si="31"/>
        <v>0</v>
      </c>
      <c r="AC99" s="31">
        <f t="shared" si="31"/>
        <v>0</v>
      </c>
      <c r="AD99" s="38">
        <f t="shared" si="32"/>
        <v>0</v>
      </c>
    </row>
    <row r="100" spans="1:30" ht="3" customHeight="1" x14ac:dyDescent="0.25">
      <c r="A100">
        <v>6114</v>
      </c>
      <c r="B100">
        <v>6117</v>
      </c>
      <c r="C100" t="s">
        <v>132</v>
      </c>
      <c r="D100" s="6" t="str">
        <f>+DATA!U96</f>
        <v>No</v>
      </c>
      <c r="E100" s="361">
        <f t="shared" si="17"/>
        <v>0</v>
      </c>
      <c r="F100" s="95">
        <f t="shared" si="25"/>
        <v>0</v>
      </c>
      <c r="G100" s="31">
        <f>IF(OR(D100="SI",D100="Sí"),VLOOKUP(A100,DATA!$A$4:$D$350,4,0),0)</f>
        <v>0</v>
      </c>
      <c r="H100" s="95">
        <f>IF(OR(D100="SI",D100="Sí"),VLOOKUP(A100,DATA!$A$4:$E$350,5,0),0)</f>
        <v>0</v>
      </c>
      <c r="I100" s="31">
        <f t="shared" si="26"/>
        <v>0</v>
      </c>
      <c r="J100" s="361">
        <f t="shared" si="18"/>
        <v>0</v>
      </c>
      <c r="K100" s="361">
        <f t="shared" si="19"/>
        <v>0</v>
      </c>
      <c r="L100" s="31">
        <f>IF(OR(D100="SI",D100="Sí"),VLOOKUP(A100,DATA!$A$4:$G$350,7,0),0)</f>
        <v>0</v>
      </c>
      <c r="M100" s="31">
        <f>IF(OR(D100="SI",D100="Sí"),VLOOKUP(A100,DATA!$A$4:$H$350,8,0),0)</f>
        <v>0</v>
      </c>
      <c r="N100" s="361">
        <f t="shared" si="20"/>
        <v>0</v>
      </c>
      <c r="O100" s="361">
        <f t="shared" si="27"/>
        <v>0</v>
      </c>
      <c r="P100" s="361">
        <f t="shared" si="21"/>
        <v>0</v>
      </c>
      <c r="Q100" s="31">
        <f>IF(OR(D100="SI",D100="Sí"),VLOOKUP(A100,DATA!$A$4:$P$350,14,0),0)</f>
        <v>0</v>
      </c>
      <c r="R100" s="121">
        <f t="shared" si="28"/>
        <v>0</v>
      </c>
      <c r="S100" s="31">
        <f>IF(AND(R100&gt;0,R100&lt;$R$7),ROUND(($R$7-R100)*G100,PARAMETROS!$L$8),0)</f>
        <v>0</v>
      </c>
      <c r="T100" s="122">
        <f t="shared" si="22"/>
        <v>0</v>
      </c>
      <c r="U100" s="117">
        <f t="shared" si="23"/>
        <v>0</v>
      </c>
      <c r="V100" s="117">
        <f>VLOOKUP(A100,DATA!$A$4:$V$350,DATA!$V$1,0)</f>
        <v>0</v>
      </c>
      <c r="W100" s="117">
        <f>VLOOKUP(A100,DATA!$A$4:$V$350,22,0)</f>
        <v>0</v>
      </c>
      <c r="X100" s="96">
        <f t="shared" si="24"/>
        <v>0</v>
      </c>
      <c r="Y100" s="31">
        <f>ROUND(X100*PARAMETROS!$H$35,0)</f>
        <v>0</v>
      </c>
      <c r="Z100" s="31">
        <f t="shared" si="29"/>
        <v>0</v>
      </c>
      <c r="AA100" s="31">
        <f t="shared" si="30"/>
        <v>0</v>
      </c>
      <c r="AB100" s="31">
        <f t="shared" si="31"/>
        <v>0</v>
      </c>
      <c r="AC100" s="31">
        <f t="shared" si="31"/>
        <v>0</v>
      </c>
      <c r="AD100" s="38">
        <f t="shared" si="32"/>
        <v>0</v>
      </c>
    </row>
    <row r="101" spans="1:30" ht="3" customHeight="1" x14ac:dyDescent="0.25">
      <c r="A101">
        <v>6115</v>
      </c>
      <c r="B101">
        <v>6112</v>
      </c>
      <c r="C101" t="s">
        <v>128</v>
      </c>
      <c r="D101" s="6" t="str">
        <f>+DATA!U97</f>
        <v>No</v>
      </c>
      <c r="E101" s="361">
        <f t="shared" si="17"/>
        <v>0</v>
      </c>
      <c r="F101" s="95">
        <f t="shared" si="25"/>
        <v>0</v>
      </c>
      <c r="G101" s="31">
        <f>IF(OR(D101="SI",D101="Sí"),VLOOKUP(A101,DATA!$A$4:$D$350,4,0),0)</f>
        <v>0</v>
      </c>
      <c r="H101" s="95">
        <f>IF(OR(D101="SI",D101="Sí"),VLOOKUP(A101,DATA!$A$4:$E$350,5,0),0)</f>
        <v>0</v>
      </c>
      <c r="I101" s="31">
        <f t="shared" si="26"/>
        <v>0</v>
      </c>
      <c r="J101" s="361">
        <f t="shared" si="18"/>
        <v>0</v>
      </c>
      <c r="K101" s="361">
        <f t="shared" si="19"/>
        <v>0</v>
      </c>
      <c r="L101" s="31">
        <f>IF(OR(D101="SI",D101="Sí"),VLOOKUP(A101,DATA!$A$4:$G$350,7,0),0)</f>
        <v>0</v>
      </c>
      <c r="M101" s="31">
        <f>IF(OR(D101="SI",D101="Sí"),VLOOKUP(A101,DATA!$A$4:$H$350,8,0),0)</f>
        <v>0</v>
      </c>
      <c r="N101" s="361">
        <f t="shared" si="20"/>
        <v>0</v>
      </c>
      <c r="O101" s="361">
        <f t="shared" si="27"/>
        <v>0</v>
      </c>
      <c r="P101" s="361">
        <f t="shared" si="21"/>
        <v>0</v>
      </c>
      <c r="Q101" s="31">
        <f>IF(OR(D101="SI",D101="Sí"),VLOOKUP(A101,DATA!$A$4:$P$350,14,0),0)</f>
        <v>0</v>
      </c>
      <c r="R101" s="121">
        <f t="shared" si="28"/>
        <v>0</v>
      </c>
      <c r="S101" s="31">
        <f>IF(AND(R101&gt;0,R101&lt;$R$7),ROUND(($R$7-R101)*G101,PARAMETROS!$L$8),0)</f>
        <v>0</v>
      </c>
      <c r="T101" s="122">
        <f t="shared" si="22"/>
        <v>0</v>
      </c>
      <c r="U101" s="117">
        <f t="shared" si="23"/>
        <v>0</v>
      </c>
      <c r="V101" s="117">
        <f>VLOOKUP(A101,DATA!$A$4:$V$350,DATA!$V$1,0)</f>
        <v>0</v>
      </c>
      <c r="W101" s="117">
        <f>VLOOKUP(A101,DATA!$A$4:$V$350,22,0)</f>
        <v>0</v>
      </c>
      <c r="X101" s="96">
        <f t="shared" si="24"/>
        <v>0</v>
      </c>
      <c r="Y101" s="31">
        <f>ROUND(X101*PARAMETROS!$H$35,0)</f>
        <v>0</v>
      </c>
      <c r="Z101" s="31">
        <f t="shared" si="29"/>
        <v>0</v>
      </c>
      <c r="AA101" s="31">
        <f t="shared" si="30"/>
        <v>0</v>
      </c>
      <c r="AB101" s="31">
        <f t="shared" si="31"/>
        <v>0</v>
      </c>
      <c r="AC101" s="31">
        <f t="shared" si="31"/>
        <v>0</v>
      </c>
      <c r="AD101" s="38">
        <f t="shared" si="32"/>
        <v>0</v>
      </c>
    </row>
    <row r="102" spans="1:30" ht="3" customHeight="1" x14ac:dyDescent="0.25">
      <c r="A102">
        <v>6116</v>
      </c>
      <c r="B102">
        <v>6113</v>
      </c>
      <c r="C102" t="s">
        <v>499</v>
      </c>
      <c r="D102" s="6" t="str">
        <f>+DATA!U98</f>
        <v>SI</v>
      </c>
      <c r="E102" s="361">
        <f t="shared" si="17"/>
        <v>2.2222222222200001E-2</v>
      </c>
      <c r="F102" s="95">
        <f t="shared" si="25"/>
        <v>8.8888888888800002E-3</v>
      </c>
      <c r="G102" s="31">
        <f>IF(OR(D102="SI",D102="Sí"),VLOOKUP(A102,DATA!$A$4:$D$350,4,0),0)</f>
        <v>31724</v>
      </c>
      <c r="H102" s="95">
        <f>IF(OR(D102="SI",D102="Sí"),VLOOKUP(A102,DATA!$A$4:$E$350,5,0),0)</f>
        <v>2.9791232299741021E-2</v>
      </c>
      <c r="I102" s="31">
        <f t="shared" si="26"/>
        <v>945</v>
      </c>
      <c r="J102" s="361">
        <f t="shared" si="18"/>
        <v>4.7224970764999999E-3</v>
      </c>
      <c r="K102" s="361">
        <f t="shared" si="19"/>
        <v>3.5418728069999998E-4</v>
      </c>
      <c r="L102" s="31">
        <f>IF(OR(D102="SI",D102="Sí"),VLOOKUP(A102,DATA!$A$4:$G$350,7,0),0)</f>
        <v>7339</v>
      </c>
      <c r="M102" s="31">
        <f>IF(OR(D102="SI",D102="Sí"),VLOOKUP(A102,DATA!$A$4:$H$350,8,0),0)</f>
        <v>11195</v>
      </c>
      <c r="N102" s="361">
        <f t="shared" si="20"/>
        <v>6.8291431165999998E-3</v>
      </c>
      <c r="O102" s="361">
        <f t="shared" si="27"/>
        <v>1.0244948837875408E-2</v>
      </c>
      <c r="P102" s="361">
        <f t="shared" si="21"/>
        <v>5.1224744189999995E-4</v>
      </c>
      <c r="Q102" s="31">
        <f>IF(OR(D102="SI",D102="Sí"),VLOOKUP(A102,DATA!$A$4:$P$350,14,0),0)</f>
        <v>5868811</v>
      </c>
      <c r="R102" s="121">
        <f t="shared" si="28"/>
        <v>185</v>
      </c>
      <c r="S102" s="31">
        <f>IF(AND(R102&gt;0,R102&lt;$R$7),ROUND(($R$7-R102)*G102,PARAMETROS!$L$8),0)</f>
        <v>0</v>
      </c>
      <c r="T102" s="122">
        <f t="shared" si="22"/>
        <v>0</v>
      </c>
      <c r="U102" s="117">
        <f t="shared" si="23"/>
        <v>0</v>
      </c>
      <c r="V102" s="117">
        <f>VLOOKUP(A102,DATA!$A$4:$V$350,DATA!$V$1,0)</f>
        <v>4.1982391199999998E-3</v>
      </c>
      <c r="W102" s="117">
        <f>VLOOKUP(A102,DATA!$A$4:$V$350,22,0)</f>
        <v>4.1982391199999998E-3</v>
      </c>
      <c r="X102" s="96">
        <f t="shared" si="24"/>
        <v>1.3953562731480001E-2</v>
      </c>
      <c r="Y102" s="31">
        <f>ROUND(X102*PARAMETROS!$H$35,0)</f>
        <v>766296177</v>
      </c>
      <c r="Z102" s="31">
        <f t="shared" si="29"/>
        <v>766296177</v>
      </c>
      <c r="AA102" s="31">
        <f t="shared" si="30"/>
        <v>191574044</v>
      </c>
      <c r="AB102" s="31">
        <f t="shared" si="31"/>
        <v>191574044</v>
      </c>
      <c r="AC102" s="31">
        <f t="shared" si="31"/>
        <v>191574044</v>
      </c>
      <c r="AD102" s="38">
        <f t="shared" si="32"/>
        <v>191574045</v>
      </c>
    </row>
    <row r="103" spans="1:30" ht="3" customHeight="1" x14ac:dyDescent="0.25">
      <c r="A103">
        <v>6117</v>
      </c>
      <c r="B103">
        <v>6110</v>
      </c>
      <c r="C103" t="s">
        <v>316</v>
      </c>
      <c r="D103" s="6" t="str">
        <f>+DATA!U99</f>
        <v>No</v>
      </c>
      <c r="E103" s="361">
        <f t="shared" si="17"/>
        <v>0</v>
      </c>
      <c r="F103" s="95">
        <f t="shared" si="25"/>
        <v>0</v>
      </c>
      <c r="G103" s="31">
        <f>IF(OR(D103="SI",D103="Sí"),VLOOKUP(A103,DATA!$A$4:$D$350,4,0),0)</f>
        <v>0</v>
      </c>
      <c r="H103" s="95">
        <f>IF(OR(D103="SI",D103="Sí"),VLOOKUP(A103,DATA!$A$4:$E$350,5,0),0)</f>
        <v>0</v>
      </c>
      <c r="I103" s="31">
        <f t="shared" si="26"/>
        <v>0</v>
      </c>
      <c r="J103" s="361">
        <f t="shared" si="18"/>
        <v>0</v>
      </c>
      <c r="K103" s="361">
        <f t="shared" si="19"/>
        <v>0</v>
      </c>
      <c r="L103" s="31">
        <f>IF(OR(D103="SI",D103="Sí"),VLOOKUP(A103,DATA!$A$4:$G$350,7,0),0)</f>
        <v>0</v>
      </c>
      <c r="M103" s="31">
        <f>IF(OR(D103="SI",D103="Sí"),VLOOKUP(A103,DATA!$A$4:$H$350,8,0),0)</f>
        <v>0</v>
      </c>
      <c r="N103" s="361">
        <f t="shared" si="20"/>
        <v>0</v>
      </c>
      <c r="O103" s="361">
        <f t="shared" si="27"/>
        <v>0</v>
      </c>
      <c r="P103" s="361">
        <f t="shared" si="21"/>
        <v>0</v>
      </c>
      <c r="Q103" s="31">
        <f>IF(OR(D103="SI",D103="Sí"),VLOOKUP(A103,DATA!$A$4:$P$350,14,0),0)</f>
        <v>0</v>
      </c>
      <c r="R103" s="121">
        <f t="shared" si="28"/>
        <v>0</v>
      </c>
      <c r="S103" s="31">
        <f>IF(AND(R103&gt;0,R103&lt;$R$7),ROUND(($R$7-R103)*G103,PARAMETROS!$L$8),0)</f>
        <v>0</v>
      </c>
      <c r="T103" s="122">
        <f t="shared" si="22"/>
        <v>0</v>
      </c>
      <c r="U103" s="117">
        <f t="shared" si="23"/>
        <v>0</v>
      </c>
      <c r="V103" s="117">
        <f>VLOOKUP(A103,DATA!$A$4:$V$350,DATA!$V$1,0)</f>
        <v>0</v>
      </c>
      <c r="W103" s="117">
        <f>VLOOKUP(A103,DATA!$A$4:$V$350,22,0)</f>
        <v>0</v>
      </c>
      <c r="X103" s="96">
        <f t="shared" si="24"/>
        <v>0</v>
      </c>
      <c r="Y103" s="31">
        <f>ROUND(X103*PARAMETROS!$H$35,0)</f>
        <v>0</v>
      </c>
      <c r="Z103" s="31">
        <f t="shared" si="29"/>
        <v>0</v>
      </c>
      <c r="AA103" s="31">
        <f t="shared" si="30"/>
        <v>0</v>
      </c>
      <c r="AB103" s="31">
        <f t="shared" si="31"/>
        <v>0</v>
      </c>
      <c r="AC103" s="31">
        <f t="shared" si="31"/>
        <v>0</v>
      </c>
      <c r="AD103" s="38">
        <f t="shared" si="32"/>
        <v>0</v>
      </c>
    </row>
    <row r="104" spans="1:30" ht="3" customHeight="1" x14ac:dyDescent="0.25">
      <c r="A104">
        <v>6201</v>
      </c>
      <c r="B104">
        <v>6301</v>
      </c>
      <c r="C104" t="s">
        <v>142</v>
      </c>
      <c r="D104" s="6" t="str">
        <f>+DATA!U100</f>
        <v>No</v>
      </c>
      <c r="E104" s="361">
        <f t="shared" si="17"/>
        <v>0</v>
      </c>
      <c r="F104" s="95">
        <f t="shared" si="25"/>
        <v>0</v>
      </c>
      <c r="G104" s="31">
        <f>IF(OR(D104="SI",D104="Sí"),VLOOKUP(A104,DATA!$A$4:$D$350,4,0),0)</f>
        <v>0</v>
      </c>
      <c r="H104" s="95">
        <f>IF(OR(D104="SI",D104="Sí"),VLOOKUP(A104,DATA!$A$4:$E$350,5,0),0)</f>
        <v>0</v>
      </c>
      <c r="I104" s="31">
        <f t="shared" si="26"/>
        <v>0</v>
      </c>
      <c r="J104" s="361">
        <f t="shared" si="18"/>
        <v>0</v>
      </c>
      <c r="K104" s="361">
        <f t="shared" si="19"/>
        <v>0</v>
      </c>
      <c r="L104" s="31">
        <f>IF(OR(D104="SI",D104="Sí"),VLOOKUP(A104,DATA!$A$4:$G$350,7,0),0)</f>
        <v>0</v>
      </c>
      <c r="M104" s="31">
        <f>IF(OR(D104="SI",D104="Sí"),VLOOKUP(A104,DATA!$A$4:$H$350,8,0),0)</f>
        <v>0</v>
      </c>
      <c r="N104" s="361">
        <f t="shared" si="20"/>
        <v>0</v>
      </c>
      <c r="O104" s="361">
        <f t="shared" si="27"/>
        <v>0</v>
      </c>
      <c r="P104" s="361">
        <f t="shared" si="21"/>
        <v>0</v>
      </c>
      <c r="Q104" s="31">
        <f>IF(OR(D104="SI",D104="Sí"),VLOOKUP(A104,DATA!$A$4:$P$350,14,0),0)</f>
        <v>0</v>
      </c>
      <c r="R104" s="121">
        <f t="shared" si="28"/>
        <v>0</v>
      </c>
      <c r="S104" s="31">
        <f>IF(AND(R104&gt;0,R104&lt;$R$7),ROUND(($R$7-R104)*G104,PARAMETROS!$L$8),0)</f>
        <v>0</v>
      </c>
      <c r="T104" s="122">
        <f t="shared" si="22"/>
        <v>0</v>
      </c>
      <c r="U104" s="117">
        <f t="shared" si="23"/>
        <v>0</v>
      </c>
      <c r="V104" s="117">
        <f>VLOOKUP(A104,DATA!$A$4:$V$350,DATA!$V$1,0)</f>
        <v>0</v>
      </c>
      <c r="W104" s="117">
        <f>VLOOKUP(A104,DATA!$A$4:$V$350,22,0)</f>
        <v>0</v>
      </c>
      <c r="X104" s="96">
        <f t="shared" si="24"/>
        <v>0</v>
      </c>
      <c r="Y104" s="31">
        <f>ROUND(X104*PARAMETROS!$H$35,0)</f>
        <v>0</v>
      </c>
      <c r="Z104" s="31">
        <f t="shared" si="29"/>
        <v>0</v>
      </c>
      <c r="AA104" s="31">
        <f t="shared" si="30"/>
        <v>0</v>
      </c>
      <c r="AB104" s="31">
        <f t="shared" si="31"/>
        <v>0</v>
      </c>
      <c r="AC104" s="31">
        <f t="shared" si="31"/>
        <v>0</v>
      </c>
      <c r="AD104" s="38">
        <f t="shared" si="32"/>
        <v>0</v>
      </c>
    </row>
    <row r="105" spans="1:30" ht="3" customHeight="1" x14ac:dyDescent="0.25">
      <c r="A105">
        <v>6202</v>
      </c>
      <c r="B105">
        <v>6304</v>
      </c>
      <c r="C105" t="s">
        <v>145</v>
      </c>
      <c r="D105" s="6" t="str">
        <f>+DATA!U101</f>
        <v>No</v>
      </c>
      <c r="E105" s="361">
        <f t="shared" si="17"/>
        <v>0</v>
      </c>
      <c r="F105" s="95">
        <f t="shared" si="25"/>
        <v>0</v>
      </c>
      <c r="G105" s="31">
        <f>IF(OR(D105="SI",D105="Sí"),VLOOKUP(A105,DATA!$A$4:$D$350,4,0),0)</f>
        <v>0</v>
      </c>
      <c r="H105" s="95">
        <f>IF(OR(D105="SI",D105="Sí"),VLOOKUP(A105,DATA!$A$4:$E$350,5,0),0)</f>
        <v>0</v>
      </c>
      <c r="I105" s="31">
        <f t="shared" si="26"/>
        <v>0</v>
      </c>
      <c r="J105" s="361">
        <f t="shared" si="18"/>
        <v>0</v>
      </c>
      <c r="K105" s="361">
        <f t="shared" si="19"/>
        <v>0</v>
      </c>
      <c r="L105" s="31">
        <f>IF(OR(D105="SI",D105="Sí"),VLOOKUP(A105,DATA!$A$4:$G$350,7,0),0)</f>
        <v>0</v>
      </c>
      <c r="M105" s="31">
        <f>IF(OR(D105="SI",D105="Sí"),VLOOKUP(A105,DATA!$A$4:$H$350,8,0),0)</f>
        <v>0</v>
      </c>
      <c r="N105" s="361">
        <f t="shared" si="20"/>
        <v>0</v>
      </c>
      <c r="O105" s="361">
        <f t="shared" si="27"/>
        <v>0</v>
      </c>
      <c r="P105" s="361">
        <f t="shared" si="21"/>
        <v>0</v>
      </c>
      <c r="Q105" s="31">
        <f>IF(OR(D105="SI",D105="Sí"),VLOOKUP(A105,DATA!$A$4:$P$350,14,0),0)</f>
        <v>0</v>
      </c>
      <c r="R105" s="121">
        <f t="shared" si="28"/>
        <v>0</v>
      </c>
      <c r="S105" s="31">
        <f>IF(AND(R105&gt;0,R105&lt;$R$7),ROUND(($R$7-R105)*G105,PARAMETROS!$L$8),0)</f>
        <v>0</v>
      </c>
      <c r="T105" s="122">
        <f t="shared" si="22"/>
        <v>0</v>
      </c>
      <c r="U105" s="117">
        <f t="shared" si="23"/>
        <v>0</v>
      </c>
      <c r="V105" s="117">
        <f>VLOOKUP(A105,DATA!$A$4:$V$350,DATA!$V$1,0)</f>
        <v>0</v>
      </c>
      <c r="W105" s="117">
        <f>VLOOKUP(A105,DATA!$A$4:$V$350,22,0)</f>
        <v>0</v>
      </c>
      <c r="X105" s="96">
        <f t="shared" si="24"/>
        <v>0</v>
      </c>
      <c r="Y105" s="31">
        <f>ROUND(X105*PARAMETROS!$H$35,0)</f>
        <v>0</v>
      </c>
      <c r="Z105" s="31">
        <f t="shared" si="29"/>
        <v>0</v>
      </c>
      <c r="AA105" s="31">
        <f t="shared" si="30"/>
        <v>0</v>
      </c>
      <c r="AB105" s="31">
        <f t="shared" si="31"/>
        <v>0</v>
      </c>
      <c r="AC105" s="31">
        <f t="shared" si="31"/>
        <v>0</v>
      </c>
      <c r="AD105" s="38">
        <f t="shared" si="32"/>
        <v>0</v>
      </c>
    </row>
    <row r="106" spans="1:30" ht="3" customHeight="1" x14ac:dyDescent="0.25">
      <c r="A106">
        <v>6203</v>
      </c>
      <c r="B106">
        <v>6303</v>
      </c>
      <c r="C106" t="s">
        <v>144</v>
      </c>
      <c r="D106" s="6" t="str">
        <f>+DATA!U102</f>
        <v>SI</v>
      </c>
      <c r="E106" s="361">
        <f t="shared" si="17"/>
        <v>2.2222222222200001E-2</v>
      </c>
      <c r="F106" s="95">
        <f t="shared" si="25"/>
        <v>8.8888888888800002E-3</v>
      </c>
      <c r="G106" s="31">
        <f>IF(OR(D106="SI",D106="Sí"),VLOOKUP(A106,DATA!$A$4:$D$350,4,0),0)</f>
        <v>6949</v>
      </c>
      <c r="H106" s="95">
        <f>IF(OR(D106="SI",D106="Sí"),VLOOKUP(A106,DATA!$A$4:$E$350,5,0),0)</f>
        <v>9.3722331906525666E-2</v>
      </c>
      <c r="I106" s="31">
        <f t="shared" si="26"/>
        <v>651</v>
      </c>
      <c r="J106" s="361">
        <f t="shared" si="18"/>
        <v>3.2532757638000002E-3</v>
      </c>
      <c r="K106" s="361">
        <f t="shared" si="19"/>
        <v>2.439956823E-4</v>
      </c>
      <c r="L106" s="31">
        <f>IF(OR(D106="SI",D106="Sí"),VLOOKUP(A106,DATA!$A$4:$G$350,7,0),0)</f>
        <v>3409</v>
      </c>
      <c r="M106" s="31">
        <f>IF(OR(D106="SI",D106="Sí"),VLOOKUP(A106,DATA!$A$4:$H$350,8,0),0)</f>
        <v>11138</v>
      </c>
      <c r="N106" s="361">
        <f t="shared" si="20"/>
        <v>1.4810281922E-3</v>
      </c>
      <c r="O106" s="361">
        <f t="shared" si="27"/>
        <v>2.2218099397650726E-3</v>
      </c>
      <c r="P106" s="361">
        <f t="shared" si="21"/>
        <v>1.11090497E-4</v>
      </c>
      <c r="Q106" s="31">
        <f>IF(OR(D106="SI",D106="Sí"),VLOOKUP(A106,DATA!$A$4:$P$350,14,0),0)</f>
        <v>1755022</v>
      </c>
      <c r="R106" s="121">
        <f t="shared" si="28"/>
        <v>252.56</v>
      </c>
      <c r="S106" s="31">
        <f>IF(AND(R106&gt;0,R106&lt;$R$7),ROUND(($R$7-R106)*G106,PARAMETROS!$L$8),0)</f>
        <v>0</v>
      </c>
      <c r="T106" s="122">
        <f t="shared" si="22"/>
        <v>0</v>
      </c>
      <c r="U106" s="117">
        <f t="shared" si="23"/>
        <v>0</v>
      </c>
      <c r="V106" s="117">
        <f>VLOOKUP(A106,DATA!$A$4:$V$350,DATA!$V$1,0)</f>
        <v>8.5275860000000005E-5</v>
      </c>
      <c r="W106" s="117">
        <f>VLOOKUP(A106,DATA!$A$4:$V$350,22,0)</f>
        <v>8.5275860000000005E-5</v>
      </c>
      <c r="X106" s="96">
        <f t="shared" si="24"/>
        <v>9.3292509281799989E-3</v>
      </c>
      <c r="Y106" s="31">
        <f>ROUND(X106*PARAMETROS!$H$35,0)</f>
        <v>512340071</v>
      </c>
      <c r="Z106" s="31">
        <f t="shared" si="29"/>
        <v>512340072</v>
      </c>
      <c r="AA106" s="31">
        <f t="shared" si="30"/>
        <v>128085018</v>
      </c>
      <c r="AB106" s="31">
        <f t="shared" si="31"/>
        <v>128085018</v>
      </c>
      <c r="AC106" s="31">
        <f t="shared" si="31"/>
        <v>128085018</v>
      </c>
      <c r="AD106" s="38">
        <f t="shared" si="32"/>
        <v>128085018</v>
      </c>
    </row>
    <row r="107" spans="1:30" ht="3" customHeight="1" x14ac:dyDescent="0.25">
      <c r="A107">
        <v>6204</v>
      </c>
      <c r="B107">
        <v>6305</v>
      </c>
      <c r="C107" t="s">
        <v>29</v>
      </c>
      <c r="D107" s="6" t="str">
        <f>+DATA!U103</f>
        <v>No</v>
      </c>
      <c r="E107" s="361">
        <f t="shared" si="17"/>
        <v>0</v>
      </c>
      <c r="F107" s="95">
        <f t="shared" si="25"/>
        <v>0</v>
      </c>
      <c r="G107" s="31">
        <f>IF(OR(D107="SI",D107="Sí"),VLOOKUP(A107,DATA!$A$4:$D$350,4,0),0)</f>
        <v>0</v>
      </c>
      <c r="H107" s="95">
        <f>IF(OR(D107="SI",D107="Sí"),VLOOKUP(A107,DATA!$A$4:$E$350,5,0),0)</f>
        <v>0</v>
      </c>
      <c r="I107" s="31">
        <f t="shared" si="26"/>
        <v>0</v>
      </c>
      <c r="J107" s="361">
        <f t="shared" si="18"/>
        <v>0</v>
      </c>
      <c r="K107" s="361">
        <f t="shared" si="19"/>
        <v>0</v>
      </c>
      <c r="L107" s="31">
        <f>IF(OR(D107="SI",D107="Sí"),VLOOKUP(A107,DATA!$A$4:$G$350,7,0),0)</f>
        <v>0</v>
      </c>
      <c r="M107" s="31">
        <f>IF(OR(D107="SI",D107="Sí"),VLOOKUP(A107,DATA!$A$4:$H$350,8,0),0)</f>
        <v>0</v>
      </c>
      <c r="N107" s="361">
        <f t="shared" si="20"/>
        <v>0</v>
      </c>
      <c r="O107" s="361">
        <f t="shared" si="27"/>
        <v>0</v>
      </c>
      <c r="P107" s="361">
        <f t="shared" si="21"/>
        <v>0</v>
      </c>
      <c r="Q107" s="31">
        <f>IF(OR(D107="SI",D107="Sí"),VLOOKUP(A107,DATA!$A$4:$P$350,14,0),0)</f>
        <v>0</v>
      </c>
      <c r="R107" s="121">
        <f t="shared" si="28"/>
        <v>0</v>
      </c>
      <c r="S107" s="31">
        <f>IF(AND(R107&gt;0,R107&lt;$R$7),ROUND(($R$7-R107)*G107,PARAMETROS!$L$8),0)</f>
        <v>0</v>
      </c>
      <c r="T107" s="122">
        <f t="shared" si="22"/>
        <v>0</v>
      </c>
      <c r="U107" s="117">
        <f t="shared" si="23"/>
        <v>0</v>
      </c>
      <c r="V107" s="117">
        <f>VLOOKUP(A107,DATA!$A$4:$V$350,DATA!$V$1,0)</f>
        <v>0</v>
      </c>
      <c r="W107" s="117">
        <f>VLOOKUP(A107,DATA!$A$4:$V$350,22,0)</f>
        <v>0</v>
      </c>
      <c r="X107" s="96">
        <f t="shared" si="24"/>
        <v>0</v>
      </c>
      <c r="Y107" s="31">
        <f>ROUND(X107*PARAMETROS!$H$35,0)</f>
        <v>0</v>
      </c>
      <c r="Z107" s="31">
        <f t="shared" si="29"/>
        <v>0</v>
      </c>
      <c r="AA107" s="31">
        <f t="shared" si="30"/>
        <v>0</v>
      </c>
      <c r="AB107" s="31">
        <f t="shared" si="31"/>
        <v>0</v>
      </c>
      <c r="AC107" s="31">
        <f t="shared" si="31"/>
        <v>0</v>
      </c>
      <c r="AD107" s="38">
        <f t="shared" si="32"/>
        <v>0</v>
      </c>
    </row>
    <row r="108" spans="1:30" ht="3" customHeight="1" x14ac:dyDescent="0.25">
      <c r="A108">
        <v>6205</v>
      </c>
      <c r="B108">
        <v>6302</v>
      </c>
      <c r="C108" t="s">
        <v>143</v>
      </c>
      <c r="D108" s="6" t="str">
        <f>+DATA!U104</f>
        <v>No</v>
      </c>
      <c r="E108" s="361">
        <f t="shared" si="17"/>
        <v>0</v>
      </c>
      <c r="F108" s="95">
        <f t="shared" si="25"/>
        <v>0</v>
      </c>
      <c r="G108" s="31">
        <f>IF(OR(D108="SI",D108="Sí"),VLOOKUP(A108,DATA!$A$4:$D$350,4,0),0)</f>
        <v>0</v>
      </c>
      <c r="H108" s="95">
        <f>IF(OR(D108="SI",D108="Sí"),VLOOKUP(A108,DATA!$A$4:$E$350,5,0),0)</f>
        <v>0</v>
      </c>
      <c r="I108" s="31">
        <f t="shared" si="26"/>
        <v>0</v>
      </c>
      <c r="J108" s="361">
        <f t="shared" si="18"/>
        <v>0</v>
      </c>
      <c r="K108" s="361">
        <f t="shared" si="19"/>
        <v>0</v>
      </c>
      <c r="L108" s="31">
        <f>IF(OR(D108="SI",D108="Sí"),VLOOKUP(A108,DATA!$A$4:$G$350,7,0),0)</f>
        <v>0</v>
      </c>
      <c r="M108" s="31">
        <f>IF(OR(D108="SI",D108="Sí"),VLOOKUP(A108,DATA!$A$4:$H$350,8,0),0)</f>
        <v>0</v>
      </c>
      <c r="N108" s="361">
        <f t="shared" si="20"/>
        <v>0</v>
      </c>
      <c r="O108" s="361">
        <f t="shared" si="27"/>
        <v>0</v>
      </c>
      <c r="P108" s="361">
        <f t="shared" si="21"/>
        <v>0</v>
      </c>
      <c r="Q108" s="31">
        <f>IF(OR(D108="SI",D108="Sí"),VLOOKUP(A108,DATA!$A$4:$P$350,14,0),0)</f>
        <v>0</v>
      </c>
      <c r="R108" s="121">
        <f t="shared" si="28"/>
        <v>0</v>
      </c>
      <c r="S108" s="31">
        <f>IF(AND(R108&gt;0,R108&lt;$R$7),ROUND(($R$7-R108)*G108,PARAMETROS!$L$8),0)</f>
        <v>0</v>
      </c>
      <c r="T108" s="122">
        <f t="shared" si="22"/>
        <v>0</v>
      </c>
      <c r="U108" s="117">
        <f t="shared" si="23"/>
        <v>0</v>
      </c>
      <c r="V108" s="117">
        <f>VLOOKUP(A108,DATA!$A$4:$V$350,DATA!$V$1,0)</f>
        <v>0</v>
      </c>
      <c r="W108" s="117">
        <f>VLOOKUP(A108,DATA!$A$4:$V$350,22,0)</f>
        <v>0</v>
      </c>
      <c r="X108" s="96">
        <f t="shared" si="24"/>
        <v>0</v>
      </c>
      <c r="Y108" s="31">
        <f>ROUND(X108*PARAMETROS!$H$35,0)</f>
        <v>0</v>
      </c>
      <c r="Z108" s="31">
        <f t="shared" si="29"/>
        <v>0</v>
      </c>
      <c r="AA108" s="31">
        <f t="shared" si="30"/>
        <v>0</v>
      </c>
      <c r="AB108" s="31">
        <f t="shared" si="31"/>
        <v>0</v>
      </c>
      <c r="AC108" s="31">
        <f t="shared" si="31"/>
        <v>0</v>
      </c>
      <c r="AD108" s="38">
        <f t="shared" si="32"/>
        <v>0</v>
      </c>
    </row>
    <row r="109" spans="1:30" ht="3" customHeight="1" x14ac:dyDescent="0.25">
      <c r="A109">
        <v>6206</v>
      </c>
      <c r="B109">
        <v>6306</v>
      </c>
      <c r="C109" t="s">
        <v>146</v>
      </c>
      <c r="D109" s="6" t="str">
        <f>+DATA!U105</f>
        <v>No</v>
      </c>
      <c r="E109" s="361">
        <f t="shared" si="17"/>
        <v>0</v>
      </c>
      <c r="F109" s="95">
        <f t="shared" si="25"/>
        <v>0</v>
      </c>
      <c r="G109" s="31">
        <f>IF(OR(D109="SI",D109="Sí"),VLOOKUP(A109,DATA!$A$4:$D$350,4,0),0)</f>
        <v>0</v>
      </c>
      <c r="H109" s="95">
        <f>IF(OR(D109="SI",D109="Sí"),VLOOKUP(A109,DATA!$A$4:$E$350,5,0),0)</f>
        <v>0</v>
      </c>
      <c r="I109" s="31">
        <f t="shared" si="26"/>
        <v>0</v>
      </c>
      <c r="J109" s="361">
        <f t="shared" si="18"/>
        <v>0</v>
      </c>
      <c r="K109" s="361">
        <f t="shared" si="19"/>
        <v>0</v>
      </c>
      <c r="L109" s="31">
        <f>IF(OR(D109="SI",D109="Sí"),VLOOKUP(A109,DATA!$A$4:$G$350,7,0),0)</f>
        <v>0</v>
      </c>
      <c r="M109" s="31">
        <f>IF(OR(D109="SI",D109="Sí"),VLOOKUP(A109,DATA!$A$4:$H$350,8,0),0)</f>
        <v>0</v>
      </c>
      <c r="N109" s="361">
        <f t="shared" si="20"/>
        <v>0</v>
      </c>
      <c r="O109" s="361">
        <f t="shared" si="27"/>
        <v>0</v>
      </c>
      <c r="P109" s="361">
        <f t="shared" si="21"/>
        <v>0</v>
      </c>
      <c r="Q109" s="31">
        <f>IF(OR(D109="SI",D109="Sí"),VLOOKUP(A109,DATA!$A$4:$P$350,14,0),0)</f>
        <v>0</v>
      </c>
      <c r="R109" s="121">
        <f t="shared" si="28"/>
        <v>0</v>
      </c>
      <c r="S109" s="31">
        <f>IF(AND(R109&gt;0,R109&lt;$R$7),ROUND(($R$7-R109)*G109,PARAMETROS!$L$8),0)</f>
        <v>0</v>
      </c>
      <c r="T109" s="122">
        <f t="shared" si="22"/>
        <v>0</v>
      </c>
      <c r="U109" s="117">
        <f t="shared" si="23"/>
        <v>0</v>
      </c>
      <c r="V109" s="117">
        <f>VLOOKUP(A109,DATA!$A$4:$V$350,DATA!$V$1,0)</f>
        <v>0</v>
      </c>
      <c r="W109" s="117">
        <f>VLOOKUP(A109,DATA!$A$4:$V$350,22,0)</f>
        <v>0</v>
      </c>
      <c r="X109" s="96">
        <f t="shared" si="24"/>
        <v>0</v>
      </c>
      <c r="Y109" s="31">
        <f>ROUND(X109*PARAMETROS!$H$35,0)</f>
        <v>0</v>
      </c>
      <c r="Z109" s="31">
        <f t="shared" si="29"/>
        <v>0</v>
      </c>
      <c r="AA109" s="31">
        <f t="shared" si="30"/>
        <v>0</v>
      </c>
      <c r="AB109" s="31">
        <f t="shared" si="31"/>
        <v>0</v>
      </c>
      <c r="AC109" s="31">
        <f t="shared" si="31"/>
        <v>0</v>
      </c>
      <c r="AD109" s="38">
        <f t="shared" si="32"/>
        <v>0</v>
      </c>
    </row>
    <row r="110" spans="1:30" ht="3" customHeight="1" x14ac:dyDescent="0.25">
      <c r="A110">
        <v>6301</v>
      </c>
      <c r="B110">
        <v>6201</v>
      </c>
      <c r="C110" t="s">
        <v>133</v>
      </c>
      <c r="D110" s="6" t="str">
        <f>+DATA!U106</f>
        <v>No</v>
      </c>
      <c r="E110" s="361">
        <f t="shared" si="17"/>
        <v>0</v>
      </c>
      <c r="F110" s="95">
        <f t="shared" si="25"/>
        <v>0</v>
      </c>
      <c r="G110" s="31">
        <f>IF(OR(D110="SI",D110="Sí"),VLOOKUP(A110,DATA!$A$4:$D$350,4,0),0)</f>
        <v>0</v>
      </c>
      <c r="H110" s="95">
        <f>IF(OR(D110="SI",D110="Sí"),VLOOKUP(A110,DATA!$A$4:$E$350,5,0),0)</f>
        <v>0</v>
      </c>
      <c r="I110" s="31">
        <f t="shared" si="26"/>
        <v>0</v>
      </c>
      <c r="J110" s="361">
        <f t="shared" si="18"/>
        <v>0</v>
      </c>
      <c r="K110" s="361">
        <f t="shared" si="19"/>
        <v>0</v>
      </c>
      <c r="L110" s="31">
        <f>IF(OR(D110="SI",D110="Sí"),VLOOKUP(A110,DATA!$A$4:$G$350,7,0),0)</f>
        <v>0</v>
      </c>
      <c r="M110" s="31">
        <f>IF(OR(D110="SI",D110="Sí"),VLOOKUP(A110,DATA!$A$4:$H$350,8,0),0)</f>
        <v>0</v>
      </c>
      <c r="N110" s="361">
        <f t="shared" si="20"/>
        <v>0</v>
      </c>
      <c r="O110" s="361">
        <f t="shared" si="27"/>
        <v>0</v>
      </c>
      <c r="P110" s="361">
        <f t="shared" si="21"/>
        <v>0</v>
      </c>
      <c r="Q110" s="31">
        <f>IF(OR(D110="SI",D110="Sí"),VLOOKUP(A110,DATA!$A$4:$P$350,14,0),0)</f>
        <v>0</v>
      </c>
      <c r="R110" s="121">
        <f t="shared" si="28"/>
        <v>0</v>
      </c>
      <c r="S110" s="31">
        <f>IF(AND(R110&gt;0,R110&lt;$R$7),ROUND(($R$7-R110)*G110,PARAMETROS!$L$8),0)</f>
        <v>0</v>
      </c>
      <c r="T110" s="122">
        <f t="shared" si="22"/>
        <v>0</v>
      </c>
      <c r="U110" s="117">
        <f t="shared" si="23"/>
        <v>0</v>
      </c>
      <c r="V110" s="117">
        <f>VLOOKUP(A110,DATA!$A$4:$V$350,DATA!$V$1,0)</f>
        <v>0</v>
      </c>
      <c r="W110" s="117">
        <f>VLOOKUP(A110,DATA!$A$4:$V$350,22,0)</f>
        <v>0</v>
      </c>
      <c r="X110" s="96">
        <f t="shared" si="24"/>
        <v>0</v>
      </c>
      <c r="Y110" s="31">
        <f>ROUND(X110*PARAMETROS!$H$35,0)</f>
        <v>0</v>
      </c>
      <c r="Z110" s="31">
        <f t="shared" si="29"/>
        <v>0</v>
      </c>
      <c r="AA110" s="31">
        <f t="shared" si="30"/>
        <v>0</v>
      </c>
      <c r="AB110" s="31">
        <f t="shared" si="31"/>
        <v>0</v>
      </c>
      <c r="AC110" s="31">
        <f t="shared" si="31"/>
        <v>0</v>
      </c>
      <c r="AD110" s="38">
        <f t="shared" si="32"/>
        <v>0</v>
      </c>
    </row>
    <row r="111" spans="1:30" ht="3" customHeight="1" x14ac:dyDescent="0.25">
      <c r="A111">
        <v>6302</v>
      </c>
      <c r="B111">
        <v>6209</v>
      </c>
      <c r="C111" t="s">
        <v>386</v>
      </c>
      <c r="D111" s="6" t="str">
        <f>+DATA!U107</f>
        <v>No</v>
      </c>
      <c r="E111" s="361">
        <f t="shared" si="17"/>
        <v>0</v>
      </c>
      <c r="F111" s="95">
        <f t="shared" si="25"/>
        <v>0</v>
      </c>
      <c r="G111" s="31">
        <f>IF(OR(D111="SI",D111="Sí"),VLOOKUP(A111,DATA!$A$4:$D$350,4,0),0)</f>
        <v>0</v>
      </c>
      <c r="H111" s="95">
        <f>IF(OR(D111="SI",D111="Sí"),VLOOKUP(A111,DATA!$A$4:$E$350,5,0),0)</f>
        <v>0</v>
      </c>
      <c r="I111" s="31">
        <f t="shared" si="26"/>
        <v>0</v>
      </c>
      <c r="J111" s="361">
        <f t="shared" si="18"/>
        <v>0</v>
      </c>
      <c r="K111" s="361">
        <f t="shared" si="19"/>
        <v>0</v>
      </c>
      <c r="L111" s="31">
        <f>IF(OR(D111="SI",D111="Sí"),VLOOKUP(A111,DATA!$A$4:$G$350,7,0),0)</f>
        <v>0</v>
      </c>
      <c r="M111" s="31">
        <f>IF(OR(D111="SI",D111="Sí"),VLOOKUP(A111,DATA!$A$4:$H$350,8,0),0)</f>
        <v>0</v>
      </c>
      <c r="N111" s="361">
        <f t="shared" si="20"/>
        <v>0</v>
      </c>
      <c r="O111" s="361">
        <f t="shared" si="27"/>
        <v>0</v>
      </c>
      <c r="P111" s="361">
        <f t="shared" si="21"/>
        <v>0</v>
      </c>
      <c r="Q111" s="31">
        <f>IF(OR(D111="SI",D111="Sí"),VLOOKUP(A111,DATA!$A$4:$P$350,14,0),0)</f>
        <v>0</v>
      </c>
      <c r="R111" s="121">
        <f t="shared" si="28"/>
        <v>0</v>
      </c>
      <c r="S111" s="31">
        <f>IF(AND(R111&gt;0,R111&lt;$R$7),ROUND(($R$7-R111)*G111,PARAMETROS!$L$8),0)</f>
        <v>0</v>
      </c>
      <c r="T111" s="122">
        <f t="shared" si="22"/>
        <v>0</v>
      </c>
      <c r="U111" s="117">
        <f t="shared" si="23"/>
        <v>0</v>
      </c>
      <c r="V111" s="117">
        <f>VLOOKUP(A111,DATA!$A$4:$V$350,DATA!$V$1,0)</f>
        <v>0</v>
      </c>
      <c r="W111" s="117">
        <f>VLOOKUP(A111,DATA!$A$4:$V$350,22,0)</f>
        <v>0</v>
      </c>
      <c r="X111" s="96">
        <f t="shared" si="24"/>
        <v>0</v>
      </c>
      <c r="Y111" s="31">
        <f>ROUND(X111*PARAMETROS!$H$35,0)</f>
        <v>0</v>
      </c>
      <c r="Z111" s="31">
        <f t="shared" si="29"/>
        <v>0</v>
      </c>
      <c r="AA111" s="31">
        <f t="shared" si="30"/>
        <v>0</v>
      </c>
      <c r="AB111" s="31">
        <f t="shared" si="31"/>
        <v>0</v>
      </c>
      <c r="AC111" s="31">
        <f t="shared" si="31"/>
        <v>0</v>
      </c>
      <c r="AD111" s="38">
        <f t="shared" si="32"/>
        <v>0</v>
      </c>
    </row>
    <row r="112" spans="1:30" ht="3" customHeight="1" x14ac:dyDescent="0.25">
      <c r="A112">
        <v>6303</v>
      </c>
      <c r="B112">
        <v>6202</v>
      </c>
      <c r="C112" t="s">
        <v>134</v>
      </c>
      <c r="D112" s="6" t="str">
        <f>+DATA!U108</f>
        <v>No</v>
      </c>
      <c r="E112" s="361">
        <f t="shared" si="17"/>
        <v>0</v>
      </c>
      <c r="F112" s="95">
        <f t="shared" si="25"/>
        <v>0</v>
      </c>
      <c r="G112" s="31">
        <f>IF(OR(D112="SI",D112="Sí"),VLOOKUP(A112,DATA!$A$4:$D$350,4,0),0)</f>
        <v>0</v>
      </c>
      <c r="H112" s="95">
        <f>IF(OR(D112="SI",D112="Sí"),VLOOKUP(A112,DATA!$A$4:$E$350,5,0),0)</f>
        <v>0</v>
      </c>
      <c r="I112" s="31">
        <f t="shared" si="26"/>
        <v>0</v>
      </c>
      <c r="J112" s="361">
        <f t="shared" si="18"/>
        <v>0</v>
      </c>
      <c r="K112" s="361">
        <f t="shared" si="19"/>
        <v>0</v>
      </c>
      <c r="L112" s="31">
        <f>IF(OR(D112="SI",D112="Sí"),VLOOKUP(A112,DATA!$A$4:$G$350,7,0),0)</f>
        <v>0</v>
      </c>
      <c r="M112" s="31">
        <f>IF(OR(D112="SI",D112="Sí"),VLOOKUP(A112,DATA!$A$4:$H$350,8,0),0)</f>
        <v>0</v>
      </c>
      <c r="N112" s="361">
        <f t="shared" si="20"/>
        <v>0</v>
      </c>
      <c r="O112" s="361">
        <f t="shared" si="27"/>
        <v>0</v>
      </c>
      <c r="P112" s="361">
        <f t="shared" si="21"/>
        <v>0</v>
      </c>
      <c r="Q112" s="31">
        <f>IF(OR(D112="SI",D112="Sí"),VLOOKUP(A112,DATA!$A$4:$P$350,14,0),0)</f>
        <v>0</v>
      </c>
      <c r="R112" s="121">
        <f t="shared" si="28"/>
        <v>0</v>
      </c>
      <c r="S112" s="31">
        <f>IF(AND(R112&gt;0,R112&lt;$R$7),ROUND(($R$7-R112)*G112,PARAMETROS!$L$8),0)</f>
        <v>0</v>
      </c>
      <c r="T112" s="122">
        <f t="shared" si="22"/>
        <v>0</v>
      </c>
      <c r="U112" s="117">
        <f t="shared" si="23"/>
        <v>0</v>
      </c>
      <c r="V112" s="117">
        <f>VLOOKUP(A112,DATA!$A$4:$V$350,DATA!$V$1,0)</f>
        <v>0</v>
      </c>
      <c r="W112" s="117">
        <f>VLOOKUP(A112,DATA!$A$4:$V$350,22,0)</f>
        <v>0</v>
      </c>
      <c r="X112" s="96">
        <f t="shared" si="24"/>
        <v>0</v>
      </c>
      <c r="Y112" s="31">
        <f>ROUND(X112*PARAMETROS!$H$35,0)</f>
        <v>0</v>
      </c>
      <c r="Z112" s="31">
        <f t="shared" si="29"/>
        <v>0</v>
      </c>
      <c r="AA112" s="31">
        <f t="shared" si="30"/>
        <v>0</v>
      </c>
      <c r="AB112" s="31">
        <f t="shared" si="31"/>
        <v>0</v>
      </c>
      <c r="AC112" s="31">
        <f t="shared" si="31"/>
        <v>0</v>
      </c>
      <c r="AD112" s="38">
        <f t="shared" si="32"/>
        <v>0</v>
      </c>
    </row>
    <row r="113" spans="1:30" ht="3" customHeight="1" x14ac:dyDescent="0.25">
      <c r="A113">
        <v>6304</v>
      </c>
      <c r="B113">
        <v>6206</v>
      </c>
      <c r="C113" t="s">
        <v>138</v>
      </c>
      <c r="D113" s="6" t="str">
        <f>+DATA!U109</f>
        <v>No</v>
      </c>
      <c r="E113" s="361">
        <f t="shared" si="17"/>
        <v>0</v>
      </c>
      <c r="F113" s="95">
        <f t="shared" si="25"/>
        <v>0</v>
      </c>
      <c r="G113" s="31">
        <f>IF(OR(D113="SI",D113="Sí"),VLOOKUP(A113,DATA!$A$4:$D$350,4,0),0)</f>
        <v>0</v>
      </c>
      <c r="H113" s="95">
        <f>IF(OR(D113="SI",D113="Sí"),VLOOKUP(A113,DATA!$A$4:$E$350,5,0),0)</f>
        <v>0</v>
      </c>
      <c r="I113" s="31">
        <f t="shared" si="26"/>
        <v>0</v>
      </c>
      <c r="J113" s="361">
        <f t="shared" si="18"/>
        <v>0</v>
      </c>
      <c r="K113" s="361">
        <f t="shared" si="19"/>
        <v>0</v>
      </c>
      <c r="L113" s="31">
        <f>IF(OR(D113="SI",D113="Sí"),VLOOKUP(A113,DATA!$A$4:$G$350,7,0),0)</f>
        <v>0</v>
      </c>
      <c r="M113" s="31">
        <f>IF(OR(D113="SI",D113="Sí"),VLOOKUP(A113,DATA!$A$4:$H$350,8,0),0)</f>
        <v>0</v>
      </c>
      <c r="N113" s="361">
        <f t="shared" si="20"/>
        <v>0</v>
      </c>
      <c r="O113" s="361">
        <f t="shared" si="27"/>
        <v>0</v>
      </c>
      <c r="P113" s="361">
        <f t="shared" si="21"/>
        <v>0</v>
      </c>
      <c r="Q113" s="31">
        <f>IF(OR(D113="SI",D113="Sí"),VLOOKUP(A113,DATA!$A$4:$P$350,14,0),0)</f>
        <v>0</v>
      </c>
      <c r="R113" s="121">
        <f t="shared" si="28"/>
        <v>0</v>
      </c>
      <c r="S113" s="31">
        <f>IF(AND(R113&gt;0,R113&lt;$R$7),ROUND(($R$7-R113)*G113,PARAMETROS!$L$8),0)</f>
        <v>0</v>
      </c>
      <c r="T113" s="122">
        <f t="shared" si="22"/>
        <v>0</v>
      </c>
      <c r="U113" s="117">
        <f t="shared" si="23"/>
        <v>0</v>
      </c>
      <c r="V113" s="117">
        <f>VLOOKUP(A113,DATA!$A$4:$V$350,DATA!$V$1,0)</f>
        <v>0</v>
      </c>
      <c r="W113" s="117">
        <f>VLOOKUP(A113,DATA!$A$4:$V$350,22,0)</f>
        <v>0</v>
      </c>
      <c r="X113" s="96">
        <f t="shared" si="24"/>
        <v>0</v>
      </c>
      <c r="Y113" s="31">
        <f>ROUND(X113*PARAMETROS!$H$35,0)</f>
        <v>0</v>
      </c>
      <c r="Z113" s="31">
        <f t="shared" si="29"/>
        <v>0</v>
      </c>
      <c r="AA113" s="31">
        <f t="shared" si="30"/>
        <v>0</v>
      </c>
      <c r="AB113" s="31">
        <f t="shared" si="31"/>
        <v>0</v>
      </c>
      <c r="AC113" s="31">
        <f t="shared" si="31"/>
        <v>0</v>
      </c>
      <c r="AD113" s="38">
        <f t="shared" si="32"/>
        <v>0</v>
      </c>
    </row>
    <row r="114" spans="1:30" ht="3" customHeight="1" x14ac:dyDescent="0.25">
      <c r="A114">
        <v>6305</v>
      </c>
      <c r="B114">
        <v>6203</v>
      </c>
      <c r="C114" t="s">
        <v>135</v>
      </c>
      <c r="D114" s="6" t="str">
        <f>+DATA!U110</f>
        <v>No</v>
      </c>
      <c r="E114" s="361">
        <f t="shared" si="17"/>
        <v>0</v>
      </c>
      <c r="F114" s="95">
        <f t="shared" si="25"/>
        <v>0</v>
      </c>
      <c r="G114" s="31">
        <f>IF(OR(D114="SI",D114="Sí"),VLOOKUP(A114,DATA!$A$4:$D$350,4,0),0)</f>
        <v>0</v>
      </c>
      <c r="H114" s="95">
        <f>IF(OR(D114="SI",D114="Sí"),VLOOKUP(A114,DATA!$A$4:$E$350,5,0),0)</f>
        <v>0</v>
      </c>
      <c r="I114" s="31">
        <f t="shared" si="26"/>
        <v>0</v>
      </c>
      <c r="J114" s="361">
        <f t="shared" si="18"/>
        <v>0</v>
      </c>
      <c r="K114" s="361">
        <f t="shared" si="19"/>
        <v>0</v>
      </c>
      <c r="L114" s="31">
        <f>IF(OR(D114="SI",D114="Sí"),VLOOKUP(A114,DATA!$A$4:$G$350,7,0),0)</f>
        <v>0</v>
      </c>
      <c r="M114" s="31">
        <f>IF(OR(D114="SI",D114="Sí"),VLOOKUP(A114,DATA!$A$4:$H$350,8,0),0)</f>
        <v>0</v>
      </c>
      <c r="N114" s="361">
        <f t="shared" si="20"/>
        <v>0</v>
      </c>
      <c r="O114" s="361">
        <f t="shared" si="27"/>
        <v>0</v>
      </c>
      <c r="P114" s="361">
        <f t="shared" si="21"/>
        <v>0</v>
      </c>
      <c r="Q114" s="31">
        <f>IF(OR(D114="SI",D114="Sí"),VLOOKUP(A114,DATA!$A$4:$P$350,14,0),0)</f>
        <v>0</v>
      </c>
      <c r="R114" s="121">
        <f t="shared" si="28"/>
        <v>0</v>
      </c>
      <c r="S114" s="31">
        <f>IF(AND(R114&gt;0,R114&lt;$R$7),ROUND(($R$7-R114)*G114,PARAMETROS!$L$8),0)</f>
        <v>0</v>
      </c>
      <c r="T114" s="122">
        <f t="shared" si="22"/>
        <v>0</v>
      </c>
      <c r="U114" s="117">
        <f t="shared" si="23"/>
        <v>0</v>
      </c>
      <c r="V114" s="117">
        <f>VLOOKUP(A114,DATA!$A$4:$V$350,DATA!$V$1,0)</f>
        <v>0</v>
      </c>
      <c r="W114" s="117">
        <f>VLOOKUP(A114,DATA!$A$4:$V$350,22,0)</f>
        <v>0</v>
      </c>
      <c r="X114" s="96">
        <f t="shared" si="24"/>
        <v>0</v>
      </c>
      <c r="Y114" s="31">
        <f>ROUND(X114*PARAMETROS!$H$35,0)</f>
        <v>0</v>
      </c>
      <c r="Z114" s="31">
        <f t="shared" si="29"/>
        <v>0</v>
      </c>
      <c r="AA114" s="31">
        <f t="shared" si="30"/>
        <v>0</v>
      </c>
      <c r="AB114" s="31">
        <f t="shared" si="31"/>
        <v>0</v>
      </c>
      <c r="AC114" s="31">
        <f t="shared" si="31"/>
        <v>0</v>
      </c>
      <c r="AD114" s="38">
        <f t="shared" si="32"/>
        <v>0</v>
      </c>
    </row>
    <row r="115" spans="1:30" ht="3" customHeight="1" x14ac:dyDescent="0.25">
      <c r="A115">
        <v>6306</v>
      </c>
      <c r="B115">
        <v>6207</v>
      </c>
      <c r="C115" t="s">
        <v>139</v>
      </c>
      <c r="D115" s="6" t="str">
        <f>+DATA!U111</f>
        <v>No</v>
      </c>
      <c r="E115" s="361">
        <f t="shared" si="17"/>
        <v>0</v>
      </c>
      <c r="F115" s="95">
        <f t="shared" si="25"/>
        <v>0</v>
      </c>
      <c r="G115" s="31">
        <f>IF(OR(D115="SI",D115="Sí"),VLOOKUP(A115,DATA!$A$4:$D$350,4,0),0)</f>
        <v>0</v>
      </c>
      <c r="H115" s="95">
        <f>IF(OR(D115="SI",D115="Sí"),VLOOKUP(A115,DATA!$A$4:$E$350,5,0),0)</f>
        <v>0</v>
      </c>
      <c r="I115" s="31">
        <f t="shared" si="26"/>
        <v>0</v>
      </c>
      <c r="J115" s="361">
        <f t="shared" si="18"/>
        <v>0</v>
      </c>
      <c r="K115" s="361">
        <f t="shared" si="19"/>
        <v>0</v>
      </c>
      <c r="L115" s="31">
        <f>IF(OR(D115="SI",D115="Sí"),VLOOKUP(A115,DATA!$A$4:$G$350,7,0),0)</f>
        <v>0</v>
      </c>
      <c r="M115" s="31">
        <f>IF(OR(D115="SI",D115="Sí"),VLOOKUP(A115,DATA!$A$4:$H$350,8,0),0)</f>
        <v>0</v>
      </c>
      <c r="N115" s="361">
        <f t="shared" si="20"/>
        <v>0</v>
      </c>
      <c r="O115" s="361">
        <f t="shared" si="27"/>
        <v>0</v>
      </c>
      <c r="P115" s="361">
        <f t="shared" si="21"/>
        <v>0</v>
      </c>
      <c r="Q115" s="31">
        <f>IF(OR(D115="SI",D115="Sí"),VLOOKUP(A115,DATA!$A$4:$P$350,14,0),0)</f>
        <v>0</v>
      </c>
      <c r="R115" s="121">
        <f t="shared" si="28"/>
        <v>0</v>
      </c>
      <c r="S115" s="31">
        <f>IF(AND(R115&gt;0,R115&lt;$R$7),ROUND(($R$7-R115)*G115,PARAMETROS!$L$8),0)</f>
        <v>0</v>
      </c>
      <c r="T115" s="122">
        <f t="shared" si="22"/>
        <v>0</v>
      </c>
      <c r="U115" s="117">
        <f t="shared" si="23"/>
        <v>0</v>
      </c>
      <c r="V115" s="117">
        <f>VLOOKUP(A115,DATA!$A$4:$V$350,DATA!$V$1,0)</f>
        <v>0</v>
      </c>
      <c r="W115" s="117">
        <f>VLOOKUP(A115,DATA!$A$4:$V$350,22,0)</f>
        <v>0</v>
      </c>
      <c r="X115" s="96">
        <f t="shared" si="24"/>
        <v>0</v>
      </c>
      <c r="Y115" s="31">
        <f>ROUND(X115*PARAMETROS!$H$35,0)</f>
        <v>0</v>
      </c>
      <c r="Z115" s="31">
        <f t="shared" si="29"/>
        <v>0</v>
      </c>
      <c r="AA115" s="31">
        <f t="shared" si="30"/>
        <v>0</v>
      </c>
      <c r="AB115" s="31">
        <f t="shared" si="31"/>
        <v>0</v>
      </c>
      <c r="AC115" s="31">
        <f t="shared" si="31"/>
        <v>0</v>
      </c>
      <c r="AD115" s="38">
        <f t="shared" si="32"/>
        <v>0</v>
      </c>
    </row>
    <row r="116" spans="1:30" ht="3" customHeight="1" x14ac:dyDescent="0.25">
      <c r="A116">
        <v>6307</v>
      </c>
      <c r="B116">
        <v>6208</v>
      </c>
      <c r="C116" t="s">
        <v>140</v>
      </c>
      <c r="D116" s="6" t="str">
        <f>+DATA!U112</f>
        <v>No</v>
      </c>
      <c r="E116" s="361">
        <f t="shared" si="17"/>
        <v>0</v>
      </c>
      <c r="F116" s="95">
        <f t="shared" si="25"/>
        <v>0</v>
      </c>
      <c r="G116" s="31">
        <f>IF(OR(D116="SI",D116="Sí"),VLOOKUP(A116,DATA!$A$4:$D$350,4,0),0)</f>
        <v>0</v>
      </c>
      <c r="H116" s="95">
        <f>IF(OR(D116="SI",D116="Sí"),VLOOKUP(A116,DATA!$A$4:$E$350,5,0),0)</f>
        <v>0</v>
      </c>
      <c r="I116" s="31">
        <f t="shared" si="26"/>
        <v>0</v>
      </c>
      <c r="J116" s="361">
        <f t="shared" si="18"/>
        <v>0</v>
      </c>
      <c r="K116" s="361">
        <f t="shared" si="19"/>
        <v>0</v>
      </c>
      <c r="L116" s="31">
        <f>IF(OR(D116="SI",D116="Sí"),VLOOKUP(A116,DATA!$A$4:$G$350,7,0),0)</f>
        <v>0</v>
      </c>
      <c r="M116" s="31">
        <f>IF(OR(D116="SI",D116="Sí"),VLOOKUP(A116,DATA!$A$4:$H$350,8,0),0)</f>
        <v>0</v>
      </c>
      <c r="N116" s="361">
        <f t="shared" si="20"/>
        <v>0</v>
      </c>
      <c r="O116" s="361">
        <f t="shared" si="27"/>
        <v>0</v>
      </c>
      <c r="P116" s="361">
        <f t="shared" si="21"/>
        <v>0</v>
      </c>
      <c r="Q116" s="31">
        <f>IF(OR(D116="SI",D116="Sí"),VLOOKUP(A116,DATA!$A$4:$P$350,14,0),0)</f>
        <v>0</v>
      </c>
      <c r="R116" s="121">
        <f t="shared" si="28"/>
        <v>0</v>
      </c>
      <c r="S116" s="31">
        <f>IF(AND(R116&gt;0,R116&lt;$R$7),ROUND(($R$7-R116)*G116,PARAMETROS!$L$8),0)</f>
        <v>0</v>
      </c>
      <c r="T116" s="122">
        <f t="shared" si="22"/>
        <v>0</v>
      </c>
      <c r="U116" s="117">
        <f t="shared" si="23"/>
        <v>0</v>
      </c>
      <c r="V116" s="117">
        <f>VLOOKUP(A116,DATA!$A$4:$V$350,DATA!$V$1,0)</f>
        <v>0</v>
      </c>
      <c r="W116" s="117">
        <f>VLOOKUP(A116,DATA!$A$4:$V$350,22,0)</f>
        <v>0</v>
      </c>
      <c r="X116" s="96">
        <f t="shared" si="24"/>
        <v>0</v>
      </c>
      <c r="Y116" s="31">
        <f>ROUND(X116*PARAMETROS!$H$35,0)</f>
        <v>0</v>
      </c>
      <c r="Z116" s="31">
        <f t="shared" si="29"/>
        <v>0</v>
      </c>
      <c r="AA116" s="31">
        <f t="shared" si="30"/>
        <v>0</v>
      </c>
      <c r="AB116" s="31">
        <f t="shared" si="31"/>
        <v>0</v>
      </c>
      <c r="AC116" s="31">
        <f t="shared" si="31"/>
        <v>0</v>
      </c>
      <c r="AD116" s="38">
        <f t="shared" si="32"/>
        <v>0</v>
      </c>
    </row>
    <row r="117" spans="1:30" ht="3" customHeight="1" x14ac:dyDescent="0.25">
      <c r="A117">
        <v>6308</v>
      </c>
      <c r="B117">
        <v>6204</v>
      </c>
      <c r="C117" t="s">
        <v>136</v>
      </c>
      <c r="D117" s="6" t="str">
        <f>+DATA!U113</f>
        <v>No</v>
      </c>
      <c r="E117" s="361">
        <f t="shared" si="17"/>
        <v>0</v>
      </c>
      <c r="F117" s="95">
        <f t="shared" si="25"/>
        <v>0</v>
      </c>
      <c r="G117" s="31">
        <f>IF(OR(D117="SI",D117="Sí"),VLOOKUP(A117,DATA!$A$4:$D$350,4,0),0)</f>
        <v>0</v>
      </c>
      <c r="H117" s="95">
        <f>IF(OR(D117="SI",D117="Sí"),VLOOKUP(A117,DATA!$A$4:$E$350,5,0),0)</f>
        <v>0</v>
      </c>
      <c r="I117" s="31">
        <f t="shared" si="26"/>
        <v>0</v>
      </c>
      <c r="J117" s="361">
        <f t="shared" si="18"/>
        <v>0</v>
      </c>
      <c r="K117" s="361">
        <f t="shared" si="19"/>
        <v>0</v>
      </c>
      <c r="L117" s="31">
        <f>IF(OR(D117="SI",D117="Sí"),VLOOKUP(A117,DATA!$A$4:$G$350,7,0),0)</f>
        <v>0</v>
      </c>
      <c r="M117" s="31">
        <f>IF(OR(D117="SI",D117="Sí"),VLOOKUP(A117,DATA!$A$4:$H$350,8,0),0)</f>
        <v>0</v>
      </c>
      <c r="N117" s="361">
        <f t="shared" si="20"/>
        <v>0</v>
      </c>
      <c r="O117" s="361">
        <f t="shared" si="27"/>
        <v>0</v>
      </c>
      <c r="P117" s="361">
        <f t="shared" si="21"/>
        <v>0</v>
      </c>
      <c r="Q117" s="31">
        <f>IF(OR(D117="SI",D117="Sí"),VLOOKUP(A117,DATA!$A$4:$P$350,14,0),0)</f>
        <v>0</v>
      </c>
      <c r="R117" s="121">
        <f t="shared" si="28"/>
        <v>0</v>
      </c>
      <c r="S117" s="31">
        <f>IF(AND(R117&gt;0,R117&lt;$R$7),ROUND(($R$7-R117)*G117,PARAMETROS!$L$8),0)</f>
        <v>0</v>
      </c>
      <c r="T117" s="122">
        <f t="shared" si="22"/>
        <v>0</v>
      </c>
      <c r="U117" s="117">
        <f t="shared" si="23"/>
        <v>0</v>
      </c>
      <c r="V117" s="117">
        <f>VLOOKUP(A117,DATA!$A$4:$V$350,DATA!$V$1,0)</f>
        <v>0</v>
      </c>
      <c r="W117" s="117">
        <f>VLOOKUP(A117,DATA!$A$4:$V$350,22,0)</f>
        <v>0</v>
      </c>
      <c r="X117" s="96">
        <f t="shared" si="24"/>
        <v>0</v>
      </c>
      <c r="Y117" s="31">
        <f>ROUND(X117*PARAMETROS!$H$35,0)</f>
        <v>0</v>
      </c>
      <c r="Z117" s="31">
        <f t="shared" si="29"/>
        <v>0</v>
      </c>
      <c r="AA117" s="31">
        <f t="shared" si="30"/>
        <v>0</v>
      </c>
      <c r="AB117" s="31">
        <f t="shared" si="31"/>
        <v>0</v>
      </c>
      <c r="AC117" s="31">
        <f t="shared" si="31"/>
        <v>0</v>
      </c>
      <c r="AD117" s="38">
        <f t="shared" si="32"/>
        <v>0</v>
      </c>
    </row>
    <row r="118" spans="1:30" ht="3" customHeight="1" x14ac:dyDescent="0.25">
      <c r="A118">
        <v>6309</v>
      </c>
      <c r="B118">
        <v>6214</v>
      </c>
      <c r="C118" t="s">
        <v>141</v>
      </c>
      <c r="D118" s="6" t="str">
        <f>+DATA!U114</f>
        <v>No</v>
      </c>
      <c r="E118" s="361">
        <f t="shared" si="17"/>
        <v>0</v>
      </c>
      <c r="F118" s="95">
        <f t="shared" si="25"/>
        <v>0</v>
      </c>
      <c r="G118" s="31">
        <f>IF(OR(D118="SI",D118="Sí"),VLOOKUP(A118,DATA!$A$4:$D$350,4,0),0)</f>
        <v>0</v>
      </c>
      <c r="H118" s="95">
        <f>IF(OR(D118="SI",D118="Sí"),VLOOKUP(A118,DATA!$A$4:$E$350,5,0),0)</f>
        <v>0</v>
      </c>
      <c r="I118" s="31">
        <f t="shared" si="26"/>
        <v>0</v>
      </c>
      <c r="J118" s="361">
        <f t="shared" si="18"/>
        <v>0</v>
      </c>
      <c r="K118" s="361">
        <f t="shared" si="19"/>
        <v>0</v>
      </c>
      <c r="L118" s="31">
        <f>IF(OR(D118="SI",D118="Sí"),VLOOKUP(A118,DATA!$A$4:$G$350,7,0),0)</f>
        <v>0</v>
      </c>
      <c r="M118" s="31">
        <f>IF(OR(D118="SI",D118="Sí"),VLOOKUP(A118,DATA!$A$4:$H$350,8,0),0)</f>
        <v>0</v>
      </c>
      <c r="N118" s="361">
        <f t="shared" si="20"/>
        <v>0</v>
      </c>
      <c r="O118" s="361">
        <f t="shared" si="27"/>
        <v>0</v>
      </c>
      <c r="P118" s="361">
        <f t="shared" si="21"/>
        <v>0</v>
      </c>
      <c r="Q118" s="31">
        <f>IF(OR(D118="SI",D118="Sí"),VLOOKUP(A118,DATA!$A$4:$P$350,14,0),0)</f>
        <v>0</v>
      </c>
      <c r="R118" s="121">
        <f t="shared" si="28"/>
        <v>0</v>
      </c>
      <c r="S118" s="31">
        <f>IF(AND(R118&gt;0,R118&lt;$R$7),ROUND(($R$7-R118)*G118,PARAMETROS!$L$8),0)</f>
        <v>0</v>
      </c>
      <c r="T118" s="122">
        <f t="shared" si="22"/>
        <v>0</v>
      </c>
      <c r="U118" s="117">
        <f t="shared" si="23"/>
        <v>0</v>
      </c>
      <c r="V118" s="117">
        <f>VLOOKUP(A118,DATA!$A$4:$V$350,DATA!$V$1,0)</f>
        <v>0</v>
      </c>
      <c r="W118" s="117">
        <f>VLOOKUP(A118,DATA!$A$4:$V$350,22,0)</f>
        <v>0</v>
      </c>
      <c r="X118" s="96">
        <f t="shared" si="24"/>
        <v>0</v>
      </c>
      <c r="Y118" s="31">
        <f>ROUND(X118*PARAMETROS!$H$35,0)</f>
        <v>0</v>
      </c>
      <c r="Z118" s="31">
        <f t="shared" si="29"/>
        <v>0</v>
      </c>
      <c r="AA118" s="31">
        <f t="shared" si="30"/>
        <v>0</v>
      </c>
      <c r="AB118" s="31">
        <f t="shared" si="31"/>
        <v>0</v>
      </c>
      <c r="AC118" s="31">
        <f t="shared" si="31"/>
        <v>0</v>
      </c>
      <c r="AD118" s="38">
        <f t="shared" si="32"/>
        <v>0</v>
      </c>
    </row>
    <row r="119" spans="1:30" ht="3" customHeight="1" x14ac:dyDescent="0.25">
      <c r="A119">
        <v>6310</v>
      </c>
      <c r="B119">
        <v>6205</v>
      </c>
      <c r="C119" t="s">
        <v>137</v>
      </c>
      <c r="D119" s="6" t="str">
        <f>+DATA!U115</f>
        <v>No</v>
      </c>
      <c r="E119" s="361">
        <f t="shared" si="17"/>
        <v>0</v>
      </c>
      <c r="F119" s="95">
        <f t="shared" si="25"/>
        <v>0</v>
      </c>
      <c r="G119" s="31">
        <f>IF(OR(D119="SI",D119="Sí"),VLOOKUP(A119,DATA!$A$4:$D$350,4,0),0)</f>
        <v>0</v>
      </c>
      <c r="H119" s="95">
        <f>IF(OR(D119="SI",D119="Sí"),VLOOKUP(A119,DATA!$A$4:$E$350,5,0),0)</f>
        <v>0</v>
      </c>
      <c r="I119" s="31">
        <f t="shared" si="26"/>
        <v>0</v>
      </c>
      <c r="J119" s="361">
        <f t="shared" si="18"/>
        <v>0</v>
      </c>
      <c r="K119" s="361">
        <f t="shared" si="19"/>
        <v>0</v>
      </c>
      <c r="L119" s="31">
        <f>IF(OR(D119="SI",D119="Sí"),VLOOKUP(A119,DATA!$A$4:$G$350,7,0),0)</f>
        <v>0</v>
      </c>
      <c r="M119" s="31">
        <f>IF(OR(D119="SI",D119="Sí"),VLOOKUP(A119,DATA!$A$4:$H$350,8,0),0)</f>
        <v>0</v>
      </c>
      <c r="N119" s="361">
        <f t="shared" si="20"/>
        <v>0</v>
      </c>
      <c r="O119" s="361">
        <f t="shared" si="27"/>
        <v>0</v>
      </c>
      <c r="P119" s="361">
        <f t="shared" si="21"/>
        <v>0</v>
      </c>
      <c r="Q119" s="31">
        <f>IF(OR(D119="SI",D119="Sí"),VLOOKUP(A119,DATA!$A$4:$P$350,14,0),0)</f>
        <v>0</v>
      </c>
      <c r="R119" s="121">
        <f t="shared" si="28"/>
        <v>0</v>
      </c>
      <c r="S119" s="31">
        <f>IF(AND(R119&gt;0,R119&lt;$R$7),ROUND(($R$7-R119)*G119,PARAMETROS!$L$8),0)</f>
        <v>0</v>
      </c>
      <c r="T119" s="122">
        <f t="shared" si="22"/>
        <v>0</v>
      </c>
      <c r="U119" s="117">
        <f t="shared" si="23"/>
        <v>0</v>
      </c>
      <c r="V119" s="117">
        <f>VLOOKUP(A119,DATA!$A$4:$V$350,DATA!$V$1,0)</f>
        <v>0</v>
      </c>
      <c r="W119" s="117">
        <f>VLOOKUP(A119,DATA!$A$4:$V$350,22,0)</f>
        <v>0</v>
      </c>
      <c r="X119" s="96">
        <f t="shared" si="24"/>
        <v>0</v>
      </c>
      <c r="Y119" s="31">
        <f>ROUND(X119*PARAMETROS!$H$35,0)</f>
        <v>0</v>
      </c>
      <c r="Z119" s="31">
        <f t="shared" si="29"/>
        <v>0</v>
      </c>
      <c r="AA119" s="31">
        <f t="shared" si="30"/>
        <v>0</v>
      </c>
      <c r="AB119" s="31">
        <f t="shared" si="31"/>
        <v>0</v>
      </c>
      <c r="AC119" s="31">
        <f t="shared" si="31"/>
        <v>0</v>
      </c>
      <c r="AD119" s="38">
        <f t="shared" si="32"/>
        <v>0</v>
      </c>
    </row>
    <row r="120" spans="1:30" ht="3" customHeight="1" x14ac:dyDescent="0.25">
      <c r="A120">
        <v>7101</v>
      </c>
      <c r="B120">
        <v>7201</v>
      </c>
      <c r="C120" t="s">
        <v>152</v>
      </c>
      <c r="D120" s="6" t="str">
        <f>+DATA!U116</f>
        <v>No</v>
      </c>
      <c r="E120" s="361">
        <f t="shared" si="17"/>
        <v>0</v>
      </c>
      <c r="F120" s="95">
        <f t="shared" si="25"/>
        <v>0</v>
      </c>
      <c r="G120" s="31">
        <f>IF(OR(D120="SI",D120="Sí"),VLOOKUP(A120,DATA!$A$4:$D$350,4,0),0)</f>
        <v>0</v>
      </c>
      <c r="H120" s="95">
        <f>IF(OR(D120="SI",D120="Sí"),VLOOKUP(A120,DATA!$A$4:$E$350,5,0),0)</f>
        <v>0</v>
      </c>
      <c r="I120" s="31">
        <f t="shared" si="26"/>
        <v>0</v>
      </c>
      <c r="J120" s="361">
        <f t="shared" si="18"/>
        <v>0</v>
      </c>
      <c r="K120" s="361">
        <f t="shared" si="19"/>
        <v>0</v>
      </c>
      <c r="L120" s="31">
        <f>IF(OR(D120="SI",D120="Sí"),VLOOKUP(A120,DATA!$A$4:$G$350,7,0),0)</f>
        <v>0</v>
      </c>
      <c r="M120" s="31">
        <f>IF(OR(D120="SI",D120="Sí"),VLOOKUP(A120,DATA!$A$4:$H$350,8,0),0)</f>
        <v>0</v>
      </c>
      <c r="N120" s="361">
        <f t="shared" si="20"/>
        <v>0</v>
      </c>
      <c r="O120" s="361">
        <f t="shared" si="27"/>
        <v>0</v>
      </c>
      <c r="P120" s="361">
        <f t="shared" si="21"/>
        <v>0</v>
      </c>
      <c r="Q120" s="31">
        <f>IF(OR(D120="SI",D120="Sí"),VLOOKUP(A120,DATA!$A$4:$P$350,14,0),0)</f>
        <v>0</v>
      </c>
      <c r="R120" s="121">
        <f t="shared" si="28"/>
        <v>0</v>
      </c>
      <c r="S120" s="31">
        <f>IF(AND(R120&gt;0,R120&lt;$R$7),ROUND(($R$7-R120)*G120,PARAMETROS!$L$8),0)</f>
        <v>0</v>
      </c>
      <c r="T120" s="122">
        <f t="shared" si="22"/>
        <v>0</v>
      </c>
      <c r="U120" s="117">
        <f t="shared" si="23"/>
        <v>0</v>
      </c>
      <c r="V120" s="117">
        <f>VLOOKUP(A120,DATA!$A$4:$V$350,DATA!$V$1,0)</f>
        <v>0</v>
      </c>
      <c r="W120" s="117">
        <f>VLOOKUP(A120,DATA!$A$4:$V$350,22,0)</f>
        <v>0</v>
      </c>
      <c r="X120" s="96">
        <f t="shared" si="24"/>
        <v>0</v>
      </c>
      <c r="Y120" s="31">
        <f>ROUND(X120*PARAMETROS!$H$35,0)</f>
        <v>0</v>
      </c>
      <c r="Z120" s="31">
        <f t="shared" si="29"/>
        <v>0</v>
      </c>
      <c r="AA120" s="31">
        <f t="shared" si="30"/>
        <v>0</v>
      </c>
      <c r="AB120" s="31">
        <f t="shared" si="31"/>
        <v>0</v>
      </c>
      <c r="AC120" s="31">
        <f t="shared" si="31"/>
        <v>0</v>
      </c>
      <c r="AD120" s="38">
        <f t="shared" si="32"/>
        <v>0</v>
      </c>
    </row>
    <row r="121" spans="1:30" ht="3" customHeight="1" x14ac:dyDescent="0.25">
      <c r="A121">
        <v>7102</v>
      </c>
      <c r="B121">
        <v>7208</v>
      </c>
      <c r="C121" t="s">
        <v>387</v>
      </c>
      <c r="D121" s="6" t="str">
        <f>+DATA!U117</f>
        <v>No</v>
      </c>
      <c r="E121" s="361">
        <f t="shared" si="17"/>
        <v>0</v>
      </c>
      <c r="F121" s="95">
        <f t="shared" si="25"/>
        <v>0</v>
      </c>
      <c r="G121" s="31">
        <f>IF(OR(D121="SI",D121="Sí"),VLOOKUP(A121,DATA!$A$4:$D$350,4,0),0)</f>
        <v>0</v>
      </c>
      <c r="H121" s="95">
        <f>IF(OR(D121="SI",D121="Sí"),VLOOKUP(A121,DATA!$A$4:$E$350,5,0),0)</f>
        <v>0</v>
      </c>
      <c r="I121" s="31">
        <f t="shared" si="26"/>
        <v>0</v>
      </c>
      <c r="J121" s="361">
        <f t="shared" si="18"/>
        <v>0</v>
      </c>
      <c r="K121" s="361">
        <f t="shared" si="19"/>
        <v>0</v>
      </c>
      <c r="L121" s="31">
        <f>IF(OR(D121="SI",D121="Sí"),VLOOKUP(A121,DATA!$A$4:$G$350,7,0),0)</f>
        <v>0</v>
      </c>
      <c r="M121" s="31">
        <f>IF(OR(D121="SI",D121="Sí"),VLOOKUP(A121,DATA!$A$4:$H$350,8,0),0)</f>
        <v>0</v>
      </c>
      <c r="N121" s="361">
        <f t="shared" si="20"/>
        <v>0</v>
      </c>
      <c r="O121" s="361">
        <f t="shared" si="27"/>
        <v>0</v>
      </c>
      <c r="P121" s="361">
        <f t="shared" si="21"/>
        <v>0</v>
      </c>
      <c r="Q121" s="31">
        <f>IF(OR(D121="SI",D121="Sí"),VLOOKUP(A121,DATA!$A$4:$P$350,14,0),0)</f>
        <v>0</v>
      </c>
      <c r="R121" s="121">
        <f t="shared" si="28"/>
        <v>0</v>
      </c>
      <c r="S121" s="31">
        <f>IF(AND(R121&gt;0,R121&lt;$R$7),ROUND(($R$7-R121)*G121,PARAMETROS!$L$8),0)</f>
        <v>0</v>
      </c>
      <c r="T121" s="122">
        <f t="shared" si="22"/>
        <v>0</v>
      </c>
      <c r="U121" s="117">
        <f t="shared" si="23"/>
        <v>0</v>
      </c>
      <c r="V121" s="117">
        <f>VLOOKUP(A121,DATA!$A$4:$V$350,DATA!$V$1,0)</f>
        <v>0</v>
      </c>
      <c r="W121" s="117">
        <f>VLOOKUP(A121,DATA!$A$4:$V$350,22,0)</f>
        <v>0</v>
      </c>
      <c r="X121" s="96">
        <f t="shared" si="24"/>
        <v>0</v>
      </c>
      <c r="Y121" s="31">
        <f>ROUND(X121*PARAMETROS!$H$35,0)</f>
        <v>0</v>
      </c>
      <c r="Z121" s="31">
        <f t="shared" si="29"/>
        <v>0</v>
      </c>
      <c r="AA121" s="31">
        <f t="shared" si="30"/>
        <v>0</v>
      </c>
      <c r="AB121" s="31">
        <f t="shared" si="31"/>
        <v>0</v>
      </c>
      <c r="AC121" s="31">
        <f t="shared" si="31"/>
        <v>0</v>
      </c>
      <c r="AD121" s="38">
        <f t="shared" si="32"/>
        <v>0</v>
      </c>
    </row>
    <row r="122" spans="1:30" ht="3" customHeight="1" x14ac:dyDescent="0.25">
      <c r="A122">
        <v>7103</v>
      </c>
      <c r="B122">
        <v>7207</v>
      </c>
      <c r="C122" t="s">
        <v>157</v>
      </c>
      <c r="D122" s="6" t="str">
        <f>+DATA!U118</f>
        <v>No</v>
      </c>
      <c r="E122" s="361">
        <f t="shared" si="17"/>
        <v>0</v>
      </c>
      <c r="F122" s="95">
        <f t="shared" si="25"/>
        <v>0</v>
      </c>
      <c r="G122" s="31">
        <f>IF(OR(D122="SI",D122="Sí"),VLOOKUP(A122,DATA!$A$4:$D$350,4,0),0)</f>
        <v>0</v>
      </c>
      <c r="H122" s="95">
        <f>IF(OR(D122="SI",D122="Sí"),VLOOKUP(A122,DATA!$A$4:$E$350,5,0),0)</f>
        <v>0</v>
      </c>
      <c r="I122" s="31">
        <f t="shared" si="26"/>
        <v>0</v>
      </c>
      <c r="J122" s="361">
        <f t="shared" si="18"/>
        <v>0</v>
      </c>
      <c r="K122" s="361">
        <f t="shared" si="19"/>
        <v>0</v>
      </c>
      <c r="L122" s="31">
        <f>IF(OR(D122="SI",D122="Sí"),VLOOKUP(A122,DATA!$A$4:$G$350,7,0),0)</f>
        <v>0</v>
      </c>
      <c r="M122" s="31">
        <f>IF(OR(D122="SI",D122="Sí"),VLOOKUP(A122,DATA!$A$4:$H$350,8,0),0)</f>
        <v>0</v>
      </c>
      <c r="N122" s="361">
        <f t="shared" si="20"/>
        <v>0</v>
      </c>
      <c r="O122" s="361">
        <f t="shared" si="27"/>
        <v>0</v>
      </c>
      <c r="P122" s="361">
        <f t="shared" si="21"/>
        <v>0</v>
      </c>
      <c r="Q122" s="31">
        <f>IF(OR(D122="SI",D122="Sí"),VLOOKUP(A122,DATA!$A$4:$P$350,14,0),0)</f>
        <v>0</v>
      </c>
      <c r="R122" s="121">
        <f t="shared" si="28"/>
        <v>0</v>
      </c>
      <c r="S122" s="31">
        <f>IF(AND(R122&gt;0,R122&lt;$R$7),ROUND(($R$7-R122)*G122,PARAMETROS!$L$8),0)</f>
        <v>0</v>
      </c>
      <c r="T122" s="122">
        <f t="shared" si="22"/>
        <v>0</v>
      </c>
      <c r="U122" s="117">
        <f t="shared" si="23"/>
        <v>0</v>
      </c>
      <c r="V122" s="117">
        <f>VLOOKUP(A122,DATA!$A$4:$V$350,DATA!$V$1,0)</f>
        <v>0</v>
      </c>
      <c r="W122" s="117">
        <f>VLOOKUP(A122,DATA!$A$4:$V$350,22,0)</f>
        <v>0</v>
      </c>
      <c r="X122" s="96">
        <f t="shared" si="24"/>
        <v>0</v>
      </c>
      <c r="Y122" s="31">
        <f>ROUND(X122*PARAMETROS!$H$35,0)</f>
        <v>0</v>
      </c>
      <c r="Z122" s="31">
        <f t="shared" si="29"/>
        <v>0</v>
      </c>
      <c r="AA122" s="31">
        <f t="shared" si="30"/>
        <v>0</v>
      </c>
      <c r="AB122" s="31">
        <f t="shared" si="31"/>
        <v>0</v>
      </c>
      <c r="AC122" s="31">
        <f t="shared" si="31"/>
        <v>0</v>
      </c>
      <c r="AD122" s="38">
        <f t="shared" si="32"/>
        <v>0</v>
      </c>
    </row>
    <row r="123" spans="1:30" ht="3" customHeight="1" x14ac:dyDescent="0.25">
      <c r="A123">
        <v>7104</v>
      </c>
      <c r="B123">
        <v>7209</v>
      </c>
      <c r="C123" t="s">
        <v>158</v>
      </c>
      <c r="D123" s="6" t="str">
        <f>+DATA!U119</f>
        <v>No</v>
      </c>
      <c r="E123" s="361">
        <f t="shared" si="17"/>
        <v>0</v>
      </c>
      <c r="F123" s="95">
        <f t="shared" si="25"/>
        <v>0</v>
      </c>
      <c r="G123" s="31">
        <f>IF(OR(D123="SI",D123="Sí"),VLOOKUP(A123,DATA!$A$4:$D$350,4,0),0)</f>
        <v>0</v>
      </c>
      <c r="H123" s="95">
        <f>IF(OR(D123="SI",D123="Sí"),VLOOKUP(A123,DATA!$A$4:$E$350,5,0),0)</f>
        <v>0</v>
      </c>
      <c r="I123" s="31">
        <f t="shared" si="26"/>
        <v>0</v>
      </c>
      <c r="J123" s="361">
        <f t="shared" si="18"/>
        <v>0</v>
      </c>
      <c r="K123" s="361">
        <f t="shared" si="19"/>
        <v>0</v>
      </c>
      <c r="L123" s="31">
        <f>IF(OR(D123="SI",D123="Sí"),VLOOKUP(A123,DATA!$A$4:$G$350,7,0),0)</f>
        <v>0</v>
      </c>
      <c r="M123" s="31">
        <f>IF(OR(D123="SI",D123="Sí"),VLOOKUP(A123,DATA!$A$4:$H$350,8,0),0)</f>
        <v>0</v>
      </c>
      <c r="N123" s="361">
        <f t="shared" si="20"/>
        <v>0</v>
      </c>
      <c r="O123" s="361">
        <f t="shared" si="27"/>
        <v>0</v>
      </c>
      <c r="P123" s="361">
        <f t="shared" si="21"/>
        <v>0</v>
      </c>
      <c r="Q123" s="31">
        <f>IF(OR(D123="SI",D123="Sí"),VLOOKUP(A123,DATA!$A$4:$P$350,14,0),0)</f>
        <v>0</v>
      </c>
      <c r="R123" s="121">
        <f t="shared" si="28"/>
        <v>0</v>
      </c>
      <c r="S123" s="31">
        <f>IF(AND(R123&gt;0,R123&lt;$R$7),ROUND(($R$7-R123)*G123,PARAMETROS!$L$8),0)</f>
        <v>0</v>
      </c>
      <c r="T123" s="122">
        <f t="shared" si="22"/>
        <v>0</v>
      </c>
      <c r="U123" s="117">
        <f t="shared" si="23"/>
        <v>0</v>
      </c>
      <c r="V123" s="117">
        <f>VLOOKUP(A123,DATA!$A$4:$V$350,DATA!$V$1,0)</f>
        <v>0</v>
      </c>
      <c r="W123" s="117">
        <f>VLOOKUP(A123,DATA!$A$4:$V$350,22,0)</f>
        <v>0</v>
      </c>
      <c r="X123" s="96">
        <f t="shared" si="24"/>
        <v>0</v>
      </c>
      <c r="Y123" s="31">
        <f>ROUND(X123*PARAMETROS!$H$35,0)</f>
        <v>0</v>
      </c>
      <c r="Z123" s="31">
        <f t="shared" si="29"/>
        <v>0</v>
      </c>
      <c r="AA123" s="31">
        <f t="shared" si="30"/>
        <v>0</v>
      </c>
      <c r="AB123" s="31">
        <f t="shared" si="31"/>
        <v>0</v>
      </c>
      <c r="AC123" s="31">
        <f t="shared" si="31"/>
        <v>0</v>
      </c>
      <c r="AD123" s="38">
        <f t="shared" si="32"/>
        <v>0</v>
      </c>
    </row>
    <row r="124" spans="1:30" ht="3" customHeight="1" x14ac:dyDescent="0.25">
      <c r="A124">
        <v>7105</v>
      </c>
      <c r="B124">
        <v>7206</v>
      </c>
      <c r="C124" t="s">
        <v>156</v>
      </c>
      <c r="D124" s="6" t="str">
        <f>+DATA!U120</f>
        <v>No</v>
      </c>
      <c r="E124" s="361">
        <f t="shared" si="17"/>
        <v>0</v>
      </c>
      <c r="F124" s="95">
        <f t="shared" si="25"/>
        <v>0</v>
      </c>
      <c r="G124" s="31">
        <f>IF(OR(D124="SI",D124="Sí"),VLOOKUP(A124,DATA!$A$4:$D$350,4,0),0)</f>
        <v>0</v>
      </c>
      <c r="H124" s="95">
        <f>IF(OR(D124="SI",D124="Sí"),VLOOKUP(A124,DATA!$A$4:$E$350,5,0),0)</f>
        <v>0</v>
      </c>
      <c r="I124" s="31">
        <f t="shared" si="26"/>
        <v>0</v>
      </c>
      <c r="J124" s="361">
        <f t="shared" si="18"/>
        <v>0</v>
      </c>
      <c r="K124" s="361">
        <f t="shared" si="19"/>
        <v>0</v>
      </c>
      <c r="L124" s="31">
        <f>IF(OR(D124="SI",D124="Sí"),VLOOKUP(A124,DATA!$A$4:$G$350,7,0),0)</f>
        <v>0</v>
      </c>
      <c r="M124" s="31">
        <f>IF(OR(D124="SI",D124="Sí"),VLOOKUP(A124,DATA!$A$4:$H$350,8,0),0)</f>
        <v>0</v>
      </c>
      <c r="N124" s="361">
        <f t="shared" si="20"/>
        <v>0</v>
      </c>
      <c r="O124" s="361">
        <f t="shared" si="27"/>
        <v>0</v>
      </c>
      <c r="P124" s="361">
        <f t="shared" si="21"/>
        <v>0</v>
      </c>
      <c r="Q124" s="31">
        <f>IF(OR(D124="SI",D124="Sí"),VLOOKUP(A124,DATA!$A$4:$P$350,14,0),0)</f>
        <v>0</v>
      </c>
      <c r="R124" s="121">
        <f t="shared" si="28"/>
        <v>0</v>
      </c>
      <c r="S124" s="31">
        <f>IF(AND(R124&gt;0,R124&lt;$R$7),ROUND(($R$7-R124)*G124,PARAMETROS!$L$8),0)</f>
        <v>0</v>
      </c>
      <c r="T124" s="122">
        <f t="shared" si="22"/>
        <v>0</v>
      </c>
      <c r="U124" s="117">
        <f t="shared" si="23"/>
        <v>0</v>
      </c>
      <c r="V124" s="117">
        <f>VLOOKUP(A124,DATA!$A$4:$V$350,DATA!$V$1,0)</f>
        <v>0</v>
      </c>
      <c r="W124" s="117">
        <f>VLOOKUP(A124,DATA!$A$4:$V$350,22,0)</f>
        <v>0</v>
      </c>
      <c r="X124" s="96">
        <f t="shared" si="24"/>
        <v>0</v>
      </c>
      <c r="Y124" s="31">
        <f>ROUND(X124*PARAMETROS!$H$35,0)</f>
        <v>0</v>
      </c>
      <c r="Z124" s="31">
        <f t="shared" si="29"/>
        <v>0</v>
      </c>
      <c r="AA124" s="31">
        <f t="shared" si="30"/>
        <v>0</v>
      </c>
      <c r="AB124" s="31">
        <f t="shared" si="31"/>
        <v>0</v>
      </c>
      <c r="AC124" s="31">
        <f t="shared" si="31"/>
        <v>0</v>
      </c>
      <c r="AD124" s="38">
        <f t="shared" si="32"/>
        <v>0</v>
      </c>
    </row>
    <row r="125" spans="1:30" ht="3" customHeight="1" x14ac:dyDescent="0.25">
      <c r="A125">
        <v>7106</v>
      </c>
      <c r="B125">
        <v>7203</v>
      </c>
      <c r="C125" t="s">
        <v>154</v>
      </c>
      <c r="D125" s="6" t="str">
        <f>+DATA!U121</f>
        <v>No</v>
      </c>
      <c r="E125" s="361">
        <f t="shared" si="17"/>
        <v>0</v>
      </c>
      <c r="F125" s="95">
        <f t="shared" si="25"/>
        <v>0</v>
      </c>
      <c r="G125" s="31">
        <f>IF(OR(D125="SI",D125="Sí"),VLOOKUP(A125,DATA!$A$4:$D$350,4,0),0)</f>
        <v>0</v>
      </c>
      <c r="H125" s="95">
        <f>IF(OR(D125="SI",D125="Sí"),VLOOKUP(A125,DATA!$A$4:$E$350,5,0),0)</f>
        <v>0</v>
      </c>
      <c r="I125" s="31">
        <f t="shared" si="26"/>
        <v>0</v>
      </c>
      <c r="J125" s="361">
        <f t="shared" si="18"/>
        <v>0</v>
      </c>
      <c r="K125" s="361">
        <f t="shared" si="19"/>
        <v>0</v>
      </c>
      <c r="L125" s="31">
        <f>IF(OR(D125="SI",D125="Sí"),VLOOKUP(A125,DATA!$A$4:$G$350,7,0),0)</f>
        <v>0</v>
      </c>
      <c r="M125" s="31">
        <f>IF(OR(D125="SI",D125="Sí"),VLOOKUP(A125,DATA!$A$4:$H$350,8,0),0)</f>
        <v>0</v>
      </c>
      <c r="N125" s="361">
        <f t="shared" si="20"/>
        <v>0</v>
      </c>
      <c r="O125" s="361">
        <f t="shared" si="27"/>
        <v>0</v>
      </c>
      <c r="P125" s="361">
        <f t="shared" si="21"/>
        <v>0</v>
      </c>
      <c r="Q125" s="31">
        <f>IF(OR(D125="SI",D125="Sí"),VLOOKUP(A125,DATA!$A$4:$P$350,14,0),0)</f>
        <v>0</v>
      </c>
      <c r="R125" s="121">
        <f t="shared" si="28"/>
        <v>0</v>
      </c>
      <c r="S125" s="31">
        <f>IF(AND(R125&gt;0,R125&lt;$R$7),ROUND(($R$7-R125)*G125,PARAMETROS!$L$8),0)</f>
        <v>0</v>
      </c>
      <c r="T125" s="122">
        <f t="shared" si="22"/>
        <v>0</v>
      </c>
      <c r="U125" s="117">
        <f t="shared" si="23"/>
        <v>0</v>
      </c>
      <c r="V125" s="117">
        <f>VLOOKUP(A125,DATA!$A$4:$V$350,DATA!$V$1,0)</f>
        <v>0</v>
      </c>
      <c r="W125" s="117">
        <f>VLOOKUP(A125,DATA!$A$4:$V$350,22,0)</f>
        <v>0</v>
      </c>
      <c r="X125" s="96">
        <f t="shared" si="24"/>
        <v>0</v>
      </c>
      <c r="Y125" s="31">
        <f>ROUND(X125*PARAMETROS!$H$35,0)</f>
        <v>0</v>
      </c>
      <c r="Z125" s="31">
        <f t="shared" si="29"/>
        <v>0</v>
      </c>
      <c r="AA125" s="31">
        <f t="shared" si="30"/>
        <v>0</v>
      </c>
      <c r="AB125" s="31">
        <f t="shared" si="31"/>
        <v>0</v>
      </c>
      <c r="AC125" s="31">
        <f t="shared" si="31"/>
        <v>0</v>
      </c>
      <c r="AD125" s="38">
        <f t="shared" si="32"/>
        <v>0</v>
      </c>
    </row>
    <row r="126" spans="1:30" ht="3" customHeight="1" x14ac:dyDescent="0.25">
      <c r="A126">
        <v>7107</v>
      </c>
      <c r="B126">
        <v>7205</v>
      </c>
      <c r="C126" t="s">
        <v>155</v>
      </c>
      <c r="D126" s="6" t="str">
        <f>+DATA!U122</f>
        <v>No</v>
      </c>
      <c r="E126" s="361">
        <f t="shared" si="17"/>
        <v>0</v>
      </c>
      <c r="F126" s="95">
        <f t="shared" si="25"/>
        <v>0</v>
      </c>
      <c r="G126" s="31">
        <f>IF(OR(D126="SI",D126="Sí"),VLOOKUP(A126,DATA!$A$4:$D$350,4,0),0)</f>
        <v>0</v>
      </c>
      <c r="H126" s="95">
        <f>IF(OR(D126="SI",D126="Sí"),VLOOKUP(A126,DATA!$A$4:$E$350,5,0),0)</f>
        <v>0</v>
      </c>
      <c r="I126" s="31">
        <f t="shared" si="26"/>
        <v>0</v>
      </c>
      <c r="J126" s="361">
        <f t="shared" si="18"/>
        <v>0</v>
      </c>
      <c r="K126" s="361">
        <f t="shared" si="19"/>
        <v>0</v>
      </c>
      <c r="L126" s="31">
        <f>IF(OR(D126="SI",D126="Sí"),VLOOKUP(A126,DATA!$A$4:$G$350,7,0),0)</f>
        <v>0</v>
      </c>
      <c r="M126" s="31">
        <f>IF(OR(D126="SI",D126="Sí"),VLOOKUP(A126,DATA!$A$4:$H$350,8,0),0)</f>
        <v>0</v>
      </c>
      <c r="N126" s="361">
        <f t="shared" si="20"/>
        <v>0</v>
      </c>
      <c r="O126" s="361">
        <f t="shared" si="27"/>
        <v>0</v>
      </c>
      <c r="P126" s="361">
        <f t="shared" si="21"/>
        <v>0</v>
      </c>
      <c r="Q126" s="31">
        <f>IF(OR(D126="SI",D126="Sí"),VLOOKUP(A126,DATA!$A$4:$P$350,14,0),0)</f>
        <v>0</v>
      </c>
      <c r="R126" s="121">
        <f t="shared" si="28"/>
        <v>0</v>
      </c>
      <c r="S126" s="31">
        <f>IF(AND(R126&gt;0,R126&lt;$R$7),ROUND(($R$7-R126)*G126,PARAMETROS!$L$8),0)</f>
        <v>0</v>
      </c>
      <c r="T126" s="122">
        <f t="shared" si="22"/>
        <v>0</v>
      </c>
      <c r="U126" s="117">
        <f t="shared" si="23"/>
        <v>0</v>
      </c>
      <c r="V126" s="117">
        <f>VLOOKUP(A126,DATA!$A$4:$V$350,DATA!$V$1,0)</f>
        <v>0</v>
      </c>
      <c r="W126" s="117">
        <f>VLOOKUP(A126,DATA!$A$4:$V$350,22,0)</f>
        <v>0</v>
      </c>
      <c r="X126" s="96">
        <f t="shared" si="24"/>
        <v>0</v>
      </c>
      <c r="Y126" s="31">
        <f>ROUND(X126*PARAMETROS!$H$35,0)</f>
        <v>0</v>
      </c>
      <c r="Z126" s="31">
        <f t="shared" si="29"/>
        <v>0</v>
      </c>
      <c r="AA126" s="31">
        <f t="shared" si="30"/>
        <v>0</v>
      </c>
      <c r="AB126" s="31">
        <f t="shared" si="31"/>
        <v>0</v>
      </c>
      <c r="AC126" s="31">
        <f t="shared" si="31"/>
        <v>0</v>
      </c>
      <c r="AD126" s="38">
        <f t="shared" si="32"/>
        <v>0</v>
      </c>
    </row>
    <row r="127" spans="1:30" ht="3" customHeight="1" x14ac:dyDescent="0.25">
      <c r="A127">
        <v>7108</v>
      </c>
      <c r="B127">
        <v>7204</v>
      </c>
      <c r="C127" t="s">
        <v>388</v>
      </c>
      <c r="D127" s="6" t="str">
        <f>+DATA!U123</f>
        <v>No</v>
      </c>
      <c r="E127" s="361">
        <f t="shared" si="17"/>
        <v>0</v>
      </c>
      <c r="F127" s="95">
        <f t="shared" si="25"/>
        <v>0</v>
      </c>
      <c r="G127" s="31">
        <f>IF(OR(D127="SI",D127="Sí"),VLOOKUP(A127,DATA!$A$4:$D$350,4,0),0)</f>
        <v>0</v>
      </c>
      <c r="H127" s="95">
        <f>IF(OR(D127="SI",D127="Sí"),VLOOKUP(A127,DATA!$A$4:$E$350,5,0),0)</f>
        <v>0</v>
      </c>
      <c r="I127" s="31">
        <f t="shared" si="26"/>
        <v>0</v>
      </c>
      <c r="J127" s="361">
        <f t="shared" si="18"/>
        <v>0</v>
      </c>
      <c r="K127" s="361">
        <f t="shared" si="19"/>
        <v>0</v>
      </c>
      <c r="L127" s="31">
        <f>IF(OR(D127="SI",D127="Sí"),VLOOKUP(A127,DATA!$A$4:$G$350,7,0),0)</f>
        <v>0</v>
      </c>
      <c r="M127" s="31">
        <f>IF(OR(D127="SI",D127="Sí"),VLOOKUP(A127,DATA!$A$4:$H$350,8,0),0)</f>
        <v>0</v>
      </c>
      <c r="N127" s="361">
        <f t="shared" si="20"/>
        <v>0</v>
      </c>
      <c r="O127" s="361">
        <f t="shared" si="27"/>
        <v>0</v>
      </c>
      <c r="P127" s="361">
        <f t="shared" si="21"/>
        <v>0</v>
      </c>
      <c r="Q127" s="31">
        <f>IF(OR(D127="SI",D127="Sí"),VLOOKUP(A127,DATA!$A$4:$P$350,14,0),0)</f>
        <v>0</v>
      </c>
      <c r="R127" s="121">
        <f t="shared" si="28"/>
        <v>0</v>
      </c>
      <c r="S127" s="31">
        <f>IF(AND(R127&gt;0,R127&lt;$R$7),ROUND(($R$7-R127)*G127,PARAMETROS!$L$8),0)</f>
        <v>0</v>
      </c>
      <c r="T127" s="122">
        <f t="shared" si="22"/>
        <v>0</v>
      </c>
      <c r="U127" s="117">
        <f t="shared" si="23"/>
        <v>0</v>
      </c>
      <c r="V127" s="117">
        <f>VLOOKUP(A127,DATA!$A$4:$V$350,DATA!$V$1,0)</f>
        <v>0</v>
      </c>
      <c r="W127" s="117">
        <f>VLOOKUP(A127,DATA!$A$4:$V$350,22,0)</f>
        <v>0</v>
      </c>
      <c r="X127" s="96">
        <f t="shared" si="24"/>
        <v>0</v>
      </c>
      <c r="Y127" s="31">
        <f>ROUND(X127*PARAMETROS!$H$35,0)</f>
        <v>0</v>
      </c>
      <c r="Z127" s="31">
        <f t="shared" si="29"/>
        <v>0</v>
      </c>
      <c r="AA127" s="31">
        <f t="shared" si="30"/>
        <v>0</v>
      </c>
      <c r="AB127" s="31">
        <f t="shared" si="31"/>
        <v>0</v>
      </c>
      <c r="AC127" s="31">
        <f t="shared" si="31"/>
        <v>0</v>
      </c>
      <c r="AD127" s="38">
        <f t="shared" si="32"/>
        <v>0</v>
      </c>
    </row>
    <row r="128" spans="1:30" ht="3" customHeight="1" x14ac:dyDescent="0.25">
      <c r="A128">
        <v>7109</v>
      </c>
      <c r="B128">
        <v>7202</v>
      </c>
      <c r="C128" t="s">
        <v>153</v>
      </c>
      <c r="D128" s="6" t="str">
        <f>+DATA!U124</f>
        <v>No</v>
      </c>
      <c r="E128" s="361">
        <f t="shared" si="17"/>
        <v>0</v>
      </c>
      <c r="F128" s="95">
        <f t="shared" si="25"/>
        <v>0</v>
      </c>
      <c r="G128" s="31">
        <f>IF(OR(D128="SI",D128="Sí"),VLOOKUP(A128,DATA!$A$4:$D$350,4,0),0)</f>
        <v>0</v>
      </c>
      <c r="H128" s="95">
        <f>IF(OR(D128="SI",D128="Sí"),VLOOKUP(A128,DATA!$A$4:$E$350,5,0),0)</f>
        <v>0</v>
      </c>
      <c r="I128" s="31">
        <f t="shared" si="26"/>
        <v>0</v>
      </c>
      <c r="J128" s="361">
        <f t="shared" si="18"/>
        <v>0</v>
      </c>
      <c r="K128" s="361">
        <f t="shared" si="19"/>
        <v>0</v>
      </c>
      <c r="L128" s="31">
        <f>IF(OR(D128="SI",D128="Sí"),VLOOKUP(A128,DATA!$A$4:$G$350,7,0),0)</f>
        <v>0</v>
      </c>
      <c r="M128" s="31">
        <f>IF(OR(D128="SI",D128="Sí"),VLOOKUP(A128,DATA!$A$4:$H$350,8,0),0)</f>
        <v>0</v>
      </c>
      <c r="N128" s="361">
        <f t="shared" si="20"/>
        <v>0</v>
      </c>
      <c r="O128" s="361">
        <f t="shared" si="27"/>
        <v>0</v>
      </c>
      <c r="P128" s="361">
        <f t="shared" si="21"/>
        <v>0</v>
      </c>
      <c r="Q128" s="31">
        <f>IF(OR(D128="SI",D128="Sí"),VLOOKUP(A128,DATA!$A$4:$P$350,14,0),0)</f>
        <v>0</v>
      </c>
      <c r="R128" s="121">
        <f t="shared" si="28"/>
        <v>0</v>
      </c>
      <c r="S128" s="31">
        <f>IF(AND(R128&gt;0,R128&lt;$R$7),ROUND(($R$7-R128)*G128,PARAMETROS!$L$8),0)</f>
        <v>0</v>
      </c>
      <c r="T128" s="122">
        <f t="shared" si="22"/>
        <v>0</v>
      </c>
      <c r="U128" s="117">
        <f t="shared" si="23"/>
        <v>0</v>
      </c>
      <c r="V128" s="117">
        <f>VLOOKUP(A128,DATA!$A$4:$V$350,DATA!$V$1,0)</f>
        <v>0</v>
      </c>
      <c r="W128" s="117">
        <f>VLOOKUP(A128,DATA!$A$4:$V$350,22,0)</f>
        <v>0</v>
      </c>
      <c r="X128" s="96">
        <f t="shared" si="24"/>
        <v>0</v>
      </c>
      <c r="Y128" s="31">
        <f>ROUND(X128*PARAMETROS!$H$35,0)</f>
        <v>0</v>
      </c>
      <c r="Z128" s="31">
        <f t="shared" si="29"/>
        <v>0</v>
      </c>
      <c r="AA128" s="31">
        <f t="shared" si="30"/>
        <v>0</v>
      </c>
      <c r="AB128" s="31">
        <f t="shared" si="31"/>
        <v>0</v>
      </c>
      <c r="AC128" s="31">
        <f t="shared" si="31"/>
        <v>0</v>
      </c>
      <c r="AD128" s="38">
        <f t="shared" si="32"/>
        <v>0</v>
      </c>
    </row>
    <row r="129" spans="1:30" ht="3" customHeight="1" x14ac:dyDescent="0.25">
      <c r="A129">
        <v>7110</v>
      </c>
      <c r="B129">
        <v>7210</v>
      </c>
      <c r="C129" t="s">
        <v>159</v>
      </c>
      <c r="D129" s="6" t="str">
        <f>+DATA!U125</f>
        <v>No</v>
      </c>
      <c r="E129" s="361">
        <f t="shared" si="17"/>
        <v>0</v>
      </c>
      <c r="F129" s="95">
        <f t="shared" si="25"/>
        <v>0</v>
      </c>
      <c r="G129" s="31">
        <f>IF(OR(D129="SI",D129="Sí"),VLOOKUP(A129,DATA!$A$4:$D$350,4,0),0)</f>
        <v>0</v>
      </c>
      <c r="H129" s="95">
        <f>IF(OR(D129="SI",D129="Sí"),VLOOKUP(A129,DATA!$A$4:$E$350,5,0),0)</f>
        <v>0</v>
      </c>
      <c r="I129" s="31">
        <f t="shared" si="26"/>
        <v>0</v>
      </c>
      <c r="J129" s="361">
        <f t="shared" si="18"/>
        <v>0</v>
      </c>
      <c r="K129" s="361">
        <f t="shared" si="19"/>
        <v>0</v>
      </c>
      <c r="L129" s="31">
        <f>IF(OR(D129="SI",D129="Sí"),VLOOKUP(A129,DATA!$A$4:$G$350,7,0),0)</f>
        <v>0</v>
      </c>
      <c r="M129" s="31">
        <f>IF(OR(D129="SI",D129="Sí"),VLOOKUP(A129,DATA!$A$4:$H$350,8,0),0)</f>
        <v>0</v>
      </c>
      <c r="N129" s="361">
        <f t="shared" si="20"/>
        <v>0</v>
      </c>
      <c r="O129" s="361">
        <f t="shared" si="27"/>
        <v>0</v>
      </c>
      <c r="P129" s="361">
        <f t="shared" si="21"/>
        <v>0</v>
      </c>
      <c r="Q129" s="31">
        <f>IF(OR(D129="SI",D129="Sí"),VLOOKUP(A129,DATA!$A$4:$P$350,14,0),0)</f>
        <v>0</v>
      </c>
      <c r="R129" s="121">
        <f t="shared" si="28"/>
        <v>0</v>
      </c>
      <c r="S129" s="31">
        <f>IF(AND(R129&gt;0,R129&lt;$R$7),ROUND(($R$7-R129)*G129,PARAMETROS!$L$8),0)</f>
        <v>0</v>
      </c>
      <c r="T129" s="122">
        <f t="shared" si="22"/>
        <v>0</v>
      </c>
      <c r="U129" s="117">
        <f t="shared" si="23"/>
        <v>0</v>
      </c>
      <c r="V129" s="117">
        <f>VLOOKUP(A129,DATA!$A$4:$V$350,DATA!$V$1,0)</f>
        <v>0</v>
      </c>
      <c r="W129" s="117">
        <f>VLOOKUP(A129,DATA!$A$4:$V$350,22,0)</f>
        <v>0</v>
      </c>
      <c r="X129" s="96">
        <f t="shared" si="24"/>
        <v>0</v>
      </c>
      <c r="Y129" s="31">
        <f>ROUND(X129*PARAMETROS!$H$35,0)</f>
        <v>0</v>
      </c>
      <c r="Z129" s="31">
        <f t="shared" si="29"/>
        <v>0</v>
      </c>
      <c r="AA129" s="31">
        <f t="shared" si="30"/>
        <v>0</v>
      </c>
      <c r="AB129" s="31">
        <f t="shared" si="31"/>
        <v>0</v>
      </c>
      <c r="AC129" s="31">
        <f t="shared" si="31"/>
        <v>0</v>
      </c>
      <c r="AD129" s="38">
        <f t="shared" si="32"/>
        <v>0</v>
      </c>
    </row>
    <row r="130" spans="1:30" ht="3" customHeight="1" x14ac:dyDescent="0.25">
      <c r="A130">
        <v>7201</v>
      </c>
      <c r="B130">
        <v>7401</v>
      </c>
      <c r="C130" t="s">
        <v>166</v>
      </c>
      <c r="D130" s="6" t="str">
        <f>+DATA!U126</f>
        <v>No</v>
      </c>
      <c r="E130" s="361">
        <f t="shared" si="17"/>
        <v>0</v>
      </c>
      <c r="F130" s="95">
        <f t="shared" si="25"/>
        <v>0</v>
      </c>
      <c r="G130" s="31">
        <f>IF(OR(D130="SI",D130="Sí"),VLOOKUP(A130,DATA!$A$4:$D$350,4,0),0)</f>
        <v>0</v>
      </c>
      <c r="H130" s="95">
        <f>IF(OR(D130="SI",D130="Sí"),VLOOKUP(A130,DATA!$A$4:$E$350,5,0),0)</f>
        <v>0</v>
      </c>
      <c r="I130" s="31">
        <f t="shared" si="26"/>
        <v>0</v>
      </c>
      <c r="J130" s="361">
        <f t="shared" si="18"/>
        <v>0</v>
      </c>
      <c r="K130" s="361">
        <f t="shared" si="19"/>
        <v>0</v>
      </c>
      <c r="L130" s="31">
        <f>IF(OR(D130="SI",D130="Sí"),VLOOKUP(A130,DATA!$A$4:$G$350,7,0),0)</f>
        <v>0</v>
      </c>
      <c r="M130" s="31">
        <f>IF(OR(D130="SI",D130="Sí"),VLOOKUP(A130,DATA!$A$4:$H$350,8,0),0)</f>
        <v>0</v>
      </c>
      <c r="N130" s="361">
        <f t="shared" si="20"/>
        <v>0</v>
      </c>
      <c r="O130" s="361">
        <f t="shared" si="27"/>
        <v>0</v>
      </c>
      <c r="P130" s="361">
        <f t="shared" si="21"/>
        <v>0</v>
      </c>
      <c r="Q130" s="31">
        <f>IF(OR(D130="SI",D130="Sí"),VLOOKUP(A130,DATA!$A$4:$P$350,14,0),0)</f>
        <v>0</v>
      </c>
      <c r="R130" s="121">
        <f t="shared" si="28"/>
        <v>0</v>
      </c>
      <c r="S130" s="31">
        <f>IF(AND(R130&gt;0,R130&lt;$R$7),ROUND(($R$7-R130)*G130,PARAMETROS!$L$8),0)</f>
        <v>0</v>
      </c>
      <c r="T130" s="122">
        <f t="shared" si="22"/>
        <v>0</v>
      </c>
      <c r="U130" s="117">
        <f t="shared" si="23"/>
        <v>0</v>
      </c>
      <c r="V130" s="117">
        <f>VLOOKUP(A130,DATA!$A$4:$V$350,DATA!$V$1,0)</f>
        <v>0</v>
      </c>
      <c r="W130" s="117">
        <f>VLOOKUP(A130,DATA!$A$4:$V$350,22,0)</f>
        <v>0</v>
      </c>
      <c r="X130" s="96">
        <f t="shared" si="24"/>
        <v>0</v>
      </c>
      <c r="Y130" s="31">
        <f>ROUND(X130*PARAMETROS!$H$35,0)</f>
        <v>0</v>
      </c>
      <c r="Z130" s="31">
        <f t="shared" si="29"/>
        <v>0</v>
      </c>
      <c r="AA130" s="31">
        <f t="shared" si="30"/>
        <v>0</v>
      </c>
      <c r="AB130" s="31">
        <f t="shared" si="31"/>
        <v>0</v>
      </c>
      <c r="AC130" s="31">
        <f t="shared" si="31"/>
        <v>0</v>
      </c>
      <c r="AD130" s="38">
        <f t="shared" si="32"/>
        <v>0</v>
      </c>
    </row>
    <row r="131" spans="1:30" ht="3" customHeight="1" x14ac:dyDescent="0.25">
      <c r="A131">
        <v>7202</v>
      </c>
      <c r="B131">
        <v>7403</v>
      </c>
      <c r="C131" t="s">
        <v>168</v>
      </c>
      <c r="D131" s="6" t="str">
        <f>+DATA!U127</f>
        <v>No</v>
      </c>
      <c r="E131" s="361">
        <f t="shared" si="17"/>
        <v>0</v>
      </c>
      <c r="F131" s="95">
        <f t="shared" si="25"/>
        <v>0</v>
      </c>
      <c r="G131" s="31">
        <f>IF(OR(D131="SI",D131="Sí"),VLOOKUP(A131,DATA!$A$4:$D$350,4,0),0)</f>
        <v>0</v>
      </c>
      <c r="H131" s="95">
        <f>IF(OR(D131="SI",D131="Sí"),VLOOKUP(A131,DATA!$A$4:$E$350,5,0),0)</f>
        <v>0</v>
      </c>
      <c r="I131" s="31">
        <f t="shared" si="26"/>
        <v>0</v>
      </c>
      <c r="J131" s="361">
        <f t="shared" si="18"/>
        <v>0</v>
      </c>
      <c r="K131" s="361">
        <f t="shared" si="19"/>
        <v>0</v>
      </c>
      <c r="L131" s="31">
        <f>IF(OR(D131="SI",D131="Sí"),VLOOKUP(A131,DATA!$A$4:$G$350,7,0),0)</f>
        <v>0</v>
      </c>
      <c r="M131" s="31">
        <f>IF(OR(D131="SI",D131="Sí"),VLOOKUP(A131,DATA!$A$4:$H$350,8,0),0)</f>
        <v>0</v>
      </c>
      <c r="N131" s="361">
        <f t="shared" si="20"/>
        <v>0</v>
      </c>
      <c r="O131" s="361">
        <f t="shared" si="27"/>
        <v>0</v>
      </c>
      <c r="P131" s="361">
        <f t="shared" si="21"/>
        <v>0</v>
      </c>
      <c r="Q131" s="31">
        <f>IF(OR(D131="SI",D131="Sí"),VLOOKUP(A131,DATA!$A$4:$P$350,14,0),0)</f>
        <v>0</v>
      </c>
      <c r="R131" s="121">
        <f t="shared" si="28"/>
        <v>0</v>
      </c>
      <c r="S131" s="31">
        <f>IF(AND(R131&gt;0,R131&lt;$R$7),ROUND(($R$7-R131)*G131,PARAMETROS!$L$8),0)</f>
        <v>0</v>
      </c>
      <c r="T131" s="122">
        <f t="shared" si="22"/>
        <v>0</v>
      </c>
      <c r="U131" s="117">
        <f t="shared" si="23"/>
        <v>0</v>
      </c>
      <c r="V131" s="117">
        <f>VLOOKUP(A131,DATA!$A$4:$V$350,DATA!$V$1,0)</f>
        <v>0</v>
      </c>
      <c r="W131" s="117">
        <f>VLOOKUP(A131,DATA!$A$4:$V$350,22,0)</f>
        <v>0</v>
      </c>
      <c r="X131" s="96">
        <f t="shared" si="24"/>
        <v>0</v>
      </c>
      <c r="Y131" s="31">
        <f>ROUND(X131*PARAMETROS!$H$35,0)</f>
        <v>0</v>
      </c>
      <c r="Z131" s="31">
        <f t="shared" si="29"/>
        <v>0</v>
      </c>
      <c r="AA131" s="31">
        <f t="shared" si="30"/>
        <v>0</v>
      </c>
      <c r="AB131" s="31">
        <f t="shared" si="31"/>
        <v>0</v>
      </c>
      <c r="AC131" s="31">
        <f t="shared" si="31"/>
        <v>0</v>
      </c>
      <c r="AD131" s="38">
        <f t="shared" si="32"/>
        <v>0</v>
      </c>
    </row>
    <row r="132" spans="1:30" ht="3" customHeight="1" x14ac:dyDescent="0.25">
      <c r="A132">
        <v>7203</v>
      </c>
      <c r="B132">
        <v>7402</v>
      </c>
      <c r="C132" t="s">
        <v>167</v>
      </c>
      <c r="D132" s="6" t="str">
        <f>+DATA!U128</f>
        <v>No</v>
      </c>
      <c r="E132" s="361">
        <f t="shared" si="17"/>
        <v>0</v>
      </c>
      <c r="F132" s="95">
        <f t="shared" si="25"/>
        <v>0</v>
      </c>
      <c r="G132" s="31">
        <f>IF(OR(D132="SI",D132="Sí"),VLOOKUP(A132,DATA!$A$4:$D$350,4,0),0)</f>
        <v>0</v>
      </c>
      <c r="H132" s="95">
        <f>IF(OR(D132="SI",D132="Sí"),VLOOKUP(A132,DATA!$A$4:$E$350,5,0),0)</f>
        <v>0</v>
      </c>
      <c r="I132" s="31">
        <f t="shared" si="26"/>
        <v>0</v>
      </c>
      <c r="J132" s="361">
        <f t="shared" si="18"/>
        <v>0</v>
      </c>
      <c r="K132" s="361">
        <f t="shared" si="19"/>
        <v>0</v>
      </c>
      <c r="L132" s="31">
        <f>IF(OR(D132="SI",D132="Sí"),VLOOKUP(A132,DATA!$A$4:$G$350,7,0),0)</f>
        <v>0</v>
      </c>
      <c r="M132" s="31">
        <f>IF(OR(D132="SI",D132="Sí"),VLOOKUP(A132,DATA!$A$4:$H$350,8,0),0)</f>
        <v>0</v>
      </c>
      <c r="N132" s="361">
        <f t="shared" si="20"/>
        <v>0</v>
      </c>
      <c r="O132" s="361">
        <f t="shared" si="27"/>
        <v>0</v>
      </c>
      <c r="P132" s="361">
        <f t="shared" si="21"/>
        <v>0</v>
      </c>
      <c r="Q132" s="31">
        <f>IF(OR(D132="SI",D132="Sí"),VLOOKUP(A132,DATA!$A$4:$P$350,14,0),0)</f>
        <v>0</v>
      </c>
      <c r="R132" s="121">
        <f t="shared" si="28"/>
        <v>0</v>
      </c>
      <c r="S132" s="31">
        <f>IF(AND(R132&gt;0,R132&lt;$R$7),ROUND(($R$7-R132)*G132,PARAMETROS!$L$8),0)</f>
        <v>0</v>
      </c>
      <c r="T132" s="122">
        <f t="shared" si="22"/>
        <v>0</v>
      </c>
      <c r="U132" s="117">
        <f t="shared" si="23"/>
        <v>0</v>
      </c>
      <c r="V132" s="117">
        <f>VLOOKUP(A132,DATA!$A$4:$V$350,DATA!$V$1,0)</f>
        <v>0</v>
      </c>
      <c r="W132" s="117">
        <f>VLOOKUP(A132,DATA!$A$4:$V$350,22,0)</f>
        <v>0</v>
      </c>
      <c r="X132" s="96">
        <f t="shared" si="24"/>
        <v>0</v>
      </c>
      <c r="Y132" s="31">
        <f>ROUND(X132*PARAMETROS!$H$35,0)</f>
        <v>0</v>
      </c>
      <c r="Z132" s="31">
        <f t="shared" si="29"/>
        <v>0</v>
      </c>
      <c r="AA132" s="31">
        <f t="shared" si="30"/>
        <v>0</v>
      </c>
      <c r="AB132" s="31">
        <f t="shared" si="31"/>
        <v>0</v>
      </c>
      <c r="AC132" s="31">
        <f t="shared" si="31"/>
        <v>0</v>
      </c>
      <c r="AD132" s="38">
        <f t="shared" si="32"/>
        <v>0</v>
      </c>
    </row>
    <row r="133" spans="1:30" ht="3" customHeight="1" x14ac:dyDescent="0.25">
      <c r="A133">
        <v>7301</v>
      </c>
      <c r="B133">
        <v>7101</v>
      </c>
      <c r="C133" t="s">
        <v>389</v>
      </c>
      <c r="D133" s="6" t="str">
        <f>+DATA!U129</f>
        <v>No</v>
      </c>
      <c r="E133" s="361">
        <f t="shared" si="17"/>
        <v>0</v>
      </c>
      <c r="F133" s="95">
        <f t="shared" si="25"/>
        <v>0</v>
      </c>
      <c r="G133" s="31">
        <f>IF(OR(D133="SI",D133="Sí"),VLOOKUP(A133,DATA!$A$4:$D$350,4,0),0)</f>
        <v>0</v>
      </c>
      <c r="H133" s="95">
        <f>IF(OR(D133="SI",D133="Sí"),VLOOKUP(A133,DATA!$A$4:$E$350,5,0),0)</f>
        <v>0</v>
      </c>
      <c r="I133" s="31">
        <f t="shared" si="26"/>
        <v>0</v>
      </c>
      <c r="J133" s="361">
        <f t="shared" si="18"/>
        <v>0</v>
      </c>
      <c r="K133" s="361">
        <f t="shared" si="19"/>
        <v>0</v>
      </c>
      <c r="L133" s="31">
        <f>IF(OR(D133="SI",D133="Sí"),VLOOKUP(A133,DATA!$A$4:$G$350,7,0),0)</f>
        <v>0</v>
      </c>
      <c r="M133" s="31">
        <f>IF(OR(D133="SI",D133="Sí"),VLOOKUP(A133,DATA!$A$4:$H$350,8,0),0)</f>
        <v>0</v>
      </c>
      <c r="N133" s="361">
        <f t="shared" si="20"/>
        <v>0</v>
      </c>
      <c r="O133" s="361">
        <f t="shared" si="27"/>
        <v>0</v>
      </c>
      <c r="P133" s="361">
        <f t="shared" si="21"/>
        <v>0</v>
      </c>
      <c r="Q133" s="31">
        <f>IF(OR(D133="SI",D133="Sí"),VLOOKUP(A133,DATA!$A$4:$P$350,14,0),0)</f>
        <v>0</v>
      </c>
      <c r="R133" s="121">
        <f t="shared" si="28"/>
        <v>0</v>
      </c>
      <c r="S133" s="31">
        <f>IF(AND(R133&gt;0,R133&lt;$R$7),ROUND(($R$7-R133)*G133,PARAMETROS!$L$8),0)</f>
        <v>0</v>
      </c>
      <c r="T133" s="122">
        <f t="shared" si="22"/>
        <v>0</v>
      </c>
      <c r="U133" s="117">
        <f t="shared" si="23"/>
        <v>0</v>
      </c>
      <c r="V133" s="117">
        <f>VLOOKUP(A133,DATA!$A$4:$V$350,DATA!$V$1,0)</f>
        <v>0</v>
      </c>
      <c r="W133" s="117">
        <f>VLOOKUP(A133,DATA!$A$4:$V$350,22,0)</f>
        <v>0</v>
      </c>
      <c r="X133" s="96">
        <f t="shared" si="24"/>
        <v>0</v>
      </c>
      <c r="Y133" s="31">
        <f>ROUND(X133*PARAMETROS!$H$35,0)</f>
        <v>0</v>
      </c>
      <c r="Z133" s="31">
        <f t="shared" si="29"/>
        <v>0</v>
      </c>
      <c r="AA133" s="31">
        <f t="shared" si="30"/>
        <v>0</v>
      </c>
      <c r="AB133" s="31">
        <f t="shared" si="31"/>
        <v>0</v>
      </c>
      <c r="AC133" s="31">
        <f t="shared" si="31"/>
        <v>0</v>
      </c>
      <c r="AD133" s="38">
        <f t="shared" si="32"/>
        <v>0</v>
      </c>
    </row>
    <row r="134" spans="1:30" ht="3" customHeight="1" x14ac:dyDescent="0.25">
      <c r="A134">
        <v>7302</v>
      </c>
      <c r="B134">
        <v>7107</v>
      </c>
      <c r="C134" t="s">
        <v>390</v>
      </c>
      <c r="D134" s="6" t="str">
        <f>+DATA!U130</f>
        <v>No</v>
      </c>
      <c r="E134" s="361">
        <f t="shared" si="17"/>
        <v>0</v>
      </c>
      <c r="F134" s="95">
        <f t="shared" si="25"/>
        <v>0</v>
      </c>
      <c r="G134" s="31">
        <f>IF(OR(D134="SI",D134="Sí"),VLOOKUP(A134,DATA!$A$4:$D$350,4,0),0)</f>
        <v>0</v>
      </c>
      <c r="H134" s="95">
        <f>IF(OR(D134="SI",D134="Sí"),VLOOKUP(A134,DATA!$A$4:$E$350,5,0),0)</f>
        <v>0</v>
      </c>
      <c r="I134" s="31">
        <f t="shared" si="26"/>
        <v>0</v>
      </c>
      <c r="J134" s="361">
        <f t="shared" si="18"/>
        <v>0</v>
      </c>
      <c r="K134" s="361">
        <f t="shared" si="19"/>
        <v>0</v>
      </c>
      <c r="L134" s="31">
        <f>IF(OR(D134="SI",D134="Sí"),VLOOKUP(A134,DATA!$A$4:$G$350,7,0),0)</f>
        <v>0</v>
      </c>
      <c r="M134" s="31">
        <f>IF(OR(D134="SI",D134="Sí"),VLOOKUP(A134,DATA!$A$4:$H$350,8,0),0)</f>
        <v>0</v>
      </c>
      <c r="N134" s="361">
        <f t="shared" si="20"/>
        <v>0</v>
      </c>
      <c r="O134" s="361">
        <f t="shared" si="27"/>
        <v>0</v>
      </c>
      <c r="P134" s="361">
        <f t="shared" si="21"/>
        <v>0</v>
      </c>
      <c r="Q134" s="31">
        <f>IF(OR(D134="SI",D134="Sí"),VLOOKUP(A134,DATA!$A$4:$P$350,14,0),0)</f>
        <v>0</v>
      </c>
      <c r="R134" s="121">
        <f t="shared" si="28"/>
        <v>0</v>
      </c>
      <c r="S134" s="31">
        <f>IF(AND(R134&gt;0,R134&lt;$R$7),ROUND(($R$7-R134)*G134,PARAMETROS!$L$8),0)</f>
        <v>0</v>
      </c>
      <c r="T134" s="122">
        <f t="shared" si="22"/>
        <v>0</v>
      </c>
      <c r="U134" s="117">
        <f t="shared" si="23"/>
        <v>0</v>
      </c>
      <c r="V134" s="117">
        <f>VLOOKUP(A134,DATA!$A$4:$V$350,DATA!$V$1,0)</f>
        <v>0</v>
      </c>
      <c r="W134" s="117">
        <f>VLOOKUP(A134,DATA!$A$4:$V$350,22,0)</f>
        <v>0</v>
      </c>
      <c r="X134" s="96">
        <f t="shared" si="24"/>
        <v>0</v>
      </c>
      <c r="Y134" s="31">
        <f>ROUND(X134*PARAMETROS!$H$35,0)</f>
        <v>0</v>
      </c>
      <c r="Z134" s="31">
        <f t="shared" si="29"/>
        <v>0</v>
      </c>
      <c r="AA134" s="31">
        <f t="shared" si="30"/>
        <v>0</v>
      </c>
      <c r="AB134" s="31">
        <f t="shared" si="31"/>
        <v>0</v>
      </c>
      <c r="AC134" s="31">
        <f t="shared" si="31"/>
        <v>0</v>
      </c>
      <c r="AD134" s="38">
        <f t="shared" si="32"/>
        <v>0</v>
      </c>
    </row>
    <row r="135" spans="1:30" ht="3" customHeight="1" x14ac:dyDescent="0.25">
      <c r="A135">
        <v>7303</v>
      </c>
      <c r="B135">
        <v>7105</v>
      </c>
      <c r="C135" t="s">
        <v>391</v>
      </c>
      <c r="D135" s="6" t="str">
        <f>+DATA!U131</f>
        <v>No</v>
      </c>
      <c r="E135" s="361">
        <f t="shared" si="17"/>
        <v>0</v>
      </c>
      <c r="F135" s="95">
        <f t="shared" si="25"/>
        <v>0</v>
      </c>
      <c r="G135" s="31">
        <f>IF(OR(D135="SI",D135="Sí"),VLOOKUP(A135,DATA!$A$4:$D$350,4,0),0)</f>
        <v>0</v>
      </c>
      <c r="H135" s="95">
        <f>IF(OR(D135="SI",D135="Sí"),VLOOKUP(A135,DATA!$A$4:$E$350,5,0),0)</f>
        <v>0</v>
      </c>
      <c r="I135" s="31">
        <f t="shared" si="26"/>
        <v>0</v>
      </c>
      <c r="J135" s="361">
        <f t="shared" si="18"/>
        <v>0</v>
      </c>
      <c r="K135" s="361">
        <f t="shared" si="19"/>
        <v>0</v>
      </c>
      <c r="L135" s="31">
        <f>IF(OR(D135="SI",D135="Sí"),VLOOKUP(A135,DATA!$A$4:$G$350,7,0),0)</f>
        <v>0</v>
      </c>
      <c r="M135" s="31">
        <f>IF(OR(D135="SI",D135="Sí"),VLOOKUP(A135,DATA!$A$4:$H$350,8,0),0)</f>
        <v>0</v>
      </c>
      <c r="N135" s="361">
        <f t="shared" si="20"/>
        <v>0</v>
      </c>
      <c r="O135" s="361">
        <f t="shared" si="27"/>
        <v>0</v>
      </c>
      <c r="P135" s="361">
        <f t="shared" si="21"/>
        <v>0</v>
      </c>
      <c r="Q135" s="31">
        <f>IF(OR(D135="SI",D135="Sí"),VLOOKUP(A135,DATA!$A$4:$P$350,14,0),0)</f>
        <v>0</v>
      </c>
      <c r="R135" s="121">
        <f t="shared" si="28"/>
        <v>0</v>
      </c>
      <c r="S135" s="31">
        <f>IF(AND(R135&gt;0,R135&lt;$R$7),ROUND(($R$7-R135)*G135,PARAMETROS!$L$8),0)</f>
        <v>0</v>
      </c>
      <c r="T135" s="122">
        <f t="shared" si="22"/>
        <v>0</v>
      </c>
      <c r="U135" s="117">
        <f t="shared" si="23"/>
        <v>0</v>
      </c>
      <c r="V135" s="117">
        <f>VLOOKUP(A135,DATA!$A$4:$V$350,DATA!$V$1,0)</f>
        <v>0</v>
      </c>
      <c r="W135" s="117">
        <f>VLOOKUP(A135,DATA!$A$4:$V$350,22,0)</f>
        <v>0</v>
      </c>
      <c r="X135" s="96">
        <f t="shared" si="24"/>
        <v>0</v>
      </c>
      <c r="Y135" s="31">
        <f>ROUND(X135*PARAMETROS!$H$35,0)</f>
        <v>0</v>
      </c>
      <c r="Z135" s="31">
        <f t="shared" si="29"/>
        <v>0</v>
      </c>
      <c r="AA135" s="31">
        <f t="shared" si="30"/>
        <v>0</v>
      </c>
      <c r="AB135" s="31">
        <f t="shared" si="31"/>
        <v>0</v>
      </c>
      <c r="AC135" s="31">
        <f t="shared" si="31"/>
        <v>0</v>
      </c>
      <c r="AD135" s="38">
        <f t="shared" si="32"/>
        <v>0</v>
      </c>
    </row>
    <row r="136" spans="1:30" ht="3" customHeight="1" x14ac:dyDescent="0.25">
      <c r="A136">
        <v>7304</v>
      </c>
      <c r="B136">
        <v>7108</v>
      </c>
      <c r="C136" t="s">
        <v>150</v>
      </c>
      <c r="D136" s="6" t="str">
        <f>+DATA!U132</f>
        <v>No</v>
      </c>
      <c r="E136" s="361">
        <f t="shared" si="17"/>
        <v>0</v>
      </c>
      <c r="F136" s="95">
        <f t="shared" si="25"/>
        <v>0</v>
      </c>
      <c r="G136" s="31">
        <f>IF(OR(D136="SI",D136="Sí"),VLOOKUP(A136,DATA!$A$4:$D$350,4,0),0)</f>
        <v>0</v>
      </c>
      <c r="H136" s="95">
        <f>IF(OR(D136="SI",D136="Sí"),VLOOKUP(A136,DATA!$A$4:$E$350,5,0),0)</f>
        <v>0</v>
      </c>
      <c r="I136" s="31">
        <f t="shared" si="26"/>
        <v>0</v>
      </c>
      <c r="J136" s="361">
        <f t="shared" si="18"/>
        <v>0</v>
      </c>
      <c r="K136" s="361">
        <f t="shared" si="19"/>
        <v>0</v>
      </c>
      <c r="L136" s="31">
        <f>IF(OR(D136="SI",D136="Sí"),VLOOKUP(A136,DATA!$A$4:$G$350,7,0),0)</f>
        <v>0</v>
      </c>
      <c r="M136" s="31">
        <f>IF(OR(D136="SI",D136="Sí"),VLOOKUP(A136,DATA!$A$4:$H$350,8,0),0)</f>
        <v>0</v>
      </c>
      <c r="N136" s="361">
        <f t="shared" si="20"/>
        <v>0</v>
      </c>
      <c r="O136" s="361">
        <f t="shared" si="27"/>
        <v>0</v>
      </c>
      <c r="P136" s="361">
        <f t="shared" si="21"/>
        <v>0</v>
      </c>
      <c r="Q136" s="31">
        <f>IF(OR(D136="SI",D136="Sí"),VLOOKUP(A136,DATA!$A$4:$P$350,14,0),0)</f>
        <v>0</v>
      </c>
      <c r="R136" s="121">
        <f t="shared" si="28"/>
        <v>0</v>
      </c>
      <c r="S136" s="31">
        <f>IF(AND(R136&gt;0,R136&lt;$R$7),ROUND(($R$7-R136)*G136,PARAMETROS!$L$8),0)</f>
        <v>0</v>
      </c>
      <c r="T136" s="122">
        <f t="shared" si="22"/>
        <v>0</v>
      </c>
      <c r="U136" s="117">
        <f t="shared" si="23"/>
        <v>0</v>
      </c>
      <c r="V136" s="117">
        <f>VLOOKUP(A136,DATA!$A$4:$V$350,DATA!$V$1,0)</f>
        <v>0</v>
      </c>
      <c r="W136" s="117">
        <f>VLOOKUP(A136,DATA!$A$4:$V$350,22,0)</f>
        <v>0</v>
      </c>
      <c r="X136" s="96">
        <f t="shared" si="24"/>
        <v>0</v>
      </c>
      <c r="Y136" s="31">
        <f>ROUND(X136*PARAMETROS!$H$35,0)</f>
        <v>0</v>
      </c>
      <c r="Z136" s="31">
        <f t="shared" si="29"/>
        <v>0</v>
      </c>
      <c r="AA136" s="31">
        <f t="shared" si="30"/>
        <v>0</v>
      </c>
      <c r="AB136" s="31">
        <f t="shared" si="31"/>
        <v>0</v>
      </c>
      <c r="AC136" s="31">
        <f t="shared" si="31"/>
        <v>0</v>
      </c>
      <c r="AD136" s="38">
        <f t="shared" si="32"/>
        <v>0</v>
      </c>
    </row>
    <row r="137" spans="1:30" ht="3" customHeight="1" x14ac:dyDescent="0.25">
      <c r="A137">
        <v>7305</v>
      </c>
      <c r="B137">
        <v>7104</v>
      </c>
      <c r="C137" t="s">
        <v>149</v>
      </c>
      <c r="D137" s="6" t="str">
        <f>+DATA!U133</f>
        <v>No</v>
      </c>
      <c r="E137" s="361">
        <f t="shared" ref="E137:E200" si="33">IF(OR(D137="SI",D137="Sí"),ROUND(1/$D$7,DEC),0)</f>
        <v>0</v>
      </c>
      <c r="F137" s="95">
        <f t="shared" si="25"/>
        <v>0</v>
      </c>
      <c r="G137" s="31">
        <f>IF(OR(D137="SI",D137="Sí"),VLOOKUP(A137,DATA!$A$4:$D$350,4,0),0)</f>
        <v>0</v>
      </c>
      <c r="H137" s="95">
        <f>IF(OR(D137="SI",D137="Sí"),VLOOKUP(A137,DATA!$A$4:$E$350,5,0),0)</f>
        <v>0</v>
      </c>
      <c r="I137" s="31">
        <f t="shared" si="26"/>
        <v>0</v>
      </c>
      <c r="J137" s="361">
        <f t="shared" ref="J137:J200" si="34">ROUND(I137/$I$7,DEC)</f>
        <v>0</v>
      </c>
      <c r="K137" s="361">
        <f t="shared" ref="K137:K200" si="35">ROUND(J137*$K$7,DEC)</f>
        <v>0</v>
      </c>
      <c r="L137" s="31">
        <f>IF(OR(D137="SI",D137="Sí"),VLOOKUP(A137,DATA!$A$4:$G$350,7,0),0)</f>
        <v>0</v>
      </c>
      <c r="M137" s="31">
        <f>IF(OR(D137="SI",D137="Sí"),VLOOKUP(A137,DATA!$A$4:$H$350,8,0),0)</f>
        <v>0</v>
      </c>
      <c r="N137" s="361">
        <f t="shared" ref="N137:N200" si="36">IF(M137=0,0,ROUND((L137/$L$7)*(L137/M137),DEC))</f>
        <v>0</v>
      </c>
      <c r="O137" s="361">
        <f t="shared" si="27"/>
        <v>0</v>
      </c>
      <c r="P137" s="361">
        <f t="shared" ref="P137:P200" si="37">ROUND(O137*$P$7,DEC)</f>
        <v>0</v>
      </c>
      <c r="Q137" s="31">
        <f>IF(OR(D137="SI",D137="Sí"),VLOOKUP(A137,DATA!$A$4:$P$350,14,0),0)</f>
        <v>0</v>
      </c>
      <c r="R137" s="121">
        <f t="shared" si="28"/>
        <v>0</v>
      </c>
      <c r="S137" s="31">
        <f>IF(AND(R137&gt;0,R137&lt;$R$7),ROUND(($R$7-R137)*G137,PARAMETROS!$L$8),0)</f>
        <v>0</v>
      </c>
      <c r="T137" s="122">
        <f t="shared" ref="T137:T200" si="38">ROUND(S137/$S$7,DEC)</f>
        <v>0</v>
      </c>
      <c r="U137" s="117">
        <f t="shared" ref="U137:U200" si="39">ROUND(T137*$U$7,DEC)</f>
        <v>0</v>
      </c>
      <c r="V137" s="117">
        <f>VLOOKUP(A137,DATA!$A$4:$V$350,DATA!$V$1,0)</f>
        <v>0</v>
      </c>
      <c r="W137" s="117">
        <f>VLOOKUP(A137,DATA!$A$4:$V$350,22,0)</f>
        <v>0</v>
      </c>
      <c r="X137" s="96">
        <f t="shared" ref="X137:X200" si="40">+F137+K137+P137+U137+W137</f>
        <v>0</v>
      </c>
      <c r="Y137" s="31">
        <f>ROUND(X137*PARAMETROS!$H$35,0)</f>
        <v>0</v>
      </c>
      <c r="Z137" s="31">
        <f t="shared" si="29"/>
        <v>0</v>
      </c>
      <c r="AA137" s="31">
        <f t="shared" si="30"/>
        <v>0</v>
      </c>
      <c r="AB137" s="31">
        <f t="shared" si="31"/>
        <v>0</v>
      </c>
      <c r="AC137" s="31">
        <f t="shared" si="31"/>
        <v>0</v>
      </c>
      <c r="AD137" s="38">
        <f t="shared" si="32"/>
        <v>0</v>
      </c>
    </row>
    <row r="138" spans="1:30" ht="3" customHeight="1" x14ac:dyDescent="0.25">
      <c r="A138">
        <v>7306</v>
      </c>
      <c r="B138">
        <v>7103</v>
      </c>
      <c r="C138" t="s">
        <v>148</v>
      </c>
      <c r="D138" s="6" t="str">
        <f>+DATA!U134</f>
        <v>No</v>
      </c>
      <c r="E138" s="361">
        <f t="shared" si="33"/>
        <v>0</v>
      </c>
      <c r="F138" s="95">
        <f t="shared" ref="F138:F201" si="41">+E138*$F$7</f>
        <v>0</v>
      </c>
      <c r="G138" s="31">
        <f>IF(OR(D138="SI",D138="Sí"),VLOOKUP(A138,DATA!$A$4:$D$350,4,0),0)</f>
        <v>0</v>
      </c>
      <c r="H138" s="95">
        <f>IF(OR(D138="SI",D138="Sí"),VLOOKUP(A138,DATA!$A$4:$E$350,5,0),0)</f>
        <v>0</v>
      </c>
      <c r="I138" s="31">
        <f t="shared" ref="I138:I201" si="42">ROUND(G138*H138,0)</f>
        <v>0</v>
      </c>
      <c r="J138" s="361">
        <f t="shared" si="34"/>
        <v>0</v>
      </c>
      <c r="K138" s="361">
        <f t="shared" si="35"/>
        <v>0</v>
      </c>
      <c r="L138" s="31">
        <f>IF(OR(D138="SI",D138="Sí"),VLOOKUP(A138,DATA!$A$4:$G$350,7,0),0)</f>
        <v>0</v>
      </c>
      <c r="M138" s="31">
        <f>IF(OR(D138="SI",D138="Sí"),VLOOKUP(A138,DATA!$A$4:$H$350,8,0),0)</f>
        <v>0</v>
      </c>
      <c r="N138" s="361">
        <f t="shared" si="36"/>
        <v>0</v>
      </c>
      <c r="O138" s="361">
        <f t="shared" ref="O138:O201" si="43">+N138/$N$7</f>
        <v>0</v>
      </c>
      <c r="P138" s="361">
        <f t="shared" si="37"/>
        <v>0</v>
      </c>
      <c r="Q138" s="31">
        <f>IF(OR(D138="SI",D138="Sí"),VLOOKUP(A138,DATA!$A$4:$P$350,14,0),0)</f>
        <v>0</v>
      </c>
      <c r="R138" s="121">
        <f t="shared" ref="R138:R201" si="44">IFERROR(ROUND(Q138/G138,2),0)</f>
        <v>0</v>
      </c>
      <c r="S138" s="31">
        <f>IF(AND(R138&gt;0,R138&lt;$R$7),ROUND(($R$7-R138)*G138,PARAMETROS!$L$8),0)</f>
        <v>0</v>
      </c>
      <c r="T138" s="122">
        <f t="shared" si="38"/>
        <v>0</v>
      </c>
      <c r="U138" s="117">
        <f t="shared" si="39"/>
        <v>0</v>
      </c>
      <c r="V138" s="117">
        <f>VLOOKUP(A138,DATA!$A$4:$V$350,DATA!$V$1,0)</f>
        <v>0</v>
      </c>
      <c r="W138" s="117">
        <f>VLOOKUP(A138,DATA!$A$4:$V$350,22,0)</f>
        <v>0</v>
      </c>
      <c r="X138" s="96">
        <f t="shared" si="40"/>
        <v>0</v>
      </c>
      <c r="Y138" s="31">
        <f>ROUND(X138*PARAMETROS!$H$35,0)</f>
        <v>0</v>
      </c>
      <c r="Z138" s="31">
        <f t="shared" ref="Z138:Z201" si="45">IF(Y138=$Z$6,Y138+$Z$5,Y138)</f>
        <v>0</v>
      </c>
      <c r="AA138" s="31">
        <f t="shared" ref="AA138:AA201" si="46">ROUND(Z138/4,0)</f>
        <v>0</v>
      </c>
      <c r="AB138" s="31">
        <f t="shared" ref="AB138:AC201" si="47">+AA138</f>
        <v>0</v>
      </c>
      <c r="AC138" s="31">
        <f t="shared" si="47"/>
        <v>0</v>
      </c>
      <c r="AD138" s="38">
        <f t="shared" ref="AD138:AD201" si="48">+Z138-AA138-AB138-AC138</f>
        <v>0</v>
      </c>
    </row>
    <row r="139" spans="1:30" ht="3" customHeight="1" x14ac:dyDescent="0.25">
      <c r="A139">
        <v>7307</v>
      </c>
      <c r="B139">
        <v>7109</v>
      </c>
      <c r="C139" t="s">
        <v>151</v>
      </c>
      <c r="D139" s="6" t="str">
        <f>+DATA!U135</f>
        <v>No</v>
      </c>
      <c r="E139" s="361">
        <f t="shared" si="33"/>
        <v>0</v>
      </c>
      <c r="F139" s="95">
        <f t="shared" si="41"/>
        <v>0</v>
      </c>
      <c r="G139" s="31">
        <f>IF(OR(D139="SI",D139="Sí"),VLOOKUP(A139,DATA!$A$4:$D$350,4,0),0)</f>
        <v>0</v>
      </c>
      <c r="H139" s="95">
        <f>IF(OR(D139="SI",D139="Sí"),VLOOKUP(A139,DATA!$A$4:$E$350,5,0),0)</f>
        <v>0</v>
      </c>
      <c r="I139" s="31">
        <f t="shared" si="42"/>
        <v>0</v>
      </c>
      <c r="J139" s="361">
        <f t="shared" si="34"/>
        <v>0</v>
      </c>
      <c r="K139" s="361">
        <f t="shared" si="35"/>
        <v>0</v>
      </c>
      <c r="L139" s="31">
        <f>IF(OR(D139="SI",D139="Sí"),VLOOKUP(A139,DATA!$A$4:$G$350,7,0),0)</f>
        <v>0</v>
      </c>
      <c r="M139" s="31">
        <f>IF(OR(D139="SI",D139="Sí"),VLOOKUP(A139,DATA!$A$4:$H$350,8,0),0)</f>
        <v>0</v>
      </c>
      <c r="N139" s="361">
        <f t="shared" si="36"/>
        <v>0</v>
      </c>
      <c r="O139" s="361">
        <f t="shared" si="43"/>
        <v>0</v>
      </c>
      <c r="P139" s="361">
        <f t="shared" si="37"/>
        <v>0</v>
      </c>
      <c r="Q139" s="31">
        <f>IF(OR(D139="SI",D139="Sí"),VLOOKUP(A139,DATA!$A$4:$P$350,14,0),0)</f>
        <v>0</v>
      </c>
      <c r="R139" s="121">
        <f t="shared" si="44"/>
        <v>0</v>
      </c>
      <c r="S139" s="31">
        <f>IF(AND(R139&gt;0,R139&lt;$R$7),ROUND(($R$7-R139)*G139,PARAMETROS!$L$8),0)</f>
        <v>0</v>
      </c>
      <c r="T139" s="122">
        <f t="shared" si="38"/>
        <v>0</v>
      </c>
      <c r="U139" s="117">
        <f t="shared" si="39"/>
        <v>0</v>
      </c>
      <c r="V139" s="117">
        <f>VLOOKUP(A139,DATA!$A$4:$V$350,DATA!$V$1,0)</f>
        <v>0</v>
      </c>
      <c r="W139" s="117">
        <f>VLOOKUP(A139,DATA!$A$4:$V$350,22,0)</f>
        <v>0</v>
      </c>
      <c r="X139" s="96">
        <f t="shared" si="40"/>
        <v>0</v>
      </c>
      <c r="Y139" s="31">
        <f>ROUND(X139*PARAMETROS!$H$35,0)</f>
        <v>0</v>
      </c>
      <c r="Z139" s="31">
        <f t="shared" si="45"/>
        <v>0</v>
      </c>
      <c r="AA139" s="31">
        <f t="shared" si="46"/>
        <v>0</v>
      </c>
      <c r="AB139" s="31">
        <f t="shared" si="47"/>
        <v>0</v>
      </c>
      <c r="AC139" s="31">
        <f t="shared" si="47"/>
        <v>0</v>
      </c>
      <c r="AD139" s="38">
        <f t="shared" si="48"/>
        <v>0</v>
      </c>
    </row>
    <row r="140" spans="1:30" ht="3" customHeight="1" x14ac:dyDescent="0.25">
      <c r="A140">
        <v>7308</v>
      </c>
      <c r="B140">
        <v>7102</v>
      </c>
      <c r="C140" t="s">
        <v>147</v>
      </c>
      <c r="D140" s="6" t="str">
        <f>+DATA!U136</f>
        <v>No</v>
      </c>
      <c r="E140" s="361">
        <f t="shared" si="33"/>
        <v>0</v>
      </c>
      <c r="F140" s="95">
        <f t="shared" si="41"/>
        <v>0</v>
      </c>
      <c r="G140" s="31">
        <f>IF(OR(D140="SI",D140="Sí"),VLOOKUP(A140,DATA!$A$4:$D$350,4,0),0)</f>
        <v>0</v>
      </c>
      <c r="H140" s="95">
        <f>IF(OR(D140="SI",D140="Sí"),VLOOKUP(A140,DATA!$A$4:$E$350,5,0),0)</f>
        <v>0</v>
      </c>
      <c r="I140" s="31">
        <f t="shared" si="42"/>
        <v>0</v>
      </c>
      <c r="J140" s="361">
        <f t="shared" si="34"/>
        <v>0</v>
      </c>
      <c r="K140" s="361">
        <f t="shared" si="35"/>
        <v>0</v>
      </c>
      <c r="L140" s="31">
        <f>IF(OR(D140="SI",D140="Sí"),VLOOKUP(A140,DATA!$A$4:$G$350,7,0),0)</f>
        <v>0</v>
      </c>
      <c r="M140" s="31">
        <f>IF(OR(D140="SI",D140="Sí"),VLOOKUP(A140,DATA!$A$4:$H$350,8,0),0)</f>
        <v>0</v>
      </c>
      <c r="N140" s="361">
        <f t="shared" si="36"/>
        <v>0</v>
      </c>
      <c r="O140" s="361">
        <f t="shared" si="43"/>
        <v>0</v>
      </c>
      <c r="P140" s="361">
        <f t="shared" si="37"/>
        <v>0</v>
      </c>
      <c r="Q140" s="31">
        <f>IF(OR(D140="SI",D140="Sí"),VLOOKUP(A140,DATA!$A$4:$P$350,14,0),0)</f>
        <v>0</v>
      </c>
      <c r="R140" s="121">
        <f t="shared" si="44"/>
        <v>0</v>
      </c>
      <c r="S140" s="31">
        <f>IF(AND(R140&gt;0,R140&lt;$R$7),ROUND(($R$7-R140)*G140,PARAMETROS!$L$8),0)</f>
        <v>0</v>
      </c>
      <c r="T140" s="122">
        <f t="shared" si="38"/>
        <v>0</v>
      </c>
      <c r="U140" s="117">
        <f t="shared" si="39"/>
        <v>0</v>
      </c>
      <c r="V140" s="117">
        <f>VLOOKUP(A140,DATA!$A$4:$V$350,DATA!$V$1,0)</f>
        <v>0</v>
      </c>
      <c r="W140" s="117">
        <f>VLOOKUP(A140,DATA!$A$4:$V$350,22,0)</f>
        <v>0</v>
      </c>
      <c r="X140" s="96">
        <f t="shared" si="40"/>
        <v>0</v>
      </c>
      <c r="Y140" s="31">
        <f>ROUND(X140*PARAMETROS!$H$35,0)</f>
        <v>0</v>
      </c>
      <c r="Z140" s="31">
        <f t="shared" si="45"/>
        <v>0</v>
      </c>
      <c r="AA140" s="31">
        <f t="shared" si="46"/>
        <v>0</v>
      </c>
      <c r="AB140" s="31">
        <f t="shared" si="47"/>
        <v>0</v>
      </c>
      <c r="AC140" s="31">
        <f t="shared" si="47"/>
        <v>0</v>
      </c>
      <c r="AD140" s="38">
        <f t="shared" si="48"/>
        <v>0</v>
      </c>
    </row>
    <row r="141" spans="1:30" ht="3" customHeight="1" x14ac:dyDescent="0.25">
      <c r="A141">
        <v>7309</v>
      </c>
      <c r="B141">
        <v>7106</v>
      </c>
      <c r="C141" t="s">
        <v>392</v>
      </c>
      <c r="D141" s="6" t="str">
        <f>+DATA!U137</f>
        <v>No</v>
      </c>
      <c r="E141" s="361">
        <f t="shared" si="33"/>
        <v>0</v>
      </c>
      <c r="F141" s="95">
        <f t="shared" si="41"/>
        <v>0</v>
      </c>
      <c r="G141" s="31">
        <f>IF(OR(D141="SI",D141="Sí"),VLOOKUP(A141,DATA!$A$4:$D$350,4,0),0)</f>
        <v>0</v>
      </c>
      <c r="H141" s="95">
        <f>IF(OR(D141="SI",D141="Sí"),VLOOKUP(A141,DATA!$A$4:$E$350,5,0),0)</f>
        <v>0</v>
      </c>
      <c r="I141" s="31">
        <f t="shared" si="42"/>
        <v>0</v>
      </c>
      <c r="J141" s="361">
        <f t="shared" si="34"/>
        <v>0</v>
      </c>
      <c r="K141" s="361">
        <f t="shared" si="35"/>
        <v>0</v>
      </c>
      <c r="L141" s="31">
        <f>IF(OR(D141="SI",D141="Sí"),VLOOKUP(A141,DATA!$A$4:$G$350,7,0),0)</f>
        <v>0</v>
      </c>
      <c r="M141" s="31">
        <f>IF(OR(D141="SI",D141="Sí"),VLOOKUP(A141,DATA!$A$4:$H$350,8,0),0)</f>
        <v>0</v>
      </c>
      <c r="N141" s="361">
        <f t="shared" si="36"/>
        <v>0</v>
      </c>
      <c r="O141" s="361">
        <f t="shared" si="43"/>
        <v>0</v>
      </c>
      <c r="P141" s="361">
        <f t="shared" si="37"/>
        <v>0</v>
      </c>
      <c r="Q141" s="31">
        <f>IF(OR(D141="SI",D141="Sí"),VLOOKUP(A141,DATA!$A$4:$P$350,14,0),0)</f>
        <v>0</v>
      </c>
      <c r="R141" s="121">
        <f t="shared" si="44"/>
        <v>0</v>
      </c>
      <c r="S141" s="31">
        <f>IF(AND(R141&gt;0,R141&lt;$R$7),ROUND(($R$7-R141)*G141,PARAMETROS!$L$8),0)</f>
        <v>0</v>
      </c>
      <c r="T141" s="122">
        <f t="shared" si="38"/>
        <v>0</v>
      </c>
      <c r="U141" s="117">
        <f t="shared" si="39"/>
        <v>0</v>
      </c>
      <c r="V141" s="117">
        <f>VLOOKUP(A141,DATA!$A$4:$V$350,DATA!$V$1,0)</f>
        <v>0</v>
      </c>
      <c r="W141" s="117">
        <f>VLOOKUP(A141,DATA!$A$4:$V$350,22,0)</f>
        <v>0</v>
      </c>
      <c r="X141" s="96">
        <f t="shared" si="40"/>
        <v>0</v>
      </c>
      <c r="Y141" s="31">
        <f>ROUND(X141*PARAMETROS!$H$35,0)</f>
        <v>0</v>
      </c>
      <c r="Z141" s="31">
        <f t="shared" si="45"/>
        <v>0</v>
      </c>
      <c r="AA141" s="31">
        <f t="shared" si="46"/>
        <v>0</v>
      </c>
      <c r="AB141" s="31">
        <f t="shared" si="47"/>
        <v>0</v>
      </c>
      <c r="AC141" s="31">
        <f t="shared" si="47"/>
        <v>0</v>
      </c>
      <c r="AD141" s="38">
        <f t="shared" si="48"/>
        <v>0</v>
      </c>
    </row>
    <row r="142" spans="1:30" ht="3" customHeight="1" x14ac:dyDescent="0.25">
      <c r="A142">
        <v>7401</v>
      </c>
      <c r="B142">
        <v>7301</v>
      </c>
      <c r="C142" t="s">
        <v>160</v>
      </c>
      <c r="D142" s="6" t="str">
        <f>+DATA!U138</f>
        <v>No</v>
      </c>
      <c r="E142" s="361">
        <f t="shared" si="33"/>
        <v>0</v>
      </c>
      <c r="F142" s="95">
        <f t="shared" si="41"/>
        <v>0</v>
      </c>
      <c r="G142" s="31">
        <f>IF(OR(D142="SI",D142="Sí"),VLOOKUP(A142,DATA!$A$4:$D$350,4,0),0)</f>
        <v>0</v>
      </c>
      <c r="H142" s="95">
        <f>IF(OR(D142="SI",D142="Sí"),VLOOKUP(A142,DATA!$A$4:$E$350,5,0),0)</f>
        <v>0</v>
      </c>
      <c r="I142" s="31">
        <f t="shared" si="42"/>
        <v>0</v>
      </c>
      <c r="J142" s="361">
        <f t="shared" si="34"/>
        <v>0</v>
      </c>
      <c r="K142" s="361">
        <f t="shared" si="35"/>
        <v>0</v>
      </c>
      <c r="L142" s="31">
        <f>IF(OR(D142="SI",D142="Sí"),VLOOKUP(A142,DATA!$A$4:$G$350,7,0),0)</f>
        <v>0</v>
      </c>
      <c r="M142" s="31">
        <f>IF(OR(D142="SI",D142="Sí"),VLOOKUP(A142,DATA!$A$4:$H$350,8,0),0)</f>
        <v>0</v>
      </c>
      <c r="N142" s="361">
        <f t="shared" si="36"/>
        <v>0</v>
      </c>
      <c r="O142" s="361">
        <f t="shared" si="43"/>
        <v>0</v>
      </c>
      <c r="P142" s="361">
        <f t="shared" si="37"/>
        <v>0</v>
      </c>
      <c r="Q142" s="31">
        <f>IF(OR(D142="SI",D142="Sí"),VLOOKUP(A142,DATA!$A$4:$P$350,14,0),0)</f>
        <v>0</v>
      </c>
      <c r="R142" s="121">
        <f t="shared" si="44"/>
        <v>0</v>
      </c>
      <c r="S142" s="31">
        <f>IF(AND(R142&gt;0,R142&lt;$R$7),ROUND(($R$7-R142)*G142,PARAMETROS!$L$8),0)</f>
        <v>0</v>
      </c>
      <c r="T142" s="122">
        <f t="shared" si="38"/>
        <v>0</v>
      </c>
      <c r="U142" s="117">
        <f t="shared" si="39"/>
        <v>0</v>
      </c>
      <c r="V142" s="117">
        <f>VLOOKUP(A142,DATA!$A$4:$V$350,DATA!$V$1,0)</f>
        <v>0</v>
      </c>
      <c r="W142" s="117">
        <f>VLOOKUP(A142,DATA!$A$4:$V$350,22,0)</f>
        <v>0</v>
      </c>
      <c r="X142" s="96">
        <f t="shared" si="40"/>
        <v>0</v>
      </c>
      <c r="Y142" s="31">
        <f>ROUND(X142*PARAMETROS!$H$35,0)</f>
        <v>0</v>
      </c>
      <c r="Z142" s="31">
        <f t="shared" si="45"/>
        <v>0</v>
      </c>
      <c r="AA142" s="31">
        <f t="shared" si="46"/>
        <v>0</v>
      </c>
      <c r="AB142" s="31">
        <f t="shared" si="47"/>
        <v>0</v>
      </c>
      <c r="AC142" s="31">
        <f t="shared" si="47"/>
        <v>0</v>
      </c>
      <c r="AD142" s="38">
        <f t="shared" si="48"/>
        <v>0</v>
      </c>
    </row>
    <row r="143" spans="1:30" ht="3" customHeight="1" x14ac:dyDescent="0.25">
      <c r="A143">
        <v>7402</v>
      </c>
      <c r="B143">
        <v>7303</v>
      </c>
      <c r="C143" t="s">
        <v>393</v>
      </c>
      <c r="D143" s="6" t="str">
        <f>+DATA!U139</f>
        <v>No</v>
      </c>
      <c r="E143" s="361">
        <f t="shared" si="33"/>
        <v>0</v>
      </c>
      <c r="F143" s="95">
        <f t="shared" si="41"/>
        <v>0</v>
      </c>
      <c r="G143" s="31">
        <f>IF(OR(D143="SI",D143="Sí"),VLOOKUP(A143,DATA!$A$4:$D$350,4,0),0)</f>
        <v>0</v>
      </c>
      <c r="H143" s="95">
        <f>IF(OR(D143="SI",D143="Sí"),VLOOKUP(A143,DATA!$A$4:$E$350,5,0),0)</f>
        <v>0</v>
      </c>
      <c r="I143" s="31">
        <f t="shared" si="42"/>
        <v>0</v>
      </c>
      <c r="J143" s="361">
        <f t="shared" si="34"/>
        <v>0</v>
      </c>
      <c r="K143" s="361">
        <f t="shared" si="35"/>
        <v>0</v>
      </c>
      <c r="L143" s="31">
        <f>IF(OR(D143="SI",D143="Sí"),VLOOKUP(A143,DATA!$A$4:$G$350,7,0),0)</f>
        <v>0</v>
      </c>
      <c r="M143" s="31">
        <f>IF(OR(D143="SI",D143="Sí"),VLOOKUP(A143,DATA!$A$4:$H$350,8,0),0)</f>
        <v>0</v>
      </c>
      <c r="N143" s="361">
        <f t="shared" si="36"/>
        <v>0</v>
      </c>
      <c r="O143" s="361">
        <f t="shared" si="43"/>
        <v>0</v>
      </c>
      <c r="P143" s="361">
        <f t="shared" si="37"/>
        <v>0</v>
      </c>
      <c r="Q143" s="31">
        <f>IF(OR(D143="SI",D143="Sí"),VLOOKUP(A143,DATA!$A$4:$P$350,14,0),0)</f>
        <v>0</v>
      </c>
      <c r="R143" s="121">
        <f t="shared" si="44"/>
        <v>0</v>
      </c>
      <c r="S143" s="31">
        <f>IF(AND(R143&gt;0,R143&lt;$R$7),ROUND(($R$7-R143)*G143,PARAMETROS!$L$8),0)</f>
        <v>0</v>
      </c>
      <c r="T143" s="122">
        <f t="shared" si="38"/>
        <v>0</v>
      </c>
      <c r="U143" s="117">
        <f t="shared" si="39"/>
        <v>0</v>
      </c>
      <c r="V143" s="117">
        <f>VLOOKUP(A143,DATA!$A$4:$V$350,DATA!$V$1,0)</f>
        <v>0</v>
      </c>
      <c r="W143" s="117">
        <f>VLOOKUP(A143,DATA!$A$4:$V$350,22,0)</f>
        <v>0</v>
      </c>
      <c r="X143" s="96">
        <f t="shared" si="40"/>
        <v>0</v>
      </c>
      <c r="Y143" s="31">
        <f>ROUND(X143*PARAMETROS!$H$35,0)</f>
        <v>0</v>
      </c>
      <c r="Z143" s="31">
        <f t="shared" si="45"/>
        <v>0</v>
      </c>
      <c r="AA143" s="31">
        <f t="shared" si="46"/>
        <v>0</v>
      </c>
      <c r="AB143" s="31">
        <f t="shared" si="47"/>
        <v>0</v>
      </c>
      <c r="AC143" s="31">
        <f t="shared" si="47"/>
        <v>0</v>
      </c>
      <c r="AD143" s="38">
        <f t="shared" si="48"/>
        <v>0</v>
      </c>
    </row>
    <row r="144" spans="1:30" ht="3" customHeight="1" x14ac:dyDescent="0.25">
      <c r="A144">
        <v>7403</v>
      </c>
      <c r="B144">
        <v>7304</v>
      </c>
      <c r="C144" t="s">
        <v>394</v>
      </c>
      <c r="D144" s="6" t="str">
        <f>+DATA!U140</f>
        <v>No</v>
      </c>
      <c r="E144" s="361">
        <f t="shared" si="33"/>
        <v>0</v>
      </c>
      <c r="F144" s="95">
        <f t="shared" si="41"/>
        <v>0</v>
      </c>
      <c r="G144" s="31">
        <f>IF(OR(D144="SI",D144="Sí"),VLOOKUP(A144,DATA!$A$4:$D$350,4,0),0)</f>
        <v>0</v>
      </c>
      <c r="H144" s="95">
        <f>IF(OR(D144="SI",D144="Sí"),VLOOKUP(A144,DATA!$A$4:$E$350,5,0),0)</f>
        <v>0</v>
      </c>
      <c r="I144" s="31">
        <f t="shared" si="42"/>
        <v>0</v>
      </c>
      <c r="J144" s="361">
        <f t="shared" si="34"/>
        <v>0</v>
      </c>
      <c r="K144" s="361">
        <f t="shared" si="35"/>
        <v>0</v>
      </c>
      <c r="L144" s="31">
        <f>IF(OR(D144="SI",D144="Sí"),VLOOKUP(A144,DATA!$A$4:$G$350,7,0),0)</f>
        <v>0</v>
      </c>
      <c r="M144" s="31">
        <f>IF(OR(D144="SI",D144="Sí"),VLOOKUP(A144,DATA!$A$4:$H$350,8,0),0)</f>
        <v>0</v>
      </c>
      <c r="N144" s="361">
        <f t="shared" si="36"/>
        <v>0</v>
      </c>
      <c r="O144" s="361">
        <f t="shared" si="43"/>
        <v>0</v>
      </c>
      <c r="P144" s="361">
        <f t="shared" si="37"/>
        <v>0</v>
      </c>
      <c r="Q144" s="31">
        <f>IF(OR(D144="SI",D144="Sí"),VLOOKUP(A144,DATA!$A$4:$P$350,14,0),0)</f>
        <v>0</v>
      </c>
      <c r="R144" s="121">
        <f t="shared" si="44"/>
        <v>0</v>
      </c>
      <c r="S144" s="31">
        <f>IF(AND(R144&gt;0,R144&lt;$R$7),ROUND(($R$7-R144)*G144,PARAMETROS!$L$8),0)</f>
        <v>0</v>
      </c>
      <c r="T144" s="122">
        <f t="shared" si="38"/>
        <v>0</v>
      </c>
      <c r="U144" s="117">
        <f t="shared" si="39"/>
        <v>0</v>
      </c>
      <c r="V144" s="117">
        <f>VLOOKUP(A144,DATA!$A$4:$V$350,DATA!$V$1,0)</f>
        <v>0</v>
      </c>
      <c r="W144" s="117">
        <f>VLOOKUP(A144,DATA!$A$4:$V$350,22,0)</f>
        <v>0</v>
      </c>
      <c r="X144" s="96">
        <f t="shared" si="40"/>
        <v>0</v>
      </c>
      <c r="Y144" s="31">
        <f>ROUND(X144*PARAMETROS!$H$35,0)</f>
        <v>0</v>
      </c>
      <c r="Z144" s="31">
        <f t="shared" si="45"/>
        <v>0</v>
      </c>
      <c r="AA144" s="31">
        <f t="shared" si="46"/>
        <v>0</v>
      </c>
      <c r="AB144" s="31">
        <f t="shared" si="47"/>
        <v>0</v>
      </c>
      <c r="AC144" s="31">
        <f t="shared" si="47"/>
        <v>0</v>
      </c>
      <c r="AD144" s="38">
        <f t="shared" si="48"/>
        <v>0</v>
      </c>
    </row>
    <row r="145" spans="1:30" ht="3" customHeight="1" x14ac:dyDescent="0.25">
      <c r="A145">
        <v>7404</v>
      </c>
      <c r="B145">
        <v>7305</v>
      </c>
      <c r="C145" t="s">
        <v>162</v>
      </c>
      <c r="D145" s="6" t="str">
        <f>+DATA!U141</f>
        <v>No</v>
      </c>
      <c r="E145" s="361">
        <f t="shared" si="33"/>
        <v>0</v>
      </c>
      <c r="F145" s="95">
        <f t="shared" si="41"/>
        <v>0</v>
      </c>
      <c r="G145" s="31">
        <f>IF(OR(D145="SI",D145="Sí"),VLOOKUP(A145,DATA!$A$4:$D$350,4,0),0)</f>
        <v>0</v>
      </c>
      <c r="H145" s="95">
        <f>IF(OR(D145="SI",D145="Sí"),VLOOKUP(A145,DATA!$A$4:$E$350,5,0),0)</f>
        <v>0</v>
      </c>
      <c r="I145" s="31">
        <f t="shared" si="42"/>
        <v>0</v>
      </c>
      <c r="J145" s="361">
        <f t="shared" si="34"/>
        <v>0</v>
      </c>
      <c r="K145" s="361">
        <f t="shared" si="35"/>
        <v>0</v>
      </c>
      <c r="L145" s="31">
        <f>IF(OR(D145="SI",D145="Sí"),VLOOKUP(A145,DATA!$A$4:$G$350,7,0),0)</f>
        <v>0</v>
      </c>
      <c r="M145" s="31">
        <f>IF(OR(D145="SI",D145="Sí"),VLOOKUP(A145,DATA!$A$4:$H$350,8,0),0)</f>
        <v>0</v>
      </c>
      <c r="N145" s="361">
        <f t="shared" si="36"/>
        <v>0</v>
      </c>
      <c r="O145" s="361">
        <f t="shared" si="43"/>
        <v>0</v>
      </c>
      <c r="P145" s="361">
        <f t="shared" si="37"/>
        <v>0</v>
      </c>
      <c r="Q145" s="31">
        <f>IF(OR(D145="SI",D145="Sí"),VLOOKUP(A145,DATA!$A$4:$P$350,14,0),0)</f>
        <v>0</v>
      </c>
      <c r="R145" s="121">
        <f t="shared" si="44"/>
        <v>0</v>
      </c>
      <c r="S145" s="31">
        <f>IF(AND(R145&gt;0,R145&lt;$R$7),ROUND(($R$7-R145)*G145,PARAMETROS!$L$8),0)</f>
        <v>0</v>
      </c>
      <c r="T145" s="122">
        <f t="shared" si="38"/>
        <v>0</v>
      </c>
      <c r="U145" s="117">
        <f t="shared" si="39"/>
        <v>0</v>
      </c>
      <c r="V145" s="117">
        <f>VLOOKUP(A145,DATA!$A$4:$V$350,DATA!$V$1,0)</f>
        <v>0</v>
      </c>
      <c r="W145" s="117">
        <f>VLOOKUP(A145,DATA!$A$4:$V$350,22,0)</f>
        <v>0</v>
      </c>
      <c r="X145" s="96">
        <f t="shared" si="40"/>
        <v>0</v>
      </c>
      <c r="Y145" s="31">
        <f>ROUND(X145*PARAMETROS!$H$35,0)</f>
        <v>0</v>
      </c>
      <c r="Z145" s="31">
        <f t="shared" si="45"/>
        <v>0</v>
      </c>
      <c r="AA145" s="31">
        <f t="shared" si="46"/>
        <v>0</v>
      </c>
      <c r="AB145" s="31">
        <f t="shared" si="47"/>
        <v>0</v>
      </c>
      <c r="AC145" s="31">
        <f t="shared" si="47"/>
        <v>0</v>
      </c>
      <c r="AD145" s="38">
        <f t="shared" si="48"/>
        <v>0</v>
      </c>
    </row>
    <row r="146" spans="1:30" ht="3" customHeight="1" x14ac:dyDescent="0.25">
      <c r="A146">
        <v>7405</v>
      </c>
      <c r="B146">
        <v>7306</v>
      </c>
      <c r="C146" t="s">
        <v>163</v>
      </c>
      <c r="D146" s="6" t="str">
        <f>+DATA!U142</f>
        <v>No</v>
      </c>
      <c r="E146" s="361">
        <f t="shared" si="33"/>
        <v>0</v>
      </c>
      <c r="F146" s="95">
        <f t="shared" si="41"/>
        <v>0</v>
      </c>
      <c r="G146" s="31">
        <f>IF(OR(D146="SI",D146="Sí"),VLOOKUP(A146,DATA!$A$4:$D$350,4,0),0)</f>
        <v>0</v>
      </c>
      <c r="H146" s="95">
        <f>IF(OR(D146="SI",D146="Sí"),VLOOKUP(A146,DATA!$A$4:$E$350,5,0),0)</f>
        <v>0</v>
      </c>
      <c r="I146" s="31">
        <f t="shared" si="42"/>
        <v>0</v>
      </c>
      <c r="J146" s="361">
        <f t="shared" si="34"/>
        <v>0</v>
      </c>
      <c r="K146" s="361">
        <f t="shared" si="35"/>
        <v>0</v>
      </c>
      <c r="L146" s="31">
        <f>IF(OR(D146="SI",D146="Sí"),VLOOKUP(A146,DATA!$A$4:$G$350,7,0),0)</f>
        <v>0</v>
      </c>
      <c r="M146" s="31">
        <f>IF(OR(D146="SI",D146="Sí"),VLOOKUP(A146,DATA!$A$4:$H$350,8,0),0)</f>
        <v>0</v>
      </c>
      <c r="N146" s="361">
        <f t="shared" si="36"/>
        <v>0</v>
      </c>
      <c r="O146" s="361">
        <f t="shared" si="43"/>
        <v>0</v>
      </c>
      <c r="P146" s="361">
        <f t="shared" si="37"/>
        <v>0</v>
      </c>
      <c r="Q146" s="31">
        <f>IF(OR(D146="SI",D146="Sí"),VLOOKUP(A146,DATA!$A$4:$P$350,14,0),0)</f>
        <v>0</v>
      </c>
      <c r="R146" s="121">
        <f t="shared" si="44"/>
        <v>0</v>
      </c>
      <c r="S146" s="31">
        <f>IF(AND(R146&gt;0,R146&lt;$R$7),ROUND(($R$7-R146)*G146,PARAMETROS!$L$8),0)</f>
        <v>0</v>
      </c>
      <c r="T146" s="122">
        <f t="shared" si="38"/>
        <v>0</v>
      </c>
      <c r="U146" s="117">
        <f t="shared" si="39"/>
        <v>0</v>
      </c>
      <c r="V146" s="117">
        <f>VLOOKUP(A146,DATA!$A$4:$V$350,DATA!$V$1,0)</f>
        <v>0</v>
      </c>
      <c r="W146" s="117">
        <f>VLOOKUP(A146,DATA!$A$4:$V$350,22,0)</f>
        <v>0</v>
      </c>
      <c r="X146" s="96">
        <f t="shared" si="40"/>
        <v>0</v>
      </c>
      <c r="Y146" s="31">
        <f>ROUND(X146*PARAMETROS!$H$35,0)</f>
        <v>0</v>
      </c>
      <c r="Z146" s="31">
        <f t="shared" si="45"/>
        <v>0</v>
      </c>
      <c r="AA146" s="31">
        <f t="shared" si="46"/>
        <v>0</v>
      </c>
      <c r="AB146" s="31">
        <f t="shared" si="47"/>
        <v>0</v>
      </c>
      <c r="AC146" s="31">
        <f t="shared" si="47"/>
        <v>0</v>
      </c>
      <c r="AD146" s="38">
        <f t="shared" si="48"/>
        <v>0</v>
      </c>
    </row>
    <row r="147" spans="1:30" ht="3" customHeight="1" x14ac:dyDescent="0.25">
      <c r="A147">
        <v>7406</v>
      </c>
      <c r="B147">
        <v>7310</v>
      </c>
      <c r="C147" t="s">
        <v>165</v>
      </c>
      <c r="D147" s="6" t="str">
        <f>+DATA!U143</f>
        <v>No</v>
      </c>
      <c r="E147" s="361">
        <f t="shared" si="33"/>
        <v>0</v>
      </c>
      <c r="F147" s="95">
        <f t="shared" si="41"/>
        <v>0</v>
      </c>
      <c r="G147" s="31">
        <f>IF(OR(D147="SI",D147="Sí"),VLOOKUP(A147,DATA!$A$4:$D$350,4,0),0)</f>
        <v>0</v>
      </c>
      <c r="H147" s="95">
        <f>IF(OR(D147="SI",D147="Sí"),VLOOKUP(A147,DATA!$A$4:$E$350,5,0),0)</f>
        <v>0</v>
      </c>
      <c r="I147" s="31">
        <f t="shared" si="42"/>
        <v>0</v>
      </c>
      <c r="J147" s="361">
        <f t="shared" si="34"/>
        <v>0</v>
      </c>
      <c r="K147" s="361">
        <f t="shared" si="35"/>
        <v>0</v>
      </c>
      <c r="L147" s="31">
        <f>IF(OR(D147="SI",D147="Sí"),VLOOKUP(A147,DATA!$A$4:$G$350,7,0),0)</f>
        <v>0</v>
      </c>
      <c r="M147" s="31">
        <f>IF(OR(D147="SI",D147="Sí"),VLOOKUP(A147,DATA!$A$4:$H$350,8,0),0)</f>
        <v>0</v>
      </c>
      <c r="N147" s="361">
        <f t="shared" si="36"/>
        <v>0</v>
      </c>
      <c r="O147" s="361">
        <f t="shared" si="43"/>
        <v>0</v>
      </c>
      <c r="P147" s="361">
        <f t="shared" si="37"/>
        <v>0</v>
      </c>
      <c r="Q147" s="31">
        <f>IF(OR(D147="SI",D147="Sí"),VLOOKUP(A147,DATA!$A$4:$P$350,14,0),0)</f>
        <v>0</v>
      </c>
      <c r="R147" s="121">
        <f t="shared" si="44"/>
        <v>0</v>
      </c>
      <c r="S147" s="31">
        <f>IF(AND(R147&gt;0,R147&lt;$R$7),ROUND(($R$7-R147)*G147,PARAMETROS!$L$8),0)</f>
        <v>0</v>
      </c>
      <c r="T147" s="122">
        <f t="shared" si="38"/>
        <v>0</v>
      </c>
      <c r="U147" s="117">
        <f t="shared" si="39"/>
        <v>0</v>
      </c>
      <c r="V147" s="117">
        <f>VLOOKUP(A147,DATA!$A$4:$V$350,DATA!$V$1,0)</f>
        <v>0</v>
      </c>
      <c r="W147" s="117">
        <f>VLOOKUP(A147,DATA!$A$4:$V$350,22,0)</f>
        <v>0</v>
      </c>
      <c r="X147" s="96">
        <f t="shared" si="40"/>
        <v>0</v>
      </c>
      <c r="Y147" s="31">
        <f>ROUND(X147*PARAMETROS!$H$35,0)</f>
        <v>0</v>
      </c>
      <c r="Z147" s="31">
        <f t="shared" si="45"/>
        <v>0</v>
      </c>
      <c r="AA147" s="31">
        <f t="shared" si="46"/>
        <v>0</v>
      </c>
      <c r="AB147" s="31">
        <f t="shared" si="47"/>
        <v>0</v>
      </c>
      <c r="AC147" s="31">
        <f t="shared" si="47"/>
        <v>0</v>
      </c>
      <c r="AD147" s="38">
        <f t="shared" si="48"/>
        <v>0</v>
      </c>
    </row>
    <row r="148" spans="1:30" ht="3" customHeight="1" x14ac:dyDescent="0.25">
      <c r="A148">
        <v>7407</v>
      </c>
      <c r="B148">
        <v>7309</v>
      </c>
      <c r="C148" t="s">
        <v>164</v>
      </c>
      <c r="D148" s="6" t="str">
        <f>+DATA!U144</f>
        <v>No</v>
      </c>
      <c r="E148" s="361">
        <f t="shared" si="33"/>
        <v>0</v>
      </c>
      <c r="F148" s="95">
        <f t="shared" si="41"/>
        <v>0</v>
      </c>
      <c r="G148" s="31">
        <f>IF(OR(D148="SI",D148="Sí"),VLOOKUP(A148,DATA!$A$4:$D$350,4,0),0)</f>
        <v>0</v>
      </c>
      <c r="H148" s="95">
        <f>IF(OR(D148="SI",D148="Sí"),VLOOKUP(A148,DATA!$A$4:$E$350,5,0),0)</f>
        <v>0</v>
      </c>
      <c r="I148" s="31">
        <f t="shared" si="42"/>
        <v>0</v>
      </c>
      <c r="J148" s="361">
        <f t="shared" si="34"/>
        <v>0</v>
      </c>
      <c r="K148" s="361">
        <f t="shared" si="35"/>
        <v>0</v>
      </c>
      <c r="L148" s="31">
        <f>IF(OR(D148="SI",D148="Sí"),VLOOKUP(A148,DATA!$A$4:$G$350,7,0),0)</f>
        <v>0</v>
      </c>
      <c r="M148" s="31">
        <f>IF(OR(D148="SI",D148="Sí"),VLOOKUP(A148,DATA!$A$4:$H$350,8,0),0)</f>
        <v>0</v>
      </c>
      <c r="N148" s="361">
        <f t="shared" si="36"/>
        <v>0</v>
      </c>
      <c r="O148" s="361">
        <f t="shared" si="43"/>
        <v>0</v>
      </c>
      <c r="P148" s="361">
        <f t="shared" si="37"/>
        <v>0</v>
      </c>
      <c r="Q148" s="31">
        <f>IF(OR(D148="SI",D148="Sí"),VLOOKUP(A148,DATA!$A$4:$P$350,14,0),0)</f>
        <v>0</v>
      </c>
      <c r="R148" s="121">
        <f t="shared" si="44"/>
        <v>0</v>
      </c>
      <c r="S148" s="31">
        <f>IF(AND(R148&gt;0,R148&lt;$R$7),ROUND(($R$7-R148)*G148,PARAMETROS!$L$8),0)</f>
        <v>0</v>
      </c>
      <c r="T148" s="122">
        <f t="shared" si="38"/>
        <v>0</v>
      </c>
      <c r="U148" s="117">
        <f t="shared" si="39"/>
        <v>0</v>
      </c>
      <c r="V148" s="117">
        <f>VLOOKUP(A148,DATA!$A$4:$V$350,DATA!$V$1,0)</f>
        <v>0</v>
      </c>
      <c r="W148" s="117">
        <f>VLOOKUP(A148,DATA!$A$4:$V$350,22,0)</f>
        <v>0</v>
      </c>
      <c r="X148" s="96">
        <f t="shared" si="40"/>
        <v>0</v>
      </c>
      <c r="Y148" s="31">
        <f>ROUND(X148*PARAMETROS!$H$35,0)</f>
        <v>0</v>
      </c>
      <c r="Z148" s="31">
        <f t="shared" si="45"/>
        <v>0</v>
      </c>
      <c r="AA148" s="31">
        <f t="shared" si="46"/>
        <v>0</v>
      </c>
      <c r="AB148" s="31">
        <f t="shared" si="47"/>
        <v>0</v>
      </c>
      <c r="AC148" s="31">
        <f t="shared" si="47"/>
        <v>0</v>
      </c>
      <c r="AD148" s="38">
        <f t="shared" si="48"/>
        <v>0</v>
      </c>
    </row>
    <row r="149" spans="1:30" ht="3" customHeight="1" x14ac:dyDescent="0.25">
      <c r="A149">
        <v>7408</v>
      </c>
      <c r="B149">
        <v>7302</v>
      </c>
      <c r="C149" t="s">
        <v>161</v>
      </c>
      <c r="D149" s="6" t="str">
        <f>+DATA!U145</f>
        <v>No</v>
      </c>
      <c r="E149" s="361">
        <f t="shared" si="33"/>
        <v>0</v>
      </c>
      <c r="F149" s="95">
        <f t="shared" si="41"/>
        <v>0</v>
      </c>
      <c r="G149" s="31">
        <f>IF(OR(D149="SI",D149="Sí"),VLOOKUP(A149,DATA!$A$4:$D$350,4,0),0)</f>
        <v>0</v>
      </c>
      <c r="H149" s="95">
        <f>IF(OR(D149="SI",D149="Sí"),VLOOKUP(A149,DATA!$A$4:$E$350,5,0),0)</f>
        <v>0</v>
      </c>
      <c r="I149" s="31">
        <f t="shared" si="42"/>
        <v>0</v>
      </c>
      <c r="J149" s="361">
        <f t="shared" si="34"/>
        <v>0</v>
      </c>
      <c r="K149" s="361">
        <f t="shared" si="35"/>
        <v>0</v>
      </c>
      <c r="L149" s="31">
        <f>IF(OR(D149="SI",D149="Sí"),VLOOKUP(A149,DATA!$A$4:$G$350,7,0),0)</f>
        <v>0</v>
      </c>
      <c r="M149" s="31">
        <f>IF(OR(D149="SI",D149="Sí"),VLOOKUP(A149,DATA!$A$4:$H$350,8,0),0)</f>
        <v>0</v>
      </c>
      <c r="N149" s="361">
        <f t="shared" si="36"/>
        <v>0</v>
      </c>
      <c r="O149" s="361">
        <f t="shared" si="43"/>
        <v>0</v>
      </c>
      <c r="P149" s="361">
        <f t="shared" si="37"/>
        <v>0</v>
      </c>
      <c r="Q149" s="31">
        <f>IF(OR(D149="SI",D149="Sí"),VLOOKUP(A149,DATA!$A$4:$P$350,14,0),0)</f>
        <v>0</v>
      </c>
      <c r="R149" s="121">
        <f t="shared" si="44"/>
        <v>0</v>
      </c>
      <c r="S149" s="31">
        <f>IF(AND(R149&gt;0,R149&lt;$R$7),ROUND(($R$7-R149)*G149,PARAMETROS!$L$8),0)</f>
        <v>0</v>
      </c>
      <c r="T149" s="122">
        <f t="shared" si="38"/>
        <v>0</v>
      </c>
      <c r="U149" s="117">
        <f t="shared" si="39"/>
        <v>0</v>
      </c>
      <c r="V149" s="117">
        <f>VLOOKUP(A149,DATA!$A$4:$V$350,DATA!$V$1,0)</f>
        <v>0</v>
      </c>
      <c r="W149" s="117">
        <f>VLOOKUP(A149,DATA!$A$4:$V$350,22,0)</f>
        <v>0</v>
      </c>
      <c r="X149" s="96">
        <f t="shared" si="40"/>
        <v>0</v>
      </c>
      <c r="Y149" s="31">
        <f>ROUND(X149*PARAMETROS!$H$35,0)</f>
        <v>0</v>
      </c>
      <c r="Z149" s="31">
        <f t="shared" si="45"/>
        <v>0</v>
      </c>
      <c r="AA149" s="31">
        <f t="shared" si="46"/>
        <v>0</v>
      </c>
      <c r="AB149" s="31">
        <f t="shared" si="47"/>
        <v>0</v>
      </c>
      <c r="AC149" s="31">
        <f t="shared" si="47"/>
        <v>0</v>
      </c>
      <c r="AD149" s="38">
        <f t="shared" si="48"/>
        <v>0</v>
      </c>
    </row>
    <row r="150" spans="1:30" ht="3" customHeight="1" x14ac:dyDescent="0.25">
      <c r="A150">
        <v>8101</v>
      </c>
      <c r="B150">
        <v>8201</v>
      </c>
      <c r="C150" t="s">
        <v>395</v>
      </c>
      <c r="D150" s="6" t="str">
        <f>+DATA!U146</f>
        <v>No</v>
      </c>
      <c r="E150" s="361">
        <f t="shared" si="33"/>
        <v>0</v>
      </c>
      <c r="F150" s="95">
        <f t="shared" si="41"/>
        <v>0</v>
      </c>
      <c r="G150" s="31">
        <f>IF(OR(D150="SI",D150="Sí"),VLOOKUP(A150,DATA!$A$4:$D$350,4,0),0)</f>
        <v>0</v>
      </c>
      <c r="H150" s="95">
        <f>IF(OR(D150="SI",D150="Sí"),VLOOKUP(A150,DATA!$A$4:$E$350,5,0),0)</f>
        <v>0</v>
      </c>
      <c r="I150" s="31">
        <f t="shared" si="42"/>
        <v>0</v>
      </c>
      <c r="J150" s="361">
        <f t="shared" si="34"/>
        <v>0</v>
      </c>
      <c r="K150" s="361">
        <f t="shared" si="35"/>
        <v>0</v>
      </c>
      <c r="L150" s="31">
        <f>IF(OR(D150="SI",D150="Sí"),VLOOKUP(A150,DATA!$A$4:$G$350,7,0),0)</f>
        <v>0</v>
      </c>
      <c r="M150" s="31">
        <f>IF(OR(D150="SI",D150="Sí"),VLOOKUP(A150,DATA!$A$4:$H$350,8,0),0)</f>
        <v>0</v>
      </c>
      <c r="N150" s="361">
        <f t="shared" si="36"/>
        <v>0</v>
      </c>
      <c r="O150" s="361">
        <f t="shared" si="43"/>
        <v>0</v>
      </c>
      <c r="P150" s="361">
        <f t="shared" si="37"/>
        <v>0</v>
      </c>
      <c r="Q150" s="31">
        <f>IF(OR(D150="SI",D150="Sí"),VLOOKUP(A150,DATA!$A$4:$P$350,14,0),0)</f>
        <v>0</v>
      </c>
      <c r="R150" s="121">
        <f t="shared" si="44"/>
        <v>0</v>
      </c>
      <c r="S150" s="31">
        <f>IF(AND(R150&gt;0,R150&lt;$R$7),ROUND(($R$7-R150)*G150,PARAMETROS!$L$8),0)</f>
        <v>0</v>
      </c>
      <c r="T150" s="122">
        <f t="shared" si="38"/>
        <v>0</v>
      </c>
      <c r="U150" s="117">
        <f t="shared" si="39"/>
        <v>0</v>
      </c>
      <c r="V150" s="117">
        <f>VLOOKUP(A150,DATA!$A$4:$V$350,DATA!$V$1,0)</f>
        <v>0</v>
      </c>
      <c r="W150" s="117">
        <f>VLOOKUP(A150,DATA!$A$4:$V$350,22,0)</f>
        <v>0</v>
      </c>
      <c r="X150" s="96">
        <f t="shared" si="40"/>
        <v>0</v>
      </c>
      <c r="Y150" s="31">
        <f>ROUND(X150*PARAMETROS!$H$35,0)</f>
        <v>0</v>
      </c>
      <c r="Z150" s="31">
        <f t="shared" si="45"/>
        <v>0</v>
      </c>
      <c r="AA150" s="31">
        <f t="shared" si="46"/>
        <v>0</v>
      </c>
      <c r="AB150" s="31">
        <f t="shared" si="47"/>
        <v>0</v>
      </c>
      <c r="AC150" s="31">
        <f t="shared" si="47"/>
        <v>0</v>
      </c>
      <c r="AD150" s="38">
        <f t="shared" si="48"/>
        <v>0</v>
      </c>
    </row>
    <row r="151" spans="1:30" ht="3" customHeight="1" x14ac:dyDescent="0.25">
      <c r="A151">
        <v>8102</v>
      </c>
      <c r="B151">
        <v>8207</v>
      </c>
      <c r="C151" t="s">
        <v>187</v>
      </c>
      <c r="D151" s="6" t="str">
        <f>+DATA!U147</f>
        <v>No</v>
      </c>
      <c r="E151" s="361">
        <f t="shared" si="33"/>
        <v>0</v>
      </c>
      <c r="F151" s="95">
        <f t="shared" si="41"/>
        <v>0</v>
      </c>
      <c r="G151" s="31">
        <f>IF(OR(D151="SI",D151="Sí"),VLOOKUP(A151,DATA!$A$4:$D$350,4,0),0)</f>
        <v>0</v>
      </c>
      <c r="H151" s="95">
        <f>IF(OR(D151="SI",D151="Sí"),VLOOKUP(A151,DATA!$A$4:$E$350,5,0),0)</f>
        <v>0</v>
      </c>
      <c r="I151" s="31">
        <f t="shared" si="42"/>
        <v>0</v>
      </c>
      <c r="J151" s="361">
        <f t="shared" si="34"/>
        <v>0</v>
      </c>
      <c r="K151" s="361">
        <f t="shared" si="35"/>
        <v>0</v>
      </c>
      <c r="L151" s="31">
        <f>IF(OR(D151="SI",D151="Sí"),VLOOKUP(A151,DATA!$A$4:$G$350,7,0),0)</f>
        <v>0</v>
      </c>
      <c r="M151" s="31">
        <f>IF(OR(D151="SI",D151="Sí"),VLOOKUP(A151,DATA!$A$4:$H$350,8,0),0)</f>
        <v>0</v>
      </c>
      <c r="N151" s="361">
        <f t="shared" si="36"/>
        <v>0</v>
      </c>
      <c r="O151" s="361">
        <f t="shared" si="43"/>
        <v>0</v>
      </c>
      <c r="P151" s="361">
        <f t="shared" si="37"/>
        <v>0</v>
      </c>
      <c r="Q151" s="31">
        <f>IF(OR(D151="SI",D151="Sí"),VLOOKUP(A151,DATA!$A$4:$P$350,14,0),0)</f>
        <v>0</v>
      </c>
      <c r="R151" s="121">
        <f t="shared" si="44"/>
        <v>0</v>
      </c>
      <c r="S151" s="31">
        <f>IF(AND(R151&gt;0,R151&lt;$R$7),ROUND(($R$7-R151)*G151,PARAMETROS!$L$8),0)</f>
        <v>0</v>
      </c>
      <c r="T151" s="122">
        <f t="shared" si="38"/>
        <v>0</v>
      </c>
      <c r="U151" s="117">
        <f t="shared" si="39"/>
        <v>0</v>
      </c>
      <c r="V151" s="117">
        <f>VLOOKUP(A151,DATA!$A$4:$V$350,DATA!$V$1,0)</f>
        <v>0</v>
      </c>
      <c r="W151" s="117">
        <f>VLOOKUP(A151,DATA!$A$4:$V$350,22,0)</f>
        <v>0</v>
      </c>
      <c r="X151" s="96">
        <f t="shared" si="40"/>
        <v>0</v>
      </c>
      <c r="Y151" s="31">
        <f>ROUND(X151*PARAMETROS!$H$35,0)</f>
        <v>0</v>
      </c>
      <c r="Z151" s="31">
        <f t="shared" si="45"/>
        <v>0</v>
      </c>
      <c r="AA151" s="31">
        <f t="shared" si="46"/>
        <v>0</v>
      </c>
      <c r="AB151" s="31">
        <f t="shared" si="47"/>
        <v>0</v>
      </c>
      <c r="AC151" s="31">
        <f t="shared" si="47"/>
        <v>0</v>
      </c>
      <c r="AD151" s="38">
        <f t="shared" si="48"/>
        <v>0</v>
      </c>
    </row>
    <row r="152" spans="1:30" ht="3" customHeight="1" x14ac:dyDescent="0.25">
      <c r="A152">
        <v>8103</v>
      </c>
      <c r="B152">
        <v>8211</v>
      </c>
      <c r="C152" t="s">
        <v>191</v>
      </c>
      <c r="D152" s="6" t="str">
        <f>+DATA!U148</f>
        <v>No</v>
      </c>
      <c r="E152" s="361">
        <f t="shared" si="33"/>
        <v>0</v>
      </c>
      <c r="F152" s="95">
        <f t="shared" si="41"/>
        <v>0</v>
      </c>
      <c r="G152" s="31">
        <f>IF(OR(D152="SI",D152="Sí"),VLOOKUP(A152,DATA!$A$4:$D$350,4,0),0)</f>
        <v>0</v>
      </c>
      <c r="H152" s="95">
        <f>IF(OR(D152="SI",D152="Sí"),VLOOKUP(A152,DATA!$A$4:$E$350,5,0),0)</f>
        <v>0</v>
      </c>
      <c r="I152" s="31">
        <f t="shared" si="42"/>
        <v>0</v>
      </c>
      <c r="J152" s="361">
        <f t="shared" si="34"/>
        <v>0</v>
      </c>
      <c r="K152" s="361">
        <f t="shared" si="35"/>
        <v>0</v>
      </c>
      <c r="L152" s="31">
        <f>IF(OR(D152="SI",D152="Sí"),VLOOKUP(A152,DATA!$A$4:$G$350,7,0),0)</f>
        <v>0</v>
      </c>
      <c r="M152" s="31">
        <f>IF(OR(D152="SI",D152="Sí"),VLOOKUP(A152,DATA!$A$4:$H$350,8,0),0)</f>
        <v>0</v>
      </c>
      <c r="N152" s="361">
        <f t="shared" si="36"/>
        <v>0</v>
      </c>
      <c r="O152" s="361">
        <f t="shared" si="43"/>
        <v>0</v>
      </c>
      <c r="P152" s="361">
        <f t="shared" si="37"/>
        <v>0</v>
      </c>
      <c r="Q152" s="31">
        <f>IF(OR(D152="SI",D152="Sí"),VLOOKUP(A152,DATA!$A$4:$P$350,14,0),0)</f>
        <v>0</v>
      </c>
      <c r="R152" s="121">
        <f t="shared" si="44"/>
        <v>0</v>
      </c>
      <c r="S152" s="31">
        <f>IF(AND(R152&gt;0,R152&lt;$R$7),ROUND(($R$7-R152)*G152,PARAMETROS!$L$8),0)</f>
        <v>0</v>
      </c>
      <c r="T152" s="122">
        <f t="shared" si="38"/>
        <v>0</v>
      </c>
      <c r="U152" s="117">
        <f t="shared" si="39"/>
        <v>0</v>
      </c>
      <c r="V152" s="117">
        <f>VLOOKUP(A152,DATA!$A$4:$V$350,DATA!$V$1,0)</f>
        <v>0</v>
      </c>
      <c r="W152" s="117">
        <f>VLOOKUP(A152,DATA!$A$4:$V$350,22,0)</f>
        <v>0</v>
      </c>
      <c r="X152" s="96">
        <f t="shared" si="40"/>
        <v>0</v>
      </c>
      <c r="Y152" s="31">
        <f>ROUND(X152*PARAMETROS!$H$35,0)</f>
        <v>0</v>
      </c>
      <c r="Z152" s="31">
        <f t="shared" si="45"/>
        <v>0</v>
      </c>
      <c r="AA152" s="31">
        <f t="shared" si="46"/>
        <v>0</v>
      </c>
      <c r="AB152" s="31">
        <f t="shared" si="47"/>
        <v>0</v>
      </c>
      <c r="AC152" s="31">
        <f t="shared" si="47"/>
        <v>0</v>
      </c>
      <c r="AD152" s="38">
        <f t="shared" si="48"/>
        <v>0</v>
      </c>
    </row>
    <row r="153" spans="1:30" ht="3" customHeight="1" x14ac:dyDescent="0.25">
      <c r="A153">
        <v>8104</v>
      </c>
      <c r="B153">
        <v>8204</v>
      </c>
      <c r="C153" t="s">
        <v>185</v>
      </c>
      <c r="D153" s="6" t="str">
        <f>+DATA!U149</f>
        <v>No</v>
      </c>
      <c r="E153" s="361">
        <f t="shared" si="33"/>
        <v>0</v>
      </c>
      <c r="F153" s="95">
        <f t="shared" si="41"/>
        <v>0</v>
      </c>
      <c r="G153" s="31">
        <f>IF(OR(D153="SI",D153="Sí"),VLOOKUP(A153,DATA!$A$4:$D$350,4,0),0)</f>
        <v>0</v>
      </c>
      <c r="H153" s="95">
        <f>IF(OR(D153="SI",D153="Sí"),VLOOKUP(A153,DATA!$A$4:$E$350,5,0),0)</f>
        <v>0</v>
      </c>
      <c r="I153" s="31">
        <f t="shared" si="42"/>
        <v>0</v>
      </c>
      <c r="J153" s="361">
        <f t="shared" si="34"/>
        <v>0</v>
      </c>
      <c r="K153" s="361">
        <f t="shared" si="35"/>
        <v>0</v>
      </c>
      <c r="L153" s="31">
        <f>IF(OR(D153="SI",D153="Sí"),VLOOKUP(A153,DATA!$A$4:$G$350,7,0),0)</f>
        <v>0</v>
      </c>
      <c r="M153" s="31">
        <f>IF(OR(D153="SI",D153="Sí"),VLOOKUP(A153,DATA!$A$4:$H$350,8,0),0)</f>
        <v>0</v>
      </c>
      <c r="N153" s="361">
        <f t="shared" si="36"/>
        <v>0</v>
      </c>
      <c r="O153" s="361">
        <f t="shared" si="43"/>
        <v>0</v>
      </c>
      <c r="P153" s="361">
        <f t="shared" si="37"/>
        <v>0</v>
      </c>
      <c r="Q153" s="31">
        <f>IF(OR(D153="SI",D153="Sí"),VLOOKUP(A153,DATA!$A$4:$P$350,14,0),0)</f>
        <v>0</v>
      </c>
      <c r="R153" s="121">
        <f t="shared" si="44"/>
        <v>0</v>
      </c>
      <c r="S153" s="31">
        <f>IF(AND(R153&gt;0,R153&lt;$R$7),ROUND(($R$7-R153)*G153,PARAMETROS!$L$8),0)</f>
        <v>0</v>
      </c>
      <c r="T153" s="122">
        <f t="shared" si="38"/>
        <v>0</v>
      </c>
      <c r="U153" s="117">
        <f t="shared" si="39"/>
        <v>0</v>
      </c>
      <c r="V153" s="117">
        <f>VLOOKUP(A153,DATA!$A$4:$V$350,DATA!$V$1,0)</f>
        <v>0</v>
      </c>
      <c r="W153" s="117">
        <f>VLOOKUP(A153,DATA!$A$4:$V$350,22,0)</f>
        <v>0</v>
      </c>
      <c r="X153" s="96">
        <f t="shared" si="40"/>
        <v>0</v>
      </c>
      <c r="Y153" s="31">
        <f>ROUND(X153*PARAMETROS!$H$35,0)</f>
        <v>0</v>
      </c>
      <c r="Z153" s="31">
        <f t="shared" si="45"/>
        <v>0</v>
      </c>
      <c r="AA153" s="31">
        <f t="shared" si="46"/>
        <v>0</v>
      </c>
      <c r="AB153" s="31">
        <f t="shared" si="47"/>
        <v>0</v>
      </c>
      <c r="AC153" s="31">
        <f t="shared" si="47"/>
        <v>0</v>
      </c>
      <c r="AD153" s="38">
        <f t="shared" si="48"/>
        <v>0</v>
      </c>
    </row>
    <row r="154" spans="1:30" ht="3" customHeight="1" x14ac:dyDescent="0.25">
      <c r="A154">
        <v>8105</v>
      </c>
      <c r="B154">
        <v>8203</v>
      </c>
      <c r="C154" t="s">
        <v>184</v>
      </c>
      <c r="D154" s="6" t="str">
        <f>+DATA!U150</f>
        <v>No</v>
      </c>
      <c r="E154" s="361">
        <f t="shared" si="33"/>
        <v>0</v>
      </c>
      <c r="F154" s="95">
        <f t="shared" si="41"/>
        <v>0</v>
      </c>
      <c r="G154" s="31">
        <f>IF(OR(D154="SI",D154="Sí"),VLOOKUP(A154,DATA!$A$4:$D$350,4,0),0)</f>
        <v>0</v>
      </c>
      <c r="H154" s="95">
        <f>IF(OR(D154="SI",D154="Sí"),VLOOKUP(A154,DATA!$A$4:$E$350,5,0),0)</f>
        <v>0</v>
      </c>
      <c r="I154" s="31">
        <f t="shared" si="42"/>
        <v>0</v>
      </c>
      <c r="J154" s="361">
        <f t="shared" si="34"/>
        <v>0</v>
      </c>
      <c r="K154" s="361">
        <f t="shared" si="35"/>
        <v>0</v>
      </c>
      <c r="L154" s="31">
        <f>IF(OR(D154="SI",D154="Sí"),VLOOKUP(A154,DATA!$A$4:$G$350,7,0),0)</f>
        <v>0</v>
      </c>
      <c r="M154" s="31">
        <f>IF(OR(D154="SI",D154="Sí"),VLOOKUP(A154,DATA!$A$4:$H$350,8,0),0)</f>
        <v>0</v>
      </c>
      <c r="N154" s="361">
        <f t="shared" si="36"/>
        <v>0</v>
      </c>
      <c r="O154" s="361">
        <f t="shared" si="43"/>
        <v>0</v>
      </c>
      <c r="P154" s="361">
        <f t="shared" si="37"/>
        <v>0</v>
      </c>
      <c r="Q154" s="31">
        <f>IF(OR(D154="SI",D154="Sí"),VLOOKUP(A154,DATA!$A$4:$P$350,14,0),0)</f>
        <v>0</v>
      </c>
      <c r="R154" s="121">
        <f t="shared" si="44"/>
        <v>0</v>
      </c>
      <c r="S154" s="31">
        <f>IF(AND(R154&gt;0,R154&lt;$R$7),ROUND(($R$7-R154)*G154,PARAMETROS!$L$8),0)</f>
        <v>0</v>
      </c>
      <c r="T154" s="122">
        <f t="shared" si="38"/>
        <v>0</v>
      </c>
      <c r="U154" s="117">
        <f t="shared" si="39"/>
        <v>0</v>
      </c>
      <c r="V154" s="117">
        <f>VLOOKUP(A154,DATA!$A$4:$V$350,DATA!$V$1,0)</f>
        <v>0</v>
      </c>
      <c r="W154" s="117">
        <f>VLOOKUP(A154,DATA!$A$4:$V$350,22,0)</f>
        <v>0</v>
      </c>
      <c r="X154" s="96">
        <f t="shared" si="40"/>
        <v>0</v>
      </c>
      <c r="Y154" s="31">
        <f>ROUND(X154*PARAMETROS!$H$35,0)</f>
        <v>0</v>
      </c>
      <c r="Z154" s="31">
        <f t="shared" si="45"/>
        <v>0</v>
      </c>
      <c r="AA154" s="31">
        <f t="shared" si="46"/>
        <v>0</v>
      </c>
      <c r="AB154" s="31">
        <f t="shared" si="47"/>
        <v>0</v>
      </c>
      <c r="AC154" s="31">
        <f t="shared" si="47"/>
        <v>0</v>
      </c>
      <c r="AD154" s="38">
        <f t="shared" si="48"/>
        <v>0</v>
      </c>
    </row>
    <row r="155" spans="1:30" ht="3" customHeight="1" x14ac:dyDescent="0.25">
      <c r="A155">
        <v>8106</v>
      </c>
      <c r="B155">
        <v>8208</v>
      </c>
      <c r="C155" t="s">
        <v>188</v>
      </c>
      <c r="D155" s="6" t="str">
        <f>+DATA!U151</f>
        <v>No</v>
      </c>
      <c r="E155" s="361">
        <f t="shared" si="33"/>
        <v>0</v>
      </c>
      <c r="F155" s="95">
        <f t="shared" si="41"/>
        <v>0</v>
      </c>
      <c r="G155" s="31">
        <f>IF(OR(D155="SI",D155="Sí"),VLOOKUP(A155,DATA!$A$4:$D$350,4,0),0)</f>
        <v>0</v>
      </c>
      <c r="H155" s="95">
        <f>IF(OR(D155="SI",D155="Sí"),VLOOKUP(A155,DATA!$A$4:$E$350,5,0),0)</f>
        <v>0</v>
      </c>
      <c r="I155" s="31">
        <f t="shared" si="42"/>
        <v>0</v>
      </c>
      <c r="J155" s="361">
        <f t="shared" si="34"/>
        <v>0</v>
      </c>
      <c r="K155" s="361">
        <f t="shared" si="35"/>
        <v>0</v>
      </c>
      <c r="L155" s="31">
        <f>IF(OR(D155="SI",D155="Sí"),VLOOKUP(A155,DATA!$A$4:$G$350,7,0),0)</f>
        <v>0</v>
      </c>
      <c r="M155" s="31">
        <f>IF(OR(D155="SI",D155="Sí"),VLOOKUP(A155,DATA!$A$4:$H$350,8,0),0)</f>
        <v>0</v>
      </c>
      <c r="N155" s="361">
        <f t="shared" si="36"/>
        <v>0</v>
      </c>
      <c r="O155" s="361">
        <f t="shared" si="43"/>
        <v>0</v>
      </c>
      <c r="P155" s="361">
        <f t="shared" si="37"/>
        <v>0</v>
      </c>
      <c r="Q155" s="31">
        <f>IF(OR(D155="SI",D155="Sí"),VLOOKUP(A155,DATA!$A$4:$P$350,14,0),0)</f>
        <v>0</v>
      </c>
      <c r="R155" s="121">
        <f t="shared" si="44"/>
        <v>0</v>
      </c>
      <c r="S155" s="31">
        <f>IF(AND(R155&gt;0,R155&lt;$R$7),ROUND(($R$7-R155)*G155,PARAMETROS!$L$8),0)</f>
        <v>0</v>
      </c>
      <c r="T155" s="122">
        <f t="shared" si="38"/>
        <v>0</v>
      </c>
      <c r="U155" s="117">
        <f t="shared" si="39"/>
        <v>0</v>
      </c>
      <c r="V155" s="117">
        <f>VLOOKUP(A155,DATA!$A$4:$V$350,DATA!$V$1,0)</f>
        <v>0</v>
      </c>
      <c r="W155" s="117">
        <f>VLOOKUP(A155,DATA!$A$4:$V$350,22,0)</f>
        <v>0</v>
      </c>
      <c r="X155" s="96">
        <f t="shared" si="40"/>
        <v>0</v>
      </c>
      <c r="Y155" s="31">
        <f>ROUND(X155*PARAMETROS!$H$35,0)</f>
        <v>0</v>
      </c>
      <c r="Z155" s="31">
        <f t="shared" si="45"/>
        <v>0</v>
      </c>
      <c r="AA155" s="31">
        <f t="shared" si="46"/>
        <v>0</v>
      </c>
      <c r="AB155" s="31">
        <f t="shared" si="47"/>
        <v>0</v>
      </c>
      <c r="AC155" s="31">
        <f t="shared" si="47"/>
        <v>0</v>
      </c>
      <c r="AD155" s="38">
        <f t="shared" si="48"/>
        <v>0</v>
      </c>
    </row>
    <row r="156" spans="1:30" ht="3" customHeight="1" x14ac:dyDescent="0.25">
      <c r="A156">
        <v>8107</v>
      </c>
      <c r="B156">
        <v>8202</v>
      </c>
      <c r="C156" t="s">
        <v>183</v>
      </c>
      <c r="D156" s="6" t="str">
        <f>+DATA!U152</f>
        <v>No</v>
      </c>
      <c r="E156" s="361">
        <f t="shared" si="33"/>
        <v>0</v>
      </c>
      <c r="F156" s="95">
        <f t="shared" si="41"/>
        <v>0</v>
      </c>
      <c r="G156" s="31">
        <f>IF(OR(D156="SI",D156="Sí"),VLOOKUP(A156,DATA!$A$4:$D$350,4,0),0)</f>
        <v>0</v>
      </c>
      <c r="H156" s="95">
        <f>IF(OR(D156="SI",D156="Sí"),VLOOKUP(A156,DATA!$A$4:$E$350,5,0),0)</f>
        <v>0</v>
      </c>
      <c r="I156" s="31">
        <f t="shared" si="42"/>
        <v>0</v>
      </c>
      <c r="J156" s="361">
        <f t="shared" si="34"/>
        <v>0</v>
      </c>
      <c r="K156" s="361">
        <f t="shared" si="35"/>
        <v>0</v>
      </c>
      <c r="L156" s="31">
        <f>IF(OR(D156="SI",D156="Sí"),VLOOKUP(A156,DATA!$A$4:$G$350,7,0),0)</f>
        <v>0</v>
      </c>
      <c r="M156" s="31">
        <f>IF(OR(D156="SI",D156="Sí"),VLOOKUP(A156,DATA!$A$4:$H$350,8,0),0)</f>
        <v>0</v>
      </c>
      <c r="N156" s="361">
        <f t="shared" si="36"/>
        <v>0</v>
      </c>
      <c r="O156" s="361">
        <f t="shared" si="43"/>
        <v>0</v>
      </c>
      <c r="P156" s="361">
        <f t="shared" si="37"/>
        <v>0</v>
      </c>
      <c r="Q156" s="31">
        <f>IF(OR(D156="SI",D156="Sí"),VLOOKUP(A156,DATA!$A$4:$P$350,14,0),0)</f>
        <v>0</v>
      </c>
      <c r="R156" s="121">
        <f t="shared" si="44"/>
        <v>0</v>
      </c>
      <c r="S156" s="31">
        <f>IF(AND(R156&gt;0,R156&lt;$R$7),ROUND(($R$7-R156)*G156,PARAMETROS!$L$8),0)</f>
        <v>0</v>
      </c>
      <c r="T156" s="122">
        <f t="shared" si="38"/>
        <v>0</v>
      </c>
      <c r="U156" s="117">
        <f t="shared" si="39"/>
        <v>0</v>
      </c>
      <c r="V156" s="117">
        <f>VLOOKUP(A156,DATA!$A$4:$V$350,DATA!$V$1,0)</f>
        <v>0</v>
      </c>
      <c r="W156" s="117">
        <f>VLOOKUP(A156,DATA!$A$4:$V$350,22,0)</f>
        <v>0</v>
      </c>
      <c r="X156" s="96">
        <f t="shared" si="40"/>
        <v>0</v>
      </c>
      <c r="Y156" s="31">
        <f>ROUND(X156*PARAMETROS!$H$35,0)</f>
        <v>0</v>
      </c>
      <c r="Z156" s="31">
        <f t="shared" si="45"/>
        <v>0</v>
      </c>
      <c r="AA156" s="31">
        <f t="shared" si="46"/>
        <v>0</v>
      </c>
      <c r="AB156" s="31">
        <f t="shared" si="47"/>
        <v>0</v>
      </c>
      <c r="AC156" s="31">
        <f t="shared" si="47"/>
        <v>0</v>
      </c>
      <c r="AD156" s="38">
        <f t="shared" si="48"/>
        <v>0</v>
      </c>
    </row>
    <row r="157" spans="1:30" ht="3" customHeight="1" x14ac:dyDescent="0.25">
      <c r="A157">
        <v>8108</v>
      </c>
      <c r="B157">
        <v>8210</v>
      </c>
      <c r="C157" t="s">
        <v>190</v>
      </c>
      <c r="D157" s="6" t="str">
        <f>+DATA!U153</f>
        <v>No</v>
      </c>
      <c r="E157" s="361">
        <f t="shared" si="33"/>
        <v>0</v>
      </c>
      <c r="F157" s="95">
        <f t="shared" si="41"/>
        <v>0</v>
      </c>
      <c r="G157" s="31">
        <f>IF(OR(D157="SI",D157="Sí"),VLOOKUP(A157,DATA!$A$4:$D$350,4,0),0)</f>
        <v>0</v>
      </c>
      <c r="H157" s="95">
        <f>IF(OR(D157="SI",D157="Sí"),VLOOKUP(A157,DATA!$A$4:$E$350,5,0),0)</f>
        <v>0</v>
      </c>
      <c r="I157" s="31">
        <f t="shared" si="42"/>
        <v>0</v>
      </c>
      <c r="J157" s="361">
        <f t="shared" si="34"/>
        <v>0</v>
      </c>
      <c r="K157" s="361">
        <f t="shared" si="35"/>
        <v>0</v>
      </c>
      <c r="L157" s="31">
        <f>IF(OR(D157="SI",D157="Sí"),VLOOKUP(A157,DATA!$A$4:$G$350,7,0),0)</f>
        <v>0</v>
      </c>
      <c r="M157" s="31">
        <f>IF(OR(D157="SI",D157="Sí"),VLOOKUP(A157,DATA!$A$4:$H$350,8,0),0)</f>
        <v>0</v>
      </c>
      <c r="N157" s="361">
        <f t="shared" si="36"/>
        <v>0</v>
      </c>
      <c r="O157" s="361">
        <f t="shared" si="43"/>
        <v>0</v>
      </c>
      <c r="P157" s="361">
        <f t="shared" si="37"/>
        <v>0</v>
      </c>
      <c r="Q157" s="31">
        <f>IF(OR(D157="SI",D157="Sí"),VLOOKUP(A157,DATA!$A$4:$P$350,14,0),0)</f>
        <v>0</v>
      </c>
      <c r="R157" s="121">
        <f t="shared" si="44"/>
        <v>0</v>
      </c>
      <c r="S157" s="31">
        <f>IF(AND(R157&gt;0,R157&lt;$R$7),ROUND(($R$7-R157)*G157,PARAMETROS!$L$8),0)</f>
        <v>0</v>
      </c>
      <c r="T157" s="122">
        <f t="shared" si="38"/>
        <v>0</v>
      </c>
      <c r="U157" s="117">
        <f t="shared" si="39"/>
        <v>0</v>
      </c>
      <c r="V157" s="117">
        <f>VLOOKUP(A157,DATA!$A$4:$V$350,DATA!$V$1,0)</f>
        <v>0</v>
      </c>
      <c r="W157" s="117">
        <f>VLOOKUP(A157,DATA!$A$4:$V$350,22,0)</f>
        <v>0</v>
      </c>
      <c r="X157" s="96">
        <f t="shared" si="40"/>
        <v>0</v>
      </c>
      <c r="Y157" s="31">
        <f>ROUND(X157*PARAMETROS!$H$35,0)</f>
        <v>0</v>
      </c>
      <c r="Z157" s="31">
        <f t="shared" si="45"/>
        <v>0</v>
      </c>
      <c r="AA157" s="31">
        <f t="shared" si="46"/>
        <v>0</v>
      </c>
      <c r="AB157" s="31">
        <f t="shared" si="47"/>
        <v>0</v>
      </c>
      <c r="AC157" s="31">
        <f t="shared" si="47"/>
        <v>0</v>
      </c>
      <c r="AD157" s="38">
        <f t="shared" si="48"/>
        <v>0</v>
      </c>
    </row>
    <row r="158" spans="1:30" ht="3" customHeight="1" x14ac:dyDescent="0.25">
      <c r="A158">
        <v>8109</v>
      </c>
      <c r="B158">
        <v>8209</v>
      </c>
      <c r="C158" t="s">
        <v>189</v>
      </c>
      <c r="D158" s="6" t="str">
        <f>+DATA!U154</f>
        <v>No</v>
      </c>
      <c r="E158" s="361">
        <f t="shared" si="33"/>
        <v>0</v>
      </c>
      <c r="F158" s="95">
        <f t="shared" si="41"/>
        <v>0</v>
      </c>
      <c r="G158" s="31">
        <f>IF(OR(D158="SI",D158="Sí"),VLOOKUP(A158,DATA!$A$4:$D$350,4,0),0)</f>
        <v>0</v>
      </c>
      <c r="H158" s="95">
        <f>IF(OR(D158="SI",D158="Sí"),VLOOKUP(A158,DATA!$A$4:$E$350,5,0),0)</f>
        <v>0</v>
      </c>
      <c r="I158" s="31">
        <f t="shared" si="42"/>
        <v>0</v>
      </c>
      <c r="J158" s="361">
        <f t="shared" si="34"/>
        <v>0</v>
      </c>
      <c r="K158" s="361">
        <f t="shared" si="35"/>
        <v>0</v>
      </c>
      <c r="L158" s="31">
        <f>IF(OR(D158="SI",D158="Sí"),VLOOKUP(A158,DATA!$A$4:$G$350,7,0),0)</f>
        <v>0</v>
      </c>
      <c r="M158" s="31">
        <f>IF(OR(D158="SI",D158="Sí"),VLOOKUP(A158,DATA!$A$4:$H$350,8,0),0)</f>
        <v>0</v>
      </c>
      <c r="N158" s="361">
        <f t="shared" si="36"/>
        <v>0</v>
      </c>
      <c r="O158" s="361">
        <f t="shared" si="43"/>
        <v>0</v>
      </c>
      <c r="P158" s="361">
        <f t="shared" si="37"/>
        <v>0</v>
      </c>
      <c r="Q158" s="31">
        <f>IF(OR(D158="SI",D158="Sí"),VLOOKUP(A158,DATA!$A$4:$P$350,14,0),0)</f>
        <v>0</v>
      </c>
      <c r="R158" s="121">
        <f t="shared" si="44"/>
        <v>0</v>
      </c>
      <c r="S158" s="31">
        <f>IF(AND(R158&gt;0,R158&lt;$R$7),ROUND(($R$7-R158)*G158,PARAMETROS!$L$8),0)</f>
        <v>0</v>
      </c>
      <c r="T158" s="122">
        <f t="shared" si="38"/>
        <v>0</v>
      </c>
      <c r="U158" s="117">
        <f t="shared" si="39"/>
        <v>0</v>
      </c>
      <c r="V158" s="117">
        <f>VLOOKUP(A158,DATA!$A$4:$V$350,DATA!$V$1,0)</f>
        <v>0</v>
      </c>
      <c r="W158" s="117">
        <f>VLOOKUP(A158,DATA!$A$4:$V$350,22,0)</f>
        <v>0</v>
      </c>
      <c r="X158" s="96">
        <f t="shared" si="40"/>
        <v>0</v>
      </c>
      <c r="Y158" s="31">
        <f>ROUND(X158*PARAMETROS!$H$35,0)</f>
        <v>0</v>
      </c>
      <c r="Z158" s="31">
        <f t="shared" si="45"/>
        <v>0</v>
      </c>
      <c r="AA158" s="31">
        <f t="shared" si="46"/>
        <v>0</v>
      </c>
      <c r="AB158" s="31">
        <f t="shared" si="47"/>
        <v>0</v>
      </c>
      <c r="AC158" s="31">
        <f t="shared" si="47"/>
        <v>0</v>
      </c>
      <c r="AD158" s="38">
        <f t="shared" si="48"/>
        <v>0</v>
      </c>
    </row>
    <row r="159" spans="1:30" ht="3" customHeight="1" x14ac:dyDescent="0.25">
      <c r="A159">
        <v>8110</v>
      </c>
      <c r="B159">
        <v>8206</v>
      </c>
      <c r="C159" t="s">
        <v>186</v>
      </c>
      <c r="D159" s="6" t="str">
        <f>+DATA!U155</f>
        <v>No</v>
      </c>
      <c r="E159" s="361">
        <f t="shared" si="33"/>
        <v>0</v>
      </c>
      <c r="F159" s="95">
        <f t="shared" si="41"/>
        <v>0</v>
      </c>
      <c r="G159" s="31">
        <f>IF(OR(D159="SI",D159="Sí"),VLOOKUP(A159,DATA!$A$4:$D$350,4,0),0)</f>
        <v>0</v>
      </c>
      <c r="H159" s="95">
        <f>IF(OR(D159="SI",D159="Sí"),VLOOKUP(A159,DATA!$A$4:$E$350,5,0),0)</f>
        <v>0</v>
      </c>
      <c r="I159" s="31">
        <f t="shared" si="42"/>
        <v>0</v>
      </c>
      <c r="J159" s="361">
        <f t="shared" si="34"/>
        <v>0</v>
      </c>
      <c r="K159" s="361">
        <f t="shared" si="35"/>
        <v>0</v>
      </c>
      <c r="L159" s="31">
        <f>IF(OR(D159="SI",D159="Sí"),VLOOKUP(A159,DATA!$A$4:$G$350,7,0),0)</f>
        <v>0</v>
      </c>
      <c r="M159" s="31">
        <f>IF(OR(D159="SI",D159="Sí"),VLOOKUP(A159,DATA!$A$4:$H$350,8,0),0)</f>
        <v>0</v>
      </c>
      <c r="N159" s="361">
        <f t="shared" si="36"/>
        <v>0</v>
      </c>
      <c r="O159" s="361">
        <f t="shared" si="43"/>
        <v>0</v>
      </c>
      <c r="P159" s="361">
        <f t="shared" si="37"/>
        <v>0</v>
      </c>
      <c r="Q159" s="31">
        <f>IF(OR(D159="SI",D159="Sí"),VLOOKUP(A159,DATA!$A$4:$P$350,14,0),0)</f>
        <v>0</v>
      </c>
      <c r="R159" s="121">
        <f t="shared" si="44"/>
        <v>0</v>
      </c>
      <c r="S159" s="31">
        <f>IF(AND(R159&gt;0,R159&lt;$R$7),ROUND(($R$7-R159)*G159,PARAMETROS!$L$8),0)</f>
        <v>0</v>
      </c>
      <c r="T159" s="122">
        <f t="shared" si="38"/>
        <v>0</v>
      </c>
      <c r="U159" s="117">
        <f t="shared" si="39"/>
        <v>0</v>
      </c>
      <c r="V159" s="117">
        <f>VLOOKUP(A159,DATA!$A$4:$V$350,DATA!$V$1,0)</f>
        <v>0</v>
      </c>
      <c r="W159" s="117">
        <f>VLOOKUP(A159,DATA!$A$4:$V$350,22,0)</f>
        <v>0</v>
      </c>
      <c r="X159" s="96">
        <f t="shared" si="40"/>
        <v>0</v>
      </c>
      <c r="Y159" s="31">
        <f>ROUND(X159*PARAMETROS!$H$35,0)</f>
        <v>0</v>
      </c>
      <c r="Z159" s="31">
        <f t="shared" si="45"/>
        <v>0</v>
      </c>
      <c r="AA159" s="31">
        <f t="shared" si="46"/>
        <v>0</v>
      </c>
      <c r="AB159" s="31">
        <f t="shared" si="47"/>
        <v>0</v>
      </c>
      <c r="AC159" s="31">
        <f t="shared" si="47"/>
        <v>0</v>
      </c>
      <c r="AD159" s="38">
        <f t="shared" si="48"/>
        <v>0</v>
      </c>
    </row>
    <row r="160" spans="1:30" ht="3" customHeight="1" x14ac:dyDescent="0.25">
      <c r="A160">
        <v>8111</v>
      </c>
      <c r="B160">
        <v>8205</v>
      </c>
      <c r="C160" t="s">
        <v>396</v>
      </c>
      <c r="D160" s="6" t="str">
        <f>+DATA!U156</f>
        <v>No</v>
      </c>
      <c r="E160" s="361">
        <f t="shared" si="33"/>
        <v>0</v>
      </c>
      <c r="F160" s="95">
        <f t="shared" si="41"/>
        <v>0</v>
      </c>
      <c r="G160" s="31">
        <f>IF(OR(D160="SI",D160="Sí"),VLOOKUP(A160,DATA!$A$4:$D$350,4,0),0)</f>
        <v>0</v>
      </c>
      <c r="H160" s="95">
        <f>IF(OR(D160="SI",D160="Sí"),VLOOKUP(A160,DATA!$A$4:$E$350,5,0),0)</f>
        <v>0</v>
      </c>
      <c r="I160" s="31">
        <f t="shared" si="42"/>
        <v>0</v>
      </c>
      <c r="J160" s="361">
        <f t="shared" si="34"/>
        <v>0</v>
      </c>
      <c r="K160" s="361">
        <f t="shared" si="35"/>
        <v>0</v>
      </c>
      <c r="L160" s="31">
        <f>IF(OR(D160="SI",D160="Sí"),VLOOKUP(A160,DATA!$A$4:$G$350,7,0),0)</f>
        <v>0</v>
      </c>
      <c r="M160" s="31">
        <f>IF(OR(D160="SI",D160="Sí"),VLOOKUP(A160,DATA!$A$4:$H$350,8,0),0)</f>
        <v>0</v>
      </c>
      <c r="N160" s="361">
        <f t="shared" si="36"/>
        <v>0</v>
      </c>
      <c r="O160" s="361">
        <f t="shared" si="43"/>
        <v>0</v>
      </c>
      <c r="P160" s="361">
        <f t="shared" si="37"/>
        <v>0</v>
      </c>
      <c r="Q160" s="31">
        <f>IF(OR(D160="SI",D160="Sí"),VLOOKUP(A160,DATA!$A$4:$P$350,14,0),0)</f>
        <v>0</v>
      </c>
      <c r="R160" s="121">
        <f t="shared" si="44"/>
        <v>0</v>
      </c>
      <c r="S160" s="31">
        <f>IF(AND(R160&gt;0,R160&lt;$R$7),ROUND(($R$7-R160)*G160,PARAMETROS!$L$8),0)</f>
        <v>0</v>
      </c>
      <c r="T160" s="122">
        <f t="shared" si="38"/>
        <v>0</v>
      </c>
      <c r="U160" s="117">
        <f t="shared" si="39"/>
        <v>0</v>
      </c>
      <c r="V160" s="117">
        <f>VLOOKUP(A160,DATA!$A$4:$V$350,DATA!$V$1,0)</f>
        <v>0</v>
      </c>
      <c r="W160" s="117">
        <f>VLOOKUP(A160,DATA!$A$4:$V$350,22,0)</f>
        <v>0</v>
      </c>
      <c r="X160" s="96">
        <f t="shared" si="40"/>
        <v>0</v>
      </c>
      <c r="Y160" s="31">
        <f>ROUND(X160*PARAMETROS!$H$35,0)</f>
        <v>0</v>
      </c>
      <c r="Z160" s="31">
        <f t="shared" si="45"/>
        <v>0</v>
      </c>
      <c r="AA160" s="31">
        <f t="shared" si="46"/>
        <v>0</v>
      </c>
      <c r="AB160" s="31">
        <f t="shared" si="47"/>
        <v>0</v>
      </c>
      <c r="AC160" s="31">
        <f t="shared" si="47"/>
        <v>0</v>
      </c>
      <c r="AD160" s="38">
        <f t="shared" si="48"/>
        <v>0</v>
      </c>
    </row>
    <row r="161" spans="1:30" ht="3" customHeight="1" x14ac:dyDescent="0.25">
      <c r="A161">
        <v>8112</v>
      </c>
      <c r="B161">
        <v>8212</v>
      </c>
      <c r="C161" t="s">
        <v>397</v>
      </c>
      <c r="D161" s="6" t="str">
        <f>+DATA!U157</f>
        <v>No</v>
      </c>
      <c r="E161" s="361">
        <f t="shared" si="33"/>
        <v>0</v>
      </c>
      <c r="F161" s="95">
        <f t="shared" si="41"/>
        <v>0</v>
      </c>
      <c r="G161" s="31">
        <f>IF(OR(D161="SI",D161="Sí"),VLOOKUP(A161,DATA!$A$4:$D$350,4,0),0)</f>
        <v>0</v>
      </c>
      <c r="H161" s="95">
        <f>IF(OR(D161="SI",D161="Sí"),VLOOKUP(A161,DATA!$A$4:$E$350,5,0),0)</f>
        <v>0</v>
      </c>
      <c r="I161" s="31">
        <f t="shared" si="42"/>
        <v>0</v>
      </c>
      <c r="J161" s="361">
        <f t="shared" si="34"/>
        <v>0</v>
      </c>
      <c r="K161" s="361">
        <f t="shared" si="35"/>
        <v>0</v>
      </c>
      <c r="L161" s="31">
        <f>IF(OR(D161="SI",D161="Sí"),VLOOKUP(A161,DATA!$A$4:$G$350,7,0),0)</f>
        <v>0</v>
      </c>
      <c r="M161" s="31">
        <f>IF(OR(D161="SI",D161="Sí"),VLOOKUP(A161,DATA!$A$4:$H$350,8,0),0)</f>
        <v>0</v>
      </c>
      <c r="N161" s="361">
        <f t="shared" si="36"/>
        <v>0</v>
      </c>
      <c r="O161" s="361">
        <f t="shared" si="43"/>
        <v>0</v>
      </c>
      <c r="P161" s="361">
        <f t="shared" si="37"/>
        <v>0</v>
      </c>
      <c r="Q161" s="31">
        <f>IF(OR(D161="SI",D161="Sí"),VLOOKUP(A161,DATA!$A$4:$P$350,14,0),0)</f>
        <v>0</v>
      </c>
      <c r="R161" s="121">
        <f t="shared" si="44"/>
        <v>0</v>
      </c>
      <c r="S161" s="31">
        <f>IF(AND(R161&gt;0,R161&lt;$R$7),ROUND(($R$7-R161)*G161,PARAMETROS!$L$8),0)</f>
        <v>0</v>
      </c>
      <c r="T161" s="122">
        <f t="shared" si="38"/>
        <v>0</v>
      </c>
      <c r="U161" s="117">
        <f t="shared" si="39"/>
        <v>0</v>
      </c>
      <c r="V161" s="117">
        <f>VLOOKUP(A161,DATA!$A$4:$V$350,DATA!$V$1,0)</f>
        <v>0</v>
      </c>
      <c r="W161" s="117">
        <f>VLOOKUP(A161,DATA!$A$4:$V$350,22,0)</f>
        <v>0</v>
      </c>
      <c r="X161" s="96">
        <f t="shared" si="40"/>
        <v>0</v>
      </c>
      <c r="Y161" s="31">
        <f>ROUND(X161*PARAMETROS!$H$35,0)</f>
        <v>0</v>
      </c>
      <c r="Z161" s="31">
        <f t="shared" si="45"/>
        <v>0</v>
      </c>
      <c r="AA161" s="31">
        <f t="shared" si="46"/>
        <v>0</v>
      </c>
      <c r="AB161" s="31">
        <f t="shared" si="47"/>
        <v>0</v>
      </c>
      <c r="AC161" s="31">
        <f t="shared" si="47"/>
        <v>0</v>
      </c>
      <c r="AD161" s="38">
        <f t="shared" si="48"/>
        <v>0</v>
      </c>
    </row>
    <row r="162" spans="1:30" ht="3" customHeight="1" x14ac:dyDescent="0.25">
      <c r="A162">
        <v>8201</v>
      </c>
      <c r="B162">
        <v>8303</v>
      </c>
      <c r="C162" t="s">
        <v>194</v>
      </c>
      <c r="D162" s="6" t="str">
        <f>+DATA!U158</f>
        <v>No</v>
      </c>
      <c r="E162" s="361">
        <f t="shared" si="33"/>
        <v>0</v>
      </c>
      <c r="F162" s="95">
        <f t="shared" si="41"/>
        <v>0</v>
      </c>
      <c r="G162" s="31">
        <f>IF(OR(D162="SI",D162="Sí"),VLOOKUP(A162,DATA!$A$4:$D$350,4,0),0)</f>
        <v>0</v>
      </c>
      <c r="H162" s="95">
        <f>IF(OR(D162="SI",D162="Sí"),VLOOKUP(A162,DATA!$A$4:$E$350,5,0),0)</f>
        <v>0</v>
      </c>
      <c r="I162" s="31">
        <f t="shared" si="42"/>
        <v>0</v>
      </c>
      <c r="J162" s="361">
        <f t="shared" si="34"/>
        <v>0</v>
      </c>
      <c r="K162" s="361">
        <f t="shared" si="35"/>
        <v>0</v>
      </c>
      <c r="L162" s="31">
        <f>IF(OR(D162="SI",D162="Sí"),VLOOKUP(A162,DATA!$A$4:$G$350,7,0),0)</f>
        <v>0</v>
      </c>
      <c r="M162" s="31">
        <f>IF(OR(D162="SI",D162="Sí"),VLOOKUP(A162,DATA!$A$4:$H$350,8,0),0)</f>
        <v>0</v>
      </c>
      <c r="N162" s="361">
        <f t="shared" si="36"/>
        <v>0</v>
      </c>
      <c r="O162" s="361">
        <f t="shared" si="43"/>
        <v>0</v>
      </c>
      <c r="P162" s="361">
        <f t="shared" si="37"/>
        <v>0</v>
      </c>
      <c r="Q162" s="31">
        <f>IF(OR(D162="SI",D162="Sí"),VLOOKUP(A162,DATA!$A$4:$P$350,14,0),0)</f>
        <v>0</v>
      </c>
      <c r="R162" s="121">
        <f t="shared" si="44"/>
        <v>0</v>
      </c>
      <c r="S162" s="31">
        <f>IF(AND(R162&gt;0,R162&lt;$R$7),ROUND(($R$7-R162)*G162,PARAMETROS!$L$8),0)</f>
        <v>0</v>
      </c>
      <c r="T162" s="122">
        <f t="shared" si="38"/>
        <v>0</v>
      </c>
      <c r="U162" s="117">
        <f t="shared" si="39"/>
        <v>0</v>
      </c>
      <c r="V162" s="117">
        <f>VLOOKUP(A162,DATA!$A$4:$V$350,DATA!$V$1,0)</f>
        <v>0</v>
      </c>
      <c r="W162" s="117">
        <f>VLOOKUP(A162,DATA!$A$4:$V$350,22,0)</f>
        <v>0</v>
      </c>
      <c r="X162" s="96">
        <f t="shared" si="40"/>
        <v>0</v>
      </c>
      <c r="Y162" s="31">
        <f>ROUND(X162*PARAMETROS!$H$35,0)</f>
        <v>0</v>
      </c>
      <c r="Z162" s="31">
        <f t="shared" si="45"/>
        <v>0</v>
      </c>
      <c r="AA162" s="31">
        <f t="shared" si="46"/>
        <v>0</v>
      </c>
      <c r="AB162" s="31">
        <f t="shared" si="47"/>
        <v>0</v>
      </c>
      <c r="AC162" s="31">
        <f t="shared" si="47"/>
        <v>0</v>
      </c>
      <c r="AD162" s="38">
        <f t="shared" si="48"/>
        <v>0</v>
      </c>
    </row>
    <row r="163" spans="1:30" ht="3" customHeight="1" x14ac:dyDescent="0.25">
      <c r="A163">
        <v>8202</v>
      </c>
      <c r="B163">
        <v>8301</v>
      </c>
      <c r="C163" t="s">
        <v>192</v>
      </c>
      <c r="D163" s="6" t="str">
        <f>+DATA!U159</f>
        <v>No</v>
      </c>
      <c r="E163" s="361">
        <f t="shared" si="33"/>
        <v>0</v>
      </c>
      <c r="F163" s="95">
        <f t="shared" si="41"/>
        <v>0</v>
      </c>
      <c r="G163" s="31">
        <f>IF(OR(D163="SI",D163="Sí"),VLOOKUP(A163,DATA!$A$4:$D$350,4,0),0)</f>
        <v>0</v>
      </c>
      <c r="H163" s="95">
        <f>IF(OR(D163="SI",D163="Sí"),VLOOKUP(A163,DATA!$A$4:$E$350,5,0),0)</f>
        <v>0</v>
      </c>
      <c r="I163" s="31">
        <f t="shared" si="42"/>
        <v>0</v>
      </c>
      <c r="J163" s="361">
        <f t="shared" si="34"/>
        <v>0</v>
      </c>
      <c r="K163" s="361">
        <f t="shared" si="35"/>
        <v>0</v>
      </c>
      <c r="L163" s="31">
        <f>IF(OR(D163="SI",D163="Sí"),VLOOKUP(A163,DATA!$A$4:$G$350,7,0),0)</f>
        <v>0</v>
      </c>
      <c r="M163" s="31">
        <f>IF(OR(D163="SI",D163="Sí"),VLOOKUP(A163,DATA!$A$4:$H$350,8,0),0)</f>
        <v>0</v>
      </c>
      <c r="N163" s="361">
        <f t="shared" si="36"/>
        <v>0</v>
      </c>
      <c r="O163" s="361">
        <f t="shared" si="43"/>
        <v>0</v>
      </c>
      <c r="P163" s="361">
        <f t="shared" si="37"/>
        <v>0</v>
      </c>
      <c r="Q163" s="31">
        <f>IF(OR(D163="SI",D163="Sí"),VLOOKUP(A163,DATA!$A$4:$P$350,14,0),0)</f>
        <v>0</v>
      </c>
      <c r="R163" s="121">
        <f t="shared" si="44"/>
        <v>0</v>
      </c>
      <c r="S163" s="31">
        <f>IF(AND(R163&gt;0,R163&lt;$R$7),ROUND(($R$7-R163)*G163,PARAMETROS!$L$8),0)</f>
        <v>0</v>
      </c>
      <c r="T163" s="122">
        <f t="shared" si="38"/>
        <v>0</v>
      </c>
      <c r="U163" s="117">
        <f t="shared" si="39"/>
        <v>0</v>
      </c>
      <c r="V163" s="117">
        <f>VLOOKUP(A163,DATA!$A$4:$V$350,DATA!$V$1,0)</f>
        <v>0</v>
      </c>
      <c r="W163" s="117">
        <f>VLOOKUP(A163,DATA!$A$4:$V$350,22,0)</f>
        <v>0</v>
      </c>
      <c r="X163" s="96">
        <f t="shared" si="40"/>
        <v>0</v>
      </c>
      <c r="Y163" s="31">
        <f>ROUND(X163*PARAMETROS!$H$35,0)</f>
        <v>0</v>
      </c>
      <c r="Z163" s="31">
        <f t="shared" si="45"/>
        <v>0</v>
      </c>
      <c r="AA163" s="31">
        <f t="shared" si="46"/>
        <v>0</v>
      </c>
      <c r="AB163" s="31">
        <f t="shared" si="47"/>
        <v>0</v>
      </c>
      <c r="AC163" s="31">
        <f t="shared" si="47"/>
        <v>0</v>
      </c>
      <c r="AD163" s="38">
        <f t="shared" si="48"/>
        <v>0</v>
      </c>
    </row>
    <row r="164" spans="1:30" ht="3" customHeight="1" x14ac:dyDescent="0.25">
      <c r="A164">
        <v>8203</v>
      </c>
      <c r="B164">
        <v>8305</v>
      </c>
      <c r="C164" t="s">
        <v>195</v>
      </c>
      <c r="D164" s="6" t="str">
        <f>+DATA!U160</f>
        <v>No</v>
      </c>
      <c r="E164" s="361">
        <f t="shared" si="33"/>
        <v>0</v>
      </c>
      <c r="F164" s="95">
        <f t="shared" si="41"/>
        <v>0</v>
      </c>
      <c r="G164" s="31">
        <f>IF(OR(D164="SI",D164="Sí"),VLOOKUP(A164,DATA!$A$4:$D$350,4,0),0)</f>
        <v>0</v>
      </c>
      <c r="H164" s="95">
        <f>IF(OR(D164="SI",D164="Sí"),VLOOKUP(A164,DATA!$A$4:$E$350,5,0),0)</f>
        <v>0</v>
      </c>
      <c r="I164" s="31">
        <f t="shared" si="42"/>
        <v>0</v>
      </c>
      <c r="J164" s="361">
        <f t="shared" si="34"/>
        <v>0</v>
      </c>
      <c r="K164" s="361">
        <f t="shared" si="35"/>
        <v>0</v>
      </c>
      <c r="L164" s="31">
        <f>IF(OR(D164="SI",D164="Sí"),VLOOKUP(A164,DATA!$A$4:$G$350,7,0),0)</f>
        <v>0</v>
      </c>
      <c r="M164" s="31">
        <f>IF(OR(D164="SI",D164="Sí"),VLOOKUP(A164,DATA!$A$4:$H$350,8,0),0)</f>
        <v>0</v>
      </c>
      <c r="N164" s="361">
        <f t="shared" si="36"/>
        <v>0</v>
      </c>
      <c r="O164" s="361">
        <f t="shared" si="43"/>
        <v>0</v>
      </c>
      <c r="P164" s="361">
        <f t="shared" si="37"/>
        <v>0</v>
      </c>
      <c r="Q164" s="31">
        <f>IF(OR(D164="SI",D164="Sí"),VLOOKUP(A164,DATA!$A$4:$P$350,14,0),0)</f>
        <v>0</v>
      </c>
      <c r="R164" s="121">
        <f t="shared" si="44"/>
        <v>0</v>
      </c>
      <c r="S164" s="31">
        <f>IF(AND(R164&gt;0,R164&lt;$R$7),ROUND(($R$7-R164)*G164,PARAMETROS!$L$8),0)</f>
        <v>0</v>
      </c>
      <c r="T164" s="122">
        <f t="shared" si="38"/>
        <v>0</v>
      </c>
      <c r="U164" s="117">
        <f t="shared" si="39"/>
        <v>0</v>
      </c>
      <c r="V164" s="117">
        <f>VLOOKUP(A164,DATA!$A$4:$V$350,DATA!$V$1,0)</f>
        <v>0</v>
      </c>
      <c r="W164" s="117">
        <f>VLOOKUP(A164,DATA!$A$4:$V$350,22,0)</f>
        <v>0</v>
      </c>
      <c r="X164" s="96">
        <f t="shared" si="40"/>
        <v>0</v>
      </c>
      <c r="Y164" s="31">
        <f>ROUND(X164*PARAMETROS!$H$35,0)</f>
        <v>0</v>
      </c>
      <c r="Z164" s="31">
        <f t="shared" si="45"/>
        <v>0</v>
      </c>
      <c r="AA164" s="31">
        <f t="shared" si="46"/>
        <v>0</v>
      </c>
      <c r="AB164" s="31">
        <f t="shared" si="47"/>
        <v>0</v>
      </c>
      <c r="AC164" s="31">
        <f t="shared" si="47"/>
        <v>0</v>
      </c>
      <c r="AD164" s="38">
        <f t="shared" si="48"/>
        <v>0</v>
      </c>
    </row>
    <row r="165" spans="1:30" ht="3" customHeight="1" x14ac:dyDescent="0.25">
      <c r="A165">
        <v>8204</v>
      </c>
      <c r="B165">
        <v>8306</v>
      </c>
      <c r="C165" t="s">
        <v>196</v>
      </c>
      <c r="D165" s="6" t="str">
        <f>+DATA!U161</f>
        <v>No</v>
      </c>
      <c r="E165" s="361">
        <f t="shared" si="33"/>
        <v>0</v>
      </c>
      <c r="F165" s="95">
        <f t="shared" si="41"/>
        <v>0</v>
      </c>
      <c r="G165" s="31">
        <f>IF(OR(D165="SI",D165="Sí"),VLOOKUP(A165,DATA!$A$4:$D$350,4,0),0)</f>
        <v>0</v>
      </c>
      <c r="H165" s="95">
        <f>IF(OR(D165="SI",D165="Sí"),VLOOKUP(A165,DATA!$A$4:$E$350,5,0),0)</f>
        <v>0</v>
      </c>
      <c r="I165" s="31">
        <f t="shared" si="42"/>
        <v>0</v>
      </c>
      <c r="J165" s="361">
        <f t="shared" si="34"/>
        <v>0</v>
      </c>
      <c r="K165" s="361">
        <f t="shared" si="35"/>
        <v>0</v>
      </c>
      <c r="L165" s="31">
        <f>IF(OR(D165="SI",D165="Sí"),VLOOKUP(A165,DATA!$A$4:$G$350,7,0),0)</f>
        <v>0</v>
      </c>
      <c r="M165" s="31">
        <f>IF(OR(D165="SI",D165="Sí"),VLOOKUP(A165,DATA!$A$4:$H$350,8,0),0)</f>
        <v>0</v>
      </c>
      <c r="N165" s="361">
        <f t="shared" si="36"/>
        <v>0</v>
      </c>
      <c r="O165" s="361">
        <f t="shared" si="43"/>
        <v>0</v>
      </c>
      <c r="P165" s="361">
        <f t="shared" si="37"/>
        <v>0</v>
      </c>
      <c r="Q165" s="31">
        <f>IF(OR(D165="SI",D165="Sí"),VLOOKUP(A165,DATA!$A$4:$P$350,14,0),0)</f>
        <v>0</v>
      </c>
      <c r="R165" s="121">
        <f t="shared" si="44"/>
        <v>0</v>
      </c>
      <c r="S165" s="31">
        <f>IF(AND(R165&gt;0,R165&lt;$R$7),ROUND(($R$7-R165)*G165,PARAMETROS!$L$8),0)</f>
        <v>0</v>
      </c>
      <c r="T165" s="122">
        <f t="shared" si="38"/>
        <v>0</v>
      </c>
      <c r="U165" s="117">
        <f t="shared" si="39"/>
        <v>0</v>
      </c>
      <c r="V165" s="117">
        <f>VLOOKUP(A165,DATA!$A$4:$V$350,DATA!$V$1,0)</f>
        <v>0</v>
      </c>
      <c r="W165" s="117">
        <f>VLOOKUP(A165,DATA!$A$4:$V$350,22,0)</f>
        <v>0</v>
      </c>
      <c r="X165" s="96">
        <f t="shared" si="40"/>
        <v>0</v>
      </c>
      <c r="Y165" s="31">
        <f>ROUND(X165*PARAMETROS!$H$35,0)</f>
        <v>0</v>
      </c>
      <c r="Z165" s="31">
        <f t="shared" si="45"/>
        <v>0</v>
      </c>
      <c r="AA165" s="31">
        <f t="shared" si="46"/>
        <v>0</v>
      </c>
      <c r="AB165" s="31">
        <f t="shared" si="47"/>
        <v>0</v>
      </c>
      <c r="AC165" s="31">
        <f t="shared" si="47"/>
        <v>0</v>
      </c>
      <c r="AD165" s="38">
        <f t="shared" si="48"/>
        <v>0</v>
      </c>
    </row>
    <row r="166" spans="1:30" ht="3" customHeight="1" x14ac:dyDescent="0.25">
      <c r="A166">
        <v>8205</v>
      </c>
      <c r="B166">
        <v>8302</v>
      </c>
      <c r="C166" t="s">
        <v>193</v>
      </c>
      <c r="D166" s="6" t="str">
        <f>+DATA!U162</f>
        <v>No</v>
      </c>
      <c r="E166" s="361">
        <f t="shared" si="33"/>
        <v>0</v>
      </c>
      <c r="F166" s="95">
        <f t="shared" si="41"/>
        <v>0</v>
      </c>
      <c r="G166" s="31">
        <f>IF(OR(D166="SI",D166="Sí"),VLOOKUP(A166,DATA!$A$4:$D$350,4,0),0)</f>
        <v>0</v>
      </c>
      <c r="H166" s="95">
        <f>IF(OR(D166="SI",D166="Sí"),VLOOKUP(A166,DATA!$A$4:$E$350,5,0),0)</f>
        <v>0</v>
      </c>
      <c r="I166" s="31">
        <f t="shared" si="42"/>
        <v>0</v>
      </c>
      <c r="J166" s="361">
        <f t="shared" si="34"/>
        <v>0</v>
      </c>
      <c r="K166" s="361">
        <f t="shared" si="35"/>
        <v>0</v>
      </c>
      <c r="L166" s="31">
        <f>IF(OR(D166="SI",D166="Sí"),VLOOKUP(A166,DATA!$A$4:$G$350,7,0),0)</f>
        <v>0</v>
      </c>
      <c r="M166" s="31">
        <f>IF(OR(D166="SI",D166="Sí"),VLOOKUP(A166,DATA!$A$4:$H$350,8,0),0)</f>
        <v>0</v>
      </c>
      <c r="N166" s="361">
        <f t="shared" si="36"/>
        <v>0</v>
      </c>
      <c r="O166" s="361">
        <f t="shared" si="43"/>
        <v>0</v>
      </c>
      <c r="P166" s="361">
        <f t="shared" si="37"/>
        <v>0</v>
      </c>
      <c r="Q166" s="31">
        <f>IF(OR(D166="SI",D166="Sí"),VLOOKUP(A166,DATA!$A$4:$P$350,14,0),0)</f>
        <v>0</v>
      </c>
      <c r="R166" s="121">
        <f t="shared" si="44"/>
        <v>0</v>
      </c>
      <c r="S166" s="31">
        <f>IF(AND(R166&gt;0,R166&lt;$R$7),ROUND(($R$7-R166)*G166,PARAMETROS!$L$8),0)</f>
        <v>0</v>
      </c>
      <c r="T166" s="122">
        <f t="shared" si="38"/>
        <v>0</v>
      </c>
      <c r="U166" s="117">
        <f t="shared" si="39"/>
        <v>0</v>
      </c>
      <c r="V166" s="117">
        <f>VLOOKUP(A166,DATA!$A$4:$V$350,DATA!$V$1,0)</f>
        <v>0</v>
      </c>
      <c r="W166" s="117">
        <f>VLOOKUP(A166,DATA!$A$4:$V$350,22,0)</f>
        <v>0</v>
      </c>
      <c r="X166" s="96">
        <f t="shared" si="40"/>
        <v>0</v>
      </c>
      <c r="Y166" s="31">
        <f>ROUND(X166*PARAMETROS!$H$35,0)</f>
        <v>0</v>
      </c>
      <c r="Z166" s="31">
        <f t="shared" si="45"/>
        <v>0</v>
      </c>
      <c r="AA166" s="31">
        <f t="shared" si="46"/>
        <v>0</v>
      </c>
      <c r="AB166" s="31">
        <f t="shared" si="47"/>
        <v>0</v>
      </c>
      <c r="AC166" s="31">
        <f t="shared" si="47"/>
        <v>0</v>
      </c>
      <c r="AD166" s="38">
        <f t="shared" si="48"/>
        <v>0</v>
      </c>
    </row>
    <row r="167" spans="1:30" ht="3" customHeight="1" x14ac:dyDescent="0.25">
      <c r="A167">
        <v>8206</v>
      </c>
      <c r="B167">
        <v>8304</v>
      </c>
      <c r="C167" t="s">
        <v>30</v>
      </c>
      <c r="D167" s="6" t="str">
        <f>+DATA!U163</f>
        <v>No</v>
      </c>
      <c r="E167" s="361">
        <f t="shared" si="33"/>
        <v>0</v>
      </c>
      <c r="F167" s="95">
        <f t="shared" si="41"/>
        <v>0</v>
      </c>
      <c r="G167" s="31">
        <f>IF(OR(D167="SI",D167="Sí"),VLOOKUP(A167,DATA!$A$4:$D$350,4,0),0)</f>
        <v>0</v>
      </c>
      <c r="H167" s="95">
        <f>IF(OR(D167="SI",D167="Sí"),VLOOKUP(A167,DATA!$A$4:$E$350,5,0),0)</f>
        <v>0</v>
      </c>
      <c r="I167" s="31">
        <f t="shared" si="42"/>
        <v>0</v>
      </c>
      <c r="J167" s="361">
        <f t="shared" si="34"/>
        <v>0</v>
      </c>
      <c r="K167" s="361">
        <f t="shared" si="35"/>
        <v>0</v>
      </c>
      <c r="L167" s="31">
        <f>IF(OR(D167="SI",D167="Sí"),VLOOKUP(A167,DATA!$A$4:$G$350,7,0),0)</f>
        <v>0</v>
      </c>
      <c r="M167" s="31">
        <f>IF(OR(D167="SI",D167="Sí"),VLOOKUP(A167,DATA!$A$4:$H$350,8,0),0)</f>
        <v>0</v>
      </c>
      <c r="N167" s="361">
        <f t="shared" si="36"/>
        <v>0</v>
      </c>
      <c r="O167" s="361">
        <f t="shared" si="43"/>
        <v>0</v>
      </c>
      <c r="P167" s="361">
        <f t="shared" si="37"/>
        <v>0</v>
      </c>
      <c r="Q167" s="31">
        <f>IF(OR(D167="SI",D167="Sí"),VLOOKUP(A167,DATA!$A$4:$P$350,14,0),0)</f>
        <v>0</v>
      </c>
      <c r="R167" s="121">
        <f t="shared" si="44"/>
        <v>0</v>
      </c>
      <c r="S167" s="31">
        <f>IF(AND(R167&gt;0,R167&lt;$R$7),ROUND(($R$7-R167)*G167,PARAMETROS!$L$8),0)</f>
        <v>0</v>
      </c>
      <c r="T167" s="122">
        <f t="shared" si="38"/>
        <v>0</v>
      </c>
      <c r="U167" s="117">
        <f t="shared" si="39"/>
        <v>0</v>
      </c>
      <c r="V167" s="117">
        <f>VLOOKUP(A167,DATA!$A$4:$V$350,DATA!$V$1,0)</f>
        <v>0</v>
      </c>
      <c r="W167" s="117">
        <f>VLOOKUP(A167,DATA!$A$4:$V$350,22,0)</f>
        <v>0</v>
      </c>
      <c r="X167" s="96">
        <f t="shared" si="40"/>
        <v>0</v>
      </c>
      <c r="Y167" s="31">
        <f>ROUND(X167*PARAMETROS!$H$35,0)</f>
        <v>0</v>
      </c>
      <c r="Z167" s="31">
        <f t="shared" si="45"/>
        <v>0</v>
      </c>
      <c r="AA167" s="31">
        <f t="shared" si="46"/>
        <v>0</v>
      </c>
      <c r="AB167" s="31">
        <f t="shared" si="47"/>
        <v>0</v>
      </c>
      <c r="AC167" s="31">
        <f t="shared" si="47"/>
        <v>0</v>
      </c>
      <c r="AD167" s="38">
        <f t="shared" si="48"/>
        <v>0</v>
      </c>
    </row>
    <row r="168" spans="1:30" ht="3" customHeight="1" x14ac:dyDescent="0.25">
      <c r="A168">
        <v>8207</v>
      </c>
      <c r="B168">
        <v>8307</v>
      </c>
      <c r="C168" t="s">
        <v>31</v>
      </c>
      <c r="D168" s="6" t="str">
        <f>+DATA!U164</f>
        <v>No</v>
      </c>
      <c r="E168" s="361">
        <f t="shared" si="33"/>
        <v>0</v>
      </c>
      <c r="F168" s="95">
        <f t="shared" si="41"/>
        <v>0</v>
      </c>
      <c r="G168" s="31">
        <f>IF(OR(D168="SI",D168="Sí"),VLOOKUP(A168,DATA!$A$4:$D$350,4,0),0)</f>
        <v>0</v>
      </c>
      <c r="H168" s="95">
        <f>IF(OR(D168="SI",D168="Sí"),VLOOKUP(A168,DATA!$A$4:$E$350,5,0),0)</f>
        <v>0</v>
      </c>
      <c r="I168" s="31">
        <f t="shared" si="42"/>
        <v>0</v>
      </c>
      <c r="J168" s="361">
        <f t="shared" si="34"/>
        <v>0</v>
      </c>
      <c r="K168" s="361">
        <f t="shared" si="35"/>
        <v>0</v>
      </c>
      <c r="L168" s="31">
        <f>IF(OR(D168="SI",D168="Sí"),VLOOKUP(A168,DATA!$A$4:$G$350,7,0),0)</f>
        <v>0</v>
      </c>
      <c r="M168" s="31">
        <f>IF(OR(D168="SI",D168="Sí"),VLOOKUP(A168,DATA!$A$4:$H$350,8,0),0)</f>
        <v>0</v>
      </c>
      <c r="N168" s="361">
        <f t="shared" si="36"/>
        <v>0</v>
      </c>
      <c r="O168" s="361">
        <f t="shared" si="43"/>
        <v>0</v>
      </c>
      <c r="P168" s="361">
        <f t="shared" si="37"/>
        <v>0</v>
      </c>
      <c r="Q168" s="31">
        <f>IF(OR(D168="SI",D168="Sí"),VLOOKUP(A168,DATA!$A$4:$P$350,14,0),0)</f>
        <v>0</v>
      </c>
      <c r="R168" s="121">
        <f t="shared" si="44"/>
        <v>0</v>
      </c>
      <c r="S168" s="31">
        <f>IF(AND(R168&gt;0,R168&lt;$R$7),ROUND(($R$7-R168)*G168,PARAMETROS!$L$8),0)</f>
        <v>0</v>
      </c>
      <c r="T168" s="122">
        <f t="shared" si="38"/>
        <v>0</v>
      </c>
      <c r="U168" s="117">
        <f t="shared" si="39"/>
        <v>0</v>
      </c>
      <c r="V168" s="117">
        <f>VLOOKUP(A168,DATA!$A$4:$V$350,DATA!$V$1,0)</f>
        <v>0</v>
      </c>
      <c r="W168" s="117">
        <f>VLOOKUP(A168,DATA!$A$4:$V$350,22,0)</f>
        <v>0</v>
      </c>
      <c r="X168" s="96">
        <f t="shared" si="40"/>
        <v>0</v>
      </c>
      <c r="Y168" s="31">
        <f>ROUND(X168*PARAMETROS!$H$35,0)</f>
        <v>0</v>
      </c>
      <c r="Z168" s="31">
        <f t="shared" si="45"/>
        <v>0</v>
      </c>
      <c r="AA168" s="31">
        <f t="shared" si="46"/>
        <v>0</v>
      </c>
      <c r="AB168" s="31">
        <f t="shared" si="47"/>
        <v>0</v>
      </c>
      <c r="AC168" s="31">
        <f t="shared" si="47"/>
        <v>0</v>
      </c>
      <c r="AD168" s="38">
        <f t="shared" si="48"/>
        <v>0</v>
      </c>
    </row>
    <row r="169" spans="1:30" ht="3" customHeight="1" x14ac:dyDescent="0.25">
      <c r="A169">
        <v>8301</v>
      </c>
      <c r="B169">
        <v>8401</v>
      </c>
      <c r="C169" t="s">
        <v>32</v>
      </c>
      <c r="D169" s="6" t="str">
        <f>+DATA!U165</f>
        <v>No</v>
      </c>
      <c r="E169" s="361">
        <f t="shared" si="33"/>
        <v>0</v>
      </c>
      <c r="F169" s="95">
        <f t="shared" si="41"/>
        <v>0</v>
      </c>
      <c r="G169" s="31">
        <f>IF(OR(D169="SI",D169="Sí"),VLOOKUP(A169,DATA!$A$4:$D$350,4,0),0)</f>
        <v>0</v>
      </c>
      <c r="H169" s="95">
        <f>IF(OR(D169="SI",D169="Sí"),VLOOKUP(A169,DATA!$A$4:$E$350,5,0),0)</f>
        <v>0</v>
      </c>
      <c r="I169" s="31">
        <f t="shared" si="42"/>
        <v>0</v>
      </c>
      <c r="J169" s="361">
        <f t="shared" si="34"/>
        <v>0</v>
      </c>
      <c r="K169" s="361">
        <f t="shared" si="35"/>
        <v>0</v>
      </c>
      <c r="L169" s="31">
        <f>IF(OR(D169="SI",D169="Sí"),VLOOKUP(A169,DATA!$A$4:$G$350,7,0),0)</f>
        <v>0</v>
      </c>
      <c r="M169" s="31">
        <f>IF(OR(D169="SI",D169="Sí"),VLOOKUP(A169,DATA!$A$4:$H$350,8,0),0)</f>
        <v>0</v>
      </c>
      <c r="N169" s="361">
        <f t="shared" si="36"/>
        <v>0</v>
      </c>
      <c r="O169" s="361">
        <f t="shared" si="43"/>
        <v>0</v>
      </c>
      <c r="P169" s="361">
        <f t="shared" si="37"/>
        <v>0</v>
      </c>
      <c r="Q169" s="31">
        <f>IF(OR(D169="SI",D169="Sí"),VLOOKUP(A169,DATA!$A$4:$P$350,14,0),0)</f>
        <v>0</v>
      </c>
      <c r="R169" s="121">
        <f t="shared" si="44"/>
        <v>0</v>
      </c>
      <c r="S169" s="31">
        <f>IF(AND(R169&gt;0,R169&lt;$R$7),ROUND(($R$7-R169)*G169,PARAMETROS!$L$8),0)</f>
        <v>0</v>
      </c>
      <c r="T169" s="122">
        <f t="shared" si="38"/>
        <v>0</v>
      </c>
      <c r="U169" s="117">
        <f t="shared" si="39"/>
        <v>0</v>
      </c>
      <c r="V169" s="117">
        <f>VLOOKUP(A169,DATA!$A$4:$V$350,DATA!$V$1,0)</f>
        <v>0</v>
      </c>
      <c r="W169" s="117">
        <f>VLOOKUP(A169,DATA!$A$4:$V$350,22,0)</f>
        <v>0</v>
      </c>
      <c r="X169" s="96">
        <f t="shared" si="40"/>
        <v>0</v>
      </c>
      <c r="Y169" s="31">
        <f>ROUND(X169*PARAMETROS!$H$35,0)</f>
        <v>0</v>
      </c>
      <c r="Z169" s="31">
        <f t="shared" si="45"/>
        <v>0</v>
      </c>
      <c r="AA169" s="31">
        <f t="shared" si="46"/>
        <v>0</v>
      </c>
      <c r="AB169" s="31">
        <f t="shared" si="47"/>
        <v>0</v>
      </c>
      <c r="AC169" s="31">
        <f t="shared" si="47"/>
        <v>0</v>
      </c>
      <c r="AD169" s="38">
        <f t="shared" si="48"/>
        <v>0</v>
      </c>
    </row>
    <row r="170" spans="1:30" ht="3" customHeight="1" x14ac:dyDescent="0.25">
      <c r="A170">
        <v>8302</v>
      </c>
      <c r="B170">
        <v>8413</v>
      </c>
      <c r="C170" t="s">
        <v>206</v>
      </c>
      <c r="D170" s="6" t="str">
        <f>+DATA!U166</f>
        <v>No</v>
      </c>
      <c r="E170" s="361">
        <f t="shared" si="33"/>
        <v>0</v>
      </c>
      <c r="F170" s="95">
        <f t="shared" si="41"/>
        <v>0</v>
      </c>
      <c r="G170" s="31">
        <f>IF(OR(D170="SI",D170="Sí"),VLOOKUP(A170,DATA!$A$4:$D$350,4,0),0)</f>
        <v>0</v>
      </c>
      <c r="H170" s="95">
        <f>IF(OR(D170="SI",D170="Sí"),VLOOKUP(A170,DATA!$A$4:$E$350,5,0),0)</f>
        <v>0</v>
      </c>
      <c r="I170" s="31">
        <f t="shared" si="42"/>
        <v>0</v>
      </c>
      <c r="J170" s="361">
        <f t="shared" si="34"/>
        <v>0</v>
      </c>
      <c r="K170" s="361">
        <f t="shared" si="35"/>
        <v>0</v>
      </c>
      <c r="L170" s="31">
        <f>IF(OR(D170="SI",D170="Sí"),VLOOKUP(A170,DATA!$A$4:$G$350,7,0),0)</f>
        <v>0</v>
      </c>
      <c r="M170" s="31">
        <f>IF(OR(D170="SI",D170="Sí"),VLOOKUP(A170,DATA!$A$4:$H$350,8,0),0)</f>
        <v>0</v>
      </c>
      <c r="N170" s="361">
        <f t="shared" si="36"/>
        <v>0</v>
      </c>
      <c r="O170" s="361">
        <f t="shared" si="43"/>
        <v>0</v>
      </c>
      <c r="P170" s="361">
        <f t="shared" si="37"/>
        <v>0</v>
      </c>
      <c r="Q170" s="31">
        <f>IF(OR(D170="SI",D170="Sí"),VLOOKUP(A170,DATA!$A$4:$P$350,14,0),0)</f>
        <v>0</v>
      </c>
      <c r="R170" s="121">
        <f t="shared" si="44"/>
        <v>0</v>
      </c>
      <c r="S170" s="31">
        <f>IF(AND(R170&gt;0,R170&lt;$R$7),ROUND(($R$7-R170)*G170,PARAMETROS!$L$8),0)</f>
        <v>0</v>
      </c>
      <c r="T170" s="122">
        <f t="shared" si="38"/>
        <v>0</v>
      </c>
      <c r="U170" s="117">
        <f t="shared" si="39"/>
        <v>0</v>
      </c>
      <c r="V170" s="117">
        <f>VLOOKUP(A170,DATA!$A$4:$V$350,DATA!$V$1,0)</f>
        <v>0</v>
      </c>
      <c r="W170" s="117">
        <f>VLOOKUP(A170,DATA!$A$4:$V$350,22,0)</f>
        <v>0</v>
      </c>
      <c r="X170" s="96">
        <f t="shared" si="40"/>
        <v>0</v>
      </c>
      <c r="Y170" s="31">
        <f>ROUND(X170*PARAMETROS!$H$35,0)</f>
        <v>0</v>
      </c>
      <c r="Z170" s="31">
        <f t="shared" si="45"/>
        <v>0</v>
      </c>
      <c r="AA170" s="31">
        <f t="shared" si="46"/>
        <v>0</v>
      </c>
      <c r="AB170" s="31">
        <f t="shared" si="47"/>
        <v>0</v>
      </c>
      <c r="AC170" s="31">
        <f t="shared" si="47"/>
        <v>0</v>
      </c>
      <c r="AD170" s="38">
        <f t="shared" si="48"/>
        <v>0</v>
      </c>
    </row>
    <row r="171" spans="1:30" ht="3" customHeight="1" x14ac:dyDescent="0.25">
      <c r="A171">
        <v>8303</v>
      </c>
      <c r="B171">
        <v>8410</v>
      </c>
      <c r="C171" t="s">
        <v>203</v>
      </c>
      <c r="D171" s="6" t="str">
        <f>+DATA!U167</f>
        <v>No</v>
      </c>
      <c r="E171" s="361">
        <f t="shared" si="33"/>
        <v>0</v>
      </c>
      <c r="F171" s="95">
        <f t="shared" si="41"/>
        <v>0</v>
      </c>
      <c r="G171" s="31">
        <f>IF(OR(D171="SI",D171="Sí"),VLOOKUP(A171,DATA!$A$4:$D$350,4,0),0)</f>
        <v>0</v>
      </c>
      <c r="H171" s="95">
        <f>IF(OR(D171="SI",D171="Sí"),VLOOKUP(A171,DATA!$A$4:$E$350,5,0),0)</f>
        <v>0</v>
      </c>
      <c r="I171" s="31">
        <f t="shared" si="42"/>
        <v>0</v>
      </c>
      <c r="J171" s="361">
        <f t="shared" si="34"/>
        <v>0</v>
      </c>
      <c r="K171" s="361">
        <f t="shared" si="35"/>
        <v>0</v>
      </c>
      <c r="L171" s="31">
        <f>IF(OR(D171="SI",D171="Sí"),VLOOKUP(A171,DATA!$A$4:$G$350,7,0),0)</f>
        <v>0</v>
      </c>
      <c r="M171" s="31">
        <f>IF(OR(D171="SI",D171="Sí"),VLOOKUP(A171,DATA!$A$4:$H$350,8,0),0)</f>
        <v>0</v>
      </c>
      <c r="N171" s="361">
        <f t="shared" si="36"/>
        <v>0</v>
      </c>
      <c r="O171" s="361">
        <f t="shared" si="43"/>
        <v>0</v>
      </c>
      <c r="P171" s="361">
        <f t="shared" si="37"/>
        <v>0</v>
      </c>
      <c r="Q171" s="31">
        <f>IF(OR(D171="SI",D171="Sí"),VLOOKUP(A171,DATA!$A$4:$P$350,14,0),0)</f>
        <v>0</v>
      </c>
      <c r="R171" s="121">
        <f t="shared" si="44"/>
        <v>0</v>
      </c>
      <c r="S171" s="31">
        <f>IF(AND(R171&gt;0,R171&lt;$R$7),ROUND(($R$7-R171)*G171,PARAMETROS!$L$8),0)</f>
        <v>0</v>
      </c>
      <c r="T171" s="122">
        <f t="shared" si="38"/>
        <v>0</v>
      </c>
      <c r="U171" s="117">
        <f t="shared" si="39"/>
        <v>0</v>
      </c>
      <c r="V171" s="117">
        <f>VLOOKUP(A171,DATA!$A$4:$V$350,DATA!$V$1,0)</f>
        <v>0</v>
      </c>
      <c r="W171" s="117">
        <f>VLOOKUP(A171,DATA!$A$4:$V$350,22,0)</f>
        <v>0</v>
      </c>
      <c r="X171" s="96">
        <f t="shared" si="40"/>
        <v>0</v>
      </c>
      <c r="Y171" s="31">
        <f>ROUND(X171*PARAMETROS!$H$35,0)</f>
        <v>0</v>
      </c>
      <c r="Z171" s="31">
        <f t="shared" si="45"/>
        <v>0</v>
      </c>
      <c r="AA171" s="31">
        <f t="shared" si="46"/>
        <v>0</v>
      </c>
      <c r="AB171" s="31">
        <f t="shared" si="47"/>
        <v>0</v>
      </c>
      <c r="AC171" s="31">
        <f t="shared" si="47"/>
        <v>0</v>
      </c>
      <c r="AD171" s="38">
        <f t="shared" si="48"/>
        <v>0</v>
      </c>
    </row>
    <row r="172" spans="1:30" ht="3" customHeight="1" x14ac:dyDescent="0.25">
      <c r="A172">
        <v>8304</v>
      </c>
      <c r="B172">
        <v>8403</v>
      </c>
      <c r="C172" t="s">
        <v>197</v>
      </c>
      <c r="D172" s="6" t="str">
        <f>+DATA!U168</f>
        <v>No</v>
      </c>
      <c r="E172" s="361">
        <f t="shared" si="33"/>
        <v>0</v>
      </c>
      <c r="F172" s="95">
        <f t="shared" si="41"/>
        <v>0</v>
      </c>
      <c r="G172" s="31">
        <f>IF(OR(D172="SI",D172="Sí"),VLOOKUP(A172,DATA!$A$4:$D$350,4,0),0)</f>
        <v>0</v>
      </c>
      <c r="H172" s="95">
        <f>IF(OR(D172="SI",D172="Sí"),VLOOKUP(A172,DATA!$A$4:$E$350,5,0),0)</f>
        <v>0</v>
      </c>
      <c r="I172" s="31">
        <f t="shared" si="42"/>
        <v>0</v>
      </c>
      <c r="J172" s="361">
        <f t="shared" si="34"/>
        <v>0</v>
      </c>
      <c r="K172" s="361">
        <f t="shared" si="35"/>
        <v>0</v>
      </c>
      <c r="L172" s="31">
        <f>IF(OR(D172="SI",D172="Sí"),VLOOKUP(A172,DATA!$A$4:$G$350,7,0),0)</f>
        <v>0</v>
      </c>
      <c r="M172" s="31">
        <f>IF(OR(D172="SI",D172="Sí"),VLOOKUP(A172,DATA!$A$4:$H$350,8,0),0)</f>
        <v>0</v>
      </c>
      <c r="N172" s="361">
        <f t="shared" si="36"/>
        <v>0</v>
      </c>
      <c r="O172" s="361">
        <f t="shared" si="43"/>
        <v>0</v>
      </c>
      <c r="P172" s="361">
        <f t="shared" si="37"/>
        <v>0</v>
      </c>
      <c r="Q172" s="31">
        <f>IF(OR(D172="SI",D172="Sí"),VLOOKUP(A172,DATA!$A$4:$P$350,14,0),0)</f>
        <v>0</v>
      </c>
      <c r="R172" s="121">
        <f t="shared" si="44"/>
        <v>0</v>
      </c>
      <c r="S172" s="31">
        <f>IF(AND(R172&gt;0,R172&lt;$R$7),ROUND(($R$7-R172)*G172,PARAMETROS!$L$8),0)</f>
        <v>0</v>
      </c>
      <c r="T172" s="122">
        <f t="shared" si="38"/>
        <v>0</v>
      </c>
      <c r="U172" s="117">
        <f t="shared" si="39"/>
        <v>0</v>
      </c>
      <c r="V172" s="117">
        <f>VLOOKUP(A172,DATA!$A$4:$V$350,DATA!$V$1,0)</f>
        <v>0</v>
      </c>
      <c r="W172" s="117">
        <f>VLOOKUP(A172,DATA!$A$4:$V$350,22,0)</f>
        <v>0</v>
      </c>
      <c r="X172" s="96">
        <f t="shared" si="40"/>
        <v>0</v>
      </c>
      <c r="Y172" s="31">
        <f>ROUND(X172*PARAMETROS!$H$35,0)</f>
        <v>0</v>
      </c>
      <c r="Z172" s="31">
        <f t="shared" si="45"/>
        <v>0</v>
      </c>
      <c r="AA172" s="31">
        <f t="shared" si="46"/>
        <v>0</v>
      </c>
      <c r="AB172" s="31">
        <f t="shared" si="47"/>
        <v>0</v>
      </c>
      <c r="AC172" s="31">
        <f t="shared" si="47"/>
        <v>0</v>
      </c>
      <c r="AD172" s="38">
        <f t="shared" si="48"/>
        <v>0</v>
      </c>
    </row>
    <row r="173" spans="1:30" ht="3" customHeight="1" x14ac:dyDescent="0.25">
      <c r="A173">
        <v>8305</v>
      </c>
      <c r="B173">
        <v>8407</v>
      </c>
      <c r="C173" t="s">
        <v>398</v>
      </c>
      <c r="D173" s="6" t="str">
        <f>+DATA!U169</f>
        <v>No</v>
      </c>
      <c r="E173" s="361">
        <f t="shared" si="33"/>
        <v>0</v>
      </c>
      <c r="F173" s="95">
        <f t="shared" si="41"/>
        <v>0</v>
      </c>
      <c r="G173" s="31">
        <f>IF(OR(D173="SI",D173="Sí"),VLOOKUP(A173,DATA!$A$4:$D$350,4,0),0)</f>
        <v>0</v>
      </c>
      <c r="H173" s="95">
        <f>IF(OR(D173="SI",D173="Sí"),VLOOKUP(A173,DATA!$A$4:$E$350,5,0),0)</f>
        <v>0</v>
      </c>
      <c r="I173" s="31">
        <f t="shared" si="42"/>
        <v>0</v>
      </c>
      <c r="J173" s="361">
        <f t="shared" si="34"/>
        <v>0</v>
      </c>
      <c r="K173" s="361">
        <f t="shared" si="35"/>
        <v>0</v>
      </c>
      <c r="L173" s="31">
        <f>IF(OR(D173="SI",D173="Sí"),VLOOKUP(A173,DATA!$A$4:$G$350,7,0),0)</f>
        <v>0</v>
      </c>
      <c r="M173" s="31">
        <f>IF(OR(D173="SI",D173="Sí"),VLOOKUP(A173,DATA!$A$4:$H$350,8,0),0)</f>
        <v>0</v>
      </c>
      <c r="N173" s="361">
        <f t="shared" si="36"/>
        <v>0</v>
      </c>
      <c r="O173" s="361">
        <f t="shared" si="43"/>
        <v>0</v>
      </c>
      <c r="P173" s="361">
        <f t="shared" si="37"/>
        <v>0</v>
      </c>
      <c r="Q173" s="31">
        <f>IF(OR(D173="SI",D173="Sí"),VLOOKUP(A173,DATA!$A$4:$P$350,14,0),0)</f>
        <v>0</v>
      </c>
      <c r="R173" s="121">
        <f t="shared" si="44"/>
        <v>0</v>
      </c>
      <c r="S173" s="31">
        <f>IF(AND(R173&gt;0,R173&lt;$R$7),ROUND(($R$7-R173)*G173,PARAMETROS!$L$8),0)</f>
        <v>0</v>
      </c>
      <c r="T173" s="122">
        <f t="shared" si="38"/>
        <v>0</v>
      </c>
      <c r="U173" s="117">
        <f t="shared" si="39"/>
        <v>0</v>
      </c>
      <c r="V173" s="117">
        <f>VLOOKUP(A173,DATA!$A$4:$V$350,DATA!$V$1,0)</f>
        <v>0</v>
      </c>
      <c r="W173" s="117">
        <f>VLOOKUP(A173,DATA!$A$4:$V$350,22,0)</f>
        <v>0</v>
      </c>
      <c r="X173" s="96">
        <f t="shared" si="40"/>
        <v>0</v>
      </c>
      <c r="Y173" s="31">
        <f>ROUND(X173*PARAMETROS!$H$35,0)</f>
        <v>0</v>
      </c>
      <c r="Z173" s="31">
        <f t="shared" si="45"/>
        <v>0</v>
      </c>
      <c r="AA173" s="31">
        <f t="shared" si="46"/>
        <v>0</v>
      </c>
      <c r="AB173" s="31">
        <f t="shared" si="47"/>
        <v>0</v>
      </c>
      <c r="AC173" s="31">
        <f t="shared" si="47"/>
        <v>0</v>
      </c>
      <c r="AD173" s="38">
        <f t="shared" si="48"/>
        <v>0</v>
      </c>
    </row>
    <row r="174" spans="1:30" ht="3" customHeight="1" x14ac:dyDescent="0.25">
      <c r="A174">
        <v>8306</v>
      </c>
      <c r="B174">
        <v>8405</v>
      </c>
      <c r="C174" t="s">
        <v>199</v>
      </c>
      <c r="D174" s="6" t="str">
        <f>+DATA!U170</f>
        <v>No</v>
      </c>
      <c r="E174" s="361">
        <f t="shared" si="33"/>
        <v>0</v>
      </c>
      <c r="F174" s="95">
        <f t="shared" si="41"/>
        <v>0</v>
      </c>
      <c r="G174" s="31">
        <f>IF(OR(D174="SI",D174="Sí"),VLOOKUP(A174,DATA!$A$4:$D$350,4,0),0)</f>
        <v>0</v>
      </c>
      <c r="H174" s="95">
        <f>IF(OR(D174="SI",D174="Sí"),VLOOKUP(A174,DATA!$A$4:$E$350,5,0),0)</f>
        <v>0</v>
      </c>
      <c r="I174" s="31">
        <f t="shared" si="42"/>
        <v>0</v>
      </c>
      <c r="J174" s="361">
        <f t="shared" si="34"/>
        <v>0</v>
      </c>
      <c r="K174" s="361">
        <f t="shared" si="35"/>
        <v>0</v>
      </c>
      <c r="L174" s="31">
        <f>IF(OR(D174="SI",D174="Sí"),VLOOKUP(A174,DATA!$A$4:$G$350,7,0),0)</f>
        <v>0</v>
      </c>
      <c r="M174" s="31">
        <f>IF(OR(D174="SI",D174="Sí"),VLOOKUP(A174,DATA!$A$4:$H$350,8,0),0)</f>
        <v>0</v>
      </c>
      <c r="N174" s="361">
        <f t="shared" si="36"/>
        <v>0</v>
      </c>
      <c r="O174" s="361">
        <f t="shared" si="43"/>
        <v>0</v>
      </c>
      <c r="P174" s="361">
        <f t="shared" si="37"/>
        <v>0</v>
      </c>
      <c r="Q174" s="31">
        <f>IF(OR(D174="SI",D174="Sí"),VLOOKUP(A174,DATA!$A$4:$P$350,14,0),0)</f>
        <v>0</v>
      </c>
      <c r="R174" s="121">
        <f t="shared" si="44"/>
        <v>0</v>
      </c>
      <c r="S174" s="31">
        <f>IF(AND(R174&gt;0,R174&lt;$R$7),ROUND(($R$7-R174)*G174,PARAMETROS!$L$8),0)</f>
        <v>0</v>
      </c>
      <c r="T174" s="122">
        <f t="shared" si="38"/>
        <v>0</v>
      </c>
      <c r="U174" s="117">
        <f t="shared" si="39"/>
        <v>0</v>
      </c>
      <c r="V174" s="117">
        <f>VLOOKUP(A174,DATA!$A$4:$V$350,DATA!$V$1,0)</f>
        <v>0</v>
      </c>
      <c r="W174" s="117">
        <f>VLOOKUP(A174,DATA!$A$4:$V$350,22,0)</f>
        <v>0</v>
      </c>
      <c r="X174" s="96">
        <f t="shared" si="40"/>
        <v>0</v>
      </c>
      <c r="Y174" s="31">
        <f>ROUND(X174*PARAMETROS!$H$35,0)</f>
        <v>0</v>
      </c>
      <c r="Z174" s="31">
        <f t="shared" si="45"/>
        <v>0</v>
      </c>
      <c r="AA174" s="31">
        <f t="shared" si="46"/>
        <v>0</v>
      </c>
      <c r="AB174" s="31">
        <f t="shared" si="47"/>
        <v>0</v>
      </c>
      <c r="AC174" s="31">
        <f t="shared" si="47"/>
        <v>0</v>
      </c>
      <c r="AD174" s="38">
        <f t="shared" si="48"/>
        <v>0</v>
      </c>
    </row>
    <row r="175" spans="1:30" ht="3" customHeight="1" x14ac:dyDescent="0.25">
      <c r="A175">
        <v>8307</v>
      </c>
      <c r="B175">
        <v>8406</v>
      </c>
      <c r="C175" t="s">
        <v>200</v>
      </c>
      <c r="D175" s="6" t="str">
        <f>+DATA!U171</f>
        <v>No</v>
      </c>
      <c r="E175" s="361">
        <f t="shared" si="33"/>
        <v>0</v>
      </c>
      <c r="F175" s="95">
        <f t="shared" si="41"/>
        <v>0</v>
      </c>
      <c r="G175" s="31">
        <f>IF(OR(D175="SI",D175="Sí"),VLOOKUP(A175,DATA!$A$4:$D$350,4,0),0)</f>
        <v>0</v>
      </c>
      <c r="H175" s="95">
        <f>IF(OR(D175="SI",D175="Sí"),VLOOKUP(A175,DATA!$A$4:$E$350,5,0),0)</f>
        <v>0</v>
      </c>
      <c r="I175" s="31">
        <f t="shared" si="42"/>
        <v>0</v>
      </c>
      <c r="J175" s="361">
        <f t="shared" si="34"/>
        <v>0</v>
      </c>
      <c r="K175" s="361">
        <f t="shared" si="35"/>
        <v>0</v>
      </c>
      <c r="L175" s="31">
        <f>IF(OR(D175="SI",D175="Sí"),VLOOKUP(A175,DATA!$A$4:$G$350,7,0),0)</f>
        <v>0</v>
      </c>
      <c r="M175" s="31">
        <f>IF(OR(D175="SI",D175="Sí"),VLOOKUP(A175,DATA!$A$4:$H$350,8,0),0)</f>
        <v>0</v>
      </c>
      <c r="N175" s="361">
        <f t="shared" si="36"/>
        <v>0</v>
      </c>
      <c r="O175" s="361">
        <f t="shared" si="43"/>
        <v>0</v>
      </c>
      <c r="P175" s="361">
        <f t="shared" si="37"/>
        <v>0</v>
      </c>
      <c r="Q175" s="31">
        <f>IF(OR(D175="SI",D175="Sí"),VLOOKUP(A175,DATA!$A$4:$P$350,14,0),0)</f>
        <v>0</v>
      </c>
      <c r="R175" s="121">
        <f t="shared" si="44"/>
        <v>0</v>
      </c>
      <c r="S175" s="31">
        <f>IF(AND(R175&gt;0,R175&lt;$R$7),ROUND(($R$7-R175)*G175,PARAMETROS!$L$8),0)</f>
        <v>0</v>
      </c>
      <c r="T175" s="122">
        <f t="shared" si="38"/>
        <v>0</v>
      </c>
      <c r="U175" s="117">
        <f t="shared" si="39"/>
        <v>0</v>
      </c>
      <c r="V175" s="117">
        <f>VLOOKUP(A175,DATA!$A$4:$V$350,DATA!$V$1,0)</f>
        <v>0</v>
      </c>
      <c r="W175" s="117">
        <f>VLOOKUP(A175,DATA!$A$4:$V$350,22,0)</f>
        <v>0</v>
      </c>
      <c r="X175" s="96">
        <f t="shared" si="40"/>
        <v>0</v>
      </c>
      <c r="Y175" s="31">
        <f>ROUND(X175*PARAMETROS!$H$35,0)</f>
        <v>0</v>
      </c>
      <c r="Z175" s="31">
        <f t="shared" si="45"/>
        <v>0</v>
      </c>
      <c r="AA175" s="31">
        <f t="shared" si="46"/>
        <v>0</v>
      </c>
      <c r="AB175" s="31">
        <f t="shared" si="47"/>
        <v>0</v>
      </c>
      <c r="AC175" s="31">
        <f t="shared" si="47"/>
        <v>0</v>
      </c>
      <c r="AD175" s="38">
        <f t="shared" si="48"/>
        <v>0</v>
      </c>
    </row>
    <row r="176" spans="1:30" ht="3" customHeight="1" x14ac:dyDescent="0.25">
      <c r="A176">
        <v>8308</v>
      </c>
      <c r="B176">
        <v>8408</v>
      </c>
      <c r="C176" t="s">
        <v>201</v>
      </c>
      <c r="D176" s="6" t="str">
        <f>+DATA!U172</f>
        <v>No</v>
      </c>
      <c r="E176" s="361">
        <f t="shared" si="33"/>
        <v>0</v>
      </c>
      <c r="F176" s="95">
        <f t="shared" si="41"/>
        <v>0</v>
      </c>
      <c r="G176" s="31">
        <f>IF(OR(D176="SI",D176="Sí"),VLOOKUP(A176,DATA!$A$4:$D$350,4,0),0)</f>
        <v>0</v>
      </c>
      <c r="H176" s="95">
        <f>IF(OR(D176="SI",D176="Sí"),VLOOKUP(A176,DATA!$A$4:$E$350,5,0),0)</f>
        <v>0</v>
      </c>
      <c r="I176" s="31">
        <f t="shared" si="42"/>
        <v>0</v>
      </c>
      <c r="J176" s="361">
        <f t="shared" si="34"/>
        <v>0</v>
      </c>
      <c r="K176" s="361">
        <f t="shared" si="35"/>
        <v>0</v>
      </c>
      <c r="L176" s="31">
        <f>IF(OR(D176="SI",D176="Sí"),VLOOKUP(A176,DATA!$A$4:$G$350,7,0),0)</f>
        <v>0</v>
      </c>
      <c r="M176" s="31">
        <f>IF(OR(D176="SI",D176="Sí"),VLOOKUP(A176,DATA!$A$4:$H$350,8,0),0)</f>
        <v>0</v>
      </c>
      <c r="N176" s="361">
        <f t="shared" si="36"/>
        <v>0</v>
      </c>
      <c r="O176" s="361">
        <f t="shared" si="43"/>
        <v>0</v>
      </c>
      <c r="P176" s="361">
        <f t="shared" si="37"/>
        <v>0</v>
      </c>
      <c r="Q176" s="31">
        <f>IF(OR(D176="SI",D176="Sí"),VLOOKUP(A176,DATA!$A$4:$P$350,14,0),0)</f>
        <v>0</v>
      </c>
      <c r="R176" s="121">
        <f t="shared" si="44"/>
        <v>0</v>
      </c>
      <c r="S176" s="31">
        <f>IF(AND(R176&gt;0,R176&lt;$R$7),ROUND(($R$7-R176)*G176,PARAMETROS!$L$8),0)</f>
        <v>0</v>
      </c>
      <c r="T176" s="122">
        <f t="shared" si="38"/>
        <v>0</v>
      </c>
      <c r="U176" s="117">
        <f t="shared" si="39"/>
        <v>0</v>
      </c>
      <c r="V176" s="117">
        <f>VLOOKUP(A176,DATA!$A$4:$V$350,DATA!$V$1,0)</f>
        <v>0</v>
      </c>
      <c r="W176" s="117">
        <f>VLOOKUP(A176,DATA!$A$4:$V$350,22,0)</f>
        <v>0</v>
      </c>
      <c r="X176" s="96">
        <f t="shared" si="40"/>
        <v>0</v>
      </c>
      <c r="Y176" s="31">
        <f>ROUND(X176*PARAMETROS!$H$35,0)</f>
        <v>0</v>
      </c>
      <c r="Z176" s="31">
        <f t="shared" si="45"/>
        <v>0</v>
      </c>
      <c r="AA176" s="31">
        <f t="shared" si="46"/>
        <v>0</v>
      </c>
      <c r="AB176" s="31">
        <f t="shared" si="47"/>
        <v>0</v>
      </c>
      <c r="AC176" s="31">
        <f t="shared" si="47"/>
        <v>0</v>
      </c>
      <c r="AD176" s="38">
        <f t="shared" si="48"/>
        <v>0</v>
      </c>
    </row>
    <row r="177" spans="1:30" ht="3" customHeight="1" x14ac:dyDescent="0.25">
      <c r="A177">
        <v>8309</v>
      </c>
      <c r="B177">
        <v>8404</v>
      </c>
      <c r="C177" t="s">
        <v>198</v>
      </c>
      <c r="D177" s="6" t="str">
        <f>+DATA!U173</f>
        <v>No</v>
      </c>
      <c r="E177" s="361">
        <f t="shared" si="33"/>
        <v>0</v>
      </c>
      <c r="F177" s="95">
        <f t="shared" si="41"/>
        <v>0</v>
      </c>
      <c r="G177" s="31">
        <f>IF(OR(D177="SI",D177="Sí"),VLOOKUP(A177,DATA!$A$4:$D$350,4,0),0)</f>
        <v>0</v>
      </c>
      <c r="H177" s="95">
        <f>IF(OR(D177="SI",D177="Sí"),VLOOKUP(A177,DATA!$A$4:$E$350,5,0),0)</f>
        <v>0</v>
      </c>
      <c r="I177" s="31">
        <f t="shared" si="42"/>
        <v>0</v>
      </c>
      <c r="J177" s="361">
        <f t="shared" si="34"/>
        <v>0</v>
      </c>
      <c r="K177" s="361">
        <f t="shared" si="35"/>
        <v>0</v>
      </c>
      <c r="L177" s="31">
        <f>IF(OR(D177="SI",D177="Sí"),VLOOKUP(A177,DATA!$A$4:$G$350,7,0),0)</f>
        <v>0</v>
      </c>
      <c r="M177" s="31">
        <f>IF(OR(D177="SI",D177="Sí"),VLOOKUP(A177,DATA!$A$4:$H$350,8,0),0)</f>
        <v>0</v>
      </c>
      <c r="N177" s="361">
        <f t="shared" si="36"/>
        <v>0</v>
      </c>
      <c r="O177" s="361">
        <f t="shared" si="43"/>
        <v>0</v>
      </c>
      <c r="P177" s="361">
        <f t="shared" si="37"/>
        <v>0</v>
      </c>
      <c r="Q177" s="31">
        <f>IF(OR(D177="SI",D177="Sí"),VLOOKUP(A177,DATA!$A$4:$P$350,14,0),0)</f>
        <v>0</v>
      </c>
      <c r="R177" s="121">
        <f t="shared" si="44"/>
        <v>0</v>
      </c>
      <c r="S177" s="31">
        <f>IF(AND(R177&gt;0,R177&lt;$R$7),ROUND(($R$7-R177)*G177,PARAMETROS!$L$8),0)</f>
        <v>0</v>
      </c>
      <c r="T177" s="122">
        <f t="shared" si="38"/>
        <v>0</v>
      </c>
      <c r="U177" s="117">
        <f t="shared" si="39"/>
        <v>0</v>
      </c>
      <c r="V177" s="117">
        <f>VLOOKUP(A177,DATA!$A$4:$V$350,DATA!$V$1,0)</f>
        <v>0</v>
      </c>
      <c r="W177" s="117">
        <f>VLOOKUP(A177,DATA!$A$4:$V$350,22,0)</f>
        <v>0</v>
      </c>
      <c r="X177" s="96">
        <f t="shared" si="40"/>
        <v>0</v>
      </c>
      <c r="Y177" s="31">
        <f>ROUND(X177*PARAMETROS!$H$35,0)</f>
        <v>0</v>
      </c>
      <c r="Z177" s="31">
        <f t="shared" si="45"/>
        <v>0</v>
      </c>
      <c r="AA177" s="31">
        <f t="shared" si="46"/>
        <v>0</v>
      </c>
      <c r="AB177" s="31">
        <f t="shared" si="47"/>
        <v>0</v>
      </c>
      <c r="AC177" s="31">
        <f t="shared" si="47"/>
        <v>0</v>
      </c>
      <c r="AD177" s="38">
        <f t="shared" si="48"/>
        <v>0</v>
      </c>
    </row>
    <row r="178" spans="1:30" ht="3" customHeight="1" x14ac:dyDescent="0.25">
      <c r="A178">
        <v>8310</v>
      </c>
      <c r="B178">
        <v>8411</v>
      </c>
      <c r="C178" t="s">
        <v>204</v>
      </c>
      <c r="D178" s="6" t="str">
        <f>+DATA!U174</f>
        <v>No</v>
      </c>
      <c r="E178" s="361">
        <f t="shared" si="33"/>
        <v>0</v>
      </c>
      <c r="F178" s="95">
        <f t="shared" si="41"/>
        <v>0</v>
      </c>
      <c r="G178" s="31">
        <f>IF(OR(D178="SI",D178="Sí"),VLOOKUP(A178,DATA!$A$4:$D$350,4,0),0)</f>
        <v>0</v>
      </c>
      <c r="H178" s="95">
        <f>IF(OR(D178="SI",D178="Sí"),VLOOKUP(A178,DATA!$A$4:$E$350,5,0),0)</f>
        <v>0</v>
      </c>
      <c r="I178" s="31">
        <f t="shared" si="42"/>
        <v>0</v>
      </c>
      <c r="J178" s="361">
        <f t="shared" si="34"/>
        <v>0</v>
      </c>
      <c r="K178" s="361">
        <f t="shared" si="35"/>
        <v>0</v>
      </c>
      <c r="L178" s="31">
        <f>IF(OR(D178="SI",D178="Sí"),VLOOKUP(A178,DATA!$A$4:$G$350,7,0),0)</f>
        <v>0</v>
      </c>
      <c r="M178" s="31">
        <f>IF(OR(D178="SI",D178="Sí"),VLOOKUP(A178,DATA!$A$4:$H$350,8,0),0)</f>
        <v>0</v>
      </c>
      <c r="N178" s="361">
        <f t="shared" si="36"/>
        <v>0</v>
      </c>
      <c r="O178" s="361">
        <f t="shared" si="43"/>
        <v>0</v>
      </c>
      <c r="P178" s="361">
        <f t="shared" si="37"/>
        <v>0</v>
      </c>
      <c r="Q178" s="31">
        <f>IF(OR(D178="SI",D178="Sí"),VLOOKUP(A178,DATA!$A$4:$P$350,14,0),0)</f>
        <v>0</v>
      </c>
      <c r="R178" s="121">
        <f t="shared" si="44"/>
        <v>0</v>
      </c>
      <c r="S178" s="31">
        <f>IF(AND(R178&gt;0,R178&lt;$R$7),ROUND(($R$7-R178)*G178,PARAMETROS!$L$8),0)</f>
        <v>0</v>
      </c>
      <c r="T178" s="122">
        <f t="shared" si="38"/>
        <v>0</v>
      </c>
      <c r="U178" s="117">
        <f t="shared" si="39"/>
        <v>0</v>
      </c>
      <c r="V178" s="117">
        <f>VLOOKUP(A178,DATA!$A$4:$V$350,DATA!$V$1,0)</f>
        <v>0</v>
      </c>
      <c r="W178" s="117">
        <f>VLOOKUP(A178,DATA!$A$4:$V$350,22,0)</f>
        <v>0</v>
      </c>
      <c r="X178" s="96">
        <f t="shared" si="40"/>
        <v>0</v>
      </c>
      <c r="Y178" s="31">
        <f>ROUND(X178*PARAMETROS!$H$35,0)</f>
        <v>0</v>
      </c>
      <c r="Z178" s="31">
        <f t="shared" si="45"/>
        <v>0</v>
      </c>
      <c r="AA178" s="31">
        <f t="shared" si="46"/>
        <v>0</v>
      </c>
      <c r="AB178" s="31">
        <f t="shared" si="47"/>
        <v>0</v>
      </c>
      <c r="AC178" s="31">
        <f t="shared" si="47"/>
        <v>0</v>
      </c>
      <c r="AD178" s="38">
        <f t="shared" si="48"/>
        <v>0</v>
      </c>
    </row>
    <row r="179" spans="1:30" ht="3" customHeight="1" x14ac:dyDescent="0.25">
      <c r="A179">
        <v>8311</v>
      </c>
      <c r="B179">
        <v>8402</v>
      </c>
      <c r="C179" t="s">
        <v>399</v>
      </c>
      <c r="D179" s="6" t="str">
        <f>+DATA!U175</f>
        <v>No</v>
      </c>
      <c r="E179" s="361">
        <f t="shared" si="33"/>
        <v>0</v>
      </c>
      <c r="F179" s="95">
        <f t="shared" si="41"/>
        <v>0</v>
      </c>
      <c r="G179" s="31">
        <f>IF(OR(D179="SI",D179="Sí"),VLOOKUP(A179,DATA!$A$4:$D$350,4,0),0)</f>
        <v>0</v>
      </c>
      <c r="H179" s="95">
        <f>IF(OR(D179="SI",D179="Sí"),VLOOKUP(A179,DATA!$A$4:$E$350,5,0),0)</f>
        <v>0</v>
      </c>
      <c r="I179" s="31">
        <f t="shared" si="42"/>
        <v>0</v>
      </c>
      <c r="J179" s="361">
        <f t="shared" si="34"/>
        <v>0</v>
      </c>
      <c r="K179" s="361">
        <f t="shared" si="35"/>
        <v>0</v>
      </c>
      <c r="L179" s="31">
        <f>IF(OR(D179="SI",D179="Sí"),VLOOKUP(A179,DATA!$A$4:$G$350,7,0),0)</f>
        <v>0</v>
      </c>
      <c r="M179" s="31">
        <f>IF(OR(D179="SI",D179="Sí"),VLOOKUP(A179,DATA!$A$4:$H$350,8,0),0)</f>
        <v>0</v>
      </c>
      <c r="N179" s="361">
        <f t="shared" si="36"/>
        <v>0</v>
      </c>
      <c r="O179" s="361">
        <f t="shared" si="43"/>
        <v>0</v>
      </c>
      <c r="P179" s="361">
        <f t="shared" si="37"/>
        <v>0</v>
      </c>
      <c r="Q179" s="31">
        <f>IF(OR(D179="SI",D179="Sí"),VLOOKUP(A179,DATA!$A$4:$P$350,14,0),0)</f>
        <v>0</v>
      </c>
      <c r="R179" s="121">
        <f t="shared" si="44"/>
        <v>0</v>
      </c>
      <c r="S179" s="31">
        <f>IF(AND(R179&gt;0,R179&lt;$R$7),ROUND(($R$7-R179)*G179,PARAMETROS!$L$8),0)</f>
        <v>0</v>
      </c>
      <c r="T179" s="122">
        <f t="shared" si="38"/>
        <v>0</v>
      </c>
      <c r="U179" s="117">
        <f t="shared" si="39"/>
        <v>0</v>
      </c>
      <c r="V179" s="117">
        <f>VLOOKUP(A179,DATA!$A$4:$V$350,DATA!$V$1,0)</f>
        <v>0</v>
      </c>
      <c r="W179" s="117">
        <f>VLOOKUP(A179,DATA!$A$4:$V$350,22,0)</f>
        <v>0</v>
      </c>
      <c r="X179" s="96">
        <f t="shared" si="40"/>
        <v>0</v>
      </c>
      <c r="Y179" s="31">
        <f>ROUND(X179*PARAMETROS!$H$35,0)</f>
        <v>0</v>
      </c>
      <c r="Z179" s="31">
        <f t="shared" si="45"/>
        <v>0</v>
      </c>
      <c r="AA179" s="31">
        <f t="shared" si="46"/>
        <v>0</v>
      </c>
      <c r="AB179" s="31">
        <f t="shared" si="47"/>
        <v>0</v>
      </c>
      <c r="AC179" s="31">
        <f t="shared" si="47"/>
        <v>0</v>
      </c>
      <c r="AD179" s="38">
        <f t="shared" si="48"/>
        <v>0</v>
      </c>
    </row>
    <row r="180" spans="1:30" ht="3" customHeight="1" x14ac:dyDescent="0.25">
      <c r="A180">
        <v>8312</v>
      </c>
      <c r="B180">
        <v>8412</v>
      </c>
      <c r="C180" t="s">
        <v>205</v>
      </c>
      <c r="D180" s="6" t="str">
        <f>+DATA!U176</f>
        <v>No</v>
      </c>
      <c r="E180" s="361">
        <f t="shared" si="33"/>
        <v>0</v>
      </c>
      <c r="F180" s="95">
        <f t="shared" si="41"/>
        <v>0</v>
      </c>
      <c r="G180" s="31">
        <f>IF(OR(D180="SI",D180="Sí"),VLOOKUP(A180,DATA!$A$4:$D$350,4,0),0)</f>
        <v>0</v>
      </c>
      <c r="H180" s="95">
        <f>IF(OR(D180="SI",D180="Sí"),VLOOKUP(A180,DATA!$A$4:$E$350,5,0),0)</f>
        <v>0</v>
      </c>
      <c r="I180" s="31">
        <f t="shared" si="42"/>
        <v>0</v>
      </c>
      <c r="J180" s="361">
        <f t="shared" si="34"/>
        <v>0</v>
      </c>
      <c r="K180" s="361">
        <f t="shared" si="35"/>
        <v>0</v>
      </c>
      <c r="L180" s="31">
        <f>IF(OR(D180="SI",D180="Sí"),VLOOKUP(A180,DATA!$A$4:$G$350,7,0),0)</f>
        <v>0</v>
      </c>
      <c r="M180" s="31">
        <f>IF(OR(D180="SI",D180="Sí"),VLOOKUP(A180,DATA!$A$4:$H$350,8,0),0)</f>
        <v>0</v>
      </c>
      <c r="N180" s="361">
        <f t="shared" si="36"/>
        <v>0</v>
      </c>
      <c r="O180" s="361">
        <f t="shared" si="43"/>
        <v>0</v>
      </c>
      <c r="P180" s="361">
        <f t="shared" si="37"/>
        <v>0</v>
      </c>
      <c r="Q180" s="31">
        <f>IF(OR(D180="SI",D180="Sí"),VLOOKUP(A180,DATA!$A$4:$P$350,14,0),0)</f>
        <v>0</v>
      </c>
      <c r="R180" s="121">
        <f t="shared" si="44"/>
        <v>0</v>
      </c>
      <c r="S180" s="31">
        <f>IF(AND(R180&gt;0,R180&lt;$R$7),ROUND(($R$7-R180)*G180,PARAMETROS!$L$8),0)</f>
        <v>0</v>
      </c>
      <c r="T180" s="122">
        <f t="shared" si="38"/>
        <v>0</v>
      </c>
      <c r="U180" s="117">
        <f t="shared" si="39"/>
        <v>0</v>
      </c>
      <c r="V180" s="117">
        <f>VLOOKUP(A180,DATA!$A$4:$V$350,DATA!$V$1,0)</f>
        <v>0</v>
      </c>
      <c r="W180" s="117">
        <f>VLOOKUP(A180,DATA!$A$4:$V$350,22,0)</f>
        <v>0</v>
      </c>
      <c r="X180" s="96">
        <f t="shared" si="40"/>
        <v>0</v>
      </c>
      <c r="Y180" s="31">
        <f>ROUND(X180*PARAMETROS!$H$35,0)</f>
        <v>0</v>
      </c>
      <c r="Z180" s="31">
        <f t="shared" si="45"/>
        <v>0</v>
      </c>
      <c r="AA180" s="31">
        <f t="shared" si="46"/>
        <v>0</v>
      </c>
      <c r="AB180" s="31">
        <f t="shared" si="47"/>
        <v>0</v>
      </c>
      <c r="AC180" s="31">
        <f t="shared" si="47"/>
        <v>0</v>
      </c>
      <c r="AD180" s="38">
        <f t="shared" si="48"/>
        <v>0</v>
      </c>
    </row>
    <row r="181" spans="1:30" ht="3" customHeight="1" x14ac:dyDescent="0.25">
      <c r="A181">
        <v>8313</v>
      </c>
      <c r="B181">
        <v>8409</v>
      </c>
      <c r="C181" t="s">
        <v>202</v>
      </c>
      <c r="D181" s="6" t="str">
        <f>+DATA!U177</f>
        <v>No</v>
      </c>
      <c r="E181" s="361">
        <f t="shared" si="33"/>
        <v>0</v>
      </c>
      <c r="F181" s="95">
        <f t="shared" si="41"/>
        <v>0</v>
      </c>
      <c r="G181" s="31">
        <f>IF(OR(D181="SI",D181="Sí"),VLOOKUP(A181,DATA!$A$4:$D$350,4,0),0)</f>
        <v>0</v>
      </c>
      <c r="H181" s="95">
        <f>IF(OR(D181="SI",D181="Sí"),VLOOKUP(A181,DATA!$A$4:$E$350,5,0),0)</f>
        <v>0</v>
      </c>
      <c r="I181" s="31">
        <f t="shared" si="42"/>
        <v>0</v>
      </c>
      <c r="J181" s="361">
        <f t="shared" si="34"/>
        <v>0</v>
      </c>
      <c r="K181" s="361">
        <f t="shared" si="35"/>
        <v>0</v>
      </c>
      <c r="L181" s="31">
        <f>IF(OR(D181="SI",D181="Sí"),VLOOKUP(A181,DATA!$A$4:$G$350,7,0),0)</f>
        <v>0</v>
      </c>
      <c r="M181" s="31">
        <f>IF(OR(D181="SI",D181="Sí"),VLOOKUP(A181,DATA!$A$4:$H$350,8,0),0)</f>
        <v>0</v>
      </c>
      <c r="N181" s="361">
        <f t="shared" si="36"/>
        <v>0</v>
      </c>
      <c r="O181" s="361">
        <f t="shared" si="43"/>
        <v>0</v>
      </c>
      <c r="P181" s="361">
        <f t="shared" si="37"/>
        <v>0</v>
      </c>
      <c r="Q181" s="31">
        <f>IF(OR(D181="SI",D181="Sí"),VLOOKUP(A181,DATA!$A$4:$P$350,14,0),0)</f>
        <v>0</v>
      </c>
      <c r="R181" s="121">
        <f t="shared" si="44"/>
        <v>0</v>
      </c>
      <c r="S181" s="31">
        <f>IF(AND(R181&gt;0,R181&lt;$R$7),ROUND(($R$7-R181)*G181,PARAMETROS!$L$8),0)</f>
        <v>0</v>
      </c>
      <c r="T181" s="122">
        <f t="shared" si="38"/>
        <v>0</v>
      </c>
      <c r="U181" s="117">
        <f t="shared" si="39"/>
        <v>0</v>
      </c>
      <c r="V181" s="117">
        <f>VLOOKUP(A181,DATA!$A$4:$V$350,DATA!$V$1,0)</f>
        <v>0</v>
      </c>
      <c r="W181" s="117">
        <f>VLOOKUP(A181,DATA!$A$4:$V$350,22,0)</f>
        <v>0</v>
      </c>
      <c r="X181" s="96">
        <f t="shared" si="40"/>
        <v>0</v>
      </c>
      <c r="Y181" s="31">
        <f>ROUND(X181*PARAMETROS!$H$35,0)</f>
        <v>0</v>
      </c>
      <c r="Z181" s="31">
        <f t="shared" si="45"/>
        <v>0</v>
      </c>
      <c r="AA181" s="31">
        <f t="shared" si="46"/>
        <v>0</v>
      </c>
      <c r="AB181" s="31">
        <f t="shared" si="47"/>
        <v>0</v>
      </c>
      <c r="AC181" s="31">
        <f t="shared" si="47"/>
        <v>0</v>
      </c>
      <c r="AD181" s="38">
        <f t="shared" si="48"/>
        <v>0</v>
      </c>
    </row>
    <row r="182" spans="1:30" ht="3" customHeight="1" x14ac:dyDescent="0.25">
      <c r="A182">
        <v>8314</v>
      </c>
      <c r="B182">
        <v>8414</v>
      </c>
      <c r="C182" t="s">
        <v>400</v>
      </c>
      <c r="D182" s="6" t="str">
        <f>+DATA!U178</f>
        <v>No</v>
      </c>
      <c r="E182" s="361">
        <f t="shared" si="33"/>
        <v>0</v>
      </c>
      <c r="F182" s="95">
        <f t="shared" si="41"/>
        <v>0</v>
      </c>
      <c r="G182" s="31">
        <f>IF(OR(D182="SI",D182="Sí"),VLOOKUP(A182,DATA!$A$4:$D$350,4,0),0)</f>
        <v>0</v>
      </c>
      <c r="H182" s="95">
        <f>IF(OR(D182="SI",D182="Sí"),VLOOKUP(A182,DATA!$A$4:$E$350,5,0),0)</f>
        <v>0</v>
      </c>
      <c r="I182" s="31">
        <f t="shared" si="42"/>
        <v>0</v>
      </c>
      <c r="J182" s="361">
        <f t="shared" si="34"/>
        <v>0</v>
      </c>
      <c r="K182" s="361">
        <f t="shared" si="35"/>
        <v>0</v>
      </c>
      <c r="L182" s="31">
        <f>IF(OR(D182="SI",D182="Sí"),VLOOKUP(A182,DATA!$A$4:$G$350,7,0),0)</f>
        <v>0</v>
      </c>
      <c r="M182" s="31">
        <f>IF(OR(D182="SI",D182="Sí"),VLOOKUP(A182,DATA!$A$4:$H$350,8,0),0)</f>
        <v>0</v>
      </c>
      <c r="N182" s="361">
        <f t="shared" si="36"/>
        <v>0</v>
      </c>
      <c r="O182" s="361">
        <f t="shared" si="43"/>
        <v>0</v>
      </c>
      <c r="P182" s="361">
        <f t="shared" si="37"/>
        <v>0</v>
      </c>
      <c r="Q182" s="31">
        <f>IF(OR(D182="SI",D182="Sí"),VLOOKUP(A182,DATA!$A$4:$P$350,14,0),0)</f>
        <v>0</v>
      </c>
      <c r="R182" s="121">
        <f t="shared" si="44"/>
        <v>0</v>
      </c>
      <c r="S182" s="31">
        <f>IF(AND(R182&gt;0,R182&lt;$R$7),ROUND(($R$7-R182)*G182,PARAMETROS!$L$8),0)</f>
        <v>0</v>
      </c>
      <c r="T182" s="122">
        <f t="shared" si="38"/>
        <v>0</v>
      </c>
      <c r="U182" s="117">
        <f t="shared" si="39"/>
        <v>0</v>
      </c>
      <c r="V182" s="117">
        <f>VLOOKUP(A182,DATA!$A$4:$V$350,DATA!$V$1,0)</f>
        <v>0</v>
      </c>
      <c r="W182" s="117">
        <f>VLOOKUP(A182,DATA!$A$4:$V$350,22,0)</f>
        <v>0</v>
      </c>
      <c r="X182" s="96">
        <f t="shared" si="40"/>
        <v>0</v>
      </c>
      <c r="Y182" s="31">
        <f>ROUND(X182*PARAMETROS!$H$35,0)</f>
        <v>0</v>
      </c>
      <c r="Z182" s="31">
        <f t="shared" si="45"/>
        <v>0</v>
      </c>
      <c r="AA182" s="31">
        <f t="shared" si="46"/>
        <v>0</v>
      </c>
      <c r="AB182" s="31">
        <f t="shared" si="47"/>
        <v>0</v>
      </c>
      <c r="AC182" s="31">
        <f t="shared" si="47"/>
        <v>0</v>
      </c>
      <c r="AD182" s="38">
        <f t="shared" si="48"/>
        <v>0</v>
      </c>
    </row>
    <row r="183" spans="1:30" ht="3" customHeight="1" x14ac:dyDescent="0.25">
      <c r="A183">
        <v>9101</v>
      </c>
      <c r="B183">
        <v>9201</v>
      </c>
      <c r="C183" t="s">
        <v>215</v>
      </c>
      <c r="D183" s="6" t="str">
        <f>+DATA!U179</f>
        <v>No</v>
      </c>
      <c r="E183" s="361">
        <f t="shared" si="33"/>
        <v>0</v>
      </c>
      <c r="F183" s="95">
        <f t="shared" si="41"/>
        <v>0</v>
      </c>
      <c r="G183" s="31">
        <f>IF(OR(D183="SI",D183="Sí"),VLOOKUP(A183,DATA!$A$4:$D$350,4,0),0)</f>
        <v>0</v>
      </c>
      <c r="H183" s="95">
        <f>IF(OR(D183="SI",D183="Sí"),VLOOKUP(A183,DATA!$A$4:$E$350,5,0),0)</f>
        <v>0</v>
      </c>
      <c r="I183" s="31">
        <f t="shared" si="42"/>
        <v>0</v>
      </c>
      <c r="J183" s="361">
        <f t="shared" si="34"/>
        <v>0</v>
      </c>
      <c r="K183" s="361">
        <f t="shared" si="35"/>
        <v>0</v>
      </c>
      <c r="L183" s="31">
        <f>IF(OR(D183="SI",D183="Sí"),VLOOKUP(A183,DATA!$A$4:$G$350,7,0),0)</f>
        <v>0</v>
      </c>
      <c r="M183" s="31">
        <f>IF(OR(D183="SI",D183="Sí"),VLOOKUP(A183,DATA!$A$4:$H$350,8,0),0)</f>
        <v>0</v>
      </c>
      <c r="N183" s="361">
        <f t="shared" si="36"/>
        <v>0</v>
      </c>
      <c r="O183" s="361">
        <f t="shared" si="43"/>
        <v>0</v>
      </c>
      <c r="P183" s="361">
        <f t="shared" si="37"/>
        <v>0</v>
      </c>
      <c r="Q183" s="31">
        <f>IF(OR(D183="SI",D183="Sí"),VLOOKUP(A183,DATA!$A$4:$P$350,14,0),0)</f>
        <v>0</v>
      </c>
      <c r="R183" s="121">
        <f t="shared" si="44"/>
        <v>0</v>
      </c>
      <c r="S183" s="31">
        <f>IF(AND(R183&gt;0,R183&lt;$R$7),ROUND(($R$7-R183)*G183,PARAMETROS!$L$8),0)</f>
        <v>0</v>
      </c>
      <c r="T183" s="122">
        <f t="shared" si="38"/>
        <v>0</v>
      </c>
      <c r="U183" s="117">
        <f t="shared" si="39"/>
        <v>0</v>
      </c>
      <c r="V183" s="117">
        <f>VLOOKUP(A183,DATA!$A$4:$V$350,DATA!$V$1,0)</f>
        <v>0</v>
      </c>
      <c r="W183" s="117">
        <f>VLOOKUP(A183,DATA!$A$4:$V$350,22,0)</f>
        <v>0</v>
      </c>
      <c r="X183" s="96">
        <f t="shared" si="40"/>
        <v>0</v>
      </c>
      <c r="Y183" s="31">
        <f>ROUND(X183*PARAMETROS!$H$35,0)</f>
        <v>0</v>
      </c>
      <c r="Z183" s="31">
        <f t="shared" si="45"/>
        <v>0</v>
      </c>
      <c r="AA183" s="31">
        <f t="shared" si="46"/>
        <v>0</v>
      </c>
      <c r="AB183" s="31">
        <f t="shared" si="47"/>
        <v>0</v>
      </c>
      <c r="AC183" s="31">
        <f t="shared" si="47"/>
        <v>0</v>
      </c>
      <c r="AD183" s="38">
        <f t="shared" si="48"/>
        <v>0</v>
      </c>
    </row>
    <row r="184" spans="1:30" ht="3" customHeight="1" x14ac:dyDescent="0.25">
      <c r="A184">
        <v>9102</v>
      </c>
      <c r="B184">
        <v>9209</v>
      </c>
      <c r="C184" t="s">
        <v>222</v>
      </c>
      <c r="D184" s="6" t="str">
        <f>+DATA!U180</f>
        <v>No</v>
      </c>
      <c r="E184" s="361">
        <f t="shared" si="33"/>
        <v>0</v>
      </c>
      <c r="F184" s="95">
        <f t="shared" si="41"/>
        <v>0</v>
      </c>
      <c r="G184" s="31">
        <f>IF(OR(D184="SI",D184="Sí"),VLOOKUP(A184,DATA!$A$4:$D$350,4,0),0)</f>
        <v>0</v>
      </c>
      <c r="H184" s="95">
        <f>IF(OR(D184="SI",D184="Sí"),VLOOKUP(A184,DATA!$A$4:$E$350,5,0),0)</f>
        <v>0</v>
      </c>
      <c r="I184" s="31">
        <f t="shared" si="42"/>
        <v>0</v>
      </c>
      <c r="J184" s="361">
        <f t="shared" si="34"/>
        <v>0</v>
      </c>
      <c r="K184" s="361">
        <f t="shared" si="35"/>
        <v>0</v>
      </c>
      <c r="L184" s="31">
        <f>IF(OR(D184="SI",D184="Sí"),VLOOKUP(A184,DATA!$A$4:$G$350,7,0),0)</f>
        <v>0</v>
      </c>
      <c r="M184" s="31">
        <f>IF(OR(D184="SI",D184="Sí"),VLOOKUP(A184,DATA!$A$4:$H$350,8,0),0)</f>
        <v>0</v>
      </c>
      <c r="N184" s="361">
        <f t="shared" si="36"/>
        <v>0</v>
      </c>
      <c r="O184" s="361">
        <f t="shared" si="43"/>
        <v>0</v>
      </c>
      <c r="P184" s="361">
        <f t="shared" si="37"/>
        <v>0</v>
      </c>
      <c r="Q184" s="31">
        <f>IF(OR(D184="SI",D184="Sí"),VLOOKUP(A184,DATA!$A$4:$P$350,14,0),0)</f>
        <v>0</v>
      </c>
      <c r="R184" s="121">
        <f t="shared" si="44"/>
        <v>0</v>
      </c>
      <c r="S184" s="31">
        <f>IF(AND(R184&gt;0,R184&lt;$R$7),ROUND(($R$7-R184)*G184,PARAMETROS!$L$8),0)</f>
        <v>0</v>
      </c>
      <c r="T184" s="122">
        <f t="shared" si="38"/>
        <v>0</v>
      </c>
      <c r="U184" s="117">
        <f t="shared" si="39"/>
        <v>0</v>
      </c>
      <c r="V184" s="117">
        <f>VLOOKUP(A184,DATA!$A$4:$V$350,DATA!$V$1,0)</f>
        <v>0</v>
      </c>
      <c r="W184" s="117">
        <f>VLOOKUP(A184,DATA!$A$4:$V$350,22,0)</f>
        <v>0</v>
      </c>
      <c r="X184" s="96">
        <f t="shared" si="40"/>
        <v>0</v>
      </c>
      <c r="Y184" s="31">
        <f>ROUND(X184*PARAMETROS!$H$35,0)</f>
        <v>0</v>
      </c>
      <c r="Z184" s="31">
        <f t="shared" si="45"/>
        <v>0</v>
      </c>
      <c r="AA184" s="31">
        <f t="shared" si="46"/>
        <v>0</v>
      </c>
      <c r="AB184" s="31">
        <f t="shared" si="47"/>
        <v>0</v>
      </c>
      <c r="AC184" s="31">
        <f t="shared" si="47"/>
        <v>0</v>
      </c>
      <c r="AD184" s="38">
        <f t="shared" si="48"/>
        <v>0</v>
      </c>
    </row>
    <row r="185" spans="1:30" ht="3" customHeight="1" x14ac:dyDescent="0.25">
      <c r="A185">
        <v>9103</v>
      </c>
      <c r="B185">
        <v>9204</v>
      </c>
      <c r="C185" t="s">
        <v>217</v>
      </c>
      <c r="D185" s="6" t="str">
        <f>+DATA!U181</f>
        <v>No</v>
      </c>
      <c r="E185" s="361">
        <f t="shared" si="33"/>
        <v>0</v>
      </c>
      <c r="F185" s="95">
        <f t="shared" si="41"/>
        <v>0</v>
      </c>
      <c r="G185" s="31">
        <f>IF(OR(D185="SI",D185="Sí"),VLOOKUP(A185,DATA!$A$4:$D$350,4,0),0)</f>
        <v>0</v>
      </c>
      <c r="H185" s="95">
        <f>IF(OR(D185="SI",D185="Sí"),VLOOKUP(A185,DATA!$A$4:$E$350,5,0),0)</f>
        <v>0</v>
      </c>
      <c r="I185" s="31">
        <f t="shared" si="42"/>
        <v>0</v>
      </c>
      <c r="J185" s="361">
        <f t="shared" si="34"/>
        <v>0</v>
      </c>
      <c r="K185" s="361">
        <f t="shared" si="35"/>
        <v>0</v>
      </c>
      <c r="L185" s="31">
        <f>IF(OR(D185="SI",D185="Sí"),VLOOKUP(A185,DATA!$A$4:$G$350,7,0),0)</f>
        <v>0</v>
      </c>
      <c r="M185" s="31">
        <f>IF(OR(D185="SI",D185="Sí"),VLOOKUP(A185,DATA!$A$4:$H$350,8,0),0)</f>
        <v>0</v>
      </c>
      <c r="N185" s="361">
        <f t="shared" si="36"/>
        <v>0</v>
      </c>
      <c r="O185" s="361">
        <f t="shared" si="43"/>
        <v>0</v>
      </c>
      <c r="P185" s="361">
        <f t="shared" si="37"/>
        <v>0</v>
      </c>
      <c r="Q185" s="31">
        <f>IF(OR(D185="SI",D185="Sí"),VLOOKUP(A185,DATA!$A$4:$P$350,14,0),0)</f>
        <v>0</v>
      </c>
      <c r="R185" s="121">
        <f t="shared" si="44"/>
        <v>0</v>
      </c>
      <c r="S185" s="31">
        <f>IF(AND(R185&gt;0,R185&lt;$R$7),ROUND(($R$7-R185)*G185,PARAMETROS!$L$8),0)</f>
        <v>0</v>
      </c>
      <c r="T185" s="122">
        <f t="shared" si="38"/>
        <v>0</v>
      </c>
      <c r="U185" s="117">
        <f t="shared" si="39"/>
        <v>0</v>
      </c>
      <c r="V185" s="117">
        <f>VLOOKUP(A185,DATA!$A$4:$V$350,DATA!$V$1,0)</f>
        <v>0</v>
      </c>
      <c r="W185" s="117">
        <f>VLOOKUP(A185,DATA!$A$4:$V$350,22,0)</f>
        <v>0</v>
      </c>
      <c r="X185" s="96">
        <f t="shared" si="40"/>
        <v>0</v>
      </c>
      <c r="Y185" s="31">
        <f>ROUND(X185*PARAMETROS!$H$35,0)</f>
        <v>0</v>
      </c>
      <c r="Z185" s="31">
        <f t="shared" si="45"/>
        <v>0</v>
      </c>
      <c r="AA185" s="31">
        <f t="shared" si="46"/>
        <v>0</v>
      </c>
      <c r="AB185" s="31">
        <f t="shared" si="47"/>
        <v>0</v>
      </c>
      <c r="AC185" s="31">
        <f t="shared" si="47"/>
        <v>0</v>
      </c>
      <c r="AD185" s="38">
        <f t="shared" si="48"/>
        <v>0</v>
      </c>
    </row>
    <row r="186" spans="1:30" ht="3" customHeight="1" x14ac:dyDescent="0.25">
      <c r="A186">
        <v>9104</v>
      </c>
      <c r="B186">
        <v>9218</v>
      </c>
      <c r="C186" t="s">
        <v>228</v>
      </c>
      <c r="D186" s="6" t="str">
        <f>+DATA!U182</f>
        <v>No</v>
      </c>
      <c r="E186" s="361">
        <f t="shared" si="33"/>
        <v>0</v>
      </c>
      <c r="F186" s="95">
        <f t="shared" si="41"/>
        <v>0</v>
      </c>
      <c r="G186" s="31">
        <f>IF(OR(D186="SI",D186="Sí"),VLOOKUP(A186,DATA!$A$4:$D$350,4,0),0)</f>
        <v>0</v>
      </c>
      <c r="H186" s="95">
        <f>IF(OR(D186="SI",D186="Sí"),VLOOKUP(A186,DATA!$A$4:$E$350,5,0),0)</f>
        <v>0</v>
      </c>
      <c r="I186" s="31">
        <f t="shared" si="42"/>
        <v>0</v>
      </c>
      <c r="J186" s="361">
        <f t="shared" si="34"/>
        <v>0</v>
      </c>
      <c r="K186" s="361">
        <f t="shared" si="35"/>
        <v>0</v>
      </c>
      <c r="L186" s="31">
        <f>IF(OR(D186="SI",D186="Sí"),VLOOKUP(A186,DATA!$A$4:$G$350,7,0),0)</f>
        <v>0</v>
      </c>
      <c r="M186" s="31">
        <f>IF(OR(D186="SI",D186="Sí"),VLOOKUP(A186,DATA!$A$4:$H$350,8,0),0)</f>
        <v>0</v>
      </c>
      <c r="N186" s="361">
        <f t="shared" si="36"/>
        <v>0</v>
      </c>
      <c r="O186" s="361">
        <f t="shared" si="43"/>
        <v>0</v>
      </c>
      <c r="P186" s="361">
        <f t="shared" si="37"/>
        <v>0</v>
      </c>
      <c r="Q186" s="31">
        <f>IF(OR(D186="SI",D186="Sí"),VLOOKUP(A186,DATA!$A$4:$P$350,14,0),0)</f>
        <v>0</v>
      </c>
      <c r="R186" s="121">
        <f t="shared" si="44"/>
        <v>0</v>
      </c>
      <c r="S186" s="31">
        <f>IF(AND(R186&gt;0,R186&lt;$R$7),ROUND(($R$7-R186)*G186,PARAMETROS!$L$8),0)</f>
        <v>0</v>
      </c>
      <c r="T186" s="122">
        <f t="shared" si="38"/>
        <v>0</v>
      </c>
      <c r="U186" s="117">
        <f t="shared" si="39"/>
        <v>0</v>
      </c>
      <c r="V186" s="117">
        <f>VLOOKUP(A186,DATA!$A$4:$V$350,DATA!$V$1,0)</f>
        <v>0</v>
      </c>
      <c r="W186" s="117">
        <f>VLOOKUP(A186,DATA!$A$4:$V$350,22,0)</f>
        <v>0</v>
      </c>
      <c r="X186" s="96">
        <f t="shared" si="40"/>
        <v>0</v>
      </c>
      <c r="Y186" s="31">
        <f>ROUND(X186*PARAMETROS!$H$35,0)</f>
        <v>0</v>
      </c>
      <c r="Z186" s="31">
        <f t="shared" si="45"/>
        <v>0</v>
      </c>
      <c r="AA186" s="31">
        <f t="shared" si="46"/>
        <v>0</v>
      </c>
      <c r="AB186" s="31">
        <f t="shared" si="47"/>
        <v>0</v>
      </c>
      <c r="AC186" s="31">
        <f t="shared" si="47"/>
        <v>0</v>
      </c>
      <c r="AD186" s="38">
        <f t="shared" si="48"/>
        <v>0</v>
      </c>
    </row>
    <row r="187" spans="1:30" ht="3" customHeight="1" x14ac:dyDescent="0.25">
      <c r="A187">
        <v>9105</v>
      </c>
      <c r="B187">
        <v>9203</v>
      </c>
      <c r="C187" t="s">
        <v>216</v>
      </c>
      <c r="D187" s="6" t="str">
        <f>+DATA!U183</f>
        <v>No</v>
      </c>
      <c r="E187" s="361">
        <f t="shared" si="33"/>
        <v>0</v>
      </c>
      <c r="F187" s="95">
        <f t="shared" si="41"/>
        <v>0</v>
      </c>
      <c r="G187" s="31">
        <f>IF(OR(D187="SI",D187="Sí"),VLOOKUP(A187,DATA!$A$4:$D$350,4,0),0)</f>
        <v>0</v>
      </c>
      <c r="H187" s="95">
        <f>IF(OR(D187="SI",D187="Sí"),VLOOKUP(A187,DATA!$A$4:$E$350,5,0),0)</f>
        <v>0</v>
      </c>
      <c r="I187" s="31">
        <f t="shared" si="42"/>
        <v>0</v>
      </c>
      <c r="J187" s="361">
        <f t="shared" si="34"/>
        <v>0</v>
      </c>
      <c r="K187" s="361">
        <f t="shared" si="35"/>
        <v>0</v>
      </c>
      <c r="L187" s="31">
        <f>IF(OR(D187="SI",D187="Sí"),VLOOKUP(A187,DATA!$A$4:$G$350,7,0),0)</f>
        <v>0</v>
      </c>
      <c r="M187" s="31">
        <f>IF(OR(D187="SI",D187="Sí"),VLOOKUP(A187,DATA!$A$4:$H$350,8,0),0)</f>
        <v>0</v>
      </c>
      <c r="N187" s="361">
        <f t="shared" si="36"/>
        <v>0</v>
      </c>
      <c r="O187" s="361">
        <f t="shared" si="43"/>
        <v>0</v>
      </c>
      <c r="P187" s="361">
        <f t="shared" si="37"/>
        <v>0</v>
      </c>
      <c r="Q187" s="31">
        <f>IF(OR(D187="SI",D187="Sí"),VLOOKUP(A187,DATA!$A$4:$P$350,14,0),0)</f>
        <v>0</v>
      </c>
      <c r="R187" s="121">
        <f t="shared" si="44"/>
        <v>0</v>
      </c>
      <c r="S187" s="31">
        <f>IF(AND(R187&gt;0,R187&lt;$R$7),ROUND(($R$7-R187)*G187,PARAMETROS!$L$8),0)</f>
        <v>0</v>
      </c>
      <c r="T187" s="122">
        <f t="shared" si="38"/>
        <v>0</v>
      </c>
      <c r="U187" s="117">
        <f t="shared" si="39"/>
        <v>0</v>
      </c>
      <c r="V187" s="117">
        <f>VLOOKUP(A187,DATA!$A$4:$V$350,DATA!$V$1,0)</f>
        <v>0</v>
      </c>
      <c r="W187" s="117">
        <f>VLOOKUP(A187,DATA!$A$4:$V$350,22,0)</f>
        <v>0</v>
      </c>
      <c r="X187" s="96">
        <f t="shared" si="40"/>
        <v>0</v>
      </c>
      <c r="Y187" s="31">
        <f>ROUND(X187*PARAMETROS!$H$35,0)</f>
        <v>0</v>
      </c>
      <c r="Z187" s="31">
        <f t="shared" si="45"/>
        <v>0</v>
      </c>
      <c r="AA187" s="31">
        <f t="shared" si="46"/>
        <v>0</v>
      </c>
      <c r="AB187" s="31">
        <f t="shared" si="47"/>
        <v>0</v>
      </c>
      <c r="AC187" s="31">
        <f t="shared" si="47"/>
        <v>0</v>
      </c>
      <c r="AD187" s="38">
        <f t="shared" si="48"/>
        <v>0</v>
      </c>
    </row>
    <row r="188" spans="1:30" ht="3" customHeight="1" x14ac:dyDescent="0.25">
      <c r="A188">
        <v>9106</v>
      </c>
      <c r="B188">
        <v>9207</v>
      </c>
      <c r="C188" t="s">
        <v>220</v>
      </c>
      <c r="D188" s="6" t="str">
        <f>+DATA!U184</f>
        <v>No</v>
      </c>
      <c r="E188" s="361">
        <f t="shared" si="33"/>
        <v>0</v>
      </c>
      <c r="F188" s="95">
        <f t="shared" si="41"/>
        <v>0</v>
      </c>
      <c r="G188" s="31">
        <f>IF(OR(D188="SI",D188="Sí"),VLOOKUP(A188,DATA!$A$4:$D$350,4,0),0)</f>
        <v>0</v>
      </c>
      <c r="H188" s="95">
        <f>IF(OR(D188="SI",D188="Sí"),VLOOKUP(A188,DATA!$A$4:$E$350,5,0),0)</f>
        <v>0</v>
      </c>
      <c r="I188" s="31">
        <f t="shared" si="42"/>
        <v>0</v>
      </c>
      <c r="J188" s="361">
        <f t="shared" si="34"/>
        <v>0</v>
      </c>
      <c r="K188" s="361">
        <f t="shared" si="35"/>
        <v>0</v>
      </c>
      <c r="L188" s="31">
        <f>IF(OR(D188="SI",D188="Sí"),VLOOKUP(A188,DATA!$A$4:$G$350,7,0),0)</f>
        <v>0</v>
      </c>
      <c r="M188" s="31">
        <f>IF(OR(D188="SI",D188="Sí"),VLOOKUP(A188,DATA!$A$4:$H$350,8,0),0)</f>
        <v>0</v>
      </c>
      <c r="N188" s="361">
        <f t="shared" si="36"/>
        <v>0</v>
      </c>
      <c r="O188" s="361">
        <f t="shared" si="43"/>
        <v>0</v>
      </c>
      <c r="P188" s="361">
        <f t="shared" si="37"/>
        <v>0</v>
      </c>
      <c r="Q188" s="31">
        <f>IF(OR(D188="SI",D188="Sí"),VLOOKUP(A188,DATA!$A$4:$P$350,14,0),0)</f>
        <v>0</v>
      </c>
      <c r="R188" s="121">
        <f t="shared" si="44"/>
        <v>0</v>
      </c>
      <c r="S188" s="31">
        <f>IF(AND(R188&gt;0,R188&lt;$R$7),ROUND(($R$7-R188)*G188,PARAMETROS!$L$8),0)</f>
        <v>0</v>
      </c>
      <c r="T188" s="122">
        <f t="shared" si="38"/>
        <v>0</v>
      </c>
      <c r="U188" s="117">
        <f t="shared" si="39"/>
        <v>0</v>
      </c>
      <c r="V188" s="117">
        <f>VLOOKUP(A188,DATA!$A$4:$V$350,DATA!$V$1,0)</f>
        <v>0</v>
      </c>
      <c r="W188" s="117">
        <f>VLOOKUP(A188,DATA!$A$4:$V$350,22,0)</f>
        <v>0</v>
      </c>
      <c r="X188" s="96">
        <f t="shared" si="40"/>
        <v>0</v>
      </c>
      <c r="Y188" s="31">
        <f>ROUND(X188*PARAMETROS!$H$35,0)</f>
        <v>0</v>
      </c>
      <c r="Z188" s="31">
        <f t="shared" si="45"/>
        <v>0</v>
      </c>
      <c r="AA188" s="31">
        <f t="shared" si="46"/>
        <v>0</v>
      </c>
      <c r="AB188" s="31">
        <f t="shared" si="47"/>
        <v>0</v>
      </c>
      <c r="AC188" s="31">
        <f t="shared" si="47"/>
        <v>0</v>
      </c>
      <c r="AD188" s="38">
        <f t="shared" si="48"/>
        <v>0</v>
      </c>
    </row>
    <row r="189" spans="1:30" ht="3" customHeight="1" x14ac:dyDescent="0.25">
      <c r="A189">
        <v>9107</v>
      </c>
      <c r="B189">
        <v>9212</v>
      </c>
      <c r="C189" t="s">
        <v>224</v>
      </c>
      <c r="D189" s="6" t="str">
        <f>+DATA!U185</f>
        <v>No</v>
      </c>
      <c r="E189" s="361">
        <f t="shared" si="33"/>
        <v>0</v>
      </c>
      <c r="F189" s="95">
        <f t="shared" si="41"/>
        <v>0</v>
      </c>
      <c r="G189" s="31">
        <f>IF(OR(D189="SI",D189="Sí"),VLOOKUP(A189,DATA!$A$4:$D$350,4,0),0)</f>
        <v>0</v>
      </c>
      <c r="H189" s="95">
        <f>IF(OR(D189="SI",D189="Sí"),VLOOKUP(A189,DATA!$A$4:$E$350,5,0),0)</f>
        <v>0</v>
      </c>
      <c r="I189" s="31">
        <f t="shared" si="42"/>
        <v>0</v>
      </c>
      <c r="J189" s="361">
        <f t="shared" si="34"/>
        <v>0</v>
      </c>
      <c r="K189" s="361">
        <f t="shared" si="35"/>
        <v>0</v>
      </c>
      <c r="L189" s="31">
        <f>IF(OR(D189="SI",D189="Sí"),VLOOKUP(A189,DATA!$A$4:$G$350,7,0),0)</f>
        <v>0</v>
      </c>
      <c r="M189" s="31">
        <f>IF(OR(D189="SI",D189="Sí"),VLOOKUP(A189,DATA!$A$4:$H$350,8,0),0)</f>
        <v>0</v>
      </c>
      <c r="N189" s="361">
        <f t="shared" si="36"/>
        <v>0</v>
      </c>
      <c r="O189" s="361">
        <f t="shared" si="43"/>
        <v>0</v>
      </c>
      <c r="P189" s="361">
        <f t="shared" si="37"/>
        <v>0</v>
      </c>
      <c r="Q189" s="31">
        <f>IF(OR(D189="SI",D189="Sí"),VLOOKUP(A189,DATA!$A$4:$P$350,14,0),0)</f>
        <v>0</v>
      </c>
      <c r="R189" s="121">
        <f t="shared" si="44"/>
        <v>0</v>
      </c>
      <c r="S189" s="31">
        <f>IF(AND(R189&gt;0,R189&lt;$R$7),ROUND(($R$7-R189)*G189,PARAMETROS!$L$8),0)</f>
        <v>0</v>
      </c>
      <c r="T189" s="122">
        <f t="shared" si="38"/>
        <v>0</v>
      </c>
      <c r="U189" s="117">
        <f t="shared" si="39"/>
        <v>0</v>
      </c>
      <c r="V189" s="117">
        <f>VLOOKUP(A189,DATA!$A$4:$V$350,DATA!$V$1,0)</f>
        <v>0</v>
      </c>
      <c r="W189" s="117">
        <f>VLOOKUP(A189,DATA!$A$4:$V$350,22,0)</f>
        <v>0</v>
      </c>
      <c r="X189" s="96">
        <f t="shared" si="40"/>
        <v>0</v>
      </c>
      <c r="Y189" s="31">
        <f>ROUND(X189*PARAMETROS!$H$35,0)</f>
        <v>0</v>
      </c>
      <c r="Z189" s="31">
        <f t="shared" si="45"/>
        <v>0</v>
      </c>
      <c r="AA189" s="31">
        <f t="shared" si="46"/>
        <v>0</v>
      </c>
      <c r="AB189" s="31">
        <f t="shared" si="47"/>
        <v>0</v>
      </c>
      <c r="AC189" s="31">
        <f t="shared" si="47"/>
        <v>0</v>
      </c>
      <c r="AD189" s="38">
        <f t="shared" si="48"/>
        <v>0</v>
      </c>
    </row>
    <row r="190" spans="1:30" ht="3" customHeight="1" x14ac:dyDescent="0.25">
      <c r="A190">
        <v>9108</v>
      </c>
      <c r="B190">
        <v>9205</v>
      </c>
      <c r="C190" t="s">
        <v>218</v>
      </c>
      <c r="D190" s="6" t="str">
        <f>+DATA!U186</f>
        <v>No</v>
      </c>
      <c r="E190" s="361">
        <f t="shared" si="33"/>
        <v>0</v>
      </c>
      <c r="F190" s="95">
        <f t="shared" si="41"/>
        <v>0</v>
      </c>
      <c r="G190" s="31">
        <f>IF(OR(D190="SI",D190="Sí"),VLOOKUP(A190,DATA!$A$4:$D$350,4,0),0)</f>
        <v>0</v>
      </c>
      <c r="H190" s="95">
        <f>IF(OR(D190="SI",D190="Sí"),VLOOKUP(A190,DATA!$A$4:$E$350,5,0),0)</f>
        <v>0</v>
      </c>
      <c r="I190" s="31">
        <f t="shared" si="42"/>
        <v>0</v>
      </c>
      <c r="J190" s="361">
        <f t="shared" si="34"/>
        <v>0</v>
      </c>
      <c r="K190" s="361">
        <f t="shared" si="35"/>
        <v>0</v>
      </c>
      <c r="L190" s="31">
        <f>IF(OR(D190="SI",D190="Sí"),VLOOKUP(A190,DATA!$A$4:$G$350,7,0),0)</f>
        <v>0</v>
      </c>
      <c r="M190" s="31">
        <f>IF(OR(D190="SI",D190="Sí"),VLOOKUP(A190,DATA!$A$4:$H$350,8,0),0)</f>
        <v>0</v>
      </c>
      <c r="N190" s="361">
        <f t="shared" si="36"/>
        <v>0</v>
      </c>
      <c r="O190" s="361">
        <f t="shared" si="43"/>
        <v>0</v>
      </c>
      <c r="P190" s="361">
        <f t="shared" si="37"/>
        <v>0</v>
      </c>
      <c r="Q190" s="31">
        <f>IF(OR(D190="SI",D190="Sí"),VLOOKUP(A190,DATA!$A$4:$P$350,14,0),0)</f>
        <v>0</v>
      </c>
      <c r="R190" s="121">
        <f t="shared" si="44"/>
        <v>0</v>
      </c>
      <c r="S190" s="31">
        <f>IF(AND(R190&gt;0,R190&lt;$R$7),ROUND(($R$7-R190)*G190,PARAMETROS!$L$8),0)</f>
        <v>0</v>
      </c>
      <c r="T190" s="122">
        <f t="shared" si="38"/>
        <v>0</v>
      </c>
      <c r="U190" s="117">
        <f t="shared" si="39"/>
        <v>0</v>
      </c>
      <c r="V190" s="117">
        <f>VLOOKUP(A190,DATA!$A$4:$V$350,DATA!$V$1,0)</f>
        <v>0</v>
      </c>
      <c r="W190" s="117">
        <f>VLOOKUP(A190,DATA!$A$4:$V$350,22,0)</f>
        <v>0</v>
      </c>
      <c r="X190" s="96">
        <f t="shared" si="40"/>
        <v>0</v>
      </c>
      <c r="Y190" s="31">
        <f>ROUND(X190*PARAMETROS!$H$35,0)</f>
        <v>0</v>
      </c>
      <c r="Z190" s="31">
        <f t="shared" si="45"/>
        <v>0</v>
      </c>
      <c r="AA190" s="31">
        <f t="shared" si="46"/>
        <v>0</v>
      </c>
      <c r="AB190" s="31">
        <f t="shared" si="47"/>
        <v>0</v>
      </c>
      <c r="AC190" s="31">
        <f t="shared" si="47"/>
        <v>0</v>
      </c>
      <c r="AD190" s="38">
        <f t="shared" si="48"/>
        <v>0</v>
      </c>
    </row>
    <row r="191" spans="1:30" ht="3" customHeight="1" x14ac:dyDescent="0.25">
      <c r="A191">
        <v>9109</v>
      </c>
      <c r="B191">
        <v>9214</v>
      </c>
      <c r="C191" t="s">
        <v>225</v>
      </c>
      <c r="D191" s="6" t="str">
        <f>+DATA!U187</f>
        <v>No</v>
      </c>
      <c r="E191" s="361">
        <f t="shared" si="33"/>
        <v>0</v>
      </c>
      <c r="F191" s="95">
        <f t="shared" si="41"/>
        <v>0</v>
      </c>
      <c r="G191" s="31">
        <f>IF(OR(D191="SI",D191="Sí"),VLOOKUP(A191,DATA!$A$4:$D$350,4,0),0)</f>
        <v>0</v>
      </c>
      <c r="H191" s="95">
        <f>IF(OR(D191="SI",D191="Sí"),VLOOKUP(A191,DATA!$A$4:$E$350,5,0),0)</f>
        <v>0</v>
      </c>
      <c r="I191" s="31">
        <f t="shared" si="42"/>
        <v>0</v>
      </c>
      <c r="J191" s="361">
        <f t="shared" si="34"/>
        <v>0</v>
      </c>
      <c r="K191" s="361">
        <f t="shared" si="35"/>
        <v>0</v>
      </c>
      <c r="L191" s="31">
        <f>IF(OR(D191="SI",D191="Sí"),VLOOKUP(A191,DATA!$A$4:$G$350,7,0),0)</f>
        <v>0</v>
      </c>
      <c r="M191" s="31">
        <f>IF(OR(D191="SI",D191="Sí"),VLOOKUP(A191,DATA!$A$4:$H$350,8,0),0)</f>
        <v>0</v>
      </c>
      <c r="N191" s="361">
        <f t="shared" si="36"/>
        <v>0</v>
      </c>
      <c r="O191" s="361">
        <f t="shared" si="43"/>
        <v>0</v>
      </c>
      <c r="P191" s="361">
        <f t="shared" si="37"/>
        <v>0</v>
      </c>
      <c r="Q191" s="31">
        <f>IF(OR(D191="SI",D191="Sí"),VLOOKUP(A191,DATA!$A$4:$P$350,14,0),0)</f>
        <v>0</v>
      </c>
      <c r="R191" s="121">
        <f t="shared" si="44"/>
        <v>0</v>
      </c>
      <c r="S191" s="31">
        <f>IF(AND(R191&gt;0,R191&lt;$R$7),ROUND(($R$7-R191)*G191,PARAMETROS!$L$8),0)</f>
        <v>0</v>
      </c>
      <c r="T191" s="122">
        <f t="shared" si="38"/>
        <v>0</v>
      </c>
      <c r="U191" s="117">
        <f t="shared" si="39"/>
        <v>0</v>
      </c>
      <c r="V191" s="117">
        <f>VLOOKUP(A191,DATA!$A$4:$V$350,DATA!$V$1,0)</f>
        <v>0</v>
      </c>
      <c r="W191" s="117">
        <f>VLOOKUP(A191,DATA!$A$4:$V$350,22,0)</f>
        <v>0</v>
      </c>
      <c r="X191" s="96">
        <f t="shared" si="40"/>
        <v>0</v>
      </c>
      <c r="Y191" s="31">
        <f>ROUND(X191*PARAMETROS!$H$35,0)</f>
        <v>0</v>
      </c>
      <c r="Z191" s="31">
        <f t="shared" si="45"/>
        <v>0</v>
      </c>
      <c r="AA191" s="31">
        <f t="shared" si="46"/>
        <v>0</v>
      </c>
      <c r="AB191" s="31">
        <f t="shared" si="47"/>
        <v>0</v>
      </c>
      <c r="AC191" s="31">
        <f t="shared" si="47"/>
        <v>0</v>
      </c>
      <c r="AD191" s="38">
        <f t="shared" si="48"/>
        <v>0</v>
      </c>
    </row>
    <row r="192" spans="1:30" ht="3" customHeight="1" x14ac:dyDescent="0.25">
      <c r="A192">
        <v>9110</v>
      </c>
      <c r="B192">
        <v>9217</v>
      </c>
      <c r="C192" t="s">
        <v>227</v>
      </c>
      <c r="D192" s="6" t="str">
        <f>+DATA!U188</f>
        <v>No</v>
      </c>
      <c r="E192" s="361">
        <f t="shared" si="33"/>
        <v>0</v>
      </c>
      <c r="F192" s="95">
        <f t="shared" si="41"/>
        <v>0</v>
      </c>
      <c r="G192" s="31">
        <f>IF(OR(D192="SI",D192="Sí"),VLOOKUP(A192,DATA!$A$4:$D$350,4,0),0)</f>
        <v>0</v>
      </c>
      <c r="H192" s="95">
        <f>IF(OR(D192="SI",D192="Sí"),VLOOKUP(A192,DATA!$A$4:$E$350,5,0),0)</f>
        <v>0</v>
      </c>
      <c r="I192" s="31">
        <f t="shared" si="42"/>
        <v>0</v>
      </c>
      <c r="J192" s="361">
        <f t="shared" si="34"/>
        <v>0</v>
      </c>
      <c r="K192" s="361">
        <f t="shared" si="35"/>
        <v>0</v>
      </c>
      <c r="L192" s="31">
        <f>IF(OR(D192="SI",D192="Sí"),VLOOKUP(A192,DATA!$A$4:$G$350,7,0),0)</f>
        <v>0</v>
      </c>
      <c r="M192" s="31">
        <f>IF(OR(D192="SI",D192="Sí"),VLOOKUP(A192,DATA!$A$4:$H$350,8,0),0)</f>
        <v>0</v>
      </c>
      <c r="N192" s="361">
        <f t="shared" si="36"/>
        <v>0</v>
      </c>
      <c r="O192" s="361">
        <f t="shared" si="43"/>
        <v>0</v>
      </c>
      <c r="P192" s="361">
        <f t="shared" si="37"/>
        <v>0</v>
      </c>
      <c r="Q192" s="31">
        <f>IF(OR(D192="SI",D192="Sí"),VLOOKUP(A192,DATA!$A$4:$P$350,14,0),0)</f>
        <v>0</v>
      </c>
      <c r="R192" s="121">
        <f t="shared" si="44"/>
        <v>0</v>
      </c>
      <c r="S192" s="31">
        <f>IF(AND(R192&gt;0,R192&lt;$R$7),ROUND(($R$7-R192)*G192,PARAMETROS!$L$8),0)</f>
        <v>0</v>
      </c>
      <c r="T192" s="122">
        <f t="shared" si="38"/>
        <v>0</v>
      </c>
      <c r="U192" s="117">
        <f t="shared" si="39"/>
        <v>0</v>
      </c>
      <c r="V192" s="117">
        <f>VLOOKUP(A192,DATA!$A$4:$V$350,DATA!$V$1,0)</f>
        <v>0</v>
      </c>
      <c r="W192" s="117">
        <f>VLOOKUP(A192,DATA!$A$4:$V$350,22,0)</f>
        <v>0</v>
      </c>
      <c r="X192" s="96">
        <f t="shared" si="40"/>
        <v>0</v>
      </c>
      <c r="Y192" s="31">
        <f>ROUND(X192*PARAMETROS!$H$35,0)</f>
        <v>0</v>
      </c>
      <c r="Z192" s="31">
        <f t="shared" si="45"/>
        <v>0</v>
      </c>
      <c r="AA192" s="31">
        <f t="shared" si="46"/>
        <v>0</v>
      </c>
      <c r="AB192" s="31">
        <f t="shared" si="47"/>
        <v>0</v>
      </c>
      <c r="AC192" s="31">
        <f t="shared" si="47"/>
        <v>0</v>
      </c>
      <c r="AD192" s="38">
        <f t="shared" si="48"/>
        <v>0</v>
      </c>
    </row>
    <row r="193" spans="1:30" ht="3" customHeight="1" x14ac:dyDescent="0.25">
      <c r="A193">
        <v>9111</v>
      </c>
      <c r="B193">
        <v>9208</v>
      </c>
      <c r="C193" t="s">
        <v>221</v>
      </c>
      <c r="D193" s="6" t="str">
        <f>+DATA!U189</f>
        <v>No</v>
      </c>
      <c r="E193" s="361">
        <f t="shared" si="33"/>
        <v>0</v>
      </c>
      <c r="F193" s="95">
        <f t="shared" si="41"/>
        <v>0</v>
      </c>
      <c r="G193" s="31">
        <f>IF(OR(D193="SI",D193="Sí"),VLOOKUP(A193,DATA!$A$4:$D$350,4,0),0)</f>
        <v>0</v>
      </c>
      <c r="H193" s="95">
        <f>IF(OR(D193="SI",D193="Sí"),VLOOKUP(A193,DATA!$A$4:$E$350,5,0),0)</f>
        <v>0</v>
      </c>
      <c r="I193" s="31">
        <f t="shared" si="42"/>
        <v>0</v>
      </c>
      <c r="J193" s="361">
        <f t="shared" si="34"/>
        <v>0</v>
      </c>
      <c r="K193" s="361">
        <f t="shared" si="35"/>
        <v>0</v>
      </c>
      <c r="L193" s="31">
        <f>IF(OR(D193="SI",D193="Sí"),VLOOKUP(A193,DATA!$A$4:$G$350,7,0),0)</f>
        <v>0</v>
      </c>
      <c r="M193" s="31">
        <f>IF(OR(D193="SI",D193="Sí"),VLOOKUP(A193,DATA!$A$4:$H$350,8,0),0)</f>
        <v>0</v>
      </c>
      <c r="N193" s="361">
        <f t="shared" si="36"/>
        <v>0</v>
      </c>
      <c r="O193" s="361">
        <f t="shared" si="43"/>
        <v>0</v>
      </c>
      <c r="P193" s="361">
        <f t="shared" si="37"/>
        <v>0</v>
      </c>
      <c r="Q193" s="31">
        <f>IF(OR(D193="SI",D193="Sí"),VLOOKUP(A193,DATA!$A$4:$P$350,14,0),0)</f>
        <v>0</v>
      </c>
      <c r="R193" s="121">
        <f t="shared" si="44"/>
        <v>0</v>
      </c>
      <c r="S193" s="31">
        <f>IF(AND(R193&gt;0,R193&lt;$R$7),ROUND(($R$7-R193)*G193,PARAMETROS!$L$8),0)</f>
        <v>0</v>
      </c>
      <c r="T193" s="122">
        <f t="shared" si="38"/>
        <v>0</v>
      </c>
      <c r="U193" s="117">
        <f t="shared" si="39"/>
        <v>0</v>
      </c>
      <c r="V193" s="117">
        <f>VLOOKUP(A193,DATA!$A$4:$V$350,DATA!$V$1,0)</f>
        <v>0</v>
      </c>
      <c r="W193" s="117">
        <f>VLOOKUP(A193,DATA!$A$4:$V$350,22,0)</f>
        <v>0</v>
      </c>
      <c r="X193" s="96">
        <f t="shared" si="40"/>
        <v>0</v>
      </c>
      <c r="Y193" s="31">
        <f>ROUND(X193*PARAMETROS!$H$35,0)</f>
        <v>0</v>
      </c>
      <c r="Z193" s="31">
        <f t="shared" si="45"/>
        <v>0</v>
      </c>
      <c r="AA193" s="31">
        <f t="shared" si="46"/>
        <v>0</v>
      </c>
      <c r="AB193" s="31">
        <f t="shared" si="47"/>
        <v>0</v>
      </c>
      <c r="AC193" s="31">
        <f t="shared" si="47"/>
        <v>0</v>
      </c>
      <c r="AD193" s="38">
        <f t="shared" si="48"/>
        <v>0</v>
      </c>
    </row>
    <row r="194" spans="1:30" ht="3" customHeight="1" x14ac:dyDescent="0.25">
      <c r="A194">
        <v>9112</v>
      </c>
      <c r="B194">
        <v>9220</v>
      </c>
      <c r="C194" t="s">
        <v>230</v>
      </c>
      <c r="D194" s="6" t="str">
        <f>+DATA!U190</f>
        <v>No</v>
      </c>
      <c r="E194" s="361">
        <f t="shared" si="33"/>
        <v>0</v>
      </c>
      <c r="F194" s="95">
        <f t="shared" si="41"/>
        <v>0</v>
      </c>
      <c r="G194" s="31">
        <f>IF(OR(D194="SI",D194="Sí"),VLOOKUP(A194,DATA!$A$4:$D$350,4,0),0)</f>
        <v>0</v>
      </c>
      <c r="H194" s="95">
        <f>IF(OR(D194="SI",D194="Sí"),VLOOKUP(A194,DATA!$A$4:$E$350,5,0),0)</f>
        <v>0</v>
      </c>
      <c r="I194" s="31">
        <f t="shared" si="42"/>
        <v>0</v>
      </c>
      <c r="J194" s="361">
        <f t="shared" si="34"/>
        <v>0</v>
      </c>
      <c r="K194" s="361">
        <f t="shared" si="35"/>
        <v>0</v>
      </c>
      <c r="L194" s="31">
        <f>IF(OR(D194="SI",D194="Sí"),VLOOKUP(A194,DATA!$A$4:$G$350,7,0),0)</f>
        <v>0</v>
      </c>
      <c r="M194" s="31">
        <f>IF(OR(D194="SI",D194="Sí"),VLOOKUP(A194,DATA!$A$4:$H$350,8,0),0)</f>
        <v>0</v>
      </c>
      <c r="N194" s="361">
        <f t="shared" si="36"/>
        <v>0</v>
      </c>
      <c r="O194" s="361">
        <f t="shared" si="43"/>
        <v>0</v>
      </c>
      <c r="P194" s="361">
        <f t="shared" si="37"/>
        <v>0</v>
      </c>
      <c r="Q194" s="31">
        <f>IF(OR(D194="SI",D194="Sí"),VLOOKUP(A194,DATA!$A$4:$P$350,14,0),0)</f>
        <v>0</v>
      </c>
      <c r="R194" s="121">
        <f t="shared" si="44"/>
        <v>0</v>
      </c>
      <c r="S194" s="31">
        <f>IF(AND(R194&gt;0,R194&lt;$R$7),ROUND(($R$7-R194)*G194,PARAMETROS!$L$8),0)</f>
        <v>0</v>
      </c>
      <c r="T194" s="122">
        <f t="shared" si="38"/>
        <v>0</v>
      </c>
      <c r="U194" s="117">
        <f t="shared" si="39"/>
        <v>0</v>
      </c>
      <c r="V194" s="117">
        <f>VLOOKUP(A194,DATA!$A$4:$V$350,DATA!$V$1,0)</f>
        <v>0</v>
      </c>
      <c r="W194" s="117">
        <f>VLOOKUP(A194,DATA!$A$4:$V$350,22,0)</f>
        <v>0</v>
      </c>
      <c r="X194" s="96">
        <f t="shared" si="40"/>
        <v>0</v>
      </c>
      <c r="Y194" s="31">
        <f>ROUND(X194*PARAMETROS!$H$35,0)</f>
        <v>0</v>
      </c>
      <c r="Z194" s="31">
        <f t="shared" si="45"/>
        <v>0</v>
      </c>
      <c r="AA194" s="31">
        <f t="shared" si="46"/>
        <v>0</v>
      </c>
      <c r="AB194" s="31">
        <f t="shared" si="47"/>
        <v>0</v>
      </c>
      <c r="AC194" s="31">
        <f t="shared" si="47"/>
        <v>0</v>
      </c>
      <c r="AD194" s="38">
        <f t="shared" si="48"/>
        <v>0</v>
      </c>
    </row>
    <row r="195" spans="1:30" ht="3" customHeight="1" x14ac:dyDescent="0.25">
      <c r="A195">
        <v>9113</v>
      </c>
      <c r="B195">
        <v>9206</v>
      </c>
      <c r="C195" t="s">
        <v>219</v>
      </c>
      <c r="D195" s="6" t="str">
        <f>+DATA!U191</f>
        <v>No</v>
      </c>
      <c r="E195" s="361">
        <f t="shared" si="33"/>
        <v>0</v>
      </c>
      <c r="F195" s="95">
        <f t="shared" si="41"/>
        <v>0</v>
      </c>
      <c r="G195" s="31">
        <f>IF(OR(D195="SI",D195="Sí"),VLOOKUP(A195,DATA!$A$4:$D$350,4,0),0)</f>
        <v>0</v>
      </c>
      <c r="H195" s="95">
        <f>IF(OR(D195="SI",D195="Sí"),VLOOKUP(A195,DATA!$A$4:$E$350,5,0),0)</f>
        <v>0</v>
      </c>
      <c r="I195" s="31">
        <f t="shared" si="42"/>
        <v>0</v>
      </c>
      <c r="J195" s="361">
        <f t="shared" si="34"/>
        <v>0</v>
      </c>
      <c r="K195" s="361">
        <f t="shared" si="35"/>
        <v>0</v>
      </c>
      <c r="L195" s="31">
        <f>IF(OR(D195="SI",D195="Sí"),VLOOKUP(A195,DATA!$A$4:$G$350,7,0),0)</f>
        <v>0</v>
      </c>
      <c r="M195" s="31">
        <f>IF(OR(D195="SI",D195="Sí"),VLOOKUP(A195,DATA!$A$4:$H$350,8,0),0)</f>
        <v>0</v>
      </c>
      <c r="N195" s="361">
        <f t="shared" si="36"/>
        <v>0</v>
      </c>
      <c r="O195" s="361">
        <f t="shared" si="43"/>
        <v>0</v>
      </c>
      <c r="P195" s="361">
        <f t="shared" si="37"/>
        <v>0</v>
      </c>
      <c r="Q195" s="31">
        <f>IF(OR(D195="SI",D195="Sí"),VLOOKUP(A195,DATA!$A$4:$P$350,14,0),0)</f>
        <v>0</v>
      </c>
      <c r="R195" s="121">
        <f t="shared" si="44"/>
        <v>0</v>
      </c>
      <c r="S195" s="31">
        <f>IF(AND(R195&gt;0,R195&lt;$R$7),ROUND(($R$7-R195)*G195,PARAMETROS!$L$8),0)</f>
        <v>0</v>
      </c>
      <c r="T195" s="122">
        <f t="shared" si="38"/>
        <v>0</v>
      </c>
      <c r="U195" s="117">
        <f t="shared" si="39"/>
        <v>0</v>
      </c>
      <c r="V195" s="117">
        <f>VLOOKUP(A195,DATA!$A$4:$V$350,DATA!$V$1,0)</f>
        <v>0</v>
      </c>
      <c r="W195" s="117">
        <f>VLOOKUP(A195,DATA!$A$4:$V$350,22,0)</f>
        <v>0</v>
      </c>
      <c r="X195" s="96">
        <f t="shared" si="40"/>
        <v>0</v>
      </c>
      <c r="Y195" s="31">
        <f>ROUND(X195*PARAMETROS!$H$35,0)</f>
        <v>0</v>
      </c>
      <c r="Z195" s="31">
        <f t="shared" si="45"/>
        <v>0</v>
      </c>
      <c r="AA195" s="31">
        <f t="shared" si="46"/>
        <v>0</v>
      </c>
      <c r="AB195" s="31">
        <f t="shared" si="47"/>
        <v>0</v>
      </c>
      <c r="AC195" s="31">
        <f t="shared" si="47"/>
        <v>0</v>
      </c>
      <c r="AD195" s="38">
        <f t="shared" si="48"/>
        <v>0</v>
      </c>
    </row>
    <row r="196" spans="1:30" ht="3" customHeight="1" x14ac:dyDescent="0.25">
      <c r="A196">
        <v>9114</v>
      </c>
      <c r="B196">
        <v>9211</v>
      </c>
      <c r="C196" t="s">
        <v>407</v>
      </c>
      <c r="D196" s="6" t="str">
        <f>+DATA!U192</f>
        <v>No</v>
      </c>
      <c r="E196" s="361">
        <f t="shared" si="33"/>
        <v>0</v>
      </c>
      <c r="F196" s="95">
        <f t="shared" si="41"/>
        <v>0</v>
      </c>
      <c r="G196" s="31">
        <f>IF(OR(D196="SI",D196="Sí"),VLOOKUP(A196,DATA!$A$4:$D$350,4,0),0)</f>
        <v>0</v>
      </c>
      <c r="H196" s="95">
        <f>IF(OR(D196="SI",D196="Sí"),VLOOKUP(A196,DATA!$A$4:$E$350,5,0),0)</f>
        <v>0</v>
      </c>
      <c r="I196" s="31">
        <f t="shared" si="42"/>
        <v>0</v>
      </c>
      <c r="J196" s="361">
        <f t="shared" si="34"/>
        <v>0</v>
      </c>
      <c r="K196" s="361">
        <f t="shared" si="35"/>
        <v>0</v>
      </c>
      <c r="L196" s="31">
        <f>IF(OR(D196="SI",D196="Sí"),VLOOKUP(A196,DATA!$A$4:$G$350,7,0),0)</f>
        <v>0</v>
      </c>
      <c r="M196" s="31">
        <f>IF(OR(D196="SI",D196="Sí"),VLOOKUP(A196,DATA!$A$4:$H$350,8,0),0)</f>
        <v>0</v>
      </c>
      <c r="N196" s="361">
        <f t="shared" si="36"/>
        <v>0</v>
      </c>
      <c r="O196" s="361">
        <f t="shared" si="43"/>
        <v>0</v>
      </c>
      <c r="P196" s="361">
        <f t="shared" si="37"/>
        <v>0</v>
      </c>
      <c r="Q196" s="31">
        <f>IF(OR(D196="SI",D196="Sí"),VLOOKUP(A196,DATA!$A$4:$P$350,14,0),0)</f>
        <v>0</v>
      </c>
      <c r="R196" s="121">
        <f t="shared" si="44"/>
        <v>0</v>
      </c>
      <c r="S196" s="31">
        <f>IF(AND(R196&gt;0,R196&lt;$R$7),ROUND(($R$7-R196)*G196,PARAMETROS!$L$8),0)</f>
        <v>0</v>
      </c>
      <c r="T196" s="122">
        <f t="shared" si="38"/>
        <v>0</v>
      </c>
      <c r="U196" s="117">
        <f t="shared" si="39"/>
        <v>0</v>
      </c>
      <c r="V196" s="117">
        <f>VLOOKUP(A196,DATA!$A$4:$V$350,DATA!$V$1,0)</f>
        <v>0</v>
      </c>
      <c r="W196" s="117">
        <f>VLOOKUP(A196,DATA!$A$4:$V$350,22,0)</f>
        <v>0</v>
      </c>
      <c r="X196" s="96">
        <f t="shared" si="40"/>
        <v>0</v>
      </c>
      <c r="Y196" s="31">
        <f>ROUND(X196*PARAMETROS!$H$35,0)</f>
        <v>0</v>
      </c>
      <c r="Z196" s="31">
        <f t="shared" si="45"/>
        <v>0</v>
      </c>
      <c r="AA196" s="31">
        <f t="shared" si="46"/>
        <v>0</v>
      </c>
      <c r="AB196" s="31">
        <f t="shared" si="47"/>
        <v>0</v>
      </c>
      <c r="AC196" s="31">
        <f t="shared" si="47"/>
        <v>0</v>
      </c>
      <c r="AD196" s="38">
        <f t="shared" si="48"/>
        <v>0</v>
      </c>
    </row>
    <row r="197" spans="1:30" ht="3" customHeight="1" x14ac:dyDescent="0.25">
      <c r="A197">
        <v>9115</v>
      </c>
      <c r="B197">
        <v>9216</v>
      </c>
      <c r="C197" t="s">
        <v>408</v>
      </c>
      <c r="D197" s="6" t="str">
        <f>+DATA!U193</f>
        <v>No</v>
      </c>
      <c r="E197" s="361">
        <f t="shared" si="33"/>
        <v>0</v>
      </c>
      <c r="F197" s="95">
        <f t="shared" si="41"/>
        <v>0</v>
      </c>
      <c r="G197" s="31">
        <f>IF(OR(D197="SI",D197="Sí"),VLOOKUP(A197,DATA!$A$4:$D$350,4,0),0)</f>
        <v>0</v>
      </c>
      <c r="H197" s="95">
        <f>IF(OR(D197="SI",D197="Sí"),VLOOKUP(A197,DATA!$A$4:$E$350,5,0),0)</f>
        <v>0</v>
      </c>
      <c r="I197" s="31">
        <f t="shared" si="42"/>
        <v>0</v>
      </c>
      <c r="J197" s="361">
        <f t="shared" si="34"/>
        <v>0</v>
      </c>
      <c r="K197" s="361">
        <f t="shared" si="35"/>
        <v>0</v>
      </c>
      <c r="L197" s="31">
        <f>IF(OR(D197="SI",D197="Sí"),VLOOKUP(A197,DATA!$A$4:$G$350,7,0),0)</f>
        <v>0</v>
      </c>
      <c r="M197" s="31">
        <f>IF(OR(D197="SI",D197="Sí"),VLOOKUP(A197,DATA!$A$4:$H$350,8,0),0)</f>
        <v>0</v>
      </c>
      <c r="N197" s="361">
        <f t="shared" si="36"/>
        <v>0</v>
      </c>
      <c r="O197" s="361">
        <f t="shared" si="43"/>
        <v>0</v>
      </c>
      <c r="P197" s="361">
        <f t="shared" si="37"/>
        <v>0</v>
      </c>
      <c r="Q197" s="31">
        <f>IF(OR(D197="SI",D197="Sí"),VLOOKUP(A197,DATA!$A$4:$P$350,14,0),0)</f>
        <v>0</v>
      </c>
      <c r="R197" s="121">
        <f t="shared" si="44"/>
        <v>0</v>
      </c>
      <c r="S197" s="31">
        <f>IF(AND(R197&gt;0,R197&lt;$R$7),ROUND(($R$7-R197)*G197,PARAMETROS!$L$8),0)</f>
        <v>0</v>
      </c>
      <c r="T197" s="122">
        <f t="shared" si="38"/>
        <v>0</v>
      </c>
      <c r="U197" s="117">
        <f t="shared" si="39"/>
        <v>0</v>
      </c>
      <c r="V197" s="117">
        <f>VLOOKUP(A197,DATA!$A$4:$V$350,DATA!$V$1,0)</f>
        <v>0</v>
      </c>
      <c r="W197" s="117">
        <f>VLOOKUP(A197,DATA!$A$4:$V$350,22,0)</f>
        <v>0</v>
      </c>
      <c r="X197" s="96">
        <f t="shared" si="40"/>
        <v>0</v>
      </c>
      <c r="Y197" s="31">
        <f>ROUND(X197*PARAMETROS!$H$35,0)</f>
        <v>0</v>
      </c>
      <c r="Z197" s="31">
        <f t="shared" si="45"/>
        <v>0</v>
      </c>
      <c r="AA197" s="31">
        <f t="shared" si="46"/>
        <v>0</v>
      </c>
      <c r="AB197" s="31">
        <f t="shared" si="47"/>
        <v>0</v>
      </c>
      <c r="AC197" s="31">
        <f t="shared" si="47"/>
        <v>0</v>
      </c>
      <c r="AD197" s="38">
        <f t="shared" si="48"/>
        <v>0</v>
      </c>
    </row>
    <row r="198" spans="1:30" ht="3" customHeight="1" x14ac:dyDescent="0.25">
      <c r="A198">
        <v>9116</v>
      </c>
      <c r="B198">
        <v>9210</v>
      </c>
      <c r="C198" t="s">
        <v>223</v>
      </c>
      <c r="D198" s="6" t="str">
        <f>+DATA!U194</f>
        <v>No</v>
      </c>
      <c r="E198" s="361">
        <f t="shared" si="33"/>
        <v>0</v>
      </c>
      <c r="F198" s="95">
        <f t="shared" si="41"/>
        <v>0</v>
      </c>
      <c r="G198" s="31">
        <f>IF(OR(D198="SI",D198="Sí"),VLOOKUP(A198,DATA!$A$4:$D$350,4,0),0)</f>
        <v>0</v>
      </c>
      <c r="H198" s="95">
        <f>IF(OR(D198="SI",D198="Sí"),VLOOKUP(A198,DATA!$A$4:$E$350,5,0),0)</f>
        <v>0</v>
      </c>
      <c r="I198" s="31">
        <f t="shared" si="42"/>
        <v>0</v>
      </c>
      <c r="J198" s="361">
        <f t="shared" si="34"/>
        <v>0</v>
      </c>
      <c r="K198" s="361">
        <f t="shared" si="35"/>
        <v>0</v>
      </c>
      <c r="L198" s="31">
        <f>IF(OR(D198="SI",D198="Sí"),VLOOKUP(A198,DATA!$A$4:$G$350,7,0),0)</f>
        <v>0</v>
      </c>
      <c r="M198" s="31">
        <f>IF(OR(D198="SI",D198="Sí"),VLOOKUP(A198,DATA!$A$4:$H$350,8,0),0)</f>
        <v>0</v>
      </c>
      <c r="N198" s="361">
        <f t="shared" si="36"/>
        <v>0</v>
      </c>
      <c r="O198" s="361">
        <f t="shared" si="43"/>
        <v>0</v>
      </c>
      <c r="P198" s="361">
        <f t="shared" si="37"/>
        <v>0</v>
      </c>
      <c r="Q198" s="31">
        <f>IF(OR(D198="SI",D198="Sí"),VLOOKUP(A198,DATA!$A$4:$P$350,14,0),0)</f>
        <v>0</v>
      </c>
      <c r="R198" s="121">
        <f t="shared" si="44"/>
        <v>0</v>
      </c>
      <c r="S198" s="31">
        <f>IF(AND(R198&gt;0,R198&lt;$R$7),ROUND(($R$7-R198)*G198,PARAMETROS!$L$8),0)</f>
        <v>0</v>
      </c>
      <c r="T198" s="122">
        <f t="shared" si="38"/>
        <v>0</v>
      </c>
      <c r="U198" s="117">
        <f t="shared" si="39"/>
        <v>0</v>
      </c>
      <c r="V198" s="117">
        <f>VLOOKUP(A198,DATA!$A$4:$V$350,DATA!$V$1,0)</f>
        <v>0</v>
      </c>
      <c r="W198" s="117">
        <f>VLOOKUP(A198,DATA!$A$4:$V$350,22,0)</f>
        <v>0</v>
      </c>
      <c r="X198" s="96">
        <f t="shared" si="40"/>
        <v>0</v>
      </c>
      <c r="Y198" s="31">
        <f>ROUND(X198*PARAMETROS!$H$35,0)</f>
        <v>0</v>
      </c>
      <c r="Z198" s="31">
        <f t="shared" si="45"/>
        <v>0</v>
      </c>
      <c r="AA198" s="31">
        <f t="shared" si="46"/>
        <v>0</v>
      </c>
      <c r="AB198" s="31">
        <f t="shared" si="47"/>
        <v>0</v>
      </c>
      <c r="AC198" s="31">
        <f t="shared" si="47"/>
        <v>0</v>
      </c>
      <c r="AD198" s="38">
        <f t="shared" si="48"/>
        <v>0</v>
      </c>
    </row>
    <row r="199" spans="1:30" ht="3" customHeight="1" x14ac:dyDescent="0.25">
      <c r="A199">
        <v>9117</v>
      </c>
      <c r="B199">
        <v>9219</v>
      </c>
      <c r="C199" t="s">
        <v>229</v>
      </c>
      <c r="D199" s="6" t="str">
        <f>+DATA!U195</f>
        <v>No</v>
      </c>
      <c r="E199" s="361">
        <f t="shared" si="33"/>
        <v>0</v>
      </c>
      <c r="F199" s="95">
        <f t="shared" si="41"/>
        <v>0</v>
      </c>
      <c r="G199" s="31">
        <f>IF(OR(D199="SI",D199="Sí"),VLOOKUP(A199,DATA!$A$4:$D$350,4,0),0)</f>
        <v>0</v>
      </c>
      <c r="H199" s="95">
        <f>IF(OR(D199="SI",D199="Sí"),VLOOKUP(A199,DATA!$A$4:$E$350,5,0),0)</f>
        <v>0</v>
      </c>
      <c r="I199" s="31">
        <f t="shared" si="42"/>
        <v>0</v>
      </c>
      <c r="J199" s="361">
        <f t="shared" si="34"/>
        <v>0</v>
      </c>
      <c r="K199" s="361">
        <f t="shared" si="35"/>
        <v>0</v>
      </c>
      <c r="L199" s="31">
        <f>IF(OR(D199="SI",D199="Sí"),VLOOKUP(A199,DATA!$A$4:$G$350,7,0),0)</f>
        <v>0</v>
      </c>
      <c r="M199" s="31">
        <f>IF(OR(D199="SI",D199="Sí"),VLOOKUP(A199,DATA!$A$4:$H$350,8,0),0)</f>
        <v>0</v>
      </c>
      <c r="N199" s="361">
        <f t="shared" si="36"/>
        <v>0</v>
      </c>
      <c r="O199" s="361">
        <f t="shared" si="43"/>
        <v>0</v>
      </c>
      <c r="P199" s="361">
        <f t="shared" si="37"/>
        <v>0</v>
      </c>
      <c r="Q199" s="31">
        <f>IF(OR(D199="SI",D199="Sí"),VLOOKUP(A199,DATA!$A$4:$P$350,14,0),0)</f>
        <v>0</v>
      </c>
      <c r="R199" s="121">
        <f t="shared" si="44"/>
        <v>0</v>
      </c>
      <c r="S199" s="31">
        <f>IF(AND(R199&gt;0,R199&lt;$R$7),ROUND(($R$7-R199)*G199,PARAMETROS!$L$8),0)</f>
        <v>0</v>
      </c>
      <c r="T199" s="122">
        <f t="shared" si="38"/>
        <v>0</v>
      </c>
      <c r="U199" s="117">
        <f t="shared" si="39"/>
        <v>0</v>
      </c>
      <c r="V199" s="117">
        <f>VLOOKUP(A199,DATA!$A$4:$V$350,DATA!$V$1,0)</f>
        <v>0</v>
      </c>
      <c r="W199" s="117">
        <f>VLOOKUP(A199,DATA!$A$4:$V$350,22,0)</f>
        <v>0</v>
      </c>
      <c r="X199" s="96">
        <f t="shared" si="40"/>
        <v>0</v>
      </c>
      <c r="Y199" s="31">
        <f>ROUND(X199*PARAMETROS!$H$35,0)</f>
        <v>0</v>
      </c>
      <c r="Z199" s="31">
        <f t="shared" si="45"/>
        <v>0</v>
      </c>
      <c r="AA199" s="31">
        <f t="shared" si="46"/>
        <v>0</v>
      </c>
      <c r="AB199" s="31">
        <f t="shared" si="47"/>
        <v>0</v>
      </c>
      <c r="AC199" s="31">
        <f t="shared" si="47"/>
        <v>0</v>
      </c>
      <c r="AD199" s="38">
        <f t="shared" si="48"/>
        <v>0</v>
      </c>
    </row>
    <row r="200" spans="1:30" ht="3" customHeight="1" x14ac:dyDescent="0.25">
      <c r="A200">
        <v>9118</v>
      </c>
      <c r="B200">
        <v>9213</v>
      </c>
      <c r="C200" t="s">
        <v>409</v>
      </c>
      <c r="D200" s="6" t="str">
        <f>+DATA!U196</f>
        <v>No</v>
      </c>
      <c r="E200" s="361">
        <f t="shared" si="33"/>
        <v>0</v>
      </c>
      <c r="F200" s="95">
        <f t="shared" si="41"/>
        <v>0</v>
      </c>
      <c r="G200" s="31">
        <f>IF(OR(D200="SI",D200="Sí"),VLOOKUP(A200,DATA!$A$4:$D$350,4,0),0)</f>
        <v>0</v>
      </c>
      <c r="H200" s="95">
        <f>IF(OR(D200="SI",D200="Sí"),VLOOKUP(A200,DATA!$A$4:$E$350,5,0),0)</f>
        <v>0</v>
      </c>
      <c r="I200" s="31">
        <f t="shared" si="42"/>
        <v>0</v>
      </c>
      <c r="J200" s="361">
        <f t="shared" si="34"/>
        <v>0</v>
      </c>
      <c r="K200" s="361">
        <f t="shared" si="35"/>
        <v>0</v>
      </c>
      <c r="L200" s="31">
        <f>IF(OR(D200="SI",D200="Sí"),VLOOKUP(A200,DATA!$A$4:$G$350,7,0),0)</f>
        <v>0</v>
      </c>
      <c r="M200" s="31">
        <f>IF(OR(D200="SI",D200="Sí"),VLOOKUP(A200,DATA!$A$4:$H$350,8,0),0)</f>
        <v>0</v>
      </c>
      <c r="N200" s="361">
        <f t="shared" si="36"/>
        <v>0</v>
      </c>
      <c r="O200" s="361">
        <f t="shared" si="43"/>
        <v>0</v>
      </c>
      <c r="P200" s="361">
        <f t="shared" si="37"/>
        <v>0</v>
      </c>
      <c r="Q200" s="31">
        <f>IF(OR(D200="SI",D200="Sí"),VLOOKUP(A200,DATA!$A$4:$P$350,14,0),0)</f>
        <v>0</v>
      </c>
      <c r="R200" s="121">
        <f t="shared" si="44"/>
        <v>0</v>
      </c>
      <c r="S200" s="31">
        <f>IF(AND(R200&gt;0,R200&lt;$R$7),ROUND(($R$7-R200)*G200,PARAMETROS!$L$8),0)</f>
        <v>0</v>
      </c>
      <c r="T200" s="122">
        <f t="shared" si="38"/>
        <v>0</v>
      </c>
      <c r="U200" s="117">
        <f t="shared" si="39"/>
        <v>0</v>
      </c>
      <c r="V200" s="117">
        <f>VLOOKUP(A200,DATA!$A$4:$V$350,DATA!$V$1,0)</f>
        <v>0</v>
      </c>
      <c r="W200" s="117">
        <f>VLOOKUP(A200,DATA!$A$4:$V$350,22,0)</f>
        <v>0</v>
      </c>
      <c r="X200" s="96">
        <f t="shared" si="40"/>
        <v>0</v>
      </c>
      <c r="Y200" s="31">
        <f>ROUND(X200*PARAMETROS!$H$35,0)</f>
        <v>0</v>
      </c>
      <c r="Z200" s="31">
        <f t="shared" si="45"/>
        <v>0</v>
      </c>
      <c r="AA200" s="31">
        <f t="shared" si="46"/>
        <v>0</v>
      </c>
      <c r="AB200" s="31">
        <f t="shared" si="47"/>
        <v>0</v>
      </c>
      <c r="AC200" s="31">
        <f t="shared" si="47"/>
        <v>0</v>
      </c>
      <c r="AD200" s="38">
        <f t="shared" si="48"/>
        <v>0</v>
      </c>
    </row>
    <row r="201" spans="1:30" ht="3" customHeight="1" x14ac:dyDescent="0.25">
      <c r="A201">
        <v>9119</v>
      </c>
      <c r="B201">
        <v>9202</v>
      </c>
      <c r="C201" t="s">
        <v>410</v>
      </c>
      <c r="D201" s="6" t="str">
        <f>+DATA!U197</f>
        <v>No</v>
      </c>
      <c r="E201" s="361">
        <f t="shared" ref="E201:E264" si="49">IF(OR(D201="SI",D201="Sí"),ROUND(1/$D$7,DEC),0)</f>
        <v>0</v>
      </c>
      <c r="F201" s="95">
        <f t="shared" si="41"/>
        <v>0</v>
      </c>
      <c r="G201" s="31">
        <f>IF(OR(D201="SI",D201="Sí"),VLOOKUP(A201,DATA!$A$4:$D$350,4,0),0)</f>
        <v>0</v>
      </c>
      <c r="H201" s="95">
        <f>IF(OR(D201="SI",D201="Sí"),VLOOKUP(A201,DATA!$A$4:$E$350,5,0),0)</f>
        <v>0</v>
      </c>
      <c r="I201" s="31">
        <f t="shared" si="42"/>
        <v>0</v>
      </c>
      <c r="J201" s="361">
        <f t="shared" ref="J201:J264" si="50">ROUND(I201/$I$7,DEC)</f>
        <v>0</v>
      </c>
      <c r="K201" s="361">
        <f t="shared" ref="K201:K264" si="51">ROUND(J201*$K$7,DEC)</f>
        <v>0</v>
      </c>
      <c r="L201" s="31">
        <f>IF(OR(D201="SI",D201="Sí"),VLOOKUP(A201,DATA!$A$4:$G$350,7,0),0)</f>
        <v>0</v>
      </c>
      <c r="M201" s="31">
        <f>IF(OR(D201="SI",D201="Sí"),VLOOKUP(A201,DATA!$A$4:$H$350,8,0),0)</f>
        <v>0</v>
      </c>
      <c r="N201" s="361">
        <f t="shared" ref="N201:N264" si="52">IF(M201=0,0,ROUND((L201/$L$7)*(L201/M201),DEC))</f>
        <v>0</v>
      </c>
      <c r="O201" s="361">
        <f t="shared" si="43"/>
        <v>0</v>
      </c>
      <c r="P201" s="361">
        <f t="shared" ref="P201:P264" si="53">ROUND(O201*$P$7,DEC)</f>
        <v>0</v>
      </c>
      <c r="Q201" s="31">
        <f>IF(OR(D201="SI",D201="Sí"),VLOOKUP(A201,DATA!$A$4:$P$350,14,0),0)</f>
        <v>0</v>
      </c>
      <c r="R201" s="121">
        <f t="shared" si="44"/>
        <v>0</v>
      </c>
      <c r="S201" s="31">
        <f>IF(AND(R201&gt;0,R201&lt;$R$7),ROUND(($R$7-R201)*G201,PARAMETROS!$L$8),0)</f>
        <v>0</v>
      </c>
      <c r="T201" s="122">
        <f t="shared" ref="T201:T264" si="54">ROUND(S201/$S$7,DEC)</f>
        <v>0</v>
      </c>
      <c r="U201" s="117">
        <f t="shared" ref="U201:U264" si="55">ROUND(T201*$U$7,DEC)</f>
        <v>0</v>
      </c>
      <c r="V201" s="117">
        <f>VLOOKUP(A201,DATA!$A$4:$V$350,DATA!$V$1,0)</f>
        <v>0</v>
      </c>
      <c r="W201" s="117">
        <f>VLOOKUP(A201,DATA!$A$4:$V$350,22,0)</f>
        <v>0</v>
      </c>
      <c r="X201" s="96">
        <f t="shared" ref="X201:X264" si="56">+F201+K201+P201+U201+W201</f>
        <v>0</v>
      </c>
      <c r="Y201" s="31">
        <f>ROUND(X201*PARAMETROS!$H$35,0)</f>
        <v>0</v>
      </c>
      <c r="Z201" s="31">
        <f t="shared" si="45"/>
        <v>0</v>
      </c>
      <c r="AA201" s="31">
        <f t="shared" si="46"/>
        <v>0</v>
      </c>
      <c r="AB201" s="31">
        <f t="shared" si="47"/>
        <v>0</v>
      </c>
      <c r="AC201" s="31">
        <f t="shared" si="47"/>
        <v>0</v>
      </c>
      <c r="AD201" s="38">
        <f t="shared" si="48"/>
        <v>0</v>
      </c>
    </row>
    <row r="202" spans="1:30" ht="3" customHeight="1" x14ac:dyDescent="0.25">
      <c r="A202">
        <v>9120</v>
      </c>
      <c r="B202">
        <v>9215</v>
      </c>
      <c r="C202" t="s">
        <v>226</v>
      </c>
      <c r="D202" s="6" t="str">
        <f>+DATA!U198</f>
        <v>No</v>
      </c>
      <c r="E202" s="361">
        <f t="shared" si="49"/>
        <v>0</v>
      </c>
      <c r="F202" s="95">
        <f t="shared" ref="F202:F265" si="57">+E202*$F$7</f>
        <v>0</v>
      </c>
      <c r="G202" s="31">
        <f>IF(OR(D202="SI",D202="Sí"),VLOOKUP(A202,DATA!$A$4:$D$350,4,0),0)</f>
        <v>0</v>
      </c>
      <c r="H202" s="95">
        <f>IF(OR(D202="SI",D202="Sí"),VLOOKUP(A202,DATA!$A$4:$E$350,5,0),0)</f>
        <v>0</v>
      </c>
      <c r="I202" s="31">
        <f t="shared" ref="I202:I266" si="58">ROUND(G202*H202,0)</f>
        <v>0</v>
      </c>
      <c r="J202" s="361">
        <f t="shared" si="50"/>
        <v>0</v>
      </c>
      <c r="K202" s="361">
        <f t="shared" si="51"/>
        <v>0</v>
      </c>
      <c r="L202" s="31">
        <f>IF(OR(D202="SI",D202="Sí"),VLOOKUP(A202,DATA!$A$4:$G$350,7,0),0)</f>
        <v>0</v>
      </c>
      <c r="M202" s="31">
        <f>IF(OR(D202="SI",D202="Sí"),VLOOKUP(A202,DATA!$A$4:$H$350,8,0),0)</f>
        <v>0</v>
      </c>
      <c r="N202" s="361">
        <f t="shared" si="52"/>
        <v>0</v>
      </c>
      <c r="O202" s="361">
        <f t="shared" ref="O202:O265" si="59">+N202/$N$7</f>
        <v>0</v>
      </c>
      <c r="P202" s="361">
        <f t="shared" si="53"/>
        <v>0</v>
      </c>
      <c r="Q202" s="31">
        <f>IF(OR(D202="SI",D202="Sí"),VLOOKUP(A202,DATA!$A$4:$P$350,14,0),0)</f>
        <v>0</v>
      </c>
      <c r="R202" s="121">
        <f t="shared" ref="R202:R266" si="60">IFERROR(ROUND(Q202/G202,2),0)</f>
        <v>0</v>
      </c>
      <c r="S202" s="31">
        <f>IF(AND(R202&gt;0,R202&lt;$R$7),ROUND(($R$7-R202)*G202,PARAMETROS!$L$8),0)</f>
        <v>0</v>
      </c>
      <c r="T202" s="122">
        <f t="shared" si="54"/>
        <v>0</v>
      </c>
      <c r="U202" s="117">
        <f t="shared" si="55"/>
        <v>0</v>
      </c>
      <c r="V202" s="117">
        <f>VLOOKUP(A202,DATA!$A$4:$V$350,DATA!$V$1,0)</f>
        <v>0</v>
      </c>
      <c r="W202" s="117">
        <f>VLOOKUP(A202,DATA!$A$4:$V$350,22,0)</f>
        <v>0</v>
      </c>
      <c r="X202" s="96">
        <f t="shared" si="56"/>
        <v>0</v>
      </c>
      <c r="Y202" s="31">
        <f>ROUND(X202*PARAMETROS!$H$35,0)</f>
        <v>0</v>
      </c>
      <c r="Z202" s="31">
        <f t="shared" ref="Z202:Z265" si="61">IF(Y202=$Z$6,Y202+$Z$5,Y202)</f>
        <v>0</v>
      </c>
      <c r="AA202" s="31">
        <f t="shared" ref="AA202:AA265" si="62">ROUND(Z202/4,0)</f>
        <v>0</v>
      </c>
      <c r="AB202" s="31">
        <f t="shared" ref="AB202:AC265" si="63">+AA202</f>
        <v>0</v>
      </c>
      <c r="AC202" s="31">
        <f t="shared" si="63"/>
        <v>0</v>
      </c>
      <c r="AD202" s="38">
        <f t="shared" ref="AD202:AD265" si="64">+Z202-AA202-AB202-AC202</f>
        <v>0</v>
      </c>
    </row>
    <row r="203" spans="1:30" ht="3" customHeight="1" x14ac:dyDescent="0.25">
      <c r="A203">
        <v>9121</v>
      </c>
      <c r="B203">
        <v>9221</v>
      </c>
      <c r="C203" t="s">
        <v>231</v>
      </c>
      <c r="D203" s="6" t="str">
        <f>+DATA!U199</f>
        <v>No</v>
      </c>
      <c r="E203" s="361">
        <f t="shared" si="49"/>
        <v>0</v>
      </c>
      <c r="F203" s="95">
        <f t="shared" si="57"/>
        <v>0</v>
      </c>
      <c r="G203" s="31">
        <f>IF(OR(D203="SI",D203="Sí"),VLOOKUP(A203,DATA!$A$4:$D$350,4,0),0)</f>
        <v>0</v>
      </c>
      <c r="H203" s="95">
        <f>IF(OR(D203="SI",D203="Sí"),VLOOKUP(A203,DATA!$A$4:$E$350,5,0),0)</f>
        <v>0</v>
      </c>
      <c r="I203" s="31">
        <f t="shared" si="58"/>
        <v>0</v>
      </c>
      <c r="J203" s="361">
        <f t="shared" si="50"/>
        <v>0</v>
      </c>
      <c r="K203" s="361">
        <f t="shared" si="51"/>
        <v>0</v>
      </c>
      <c r="L203" s="31">
        <f>IF(OR(D203="SI",D203="Sí"),VLOOKUP(A203,DATA!$A$4:$G$350,7,0),0)</f>
        <v>0</v>
      </c>
      <c r="M203" s="31">
        <f>IF(OR(D203="SI",D203="Sí"),VLOOKUP(A203,DATA!$A$4:$H$350,8,0),0)</f>
        <v>0</v>
      </c>
      <c r="N203" s="361">
        <f t="shared" si="52"/>
        <v>0</v>
      </c>
      <c r="O203" s="361">
        <f t="shared" si="59"/>
        <v>0</v>
      </c>
      <c r="P203" s="361">
        <f t="shared" si="53"/>
        <v>0</v>
      </c>
      <c r="Q203" s="31">
        <f>IF(OR(D203="SI",D203="Sí"),VLOOKUP(A203,DATA!$A$4:$P$350,14,0),0)</f>
        <v>0</v>
      </c>
      <c r="R203" s="121">
        <f t="shared" si="60"/>
        <v>0</v>
      </c>
      <c r="S203" s="31">
        <f>IF(AND(R203&gt;0,R203&lt;$R$7),ROUND(($R$7-R203)*G203,PARAMETROS!$L$8),0)</f>
        <v>0</v>
      </c>
      <c r="T203" s="122">
        <f t="shared" si="54"/>
        <v>0</v>
      </c>
      <c r="U203" s="117">
        <f t="shared" si="55"/>
        <v>0</v>
      </c>
      <c r="V203" s="117">
        <f>VLOOKUP(A203,DATA!$A$4:$V$350,DATA!$V$1,0)</f>
        <v>0</v>
      </c>
      <c r="W203" s="117">
        <f>VLOOKUP(A203,DATA!$A$4:$V$350,22,0)</f>
        <v>0</v>
      </c>
      <c r="X203" s="96">
        <f t="shared" si="56"/>
        <v>0</v>
      </c>
      <c r="Y203" s="31">
        <f>ROUND(X203*PARAMETROS!$H$35,0)</f>
        <v>0</v>
      </c>
      <c r="Z203" s="31">
        <f t="shared" si="61"/>
        <v>0</v>
      </c>
      <c r="AA203" s="31">
        <f t="shared" si="62"/>
        <v>0</v>
      </c>
      <c r="AB203" s="31">
        <f t="shared" si="63"/>
        <v>0</v>
      </c>
      <c r="AC203" s="31">
        <f t="shared" si="63"/>
        <v>0</v>
      </c>
      <c r="AD203" s="38">
        <f t="shared" si="64"/>
        <v>0</v>
      </c>
    </row>
    <row r="204" spans="1:30" ht="3" customHeight="1" x14ac:dyDescent="0.25">
      <c r="A204">
        <v>9201</v>
      </c>
      <c r="B204">
        <v>9101</v>
      </c>
      <c r="C204" t="s">
        <v>207</v>
      </c>
      <c r="D204" s="6" t="str">
        <f>+DATA!U200</f>
        <v>No</v>
      </c>
      <c r="E204" s="361">
        <f t="shared" si="49"/>
        <v>0</v>
      </c>
      <c r="F204" s="95">
        <f t="shared" si="57"/>
        <v>0</v>
      </c>
      <c r="G204" s="31">
        <f>IF(OR(D204="SI",D204="Sí"),VLOOKUP(A204,DATA!$A$4:$D$350,4,0),0)</f>
        <v>0</v>
      </c>
      <c r="H204" s="95">
        <f>IF(OR(D204="SI",D204="Sí"),VLOOKUP(A204,DATA!$A$4:$E$350,5,0),0)</f>
        <v>0</v>
      </c>
      <c r="I204" s="31">
        <f t="shared" si="58"/>
        <v>0</v>
      </c>
      <c r="J204" s="361">
        <f t="shared" si="50"/>
        <v>0</v>
      </c>
      <c r="K204" s="361">
        <f t="shared" si="51"/>
        <v>0</v>
      </c>
      <c r="L204" s="31">
        <f>IF(OR(D204="SI",D204="Sí"),VLOOKUP(A204,DATA!$A$4:$G$350,7,0),0)</f>
        <v>0</v>
      </c>
      <c r="M204" s="31">
        <f>IF(OR(D204="SI",D204="Sí"),VLOOKUP(A204,DATA!$A$4:$H$350,8,0),0)</f>
        <v>0</v>
      </c>
      <c r="N204" s="361">
        <f t="shared" si="52"/>
        <v>0</v>
      </c>
      <c r="O204" s="361">
        <f t="shared" si="59"/>
        <v>0</v>
      </c>
      <c r="P204" s="361">
        <f t="shared" si="53"/>
        <v>0</v>
      </c>
      <c r="Q204" s="31">
        <f>IF(OR(D204="SI",D204="Sí"),VLOOKUP(A204,DATA!$A$4:$P$350,14,0),0)</f>
        <v>0</v>
      </c>
      <c r="R204" s="121">
        <f t="shared" si="60"/>
        <v>0</v>
      </c>
      <c r="S204" s="31">
        <f>IF(AND(R204&gt;0,R204&lt;$R$7),ROUND(($R$7-R204)*G204,PARAMETROS!$L$8),0)</f>
        <v>0</v>
      </c>
      <c r="T204" s="122">
        <f t="shared" si="54"/>
        <v>0</v>
      </c>
      <c r="U204" s="117">
        <f t="shared" si="55"/>
        <v>0</v>
      </c>
      <c r="V204" s="117">
        <f>VLOOKUP(A204,DATA!$A$4:$V$350,DATA!$V$1,0)</f>
        <v>0</v>
      </c>
      <c r="W204" s="117">
        <f>VLOOKUP(A204,DATA!$A$4:$V$350,22,0)</f>
        <v>0</v>
      </c>
      <c r="X204" s="96">
        <f t="shared" si="56"/>
        <v>0</v>
      </c>
      <c r="Y204" s="31">
        <f>ROUND(X204*PARAMETROS!$H$35,0)</f>
        <v>0</v>
      </c>
      <c r="Z204" s="31">
        <f t="shared" si="61"/>
        <v>0</v>
      </c>
      <c r="AA204" s="31">
        <f t="shared" si="62"/>
        <v>0</v>
      </c>
      <c r="AB204" s="31">
        <f t="shared" si="63"/>
        <v>0</v>
      </c>
      <c r="AC204" s="31">
        <f t="shared" si="63"/>
        <v>0</v>
      </c>
      <c r="AD204" s="38">
        <f t="shared" si="64"/>
        <v>0</v>
      </c>
    </row>
    <row r="205" spans="1:30" ht="3" customHeight="1" x14ac:dyDescent="0.25">
      <c r="A205">
        <v>9202</v>
      </c>
      <c r="B205">
        <v>9105</v>
      </c>
      <c r="C205" t="s">
        <v>210</v>
      </c>
      <c r="D205" s="6" t="str">
        <f>+DATA!U201</f>
        <v>No</v>
      </c>
      <c r="E205" s="361">
        <f t="shared" si="49"/>
        <v>0</v>
      </c>
      <c r="F205" s="95">
        <f t="shared" si="57"/>
        <v>0</v>
      </c>
      <c r="G205" s="31">
        <f>IF(OR(D205="SI",D205="Sí"),VLOOKUP(A205,DATA!$A$4:$D$350,4,0),0)</f>
        <v>0</v>
      </c>
      <c r="H205" s="95">
        <f>IF(OR(D205="SI",D205="Sí"),VLOOKUP(A205,DATA!$A$4:$E$350,5,0),0)</f>
        <v>0</v>
      </c>
      <c r="I205" s="31">
        <f t="shared" si="58"/>
        <v>0</v>
      </c>
      <c r="J205" s="361">
        <f t="shared" si="50"/>
        <v>0</v>
      </c>
      <c r="K205" s="361">
        <f t="shared" si="51"/>
        <v>0</v>
      </c>
      <c r="L205" s="31">
        <f>IF(OR(D205="SI",D205="Sí"),VLOOKUP(A205,DATA!$A$4:$G$350,7,0),0)</f>
        <v>0</v>
      </c>
      <c r="M205" s="31">
        <f>IF(OR(D205="SI",D205="Sí"),VLOOKUP(A205,DATA!$A$4:$H$350,8,0),0)</f>
        <v>0</v>
      </c>
      <c r="N205" s="361">
        <f t="shared" si="52"/>
        <v>0</v>
      </c>
      <c r="O205" s="361">
        <f t="shared" si="59"/>
        <v>0</v>
      </c>
      <c r="P205" s="361">
        <f t="shared" si="53"/>
        <v>0</v>
      </c>
      <c r="Q205" s="31">
        <f>IF(OR(D205="SI",D205="Sí"),VLOOKUP(A205,DATA!$A$4:$P$350,14,0),0)</f>
        <v>0</v>
      </c>
      <c r="R205" s="121">
        <f t="shared" si="60"/>
        <v>0</v>
      </c>
      <c r="S205" s="31">
        <f>IF(AND(R205&gt;0,R205&lt;$R$7),ROUND(($R$7-R205)*G205,PARAMETROS!$L$8),0)</f>
        <v>0</v>
      </c>
      <c r="T205" s="122">
        <f t="shared" si="54"/>
        <v>0</v>
      </c>
      <c r="U205" s="117">
        <f t="shared" si="55"/>
        <v>0</v>
      </c>
      <c r="V205" s="117">
        <f>VLOOKUP(A205,DATA!$A$4:$V$350,DATA!$V$1,0)</f>
        <v>0</v>
      </c>
      <c r="W205" s="117">
        <f>VLOOKUP(A205,DATA!$A$4:$V$350,22,0)</f>
        <v>0</v>
      </c>
      <c r="X205" s="96">
        <f t="shared" si="56"/>
        <v>0</v>
      </c>
      <c r="Y205" s="31">
        <f>ROUND(X205*PARAMETROS!$H$35,0)</f>
        <v>0</v>
      </c>
      <c r="Z205" s="31">
        <f t="shared" si="61"/>
        <v>0</v>
      </c>
      <c r="AA205" s="31">
        <f t="shared" si="62"/>
        <v>0</v>
      </c>
      <c r="AB205" s="31">
        <f t="shared" si="63"/>
        <v>0</v>
      </c>
      <c r="AC205" s="31">
        <f t="shared" si="63"/>
        <v>0</v>
      </c>
      <c r="AD205" s="38">
        <f t="shared" si="64"/>
        <v>0</v>
      </c>
    </row>
    <row r="206" spans="1:30" ht="3" customHeight="1" x14ac:dyDescent="0.25">
      <c r="A206">
        <v>9203</v>
      </c>
      <c r="B206">
        <v>9110</v>
      </c>
      <c r="C206" t="s">
        <v>411</v>
      </c>
      <c r="D206" s="6" t="str">
        <f>+DATA!U202</f>
        <v>No</v>
      </c>
      <c r="E206" s="361">
        <f t="shared" si="49"/>
        <v>0</v>
      </c>
      <c r="F206" s="95">
        <f t="shared" si="57"/>
        <v>0</v>
      </c>
      <c r="G206" s="31">
        <f>IF(OR(D206="SI",D206="Sí"),VLOOKUP(A206,DATA!$A$4:$D$350,4,0),0)</f>
        <v>0</v>
      </c>
      <c r="H206" s="95">
        <f>IF(OR(D206="SI",D206="Sí"),VLOOKUP(A206,DATA!$A$4:$E$350,5,0),0)</f>
        <v>0</v>
      </c>
      <c r="I206" s="31">
        <f t="shared" si="58"/>
        <v>0</v>
      </c>
      <c r="J206" s="361">
        <f t="shared" si="50"/>
        <v>0</v>
      </c>
      <c r="K206" s="361">
        <f t="shared" si="51"/>
        <v>0</v>
      </c>
      <c r="L206" s="31">
        <f>IF(OR(D206="SI",D206="Sí"),VLOOKUP(A206,DATA!$A$4:$G$350,7,0),0)</f>
        <v>0</v>
      </c>
      <c r="M206" s="31">
        <f>IF(OR(D206="SI",D206="Sí"),VLOOKUP(A206,DATA!$A$4:$H$350,8,0),0)</f>
        <v>0</v>
      </c>
      <c r="N206" s="361">
        <f t="shared" si="52"/>
        <v>0</v>
      </c>
      <c r="O206" s="361">
        <f t="shared" si="59"/>
        <v>0</v>
      </c>
      <c r="P206" s="361">
        <f t="shared" si="53"/>
        <v>0</v>
      </c>
      <c r="Q206" s="31">
        <f>IF(OR(D206="SI",D206="Sí"),VLOOKUP(A206,DATA!$A$4:$P$350,14,0),0)</f>
        <v>0</v>
      </c>
      <c r="R206" s="121">
        <f t="shared" si="60"/>
        <v>0</v>
      </c>
      <c r="S206" s="31">
        <f>IF(AND(R206&gt;0,R206&lt;$R$7),ROUND(($R$7-R206)*G206,PARAMETROS!$L$8),0)</f>
        <v>0</v>
      </c>
      <c r="T206" s="122">
        <f t="shared" si="54"/>
        <v>0</v>
      </c>
      <c r="U206" s="117">
        <f t="shared" si="55"/>
        <v>0</v>
      </c>
      <c r="V206" s="117">
        <f>VLOOKUP(A206,DATA!$A$4:$V$350,DATA!$V$1,0)</f>
        <v>0</v>
      </c>
      <c r="W206" s="117">
        <f>VLOOKUP(A206,DATA!$A$4:$V$350,22,0)</f>
        <v>0</v>
      </c>
      <c r="X206" s="96">
        <f t="shared" si="56"/>
        <v>0</v>
      </c>
      <c r="Y206" s="31">
        <f>ROUND(X206*PARAMETROS!$H$35,0)</f>
        <v>0</v>
      </c>
      <c r="Z206" s="31">
        <f t="shared" si="61"/>
        <v>0</v>
      </c>
      <c r="AA206" s="31">
        <f t="shared" si="62"/>
        <v>0</v>
      </c>
      <c r="AB206" s="31">
        <f t="shared" si="63"/>
        <v>0</v>
      </c>
      <c r="AC206" s="31">
        <f t="shared" si="63"/>
        <v>0</v>
      </c>
      <c r="AD206" s="38">
        <f t="shared" si="64"/>
        <v>0</v>
      </c>
    </row>
    <row r="207" spans="1:30" ht="3" customHeight="1" x14ac:dyDescent="0.25">
      <c r="A207">
        <v>9204</v>
      </c>
      <c r="B207">
        <v>9106</v>
      </c>
      <c r="C207" t="s">
        <v>211</v>
      </c>
      <c r="D207" s="6" t="str">
        <f>+DATA!U203</f>
        <v>No</v>
      </c>
      <c r="E207" s="361">
        <f t="shared" si="49"/>
        <v>0</v>
      </c>
      <c r="F207" s="95">
        <f t="shared" si="57"/>
        <v>0</v>
      </c>
      <c r="G207" s="31">
        <f>IF(OR(D207="SI",D207="Sí"),VLOOKUP(A207,DATA!$A$4:$D$350,4,0),0)</f>
        <v>0</v>
      </c>
      <c r="H207" s="95">
        <f>IF(OR(D207="SI",D207="Sí"),VLOOKUP(A207,DATA!$A$4:$E$350,5,0),0)</f>
        <v>0</v>
      </c>
      <c r="I207" s="31">
        <f t="shared" si="58"/>
        <v>0</v>
      </c>
      <c r="J207" s="361">
        <f t="shared" si="50"/>
        <v>0</v>
      </c>
      <c r="K207" s="361">
        <f t="shared" si="51"/>
        <v>0</v>
      </c>
      <c r="L207" s="31">
        <f>IF(OR(D207="SI",D207="Sí"),VLOOKUP(A207,DATA!$A$4:$G$350,7,0),0)</f>
        <v>0</v>
      </c>
      <c r="M207" s="31">
        <f>IF(OR(D207="SI",D207="Sí"),VLOOKUP(A207,DATA!$A$4:$H$350,8,0),0)</f>
        <v>0</v>
      </c>
      <c r="N207" s="361">
        <f t="shared" si="52"/>
        <v>0</v>
      </c>
      <c r="O207" s="361">
        <f t="shared" si="59"/>
        <v>0</v>
      </c>
      <c r="P207" s="361">
        <f t="shared" si="53"/>
        <v>0</v>
      </c>
      <c r="Q207" s="31">
        <f>IF(OR(D207="SI",D207="Sí"),VLOOKUP(A207,DATA!$A$4:$P$350,14,0),0)</f>
        <v>0</v>
      </c>
      <c r="R207" s="121">
        <f t="shared" si="60"/>
        <v>0</v>
      </c>
      <c r="S207" s="31">
        <f>IF(AND(R207&gt;0,R207&lt;$R$7),ROUND(($R$7-R207)*G207,PARAMETROS!$L$8),0)</f>
        <v>0</v>
      </c>
      <c r="T207" s="122">
        <f t="shared" si="54"/>
        <v>0</v>
      </c>
      <c r="U207" s="117">
        <f t="shared" si="55"/>
        <v>0</v>
      </c>
      <c r="V207" s="117">
        <f>VLOOKUP(A207,DATA!$A$4:$V$350,DATA!$V$1,0)</f>
        <v>0</v>
      </c>
      <c r="W207" s="117">
        <f>VLOOKUP(A207,DATA!$A$4:$V$350,22,0)</f>
        <v>0</v>
      </c>
      <c r="X207" s="96">
        <f t="shared" si="56"/>
        <v>0</v>
      </c>
      <c r="Y207" s="31">
        <f>ROUND(X207*PARAMETROS!$H$35,0)</f>
        <v>0</v>
      </c>
      <c r="Z207" s="31">
        <f t="shared" si="61"/>
        <v>0</v>
      </c>
      <c r="AA207" s="31">
        <f t="shared" si="62"/>
        <v>0</v>
      </c>
      <c r="AB207" s="31">
        <f t="shared" si="63"/>
        <v>0</v>
      </c>
      <c r="AC207" s="31">
        <f t="shared" si="63"/>
        <v>0</v>
      </c>
      <c r="AD207" s="38">
        <f t="shared" si="64"/>
        <v>0</v>
      </c>
    </row>
    <row r="208" spans="1:30" ht="3" customHeight="1" x14ac:dyDescent="0.25">
      <c r="A208">
        <v>9205</v>
      </c>
      <c r="B208">
        <v>9111</v>
      </c>
      <c r="C208" t="s">
        <v>214</v>
      </c>
      <c r="D208" s="6" t="str">
        <f>+DATA!U204</f>
        <v>No</v>
      </c>
      <c r="E208" s="361">
        <f t="shared" si="49"/>
        <v>0</v>
      </c>
      <c r="F208" s="95">
        <f t="shared" si="57"/>
        <v>0</v>
      </c>
      <c r="G208" s="31">
        <f>IF(OR(D208="SI",D208="Sí"),VLOOKUP(A208,DATA!$A$4:$D$350,4,0),0)</f>
        <v>0</v>
      </c>
      <c r="H208" s="95">
        <f>IF(OR(D208="SI",D208="Sí"),VLOOKUP(A208,DATA!$A$4:$E$350,5,0),0)</f>
        <v>0</v>
      </c>
      <c r="I208" s="31">
        <f t="shared" si="58"/>
        <v>0</v>
      </c>
      <c r="J208" s="361">
        <f t="shared" si="50"/>
        <v>0</v>
      </c>
      <c r="K208" s="361">
        <f t="shared" si="51"/>
        <v>0</v>
      </c>
      <c r="L208" s="31">
        <f>IF(OR(D208="SI",D208="Sí"),VLOOKUP(A208,DATA!$A$4:$G$350,7,0),0)</f>
        <v>0</v>
      </c>
      <c r="M208" s="31">
        <f>IF(OR(D208="SI",D208="Sí"),VLOOKUP(A208,DATA!$A$4:$H$350,8,0),0)</f>
        <v>0</v>
      </c>
      <c r="N208" s="361">
        <f t="shared" si="52"/>
        <v>0</v>
      </c>
      <c r="O208" s="361">
        <f t="shared" si="59"/>
        <v>0</v>
      </c>
      <c r="P208" s="361">
        <f t="shared" si="53"/>
        <v>0</v>
      </c>
      <c r="Q208" s="31">
        <f>IF(OR(D208="SI",D208="Sí"),VLOOKUP(A208,DATA!$A$4:$P$350,14,0),0)</f>
        <v>0</v>
      </c>
      <c r="R208" s="121">
        <f t="shared" si="60"/>
        <v>0</v>
      </c>
      <c r="S208" s="31">
        <f>IF(AND(R208&gt;0,R208&lt;$R$7),ROUND(($R$7-R208)*G208,PARAMETROS!$L$8),0)</f>
        <v>0</v>
      </c>
      <c r="T208" s="122">
        <f t="shared" si="54"/>
        <v>0</v>
      </c>
      <c r="U208" s="117">
        <f t="shared" si="55"/>
        <v>0</v>
      </c>
      <c r="V208" s="117">
        <f>VLOOKUP(A208,DATA!$A$4:$V$350,DATA!$V$1,0)</f>
        <v>0</v>
      </c>
      <c r="W208" s="117">
        <f>VLOOKUP(A208,DATA!$A$4:$V$350,22,0)</f>
        <v>0</v>
      </c>
      <c r="X208" s="96">
        <f t="shared" si="56"/>
        <v>0</v>
      </c>
      <c r="Y208" s="31">
        <f>ROUND(X208*PARAMETROS!$H$35,0)</f>
        <v>0</v>
      </c>
      <c r="Z208" s="31">
        <f t="shared" si="61"/>
        <v>0</v>
      </c>
      <c r="AA208" s="31">
        <f t="shared" si="62"/>
        <v>0</v>
      </c>
      <c r="AB208" s="31">
        <f t="shared" si="63"/>
        <v>0</v>
      </c>
      <c r="AC208" s="31">
        <f t="shared" si="63"/>
        <v>0</v>
      </c>
      <c r="AD208" s="38">
        <f t="shared" si="64"/>
        <v>0</v>
      </c>
    </row>
    <row r="209" spans="1:30" ht="3" customHeight="1" x14ac:dyDescent="0.25">
      <c r="A209">
        <v>9206</v>
      </c>
      <c r="B209">
        <v>9103</v>
      </c>
      <c r="C209" t="s">
        <v>208</v>
      </c>
      <c r="D209" s="6" t="str">
        <f>+DATA!U205</f>
        <v>No</v>
      </c>
      <c r="E209" s="361">
        <f t="shared" si="49"/>
        <v>0</v>
      </c>
      <c r="F209" s="95">
        <f t="shared" si="57"/>
        <v>0</v>
      </c>
      <c r="G209" s="31">
        <f>IF(OR(D209="SI",D209="Sí"),VLOOKUP(A209,DATA!$A$4:$D$350,4,0),0)</f>
        <v>0</v>
      </c>
      <c r="H209" s="95">
        <f>IF(OR(D209="SI",D209="Sí"),VLOOKUP(A209,DATA!$A$4:$E$350,5,0),0)</f>
        <v>0</v>
      </c>
      <c r="I209" s="31">
        <f t="shared" si="58"/>
        <v>0</v>
      </c>
      <c r="J209" s="361">
        <f t="shared" si="50"/>
        <v>0</v>
      </c>
      <c r="K209" s="361">
        <f t="shared" si="51"/>
        <v>0</v>
      </c>
      <c r="L209" s="31">
        <f>IF(OR(D209="SI",D209="Sí"),VLOOKUP(A209,DATA!$A$4:$G$350,7,0),0)</f>
        <v>0</v>
      </c>
      <c r="M209" s="31">
        <f>IF(OR(D209="SI",D209="Sí"),VLOOKUP(A209,DATA!$A$4:$H$350,8,0),0)</f>
        <v>0</v>
      </c>
      <c r="N209" s="361">
        <f t="shared" si="52"/>
        <v>0</v>
      </c>
      <c r="O209" s="361">
        <f t="shared" si="59"/>
        <v>0</v>
      </c>
      <c r="P209" s="361">
        <f t="shared" si="53"/>
        <v>0</v>
      </c>
      <c r="Q209" s="31">
        <f>IF(OR(D209="SI",D209="Sí"),VLOOKUP(A209,DATA!$A$4:$P$350,14,0),0)</f>
        <v>0</v>
      </c>
      <c r="R209" s="121">
        <f t="shared" si="60"/>
        <v>0</v>
      </c>
      <c r="S209" s="31">
        <f>IF(AND(R209&gt;0,R209&lt;$R$7),ROUND(($R$7-R209)*G209,PARAMETROS!$L$8),0)</f>
        <v>0</v>
      </c>
      <c r="T209" s="122">
        <f t="shared" si="54"/>
        <v>0</v>
      </c>
      <c r="U209" s="117">
        <f t="shared" si="55"/>
        <v>0</v>
      </c>
      <c r="V209" s="117">
        <f>VLOOKUP(A209,DATA!$A$4:$V$350,DATA!$V$1,0)</f>
        <v>0</v>
      </c>
      <c r="W209" s="117">
        <f>VLOOKUP(A209,DATA!$A$4:$V$350,22,0)</f>
        <v>0</v>
      </c>
      <c r="X209" s="96">
        <f t="shared" si="56"/>
        <v>0</v>
      </c>
      <c r="Y209" s="31">
        <f>ROUND(X209*PARAMETROS!$H$35,0)</f>
        <v>0</v>
      </c>
      <c r="Z209" s="31">
        <f t="shared" si="61"/>
        <v>0</v>
      </c>
      <c r="AA209" s="31">
        <f t="shared" si="62"/>
        <v>0</v>
      </c>
      <c r="AB209" s="31">
        <f t="shared" si="63"/>
        <v>0</v>
      </c>
      <c r="AC209" s="31">
        <f t="shared" si="63"/>
        <v>0</v>
      </c>
      <c r="AD209" s="38">
        <f t="shared" si="64"/>
        <v>0</v>
      </c>
    </row>
    <row r="210" spans="1:30" ht="3" customHeight="1" x14ac:dyDescent="0.25">
      <c r="A210">
        <v>9207</v>
      </c>
      <c r="B210">
        <v>9108</v>
      </c>
      <c r="C210" t="s">
        <v>212</v>
      </c>
      <c r="D210" s="6" t="str">
        <f>+DATA!U206</f>
        <v>No</v>
      </c>
      <c r="E210" s="361">
        <f t="shared" si="49"/>
        <v>0</v>
      </c>
      <c r="F210" s="95">
        <f t="shared" si="57"/>
        <v>0</v>
      </c>
      <c r="G210" s="31">
        <f>IF(OR(D210="SI",D210="Sí"),VLOOKUP(A210,DATA!$A$4:$D$350,4,0),0)</f>
        <v>0</v>
      </c>
      <c r="H210" s="95">
        <f>IF(OR(D210="SI",D210="Sí"),VLOOKUP(A210,DATA!$A$4:$E$350,5,0),0)</f>
        <v>0</v>
      </c>
      <c r="I210" s="31">
        <f t="shared" si="58"/>
        <v>0</v>
      </c>
      <c r="J210" s="361">
        <f t="shared" si="50"/>
        <v>0</v>
      </c>
      <c r="K210" s="361">
        <f t="shared" si="51"/>
        <v>0</v>
      </c>
      <c r="L210" s="31">
        <f>IF(OR(D210="SI",D210="Sí"),VLOOKUP(A210,DATA!$A$4:$G$350,7,0),0)</f>
        <v>0</v>
      </c>
      <c r="M210" s="31">
        <f>IF(OR(D210="SI",D210="Sí"),VLOOKUP(A210,DATA!$A$4:$H$350,8,0),0)</f>
        <v>0</v>
      </c>
      <c r="N210" s="361">
        <f t="shared" si="52"/>
        <v>0</v>
      </c>
      <c r="O210" s="361">
        <f t="shared" si="59"/>
        <v>0</v>
      </c>
      <c r="P210" s="361">
        <f t="shared" si="53"/>
        <v>0</v>
      </c>
      <c r="Q210" s="31">
        <f>IF(OR(D210="SI",D210="Sí"),VLOOKUP(A210,DATA!$A$4:$P$350,14,0),0)</f>
        <v>0</v>
      </c>
      <c r="R210" s="121">
        <f t="shared" si="60"/>
        <v>0</v>
      </c>
      <c r="S210" s="31">
        <f>IF(AND(R210&gt;0,R210&lt;$R$7),ROUND(($R$7-R210)*G210,PARAMETROS!$L$8),0)</f>
        <v>0</v>
      </c>
      <c r="T210" s="122">
        <f t="shared" si="54"/>
        <v>0</v>
      </c>
      <c r="U210" s="117">
        <f t="shared" si="55"/>
        <v>0</v>
      </c>
      <c r="V210" s="117">
        <f>VLOOKUP(A210,DATA!$A$4:$V$350,DATA!$V$1,0)</f>
        <v>0</v>
      </c>
      <c r="W210" s="117">
        <f>VLOOKUP(A210,DATA!$A$4:$V$350,22,0)</f>
        <v>0</v>
      </c>
      <c r="X210" s="96">
        <f t="shared" si="56"/>
        <v>0</v>
      </c>
      <c r="Y210" s="31">
        <f>ROUND(X210*PARAMETROS!$H$35,0)</f>
        <v>0</v>
      </c>
      <c r="Z210" s="31">
        <f t="shared" si="61"/>
        <v>0</v>
      </c>
      <c r="AA210" s="31">
        <f t="shared" si="62"/>
        <v>0</v>
      </c>
      <c r="AB210" s="31">
        <f t="shared" si="63"/>
        <v>0</v>
      </c>
      <c r="AC210" s="31">
        <f t="shared" si="63"/>
        <v>0</v>
      </c>
      <c r="AD210" s="38">
        <f t="shared" si="64"/>
        <v>0</v>
      </c>
    </row>
    <row r="211" spans="1:30" ht="3" customHeight="1" x14ac:dyDescent="0.25">
      <c r="A211">
        <v>9208</v>
      </c>
      <c r="B211">
        <v>9102</v>
      </c>
      <c r="C211" t="s">
        <v>412</v>
      </c>
      <c r="D211" s="6" t="str">
        <f>+DATA!U207</f>
        <v>No</v>
      </c>
      <c r="E211" s="361">
        <f t="shared" si="49"/>
        <v>0</v>
      </c>
      <c r="F211" s="95">
        <f t="shared" si="57"/>
        <v>0</v>
      </c>
      <c r="G211" s="31">
        <f>IF(OR(D211="SI",D211="Sí"),VLOOKUP(A211,DATA!$A$4:$D$350,4,0),0)</f>
        <v>0</v>
      </c>
      <c r="H211" s="95">
        <f>IF(OR(D211="SI",D211="Sí"),VLOOKUP(A211,DATA!$A$4:$E$350,5,0),0)</f>
        <v>0</v>
      </c>
      <c r="I211" s="31">
        <f t="shared" si="58"/>
        <v>0</v>
      </c>
      <c r="J211" s="361">
        <f t="shared" si="50"/>
        <v>0</v>
      </c>
      <c r="K211" s="361">
        <f t="shared" si="51"/>
        <v>0</v>
      </c>
      <c r="L211" s="31">
        <f>IF(OR(D211="SI",D211="Sí"),VLOOKUP(A211,DATA!$A$4:$G$350,7,0),0)</f>
        <v>0</v>
      </c>
      <c r="M211" s="31">
        <f>IF(OR(D211="SI",D211="Sí"),VLOOKUP(A211,DATA!$A$4:$H$350,8,0),0)</f>
        <v>0</v>
      </c>
      <c r="N211" s="361">
        <f t="shared" si="52"/>
        <v>0</v>
      </c>
      <c r="O211" s="361">
        <f t="shared" si="59"/>
        <v>0</v>
      </c>
      <c r="P211" s="361">
        <f t="shared" si="53"/>
        <v>0</v>
      </c>
      <c r="Q211" s="31">
        <f>IF(OR(D211="SI",D211="Sí"),VLOOKUP(A211,DATA!$A$4:$P$350,14,0),0)</f>
        <v>0</v>
      </c>
      <c r="R211" s="121">
        <f t="shared" si="60"/>
        <v>0</v>
      </c>
      <c r="S211" s="31">
        <f>IF(AND(R211&gt;0,R211&lt;$R$7),ROUND(($R$7-R211)*G211,PARAMETROS!$L$8),0)</f>
        <v>0</v>
      </c>
      <c r="T211" s="122">
        <f t="shared" si="54"/>
        <v>0</v>
      </c>
      <c r="U211" s="117">
        <f t="shared" si="55"/>
        <v>0</v>
      </c>
      <c r="V211" s="117">
        <f>VLOOKUP(A211,DATA!$A$4:$V$350,DATA!$V$1,0)</f>
        <v>0</v>
      </c>
      <c r="W211" s="117">
        <f>VLOOKUP(A211,DATA!$A$4:$V$350,22,0)</f>
        <v>0</v>
      </c>
      <c r="X211" s="96">
        <f t="shared" si="56"/>
        <v>0</v>
      </c>
      <c r="Y211" s="31">
        <f>ROUND(X211*PARAMETROS!$H$35,0)</f>
        <v>0</v>
      </c>
      <c r="Z211" s="31">
        <f t="shared" si="61"/>
        <v>0</v>
      </c>
      <c r="AA211" s="31">
        <f t="shared" si="62"/>
        <v>0</v>
      </c>
      <c r="AB211" s="31">
        <f t="shared" si="63"/>
        <v>0</v>
      </c>
      <c r="AC211" s="31">
        <f t="shared" si="63"/>
        <v>0</v>
      </c>
      <c r="AD211" s="38">
        <f t="shared" si="64"/>
        <v>0</v>
      </c>
    </row>
    <row r="212" spans="1:30" ht="3" customHeight="1" x14ac:dyDescent="0.25">
      <c r="A212">
        <v>9209</v>
      </c>
      <c r="B212">
        <v>9104</v>
      </c>
      <c r="C212" t="s">
        <v>209</v>
      </c>
      <c r="D212" s="6" t="str">
        <f>+DATA!U208</f>
        <v>No</v>
      </c>
      <c r="E212" s="361">
        <f t="shared" si="49"/>
        <v>0</v>
      </c>
      <c r="F212" s="95">
        <f t="shared" si="57"/>
        <v>0</v>
      </c>
      <c r="G212" s="31">
        <f>IF(OR(D212="SI",D212="Sí"),VLOOKUP(A212,DATA!$A$4:$D$350,4,0),0)</f>
        <v>0</v>
      </c>
      <c r="H212" s="95">
        <f>IF(OR(D212="SI",D212="Sí"),VLOOKUP(A212,DATA!$A$4:$E$350,5,0),0)</f>
        <v>0</v>
      </c>
      <c r="I212" s="31">
        <f t="shared" si="58"/>
        <v>0</v>
      </c>
      <c r="J212" s="361">
        <f t="shared" si="50"/>
        <v>0</v>
      </c>
      <c r="K212" s="361">
        <f t="shared" si="51"/>
        <v>0</v>
      </c>
      <c r="L212" s="31">
        <f>IF(OR(D212="SI",D212="Sí"),VLOOKUP(A212,DATA!$A$4:$G$350,7,0),0)</f>
        <v>0</v>
      </c>
      <c r="M212" s="31">
        <f>IF(OR(D212="SI",D212="Sí"),VLOOKUP(A212,DATA!$A$4:$H$350,8,0),0)</f>
        <v>0</v>
      </c>
      <c r="N212" s="361">
        <f t="shared" si="52"/>
        <v>0</v>
      </c>
      <c r="O212" s="361">
        <f t="shared" si="59"/>
        <v>0</v>
      </c>
      <c r="P212" s="361">
        <f t="shared" si="53"/>
        <v>0</v>
      </c>
      <c r="Q212" s="31">
        <f>IF(OR(D212="SI",D212="Sí"),VLOOKUP(A212,DATA!$A$4:$P$350,14,0),0)</f>
        <v>0</v>
      </c>
      <c r="R212" s="121">
        <f t="shared" si="60"/>
        <v>0</v>
      </c>
      <c r="S212" s="31">
        <f>IF(AND(R212&gt;0,R212&lt;$R$7),ROUND(($R$7-R212)*G212,PARAMETROS!$L$8),0)</f>
        <v>0</v>
      </c>
      <c r="T212" s="122">
        <f t="shared" si="54"/>
        <v>0</v>
      </c>
      <c r="U212" s="117">
        <f t="shared" si="55"/>
        <v>0</v>
      </c>
      <c r="V212" s="117">
        <f>VLOOKUP(A212,DATA!$A$4:$V$350,DATA!$V$1,0)</f>
        <v>0</v>
      </c>
      <c r="W212" s="117">
        <f>VLOOKUP(A212,DATA!$A$4:$V$350,22,0)</f>
        <v>0</v>
      </c>
      <c r="X212" s="96">
        <f t="shared" si="56"/>
        <v>0</v>
      </c>
      <c r="Y212" s="31">
        <f>ROUND(X212*PARAMETROS!$H$35,0)</f>
        <v>0</v>
      </c>
      <c r="Z212" s="31">
        <f t="shared" si="61"/>
        <v>0</v>
      </c>
      <c r="AA212" s="31">
        <f t="shared" si="62"/>
        <v>0</v>
      </c>
      <c r="AB212" s="31">
        <f t="shared" si="63"/>
        <v>0</v>
      </c>
      <c r="AC212" s="31">
        <f t="shared" si="63"/>
        <v>0</v>
      </c>
      <c r="AD212" s="38">
        <f t="shared" si="64"/>
        <v>0</v>
      </c>
    </row>
    <row r="213" spans="1:30" ht="3" customHeight="1" x14ac:dyDescent="0.25">
      <c r="A213">
        <v>9210</v>
      </c>
      <c r="B213">
        <v>9107</v>
      </c>
      <c r="C213" t="s">
        <v>413</v>
      </c>
      <c r="D213" s="6" t="str">
        <f>+DATA!U209</f>
        <v>No</v>
      </c>
      <c r="E213" s="361">
        <f t="shared" si="49"/>
        <v>0</v>
      </c>
      <c r="F213" s="95">
        <f t="shared" si="57"/>
        <v>0</v>
      </c>
      <c r="G213" s="31">
        <f>IF(OR(D213="SI",D213="Sí"),VLOOKUP(A213,DATA!$A$4:$D$350,4,0),0)</f>
        <v>0</v>
      </c>
      <c r="H213" s="95">
        <f>IF(OR(D213="SI",D213="Sí"),VLOOKUP(A213,DATA!$A$4:$E$350,5,0),0)</f>
        <v>0</v>
      </c>
      <c r="I213" s="31">
        <f t="shared" si="58"/>
        <v>0</v>
      </c>
      <c r="J213" s="361">
        <f t="shared" si="50"/>
        <v>0</v>
      </c>
      <c r="K213" s="361">
        <f t="shared" si="51"/>
        <v>0</v>
      </c>
      <c r="L213" s="31">
        <f>IF(OR(D213="SI",D213="Sí"),VLOOKUP(A213,DATA!$A$4:$G$350,7,0),0)</f>
        <v>0</v>
      </c>
      <c r="M213" s="31">
        <f>IF(OR(D213="SI",D213="Sí"),VLOOKUP(A213,DATA!$A$4:$H$350,8,0),0)</f>
        <v>0</v>
      </c>
      <c r="N213" s="361">
        <f t="shared" si="52"/>
        <v>0</v>
      </c>
      <c r="O213" s="361">
        <f t="shared" si="59"/>
        <v>0</v>
      </c>
      <c r="P213" s="361">
        <f t="shared" si="53"/>
        <v>0</v>
      </c>
      <c r="Q213" s="31">
        <f>IF(OR(D213="SI",D213="Sí"),VLOOKUP(A213,DATA!$A$4:$P$350,14,0),0)</f>
        <v>0</v>
      </c>
      <c r="R213" s="121">
        <f t="shared" si="60"/>
        <v>0</v>
      </c>
      <c r="S213" s="31">
        <f>IF(AND(R213&gt;0,R213&lt;$R$7),ROUND(($R$7-R213)*G213,PARAMETROS!$L$8),0)</f>
        <v>0</v>
      </c>
      <c r="T213" s="122">
        <f t="shared" si="54"/>
        <v>0</v>
      </c>
      <c r="U213" s="117">
        <f t="shared" si="55"/>
        <v>0</v>
      </c>
      <c r="V213" s="117">
        <f>VLOOKUP(A213,DATA!$A$4:$V$350,DATA!$V$1,0)</f>
        <v>0</v>
      </c>
      <c r="W213" s="117">
        <f>VLOOKUP(A213,DATA!$A$4:$V$350,22,0)</f>
        <v>0</v>
      </c>
      <c r="X213" s="96">
        <f t="shared" si="56"/>
        <v>0</v>
      </c>
      <c r="Y213" s="31">
        <f>ROUND(X213*PARAMETROS!$H$35,0)</f>
        <v>0</v>
      </c>
      <c r="Z213" s="31">
        <f t="shared" si="61"/>
        <v>0</v>
      </c>
      <c r="AA213" s="31">
        <f t="shared" si="62"/>
        <v>0</v>
      </c>
      <c r="AB213" s="31">
        <f t="shared" si="63"/>
        <v>0</v>
      </c>
      <c r="AC213" s="31">
        <f t="shared" si="63"/>
        <v>0</v>
      </c>
      <c r="AD213" s="38">
        <f t="shared" si="64"/>
        <v>0</v>
      </c>
    </row>
    <row r="214" spans="1:30" ht="3" customHeight="1" x14ac:dyDescent="0.25">
      <c r="A214">
        <v>9211</v>
      </c>
      <c r="B214">
        <v>9109</v>
      </c>
      <c r="C214" t="s">
        <v>213</v>
      </c>
      <c r="D214" s="6" t="str">
        <f>+DATA!U210</f>
        <v>No</v>
      </c>
      <c r="E214" s="361">
        <f t="shared" si="49"/>
        <v>0</v>
      </c>
      <c r="F214" s="95">
        <f t="shared" si="57"/>
        <v>0</v>
      </c>
      <c r="G214" s="31">
        <f>IF(OR(D214="SI",D214="Sí"),VLOOKUP(A214,DATA!$A$4:$D$350,4,0),0)</f>
        <v>0</v>
      </c>
      <c r="H214" s="95">
        <f>IF(OR(D214="SI",D214="Sí"),VLOOKUP(A214,DATA!$A$4:$E$350,5,0),0)</f>
        <v>0</v>
      </c>
      <c r="I214" s="31">
        <f t="shared" si="58"/>
        <v>0</v>
      </c>
      <c r="J214" s="361">
        <f t="shared" si="50"/>
        <v>0</v>
      </c>
      <c r="K214" s="361">
        <f t="shared" si="51"/>
        <v>0</v>
      </c>
      <c r="L214" s="31">
        <f>IF(OR(D214="SI",D214="Sí"),VLOOKUP(A214,DATA!$A$4:$G$350,7,0),0)</f>
        <v>0</v>
      </c>
      <c r="M214" s="31">
        <f>IF(OR(D214="SI",D214="Sí"),VLOOKUP(A214,DATA!$A$4:$H$350,8,0),0)</f>
        <v>0</v>
      </c>
      <c r="N214" s="361">
        <f t="shared" si="52"/>
        <v>0</v>
      </c>
      <c r="O214" s="361">
        <f t="shared" si="59"/>
        <v>0</v>
      </c>
      <c r="P214" s="361">
        <f t="shared" si="53"/>
        <v>0</v>
      </c>
      <c r="Q214" s="31">
        <f>IF(OR(D214="SI",D214="Sí"),VLOOKUP(A214,DATA!$A$4:$P$350,14,0),0)</f>
        <v>0</v>
      </c>
      <c r="R214" s="121">
        <f t="shared" si="60"/>
        <v>0</v>
      </c>
      <c r="S214" s="31">
        <f>IF(AND(R214&gt;0,R214&lt;$R$7),ROUND(($R$7-R214)*G214,PARAMETROS!$L$8),0)</f>
        <v>0</v>
      </c>
      <c r="T214" s="122">
        <f t="shared" si="54"/>
        <v>0</v>
      </c>
      <c r="U214" s="117">
        <f t="shared" si="55"/>
        <v>0</v>
      </c>
      <c r="V214" s="117">
        <f>VLOOKUP(A214,DATA!$A$4:$V$350,DATA!$V$1,0)</f>
        <v>0</v>
      </c>
      <c r="W214" s="117">
        <f>VLOOKUP(A214,DATA!$A$4:$V$350,22,0)</f>
        <v>0</v>
      </c>
      <c r="X214" s="96">
        <f t="shared" si="56"/>
        <v>0</v>
      </c>
      <c r="Y214" s="31">
        <f>ROUND(X214*PARAMETROS!$H$35,0)</f>
        <v>0</v>
      </c>
      <c r="Z214" s="31">
        <f t="shared" si="61"/>
        <v>0</v>
      </c>
      <c r="AA214" s="31">
        <f t="shared" si="62"/>
        <v>0</v>
      </c>
      <c r="AB214" s="31">
        <f t="shared" si="63"/>
        <v>0</v>
      </c>
      <c r="AC214" s="31">
        <f t="shared" si="63"/>
        <v>0</v>
      </c>
      <c r="AD214" s="38">
        <f t="shared" si="64"/>
        <v>0</v>
      </c>
    </row>
    <row r="215" spans="1:30" ht="3" customHeight="1" x14ac:dyDescent="0.25">
      <c r="A215">
        <v>10101</v>
      </c>
      <c r="B215">
        <v>10301</v>
      </c>
      <c r="C215" t="s">
        <v>246</v>
      </c>
      <c r="D215" s="6" t="str">
        <f>+DATA!U211</f>
        <v>No</v>
      </c>
      <c r="E215" s="361">
        <f t="shared" si="49"/>
        <v>0</v>
      </c>
      <c r="F215" s="95">
        <f t="shared" si="57"/>
        <v>0</v>
      </c>
      <c r="G215" s="31">
        <f>IF(OR(D215="SI",D215="Sí"),VLOOKUP(A215,DATA!$A$4:$D$350,4,0),0)</f>
        <v>0</v>
      </c>
      <c r="H215" s="95">
        <f>IF(OR(D215="SI",D215="Sí"),VLOOKUP(A215,DATA!$A$4:$E$350,5,0),0)</f>
        <v>0</v>
      </c>
      <c r="I215" s="31">
        <f t="shared" si="58"/>
        <v>0</v>
      </c>
      <c r="J215" s="361">
        <f t="shared" si="50"/>
        <v>0</v>
      </c>
      <c r="K215" s="361">
        <f t="shared" si="51"/>
        <v>0</v>
      </c>
      <c r="L215" s="31">
        <f>IF(OR(D215="SI",D215="Sí"),VLOOKUP(A215,DATA!$A$4:$G$350,7,0),0)</f>
        <v>0</v>
      </c>
      <c r="M215" s="31">
        <f>IF(OR(D215="SI",D215="Sí"),VLOOKUP(A215,DATA!$A$4:$H$350,8,0),0)</f>
        <v>0</v>
      </c>
      <c r="N215" s="361">
        <f t="shared" si="52"/>
        <v>0</v>
      </c>
      <c r="O215" s="361">
        <f t="shared" si="59"/>
        <v>0</v>
      </c>
      <c r="P215" s="361">
        <f t="shared" si="53"/>
        <v>0</v>
      </c>
      <c r="Q215" s="31">
        <f>IF(OR(D215="SI",D215="Sí"),VLOOKUP(A215,DATA!$A$4:$P$350,14,0),0)</f>
        <v>0</v>
      </c>
      <c r="R215" s="121">
        <f t="shared" si="60"/>
        <v>0</v>
      </c>
      <c r="S215" s="31">
        <f>IF(AND(R215&gt;0,R215&lt;$R$7),ROUND(($R$7-R215)*G215,PARAMETROS!$L$8),0)</f>
        <v>0</v>
      </c>
      <c r="T215" s="122">
        <f t="shared" si="54"/>
        <v>0</v>
      </c>
      <c r="U215" s="117">
        <f t="shared" si="55"/>
        <v>0</v>
      </c>
      <c r="V215" s="117">
        <f>VLOOKUP(A215,DATA!$A$4:$V$350,DATA!$V$1,0)</f>
        <v>0</v>
      </c>
      <c r="W215" s="117">
        <f>VLOOKUP(A215,DATA!$A$4:$V$350,22,0)</f>
        <v>0</v>
      </c>
      <c r="X215" s="96">
        <f t="shared" si="56"/>
        <v>0</v>
      </c>
      <c r="Y215" s="31">
        <f>ROUND(X215*PARAMETROS!$H$35,0)</f>
        <v>0</v>
      </c>
      <c r="Z215" s="31">
        <f t="shared" si="61"/>
        <v>0</v>
      </c>
      <c r="AA215" s="31">
        <f t="shared" si="62"/>
        <v>0</v>
      </c>
      <c r="AB215" s="31">
        <f t="shared" si="63"/>
        <v>0</v>
      </c>
      <c r="AC215" s="31">
        <f t="shared" si="63"/>
        <v>0</v>
      </c>
      <c r="AD215" s="38">
        <f t="shared" si="64"/>
        <v>0</v>
      </c>
    </row>
    <row r="216" spans="1:30" ht="3" customHeight="1" x14ac:dyDescent="0.25">
      <c r="A216">
        <v>10102</v>
      </c>
      <c r="B216">
        <v>10309</v>
      </c>
      <c r="C216" t="s">
        <v>252</v>
      </c>
      <c r="D216" s="6" t="str">
        <f>+DATA!U212</f>
        <v>No</v>
      </c>
      <c r="E216" s="361">
        <f t="shared" si="49"/>
        <v>0</v>
      </c>
      <c r="F216" s="95">
        <f t="shared" si="57"/>
        <v>0</v>
      </c>
      <c r="G216" s="31">
        <f>IF(OR(D216="SI",D216="Sí"),VLOOKUP(A216,DATA!$A$4:$D$350,4,0),0)</f>
        <v>0</v>
      </c>
      <c r="H216" s="95">
        <f>IF(OR(D216="SI",D216="Sí"),VLOOKUP(A216,DATA!$A$4:$E$350,5,0),0)</f>
        <v>0</v>
      </c>
      <c r="I216" s="31">
        <f t="shared" si="58"/>
        <v>0</v>
      </c>
      <c r="J216" s="361">
        <f t="shared" si="50"/>
        <v>0</v>
      </c>
      <c r="K216" s="361">
        <f t="shared" si="51"/>
        <v>0</v>
      </c>
      <c r="L216" s="31">
        <f>IF(OR(D216="SI",D216="Sí"),VLOOKUP(A216,DATA!$A$4:$G$350,7,0),0)</f>
        <v>0</v>
      </c>
      <c r="M216" s="31">
        <f>IF(OR(D216="SI",D216="Sí"),VLOOKUP(A216,DATA!$A$4:$H$350,8,0),0)</f>
        <v>0</v>
      </c>
      <c r="N216" s="361">
        <f t="shared" si="52"/>
        <v>0</v>
      </c>
      <c r="O216" s="361">
        <f t="shared" si="59"/>
        <v>0</v>
      </c>
      <c r="P216" s="361">
        <f t="shared" si="53"/>
        <v>0</v>
      </c>
      <c r="Q216" s="31">
        <f>IF(OR(D216="SI",D216="Sí"),VLOOKUP(A216,DATA!$A$4:$P$350,14,0),0)</f>
        <v>0</v>
      </c>
      <c r="R216" s="121">
        <f t="shared" si="60"/>
        <v>0</v>
      </c>
      <c r="S216" s="31">
        <f>IF(AND(R216&gt;0,R216&lt;$R$7),ROUND(($R$7-R216)*G216,PARAMETROS!$L$8),0)</f>
        <v>0</v>
      </c>
      <c r="T216" s="122">
        <f t="shared" si="54"/>
        <v>0</v>
      </c>
      <c r="U216" s="117">
        <f t="shared" si="55"/>
        <v>0</v>
      </c>
      <c r="V216" s="117">
        <f>VLOOKUP(A216,DATA!$A$4:$V$350,DATA!$V$1,0)</f>
        <v>0</v>
      </c>
      <c r="W216" s="117">
        <f>VLOOKUP(A216,DATA!$A$4:$V$350,22,0)</f>
        <v>0</v>
      </c>
      <c r="X216" s="96">
        <f t="shared" si="56"/>
        <v>0</v>
      </c>
      <c r="Y216" s="31">
        <f>ROUND(X216*PARAMETROS!$H$35,0)</f>
        <v>0</v>
      </c>
      <c r="Z216" s="31">
        <f t="shared" si="61"/>
        <v>0</v>
      </c>
      <c r="AA216" s="31">
        <f t="shared" si="62"/>
        <v>0</v>
      </c>
      <c r="AB216" s="31">
        <f t="shared" si="63"/>
        <v>0</v>
      </c>
      <c r="AC216" s="31">
        <f t="shared" si="63"/>
        <v>0</v>
      </c>
      <c r="AD216" s="38">
        <f t="shared" si="64"/>
        <v>0</v>
      </c>
    </row>
    <row r="217" spans="1:30" ht="3" customHeight="1" x14ac:dyDescent="0.25">
      <c r="A217">
        <v>10103</v>
      </c>
      <c r="B217">
        <v>10302</v>
      </c>
      <c r="C217" t="s">
        <v>414</v>
      </c>
      <c r="D217" s="6" t="str">
        <f>+DATA!U213</f>
        <v>No</v>
      </c>
      <c r="E217" s="361">
        <f t="shared" si="49"/>
        <v>0</v>
      </c>
      <c r="F217" s="95">
        <f t="shared" si="57"/>
        <v>0</v>
      </c>
      <c r="G217" s="31">
        <f>IF(OR(D217="SI",D217="Sí"),VLOOKUP(A217,DATA!$A$4:$D$350,4,0),0)</f>
        <v>0</v>
      </c>
      <c r="H217" s="95">
        <f>IF(OR(D217="SI",D217="Sí"),VLOOKUP(A217,DATA!$A$4:$E$350,5,0),0)</f>
        <v>0</v>
      </c>
      <c r="I217" s="31">
        <f t="shared" si="58"/>
        <v>0</v>
      </c>
      <c r="J217" s="361">
        <f t="shared" si="50"/>
        <v>0</v>
      </c>
      <c r="K217" s="361">
        <f t="shared" si="51"/>
        <v>0</v>
      </c>
      <c r="L217" s="31">
        <f>IF(OR(D217="SI",D217="Sí"),VLOOKUP(A217,DATA!$A$4:$G$350,7,0),0)</f>
        <v>0</v>
      </c>
      <c r="M217" s="31">
        <f>IF(OR(D217="SI",D217="Sí"),VLOOKUP(A217,DATA!$A$4:$H$350,8,0),0)</f>
        <v>0</v>
      </c>
      <c r="N217" s="361">
        <f t="shared" si="52"/>
        <v>0</v>
      </c>
      <c r="O217" s="361">
        <f t="shared" si="59"/>
        <v>0</v>
      </c>
      <c r="P217" s="361">
        <f t="shared" si="53"/>
        <v>0</v>
      </c>
      <c r="Q217" s="31">
        <f>IF(OR(D217="SI",D217="Sí"),VLOOKUP(A217,DATA!$A$4:$P$350,14,0),0)</f>
        <v>0</v>
      </c>
      <c r="R217" s="121">
        <f t="shared" si="60"/>
        <v>0</v>
      </c>
      <c r="S217" s="31">
        <f>IF(AND(R217&gt;0,R217&lt;$R$7),ROUND(($R$7-R217)*G217,PARAMETROS!$L$8),0)</f>
        <v>0</v>
      </c>
      <c r="T217" s="122">
        <f t="shared" si="54"/>
        <v>0</v>
      </c>
      <c r="U217" s="117">
        <f t="shared" si="55"/>
        <v>0</v>
      </c>
      <c r="V217" s="117">
        <f>VLOOKUP(A217,DATA!$A$4:$V$350,DATA!$V$1,0)</f>
        <v>0</v>
      </c>
      <c r="W217" s="117">
        <f>VLOOKUP(A217,DATA!$A$4:$V$350,22,0)</f>
        <v>0</v>
      </c>
      <c r="X217" s="96">
        <f t="shared" si="56"/>
        <v>0</v>
      </c>
      <c r="Y217" s="31">
        <f>ROUND(X217*PARAMETROS!$H$35,0)</f>
        <v>0</v>
      </c>
      <c r="Z217" s="31">
        <f t="shared" si="61"/>
        <v>0</v>
      </c>
      <c r="AA217" s="31">
        <f t="shared" si="62"/>
        <v>0</v>
      </c>
      <c r="AB217" s="31">
        <f t="shared" si="63"/>
        <v>0</v>
      </c>
      <c r="AC217" s="31">
        <f t="shared" si="63"/>
        <v>0</v>
      </c>
      <c r="AD217" s="38">
        <f t="shared" si="64"/>
        <v>0</v>
      </c>
    </row>
    <row r="218" spans="1:30" ht="3" customHeight="1" x14ac:dyDescent="0.25">
      <c r="A218">
        <v>10104</v>
      </c>
      <c r="B218">
        <v>10304</v>
      </c>
      <c r="C218" t="s">
        <v>248</v>
      </c>
      <c r="D218" s="6" t="str">
        <f>+DATA!U214</f>
        <v>No</v>
      </c>
      <c r="E218" s="361">
        <f t="shared" si="49"/>
        <v>0</v>
      </c>
      <c r="F218" s="95">
        <f t="shared" si="57"/>
        <v>0</v>
      </c>
      <c r="G218" s="31">
        <f>IF(OR(D218="SI",D218="Sí"),VLOOKUP(A218,DATA!$A$4:$D$350,4,0),0)</f>
        <v>0</v>
      </c>
      <c r="H218" s="95">
        <f>IF(OR(D218="SI",D218="Sí"),VLOOKUP(A218,DATA!$A$4:$E$350,5,0),0)</f>
        <v>0</v>
      </c>
      <c r="I218" s="31">
        <f t="shared" si="58"/>
        <v>0</v>
      </c>
      <c r="J218" s="361">
        <f t="shared" si="50"/>
        <v>0</v>
      </c>
      <c r="K218" s="361">
        <f t="shared" si="51"/>
        <v>0</v>
      </c>
      <c r="L218" s="31">
        <f>IF(OR(D218="SI",D218="Sí"),VLOOKUP(A218,DATA!$A$4:$G$350,7,0),0)</f>
        <v>0</v>
      </c>
      <c r="M218" s="31">
        <f>IF(OR(D218="SI",D218="Sí"),VLOOKUP(A218,DATA!$A$4:$H$350,8,0),0)</f>
        <v>0</v>
      </c>
      <c r="N218" s="361">
        <f t="shared" si="52"/>
        <v>0</v>
      </c>
      <c r="O218" s="361">
        <f t="shared" si="59"/>
        <v>0</v>
      </c>
      <c r="P218" s="361">
        <f t="shared" si="53"/>
        <v>0</v>
      </c>
      <c r="Q218" s="31">
        <f>IF(OR(D218="SI",D218="Sí"),VLOOKUP(A218,DATA!$A$4:$P$350,14,0),0)</f>
        <v>0</v>
      </c>
      <c r="R218" s="121">
        <f t="shared" si="60"/>
        <v>0</v>
      </c>
      <c r="S218" s="31">
        <f>IF(AND(R218&gt;0,R218&lt;$R$7),ROUND(($R$7-R218)*G218,PARAMETROS!$L$8),0)</f>
        <v>0</v>
      </c>
      <c r="T218" s="122">
        <f t="shared" si="54"/>
        <v>0</v>
      </c>
      <c r="U218" s="117">
        <f t="shared" si="55"/>
        <v>0</v>
      </c>
      <c r="V218" s="117">
        <f>VLOOKUP(A218,DATA!$A$4:$V$350,DATA!$V$1,0)</f>
        <v>0</v>
      </c>
      <c r="W218" s="117">
        <f>VLOOKUP(A218,DATA!$A$4:$V$350,22,0)</f>
        <v>0</v>
      </c>
      <c r="X218" s="96">
        <f t="shared" si="56"/>
        <v>0</v>
      </c>
      <c r="Y218" s="31">
        <f>ROUND(X218*PARAMETROS!$H$35,0)</f>
        <v>0</v>
      </c>
      <c r="Z218" s="31">
        <f t="shared" si="61"/>
        <v>0</v>
      </c>
      <c r="AA218" s="31">
        <f t="shared" si="62"/>
        <v>0</v>
      </c>
      <c r="AB218" s="31">
        <f t="shared" si="63"/>
        <v>0</v>
      </c>
      <c r="AC218" s="31">
        <f t="shared" si="63"/>
        <v>0</v>
      </c>
      <c r="AD218" s="38">
        <f t="shared" si="64"/>
        <v>0</v>
      </c>
    </row>
    <row r="219" spans="1:30" ht="3" customHeight="1" x14ac:dyDescent="0.25">
      <c r="A219">
        <v>10105</v>
      </c>
      <c r="B219">
        <v>10305</v>
      </c>
      <c r="C219" t="s">
        <v>249</v>
      </c>
      <c r="D219" s="6" t="str">
        <f>+DATA!U215</f>
        <v>No</v>
      </c>
      <c r="E219" s="361">
        <f t="shared" si="49"/>
        <v>0</v>
      </c>
      <c r="F219" s="95">
        <f t="shared" si="57"/>
        <v>0</v>
      </c>
      <c r="G219" s="31">
        <f>IF(OR(D219="SI",D219="Sí"),VLOOKUP(A219,DATA!$A$4:$D$350,4,0),0)</f>
        <v>0</v>
      </c>
      <c r="H219" s="95">
        <f>IF(OR(D219="SI",D219="Sí"),VLOOKUP(A219,DATA!$A$4:$E$350,5,0),0)</f>
        <v>0</v>
      </c>
      <c r="I219" s="31">
        <f t="shared" si="58"/>
        <v>0</v>
      </c>
      <c r="J219" s="361">
        <f t="shared" si="50"/>
        <v>0</v>
      </c>
      <c r="K219" s="361">
        <f t="shared" si="51"/>
        <v>0</v>
      </c>
      <c r="L219" s="31">
        <f>IF(OR(D219="SI",D219="Sí"),VLOOKUP(A219,DATA!$A$4:$G$350,7,0),0)</f>
        <v>0</v>
      </c>
      <c r="M219" s="31">
        <f>IF(OR(D219="SI",D219="Sí"),VLOOKUP(A219,DATA!$A$4:$H$350,8,0),0)</f>
        <v>0</v>
      </c>
      <c r="N219" s="361">
        <f t="shared" si="52"/>
        <v>0</v>
      </c>
      <c r="O219" s="361">
        <f t="shared" si="59"/>
        <v>0</v>
      </c>
      <c r="P219" s="361">
        <f t="shared" si="53"/>
        <v>0</v>
      </c>
      <c r="Q219" s="31">
        <f>IF(OR(D219="SI",D219="Sí"),VLOOKUP(A219,DATA!$A$4:$P$350,14,0),0)</f>
        <v>0</v>
      </c>
      <c r="R219" s="121">
        <f t="shared" si="60"/>
        <v>0</v>
      </c>
      <c r="S219" s="31">
        <f>IF(AND(R219&gt;0,R219&lt;$R$7),ROUND(($R$7-R219)*G219,PARAMETROS!$L$8),0)</f>
        <v>0</v>
      </c>
      <c r="T219" s="122">
        <f t="shared" si="54"/>
        <v>0</v>
      </c>
      <c r="U219" s="117">
        <f t="shared" si="55"/>
        <v>0</v>
      </c>
      <c r="V219" s="117">
        <f>VLOOKUP(A219,DATA!$A$4:$V$350,DATA!$V$1,0)</f>
        <v>0</v>
      </c>
      <c r="W219" s="117">
        <f>VLOOKUP(A219,DATA!$A$4:$V$350,22,0)</f>
        <v>0</v>
      </c>
      <c r="X219" s="96">
        <f t="shared" si="56"/>
        <v>0</v>
      </c>
      <c r="Y219" s="31">
        <f>ROUND(X219*PARAMETROS!$H$35,0)</f>
        <v>0</v>
      </c>
      <c r="Z219" s="31">
        <f t="shared" si="61"/>
        <v>0</v>
      </c>
      <c r="AA219" s="31">
        <f t="shared" si="62"/>
        <v>0</v>
      </c>
      <c r="AB219" s="31">
        <f t="shared" si="63"/>
        <v>0</v>
      </c>
      <c r="AC219" s="31">
        <f t="shared" si="63"/>
        <v>0</v>
      </c>
      <c r="AD219" s="38">
        <f t="shared" si="64"/>
        <v>0</v>
      </c>
    </row>
    <row r="220" spans="1:30" ht="3" customHeight="1" x14ac:dyDescent="0.25">
      <c r="A220">
        <v>10106</v>
      </c>
      <c r="B220">
        <v>10308</v>
      </c>
      <c r="C220" t="s">
        <v>251</v>
      </c>
      <c r="D220" s="6" t="str">
        <f>+DATA!U216</f>
        <v>No</v>
      </c>
      <c r="E220" s="361">
        <f t="shared" si="49"/>
        <v>0</v>
      </c>
      <c r="F220" s="95">
        <f t="shared" si="57"/>
        <v>0</v>
      </c>
      <c r="G220" s="31">
        <f>IF(OR(D220="SI",D220="Sí"),VLOOKUP(A220,DATA!$A$4:$D$350,4,0),0)</f>
        <v>0</v>
      </c>
      <c r="H220" s="95">
        <f>IF(OR(D220="SI",D220="Sí"),VLOOKUP(A220,DATA!$A$4:$E$350,5,0),0)</f>
        <v>0</v>
      </c>
      <c r="I220" s="31">
        <f t="shared" si="58"/>
        <v>0</v>
      </c>
      <c r="J220" s="361">
        <f t="shared" si="50"/>
        <v>0</v>
      </c>
      <c r="K220" s="361">
        <f t="shared" si="51"/>
        <v>0</v>
      </c>
      <c r="L220" s="31">
        <f>IF(OR(D220="SI",D220="Sí"),VLOOKUP(A220,DATA!$A$4:$G$350,7,0),0)</f>
        <v>0</v>
      </c>
      <c r="M220" s="31">
        <f>IF(OR(D220="SI",D220="Sí"),VLOOKUP(A220,DATA!$A$4:$H$350,8,0),0)</f>
        <v>0</v>
      </c>
      <c r="N220" s="361">
        <f t="shared" si="52"/>
        <v>0</v>
      </c>
      <c r="O220" s="361">
        <f t="shared" si="59"/>
        <v>0</v>
      </c>
      <c r="P220" s="361">
        <f t="shared" si="53"/>
        <v>0</v>
      </c>
      <c r="Q220" s="31">
        <f>IF(OR(D220="SI",D220="Sí"),VLOOKUP(A220,DATA!$A$4:$P$350,14,0),0)</f>
        <v>0</v>
      </c>
      <c r="R220" s="121">
        <f t="shared" si="60"/>
        <v>0</v>
      </c>
      <c r="S220" s="31">
        <f>IF(AND(R220&gt;0,R220&lt;$R$7),ROUND(($R$7-R220)*G220,PARAMETROS!$L$8),0)</f>
        <v>0</v>
      </c>
      <c r="T220" s="122">
        <f t="shared" si="54"/>
        <v>0</v>
      </c>
      <c r="U220" s="117">
        <f t="shared" si="55"/>
        <v>0</v>
      </c>
      <c r="V220" s="117">
        <f>VLOOKUP(A220,DATA!$A$4:$V$350,DATA!$V$1,0)</f>
        <v>0</v>
      </c>
      <c r="W220" s="117">
        <f>VLOOKUP(A220,DATA!$A$4:$V$350,22,0)</f>
        <v>0</v>
      </c>
      <c r="X220" s="96">
        <f t="shared" si="56"/>
        <v>0</v>
      </c>
      <c r="Y220" s="31">
        <f>ROUND(X220*PARAMETROS!$H$35,0)</f>
        <v>0</v>
      </c>
      <c r="Z220" s="31">
        <f t="shared" si="61"/>
        <v>0</v>
      </c>
      <c r="AA220" s="31">
        <f t="shared" si="62"/>
        <v>0</v>
      </c>
      <c r="AB220" s="31">
        <f t="shared" si="63"/>
        <v>0</v>
      </c>
      <c r="AC220" s="31">
        <f t="shared" si="63"/>
        <v>0</v>
      </c>
      <c r="AD220" s="38">
        <f t="shared" si="64"/>
        <v>0</v>
      </c>
    </row>
    <row r="221" spans="1:30" ht="3" customHeight="1" x14ac:dyDescent="0.25">
      <c r="A221">
        <v>10107</v>
      </c>
      <c r="B221">
        <v>10306</v>
      </c>
      <c r="C221" t="s">
        <v>250</v>
      </c>
      <c r="D221" s="6" t="str">
        <f>+DATA!U217</f>
        <v>No</v>
      </c>
      <c r="E221" s="361">
        <f t="shared" si="49"/>
        <v>0</v>
      </c>
      <c r="F221" s="95">
        <f t="shared" si="57"/>
        <v>0</v>
      </c>
      <c r="G221" s="31">
        <f>IF(OR(D221="SI",D221="Sí"),VLOOKUP(A221,DATA!$A$4:$D$350,4,0),0)</f>
        <v>0</v>
      </c>
      <c r="H221" s="95">
        <f>IF(OR(D221="SI",D221="Sí"),VLOOKUP(A221,DATA!$A$4:$E$350,5,0),0)</f>
        <v>0</v>
      </c>
      <c r="I221" s="31">
        <f t="shared" si="58"/>
        <v>0</v>
      </c>
      <c r="J221" s="361">
        <f t="shared" si="50"/>
        <v>0</v>
      </c>
      <c r="K221" s="361">
        <f t="shared" si="51"/>
        <v>0</v>
      </c>
      <c r="L221" s="31">
        <f>IF(OR(D221="SI",D221="Sí"),VLOOKUP(A221,DATA!$A$4:$G$350,7,0),0)</f>
        <v>0</v>
      </c>
      <c r="M221" s="31">
        <f>IF(OR(D221="SI",D221="Sí"),VLOOKUP(A221,DATA!$A$4:$H$350,8,0),0)</f>
        <v>0</v>
      </c>
      <c r="N221" s="361">
        <f t="shared" si="52"/>
        <v>0</v>
      </c>
      <c r="O221" s="361">
        <f t="shared" si="59"/>
        <v>0</v>
      </c>
      <c r="P221" s="361">
        <f t="shared" si="53"/>
        <v>0</v>
      </c>
      <c r="Q221" s="31">
        <f>IF(OR(D221="SI",D221="Sí"),VLOOKUP(A221,DATA!$A$4:$P$350,14,0),0)</f>
        <v>0</v>
      </c>
      <c r="R221" s="121">
        <f t="shared" si="60"/>
        <v>0</v>
      </c>
      <c r="S221" s="31">
        <f>IF(AND(R221&gt;0,R221&lt;$R$7),ROUND(($R$7-R221)*G221,PARAMETROS!$L$8),0)</f>
        <v>0</v>
      </c>
      <c r="T221" s="122">
        <f t="shared" si="54"/>
        <v>0</v>
      </c>
      <c r="U221" s="117">
        <f t="shared" si="55"/>
        <v>0</v>
      </c>
      <c r="V221" s="117">
        <f>VLOOKUP(A221,DATA!$A$4:$V$350,DATA!$V$1,0)</f>
        <v>0</v>
      </c>
      <c r="W221" s="117">
        <f>VLOOKUP(A221,DATA!$A$4:$V$350,22,0)</f>
        <v>0</v>
      </c>
      <c r="X221" s="96">
        <f t="shared" si="56"/>
        <v>0</v>
      </c>
      <c r="Y221" s="31">
        <f>ROUND(X221*PARAMETROS!$H$35,0)</f>
        <v>0</v>
      </c>
      <c r="Z221" s="31">
        <f t="shared" si="61"/>
        <v>0</v>
      </c>
      <c r="AA221" s="31">
        <f t="shared" si="62"/>
        <v>0</v>
      </c>
      <c r="AB221" s="31">
        <f t="shared" si="63"/>
        <v>0</v>
      </c>
      <c r="AC221" s="31">
        <f t="shared" si="63"/>
        <v>0</v>
      </c>
      <c r="AD221" s="38">
        <f t="shared" si="64"/>
        <v>0</v>
      </c>
    </row>
    <row r="222" spans="1:30" ht="3" customHeight="1" x14ac:dyDescent="0.25">
      <c r="A222">
        <v>10108</v>
      </c>
      <c r="B222">
        <v>10307</v>
      </c>
      <c r="C222" t="s">
        <v>415</v>
      </c>
      <c r="D222" s="6" t="str">
        <f>+DATA!U218</f>
        <v>No</v>
      </c>
      <c r="E222" s="361">
        <f t="shared" si="49"/>
        <v>0</v>
      </c>
      <c r="F222" s="95">
        <f t="shared" si="57"/>
        <v>0</v>
      </c>
      <c r="G222" s="31">
        <f>IF(OR(D222="SI",D222="Sí"),VLOOKUP(A222,DATA!$A$4:$D$350,4,0),0)</f>
        <v>0</v>
      </c>
      <c r="H222" s="95">
        <f>IF(OR(D222="SI",D222="Sí"),VLOOKUP(A222,DATA!$A$4:$E$350,5,0),0)</f>
        <v>0</v>
      </c>
      <c r="I222" s="31">
        <f t="shared" si="58"/>
        <v>0</v>
      </c>
      <c r="J222" s="361">
        <f t="shared" si="50"/>
        <v>0</v>
      </c>
      <c r="K222" s="361">
        <f t="shared" si="51"/>
        <v>0</v>
      </c>
      <c r="L222" s="31">
        <f>IF(OR(D222="SI",D222="Sí"),VLOOKUP(A222,DATA!$A$4:$G$350,7,0),0)</f>
        <v>0</v>
      </c>
      <c r="M222" s="31">
        <f>IF(OR(D222="SI",D222="Sí"),VLOOKUP(A222,DATA!$A$4:$H$350,8,0),0)</f>
        <v>0</v>
      </c>
      <c r="N222" s="361">
        <f t="shared" si="52"/>
        <v>0</v>
      </c>
      <c r="O222" s="361">
        <f t="shared" si="59"/>
        <v>0</v>
      </c>
      <c r="P222" s="361">
        <f t="shared" si="53"/>
        <v>0</v>
      </c>
      <c r="Q222" s="31">
        <f>IF(OR(D222="SI",D222="Sí"),VLOOKUP(A222,DATA!$A$4:$P$350,14,0),0)</f>
        <v>0</v>
      </c>
      <c r="R222" s="121">
        <f t="shared" si="60"/>
        <v>0</v>
      </c>
      <c r="S222" s="31">
        <f>IF(AND(R222&gt;0,R222&lt;$R$7),ROUND(($R$7-R222)*G222,PARAMETROS!$L$8),0)</f>
        <v>0</v>
      </c>
      <c r="T222" s="122">
        <f t="shared" si="54"/>
        <v>0</v>
      </c>
      <c r="U222" s="117">
        <f t="shared" si="55"/>
        <v>0</v>
      </c>
      <c r="V222" s="117">
        <f>VLOOKUP(A222,DATA!$A$4:$V$350,DATA!$V$1,0)</f>
        <v>0</v>
      </c>
      <c r="W222" s="117">
        <f>VLOOKUP(A222,DATA!$A$4:$V$350,22,0)</f>
        <v>0</v>
      </c>
      <c r="X222" s="96">
        <f t="shared" si="56"/>
        <v>0</v>
      </c>
      <c r="Y222" s="31">
        <f>ROUND(X222*PARAMETROS!$H$35,0)</f>
        <v>0</v>
      </c>
      <c r="Z222" s="31">
        <f t="shared" si="61"/>
        <v>0</v>
      </c>
      <c r="AA222" s="31">
        <f t="shared" si="62"/>
        <v>0</v>
      </c>
      <c r="AB222" s="31">
        <f t="shared" si="63"/>
        <v>0</v>
      </c>
      <c r="AC222" s="31">
        <f t="shared" si="63"/>
        <v>0</v>
      </c>
      <c r="AD222" s="38">
        <f t="shared" si="64"/>
        <v>0</v>
      </c>
    </row>
    <row r="223" spans="1:30" ht="3" customHeight="1" x14ac:dyDescent="0.25">
      <c r="A223">
        <v>10109</v>
      </c>
      <c r="B223">
        <v>10303</v>
      </c>
      <c r="C223" t="s">
        <v>247</v>
      </c>
      <c r="D223" s="6" t="str">
        <f>+DATA!U219</f>
        <v>No</v>
      </c>
      <c r="E223" s="361">
        <f t="shared" si="49"/>
        <v>0</v>
      </c>
      <c r="F223" s="95">
        <f t="shared" si="57"/>
        <v>0</v>
      </c>
      <c r="G223" s="31">
        <f>IF(OR(D223="SI",D223="Sí"),VLOOKUP(A223,DATA!$A$4:$D$350,4,0),0)</f>
        <v>0</v>
      </c>
      <c r="H223" s="95">
        <f>IF(OR(D223="SI",D223="Sí"),VLOOKUP(A223,DATA!$A$4:$E$350,5,0),0)</f>
        <v>0</v>
      </c>
      <c r="I223" s="31">
        <f t="shared" si="58"/>
        <v>0</v>
      </c>
      <c r="J223" s="361">
        <f t="shared" si="50"/>
        <v>0</v>
      </c>
      <c r="K223" s="361">
        <f t="shared" si="51"/>
        <v>0</v>
      </c>
      <c r="L223" s="31">
        <f>IF(OR(D223="SI",D223="Sí"),VLOOKUP(A223,DATA!$A$4:$G$350,7,0),0)</f>
        <v>0</v>
      </c>
      <c r="M223" s="31">
        <f>IF(OR(D223="SI",D223="Sí"),VLOOKUP(A223,DATA!$A$4:$H$350,8,0),0)</f>
        <v>0</v>
      </c>
      <c r="N223" s="361">
        <f t="shared" si="52"/>
        <v>0</v>
      </c>
      <c r="O223" s="361">
        <f t="shared" si="59"/>
        <v>0</v>
      </c>
      <c r="P223" s="361">
        <f t="shared" si="53"/>
        <v>0</v>
      </c>
      <c r="Q223" s="31">
        <f>IF(OR(D223="SI",D223="Sí"),VLOOKUP(A223,DATA!$A$4:$P$350,14,0),0)</f>
        <v>0</v>
      </c>
      <c r="R223" s="121">
        <f t="shared" si="60"/>
        <v>0</v>
      </c>
      <c r="S223" s="31">
        <f>IF(AND(R223&gt;0,R223&lt;$R$7),ROUND(($R$7-R223)*G223,PARAMETROS!$L$8),0)</f>
        <v>0</v>
      </c>
      <c r="T223" s="122">
        <f t="shared" si="54"/>
        <v>0</v>
      </c>
      <c r="U223" s="117">
        <f t="shared" si="55"/>
        <v>0</v>
      </c>
      <c r="V223" s="117">
        <f>VLOOKUP(A223,DATA!$A$4:$V$350,DATA!$V$1,0)</f>
        <v>0</v>
      </c>
      <c r="W223" s="117">
        <f>VLOOKUP(A223,DATA!$A$4:$V$350,22,0)</f>
        <v>0</v>
      </c>
      <c r="X223" s="96">
        <f t="shared" si="56"/>
        <v>0</v>
      </c>
      <c r="Y223" s="31">
        <f>ROUND(X223*PARAMETROS!$H$35,0)</f>
        <v>0</v>
      </c>
      <c r="Z223" s="31">
        <f t="shared" si="61"/>
        <v>0</v>
      </c>
      <c r="AA223" s="31">
        <f t="shared" si="62"/>
        <v>0</v>
      </c>
      <c r="AB223" s="31">
        <f t="shared" si="63"/>
        <v>0</v>
      </c>
      <c r="AC223" s="31">
        <f t="shared" si="63"/>
        <v>0</v>
      </c>
      <c r="AD223" s="38">
        <f t="shared" si="64"/>
        <v>0</v>
      </c>
    </row>
    <row r="224" spans="1:30" ht="3" customHeight="1" x14ac:dyDescent="0.25">
      <c r="A224">
        <v>10201</v>
      </c>
      <c r="B224">
        <v>10401</v>
      </c>
      <c r="C224" t="s">
        <v>253</v>
      </c>
      <c r="D224" s="6" t="str">
        <f>+DATA!U220</f>
        <v>No</v>
      </c>
      <c r="E224" s="361">
        <f t="shared" si="49"/>
        <v>0</v>
      </c>
      <c r="F224" s="95">
        <f t="shared" si="57"/>
        <v>0</v>
      </c>
      <c r="G224" s="31">
        <f>IF(OR(D224="SI",D224="Sí"),VLOOKUP(A224,DATA!$A$4:$D$350,4,0),0)</f>
        <v>0</v>
      </c>
      <c r="H224" s="95">
        <f>IF(OR(D224="SI",D224="Sí"),VLOOKUP(A224,DATA!$A$4:$E$350,5,0),0)</f>
        <v>0</v>
      </c>
      <c r="I224" s="31">
        <f t="shared" si="58"/>
        <v>0</v>
      </c>
      <c r="J224" s="361">
        <f t="shared" si="50"/>
        <v>0</v>
      </c>
      <c r="K224" s="361">
        <f t="shared" si="51"/>
        <v>0</v>
      </c>
      <c r="L224" s="31">
        <f>IF(OR(D224="SI",D224="Sí"),VLOOKUP(A224,DATA!$A$4:$G$350,7,0),0)</f>
        <v>0</v>
      </c>
      <c r="M224" s="31">
        <f>IF(OR(D224="SI",D224="Sí"),VLOOKUP(A224,DATA!$A$4:$H$350,8,0),0)</f>
        <v>0</v>
      </c>
      <c r="N224" s="361">
        <f t="shared" si="52"/>
        <v>0</v>
      </c>
      <c r="O224" s="361">
        <f t="shared" si="59"/>
        <v>0</v>
      </c>
      <c r="P224" s="361">
        <f t="shared" si="53"/>
        <v>0</v>
      </c>
      <c r="Q224" s="31">
        <f>IF(OR(D224="SI",D224="Sí"),VLOOKUP(A224,DATA!$A$4:$P$350,14,0),0)</f>
        <v>0</v>
      </c>
      <c r="R224" s="121">
        <f t="shared" si="60"/>
        <v>0</v>
      </c>
      <c r="S224" s="31">
        <f>IF(AND(R224&gt;0,R224&lt;$R$7),ROUND(($R$7-R224)*G224,PARAMETROS!$L$8),0)</f>
        <v>0</v>
      </c>
      <c r="T224" s="122">
        <f t="shared" si="54"/>
        <v>0</v>
      </c>
      <c r="U224" s="117">
        <f t="shared" si="55"/>
        <v>0</v>
      </c>
      <c r="V224" s="117">
        <f>VLOOKUP(A224,DATA!$A$4:$V$350,DATA!$V$1,0)</f>
        <v>0</v>
      </c>
      <c r="W224" s="117">
        <f>VLOOKUP(A224,DATA!$A$4:$V$350,22,0)</f>
        <v>0</v>
      </c>
      <c r="X224" s="96">
        <f t="shared" si="56"/>
        <v>0</v>
      </c>
      <c r="Y224" s="31">
        <f>ROUND(X224*PARAMETROS!$H$35,0)</f>
        <v>0</v>
      </c>
      <c r="Z224" s="31">
        <f t="shared" si="61"/>
        <v>0</v>
      </c>
      <c r="AA224" s="31">
        <f t="shared" si="62"/>
        <v>0</v>
      </c>
      <c r="AB224" s="31">
        <f t="shared" si="63"/>
        <v>0</v>
      </c>
      <c r="AC224" s="31">
        <f t="shared" si="63"/>
        <v>0</v>
      </c>
      <c r="AD224" s="38">
        <f t="shared" si="64"/>
        <v>0</v>
      </c>
    </row>
    <row r="225" spans="1:30" ht="3" customHeight="1" x14ac:dyDescent="0.25">
      <c r="A225">
        <v>10202</v>
      </c>
      <c r="B225">
        <v>10406</v>
      </c>
      <c r="C225" t="s">
        <v>255</v>
      </c>
      <c r="D225" s="6" t="str">
        <f>+DATA!U221</f>
        <v>No</v>
      </c>
      <c r="E225" s="361">
        <f t="shared" si="49"/>
        <v>0</v>
      </c>
      <c r="F225" s="95">
        <f t="shared" si="57"/>
        <v>0</v>
      </c>
      <c r="G225" s="31">
        <f>IF(OR(D225="SI",D225="Sí"),VLOOKUP(A225,DATA!$A$4:$D$350,4,0),0)</f>
        <v>0</v>
      </c>
      <c r="H225" s="95">
        <f>IF(OR(D225="SI",D225="Sí"),VLOOKUP(A225,DATA!$A$4:$E$350,5,0),0)</f>
        <v>0</v>
      </c>
      <c r="I225" s="31">
        <f t="shared" si="58"/>
        <v>0</v>
      </c>
      <c r="J225" s="361">
        <f t="shared" si="50"/>
        <v>0</v>
      </c>
      <c r="K225" s="361">
        <f t="shared" si="51"/>
        <v>0</v>
      </c>
      <c r="L225" s="31">
        <f>IF(OR(D225="SI",D225="Sí"),VLOOKUP(A225,DATA!$A$4:$G$350,7,0),0)</f>
        <v>0</v>
      </c>
      <c r="M225" s="31">
        <f>IF(OR(D225="SI",D225="Sí"),VLOOKUP(A225,DATA!$A$4:$H$350,8,0),0)</f>
        <v>0</v>
      </c>
      <c r="N225" s="361">
        <f t="shared" si="52"/>
        <v>0</v>
      </c>
      <c r="O225" s="361">
        <f t="shared" si="59"/>
        <v>0</v>
      </c>
      <c r="P225" s="361">
        <f t="shared" si="53"/>
        <v>0</v>
      </c>
      <c r="Q225" s="31">
        <f>IF(OR(D225="SI",D225="Sí"),VLOOKUP(A225,DATA!$A$4:$P$350,14,0),0)</f>
        <v>0</v>
      </c>
      <c r="R225" s="121">
        <f t="shared" si="60"/>
        <v>0</v>
      </c>
      <c r="S225" s="31">
        <f>IF(AND(R225&gt;0,R225&lt;$R$7),ROUND(($R$7-R225)*G225,PARAMETROS!$L$8),0)</f>
        <v>0</v>
      </c>
      <c r="T225" s="122">
        <f t="shared" si="54"/>
        <v>0</v>
      </c>
      <c r="U225" s="117">
        <f t="shared" si="55"/>
        <v>0</v>
      </c>
      <c r="V225" s="117">
        <f>VLOOKUP(A225,DATA!$A$4:$V$350,DATA!$V$1,0)</f>
        <v>0</v>
      </c>
      <c r="W225" s="117">
        <f>VLOOKUP(A225,DATA!$A$4:$V$350,22,0)</f>
        <v>0</v>
      </c>
      <c r="X225" s="96">
        <f t="shared" si="56"/>
        <v>0</v>
      </c>
      <c r="Y225" s="31">
        <f>ROUND(X225*PARAMETROS!$H$35,0)</f>
        <v>0</v>
      </c>
      <c r="Z225" s="31">
        <f t="shared" si="61"/>
        <v>0</v>
      </c>
      <c r="AA225" s="31">
        <f t="shared" si="62"/>
        <v>0</v>
      </c>
      <c r="AB225" s="31">
        <f t="shared" si="63"/>
        <v>0</v>
      </c>
      <c r="AC225" s="31">
        <f t="shared" si="63"/>
        <v>0</v>
      </c>
      <c r="AD225" s="38">
        <f t="shared" si="64"/>
        <v>0</v>
      </c>
    </row>
    <row r="226" spans="1:30" ht="3" customHeight="1" x14ac:dyDescent="0.25">
      <c r="A226">
        <v>10203</v>
      </c>
      <c r="B226">
        <v>10402</v>
      </c>
      <c r="C226" t="s">
        <v>254</v>
      </c>
      <c r="D226" s="6" t="str">
        <f>+DATA!U222</f>
        <v>No</v>
      </c>
      <c r="E226" s="361">
        <f t="shared" si="49"/>
        <v>0</v>
      </c>
      <c r="F226" s="95">
        <f t="shared" si="57"/>
        <v>0</v>
      </c>
      <c r="G226" s="31">
        <f>IF(OR(D226="SI",D226="Sí"),VLOOKUP(A226,DATA!$A$4:$D$350,4,0),0)</f>
        <v>0</v>
      </c>
      <c r="H226" s="95">
        <f>IF(OR(D226="SI",D226="Sí"),VLOOKUP(A226,DATA!$A$4:$E$350,5,0),0)</f>
        <v>0</v>
      </c>
      <c r="I226" s="31">
        <f t="shared" si="58"/>
        <v>0</v>
      </c>
      <c r="J226" s="361">
        <f t="shared" si="50"/>
        <v>0</v>
      </c>
      <c r="K226" s="361">
        <f t="shared" si="51"/>
        <v>0</v>
      </c>
      <c r="L226" s="31">
        <f>IF(OR(D226="SI",D226="Sí"),VLOOKUP(A226,DATA!$A$4:$G$350,7,0),0)</f>
        <v>0</v>
      </c>
      <c r="M226" s="31">
        <f>IF(OR(D226="SI",D226="Sí"),VLOOKUP(A226,DATA!$A$4:$H$350,8,0),0)</f>
        <v>0</v>
      </c>
      <c r="N226" s="361">
        <f t="shared" si="52"/>
        <v>0</v>
      </c>
      <c r="O226" s="361">
        <f t="shared" si="59"/>
        <v>0</v>
      </c>
      <c r="P226" s="361">
        <f t="shared" si="53"/>
        <v>0</v>
      </c>
      <c r="Q226" s="31">
        <f>IF(OR(D226="SI",D226="Sí"),VLOOKUP(A226,DATA!$A$4:$P$350,14,0),0)</f>
        <v>0</v>
      </c>
      <c r="R226" s="121">
        <f t="shared" si="60"/>
        <v>0</v>
      </c>
      <c r="S226" s="31">
        <f>IF(AND(R226&gt;0,R226&lt;$R$7),ROUND(($R$7-R226)*G226,PARAMETROS!$L$8),0)</f>
        <v>0</v>
      </c>
      <c r="T226" s="122">
        <f t="shared" si="54"/>
        <v>0</v>
      </c>
      <c r="U226" s="117">
        <f t="shared" si="55"/>
        <v>0</v>
      </c>
      <c r="V226" s="117">
        <f>VLOOKUP(A226,DATA!$A$4:$V$350,DATA!$V$1,0)</f>
        <v>0</v>
      </c>
      <c r="W226" s="117">
        <f>VLOOKUP(A226,DATA!$A$4:$V$350,22,0)</f>
        <v>0</v>
      </c>
      <c r="X226" s="96">
        <f t="shared" si="56"/>
        <v>0</v>
      </c>
      <c r="Y226" s="31">
        <f>ROUND(X226*PARAMETROS!$H$35,0)</f>
        <v>0</v>
      </c>
      <c r="Z226" s="31">
        <f t="shared" si="61"/>
        <v>0</v>
      </c>
      <c r="AA226" s="31">
        <f t="shared" si="62"/>
        <v>0</v>
      </c>
      <c r="AB226" s="31">
        <f t="shared" si="63"/>
        <v>0</v>
      </c>
      <c r="AC226" s="31">
        <f t="shared" si="63"/>
        <v>0</v>
      </c>
      <c r="AD226" s="38">
        <f t="shared" si="64"/>
        <v>0</v>
      </c>
    </row>
    <row r="227" spans="1:30" ht="3" customHeight="1" x14ac:dyDescent="0.25">
      <c r="A227">
        <v>10204</v>
      </c>
      <c r="B227">
        <v>10410</v>
      </c>
      <c r="C227" t="s">
        <v>416</v>
      </c>
      <c r="D227" s="6" t="str">
        <f>+DATA!U223</f>
        <v>No</v>
      </c>
      <c r="E227" s="361">
        <f t="shared" si="49"/>
        <v>0</v>
      </c>
      <c r="F227" s="95">
        <f t="shared" si="57"/>
        <v>0</v>
      </c>
      <c r="G227" s="31">
        <f>IF(OR(D227="SI",D227="Sí"),VLOOKUP(A227,DATA!$A$4:$D$350,4,0),0)</f>
        <v>0</v>
      </c>
      <c r="H227" s="95">
        <f>IF(OR(D227="SI",D227="Sí"),VLOOKUP(A227,DATA!$A$4:$E$350,5,0),0)</f>
        <v>0</v>
      </c>
      <c r="I227" s="31">
        <f t="shared" si="58"/>
        <v>0</v>
      </c>
      <c r="J227" s="361">
        <f t="shared" si="50"/>
        <v>0</v>
      </c>
      <c r="K227" s="361">
        <f t="shared" si="51"/>
        <v>0</v>
      </c>
      <c r="L227" s="31">
        <f>IF(OR(D227="SI",D227="Sí"),VLOOKUP(A227,DATA!$A$4:$G$350,7,0),0)</f>
        <v>0</v>
      </c>
      <c r="M227" s="31">
        <f>IF(OR(D227="SI",D227="Sí"),VLOOKUP(A227,DATA!$A$4:$H$350,8,0),0)</f>
        <v>0</v>
      </c>
      <c r="N227" s="361">
        <f t="shared" si="52"/>
        <v>0</v>
      </c>
      <c r="O227" s="361">
        <f t="shared" si="59"/>
        <v>0</v>
      </c>
      <c r="P227" s="361">
        <f t="shared" si="53"/>
        <v>0</v>
      </c>
      <c r="Q227" s="31">
        <f>IF(OR(D227="SI",D227="Sí"),VLOOKUP(A227,DATA!$A$4:$P$350,14,0),0)</f>
        <v>0</v>
      </c>
      <c r="R227" s="121">
        <f t="shared" si="60"/>
        <v>0</v>
      </c>
      <c r="S227" s="31">
        <f>IF(AND(R227&gt;0,R227&lt;$R$7),ROUND(($R$7-R227)*G227,PARAMETROS!$L$8),0)</f>
        <v>0</v>
      </c>
      <c r="T227" s="122">
        <f t="shared" si="54"/>
        <v>0</v>
      </c>
      <c r="U227" s="117">
        <f t="shared" si="55"/>
        <v>0</v>
      </c>
      <c r="V227" s="117">
        <f>VLOOKUP(A227,DATA!$A$4:$V$350,DATA!$V$1,0)</f>
        <v>0</v>
      </c>
      <c r="W227" s="117">
        <f>VLOOKUP(A227,DATA!$A$4:$V$350,22,0)</f>
        <v>0</v>
      </c>
      <c r="X227" s="96">
        <f t="shared" si="56"/>
        <v>0</v>
      </c>
      <c r="Y227" s="31">
        <f>ROUND(X227*PARAMETROS!$H$35,0)</f>
        <v>0</v>
      </c>
      <c r="Z227" s="31">
        <f t="shared" si="61"/>
        <v>0</v>
      </c>
      <c r="AA227" s="31">
        <f t="shared" si="62"/>
        <v>0</v>
      </c>
      <c r="AB227" s="31">
        <f t="shared" si="63"/>
        <v>0</v>
      </c>
      <c r="AC227" s="31">
        <f t="shared" si="63"/>
        <v>0</v>
      </c>
      <c r="AD227" s="38">
        <f t="shared" si="64"/>
        <v>0</v>
      </c>
    </row>
    <row r="228" spans="1:30" ht="3" customHeight="1" x14ac:dyDescent="0.25">
      <c r="A228">
        <v>10205</v>
      </c>
      <c r="B228">
        <v>10408</v>
      </c>
      <c r="C228" t="s">
        <v>257</v>
      </c>
      <c r="D228" s="6" t="str">
        <f>+DATA!U224</f>
        <v>No</v>
      </c>
      <c r="E228" s="361">
        <f t="shared" si="49"/>
        <v>0</v>
      </c>
      <c r="F228" s="95">
        <f t="shared" si="57"/>
        <v>0</v>
      </c>
      <c r="G228" s="31">
        <f>IF(OR(D228="SI",D228="Sí"),VLOOKUP(A228,DATA!$A$4:$D$350,4,0),0)</f>
        <v>0</v>
      </c>
      <c r="H228" s="95">
        <f>IF(OR(D228="SI",D228="Sí"),VLOOKUP(A228,DATA!$A$4:$E$350,5,0),0)</f>
        <v>0</v>
      </c>
      <c r="I228" s="31">
        <f t="shared" si="58"/>
        <v>0</v>
      </c>
      <c r="J228" s="361">
        <f t="shared" si="50"/>
        <v>0</v>
      </c>
      <c r="K228" s="361">
        <f t="shared" si="51"/>
        <v>0</v>
      </c>
      <c r="L228" s="31">
        <f>IF(OR(D228="SI",D228="Sí"),VLOOKUP(A228,DATA!$A$4:$G$350,7,0),0)</f>
        <v>0</v>
      </c>
      <c r="M228" s="31">
        <f>IF(OR(D228="SI",D228="Sí"),VLOOKUP(A228,DATA!$A$4:$H$350,8,0),0)</f>
        <v>0</v>
      </c>
      <c r="N228" s="361">
        <f t="shared" si="52"/>
        <v>0</v>
      </c>
      <c r="O228" s="361">
        <f t="shared" si="59"/>
        <v>0</v>
      </c>
      <c r="P228" s="361">
        <f t="shared" si="53"/>
        <v>0</v>
      </c>
      <c r="Q228" s="31">
        <f>IF(OR(D228="SI",D228="Sí"),VLOOKUP(A228,DATA!$A$4:$P$350,14,0),0)</f>
        <v>0</v>
      </c>
      <c r="R228" s="121">
        <f t="shared" si="60"/>
        <v>0</v>
      </c>
      <c r="S228" s="31">
        <f>IF(AND(R228&gt;0,R228&lt;$R$7),ROUND(($R$7-R228)*G228,PARAMETROS!$L$8),0)</f>
        <v>0</v>
      </c>
      <c r="T228" s="122">
        <f t="shared" si="54"/>
        <v>0</v>
      </c>
      <c r="U228" s="117">
        <f t="shared" si="55"/>
        <v>0</v>
      </c>
      <c r="V228" s="117">
        <f>VLOOKUP(A228,DATA!$A$4:$V$350,DATA!$V$1,0)</f>
        <v>0</v>
      </c>
      <c r="W228" s="117">
        <f>VLOOKUP(A228,DATA!$A$4:$V$350,22,0)</f>
        <v>0</v>
      </c>
      <c r="X228" s="96">
        <f t="shared" si="56"/>
        <v>0</v>
      </c>
      <c r="Y228" s="31">
        <f>ROUND(X228*PARAMETROS!$H$35,0)</f>
        <v>0</v>
      </c>
      <c r="Z228" s="31">
        <f t="shared" si="61"/>
        <v>0</v>
      </c>
      <c r="AA228" s="31">
        <f t="shared" si="62"/>
        <v>0</v>
      </c>
      <c r="AB228" s="31">
        <f t="shared" si="63"/>
        <v>0</v>
      </c>
      <c r="AC228" s="31">
        <f t="shared" si="63"/>
        <v>0</v>
      </c>
      <c r="AD228" s="38">
        <f t="shared" si="64"/>
        <v>0</v>
      </c>
    </row>
    <row r="229" spans="1:30" ht="3" customHeight="1" x14ac:dyDescent="0.25">
      <c r="A229">
        <v>10206</v>
      </c>
      <c r="B229">
        <v>10405</v>
      </c>
      <c r="C229" t="s">
        <v>417</v>
      </c>
      <c r="D229" s="6" t="str">
        <f>+DATA!U225</f>
        <v>No</v>
      </c>
      <c r="E229" s="361">
        <f t="shared" si="49"/>
        <v>0</v>
      </c>
      <c r="F229" s="95">
        <f t="shared" si="57"/>
        <v>0</v>
      </c>
      <c r="G229" s="31">
        <f>IF(OR(D229="SI",D229="Sí"),VLOOKUP(A229,DATA!$A$4:$D$350,4,0),0)</f>
        <v>0</v>
      </c>
      <c r="H229" s="95">
        <f>IF(OR(D229="SI",D229="Sí"),VLOOKUP(A229,DATA!$A$4:$E$350,5,0),0)</f>
        <v>0</v>
      </c>
      <c r="I229" s="31">
        <f t="shared" si="58"/>
        <v>0</v>
      </c>
      <c r="J229" s="361">
        <f t="shared" si="50"/>
        <v>0</v>
      </c>
      <c r="K229" s="361">
        <f t="shared" si="51"/>
        <v>0</v>
      </c>
      <c r="L229" s="31">
        <f>IF(OR(D229="SI",D229="Sí"),VLOOKUP(A229,DATA!$A$4:$G$350,7,0),0)</f>
        <v>0</v>
      </c>
      <c r="M229" s="31">
        <f>IF(OR(D229="SI",D229="Sí"),VLOOKUP(A229,DATA!$A$4:$H$350,8,0),0)</f>
        <v>0</v>
      </c>
      <c r="N229" s="361">
        <f t="shared" si="52"/>
        <v>0</v>
      </c>
      <c r="O229" s="361">
        <f t="shared" si="59"/>
        <v>0</v>
      </c>
      <c r="P229" s="361">
        <f t="shared" si="53"/>
        <v>0</v>
      </c>
      <c r="Q229" s="31">
        <f>IF(OR(D229="SI",D229="Sí"),VLOOKUP(A229,DATA!$A$4:$P$350,14,0),0)</f>
        <v>0</v>
      </c>
      <c r="R229" s="121">
        <f t="shared" si="60"/>
        <v>0</v>
      </c>
      <c r="S229" s="31">
        <f>IF(AND(R229&gt;0,R229&lt;$R$7),ROUND(($R$7-R229)*G229,PARAMETROS!$L$8),0)</f>
        <v>0</v>
      </c>
      <c r="T229" s="122">
        <f t="shared" si="54"/>
        <v>0</v>
      </c>
      <c r="U229" s="117">
        <f t="shared" si="55"/>
        <v>0</v>
      </c>
      <c r="V229" s="117">
        <f>VLOOKUP(A229,DATA!$A$4:$V$350,DATA!$V$1,0)</f>
        <v>0</v>
      </c>
      <c r="W229" s="117">
        <f>VLOOKUP(A229,DATA!$A$4:$V$350,22,0)</f>
        <v>0</v>
      </c>
      <c r="X229" s="96">
        <f t="shared" si="56"/>
        <v>0</v>
      </c>
      <c r="Y229" s="31">
        <f>ROUND(X229*PARAMETROS!$H$35,0)</f>
        <v>0</v>
      </c>
      <c r="Z229" s="31">
        <f t="shared" si="61"/>
        <v>0</v>
      </c>
      <c r="AA229" s="31">
        <f t="shared" si="62"/>
        <v>0</v>
      </c>
      <c r="AB229" s="31">
        <f t="shared" si="63"/>
        <v>0</v>
      </c>
      <c r="AC229" s="31">
        <f t="shared" si="63"/>
        <v>0</v>
      </c>
      <c r="AD229" s="38">
        <f t="shared" si="64"/>
        <v>0</v>
      </c>
    </row>
    <row r="230" spans="1:30" ht="3" customHeight="1" x14ac:dyDescent="0.25">
      <c r="A230">
        <v>10207</v>
      </c>
      <c r="B230">
        <v>10403</v>
      </c>
      <c r="C230" t="s">
        <v>418</v>
      </c>
      <c r="D230" s="6" t="str">
        <f>+DATA!U226</f>
        <v>No</v>
      </c>
      <c r="E230" s="361">
        <f t="shared" si="49"/>
        <v>0</v>
      </c>
      <c r="F230" s="95">
        <f t="shared" si="57"/>
        <v>0</v>
      </c>
      <c r="G230" s="31">
        <f>IF(OR(D230="SI",D230="Sí"),VLOOKUP(A230,DATA!$A$4:$D$350,4,0),0)</f>
        <v>0</v>
      </c>
      <c r="H230" s="95">
        <f>IF(OR(D230="SI",D230="Sí"),VLOOKUP(A230,DATA!$A$4:$E$350,5,0),0)</f>
        <v>0</v>
      </c>
      <c r="I230" s="31">
        <f t="shared" si="58"/>
        <v>0</v>
      </c>
      <c r="J230" s="361">
        <f t="shared" si="50"/>
        <v>0</v>
      </c>
      <c r="K230" s="361">
        <f t="shared" si="51"/>
        <v>0</v>
      </c>
      <c r="L230" s="31">
        <f>IF(OR(D230="SI",D230="Sí"),VLOOKUP(A230,DATA!$A$4:$G$350,7,0),0)</f>
        <v>0</v>
      </c>
      <c r="M230" s="31">
        <f>IF(OR(D230="SI",D230="Sí"),VLOOKUP(A230,DATA!$A$4:$H$350,8,0),0)</f>
        <v>0</v>
      </c>
      <c r="N230" s="361">
        <f t="shared" si="52"/>
        <v>0</v>
      </c>
      <c r="O230" s="361">
        <f t="shared" si="59"/>
        <v>0</v>
      </c>
      <c r="P230" s="361">
        <f t="shared" si="53"/>
        <v>0</v>
      </c>
      <c r="Q230" s="31">
        <f>IF(OR(D230="SI",D230="Sí"),VLOOKUP(A230,DATA!$A$4:$P$350,14,0),0)</f>
        <v>0</v>
      </c>
      <c r="R230" s="121">
        <f t="shared" si="60"/>
        <v>0</v>
      </c>
      <c r="S230" s="31">
        <f>IF(AND(R230&gt;0,R230&lt;$R$7),ROUND(($R$7-R230)*G230,PARAMETROS!$L$8),0)</f>
        <v>0</v>
      </c>
      <c r="T230" s="122">
        <f t="shared" si="54"/>
        <v>0</v>
      </c>
      <c r="U230" s="117">
        <f t="shared" si="55"/>
        <v>0</v>
      </c>
      <c r="V230" s="117">
        <f>VLOOKUP(A230,DATA!$A$4:$V$350,DATA!$V$1,0)</f>
        <v>0</v>
      </c>
      <c r="W230" s="117">
        <f>VLOOKUP(A230,DATA!$A$4:$V$350,22,0)</f>
        <v>0</v>
      </c>
      <c r="X230" s="96">
        <f t="shared" si="56"/>
        <v>0</v>
      </c>
      <c r="Y230" s="31">
        <f>ROUND(X230*PARAMETROS!$H$35,0)</f>
        <v>0</v>
      </c>
      <c r="Z230" s="31">
        <f t="shared" si="61"/>
        <v>0</v>
      </c>
      <c r="AA230" s="31">
        <f t="shared" si="62"/>
        <v>0</v>
      </c>
      <c r="AB230" s="31">
        <f t="shared" si="63"/>
        <v>0</v>
      </c>
      <c r="AC230" s="31">
        <f t="shared" si="63"/>
        <v>0</v>
      </c>
      <c r="AD230" s="38">
        <f t="shared" si="64"/>
        <v>0</v>
      </c>
    </row>
    <row r="231" spans="1:30" ht="3" customHeight="1" x14ac:dyDescent="0.25">
      <c r="A231">
        <v>10208</v>
      </c>
      <c r="B231">
        <v>10404</v>
      </c>
      <c r="C231" t="s">
        <v>419</v>
      </c>
      <c r="D231" s="6" t="str">
        <f>+DATA!U227</f>
        <v>No</v>
      </c>
      <c r="E231" s="361">
        <f t="shared" si="49"/>
        <v>0</v>
      </c>
      <c r="F231" s="95">
        <f t="shared" si="57"/>
        <v>0</v>
      </c>
      <c r="G231" s="31">
        <f>IF(OR(D231="SI",D231="Sí"),VLOOKUP(A231,DATA!$A$4:$D$350,4,0),0)</f>
        <v>0</v>
      </c>
      <c r="H231" s="95">
        <f>IF(OR(D231="SI",D231="Sí"),VLOOKUP(A231,DATA!$A$4:$E$350,5,0),0)</f>
        <v>0</v>
      </c>
      <c r="I231" s="31">
        <f t="shared" si="58"/>
        <v>0</v>
      </c>
      <c r="J231" s="361">
        <f t="shared" si="50"/>
        <v>0</v>
      </c>
      <c r="K231" s="361">
        <f t="shared" si="51"/>
        <v>0</v>
      </c>
      <c r="L231" s="31">
        <f>IF(OR(D231="SI",D231="Sí"),VLOOKUP(A231,DATA!$A$4:$G$350,7,0),0)</f>
        <v>0</v>
      </c>
      <c r="M231" s="31">
        <f>IF(OR(D231="SI",D231="Sí"),VLOOKUP(A231,DATA!$A$4:$H$350,8,0),0)</f>
        <v>0</v>
      </c>
      <c r="N231" s="361">
        <f t="shared" si="52"/>
        <v>0</v>
      </c>
      <c r="O231" s="361">
        <f t="shared" si="59"/>
        <v>0</v>
      </c>
      <c r="P231" s="361">
        <f t="shared" si="53"/>
        <v>0</v>
      </c>
      <c r="Q231" s="31">
        <f>IF(OR(D231="SI",D231="Sí"),VLOOKUP(A231,DATA!$A$4:$P$350,14,0),0)</f>
        <v>0</v>
      </c>
      <c r="R231" s="121">
        <f t="shared" si="60"/>
        <v>0</v>
      </c>
      <c r="S231" s="31">
        <f>IF(AND(R231&gt;0,R231&lt;$R$7),ROUND(($R$7-R231)*G231,PARAMETROS!$L$8),0)</f>
        <v>0</v>
      </c>
      <c r="T231" s="122">
        <f t="shared" si="54"/>
        <v>0</v>
      </c>
      <c r="U231" s="117">
        <f t="shared" si="55"/>
        <v>0</v>
      </c>
      <c r="V231" s="117">
        <f>VLOOKUP(A231,DATA!$A$4:$V$350,DATA!$V$1,0)</f>
        <v>0</v>
      </c>
      <c r="W231" s="117">
        <f>VLOOKUP(A231,DATA!$A$4:$V$350,22,0)</f>
        <v>0</v>
      </c>
      <c r="X231" s="96">
        <f t="shared" si="56"/>
        <v>0</v>
      </c>
      <c r="Y231" s="31">
        <f>ROUND(X231*PARAMETROS!$H$35,0)</f>
        <v>0</v>
      </c>
      <c r="Z231" s="31">
        <f t="shared" si="61"/>
        <v>0</v>
      </c>
      <c r="AA231" s="31">
        <f t="shared" si="62"/>
        <v>0</v>
      </c>
      <c r="AB231" s="31">
        <f t="shared" si="63"/>
        <v>0</v>
      </c>
      <c r="AC231" s="31">
        <f t="shared" si="63"/>
        <v>0</v>
      </c>
      <c r="AD231" s="38">
        <f t="shared" si="64"/>
        <v>0</v>
      </c>
    </row>
    <row r="232" spans="1:30" ht="3" customHeight="1" x14ac:dyDescent="0.25">
      <c r="A232">
        <v>10209</v>
      </c>
      <c r="B232">
        <v>10407</v>
      </c>
      <c r="C232" t="s">
        <v>256</v>
      </c>
      <c r="D232" s="6" t="str">
        <f>+DATA!U228</f>
        <v>No</v>
      </c>
      <c r="E232" s="361">
        <f t="shared" si="49"/>
        <v>0</v>
      </c>
      <c r="F232" s="95">
        <f t="shared" si="57"/>
        <v>0</v>
      </c>
      <c r="G232" s="31">
        <f>IF(OR(D232="SI",D232="Sí"),VLOOKUP(A232,DATA!$A$4:$D$350,4,0),0)</f>
        <v>0</v>
      </c>
      <c r="H232" s="95">
        <f>IF(OR(D232="SI",D232="Sí"),VLOOKUP(A232,DATA!$A$4:$E$350,5,0),0)</f>
        <v>0</v>
      </c>
      <c r="I232" s="31">
        <f t="shared" si="58"/>
        <v>0</v>
      </c>
      <c r="J232" s="361">
        <f t="shared" si="50"/>
        <v>0</v>
      </c>
      <c r="K232" s="361">
        <f t="shared" si="51"/>
        <v>0</v>
      </c>
      <c r="L232" s="31">
        <f>IF(OR(D232="SI",D232="Sí"),VLOOKUP(A232,DATA!$A$4:$G$350,7,0),0)</f>
        <v>0</v>
      </c>
      <c r="M232" s="31">
        <f>IF(OR(D232="SI",D232="Sí"),VLOOKUP(A232,DATA!$A$4:$H$350,8,0),0)</f>
        <v>0</v>
      </c>
      <c r="N232" s="361">
        <f t="shared" si="52"/>
        <v>0</v>
      </c>
      <c r="O232" s="361">
        <f t="shared" si="59"/>
        <v>0</v>
      </c>
      <c r="P232" s="361">
        <f t="shared" si="53"/>
        <v>0</v>
      </c>
      <c r="Q232" s="31">
        <f>IF(OR(D232="SI",D232="Sí"),VLOOKUP(A232,DATA!$A$4:$P$350,14,0),0)</f>
        <v>0</v>
      </c>
      <c r="R232" s="121">
        <f t="shared" si="60"/>
        <v>0</v>
      </c>
      <c r="S232" s="31">
        <f>IF(AND(R232&gt;0,R232&lt;$R$7),ROUND(($R$7-R232)*G232,PARAMETROS!$L$8),0)</f>
        <v>0</v>
      </c>
      <c r="T232" s="122">
        <f t="shared" si="54"/>
        <v>0</v>
      </c>
      <c r="U232" s="117">
        <f t="shared" si="55"/>
        <v>0</v>
      </c>
      <c r="V232" s="117">
        <f>VLOOKUP(A232,DATA!$A$4:$V$350,DATA!$V$1,0)</f>
        <v>0</v>
      </c>
      <c r="W232" s="117">
        <f>VLOOKUP(A232,DATA!$A$4:$V$350,22,0)</f>
        <v>0</v>
      </c>
      <c r="X232" s="96">
        <f t="shared" si="56"/>
        <v>0</v>
      </c>
      <c r="Y232" s="31">
        <f>ROUND(X232*PARAMETROS!$H$35,0)</f>
        <v>0</v>
      </c>
      <c r="Z232" s="31">
        <f t="shared" si="61"/>
        <v>0</v>
      </c>
      <c r="AA232" s="31">
        <f t="shared" si="62"/>
        <v>0</v>
      </c>
      <c r="AB232" s="31">
        <f t="shared" si="63"/>
        <v>0</v>
      </c>
      <c r="AC232" s="31">
        <f t="shared" si="63"/>
        <v>0</v>
      </c>
      <c r="AD232" s="38">
        <f t="shared" si="64"/>
        <v>0</v>
      </c>
    </row>
    <row r="233" spans="1:30" ht="3" customHeight="1" x14ac:dyDescent="0.25">
      <c r="A233">
        <v>10210</v>
      </c>
      <c r="B233">
        <v>10415</v>
      </c>
      <c r="C233" t="s">
        <v>258</v>
      </c>
      <c r="D233" s="6" t="str">
        <f>+DATA!U229</f>
        <v>No</v>
      </c>
      <c r="E233" s="361">
        <f t="shared" si="49"/>
        <v>0</v>
      </c>
      <c r="F233" s="95">
        <f t="shared" si="57"/>
        <v>0</v>
      </c>
      <c r="G233" s="31">
        <f>IF(OR(D233="SI",D233="Sí"),VLOOKUP(A233,DATA!$A$4:$D$350,4,0),0)</f>
        <v>0</v>
      </c>
      <c r="H233" s="95">
        <f>IF(OR(D233="SI",D233="Sí"),VLOOKUP(A233,DATA!$A$4:$E$350,5,0),0)</f>
        <v>0</v>
      </c>
      <c r="I233" s="31">
        <f t="shared" si="58"/>
        <v>0</v>
      </c>
      <c r="J233" s="361">
        <f t="shared" si="50"/>
        <v>0</v>
      </c>
      <c r="K233" s="361">
        <f t="shared" si="51"/>
        <v>0</v>
      </c>
      <c r="L233" s="31">
        <f>IF(OR(D233="SI",D233="Sí"),VLOOKUP(A233,DATA!$A$4:$G$350,7,0),0)</f>
        <v>0</v>
      </c>
      <c r="M233" s="31">
        <f>IF(OR(D233="SI",D233="Sí"),VLOOKUP(A233,DATA!$A$4:$H$350,8,0),0)</f>
        <v>0</v>
      </c>
      <c r="N233" s="361">
        <f t="shared" si="52"/>
        <v>0</v>
      </c>
      <c r="O233" s="361">
        <f t="shared" si="59"/>
        <v>0</v>
      </c>
      <c r="P233" s="361">
        <f t="shared" si="53"/>
        <v>0</v>
      </c>
      <c r="Q233" s="31">
        <f>IF(OR(D233="SI",D233="Sí"),VLOOKUP(A233,DATA!$A$4:$P$350,14,0),0)</f>
        <v>0</v>
      </c>
      <c r="R233" s="121">
        <f t="shared" si="60"/>
        <v>0</v>
      </c>
      <c r="S233" s="31">
        <f>IF(AND(R233&gt;0,R233&lt;$R$7),ROUND(($R$7-R233)*G233,PARAMETROS!$L$8),0)</f>
        <v>0</v>
      </c>
      <c r="T233" s="122">
        <f t="shared" si="54"/>
        <v>0</v>
      </c>
      <c r="U233" s="117">
        <f t="shared" si="55"/>
        <v>0</v>
      </c>
      <c r="V233" s="117">
        <f>VLOOKUP(A233,DATA!$A$4:$V$350,DATA!$V$1,0)</f>
        <v>0</v>
      </c>
      <c r="W233" s="117">
        <f>VLOOKUP(A233,DATA!$A$4:$V$350,22,0)</f>
        <v>0</v>
      </c>
      <c r="X233" s="96">
        <f t="shared" si="56"/>
        <v>0</v>
      </c>
      <c r="Y233" s="31">
        <f>ROUND(X233*PARAMETROS!$H$35,0)</f>
        <v>0</v>
      </c>
      <c r="Z233" s="31">
        <f t="shared" si="61"/>
        <v>0</v>
      </c>
      <c r="AA233" s="31">
        <f t="shared" si="62"/>
        <v>0</v>
      </c>
      <c r="AB233" s="31">
        <f t="shared" si="63"/>
        <v>0</v>
      </c>
      <c r="AC233" s="31">
        <f t="shared" si="63"/>
        <v>0</v>
      </c>
      <c r="AD233" s="38">
        <f t="shared" si="64"/>
        <v>0</v>
      </c>
    </row>
    <row r="234" spans="1:30" ht="3" customHeight="1" x14ac:dyDescent="0.25">
      <c r="A234">
        <v>10301</v>
      </c>
      <c r="B234">
        <v>10201</v>
      </c>
      <c r="C234" t="s">
        <v>240</v>
      </c>
      <c r="D234" s="6" t="str">
        <f>+DATA!U230</f>
        <v>No</v>
      </c>
      <c r="E234" s="361">
        <f t="shared" si="49"/>
        <v>0</v>
      </c>
      <c r="F234" s="95">
        <f t="shared" si="57"/>
        <v>0</v>
      </c>
      <c r="G234" s="31">
        <f>IF(OR(D234="SI",D234="Sí"),VLOOKUP(A234,DATA!$A$4:$D$350,4,0),0)</f>
        <v>0</v>
      </c>
      <c r="H234" s="95">
        <f>IF(OR(D234="SI",D234="Sí"),VLOOKUP(A234,DATA!$A$4:$E$350,5,0),0)</f>
        <v>0</v>
      </c>
      <c r="I234" s="31">
        <f t="shared" si="58"/>
        <v>0</v>
      </c>
      <c r="J234" s="361">
        <f t="shared" si="50"/>
        <v>0</v>
      </c>
      <c r="K234" s="361">
        <f t="shared" si="51"/>
        <v>0</v>
      </c>
      <c r="L234" s="31">
        <f>IF(OR(D234="SI",D234="Sí"),VLOOKUP(A234,DATA!$A$4:$G$350,7,0),0)</f>
        <v>0</v>
      </c>
      <c r="M234" s="31">
        <f>IF(OR(D234="SI",D234="Sí"),VLOOKUP(A234,DATA!$A$4:$H$350,8,0),0)</f>
        <v>0</v>
      </c>
      <c r="N234" s="361">
        <f t="shared" si="52"/>
        <v>0</v>
      </c>
      <c r="O234" s="361">
        <f t="shared" si="59"/>
        <v>0</v>
      </c>
      <c r="P234" s="361">
        <f t="shared" si="53"/>
        <v>0</v>
      </c>
      <c r="Q234" s="31">
        <f>IF(OR(D234="SI",D234="Sí"),VLOOKUP(A234,DATA!$A$4:$P$350,14,0),0)</f>
        <v>0</v>
      </c>
      <c r="R234" s="121">
        <f t="shared" si="60"/>
        <v>0</v>
      </c>
      <c r="S234" s="31">
        <f>IF(AND(R234&gt;0,R234&lt;$R$7),ROUND(($R$7-R234)*G234,PARAMETROS!$L$8),0)</f>
        <v>0</v>
      </c>
      <c r="T234" s="122">
        <f t="shared" si="54"/>
        <v>0</v>
      </c>
      <c r="U234" s="117">
        <f t="shared" si="55"/>
        <v>0</v>
      </c>
      <c r="V234" s="117">
        <f>VLOOKUP(A234,DATA!$A$4:$V$350,DATA!$V$1,0)</f>
        <v>0</v>
      </c>
      <c r="W234" s="117">
        <f>VLOOKUP(A234,DATA!$A$4:$V$350,22,0)</f>
        <v>0</v>
      </c>
      <c r="X234" s="96">
        <f t="shared" si="56"/>
        <v>0</v>
      </c>
      <c r="Y234" s="31">
        <f>ROUND(X234*PARAMETROS!$H$35,0)</f>
        <v>0</v>
      </c>
      <c r="Z234" s="31">
        <f t="shared" si="61"/>
        <v>0</v>
      </c>
      <c r="AA234" s="31">
        <f t="shared" si="62"/>
        <v>0</v>
      </c>
      <c r="AB234" s="31">
        <f t="shared" si="63"/>
        <v>0</v>
      </c>
      <c r="AC234" s="31">
        <f t="shared" si="63"/>
        <v>0</v>
      </c>
      <c r="AD234" s="38">
        <f t="shared" si="64"/>
        <v>0</v>
      </c>
    </row>
    <row r="235" spans="1:30" ht="3" customHeight="1" x14ac:dyDescent="0.25">
      <c r="A235">
        <v>10302</v>
      </c>
      <c r="B235">
        <v>10203</v>
      </c>
      <c r="C235" t="s">
        <v>242</v>
      </c>
      <c r="D235" s="6" t="str">
        <f>+DATA!U231</f>
        <v>No</v>
      </c>
      <c r="E235" s="361">
        <f t="shared" si="49"/>
        <v>0</v>
      </c>
      <c r="F235" s="95">
        <f t="shared" si="57"/>
        <v>0</v>
      </c>
      <c r="G235" s="31">
        <f>IF(OR(D235="SI",D235="Sí"),VLOOKUP(A235,DATA!$A$4:$D$350,4,0),0)</f>
        <v>0</v>
      </c>
      <c r="H235" s="95">
        <f>IF(OR(D235="SI",D235="Sí"),VLOOKUP(A235,DATA!$A$4:$E$350,5,0),0)</f>
        <v>0</v>
      </c>
      <c r="I235" s="31">
        <f t="shared" si="58"/>
        <v>0</v>
      </c>
      <c r="J235" s="361">
        <f t="shared" si="50"/>
        <v>0</v>
      </c>
      <c r="K235" s="361">
        <f t="shared" si="51"/>
        <v>0</v>
      </c>
      <c r="L235" s="31">
        <f>IF(OR(D235="SI",D235="Sí"),VLOOKUP(A235,DATA!$A$4:$G$350,7,0),0)</f>
        <v>0</v>
      </c>
      <c r="M235" s="31">
        <f>IF(OR(D235="SI",D235="Sí"),VLOOKUP(A235,DATA!$A$4:$H$350,8,0),0)</f>
        <v>0</v>
      </c>
      <c r="N235" s="361">
        <f t="shared" si="52"/>
        <v>0</v>
      </c>
      <c r="O235" s="361">
        <f t="shared" si="59"/>
        <v>0</v>
      </c>
      <c r="P235" s="361">
        <f t="shared" si="53"/>
        <v>0</v>
      </c>
      <c r="Q235" s="31">
        <f>IF(OR(D235="SI",D235="Sí"),VLOOKUP(A235,DATA!$A$4:$P$350,14,0),0)</f>
        <v>0</v>
      </c>
      <c r="R235" s="121">
        <f t="shared" si="60"/>
        <v>0</v>
      </c>
      <c r="S235" s="31">
        <f>IF(AND(R235&gt;0,R235&lt;$R$7),ROUND(($R$7-R235)*G235,PARAMETROS!$L$8),0)</f>
        <v>0</v>
      </c>
      <c r="T235" s="122">
        <f t="shared" si="54"/>
        <v>0</v>
      </c>
      <c r="U235" s="117">
        <f t="shared" si="55"/>
        <v>0</v>
      </c>
      <c r="V235" s="117">
        <f>VLOOKUP(A235,DATA!$A$4:$V$350,DATA!$V$1,0)</f>
        <v>0</v>
      </c>
      <c r="W235" s="117">
        <f>VLOOKUP(A235,DATA!$A$4:$V$350,22,0)</f>
        <v>0</v>
      </c>
      <c r="X235" s="96">
        <f t="shared" si="56"/>
        <v>0</v>
      </c>
      <c r="Y235" s="31">
        <f>ROUND(X235*PARAMETROS!$H$35,0)</f>
        <v>0</v>
      </c>
      <c r="Z235" s="31">
        <f t="shared" si="61"/>
        <v>0</v>
      </c>
      <c r="AA235" s="31">
        <f t="shared" si="62"/>
        <v>0</v>
      </c>
      <c r="AB235" s="31">
        <f t="shared" si="63"/>
        <v>0</v>
      </c>
      <c r="AC235" s="31">
        <f t="shared" si="63"/>
        <v>0</v>
      </c>
      <c r="AD235" s="38">
        <f t="shared" si="64"/>
        <v>0</v>
      </c>
    </row>
    <row r="236" spans="1:30" ht="3" customHeight="1" x14ac:dyDescent="0.25">
      <c r="A236">
        <v>10303</v>
      </c>
      <c r="B236">
        <v>10206</v>
      </c>
      <c r="C236" t="s">
        <v>244</v>
      </c>
      <c r="D236" s="6" t="str">
        <f>+DATA!U232</f>
        <v>No</v>
      </c>
      <c r="E236" s="361">
        <f t="shared" si="49"/>
        <v>0</v>
      </c>
      <c r="F236" s="95">
        <f t="shared" si="57"/>
        <v>0</v>
      </c>
      <c r="G236" s="31">
        <f>IF(OR(D236="SI",D236="Sí"),VLOOKUP(A236,DATA!$A$4:$D$350,4,0),0)</f>
        <v>0</v>
      </c>
      <c r="H236" s="95">
        <f>IF(OR(D236="SI",D236="Sí"),VLOOKUP(A236,DATA!$A$4:$E$350,5,0),0)</f>
        <v>0</v>
      </c>
      <c r="I236" s="31">
        <f t="shared" si="58"/>
        <v>0</v>
      </c>
      <c r="J236" s="361">
        <f t="shared" si="50"/>
        <v>0</v>
      </c>
      <c r="K236" s="361">
        <f t="shared" si="51"/>
        <v>0</v>
      </c>
      <c r="L236" s="31">
        <f>IF(OR(D236="SI",D236="Sí"),VLOOKUP(A236,DATA!$A$4:$G$350,7,0),0)</f>
        <v>0</v>
      </c>
      <c r="M236" s="31">
        <f>IF(OR(D236="SI",D236="Sí"),VLOOKUP(A236,DATA!$A$4:$H$350,8,0),0)</f>
        <v>0</v>
      </c>
      <c r="N236" s="361">
        <f t="shared" si="52"/>
        <v>0</v>
      </c>
      <c r="O236" s="361">
        <f t="shared" si="59"/>
        <v>0</v>
      </c>
      <c r="P236" s="361">
        <f t="shared" si="53"/>
        <v>0</v>
      </c>
      <c r="Q236" s="31">
        <f>IF(OR(D236="SI",D236="Sí"),VLOOKUP(A236,DATA!$A$4:$P$350,14,0),0)</f>
        <v>0</v>
      </c>
      <c r="R236" s="121">
        <f t="shared" si="60"/>
        <v>0</v>
      </c>
      <c r="S236" s="31">
        <f>IF(AND(R236&gt;0,R236&lt;$R$7),ROUND(($R$7-R236)*G236,PARAMETROS!$L$8),0)</f>
        <v>0</v>
      </c>
      <c r="T236" s="122">
        <f t="shared" si="54"/>
        <v>0</v>
      </c>
      <c r="U236" s="117">
        <f t="shared" si="55"/>
        <v>0</v>
      </c>
      <c r="V236" s="117">
        <f>VLOOKUP(A236,DATA!$A$4:$V$350,DATA!$V$1,0)</f>
        <v>0</v>
      </c>
      <c r="W236" s="117">
        <f>VLOOKUP(A236,DATA!$A$4:$V$350,22,0)</f>
        <v>0</v>
      </c>
      <c r="X236" s="96">
        <f t="shared" si="56"/>
        <v>0</v>
      </c>
      <c r="Y236" s="31">
        <f>ROUND(X236*PARAMETROS!$H$35,0)</f>
        <v>0</v>
      </c>
      <c r="Z236" s="31">
        <f t="shared" si="61"/>
        <v>0</v>
      </c>
      <c r="AA236" s="31">
        <f t="shared" si="62"/>
        <v>0</v>
      </c>
      <c r="AB236" s="31">
        <f t="shared" si="63"/>
        <v>0</v>
      </c>
      <c r="AC236" s="31">
        <f t="shared" si="63"/>
        <v>0</v>
      </c>
      <c r="AD236" s="38">
        <f t="shared" si="64"/>
        <v>0</v>
      </c>
    </row>
    <row r="237" spans="1:30" ht="3" customHeight="1" x14ac:dyDescent="0.25">
      <c r="A237">
        <v>10304</v>
      </c>
      <c r="B237">
        <v>10204</v>
      </c>
      <c r="C237" t="s">
        <v>243</v>
      </c>
      <c r="D237" s="6" t="str">
        <f>+DATA!U233</f>
        <v>No</v>
      </c>
      <c r="E237" s="361">
        <f t="shared" si="49"/>
        <v>0</v>
      </c>
      <c r="F237" s="95">
        <f t="shared" si="57"/>
        <v>0</v>
      </c>
      <c r="G237" s="31">
        <f>IF(OR(D237="SI",D237="Sí"),VLOOKUP(A237,DATA!$A$4:$D$350,4,0),0)</f>
        <v>0</v>
      </c>
      <c r="H237" s="95">
        <f>IF(OR(D237="SI",D237="Sí"),VLOOKUP(A237,DATA!$A$4:$E$350,5,0),0)</f>
        <v>0</v>
      </c>
      <c r="I237" s="31">
        <f t="shared" si="58"/>
        <v>0</v>
      </c>
      <c r="J237" s="361">
        <f t="shared" si="50"/>
        <v>0</v>
      </c>
      <c r="K237" s="361">
        <f t="shared" si="51"/>
        <v>0</v>
      </c>
      <c r="L237" s="31">
        <f>IF(OR(D237="SI",D237="Sí"),VLOOKUP(A237,DATA!$A$4:$G$350,7,0),0)</f>
        <v>0</v>
      </c>
      <c r="M237" s="31">
        <f>IF(OR(D237="SI",D237="Sí"),VLOOKUP(A237,DATA!$A$4:$H$350,8,0),0)</f>
        <v>0</v>
      </c>
      <c r="N237" s="361">
        <f t="shared" si="52"/>
        <v>0</v>
      </c>
      <c r="O237" s="361">
        <f t="shared" si="59"/>
        <v>0</v>
      </c>
      <c r="P237" s="361">
        <f t="shared" si="53"/>
        <v>0</v>
      </c>
      <c r="Q237" s="31">
        <f>IF(OR(D237="SI",D237="Sí"),VLOOKUP(A237,DATA!$A$4:$P$350,14,0),0)</f>
        <v>0</v>
      </c>
      <c r="R237" s="121">
        <f t="shared" si="60"/>
        <v>0</v>
      </c>
      <c r="S237" s="31">
        <f>IF(AND(R237&gt;0,R237&lt;$R$7),ROUND(($R$7-R237)*G237,PARAMETROS!$L$8),0)</f>
        <v>0</v>
      </c>
      <c r="T237" s="122">
        <f t="shared" si="54"/>
        <v>0</v>
      </c>
      <c r="U237" s="117">
        <f t="shared" si="55"/>
        <v>0</v>
      </c>
      <c r="V237" s="117">
        <f>VLOOKUP(A237,DATA!$A$4:$V$350,DATA!$V$1,0)</f>
        <v>0</v>
      </c>
      <c r="W237" s="117">
        <f>VLOOKUP(A237,DATA!$A$4:$V$350,22,0)</f>
        <v>0</v>
      </c>
      <c r="X237" s="96">
        <f t="shared" si="56"/>
        <v>0</v>
      </c>
      <c r="Y237" s="31">
        <f>ROUND(X237*PARAMETROS!$H$35,0)</f>
        <v>0</v>
      </c>
      <c r="Z237" s="31">
        <f t="shared" si="61"/>
        <v>0</v>
      </c>
      <c r="AA237" s="31">
        <f t="shared" si="62"/>
        <v>0</v>
      </c>
      <c r="AB237" s="31">
        <f t="shared" si="63"/>
        <v>0</v>
      </c>
      <c r="AC237" s="31">
        <f t="shared" si="63"/>
        <v>0</v>
      </c>
      <c r="AD237" s="38">
        <f t="shared" si="64"/>
        <v>0</v>
      </c>
    </row>
    <row r="238" spans="1:30" ht="3" customHeight="1" x14ac:dyDescent="0.25">
      <c r="A238">
        <v>10305</v>
      </c>
      <c r="B238">
        <v>10205</v>
      </c>
      <c r="C238" t="s">
        <v>420</v>
      </c>
      <c r="D238" s="6" t="str">
        <f>+DATA!U234</f>
        <v>No</v>
      </c>
      <c r="E238" s="361">
        <f t="shared" si="49"/>
        <v>0</v>
      </c>
      <c r="F238" s="95">
        <f t="shared" si="57"/>
        <v>0</v>
      </c>
      <c r="G238" s="31">
        <f>IF(OR(D238="SI",D238="Sí"),VLOOKUP(A238,DATA!$A$4:$D$350,4,0),0)</f>
        <v>0</v>
      </c>
      <c r="H238" s="95">
        <f>IF(OR(D238="SI",D238="Sí"),VLOOKUP(A238,DATA!$A$4:$E$350,5,0),0)</f>
        <v>0</v>
      </c>
      <c r="I238" s="31">
        <f t="shared" si="58"/>
        <v>0</v>
      </c>
      <c r="J238" s="361">
        <f t="shared" si="50"/>
        <v>0</v>
      </c>
      <c r="K238" s="361">
        <f t="shared" si="51"/>
        <v>0</v>
      </c>
      <c r="L238" s="31">
        <f>IF(OR(D238="SI",D238="Sí"),VLOOKUP(A238,DATA!$A$4:$G$350,7,0),0)</f>
        <v>0</v>
      </c>
      <c r="M238" s="31">
        <f>IF(OR(D238="SI",D238="Sí"),VLOOKUP(A238,DATA!$A$4:$H$350,8,0),0)</f>
        <v>0</v>
      </c>
      <c r="N238" s="361">
        <f t="shared" si="52"/>
        <v>0</v>
      </c>
      <c r="O238" s="361">
        <f t="shared" si="59"/>
        <v>0</v>
      </c>
      <c r="P238" s="361">
        <f t="shared" si="53"/>
        <v>0</v>
      </c>
      <c r="Q238" s="31">
        <f>IF(OR(D238="SI",D238="Sí"),VLOOKUP(A238,DATA!$A$4:$P$350,14,0),0)</f>
        <v>0</v>
      </c>
      <c r="R238" s="121">
        <f t="shared" si="60"/>
        <v>0</v>
      </c>
      <c r="S238" s="31">
        <f>IF(AND(R238&gt;0,R238&lt;$R$7),ROUND(($R$7-R238)*G238,PARAMETROS!$L$8),0)</f>
        <v>0</v>
      </c>
      <c r="T238" s="122">
        <f t="shared" si="54"/>
        <v>0</v>
      </c>
      <c r="U238" s="117">
        <f t="shared" si="55"/>
        <v>0</v>
      </c>
      <c r="V238" s="117">
        <f>VLOOKUP(A238,DATA!$A$4:$V$350,DATA!$V$1,0)</f>
        <v>0</v>
      </c>
      <c r="W238" s="117">
        <f>VLOOKUP(A238,DATA!$A$4:$V$350,22,0)</f>
        <v>0</v>
      </c>
      <c r="X238" s="96">
        <f t="shared" si="56"/>
        <v>0</v>
      </c>
      <c r="Y238" s="31">
        <f>ROUND(X238*PARAMETROS!$H$35,0)</f>
        <v>0</v>
      </c>
      <c r="Z238" s="31">
        <f t="shared" si="61"/>
        <v>0</v>
      </c>
      <c r="AA238" s="31">
        <f t="shared" si="62"/>
        <v>0</v>
      </c>
      <c r="AB238" s="31">
        <f t="shared" si="63"/>
        <v>0</v>
      </c>
      <c r="AC238" s="31">
        <f t="shared" si="63"/>
        <v>0</v>
      </c>
      <c r="AD238" s="38">
        <f t="shared" si="64"/>
        <v>0</v>
      </c>
    </row>
    <row r="239" spans="1:30" ht="3" customHeight="1" x14ac:dyDescent="0.25">
      <c r="A239">
        <v>10306</v>
      </c>
      <c r="B239">
        <v>10207</v>
      </c>
      <c r="C239" t="s">
        <v>245</v>
      </c>
      <c r="D239" s="6" t="str">
        <f>+DATA!U235</f>
        <v>No</v>
      </c>
      <c r="E239" s="361">
        <f t="shared" si="49"/>
        <v>0</v>
      </c>
      <c r="F239" s="95">
        <f t="shared" si="57"/>
        <v>0</v>
      </c>
      <c r="G239" s="31">
        <f>IF(OR(D239="SI",D239="Sí"),VLOOKUP(A239,DATA!$A$4:$D$350,4,0),0)</f>
        <v>0</v>
      </c>
      <c r="H239" s="95">
        <f>IF(OR(D239="SI",D239="Sí"),VLOOKUP(A239,DATA!$A$4:$E$350,5,0),0)</f>
        <v>0</v>
      </c>
      <c r="I239" s="31">
        <f t="shared" si="58"/>
        <v>0</v>
      </c>
      <c r="J239" s="361">
        <f t="shared" si="50"/>
        <v>0</v>
      </c>
      <c r="K239" s="361">
        <f t="shared" si="51"/>
        <v>0</v>
      </c>
      <c r="L239" s="31">
        <f>IF(OR(D239="SI",D239="Sí"),VLOOKUP(A239,DATA!$A$4:$G$350,7,0),0)</f>
        <v>0</v>
      </c>
      <c r="M239" s="31">
        <f>IF(OR(D239="SI",D239="Sí"),VLOOKUP(A239,DATA!$A$4:$H$350,8,0),0)</f>
        <v>0</v>
      </c>
      <c r="N239" s="361">
        <f t="shared" si="52"/>
        <v>0</v>
      </c>
      <c r="O239" s="361">
        <f t="shared" si="59"/>
        <v>0</v>
      </c>
      <c r="P239" s="361">
        <f t="shared" si="53"/>
        <v>0</v>
      </c>
      <c r="Q239" s="31">
        <f>IF(OR(D239="SI",D239="Sí"),VLOOKUP(A239,DATA!$A$4:$P$350,14,0),0)</f>
        <v>0</v>
      </c>
      <c r="R239" s="121">
        <f t="shared" si="60"/>
        <v>0</v>
      </c>
      <c r="S239" s="31">
        <f>IF(AND(R239&gt;0,R239&lt;$R$7),ROUND(($R$7-R239)*G239,PARAMETROS!$L$8),0)</f>
        <v>0</v>
      </c>
      <c r="T239" s="122">
        <f t="shared" si="54"/>
        <v>0</v>
      </c>
      <c r="U239" s="117">
        <f t="shared" si="55"/>
        <v>0</v>
      </c>
      <c r="V239" s="117">
        <f>VLOOKUP(A239,DATA!$A$4:$V$350,DATA!$V$1,0)</f>
        <v>0</v>
      </c>
      <c r="W239" s="117">
        <f>VLOOKUP(A239,DATA!$A$4:$V$350,22,0)</f>
        <v>0</v>
      </c>
      <c r="X239" s="96">
        <f t="shared" si="56"/>
        <v>0</v>
      </c>
      <c r="Y239" s="31">
        <f>ROUND(X239*PARAMETROS!$H$35,0)</f>
        <v>0</v>
      </c>
      <c r="Z239" s="31">
        <f t="shared" si="61"/>
        <v>0</v>
      </c>
      <c r="AA239" s="31">
        <f t="shared" si="62"/>
        <v>0</v>
      </c>
      <c r="AB239" s="31">
        <f t="shared" si="63"/>
        <v>0</v>
      </c>
      <c r="AC239" s="31">
        <f t="shared" si="63"/>
        <v>0</v>
      </c>
      <c r="AD239" s="38">
        <f t="shared" si="64"/>
        <v>0</v>
      </c>
    </row>
    <row r="240" spans="1:30" ht="3" customHeight="1" x14ac:dyDescent="0.25">
      <c r="A240">
        <v>10307</v>
      </c>
      <c r="B240">
        <v>10202</v>
      </c>
      <c r="C240" t="s">
        <v>241</v>
      </c>
      <c r="D240" s="6" t="str">
        <f>+DATA!U236</f>
        <v>No</v>
      </c>
      <c r="E240" s="361">
        <f t="shared" si="49"/>
        <v>0</v>
      </c>
      <c r="F240" s="95">
        <f t="shared" si="57"/>
        <v>0</v>
      </c>
      <c r="G240" s="31">
        <f>IF(OR(D240="SI",D240="Sí"),VLOOKUP(A240,DATA!$A$4:$D$350,4,0),0)</f>
        <v>0</v>
      </c>
      <c r="H240" s="95">
        <f>IF(OR(D240="SI",D240="Sí"),VLOOKUP(A240,DATA!$A$4:$E$350,5,0),0)</f>
        <v>0</v>
      </c>
      <c r="I240" s="31">
        <f t="shared" si="58"/>
        <v>0</v>
      </c>
      <c r="J240" s="361">
        <f t="shared" si="50"/>
        <v>0</v>
      </c>
      <c r="K240" s="361">
        <f t="shared" si="51"/>
        <v>0</v>
      </c>
      <c r="L240" s="31">
        <f>IF(OR(D240="SI",D240="Sí"),VLOOKUP(A240,DATA!$A$4:$G$350,7,0),0)</f>
        <v>0</v>
      </c>
      <c r="M240" s="31">
        <f>IF(OR(D240="SI",D240="Sí"),VLOOKUP(A240,DATA!$A$4:$H$350,8,0),0)</f>
        <v>0</v>
      </c>
      <c r="N240" s="361">
        <f t="shared" si="52"/>
        <v>0</v>
      </c>
      <c r="O240" s="361">
        <f t="shared" si="59"/>
        <v>0</v>
      </c>
      <c r="P240" s="361">
        <f t="shared" si="53"/>
        <v>0</v>
      </c>
      <c r="Q240" s="31">
        <f>IF(OR(D240="SI",D240="Sí"),VLOOKUP(A240,DATA!$A$4:$P$350,14,0),0)</f>
        <v>0</v>
      </c>
      <c r="R240" s="121">
        <f t="shared" si="60"/>
        <v>0</v>
      </c>
      <c r="S240" s="31">
        <f>IF(AND(R240&gt;0,R240&lt;$R$7),ROUND(($R$7-R240)*G240,PARAMETROS!$L$8),0)</f>
        <v>0</v>
      </c>
      <c r="T240" s="122">
        <f t="shared" si="54"/>
        <v>0</v>
      </c>
      <c r="U240" s="117">
        <f t="shared" si="55"/>
        <v>0</v>
      </c>
      <c r="V240" s="117">
        <f>VLOOKUP(A240,DATA!$A$4:$V$350,DATA!$V$1,0)</f>
        <v>0</v>
      </c>
      <c r="W240" s="117">
        <f>VLOOKUP(A240,DATA!$A$4:$V$350,22,0)</f>
        <v>0</v>
      </c>
      <c r="X240" s="96">
        <f t="shared" si="56"/>
        <v>0</v>
      </c>
      <c r="Y240" s="31">
        <f>ROUND(X240*PARAMETROS!$H$35,0)</f>
        <v>0</v>
      </c>
      <c r="Z240" s="31">
        <f t="shared" si="61"/>
        <v>0</v>
      </c>
      <c r="AA240" s="31">
        <f t="shared" si="62"/>
        <v>0</v>
      </c>
      <c r="AB240" s="31">
        <f t="shared" si="63"/>
        <v>0</v>
      </c>
      <c r="AC240" s="31">
        <f t="shared" si="63"/>
        <v>0</v>
      </c>
      <c r="AD240" s="38">
        <f t="shared" si="64"/>
        <v>0</v>
      </c>
    </row>
    <row r="241" spans="1:30" ht="3" customHeight="1" x14ac:dyDescent="0.25">
      <c r="A241">
        <v>10401</v>
      </c>
      <c r="B241">
        <v>10501</v>
      </c>
      <c r="C241" t="s">
        <v>421</v>
      </c>
      <c r="D241" s="6" t="str">
        <f>+DATA!U237</f>
        <v>No</v>
      </c>
      <c r="E241" s="361">
        <f t="shared" si="49"/>
        <v>0</v>
      </c>
      <c r="F241" s="95">
        <f t="shared" si="57"/>
        <v>0</v>
      </c>
      <c r="G241" s="31">
        <f>IF(OR(D241="SI",D241="Sí"),VLOOKUP(A241,DATA!$A$4:$D$350,4,0),0)</f>
        <v>0</v>
      </c>
      <c r="H241" s="95">
        <f>IF(OR(D241="SI",D241="Sí"),VLOOKUP(A241,DATA!$A$4:$E$350,5,0),0)</f>
        <v>0</v>
      </c>
      <c r="I241" s="31">
        <f t="shared" si="58"/>
        <v>0</v>
      </c>
      <c r="J241" s="361">
        <f t="shared" si="50"/>
        <v>0</v>
      </c>
      <c r="K241" s="361">
        <f t="shared" si="51"/>
        <v>0</v>
      </c>
      <c r="L241" s="31">
        <f>IF(OR(D241="SI",D241="Sí"),VLOOKUP(A241,DATA!$A$4:$G$350,7,0),0)</f>
        <v>0</v>
      </c>
      <c r="M241" s="31">
        <f>IF(OR(D241="SI",D241="Sí"),VLOOKUP(A241,DATA!$A$4:$H$350,8,0),0)</f>
        <v>0</v>
      </c>
      <c r="N241" s="361">
        <f t="shared" si="52"/>
        <v>0</v>
      </c>
      <c r="O241" s="361">
        <f t="shared" si="59"/>
        <v>0</v>
      </c>
      <c r="P241" s="361">
        <f t="shared" si="53"/>
        <v>0</v>
      </c>
      <c r="Q241" s="31">
        <f>IF(OR(D241="SI",D241="Sí"),VLOOKUP(A241,DATA!$A$4:$P$350,14,0),0)</f>
        <v>0</v>
      </c>
      <c r="R241" s="121">
        <f t="shared" si="60"/>
        <v>0</v>
      </c>
      <c r="S241" s="31">
        <f>IF(AND(R241&gt;0,R241&lt;$R$7),ROUND(($R$7-R241)*G241,PARAMETROS!$L$8),0)</f>
        <v>0</v>
      </c>
      <c r="T241" s="122">
        <f t="shared" si="54"/>
        <v>0</v>
      </c>
      <c r="U241" s="117">
        <f t="shared" si="55"/>
        <v>0</v>
      </c>
      <c r="V241" s="117">
        <f>VLOOKUP(A241,DATA!$A$4:$V$350,DATA!$V$1,0)</f>
        <v>0</v>
      </c>
      <c r="W241" s="117">
        <f>VLOOKUP(A241,DATA!$A$4:$V$350,22,0)</f>
        <v>0</v>
      </c>
      <c r="X241" s="96">
        <f t="shared" si="56"/>
        <v>0</v>
      </c>
      <c r="Y241" s="31">
        <f>ROUND(X241*PARAMETROS!$H$35,0)</f>
        <v>0</v>
      </c>
      <c r="Z241" s="31">
        <f t="shared" si="61"/>
        <v>0</v>
      </c>
      <c r="AA241" s="31">
        <f t="shared" si="62"/>
        <v>0</v>
      </c>
      <c r="AB241" s="31">
        <f t="shared" si="63"/>
        <v>0</v>
      </c>
      <c r="AC241" s="31">
        <f t="shared" si="63"/>
        <v>0</v>
      </c>
      <c r="AD241" s="38">
        <f t="shared" si="64"/>
        <v>0</v>
      </c>
    </row>
    <row r="242" spans="1:30" ht="3" customHeight="1" x14ac:dyDescent="0.25">
      <c r="A242">
        <v>10402</v>
      </c>
      <c r="B242">
        <v>10503</v>
      </c>
      <c r="C242" t="s">
        <v>422</v>
      </c>
      <c r="D242" s="6" t="str">
        <f>+DATA!U238</f>
        <v>No</v>
      </c>
      <c r="E242" s="361">
        <f t="shared" si="49"/>
        <v>0</v>
      </c>
      <c r="F242" s="95">
        <f t="shared" si="57"/>
        <v>0</v>
      </c>
      <c r="G242" s="31">
        <f>IF(OR(D242="SI",D242="Sí"),VLOOKUP(A242,DATA!$A$4:$D$350,4,0),0)</f>
        <v>0</v>
      </c>
      <c r="H242" s="95">
        <f>IF(OR(D242="SI",D242="Sí"),VLOOKUP(A242,DATA!$A$4:$E$350,5,0),0)</f>
        <v>0</v>
      </c>
      <c r="I242" s="31">
        <f t="shared" si="58"/>
        <v>0</v>
      </c>
      <c r="J242" s="361">
        <f t="shared" si="50"/>
        <v>0</v>
      </c>
      <c r="K242" s="361">
        <f t="shared" si="51"/>
        <v>0</v>
      </c>
      <c r="L242" s="31">
        <f>IF(OR(D242="SI",D242="Sí"),VLOOKUP(A242,DATA!$A$4:$G$350,7,0),0)</f>
        <v>0</v>
      </c>
      <c r="M242" s="31">
        <f>IF(OR(D242="SI",D242="Sí"),VLOOKUP(A242,DATA!$A$4:$H$350,8,0),0)</f>
        <v>0</v>
      </c>
      <c r="N242" s="361">
        <f t="shared" si="52"/>
        <v>0</v>
      </c>
      <c r="O242" s="361">
        <f t="shared" si="59"/>
        <v>0</v>
      </c>
      <c r="P242" s="361">
        <f t="shared" si="53"/>
        <v>0</v>
      </c>
      <c r="Q242" s="31">
        <f>IF(OR(D242="SI",D242="Sí"),VLOOKUP(A242,DATA!$A$4:$P$350,14,0),0)</f>
        <v>0</v>
      </c>
      <c r="R242" s="121">
        <f t="shared" si="60"/>
        <v>0</v>
      </c>
      <c r="S242" s="31">
        <f>IF(AND(R242&gt;0,R242&lt;$R$7),ROUND(($R$7-R242)*G242,PARAMETROS!$L$8),0)</f>
        <v>0</v>
      </c>
      <c r="T242" s="122">
        <f t="shared" si="54"/>
        <v>0</v>
      </c>
      <c r="U242" s="117">
        <f t="shared" si="55"/>
        <v>0</v>
      </c>
      <c r="V242" s="117">
        <f>VLOOKUP(A242,DATA!$A$4:$V$350,DATA!$V$1,0)</f>
        <v>0</v>
      </c>
      <c r="W242" s="117">
        <f>VLOOKUP(A242,DATA!$A$4:$V$350,22,0)</f>
        <v>0</v>
      </c>
      <c r="X242" s="96">
        <f t="shared" si="56"/>
        <v>0</v>
      </c>
      <c r="Y242" s="31">
        <f>ROUND(X242*PARAMETROS!$H$35,0)</f>
        <v>0</v>
      </c>
      <c r="Z242" s="31">
        <f t="shared" si="61"/>
        <v>0</v>
      </c>
      <c r="AA242" s="31">
        <f t="shared" si="62"/>
        <v>0</v>
      </c>
      <c r="AB242" s="31">
        <f t="shared" si="63"/>
        <v>0</v>
      </c>
      <c r="AC242" s="31">
        <f t="shared" si="63"/>
        <v>0</v>
      </c>
      <c r="AD242" s="38">
        <f t="shared" si="64"/>
        <v>0</v>
      </c>
    </row>
    <row r="243" spans="1:30" ht="3" customHeight="1" x14ac:dyDescent="0.25">
      <c r="A243">
        <v>10403</v>
      </c>
      <c r="B243">
        <v>10502</v>
      </c>
      <c r="C243" t="s">
        <v>35</v>
      </c>
      <c r="D243" s="6" t="str">
        <f>+DATA!U239</f>
        <v>No</v>
      </c>
      <c r="E243" s="361">
        <f t="shared" si="49"/>
        <v>0</v>
      </c>
      <c r="F243" s="95">
        <f t="shared" si="57"/>
        <v>0</v>
      </c>
      <c r="G243" s="31">
        <f>IF(OR(D243="SI",D243="Sí"),VLOOKUP(A243,DATA!$A$4:$D$350,4,0),0)</f>
        <v>0</v>
      </c>
      <c r="H243" s="95">
        <f>IF(OR(D243="SI",D243="Sí"),VLOOKUP(A243,DATA!$A$4:$E$350,5,0),0)</f>
        <v>0</v>
      </c>
      <c r="I243" s="31">
        <f t="shared" si="58"/>
        <v>0</v>
      </c>
      <c r="J243" s="361">
        <f t="shared" si="50"/>
        <v>0</v>
      </c>
      <c r="K243" s="361">
        <f t="shared" si="51"/>
        <v>0</v>
      </c>
      <c r="L243" s="31">
        <f>IF(OR(D243="SI",D243="Sí"),VLOOKUP(A243,DATA!$A$4:$G$350,7,0),0)</f>
        <v>0</v>
      </c>
      <c r="M243" s="31">
        <f>IF(OR(D243="SI",D243="Sí"),VLOOKUP(A243,DATA!$A$4:$H$350,8,0),0)</f>
        <v>0</v>
      </c>
      <c r="N243" s="361">
        <f t="shared" si="52"/>
        <v>0</v>
      </c>
      <c r="O243" s="361">
        <f t="shared" si="59"/>
        <v>0</v>
      </c>
      <c r="P243" s="361">
        <f t="shared" si="53"/>
        <v>0</v>
      </c>
      <c r="Q243" s="31">
        <f>IF(OR(D243="SI",D243="Sí"),VLOOKUP(A243,DATA!$A$4:$P$350,14,0),0)</f>
        <v>0</v>
      </c>
      <c r="R243" s="121">
        <f t="shared" si="60"/>
        <v>0</v>
      </c>
      <c r="S243" s="31">
        <f>IF(AND(R243&gt;0,R243&lt;$R$7),ROUND(($R$7-R243)*G243,PARAMETROS!$L$8),0)</f>
        <v>0</v>
      </c>
      <c r="T243" s="122">
        <f t="shared" si="54"/>
        <v>0</v>
      </c>
      <c r="U243" s="117">
        <f t="shared" si="55"/>
        <v>0</v>
      </c>
      <c r="V243" s="117">
        <f>VLOOKUP(A243,DATA!$A$4:$V$350,DATA!$V$1,0)</f>
        <v>0</v>
      </c>
      <c r="W243" s="117">
        <f>VLOOKUP(A243,DATA!$A$4:$V$350,22,0)</f>
        <v>0</v>
      </c>
      <c r="X243" s="96">
        <f t="shared" si="56"/>
        <v>0</v>
      </c>
      <c r="Y243" s="31">
        <f>ROUND(X243*PARAMETROS!$H$35,0)</f>
        <v>0</v>
      </c>
      <c r="Z243" s="31">
        <f t="shared" si="61"/>
        <v>0</v>
      </c>
      <c r="AA243" s="31">
        <f t="shared" si="62"/>
        <v>0</v>
      </c>
      <c r="AB243" s="31">
        <f t="shared" si="63"/>
        <v>0</v>
      </c>
      <c r="AC243" s="31">
        <f t="shared" si="63"/>
        <v>0</v>
      </c>
      <c r="AD243" s="38">
        <f t="shared" si="64"/>
        <v>0</v>
      </c>
    </row>
    <row r="244" spans="1:30" ht="3" customHeight="1" x14ac:dyDescent="0.25">
      <c r="A244">
        <v>10404</v>
      </c>
      <c r="B244">
        <v>10504</v>
      </c>
      <c r="C244" t="s">
        <v>259</v>
      </c>
      <c r="D244" s="6" t="str">
        <f>+DATA!U240</f>
        <v>No</v>
      </c>
      <c r="E244" s="361">
        <f t="shared" si="49"/>
        <v>0</v>
      </c>
      <c r="F244" s="95">
        <f t="shared" si="57"/>
        <v>0</v>
      </c>
      <c r="G244" s="31">
        <f>IF(OR(D244="SI",D244="Sí"),VLOOKUP(A244,DATA!$A$4:$D$350,4,0),0)</f>
        <v>0</v>
      </c>
      <c r="H244" s="95">
        <f>IF(OR(D244="SI",D244="Sí"),VLOOKUP(A244,DATA!$A$4:$E$350,5,0),0)</f>
        <v>0</v>
      </c>
      <c r="I244" s="31">
        <f t="shared" si="58"/>
        <v>0</v>
      </c>
      <c r="J244" s="361">
        <f t="shared" si="50"/>
        <v>0</v>
      </c>
      <c r="K244" s="361">
        <f t="shared" si="51"/>
        <v>0</v>
      </c>
      <c r="L244" s="31">
        <f>IF(OR(D244="SI",D244="Sí"),VLOOKUP(A244,DATA!$A$4:$G$350,7,0),0)</f>
        <v>0</v>
      </c>
      <c r="M244" s="31">
        <f>IF(OR(D244="SI",D244="Sí"),VLOOKUP(A244,DATA!$A$4:$H$350,8,0),0)</f>
        <v>0</v>
      </c>
      <c r="N244" s="361">
        <f t="shared" si="52"/>
        <v>0</v>
      </c>
      <c r="O244" s="361">
        <f t="shared" si="59"/>
        <v>0</v>
      </c>
      <c r="P244" s="361">
        <f t="shared" si="53"/>
        <v>0</v>
      </c>
      <c r="Q244" s="31">
        <f>IF(OR(D244="SI",D244="Sí"),VLOOKUP(A244,DATA!$A$4:$P$350,14,0),0)</f>
        <v>0</v>
      </c>
      <c r="R244" s="121">
        <f t="shared" si="60"/>
        <v>0</v>
      </c>
      <c r="S244" s="31">
        <f>IF(AND(R244&gt;0,R244&lt;$R$7),ROUND(($R$7-R244)*G244,PARAMETROS!$L$8),0)</f>
        <v>0</v>
      </c>
      <c r="T244" s="122">
        <f t="shared" si="54"/>
        <v>0</v>
      </c>
      <c r="U244" s="117">
        <f t="shared" si="55"/>
        <v>0</v>
      </c>
      <c r="V244" s="117">
        <f>VLOOKUP(A244,DATA!$A$4:$V$350,DATA!$V$1,0)</f>
        <v>0</v>
      </c>
      <c r="W244" s="117">
        <f>VLOOKUP(A244,DATA!$A$4:$V$350,22,0)</f>
        <v>0</v>
      </c>
      <c r="X244" s="96">
        <f t="shared" si="56"/>
        <v>0</v>
      </c>
      <c r="Y244" s="31">
        <f>ROUND(X244*PARAMETROS!$H$35,0)</f>
        <v>0</v>
      </c>
      <c r="Z244" s="31">
        <f t="shared" si="61"/>
        <v>0</v>
      </c>
      <c r="AA244" s="31">
        <f t="shared" si="62"/>
        <v>0</v>
      </c>
      <c r="AB244" s="31">
        <f t="shared" si="63"/>
        <v>0</v>
      </c>
      <c r="AC244" s="31">
        <f t="shared" si="63"/>
        <v>0</v>
      </c>
      <c r="AD244" s="38">
        <f t="shared" si="64"/>
        <v>0</v>
      </c>
    </row>
    <row r="245" spans="1:30" ht="3" customHeight="1" x14ac:dyDescent="0.25">
      <c r="A245">
        <v>11101</v>
      </c>
      <c r="B245">
        <v>11401</v>
      </c>
      <c r="C245" t="s">
        <v>501</v>
      </c>
      <c r="D245" s="6" t="str">
        <f>+DATA!U241</f>
        <v>No</v>
      </c>
      <c r="E245" s="361">
        <f t="shared" si="49"/>
        <v>0</v>
      </c>
      <c r="F245" s="95">
        <f t="shared" si="57"/>
        <v>0</v>
      </c>
      <c r="G245" s="31">
        <f>IF(OR(D245="SI",D245="Sí"),VLOOKUP(A245,DATA!$A$4:$D$350,4,0),0)</f>
        <v>0</v>
      </c>
      <c r="H245" s="95">
        <f>IF(OR(D245="SI",D245="Sí"),VLOOKUP(A245,DATA!$A$4:$E$350,5,0),0)</f>
        <v>0</v>
      </c>
      <c r="I245" s="31">
        <f t="shared" si="58"/>
        <v>0</v>
      </c>
      <c r="J245" s="361">
        <f t="shared" si="50"/>
        <v>0</v>
      </c>
      <c r="K245" s="361">
        <f t="shared" si="51"/>
        <v>0</v>
      </c>
      <c r="L245" s="31">
        <f>IF(OR(D245="SI",D245="Sí"),VLOOKUP(A245,DATA!$A$4:$G$350,7,0),0)</f>
        <v>0</v>
      </c>
      <c r="M245" s="31">
        <f>IF(OR(D245="SI",D245="Sí"),VLOOKUP(A245,DATA!$A$4:$H$350,8,0),0)</f>
        <v>0</v>
      </c>
      <c r="N245" s="361">
        <f t="shared" si="52"/>
        <v>0</v>
      </c>
      <c r="O245" s="361">
        <f t="shared" si="59"/>
        <v>0</v>
      </c>
      <c r="P245" s="361">
        <f t="shared" si="53"/>
        <v>0</v>
      </c>
      <c r="Q245" s="31">
        <f>IF(OR(D245="SI",D245="Sí"),VLOOKUP(A245,DATA!$A$4:$P$350,14,0),0)</f>
        <v>0</v>
      </c>
      <c r="R245" s="121">
        <f t="shared" si="60"/>
        <v>0</v>
      </c>
      <c r="S245" s="31">
        <f>IF(AND(R245&gt;0,R245&lt;$R$7),ROUND(($R$7-R245)*G245,PARAMETROS!$L$8),0)</f>
        <v>0</v>
      </c>
      <c r="T245" s="122">
        <f t="shared" si="54"/>
        <v>0</v>
      </c>
      <c r="U245" s="117">
        <f t="shared" si="55"/>
        <v>0</v>
      </c>
      <c r="V245" s="117">
        <f>VLOOKUP(A245,DATA!$A$4:$V$350,DATA!$V$1,0)</f>
        <v>0</v>
      </c>
      <c r="W245" s="117">
        <f>VLOOKUP(A245,DATA!$A$4:$V$350,22,0)</f>
        <v>0</v>
      </c>
      <c r="X245" s="96">
        <f t="shared" si="56"/>
        <v>0</v>
      </c>
      <c r="Y245" s="31">
        <f>ROUND(X245*PARAMETROS!$H$35,0)</f>
        <v>0</v>
      </c>
      <c r="Z245" s="31">
        <f t="shared" si="61"/>
        <v>0</v>
      </c>
      <c r="AA245" s="31">
        <f t="shared" si="62"/>
        <v>0</v>
      </c>
      <c r="AB245" s="31">
        <f t="shared" si="63"/>
        <v>0</v>
      </c>
      <c r="AC245" s="31">
        <f t="shared" si="63"/>
        <v>0</v>
      </c>
      <c r="AD245" s="38">
        <f t="shared" si="64"/>
        <v>0</v>
      </c>
    </row>
    <row r="246" spans="1:30" ht="3" customHeight="1" x14ac:dyDescent="0.25">
      <c r="A246">
        <v>11102</v>
      </c>
      <c r="B246">
        <v>11402</v>
      </c>
      <c r="C246" t="s">
        <v>265</v>
      </c>
      <c r="D246" s="6" t="str">
        <f>+DATA!U242</f>
        <v>No</v>
      </c>
      <c r="E246" s="361">
        <f t="shared" si="49"/>
        <v>0</v>
      </c>
      <c r="F246" s="95">
        <f t="shared" si="57"/>
        <v>0</v>
      </c>
      <c r="G246" s="31">
        <f>IF(OR(D246="SI",D246="Sí"),VLOOKUP(A246,DATA!$A$4:$D$350,4,0),0)</f>
        <v>0</v>
      </c>
      <c r="H246" s="95">
        <f>IF(OR(D246="SI",D246="Sí"),VLOOKUP(A246,DATA!$A$4:$E$350,5,0),0)</f>
        <v>0</v>
      </c>
      <c r="I246" s="31">
        <f t="shared" si="58"/>
        <v>0</v>
      </c>
      <c r="J246" s="361">
        <f t="shared" si="50"/>
        <v>0</v>
      </c>
      <c r="K246" s="361">
        <f t="shared" si="51"/>
        <v>0</v>
      </c>
      <c r="L246" s="31">
        <f>IF(OR(D246="SI",D246="Sí"),VLOOKUP(A246,DATA!$A$4:$G$350,7,0),0)</f>
        <v>0</v>
      </c>
      <c r="M246" s="31">
        <f>IF(OR(D246="SI",D246="Sí"),VLOOKUP(A246,DATA!$A$4:$H$350,8,0),0)</f>
        <v>0</v>
      </c>
      <c r="N246" s="361">
        <f t="shared" si="52"/>
        <v>0</v>
      </c>
      <c r="O246" s="361">
        <f t="shared" si="59"/>
        <v>0</v>
      </c>
      <c r="P246" s="361">
        <f t="shared" si="53"/>
        <v>0</v>
      </c>
      <c r="Q246" s="31">
        <f>IF(OR(D246="SI",D246="Sí"),VLOOKUP(A246,DATA!$A$4:$P$350,14,0),0)</f>
        <v>0</v>
      </c>
      <c r="R246" s="121">
        <f t="shared" si="60"/>
        <v>0</v>
      </c>
      <c r="S246" s="31">
        <f>IF(AND(R246&gt;0,R246&lt;$R$7),ROUND(($R$7-R246)*G246,PARAMETROS!$L$8),0)</f>
        <v>0</v>
      </c>
      <c r="T246" s="122">
        <f t="shared" si="54"/>
        <v>0</v>
      </c>
      <c r="U246" s="117">
        <f t="shared" si="55"/>
        <v>0</v>
      </c>
      <c r="V246" s="117">
        <f>VLOOKUP(A246,DATA!$A$4:$V$350,DATA!$V$1,0)</f>
        <v>0</v>
      </c>
      <c r="W246" s="117">
        <f>VLOOKUP(A246,DATA!$A$4:$V$350,22,0)</f>
        <v>0</v>
      </c>
      <c r="X246" s="96">
        <f t="shared" si="56"/>
        <v>0</v>
      </c>
      <c r="Y246" s="31">
        <f>ROUND(X246*PARAMETROS!$H$35,0)</f>
        <v>0</v>
      </c>
      <c r="Z246" s="31">
        <f t="shared" si="61"/>
        <v>0</v>
      </c>
      <c r="AA246" s="31">
        <f t="shared" si="62"/>
        <v>0</v>
      </c>
      <c r="AB246" s="31">
        <f t="shared" si="63"/>
        <v>0</v>
      </c>
      <c r="AC246" s="31">
        <f t="shared" si="63"/>
        <v>0</v>
      </c>
      <c r="AD246" s="38">
        <f t="shared" si="64"/>
        <v>0</v>
      </c>
    </row>
    <row r="247" spans="1:30" ht="3" customHeight="1" x14ac:dyDescent="0.25">
      <c r="A247">
        <v>11201</v>
      </c>
      <c r="B247">
        <v>11101</v>
      </c>
      <c r="C247" t="s">
        <v>502</v>
      </c>
      <c r="D247" s="6" t="str">
        <f>+DATA!U243</f>
        <v>No</v>
      </c>
      <c r="E247" s="361">
        <f t="shared" si="49"/>
        <v>0</v>
      </c>
      <c r="F247" s="95">
        <f t="shared" si="57"/>
        <v>0</v>
      </c>
      <c r="G247" s="31">
        <f>IF(OR(D247="SI",D247="Sí"),VLOOKUP(A247,DATA!$A$4:$D$350,4,0),0)</f>
        <v>0</v>
      </c>
      <c r="H247" s="95">
        <f>IF(OR(D247="SI",D247="Sí"),VLOOKUP(A247,DATA!$A$4:$E$350,5,0),0)</f>
        <v>0</v>
      </c>
      <c r="I247" s="31">
        <f t="shared" si="58"/>
        <v>0</v>
      </c>
      <c r="J247" s="361">
        <f t="shared" si="50"/>
        <v>0</v>
      </c>
      <c r="K247" s="361">
        <f t="shared" si="51"/>
        <v>0</v>
      </c>
      <c r="L247" s="31">
        <f>IF(OR(D247="SI",D247="Sí"),VLOOKUP(A247,DATA!$A$4:$G$350,7,0),0)</f>
        <v>0</v>
      </c>
      <c r="M247" s="31">
        <f>IF(OR(D247="SI",D247="Sí"),VLOOKUP(A247,DATA!$A$4:$H$350,8,0),0)</f>
        <v>0</v>
      </c>
      <c r="N247" s="361">
        <f t="shared" si="52"/>
        <v>0</v>
      </c>
      <c r="O247" s="361">
        <f t="shared" si="59"/>
        <v>0</v>
      </c>
      <c r="P247" s="361">
        <f t="shared" si="53"/>
        <v>0</v>
      </c>
      <c r="Q247" s="31">
        <f>IF(OR(D247="SI",D247="Sí"),VLOOKUP(A247,DATA!$A$4:$P$350,14,0),0)</f>
        <v>0</v>
      </c>
      <c r="R247" s="121">
        <f t="shared" si="60"/>
        <v>0</v>
      </c>
      <c r="S247" s="31">
        <f>IF(AND(R247&gt;0,R247&lt;$R$7),ROUND(($R$7-R247)*G247,PARAMETROS!$L$8),0)</f>
        <v>0</v>
      </c>
      <c r="T247" s="122">
        <f t="shared" si="54"/>
        <v>0</v>
      </c>
      <c r="U247" s="117">
        <f t="shared" si="55"/>
        <v>0</v>
      </c>
      <c r="V247" s="117">
        <f>VLOOKUP(A247,DATA!$A$4:$V$350,DATA!$V$1,0)</f>
        <v>0</v>
      </c>
      <c r="W247" s="117">
        <f>VLOOKUP(A247,DATA!$A$4:$V$350,22,0)</f>
        <v>0</v>
      </c>
      <c r="X247" s="96">
        <f t="shared" si="56"/>
        <v>0</v>
      </c>
      <c r="Y247" s="31">
        <f>ROUND(X247*PARAMETROS!$H$35,0)</f>
        <v>0</v>
      </c>
      <c r="Z247" s="31">
        <f t="shared" si="61"/>
        <v>0</v>
      </c>
      <c r="AA247" s="31">
        <f t="shared" si="62"/>
        <v>0</v>
      </c>
      <c r="AB247" s="31">
        <f t="shared" si="63"/>
        <v>0</v>
      </c>
      <c r="AC247" s="31">
        <f t="shared" si="63"/>
        <v>0</v>
      </c>
      <c r="AD247" s="38">
        <f t="shared" si="64"/>
        <v>0</v>
      </c>
    </row>
    <row r="248" spans="1:30" ht="3" customHeight="1" x14ac:dyDescent="0.25">
      <c r="A248">
        <v>11202</v>
      </c>
      <c r="B248">
        <v>11102</v>
      </c>
      <c r="C248" t="s">
        <v>260</v>
      </c>
      <c r="D248" s="6" t="str">
        <f>+DATA!U244</f>
        <v>No</v>
      </c>
      <c r="E248" s="361">
        <f t="shared" si="49"/>
        <v>0</v>
      </c>
      <c r="F248" s="95">
        <f t="shared" si="57"/>
        <v>0</v>
      </c>
      <c r="G248" s="31">
        <f>IF(OR(D248="SI",D248="Sí"),VLOOKUP(A248,DATA!$A$4:$D$350,4,0),0)</f>
        <v>0</v>
      </c>
      <c r="H248" s="95">
        <f>IF(OR(D248="SI",D248="Sí"),VLOOKUP(A248,DATA!$A$4:$E$350,5,0),0)</f>
        <v>0</v>
      </c>
      <c r="I248" s="31">
        <f t="shared" si="58"/>
        <v>0</v>
      </c>
      <c r="J248" s="361">
        <f t="shared" si="50"/>
        <v>0</v>
      </c>
      <c r="K248" s="361">
        <f t="shared" si="51"/>
        <v>0</v>
      </c>
      <c r="L248" s="31">
        <f>IF(OR(D248="SI",D248="Sí"),VLOOKUP(A248,DATA!$A$4:$G$350,7,0),0)</f>
        <v>0</v>
      </c>
      <c r="M248" s="31">
        <f>IF(OR(D248="SI",D248="Sí"),VLOOKUP(A248,DATA!$A$4:$H$350,8,0),0)</f>
        <v>0</v>
      </c>
      <c r="N248" s="361">
        <f t="shared" si="52"/>
        <v>0</v>
      </c>
      <c r="O248" s="361">
        <f t="shared" si="59"/>
        <v>0</v>
      </c>
      <c r="P248" s="361">
        <f t="shared" si="53"/>
        <v>0</v>
      </c>
      <c r="Q248" s="31">
        <f>IF(OR(D248="SI",D248="Sí"),VLOOKUP(A248,DATA!$A$4:$P$350,14,0),0)</f>
        <v>0</v>
      </c>
      <c r="R248" s="121">
        <f t="shared" si="60"/>
        <v>0</v>
      </c>
      <c r="S248" s="31">
        <f>IF(AND(R248&gt;0,R248&lt;$R$7),ROUND(($R$7-R248)*G248,PARAMETROS!$L$8),0)</f>
        <v>0</v>
      </c>
      <c r="T248" s="122">
        <f t="shared" si="54"/>
        <v>0</v>
      </c>
      <c r="U248" s="117">
        <f t="shared" si="55"/>
        <v>0</v>
      </c>
      <c r="V248" s="117">
        <f>VLOOKUP(A248,DATA!$A$4:$V$350,DATA!$V$1,0)</f>
        <v>0</v>
      </c>
      <c r="W248" s="117">
        <f>VLOOKUP(A248,DATA!$A$4:$V$350,22,0)</f>
        <v>0</v>
      </c>
      <c r="X248" s="96">
        <f t="shared" si="56"/>
        <v>0</v>
      </c>
      <c r="Y248" s="31">
        <f>ROUND(X248*PARAMETROS!$H$35,0)</f>
        <v>0</v>
      </c>
      <c r="Z248" s="31">
        <f t="shared" si="61"/>
        <v>0</v>
      </c>
      <c r="AA248" s="31">
        <f t="shared" si="62"/>
        <v>0</v>
      </c>
      <c r="AB248" s="31">
        <f t="shared" si="63"/>
        <v>0</v>
      </c>
      <c r="AC248" s="31">
        <f t="shared" si="63"/>
        <v>0</v>
      </c>
      <c r="AD248" s="38">
        <f t="shared" si="64"/>
        <v>0</v>
      </c>
    </row>
    <row r="249" spans="1:30" ht="3" customHeight="1" x14ac:dyDescent="0.25">
      <c r="A249">
        <v>11203</v>
      </c>
      <c r="B249">
        <v>11104</v>
      </c>
      <c r="C249" t="s">
        <v>261</v>
      </c>
      <c r="D249" s="6" t="str">
        <f>+DATA!U245</f>
        <v>No</v>
      </c>
      <c r="E249" s="361">
        <f t="shared" si="49"/>
        <v>0</v>
      </c>
      <c r="F249" s="95">
        <f t="shared" si="57"/>
        <v>0</v>
      </c>
      <c r="G249" s="31">
        <f>IF(OR(D249="SI",D249="Sí"),VLOOKUP(A249,DATA!$A$4:$D$350,4,0),0)</f>
        <v>0</v>
      </c>
      <c r="H249" s="95">
        <f>IF(OR(D249="SI",D249="Sí"),VLOOKUP(A249,DATA!$A$4:$E$350,5,0),0)</f>
        <v>0</v>
      </c>
      <c r="I249" s="31">
        <f t="shared" si="58"/>
        <v>0</v>
      </c>
      <c r="J249" s="361">
        <f t="shared" si="50"/>
        <v>0</v>
      </c>
      <c r="K249" s="361">
        <f t="shared" si="51"/>
        <v>0</v>
      </c>
      <c r="L249" s="31">
        <f>IF(OR(D249="SI",D249="Sí"),VLOOKUP(A249,DATA!$A$4:$G$350,7,0),0)</f>
        <v>0</v>
      </c>
      <c r="M249" s="31">
        <f>IF(OR(D249="SI",D249="Sí"),VLOOKUP(A249,DATA!$A$4:$H$350,8,0),0)</f>
        <v>0</v>
      </c>
      <c r="N249" s="361">
        <f t="shared" si="52"/>
        <v>0</v>
      </c>
      <c r="O249" s="361">
        <f t="shared" si="59"/>
        <v>0</v>
      </c>
      <c r="P249" s="361">
        <f t="shared" si="53"/>
        <v>0</v>
      </c>
      <c r="Q249" s="31">
        <f>IF(OR(D249="SI",D249="Sí"),VLOOKUP(A249,DATA!$A$4:$P$350,14,0),0)</f>
        <v>0</v>
      </c>
      <c r="R249" s="121">
        <f t="shared" si="60"/>
        <v>0</v>
      </c>
      <c r="S249" s="31">
        <f>IF(AND(R249&gt;0,R249&lt;$R$7),ROUND(($R$7-R249)*G249,PARAMETROS!$L$8),0)</f>
        <v>0</v>
      </c>
      <c r="T249" s="122">
        <f t="shared" si="54"/>
        <v>0</v>
      </c>
      <c r="U249" s="117">
        <f t="shared" si="55"/>
        <v>0</v>
      </c>
      <c r="V249" s="117">
        <f>VLOOKUP(A249,DATA!$A$4:$V$350,DATA!$V$1,0)</f>
        <v>0</v>
      </c>
      <c r="W249" s="117">
        <f>VLOOKUP(A249,DATA!$A$4:$V$350,22,0)</f>
        <v>0</v>
      </c>
      <c r="X249" s="96">
        <f t="shared" si="56"/>
        <v>0</v>
      </c>
      <c r="Y249" s="31">
        <f>ROUND(X249*PARAMETROS!$H$35,0)</f>
        <v>0</v>
      </c>
      <c r="Z249" s="31">
        <f t="shared" si="61"/>
        <v>0</v>
      </c>
      <c r="AA249" s="31">
        <f t="shared" si="62"/>
        <v>0</v>
      </c>
      <c r="AB249" s="31">
        <f t="shared" si="63"/>
        <v>0</v>
      </c>
      <c r="AC249" s="31">
        <f t="shared" si="63"/>
        <v>0</v>
      </c>
      <c r="AD249" s="38">
        <f t="shared" si="64"/>
        <v>0</v>
      </c>
    </row>
    <row r="250" spans="1:30" ht="3" customHeight="1" x14ac:dyDescent="0.25">
      <c r="A250">
        <v>11301</v>
      </c>
      <c r="B250">
        <v>11301</v>
      </c>
      <c r="C250" t="s">
        <v>263</v>
      </c>
      <c r="D250" s="6" t="str">
        <f>+DATA!U246</f>
        <v>No</v>
      </c>
      <c r="E250" s="361">
        <f t="shared" si="49"/>
        <v>0</v>
      </c>
      <c r="F250" s="95">
        <f t="shared" si="57"/>
        <v>0</v>
      </c>
      <c r="G250" s="31">
        <f>IF(OR(D250="SI",D250="Sí"),VLOOKUP(A250,DATA!$A$4:$D$350,4,0),0)</f>
        <v>0</v>
      </c>
      <c r="H250" s="95">
        <f>IF(OR(D250="SI",D250="Sí"),VLOOKUP(A250,DATA!$A$4:$E$350,5,0),0)</f>
        <v>0</v>
      </c>
      <c r="I250" s="31">
        <f t="shared" si="58"/>
        <v>0</v>
      </c>
      <c r="J250" s="361">
        <f t="shared" si="50"/>
        <v>0</v>
      </c>
      <c r="K250" s="361">
        <f t="shared" si="51"/>
        <v>0</v>
      </c>
      <c r="L250" s="31">
        <f>IF(OR(D250="SI",D250="Sí"),VLOOKUP(A250,DATA!$A$4:$G$350,7,0),0)</f>
        <v>0</v>
      </c>
      <c r="M250" s="31">
        <f>IF(OR(D250="SI",D250="Sí"),VLOOKUP(A250,DATA!$A$4:$H$350,8,0),0)</f>
        <v>0</v>
      </c>
      <c r="N250" s="361">
        <f t="shared" si="52"/>
        <v>0</v>
      </c>
      <c r="O250" s="361">
        <f t="shared" si="59"/>
        <v>0</v>
      </c>
      <c r="P250" s="361">
        <f t="shared" si="53"/>
        <v>0</v>
      </c>
      <c r="Q250" s="31">
        <f>IF(OR(D250="SI",D250="Sí"),VLOOKUP(A250,DATA!$A$4:$P$350,14,0),0)</f>
        <v>0</v>
      </c>
      <c r="R250" s="121">
        <f t="shared" si="60"/>
        <v>0</v>
      </c>
      <c r="S250" s="31">
        <f>IF(AND(R250&gt;0,R250&lt;$R$7),ROUND(($R$7-R250)*G250,PARAMETROS!$L$8),0)</f>
        <v>0</v>
      </c>
      <c r="T250" s="122">
        <f t="shared" si="54"/>
        <v>0</v>
      </c>
      <c r="U250" s="117">
        <f t="shared" si="55"/>
        <v>0</v>
      </c>
      <c r="V250" s="117">
        <f>VLOOKUP(A250,DATA!$A$4:$V$350,DATA!$V$1,0)</f>
        <v>0</v>
      </c>
      <c r="W250" s="117">
        <f>VLOOKUP(A250,DATA!$A$4:$V$350,22,0)</f>
        <v>0</v>
      </c>
      <c r="X250" s="96">
        <f t="shared" si="56"/>
        <v>0</v>
      </c>
      <c r="Y250" s="31">
        <f>ROUND(X250*PARAMETROS!$H$35,0)</f>
        <v>0</v>
      </c>
      <c r="Z250" s="31">
        <f t="shared" si="61"/>
        <v>0</v>
      </c>
      <c r="AA250" s="31">
        <f t="shared" si="62"/>
        <v>0</v>
      </c>
      <c r="AB250" s="31">
        <f t="shared" si="63"/>
        <v>0</v>
      </c>
      <c r="AC250" s="31">
        <f t="shared" si="63"/>
        <v>0</v>
      </c>
      <c r="AD250" s="38">
        <f t="shared" si="64"/>
        <v>0</v>
      </c>
    </row>
    <row r="251" spans="1:30" ht="3" customHeight="1" x14ac:dyDescent="0.25">
      <c r="A251">
        <v>11302</v>
      </c>
      <c r="B251">
        <v>11302</v>
      </c>
      <c r="C251" t="s">
        <v>490</v>
      </c>
      <c r="D251" s="6" t="str">
        <f>+DATA!U247</f>
        <v>No</v>
      </c>
      <c r="E251" s="361">
        <f t="shared" si="49"/>
        <v>0</v>
      </c>
      <c r="F251" s="95">
        <f t="shared" si="57"/>
        <v>0</v>
      </c>
      <c r="G251" s="31">
        <f>IF(OR(D251="SI",D251="Sí"),VLOOKUP(A251,DATA!$A$4:$D$350,4,0),0)</f>
        <v>0</v>
      </c>
      <c r="H251" s="95">
        <f>IF(OR(D251="SI",D251="Sí"),VLOOKUP(A251,DATA!$A$4:$E$350,5,0),0)</f>
        <v>0</v>
      </c>
      <c r="I251" s="31">
        <f t="shared" si="58"/>
        <v>0</v>
      </c>
      <c r="J251" s="361">
        <f t="shared" si="50"/>
        <v>0</v>
      </c>
      <c r="K251" s="361">
        <f t="shared" si="51"/>
        <v>0</v>
      </c>
      <c r="L251" s="31">
        <f>IF(OR(D251="SI",D251="Sí"),VLOOKUP(A251,DATA!$A$4:$G$350,7,0),0)</f>
        <v>0</v>
      </c>
      <c r="M251" s="31">
        <f>IF(OR(D251="SI",D251="Sí"),VLOOKUP(A251,DATA!$A$4:$H$350,8,0),0)</f>
        <v>0</v>
      </c>
      <c r="N251" s="361">
        <f t="shared" si="52"/>
        <v>0</v>
      </c>
      <c r="O251" s="361">
        <f t="shared" si="59"/>
        <v>0</v>
      </c>
      <c r="P251" s="361">
        <f t="shared" si="53"/>
        <v>0</v>
      </c>
      <c r="Q251" s="31">
        <f>IF(OR(D251="SI",D251="Sí"),VLOOKUP(A251,DATA!$A$4:$P$350,14,0),0)</f>
        <v>0</v>
      </c>
      <c r="R251" s="121">
        <f t="shared" si="60"/>
        <v>0</v>
      </c>
      <c r="S251" s="31">
        <f>IF(AND(R251&gt;0,R251&lt;$R$7),ROUND(($R$7-R251)*G251,PARAMETROS!$L$8),0)</f>
        <v>0</v>
      </c>
      <c r="T251" s="122">
        <f t="shared" si="54"/>
        <v>0</v>
      </c>
      <c r="U251" s="117">
        <f t="shared" si="55"/>
        <v>0</v>
      </c>
      <c r="V251" s="117">
        <f>VLOOKUP(A251,DATA!$A$4:$V$350,DATA!$V$1,0)</f>
        <v>0</v>
      </c>
      <c r="W251" s="117">
        <f>VLOOKUP(A251,DATA!$A$4:$V$350,22,0)</f>
        <v>0</v>
      </c>
      <c r="X251" s="96">
        <f t="shared" si="56"/>
        <v>0</v>
      </c>
      <c r="Y251" s="31">
        <f>ROUND(X251*PARAMETROS!$H$35,0)</f>
        <v>0</v>
      </c>
      <c r="Z251" s="31">
        <f t="shared" si="61"/>
        <v>0</v>
      </c>
      <c r="AA251" s="31">
        <f t="shared" si="62"/>
        <v>0</v>
      </c>
      <c r="AB251" s="31">
        <f t="shared" si="63"/>
        <v>0</v>
      </c>
      <c r="AC251" s="31">
        <f t="shared" si="63"/>
        <v>0</v>
      </c>
      <c r="AD251" s="38">
        <f t="shared" si="64"/>
        <v>0</v>
      </c>
    </row>
    <row r="252" spans="1:30" ht="3" customHeight="1" x14ac:dyDescent="0.25">
      <c r="A252">
        <v>11303</v>
      </c>
      <c r="B252">
        <v>11303</v>
      </c>
      <c r="C252" t="s">
        <v>264</v>
      </c>
      <c r="D252" s="6" t="str">
        <f>+DATA!U248</f>
        <v>No</v>
      </c>
      <c r="E252" s="361">
        <f t="shared" si="49"/>
        <v>0</v>
      </c>
      <c r="F252" s="95">
        <f t="shared" si="57"/>
        <v>0</v>
      </c>
      <c r="G252" s="31">
        <f>IF(OR(D252="SI",D252="Sí"),VLOOKUP(A252,DATA!$A$4:$D$350,4,0),0)</f>
        <v>0</v>
      </c>
      <c r="H252" s="95">
        <f>IF(OR(D252="SI",D252="Sí"),VLOOKUP(A252,DATA!$A$4:$E$350,5,0),0)</f>
        <v>0</v>
      </c>
      <c r="I252" s="31">
        <f t="shared" si="58"/>
        <v>0</v>
      </c>
      <c r="J252" s="361">
        <f t="shared" si="50"/>
        <v>0</v>
      </c>
      <c r="K252" s="361">
        <f t="shared" si="51"/>
        <v>0</v>
      </c>
      <c r="L252" s="31">
        <f>IF(OR(D252="SI",D252="Sí"),VLOOKUP(A252,DATA!$A$4:$G$350,7,0),0)</f>
        <v>0</v>
      </c>
      <c r="M252" s="31">
        <f>IF(OR(D252="SI",D252="Sí"),VLOOKUP(A252,DATA!$A$4:$H$350,8,0),0)</f>
        <v>0</v>
      </c>
      <c r="N252" s="361">
        <f t="shared" si="52"/>
        <v>0</v>
      </c>
      <c r="O252" s="361">
        <f t="shared" si="59"/>
        <v>0</v>
      </c>
      <c r="P252" s="361">
        <f t="shared" si="53"/>
        <v>0</v>
      </c>
      <c r="Q252" s="31">
        <f>IF(OR(D252="SI",D252="Sí"),VLOOKUP(A252,DATA!$A$4:$P$350,14,0),0)</f>
        <v>0</v>
      </c>
      <c r="R252" s="121">
        <f t="shared" si="60"/>
        <v>0</v>
      </c>
      <c r="S252" s="31">
        <f>IF(AND(R252&gt;0,R252&lt;$R$7),ROUND(($R$7-R252)*G252,PARAMETROS!$L$8),0)</f>
        <v>0</v>
      </c>
      <c r="T252" s="122">
        <f t="shared" si="54"/>
        <v>0</v>
      </c>
      <c r="U252" s="117">
        <f t="shared" si="55"/>
        <v>0</v>
      </c>
      <c r="V252" s="117">
        <f>VLOOKUP(A252,DATA!$A$4:$V$350,DATA!$V$1,0)</f>
        <v>0</v>
      </c>
      <c r="W252" s="117">
        <f>VLOOKUP(A252,DATA!$A$4:$V$350,22,0)</f>
        <v>0</v>
      </c>
      <c r="X252" s="96">
        <f t="shared" si="56"/>
        <v>0</v>
      </c>
      <c r="Y252" s="31">
        <f>ROUND(X252*PARAMETROS!$H$35,0)</f>
        <v>0</v>
      </c>
      <c r="Z252" s="31">
        <f t="shared" si="61"/>
        <v>0</v>
      </c>
      <c r="AA252" s="31">
        <f t="shared" si="62"/>
        <v>0</v>
      </c>
      <c r="AB252" s="31">
        <f t="shared" si="63"/>
        <v>0</v>
      </c>
      <c r="AC252" s="31">
        <f t="shared" si="63"/>
        <v>0</v>
      </c>
      <c r="AD252" s="38">
        <f t="shared" si="64"/>
        <v>0</v>
      </c>
    </row>
    <row r="253" spans="1:30" ht="3" customHeight="1" x14ac:dyDescent="0.25">
      <c r="A253">
        <v>11401</v>
      </c>
      <c r="B253">
        <v>11201</v>
      </c>
      <c r="C253" t="s">
        <v>262</v>
      </c>
      <c r="D253" s="6" t="str">
        <f>+DATA!U249</f>
        <v>No</v>
      </c>
      <c r="E253" s="361">
        <f t="shared" si="49"/>
        <v>0</v>
      </c>
      <c r="F253" s="95">
        <f t="shared" si="57"/>
        <v>0</v>
      </c>
      <c r="G253" s="31">
        <f>IF(OR(D253="SI",D253="Sí"),VLOOKUP(A253,DATA!$A$4:$D$350,4,0),0)</f>
        <v>0</v>
      </c>
      <c r="H253" s="95">
        <f>IF(OR(D253="SI",D253="Sí"),VLOOKUP(A253,DATA!$A$4:$E$350,5,0),0)</f>
        <v>0</v>
      </c>
      <c r="I253" s="31">
        <f t="shared" si="58"/>
        <v>0</v>
      </c>
      <c r="J253" s="361">
        <f t="shared" si="50"/>
        <v>0</v>
      </c>
      <c r="K253" s="361">
        <f t="shared" si="51"/>
        <v>0</v>
      </c>
      <c r="L253" s="31">
        <f>IF(OR(D253="SI",D253="Sí"),VLOOKUP(A253,DATA!$A$4:$G$350,7,0),0)</f>
        <v>0</v>
      </c>
      <c r="M253" s="31">
        <f>IF(OR(D253="SI",D253="Sí"),VLOOKUP(A253,DATA!$A$4:$H$350,8,0),0)</f>
        <v>0</v>
      </c>
      <c r="N253" s="361">
        <f t="shared" si="52"/>
        <v>0</v>
      </c>
      <c r="O253" s="361">
        <f t="shared" si="59"/>
        <v>0</v>
      </c>
      <c r="P253" s="361">
        <f t="shared" si="53"/>
        <v>0</v>
      </c>
      <c r="Q253" s="31">
        <f>IF(OR(D253="SI",D253="Sí"),VLOOKUP(A253,DATA!$A$4:$P$350,14,0),0)</f>
        <v>0</v>
      </c>
      <c r="R253" s="121">
        <f t="shared" si="60"/>
        <v>0</v>
      </c>
      <c r="S253" s="31">
        <f>IF(AND(R253&gt;0,R253&lt;$R$7),ROUND(($R$7-R253)*G253,PARAMETROS!$L$8),0)</f>
        <v>0</v>
      </c>
      <c r="T253" s="122">
        <f t="shared" si="54"/>
        <v>0</v>
      </c>
      <c r="U253" s="117">
        <f t="shared" si="55"/>
        <v>0</v>
      </c>
      <c r="V253" s="117">
        <f>VLOOKUP(A253,DATA!$A$4:$V$350,DATA!$V$1,0)</f>
        <v>0</v>
      </c>
      <c r="W253" s="117">
        <f>VLOOKUP(A253,DATA!$A$4:$V$350,22,0)</f>
        <v>0</v>
      </c>
      <c r="X253" s="96">
        <f t="shared" si="56"/>
        <v>0</v>
      </c>
      <c r="Y253" s="31">
        <f>ROUND(X253*PARAMETROS!$H$35,0)</f>
        <v>0</v>
      </c>
      <c r="Z253" s="31">
        <f t="shared" si="61"/>
        <v>0</v>
      </c>
      <c r="AA253" s="31">
        <f t="shared" si="62"/>
        <v>0</v>
      </c>
      <c r="AB253" s="31">
        <f t="shared" si="63"/>
        <v>0</v>
      </c>
      <c r="AC253" s="31">
        <f t="shared" si="63"/>
        <v>0</v>
      </c>
      <c r="AD253" s="38">
        <f t="shared" si="64"/>
        <v>0</v>
      </c>
    </row>
    <row r="254" spans="1:30" ht="3" customHeight="1" x14ac:dyDescent="0.25">
      <c r="A254">
        <v>11402</v>
      </c>
      <c r="B254">
        <v>11203</v>
      </c>
      <c r="C254" t="s">
        <v>423</v>
      </c>
      <c r="D254" s="6" t="str">
        <f>+DATA!U250</f>
        <v>No</v>
      </c>
      <c r="E254" s="361">
        <f t="shared" si="49"/>
        <v>0</v>
      </c>
      <c r="F254" s="95">
        <f t="shared" si="57"/>
        <v>0</v>
      </c>
      <c r="G254" s="31">
        <f>IF(OR(D254="SI",D254="Sí"),VLOOKUP(A254,DATA!$A$4:$D$350,4,0),0)</f>
        <v>0</v>
      </c>
      <c r="H254" s="95">
        <f>IF(OR(D254="SI",D254="Sí"),VLOOKUP(A254,DATA!$A$4:$E$350,5,0),0)</f>
        <v>0</v>
      </c>
      <c r="I254" s="31">
        <f t="shared" si="58"/>
        <v>0</v>
      </c>
      <c r="J254" s="361">
        <f t="shared" si="50"/>
        <v>0</v>
      </c>
      <c r="K254" s="361">
        <f t="shared" si="51"/>
        <v>0</v>
      </c>
      <c r="L254" s="31">
        <f>IF(OR(D254="SI",D254="Sí"),VLOOKUP(A254,DATA!$A$4:$G$350,7,0),0)</f>
        <v>0</v>
      </c>
      <c r="M254" s="31">
        <f>IF(OR(D254="SI",D254="Sí"),VLOOKUP(A254,DATA!$A$4:$H$350,8,0),0)</f>
        <v>0</v>
      </c>
      <c r="N254" s="361">
        <f t="shared" si="52"/>
        <v>0</v>
      </c>
      <c r="O254" s="361">
        <f t="shared" si="59"/>
        <v>0</v>
      </c>
      <c r="P254" s="361">
        <f t="shared" si="53"/>
        <v>0</v>
      </c>
      <c r="Q254" s="31">
        <f>IF(OR(D254="SI",D254="Sí"),VLOOKUP(A254,DATA!$A$4:$P$350,14,0),0)</f>
        <v>0</v>
      </c>
      <c r="R254" s="121">
        <f t="shared" si="60"/>
        <v>0</v>
      </c>
      <c r="S254" s="31">
        <f>IF(AND(R254&gt;0,R254&lt;$R$7),ROUND(($R$7-R254)*G254,PARAMETROS!$L$8),0)</f>
        <v>0</v>
      </c>
      <c r="T254" s="122">
        <f t="shared" si="54"/>
        <v>0</v>
      </c>
      <c r="U254" s="117">
        <f t="shared" si="55"/>
        <v>0</v>
      </c>
      <c r="V254" s="117">
        <f>VLOOKUP(A254,DATA!$A$4:$V$350,DATA!$V$1,0)</f>
        <v>0</v>
      </c>
      <c r="W254" s="117">
        <f>VLOOKUP(A254,DATA!$A$4:$V$350,22,0)</f>
        <v>0</v>
      </c>
      <c r="X254" s="96">
        <f t="shared" si="56"/>
        <v>0</v>
      </c>
      <c r="Y254" s="31">
        <f>ROUND(X254*PARAMETROS!$H$35,0)</f>
        <v>0</v>
      </c>
      <c r="Z254" s="31">
        <f t="shared" si="61"/>
        <v>0</v>
      </c>
      <c r="AA254" s="31">
        <f t="shared" si="62"/>
        <v>0</v>
      </c>
      <c r="AB254" s="31">
        <f t="shared" si="63"/>
        <v>0</v>
      </c>
      <c r="AC254" s="31">
        <f t="shared" si="63"/>
        <v>0</v>
      </c>
      <c r="AD254" s="38">
        <f t="shared" si="64"/>
        <v>0</v>
      </c>
    </row>
    <row r="255" spans="1:30" ht="3" customHeight="1" x14ac:dyDescent="0.25">
      <c r="A255">
        <v>12101</v>
      </c>
      <c r="B255">
        <v>12205</v>
      </c>
      <c r="C255" t="s">
        <v>268</v>
      </c>
      <c r="D255" s="6" t="str">
        <f>+DATA!U251</f>
        <v>No</v>
      </c>
      <c r="E255" s="361">
        <f t="shared" si="49"/>
        <v>0</v>
      </c>
      <c r="F255" s="95">
        <f t="shared" si="57"/>
        <v>0</v>
      </c>
      <c r="G255" s="31">
        <f>IF(OR(D255="SI",D255="Sí"),VLOOKUP(A255,DATA!$A$4:$D$350,4,0),0)</f>
        <v>0</v>
      </c>
      <c r="H255" s="95">
        <f>IF(OR(D255="SI",D255="Sí"),VLOOKUP(A255,DATA!$A$4:$E$350,5,0),0)</f>
        <v>0</v>
      </c>
      <c r="I255" s="31">
        <f t="shared" si="58"/>
        <v>0</v>
      </c>
      <c r="J255" s="361">
        <f t="shared" si="50"/>
        <v>0</v>
      </c>
      <c r="K255" s="361">
        <f t="shared" si="51"/>
        <v>0</v>
      </c>
      <c r="L255" s="31">
        <f>IF(OR(D255="SI",D255="Sí"),VLOOKUP(A255,DATA!$A$4:$G$350,7,0),0)</f>
        <v>0</v>
      </c>
      <c r="M255" s="31">
        <f>IF(OR(D255="SI",D255="Sí"),VLOOKUP(A255,DATA!$A$4:$H$350,8,0),0)</f>
        <v>0</v>
      </c>
      <c r="N255" s="361">
        <f t="shared" si="52"/>
        <v>0</v>
      </c>
      <c r="O255" s="361">
        <f t="shared" si="59"/>
        <v>0</v>
      </c>
      <c r="P255" s="361">
        <f t="shared" si="53"/>
        <v>0</v>
      </c>
      <c r="Q255" s="31">
        <f>IF(OR(D255="SI",D255="Sí"),VLOOKUP(A255,DATA!$A$4:$P$350,14,0),0)</f>
        <v>0</v>
      </c>
      <c r="R255" s="121">
        <f t="shared" si="60"/>
        <v>0</v>
      </c>
      <c r="S255" s="31">
        <f>IF(AND(R255&gt;0,R255&lt;$R$7),ROUND(($R$7-R255)*G255,PARAMETROS!$L$8),0)</f>
        <v>0</v>
      </c>
      <c r="T255" s="122">
        <f t="shared" si="54"/>
        <v>0</v>
      </c>
      <c r="U255" s="117">
        <f t="shared" si="55"/>
        <v>0</v>
      </c>
      <c r="V255" s="117">
        <f>VLOOKUP(A255,DATA!$A$4:$V$350,DATA!$V$1,0)</f>
        <v>0</v>
      </c>
      <c r="W255" s="117">
        <f>VLOOKUP(A255,DATA!$A$4:$V$350,22,0)</f>
        <v>0</v>
      </c>
      <c r="X255" s="96">
        <f t="shared" si="56"/>
        <v>0</v>
      </c>
      <c r="Y255" s="31">
        <f>ROUND(X255*PARAMETROS!$H$35,0)</f>
        <v>0</v>
      </c>
      <c r="Z255" s="31">
        <f t="shared" si="61"/>
        <v>0</v>
      </c>
      <c r="AA255" s="31">
        <f t="shared" si="62"/>
        <v>0</v>
      </c>
      <c r="AB255" s="31">
        <f t="shared" si="63"/>
        <v>0</v>
      </c>
      <c r="AC255" s="31">
        <f t="shared" si="63"/>
        <v>0</v>
      </c>
      <c r="AD255" s="38">
        <f t="shared" si="64"/>
        <v>0</v>
      </c>
    </row>
    <row r="256" spans="1:30" ht="3" customHeight="1" x14ac:dyDescent="0.25">
      <c r="A256">
        <v>12102</v>
      </c>
      <c r="B256">
        <v>12206</v>
      </c>
      <c r="C256" t="s">
        <v>269</v>
      </c>
      <c r="D256" s="6" t="str">
        <f>+DATA!U252</f>
        <v>No</v>
      </c>
      <c r="E256" s="361">
        <f t="shared" si="49"/>
        <v>0</v>
      </c>
      <c r="F256" s="95">
        <f t="shared" si="57"/>
        <v>0</v>
      </c>
      <c r="G256" s="31">
        <f>IF(OR(D256="SI",D256="Sí"),VLOOKUP(A256,DATA!$A$4:$D$350,4,0),0)</f>
        <v>0</v>
      </c>
      <c r="H256" s="95">
        <f>IF(OR(D256="SI",D256="Sí"),VLOOKUP(A256,DATA!$A$4:$E$350,5,0),0)</f>
        <v>0</v>
      </c>
      <c r="I256" s="31">
        <f t="shared" si="58"/>
        <v>0</v>
      </c>
      <c r="J256" s="361">
        <f t="shared" si="50"/>
        <v>0</v>
      </c>
      <c r="K256" s="361">
        <f t="shared" si="51"/>
        <v>0</v>
      </c>
      <c r="L256" s="31">
        <f>IF(OR(D256="SI",D256="Sí"),VLOOKUP(A256,DATA!$A$4:$G$350,7,0),0)</f>
        <v>0</v>
      </c>
      <c r="M256" s="31">
        <f>IF(OR(D256="SI",D256="Sí"),VLOOKUP(A256,DATA!$A$4:$H$350,8,0),0)</f>
        <v>0</v>
      </c>
      <c r="N256" s="361">
        <f t="shared" si="52"/>
        <v>0</v>
      </c>
      <c r="O256" s="361">
        <f t="shared" si="59"/>
        <v>0</v>
      </c>
      <c r="P256" s="361">
        <f t="shared" si="53"/>
        <v>0</v>
      </c>
      <c r="Q256" s="31">
        <f>IF(OR(D256="SI",D256="Sí"),VLOOKUP(A256,DATA!$A$4:$P$350,14,0),0)</f>
        <v>0</v>
      </c>
      <c r="R256" s="121">
        <f t="shared" si="60"/>
        <v>0</v>
      </c>
      <c r="S256" s="31">
        <f>IF(AND(R256&gt;0,R256&lt;$R$7),ROUND(($R$7-R256)*G256,PARAMETROS!$L$8),0)</f>
        <v>0</v>
      </c>
      <c r="T256" s="122">
        <f t="shared" si="54"/>
        <v>0</v>
      </c>
      <c r="U256" s="117">
        <f t="shared" si="55"/>
        <v>0</v>
      </c>
      <c r="V256" s="117">
        <f>VLOOKUP(A256,DATA!$A$4:$V$350,DATA!$V$1,0)</f>
        <v>0</v>
      </c>
      <c r="W256" s="117">
        <f>VLOOKUP(A256,DATA!$A$4:$V$350,22,0)</f>
        <v>0</v>
      </c>
      <c r="X256" s="96">
        <f t="shared" si="56"/>
        <v>0</v>
      </c>
      <c r="Y256" s="31">
        <f>ROUND(X256*PARAMETROS!$H$35,0)</f>
        <v>0</v>
      </c>
      <c r="Z256" s="31">
        <f t="shared" si="61"/>
        <v>0</v>
      </c>
      <c r="AA256" s="31">
        <f t="shared" si="62"/>
        <v>0</v>
      </c>
      <c r="AB256" s="31">
        <f t="shared" si="63"/>
        <v>0</v>
      </c>
      <c r="AC256" s="31">
        <f t="shared" si="63"/>
        <v>0</v>
      </c>
      <c r="AD256" s="38">
        <f t="shared" si="64"/>
        <v>0</v>
      </c>
    </row>
    <row r="257" spans="1:30" ht="3" customHeight="1" x14ac:dyDescent="0.25">
      <c r="A257">
        <v>12103</v>
      </c>
      <c r="B257">
        <v>12202</v>
      </c>
      <c r="C257" t="s">
        <v>424</v>
      </c>
      <c r="D257" s="6" t="str">
        <f>+DATA!U253</f>
        <v>No</v>
      </c>
      <c r="E257" s="361">
        <f t="shared" si="49"/>
        <v>0</v>
      </c>
      <c r="F257" s="95">
        <f t="shared" si="57"/>
        <v>0</v>
      </c>
      <c r="G257" s="31">
        <f>IF(OR(D257="SI",D257="Sí"),VLOOKUP(A257,DATA!$A$4:$D$350,4,0),0)</f>
        <v>0</v>
      </c>
      <c r="H257" s="95">
        <f>IF(OR(D257="SI",D257="Sí"),VLOOKUP(A257,DATA!$A$4:$E$350,5,0),0)</f>
        <v>0</v>
      </c>
      <c r="I257" s="31">
        <f t="shared" si="58"/>
        <v>0</v>
      </c>
      <c r="J257" s="361">
        <f t="shared" si="50"/>
        <v>0</v>
      </c>
      <c r="K257" s="361">
        <f t="shared" si="51"/>
        <v>0</v>
      </c>
      <c r="L257" s="31">
        <f>IF(OR(D257="SI",D257="Sí"),VLOOKUP(A257,DATA!$A$4:$G$350,7,0),0)</f>
        <v>0</v>
      </c>
      <c r="M257" s="31">
        <f>IF(OR(D257="SI",D257="Sí"),VLOOKUP(A257,DATA!$A$4:$H$350,8,0),0)</f>
        <v>0</v>
      </c>
      <c r="N257" s="361">
        <f t="shared" si="52"/>
        <v>0</v>
      </c>
      <c r="O257" s="361">
        <f t="shared" si="59"/>
        <v>0</v>
      </c>
      <c r="P257" s="361">
        <f t="shared" si="53"/>
        <v>0</v>
      </c>
      <c r="Q257" s="31">
        <f>IF(OR(D257="SI",D257="Sí"),VLOOKUP(A257,DATA!$A$4:$P$350,14,0),0)</f>
        <v>0</v>
      </c>
      <c r="R257" s="121">
        <f t="shared" si="60"/>
        <v>0</v>
      </c>
      <c r="S257" s="31">
        <f>IF(AND(R257&gt;0,R257&lt;$R$7),ROUND(($R$7-R257)*G257,PARAMETROS!$L$8),0)</f>
        <v>0</v>
      </c>
      <c r="T257" s="122">
        <f t="shared" si="54"/>
        <v>0</v>
      </c>
      <c r="U257" s="117">
        <f t="shared" si="55"/>
        <v>0</v>
      </c>
      <c r="V257" s="117">
        <f>VLOOKUP(A257,DATA!$A$4:$V$350,DATA!$V$1,0)</f>
        <v>0</v>
      </c>
      <c r="W257" s="117">
        <f>VLOOKUP(A257,DATA!$A$4:$V$350,22,0)</f>
        <v>0</v>
      </c>
      <c r="X257" s="96">
        <f t="shared" si="56"/>
        <v>0</v>
      </c>
      <c r="Y257" s="31">
        <f>ROUND(X257*PARAMETROS!$H$35,0)</f>
        <v>0</v>
      </c>
      <c r="Z257" s="31">
        <f t="shared" si="61"/>
        <v>0</v>
      </c>
      <c r="AA257" s="31">
        <f t="shared" si="62"/>
        <v>0</v>
      </c>
      <c r="AB257" s="31">
        <f t="shared" si="63"/>
        <v>0</v>
      </c>
      <c r="AC257" s="31">
        <f t="shared" si="63"/>
        <v>0</v>
      </c>
      <c r="AD257" s="38">
        <f t="shared" si="64"/>
        <v>0</v>
      </c>
    </row>
    <row r="258" spans="1:30" ht="3" customHeight="1" x14ac:dyDescent="0.25">
      <c r="A258">
        <v>12104</v>
      </c>
      <c r="B258">
        <v>12204</v>
      </c>
      <c r="C258" t="s">
        <v>267</v>
      </c>
      <c r="D258" s="6" t="str">
        <f>+DATA!U254</f>
        <v>No</v>
      </c>
      <c r="E258" s="361">
        <f t="shared" si="49"/>
        <v>0</v>
      </c>
      <c r="F258" s="95">
        <f t="shared" si="57"/>
        <v>0</v>
      </c>
      <c r="G258" s="31">
        <f>IF(OR(D258="SI",D258="Sí"),VLOOKUP(A258,DATA!$A$4:$D$350,4,0),0)</f>
        <v>0</v>
      </c>
      <c r="H258" s="95">
        <f>IF(OR(D258="SI",D258="Sí"),VLOOKUP(A258,DATA!$A$4:$E$350,5,0),0)</f>
        <v>0</v>
      </c>
      <c r="I258" s="31">
        <f t="shared" si="58"/>
        <v>0</v>
      </c>
      <c r="J258" s="361">
        <f t="shared" si="50"/>
        <v>0</v>
      </c>
      <c r="K258" s="361">
        <f t="shared" si="51"/>
        <v>0</v>
      </c>
      <c r="L258" s="31">
        <f>IF(OR(D258="SI",D258="Sí"),VLOOKUP(A258,DATA!$A$4:$G$350,7,0),0)</f>
        <v>0</v>
      </c>
      <c r="M258" s="31">
        <f>IF(OR(D258="SI",D258="Sí"),VLOOKUP(A258,DATA!$A$4:$H$350,8,0),0)</f>
        <v>0</v>
      </c>
      <c r="N258" s="361">
        <f t="shared" si="52"/>
        <v>0</v>
      </c>
      <c r="O258" s="361">
        <f t="shared" si="59"/>
        <v>0</v>
      </c>
      <c r="P258" s="361">
        <f t="shared" si="53"/>
        <v>0</v>
      </c>
      <c r="Q258" s="31">
        <f>IF(OR(D258="SI",D258="Sí"),VLOOKUP(A258,DATA!$A$4:$P$350,14,0),0)</f>
        <v>0</v>
      </c>
      <c r="R258" s="121">
        <f t="shared" si="60"/>
        <v>0</v>
      </c>
      <c r="S258" s="31">
        <f>IF(AND(R258&gt;0,R258&lt;$R$7),ROUND(($R$7-R258)*G258,PARAMETROS!$L$8),0)</f>
        <v>0</v>
      </c>
      <c r="T258" s="122">
        <f t="shared" si="54"/>
        <v>0</v>
      </c>
      <c r="U258" s="117">
        <f t="shared" si="55"/>
        <v>0</v>
      </c>
      <c r="V258" s="117">
        <f>VLOOKUP(A258,DATA!$A$4:$V$350,DATA!$V$1,0)</f>
        <v>0</v>
      </c>
      <c r="W258" s="117">
        <f>VLOOKUP(A258,DATA!$A$4:$V$350,22,0)</f>
        <v>0</v>
      </c>
      <c r="X258" s="96">
        <f t="shared" si="56"/>
        <v>0</v>
      </c>
      <c r="Y258" s="31">
        <f>ROUND(X258*PARAMETROS!$H$35,0)</f>
        <v>0</v>
      </c>
      <c r="Z258" s="31">
        <f t="shared" si="61"/>
        <v>0</v>
      </c>
      <c r="AA258" s="31">
        <f t="shared" si="62"/>
        <v>0</v>
      </c>
      <c r="AB258" s="31">
        <f t="shared" si="63"/>
        <v>0</v>
      </c>
      <c r="AC258" s="31">
        <f t="shared" si="63"/>
        <v>0</v>
      </c>
      <c r="AD258" s="38">
        <f t="shared" si="64"/>
        <v>0</v>
      </c>
    </row>
    <row r="259" spans="1:30" ht="3" customHeight="1" x14ac:dyDescent="0.25">
      <c r="A259">
        <v>12201</v>
      </c>
      <c r="B259">
        <v>12401</v>
      </c>
      <c r="C259" t="s">
        <v>273</v>
      </c>
      <c r="D259" s="6" t="str">
        <f>+DATA!U255</f>
        <v>No</v>
      </c>
      <c r="E259" s="361">
        <f t="shared" si="49"/>
        <v>0</v>
      </c>
      <c r="F259" s="95">
        <f t="shared" si="57"/>
        <v>0</v>
      </c>
      <c r="G259" s="31">
        <f>IF(OR(D259="SI",D259="Sí"),VLOOKUP(A259,DATA!$A$4:$D$350,4,0),0)</f>
        <v>0</v>
      </c>
      <c r="H259" s="95">
        <f>IF(OR(D259="SI",D259="Sí"),VLOOKUP(A259,DATA!$A$4:$E$350,5,0),0)</f>
        <v>0</v>
      </c>
      <c r="I259" s="31">
        <f t="shared" si="58"/>
        <v>0</v>
      </c>
      <c r="J259" s="361">
        <f t="shared" si="50"/>
        <v>0</v>
      </c>
      <c r="K259" s="361">
        <f t="shared" si="51"/>
        <v>0</v>
      </c>
      <c r="L259" s="31">
        <f>IF(OR(D259="SI",D259="Sí"),VLOOKUP(A259,DATA!$A$4:$G$350,7,0),0)</f>
        <v>0</v>
      </c>
      <c r="M259" s="31">
        <f>IF(OR(D259="SI",D259="Sí"),VLOOKUP(A259,DATA!$A$4:$H$350,8,0),0)</f>
        <v>0</v>
      </c>
      <c r="N259" s="361">
        <f t="shared" si="52"/>
        <v>0</v>
      </c>
      <c r="O259" s="361">
        <f t="shared" si="59"/>
        <v>0</v>
      </c>
      <c r="P259" s="361">
        <f t="shared" si="53"/>
        <v>0</v>
      </c>
      <c r="Q259" s="31">
        <f>IF(OR(D259="SI",D259="Sí"),VLOOKUP(A259,DATA!$A$4:$P$350,14,0),0)</f>
        <v>0</v>
      </c>
      <c r="R259" s="121">
        <f t="shared" si="60"/>
        <v>0</v>
      </c>
      <c r="S259" s="31">
        <f>IF(AND(R259&gt;0,R259&lt;$R$7),ROUND(($R$7-R259)*G259,PARAMETROS!$L$8),0)</f>
        <v>0</v>
      </c>
      <c r="T259" s="122">
        <f t="shared" si="54"/>
        <v>0</v>
      </c>
      <c r="U259" s="117">
        <f t="shared" si="55"/>
        <v>0</v>
      </c>
      <c r="V259" s="117">
        <f>VLOOKUP(A259,DATA!$A$4:$V$350,DATA!$V$1,0)</f>
        <v>0</v>
      </c>
      <c r="W259" s="117">
        <f>VLOOKUP(A259,DATA!$A$4:$V$350,22,0)</f>
        <v>0</v>
      </c>
      <c r="X259" s="96">
        <f t="shared" si="56"/>
        <v>0</v>
      </c>
      <c r="Y259" s="31">
        <f>ROUND(X259*PARAMETROS!$H$35,0)</f>
        <v>0</v>
      </c>
      <c r="Z259" s="31">
        <f t="shared" si="61"/>
        <v>0</v>
      </c>
      <c r="AA259" s="31">
        <f t="shared" si="62"/>
        <v>0</v>
      </c>
      <c r="AB259" s="31">
        <f t="shared" si="63"/>
        <v>0</v>
      </c>
      <c r="AC259" s="31">
        <f t="shared" si="63"/>
        <v>0</v>
      </c>
      <c r="AD259" s="38">
        <f t="shared" si="64"/>
        <v>0</v>
      </c>
    </row>
    <row r="260" spans="1:30" s="130" customFormat="1" ht="3" customHeight="1" x14ac:dyDescent="0.25">
      <c r="A260" s="130">
        <v>12202</v>
      </c>
      <c r="B260" s="130">
        <v>12402</v>
      </c>
      <c r="C260" s="130" t="s">
        <v>472</v>
      </c>
      <c r="D260" s="6" t="str">
        <f>+DATA!U256</f>
        <v>No</v>
      </c>
      <c r="E260" s="361">
        <f t="shared" si="49"/>
        <v>0</v>
      </c>
      <c r="F260" s="95">
        <f t="shared" si="57"/>
        <v>0</v>
      </c>
      <c r="G260" s="31">
        <f>IF(OR(D260="SI",D260="Sí"),VLOOKUP(A260,DATA!$A$4:$D$350,4,0),0)</f>
        <v>0</v>
      </c>
      <c r="H260" s="95">
        <f>IF(OR(D260="SI",D260="Sí"),VLOOKUP(A260,DATA!$A$4:$E$350,5,0),0)</f>
        <v>0</v>
      </c>
      <c r="I260" s="31">
        <f t="shared" si="58"/>
        <v>0</v>
      </c>
      <c r="J260" s="361">
        <f t="shared" si="50"/>
        <v>0</v>
      </c>
      <c r="K260" s="361">
        <f t="shared" si="51"/>
        <v>0</v>
      </c>
      <c r="L260" s="31">
        <f>IF(OR(D260="SI",D260="Sí"),VLOOKUP(A260,DATA!$A$4:$G$350,7,0),0)</f>
        <v>0</v>
      </c>
      <c r="M260" s="31">
        <f>IF(OR(D260="SI",D260="Sí"),VLOOKUP(A260,DATA!$A$4:$H$350,8,0),0)</f>
        <v>0</v>
      </c>
      <c r="N260" s="361">
        <f t="shared" si="52"/>
        <v>0</v>
      </c>
      <c r="O260" s="361">
        <f t="shared" si="59"/>
        <v>0</v>
      </c>
      <c r="P260" s="361">
        <f t="shared" si="53"/>
        <v>0</v>
      </c>
      <c r="Q260" s="31">
        <f>IF(OR(D260="SI",D260="Sí"),VLOOKUP(A260,DATA!$A$4:$P$350,14,0),0)</f>
        <v>0</v>
      </c>
      <c r="R260" s="121">
        <f t="shared" si="60"/>
        <v>0</v>
      </c>
      <c r="S260" s="31">
        <f>IF(AND(R260&gt;0,R260&lt;$R$7),ROUND(($R$7-R260)*G260,PARAMETROS!$L$8),0)</f>
        <v>0</v>
      </c>
      <c r="T260" s="122">
        <f t="shared" si="54"/>
        <v>0</v>
      </c>
      <c r="U260" s="117">
        <f t="shared" si="55"/>
        <v>0</v>
      </c>
      <c r="V260" s="117">
        <f>VLOOKUP(A260,DATA!$A$4:$V$350,DATA!$V$1,0)</f>
        <v>0</v>
      </c>
      <c r="W260" s="117">
        <f>VLOOKUP(A260,DATA!$A$4:$V$350,22,0)</f>
        <v>0</v>
      </c>
      <c r="X260" s="96">
        <f t="shared" si="56"/>
        <v>0</v>
      </c>
      <c r="Y260" s="31">
        <f>ROUND(X260*PARAMETROS!$H$35,0)</f>
        <v>0</v>
      </c>
      <c r="Z260" s="31">
        <f t="shared" si="61"/>
        <v>0</v>
      </c>
      <c r="AA260" s="31">
        <f t="shared" si="62"/>
        <v>0</v>
      </c>
      <c r="AB260" s="31">
        <f t="shared" si="63"/>
        <v>0</v>
      </c>
      <c r="AC260" s="31">
        <f t="shared" si="63"/>
        <v>0</v>
      </c>
      <c r="AD260" s="38">
        <f t="shared" si="64"/>
        <v>0</v>
      </c>
    </row>
    <row r="261" spans="1:30" ht="3" customHeight="1" x14ac:dyDescent="0.25">
      <c r="A261">
        <v>12301</v>
      </c>
      <c r="B261">
        <v>12301</v>
      </c>
      <c r="C261" t="s">
        <v>270</v>
      </c>
      <c r="D261" s="6" t="str">
        <f>+DATA!U257</f>
        <v>No</v>
      </c>
      <c r="E261" s="361">
        <f t="shared" si="49"/>
        <v>0</v>
      </c>
      <c r="F261" s="95">
        <f t="shared" si="57"/>
        <v>0</v>
      </c>
      <c r="G261" s="31">
        <f>IF(OR(D261="SI",D261="Sí"),VLOOKUP(A261,DATA!$A$4:$D$350,4,0),0)</f>
        <v>0</v>
      </c>
      <c r="H261" s="95">
        <f>IF(OR(D261="SI",D261="Sí"),VLOOKUP(A261,DATA!$A$4:$E$350,5,0),0)</f>
        <v>0</v>
      </c>
      <c r="I261" s="31">
        <f t="shared" si="58"/>
        <v>0</v>
      </c>
      <c r="J261" s="361">
        <f t="shared" si="50"/>
        <v>0</v>
      </c>
      <c r="K261" s="361">
        <f t="shared" si="51"/>
        <v>0</v>
      </c>
      <c r="L261" s="31">
        <f>IF(OR(D261="SI",D261="Sí"),VLOOKUP(A261,DATA!$A$4:$G$350,7,0),0)</f>
        <v>0</v>
      </c>
      <c r="M261" s="31">
        <f>IF(OR(D261="SI",D261="Sí"),VLOOKUP(A261,DATA!$A$4:$H$350,8,0),0)</f>
        <v>0</v>
      </c>
      <c r="N261" s="361">
        <f t="shared" si="52"/>
        <v>0</v>
      </c>
      <c r="O261" s="361">
        <f t="shared" si="59"/>
        <v>0</v>
      </c>
      <c r="P261" s="361">
        <f t="shared" si="53"/>
        <v>0</v>
      </c>
      <c r="Q261" s="31">
        <f>IF(OR(D261="SI",D261="Sí"),VLOOKUP(A261,DATA!$A$4:$P$350,14,0),0)</f>
        <v>0</v>
      </c>
      <c r="R261" s="121">
        <f t="shared" si="60"/>
        <v>0</v>
      </c>
      <c r="S261" s="31">
        <f>IF(AND(R261&gt;0,R261&lt;$R$7),ROUND(($R$7-R261)*G261,PARAMETROS!$L$8),0)</f>
        <v>0</v>
      </c>
      <c r="T261" s="122">
        <f t="shared" si="54"/>
        <v>0</v>
      </c>
      <c r="U261" s="117">
        <f t="shared" si="55"/>
        <v>0</v>
      </c>
      <c r="V261" s="117">
        <f>VLOOKUP(A261,DATA!$A$4:$V$350,DATA!$V$1,0)</f>
        <v>0</v>
      </c>
      <c r="W261" s="117">
        <f>VLOOKUP(A261,DATA!$A$4:$V$350,22,0)</f>
        <v>0</v>
      </c>
      <c r="X261" s="96">
        <f t="shared" si="56"/>
        <v>0</v>
      </c>
      <c r="Y261" s="31">
        <f>ROUND(X261*PARAMETROS!$H$35,0)</f>
        <v>0</v>
      </c>
      <c r="Z261" s="31">
        <f t="shared" si="61"/>
        <v>0</v>
      </c>
      <c r="AA261" s="31">
        <f t="shared" si="62"/>
        <v>0</v>
      </c>
      <c r="AB261" s="31">
        <f t="shared" si="63"/>
        <v>0</v>
      </c>
      <c r="AC261" s="31">
        <f t="shared" si="63"/>
        <v>0</v>
      </c>
      <c r="AD261" s="38">
        <f t="shared" si="64"/>
        <v>0</v>
      </c>
    </row>
    <row r="262" spans="1:30" ht="3" customHeight="1" x14ac:dyDescent="0.25">
      <c r="A262">
        <v>12302</v>
      </c>
      <c r="B262">
        <v>12302</v>
      </c>
      <c r="C262" t="s">
        <v>271</v>
      </c>
      <c r="D262" s="6" t="str">
        <f>+DATA!U258</f>
        <v>No</v>
      </c>
      <c r="E262" s="361">
        <f t="shared" si="49"/>
        <v>0</v>
      </c>
      <c r="F262" s="95">
        <f t="shared" si="57"/>
        <v>0</v>
      </c>
      <c r="G262" s="31">
        <f>IF(OR(D262="SI",D262="Sí"),VLOOKUP(A262,DATA!$A$4:$D$350,4,0),0)</f>
        <v>0</v>
      </c>
      <c r="H262" s="95">
        <f>IF(OR(D262="SI",D262="Sí"),VLOOKUP(A262,DATA!$A$4:$E$350,5,0),0)</f>
        <v>0</v>
      </c>
      <c r="I262" s="31">
        <f t="shared" si="58"/>
        <v>0</v>
      </c>
      <c r="J262" s="361">
        <f t="shared" si="50"/>
        <v>0</v>
      </c>
      <c r="K262" s="361">
        <f t="shared" si="51"/>
        <v>0</v>
      </c>
      <c r="L262" s="31">
        <f>IF(OR(D262="SI",D262="Sí"),VLOOKUP(A262,DATA!$A$4:$G$350,7,0),0)</f>
        <v>0</v>
      </c>
      <c r="M262" s="31">
        <f>IF(OR(D262="SI",D262="Sí"),VLOOKUP(A262,DATA!$A$4:$H$350,8,0),0)</f>
        <v>0</v>
      </c>
      <c r="N262" s="361">
        <f t="shared" si="52"/>
        <v>0</v>
      </c>
      <c r="O262" s="361">
        <f t="shared" si="59"/>
        <v>0</v>
      </c>
      <c r="P262" s="361">
        <f t="shared" si="53"/>
        <v>0</v>
      </c>
      <c r="Q262" s="31">
        <f>IF(OR(D262="SI",D262="Sí"),VLOOKUP(A262,DATA!$A$4:$P$350,14,0),0)</f>
        <v>0</v>
      </c>
      <c r="R262" s="121">
        <f t="shared" si="60"/>
        <v>0</v>
      </c>
      <c r="S262" s="31">
        <f>IF(AND(R262&gt;0,R262&lt;$R$7),ROUND(($R$7-R262)*G262,PARAMETROS!$L$8),0)</f>
        <v>0</v>
      </c>
      <c r="T262" s="122">
        <f t="shared" si="54"/>
        <v>0</v>
      </c>
      <c r="U262" s="117">
        <f t="shared" si="55"/>
        <v>0</v>
      </c>
      <c r="V262" s="117">
        <f>VLOOKUP(A262,DATA!$A$4:$V$350,DATA!$V$1,0)</f>
        <v>0</v>
      </c>
      <c r="W262" s="117">
        <f>VLOOKUP(A262,DATA!$A$4:$V$350,22,0)</f>
        <v>0</v>
      </c>
      <c r="X262" s="96">
        <f t="shared" si="56"/>
        <v>0</v>
      </c>
      <c r="Y262" s="31">
        <f>ROUND(X262*PARAMETROS!$H$35,0)</f>
        <v>0</v>
      </c>
      <c r="Z262" s="31">
        <f t="shared" si="61"/>
        <v>0</v>
      </c>
      <c r="AA262" s="31">
        <f t="shared" si="62"/>
        <v>0</v>
      </c>
      <c r="AB262" s="31">
        <f t="shared" si="63"/>
        <v>0</v>
      </c>
      <c r="AC262" s="31">
        <f t="shared" si="63"/>
        <v>0</v>
      </c>
      <c r="AD262" s="38">
        <f t="shared" si="64"/>
        <v>0</v>
      </c>
    </row>
    <row r="263" spans="1:30" ht="3" customHeight="1" x14ac:dyDescent="0.25">
      <c r="A263">
        <v>12303</v>
      </c>
      <c r="B263">
        <v>12304</v>
      </c>
      <c r="C263" t="s">
        <v>272</v>
      </c>
      <c r="D263" s="6" t="str">
        <f>+DATA!U259</f>
        <v>No</v>
      </c>
      <c r="E263" s="361">
        <f t="shared" si="49"/>
        <v>0</v>
      </c>
      <c r="F263" s="95">
        <f t="shared" si="57"/>
        <v>0</v>
      </c>
      <c r="G263" s="31">
        <f>IF(OR(D263="SI",D263="Sí"),VLOOKUP(A263,DATA!$A$4:$D$350,4,0),0)</f>
        <v>0</v>
      </c>
      <c r="H263" s="95">
        <f>IF(OR(D263="SI",D263="Sí"),VLOOKUP(A263,DATA!$A$4:$E$350,5,0),0)</f>
        <v>0</v>
      </c>
      <c r="I263" s="31">
        <f t="shared" si="58"/>
        <v>0</v>
      </c>
      <c r="J263" s="361">
        <f t="shared" si="50"/>
        <v>0</v>
      </c>
      <c r="K263" s="361">
        <f t="shared" si="51"/>
        <v>0</v>
      </c>
      <c r="L263" s="31">
        <f>IF(OR(D263="SI",D263="Sí"),VLOOKUP(A263,DATA!$A$4:$G$350,7,0),0)</f>
        <v>0</v>
      </c>
      <c r="M263" s="31">
        <f>IF(OR(D263="SI",D263="Sí"),VLOOKUP(A263,DATA!$A$4:$H$350,8,0),0)</f>
        <v>0</v>
      </c>
      <c r="N263" s="361">
        <f t="shared" si="52"/>
        <v>0</v>
      </c>
      <c r="O263" s="361">
        <f t="shared" si="59"/>
        <v>0</v>
      </c>
      <c r="P263" s="361">
        <f t="shared" si="53"/>
        <v>0</v>
      </c>
      <c r="Q263" s="31">
        <f>IF(OR(D263="SI",D263="Sí"),VLOOKUP(A263,DATA!$A$4:$P$350,14,0),0)</f>
        <v>0</v>
      </c>
      <c r="R263" s="121">
        <f t="shared" si="60"/>
        <v>0</v>
      </c>
      <c r="S263" s="31">
        <f>IF(AND(R263&gt;0,R263&lt;$R$7),ROUND(($R$7-R263)*G263,PARAMETROS!$L$8),0)</f>
        <v>0</v>
      </c>
      <c r="T263" s="122">
        <f t="shared" si="54"/>
        <v>0</v>
      </c>
      <c r="U263" s="117">
        <f t="shared" si="55"/>
        <v>0</v>
      </c>
      <c r="V263" s="117">
        <f>VLOOKUP(A263,DATA!$A$4:$V$350,DATA!$V$1,0)</f>
        <v>0</v>
      </c>
      <c r="W263" s="117">
        <f>VLOOKUP(A263,DATA!$A$4:$V$350,22,0)</f>
        <v>0</v>
      </c>
      <c r="X263" s="96">
        <f t="shared" si="56"/>
        <v>0</v>
      </c>
      <c r="Y263" s="31">
        <f>ROUND(X263*PARAMETROS!$H$35,0)</f>
        <v>0</v>
      </c>
      <c r="Z263" s="31">
        <f t="shared" si="61"/>
        <v>0</v>
      </c>
      <c r="AA263" s="31">
        <f t="shared" si="62"/>
        <v>0</v>
      </c>
      <c r="AB263" s="31">
        <f t="shared" si="63"/>
        <v>0</v>
      </c>
      <c r="AC263" s="31">
        <f t="shared" si="63"/>
        <v>0</v>
      </c>
      <c r="AD263" s="38">
        <f t="shared" si="64"/>
        <v>0</v>
      </c>
    </row>
    <row r="264" spans="1:30" ht="3" customHeight="1" x14ac:dyDescent="0.25">
      <c r="A264">
        <v>12401</v>
      </c>
      <c r="B264">
        <v>12101</v>
      </c>
      <c r="C264" t="s">
        <v>266</v>
      </c>
      <c r="D264" s="6" t="str">
        <f>+DATA!U260</f>
        <v>No</v>
      </c>
      <c r="E264" s="361">
        <f t="shared" si="49"/>
        <v>0</v>
      </c>
      <c r="F264" s="95">
        <f t="shared" si="57"/>
        <v>0</v>
      </c>
      <c r="G264" s="31">
        <f>IF(OR(D264="SI",D264="Sí"),VLOOKUP(A264,DATA!$A$4:$D$350,4,0),0)</f>
        <v>0</v>
      </c>
      <c r="H264" s="95">
        <f>IF(OR(D264="SI",D264="Sí"),VLOOKUP(A264,DATA!$A$4:$E$350,5,0),0)</f>
        <v>0</v>
      </c>
      <c r="I264" s="31">
        <f t="shared" si="58"/>
        <v>0</v>
      </c>
      <c r="J264" s="361">
        <f t="shared" si="50"/>
        <v>0</v>
      </c>
      <c r="K264" s="361">
        <f t="shared" si="51"/>
        <v>0</v>
      </c>
      <c r="L264" s="31">
        <f>IF(OR(D264="SI",D264="Sí"),VLOOKUP(A264,DATA!$A$4:$G$350,7,0),0)</f>
        <v>0</v>
      </c>
      <c r="M264" s="31">
        <f>IF(OR(D264="SI",D264="Sí"),VLOOKUP(A264,DATA!$A$4:$H$350,8,0),0)</f>
        <v>0</v>
      </c>
      <c r="N264" s="361">
        <f t="shared" si="52"/>
        <v>0</v>
      </c>
      <c r="O264" s="361">
        <f t="shared" si="59"/>
        <v>0</v>
      </c>
      <c r="P264" s="361">
        <f t="shared" si="53"/>
        <v>0</v>
      </c>
      <c r="Q264" s="31">
        <f>IF(OR(D264="SI",D264="Sí"),VLOOKUP(A264,DATA!$A$4:$P$350,14,0),0)</f>
        <v>0</v>
      </c>
      <c r="R264" s="121">
        <f t="shared" si="60"/>
        <v>0</v>
      </c>
      <c r="S264" s="31">
        <f>IF(AND(R264&gt;0,R264&lt;$R$7),ROUND(($R$7-R264)*G264,PARAMETROS!$L$8),0)</f>
        <v>0</v>
      </c>
      <c r="T264" s="122">
        <f t="shared" si="54"/>
        <v>0</v>
      </c>
      <c r="U264" s="117">
        <f t="shared" si="55"/>
        <v>0</v>
      </c>
      <c r="V264" s="117">
        <f>VLOOKUP(A264,DATA!$A$4:$V$350,DATA!$V$1,0)</f>
        <v>0</v>
      </c>
      <c r="W264" s="117">
        <f>VLOOKUP(A264,DATA!$A$4:$V$350,22,0)</f>
        <v>0</v>
      </c>
      <c r="X264" s="96">
        <f t="shared" si="56"/>
        <v>0</v>
      </c>
      <c r="Y264" s="31">
        <f>ROUND(X264*PARAMETROS!$H$35,0)</f>
        <v>0</v>
      </c>
      <c r="Z264" s="31">
        <f t="shared" si="61"/>
        <v>0</v>
      </c>
      <c r="AA264" s="31">
        <f t="shared" si="62"/>
        <v>0</v>
      </c>
      <c r="AB264" s="31">
        <f t="shared" si="63"/>
        <v>0</v>
      </c>
      <c r="AC264" s="31">
        <f t="shared" si="63"/>
        <v>0</v>
      </c>
      <c r="AD264" s="38">
        <f t="shared" si="64"/>
        <v>0</v>
      </c>
    </row>
    <row r="265" spans="1:30" ht="3" customHeight="1" x14ac:dyDescent="0.25">
      <c r="A265">
        <v>12402</v>
      </c>
      <c r="B265">
        <v>12103</v>
      </c>
      <c r="C265" t="s">
        <v>321</v>
      </c>
      <c r="D265" s="6" t="str">
        <f>+DATA!U261</f>
        <v>No</v>
      </c>
      <c r="E265" s="361">
        <f t="shared" ref="E265:E328" si="65">IF(OR(D265="SI",D265="Sí"),ROUND(1/$D$7,DEC),0)</f>
        <v>0</v>
      </c>
      <c r="F265" s="95">
        <f t="shared" si="57"/>
        <v>0</v>
      </c>
      <c r="G265" s="31">
        <f>IF(OR(D265="SI",D265="Sí"),VLOOKUP(A265,DATA!$A$4:$D$350,4,0),0)</f>
        <v>0</v>
      </c>
      <c r="H265" s="95">
        <f>IF(OR(D265="SI",D265="Sí"),VLOOKUP(A265,DATA!$A$4:$E$350,5,0),0)</f>
        <v>0</v>
      </c>
      <c r="I265" s="31">
        <f t="shared" si="58"/>
        <v>0</v>
      </c>
      <c r="J265" s="361">
        <f t="shared" ref="J265:J328" si="66">ROUND(I265/$I$7,DEC)</f>
        <v>0</v>
      </c>
      <c r="K265" s="361">
        <f t="shared" ref="K265:K328" si="67">ROUND(J265*$K$7,DEC)</f>
        <v>0</v>
      </c>
      <c r="L265" s="31">
        <f>IF(OR(D265="SI",D265="Sí"),VLOOKUP(A265,DATA!$A$4:$G$350,7,0),0)</f>
        <v>0</v>
      </c>
      <c r="M265" s="31">
        <f>IF(OR(D265="SI",D265="Sí"),VLOOKUP(A265,DATA!$A$4:$H$350,8,0),0)</f>
        <v>0</v>
      </c>
      <c r="N265" s="361">
        <f t="shared" ref="N265:N328" si="68">IF(M265=0,0,ROUND((L265/$L$7)*(L265/M265),DEC))</f>
        <v>0</v>
      </c>
      <c r="O265" s="361">
        <f t="shared" si="59"/>
        <v>0</v>
      </c>
      <c r="P265" s="361">
        <f t="shared" ref="P265:P328" si="69">ROUND(O265*$P$7,DEC)</f>
        <v>0</v>
      </c>
      <c r="Q265" s="31">
        <f>IF(OR(D265="SI",D265="Sí"),VLOOKUP(A265,DATA!$A$4:$P$350,14,0),0)</f>
        <v>0</v>
      </c>
      <c r="R265" s="121">
        <f t="shared" si="60"/>
        <v>0</v>
      </c>
      <c r="S265" s="31">
        <f>IF(AND(R265&gt;0,R265&lt;$R$7),ROUND(($R$7-R265)*G265,PARAMETROS!$L$8),0)</f>
        <v>0</v>
      </c>
      <c r="T265" s="122">
        <f t="shared" ref="T265:T328" si="70">ROUND(S265/$S$7,DEC)</f>
        <v>0</v>
      </c>
      <c r="U265" s="117">
        <f t="shared" ref="U265:U328" si="71">ROUND(T265*$U$7,DEC)</f>
        <v>0</v>
      </c>
      <c r="V265" s="117">
        <f>VLOOKUP(A265,DATA!$A$4:$V$350,DATA!$V$1,0)</f>
        <v>0</v>
      </c>
      <c r="W265" s="117">
        <f>VLOOKUP(A265,DATA!$A$4:$V$350,22,0)</f>
        <v>0</v>
      </c>
      <c r="X265" s="96">
        <f t="shared" ref="X265:X328" si="72">+F265+K265+P265+U265+W265</f>
        <v>0</v>
      </c>
      <c r="Y265" s="31">
        <f>ROUND(X265*PARAMETROS!$H$35,0)</f>
        <v>0</v>
      </c>
      <c r="Z265" s="31">
        <f t="shared" si="61"/>
        <v>0</v>
      </c>
      <c r="AA265" s="31">
        <f t="shared" si="62"/>
        <v>0</v>
      </c>
      <c r="AB265" s="31">
        <f t="shared" si="63"/>
        <v>0</v>
      </c>
      <c r="AC265" s="31">
        <f t="shared" si="63"/>
        <v>0</v>
      </c>
      <c r="AD265" s="38">
        <f t="shared" si="64"/>
        <v>0</v>
      </c>
    </row>
    <row r="266" spans="1:30" ht="3" customHeight="1" x14ac:dyDescent="0.25">
      <c r="A266">
        <v>13101</v>
      </c>
      <c r="B266">
        <v>13101</v>
      </c>
      <c r="C266" t="s">
        <v>274</v>
      </c>
      <c r="D266" s="6" t="str">
        <f>+DATA!U262</f>
        <v>No</v>
      </c>
      <c r="E266" s="361">
        <f t="shared" si="65"/>
        <v>0</v>
      </c>
      <c r="F266" s="95">
        <f t="shared" ref="F266:F329" si="73">+E266*$F$7</f>
        <v>0</v>
      </c>
      <c r="G266" s="31">
        <f>IF(OR(D266="SI",D266="Sí"),VLOOKUP(A266,DATA!$A$4:$D$350,4,0),0)</f>
        <v>0</v>
      </c>
      <c r="H266" s="95">
        <f>IF(OR(D266="SI",D266="Sí"),VLOOKUP(A266,DATA!$A$4:$E$350,5,0),0)</f>
        <v>0</v>
      </c>
      <c r="I266" s="31">
        <f t="shared" si="58"/>
        <v>0</v>
      </c>
      <c r="J266" s="361">
        <f t="shared" si="66"/>
        <v>0</v>
      </c>
      <c r="K266" s="361">
        <f t="shared" si="67"/>
        <v>0</v>
      </c>
      <c r="L266" s="31">
        <f>IF(OR(D266="SI",D266="Sí"),VLOOKUP(A266,DATA!$A$4:$G$350,7,0),0)</f>
        <v>0</v>
      </c>
      <c r="M266" s="31">
        <f>IF(OR(D266="SI",D266="Sí"),VLOOKUP(A266,DATA!$A$4:$H$350,8,0),0)</f>
        <v>0</v>
      </c>
      <c r="N266" s="361">
        <f t="shared" si="68"/>
        <v>0</v>
      </c>
      <c r="O266" s="361">
        <f t="shared" ref="O266:O329" si="74">+N266/$N$7</f>
        <v>0</v>
      </c>
      <c r="P266" s="361">
        <f t="shared" si="69"/>
        <v>0</v>
      </c>
      <c r="Q266" s="31">
        <f>IF(OR(D266="SI",D266="Sí"),VLOOKUP(A266,DATA!$A$4:$P$350,14,0),0)</f>
        <v>0</v>
      </c>
      <c r="R266" s="121">
        <f t="shared" si="60"/>
        <v>0</v>
      </c>
      <c r="S266" s="31">
        <f>IF(AND(R266&gt;0,R266&lt;$R$7),ROUND(($R$7-R266)*G266,PARAMETROS!$L$8),0)</f>
        <v>0</v>
      </c>
      <c r="T266" s="122">
        <f t="shared" si="70"/>
        <v>0</v>
      </c>
      <c r="U266" s="117">
        <f t="shared" si="71"/>
        <v>0</v>
      </c>
      <c r="V266" s="117">
        <f>VLOOKUP(A266,DATA!$A$4:$V$350,DATA!$V$1,0)</f>
        <v>0</v>
      </c>
      <c r="W266" s="117">
        <f>VLOOKUP(A266,DATA!$A$4:$V$350,22,0)</f>
        <v>0</v>
      </c>
      <c r="X266" s="96">
        <f t="shared" si="72"/>
        <v>0</v>
      </c>
      <c r="Y266" s="31">
        <f>ROUND(X266*PARAMETROS!$H$35,0)</f>
        <v>0</v>
      </c>
      <c r="Z266" s="31">
        <f t="shared" ref="Z266:Z329" si="75">IF(Y266=$Z$6,Y266+$Z$5,Y266)</f>
        <v>0</v>
      </c>
      <c r="AA266" s="31">
        <f t="shared" ref="AA266:AA329" si="76">ROUND(Z266/4,0)</f>
        <v>0</v>
      </c>
      <c r="AB266" s="31">
        <f t="shared" ref="AB266:AC329" si="77">+AA266</f>
        <v>0</v>
      </c>
      <c r="AC266" s="31">
        <f t="shared" si="77"/>
        <v>0</v>
      </c>
      <c r="AD266" s="38">
        <f t="shared" ref="AD266:AD329" si="78">+Z266-AA266-AB266-AC266</f>
        <v>0</v>
      </c>
    </row>
    <row r="267" spans="1:30" ht="3" customHeight="1" x14ac:dyDescent="0.25">
      <c r="A267">
        <v>13102</v>
      </c>
      <c r="B267">
        <v>13166</v>
      </c>
      <c r="C267" t="s">
        <v>298</v>
      </c>
      <c r="D267" s="6" t="str">
        <f>+DATA!U263</f>
        <v>No</v>
      </c>
      <c r="E267" s="361">
        <f t="shared" si="65"/>
        <v>0</v>
      </c>
      <c r="F267" s="95">
        <f t="shared" si="73"/>
        <v>0</v>
      </c>
      <c r="G267" s="31">
        <f>IF(OR(D267="SI",D267="Sí"),VLOOKUP(A267,DATA!$A$4:$D$350,4,0),0)</f>
        <v>0</v>
      </c>
      <c r="H267" s="95">
        <f>IF(OR(D267="SI",D267="Sí"),VLOOKUP(A267,DATA!$A$4:$E$350,5,0),0)</f>
        <v>0</v>
      </c>
      <c r="I267" s="31">
        <f t="shared" ref="I267:I330" si="79">ROUND(G267*H267,0)</f>
        <v>0</v>
      </c>
      <c r="J267" s="361">
        <f t="shared" si="66"/>
        <v>0</v>
      </c>
      <c r="K267" s="361">
        <f t="shared" si="67"/>
        <v>0</v>
      </c>
      <c r="L267" s="31">
        <f>IF(OR(D267="SI",D267="Sí"),VLOOKUP(A267,DATA!$A$4:$G$350,7,0),0)</f>
        <v>0</v>
      </c>
      <c r="M267" s="31">
        <f>IF(OR(D267="SI",D267="Sí"),VLOOKUP(A267,DATA!$A$4:$H$350,8,0),0)</f>
        <v>0</v>
      </c>
      <c r="N267" s="361">
        <f t="shared" si="68"/>
        <v>0</v>
      </c>
      <c r="O267" s="361">
        <f t="shared" si="74"/>
        <v>0</v>
      </c>
      <c r="P267" s="361">
        <f t="shared" si="69"/>
        <v>0</v>
      </c>
      <c r="Q267" s="31">
        <f>IF(OR(D267="SI",D267="Sí"),VLOOKUP(A267,DATA!$A$4:$P$350,14,0),0)</f>
        <v>0</v>
      </c>
      <c r="R267" s="121">
        <f t="shared" ref="R267:R330" si="80">IFERROR(ROUND(Q267/G267,2),0)</f>
        <v>0</v>
      </c>
      <c r="S267" s="31">
        <f>IF(AND(R267&gt;0,R267&lt;$R$7),ROUND(($R$7-R267)*G267,PARAMETROS!$L$8),0)</f>
        <v>0</v>
      </c>
      <c r="T267" s="122">
        <f t="shared" si="70"/>
        <v>0</v>
      </c>
      <c r="U267" s="117">
        <f t="shared" si="71"/>
        <v>0</v>
      </c>
      <c r="V267" s="117">
        <f>VLOOKUP(A267,DATA!$A$4:$V$350,DATA!$V$1,0)</f>
        <v>0</v>
      </c>
      <c r="W267" s="117">
        <f>VLOOKUP(A267,DATA!$A$4:$V$350,22,0)</f>
        <v>0</v>
      </c>
      <c r="X267" s="96">
        <f t="shared" si="72"/>
        <v>0</v>
      </c>
      <c r="Y267" s="31">
        <f>ROUND(X267*PARAMETROS!$H$35,0)</f>
        <v>0</v>
      </c>
      <c r="Z267" s="31">
        <f t="shared" si="75"/>
        <v>0</v>
      </c>
      <c r="AA267" s="31">
        <f t="shared" si="76"/>
        <v>0</v>
      </c>
      <c r="AB267" s="31">
        <f t="shared" si="77"/>
        <v>0</v>
      </c>
      <c r="AC267" s="31">
        <f t="shared" si="77"/>
        <v>0</v>
      </c>
      <c r="AD267" s="38">
        <f t="shared" si="78"/>
        <v>0</v>
      </c>
    </row>
    <row r="268" spans="1:30" ht="3" customHeight="1" x14ac:dyDescent="0.25">
      <c r="A268">
        <v>13103</v>
      </c>
      <c r="B268">
        <v>13156</v>
      </c>
      <c r="C268" t="s">
        <v>290</v>
      </c>
      <c r="D268" s="6" t="str">
        <f>+DATA!U264</f>
        <v>No</v>
      </c>
      <c r="E268" s="361">
        <f t="shared" si="65"/>
        <v>0</v>
      </c>
      <c r="F268" s="95">
        <f t="shared" si="73"/>
        <v>0</v>
      </c>
      <c r="G268" s="31">
        <f>IF(OR(D268="SI",D268="Sí"),VLOOKUP(A268,DATA!$A$4:$D$350,4,0),0)</f>
        <v>0</v>
      </c>
      <c r="H268" s="95">
        <f>IF(OR(D268="SI",D268="Sí"),VLOOKUP(A268,DATA!$A$4:$E$350,5,0),0)</f>
        <v>0</v>
      </c>
      <c r="I268" s="31">
        <f t="shared" si="79"/>
        <v>0</v>
      </c>
      <c r="J268" s="361">
        <f t="shared" si="66"/>
        <v>0</v>
      </c>
      <c r="K268" s="361">
        <f t="shared" si="67"/>
        <v>0</v>
      </c>
      <c r="L268" s="31">
        <f>IF(OR(D268="SI",D268="Sí"),VLOOKUP(A268,DATA!$A$4:$G$350,7,0),0)</f>
        <v>0</v>
      </c>
      <c r="M268" s="31">
        <f>IF(OR(D268="SI",D268="Sí"),VLOOKUP(A268,DATA!$A$4:$H$350,8,0),0)</f>
        <v>0</v>
      </c>
      <c r="N268" s="361">
        <f t="shared" si="68"/>
        <v>0</v>
      </c>
      <c r="O268" s="361">
        <f t="shared" si="74"/>
        <v>0</v>
      </c>
      <c r="P268" s="361">
        <f t="shared" si="69"/>
        <v>0</v>
      </c>
      <c r="Q268" s="31">
        <f>IF(OR(D268="SI",D268="Sí"),VLOOKUP(A268,DATA!$A$4:$P$350,14,0),0)</f>
        <v>0</v>
      </c>
      <c r="R268" s="121">
        <f t="shared" si="80"/>
        <v>0</v>
      </c>
      <c r="S268" s="31">
        <f>IF(AND(R268&gt;0,R268&lt;$R$7),ROUND(($R$7-R268)*G268,PARAMETROS!$L$8),0)</f>
        <v>0</v>
      </c>
      <c r="T268" s="122">
        <f t="shared" si="70"/>
        <v>0</v>
      </c>
      <c r="U268" s="117">
        <f t="shared" si="71"/>
        <v>0</v>
      </c>
      <c r="V268" s="117">
        <f>VLOOKUP(A268,DATA!$A$4:$V$350,DATA!$V$1,0)</f>
        <v>0</v>
      </c>
      <c r="W268" s="117">
        <f>VLOOKUP(A268,DATA!$A$4:$V$350,22,0)</f>
        <v>0</v>
      </c>
      <c r="X268" s="96">
        <f t="shared" si="72"/>
        <v>0</v>
      </c>
      <c r="Y268" s="31">
        <f>ROUND(X268*PARAMETROS!$H$35,0)</f>
        <v>0</v>
      </c>
      <c r="Z268" s="31">
        <f t="shared" si="75"/>
        <v>0</v>
      </c>
      <c r="AA268" s="31">
        <f t="shared" si="76"/>
        <v>0</v>
      </c>
      <c r="AB268" s="31">
        <f t="shared" si="77"/>
        <v>0</v>
      </c>
      <c r="AC268" s="31">
        <f t="shared" si="77"/>
        <v>0</v>
      </c>
      <c r="AD268" s="38">
        <f t="shared" si="78"/>
        <v>0</v>
      </c>
    </row>
    <row r="269" spans="1:30" ht="3" customHeight="1" x14ac:dyDescent="0.25">
      <c r="A269">
        <v>13104</v>
      </c>
      <c r="B269">
        <v>13127</v>
      </c>
      <c r="C269" t="s">
        <v>425</v>
      </c>
      <c r="D269" s="6" t="str">
        <f>+DATA!U265</f>
        <v>No</v>
      </c>
      <c r="E269" s="361">
        <f t="shared" si="65"/>
        <v>0</v>
      </c>
      <c r="F269" s="95">
        <f t="shared" si="73"/>
        <v>0</v>
      </c>
      <c r="G269" s="31">
        <f>IF(OR(D269="SI",D269="Sí"),VLOOKUP(A269,DATA!$A$4:$D$350,4,0),0)</f>
        <v>0</v>
      </c>
      <c r="H269" s="95">
        <f>IF(OR(D269="SI",D269="Sí"),VLOOKUP(A269,DATA!$A$4:$E$350,5,0),0)</f>
        <v>0</v>
      </c>
      <c r="I269" s="31">
        <f t="shared" si="79"/>
        <v>0</v>
      </c>
      <c r="J269" s="361">
        <f t="shared" si="66"/>
        <v>0</v>
      </c>
      <c r="K269" s="361">
        <f t="shared" si="67"/>
        <v>0</v>
      </c>
      <c r="L269" s="31">
        <f>IF(OR(D269="SI",D269="Sí"),VLOOKUP(A269,DATA!$A$4:$G$350,7,0),0)</f>
        <v>0</v>
      </c>
      <c r="M269" s="31">
        <f>IF(OR(D269="SI",D269="Sí"),VLOOKUP(A269,DATA!$A$4:$H$350,8,0),0)</f>
        <v>0</v>
      </c>
      <c r="N269" s="361">
        <f t="shared" si="68"/>
        <v>0</v>
      </c>
      <c r="O269" s="361">
        <f t="shared" si="74"/>
        <v>0</v>
      </c>
      <c r="P269" s="361">
        <f t="shared" si="69"/>
        <v>0</v>
      </c>
      <c r="Q269" s="31">
        <f>IF(OR(D269="SI",D269="Sí"),VLOOKUP(A269,DATA!$A$4:$P$350,14,0),0)</f>
        <v>0</v>
      </c>
      <c r="R269" s="121">
        <f t="shared" si="80"/>
        <v>0</v>
      </c>
      <c r="S269" s="31">
        <f>IF(AND(R269&gt;0,R269&lt;$R$7),ROUND(($R$7-R269)*G269,PARAMETROS!$L$8),0)</f>
        <v>0</v>
      </c>
      <c r="T269" s="122">
        <f t="shared" si="70"/>
        <v>0</v>
      </c>
      <c r="U269" s="117">
        <f t="shared" si="71"/>
        <v>0</v>
      </c>
      <c r="V269" s="117">
        <f>VLOOKUP(A269,DATA!$A$4:$V$350,DATA!$V$1,0)</f>
        <v>0</v>
      </c>
      <c r="W269" s="117">
        <f>VLOOKUP(A269,DATA!$A$4:$V$350,22,0)</f>
        <v>0</v>
      </c>
      <c r="X269" s="96">
        <f t="shared" si="72"/>
        <v>0</v>
      </c>
      <c r="Y269" s="31">
        <f>ROUND(X269*PARAMETROS!$H$35,0)</f>
        <v>0</v>
      </c>
      <c r="Z269" s="31">
        <f t="shared" si="75"/>
        <v>0</v>
      </c>
      <c r="AA269" s="31">
        <f t="shared" si="76"/>
        <v>0</v>
      </c>
      <c r="AB269" s="31">
        <f t="shared" si="77"/>
        <v>0</v>
      </c>
      <c r="AC269" s="31">
        <f t="shared" si="77"/>
        <v>0</v>
      </c>
      <c r="AD269" s="38">
        <f t="shared" si="78"/>
        <v>0</v>
      </c>
    </row>
    <row r="270" spans="1:30" ht="3" customHeight="1" x14ac:dyDescent="0.25">
      <c r="A270">
        <v>13105</v>
      </c>
      <c r="B270">
        <v>13165</v>
      </c>
      <c r="C270" t="s">
        <v>297</v>
      </c>
      <c r="D270" s="6" t="str">
        <f>+DATA!U266</f>
        <v>No</v>
      </c>
      <c r="E270" s="361">
        <f t="shared" si="65"/>
        <v>0</v>
      </c>
      <c r="F270" s="95">
        <f t="shared" si="73"/>
        <v>0</v>
      </c>
      <c r="G270" s="31">
        <f>IF(OR(D270="SI",D270="Sí"),VLOOKUP(A270,DATA!$A$4:$D$350,4,0),0)</f>
        <v>0</v>
      </c>
      <c r="H270" s="95">
        <f>IF(OR(D270="SI",D270="Sí"),VLOOKUP(A270,DATA!$A$4:$E$350,5,0),0)</f>
        <v>0</v>
      </c>
      <c r="I270" s="31">
        <f t="shared" si="79"/>
        <v>0</v>
      </c>
      <c r="J270" s="361">
        <f t="shared" si="66"/>
        <v>0</v>
      </c>
      <c r="K270" s="361">
        <f t="shared" si="67"/>
        <v>0</v>
      </c>
      <c r="L270" s="31">
        <f>IF(OR(D270="SI",D270="Sí"),VLOOKUP(A270,DATA!$A$4:$G$350,7,0),0)</f>
        <v>0</v>
      </c>
      <c r="M270" s="31">
        <f>IF(OR(D270="SI",D270="Sí"),VLOOKUP(A270,DATA!$A$4:$H$350,8,0),0)</f>
        <v>0</v>
      </c>
      <c r="N270" s="361">
        <f t="shared" si="68"/>
        <v>0</v>
      </c>
      <c r="O270" s="361">
        <f t="shared" si="74"/>
        <v>0</v>
      </c>
      <c r="P270" s="361">
        <f t="shared" si="69"/>
        <v>0</v>
      </c>
      <c r="Q270" s="31">
        <f>IF(OR(D270="SI",D270="Sí"),VLOOKUP(A270,DATA!$A$4:$P$350,14,0),0)</f>
        <v>0</v>
      </c>
      <c r="R270" s="121">
        <f t="shared" si="80"/>
        <v>0</v>
      </c>
      <c r="S270" s="31">
        <f>IF(AND(R270&gt;0,R270&lt;$R$7),ROUND(($R$7-R270)*G270,PARAMETROS!$L$8),0)</f>
        <v>0</v>
      </c>
      <c r="T270" s="122">
        <f t="shared" si="70"/>
        <v>0</v>
      </c>
      <c r="U270" s="117">
        <f t="shared" si="71"/>
        <v>0</v>
      </c>
      <c r="V270" s="117">
        <f>VLOOKUP(A270,DATA!$A$4:$V$350,DATA!$V$1,0)</f>
        <v>0</v>
      </c>
      <c r="W270" s="117">
        <f>VLOOKUP(A270,DATA!$A$4:$V$350,22,0)</f>
        <v>0</v>
      </c>
      <c r="X270" s="96">
        <f t="shared" si="72"/>
        <v>0</v>
      </c>
      <c r="Y270" s="31">
        <f>ROUND(X270*PARAMETROS!$H$35,0)</f>
        <v>0</v>
      </c>
      <c r="Z270" s="31">
        <f t="shared" si="75"/>
        <v>0</v>
      </c>
      <c r="AA270" s="31">
        <f t="shared" si="76"/>
        <v>0</v>
      </c>
      <c r="AB270" s="31">
        <f t="shared" si="77"/>
        <v>0</v>
      </c>
      <c r="AC270" s="31">
        <f t="shared" si="77"/>
        <v>0</v>
      </c>
      <c r="AD270" s="38">
        <f t="shared" si="78"/>
        <v>0</v>
      </c>
    </row>
    <row r="271" spans="1:30" ht="3" customHeight="1" x14ac:dyDescent="0.25">
      <c r="A271">
        <v>13106</v>
      </c>
      <c r="B271">
        <v>13157</v>
      </c>
      <c r="C271" t="s">
        <v>426</v>
      </c>
      <c r="D271" s="6" t="str">
        <f>+DATA!U267</f>
        <v>No</v>
      </c>
      <c r="E271" s="361">
        <f t="shared" si="65"/>
        <v>0</v>
      </c>
      <c r="F271" s="95">
        <f t="shared" si="73"/>
        <v>0</v>
      </c>
      <c r="G271" s="31">
        <f>IF(OR(D271="SI",D271="Sí"),VLOOKUP(A271,DATA!$A$4:$D$350,4,0),0)</f>
        <v>0</v>
      </c>
      <c r="H271" s="95">
        <f>IF(OR(D271="SI",D271="Sí"),VLOOKUP(A271,DATA!$A$4:$E$350,5,0),0)</f>
        <v>0</v>
      </c>
      <c r="I271" s="31">
        <f t="shared" si="79"/>
        <v>0</v>
      </c>
      <c r="J271" s="361">
        <f t="shared" si="66"/>
        <v>0</v>
      </c>
      <c r="K271" s="361">
        <f t="shared" si="67"/>
        <v>0</v>
      </c>
      <c r="L271" s="31">
        <f>IF(OR(D271="SI",D271="Sí"),VLOOKUP(A271,DATA!$A$4:$G$350,7,0),0)</f>
        <v>0</v>
      </c>
      <c r="M271" s="31">
        <f>IF(OR(D271="SI",D271="Sí"),VLOOKUP(A271,DATA!$A$4:$H$350,8,0),0)</f>
        <v>0</v>
      </c>
      <c r="N271" s="361">
        <f t="shared" si="68"/>
        <v>0</v>
      </c>
      <c r="O271" s="361">
        <f t="shared" si="74"/>
        <v>0</v>
      </c>
      <c r="P271" s="361">
        <f t="shared" si="69"/>
        <v>0</v>
      </c>
      <c r="Q271" s="31">
        <f>IF(OR(D271="SI",D271="Sí"),VLOOKUP(A271,DATA!$A$4:$P$350,14,0),0)</f>
        <v>0</v>
      </c>
      <c r="R271" s="121">
        <f t="shared" si="80"/>
        <v>0</v>
      </c>
      <c r="S271" s="31">
        <f>IF(AND(R271&gt;0,R271&lt;$R$7),ROUND(($R$7-R271)*G271,PARAMETROS!$L$8),0)</f>
        <v>0</v>
      </c>
      <c r="T271" s="122">
        <f t="shared" si="70"/>
        <v>0</v>
      </c>
      <c r="U271" s="117">
        <f t="shared" si="71"/>
        <v>0</v>
      </c>
      <c r="V271" s="117">
        <f>VLOOKUP(A271,DATA!$A$4:$V$350,DATA!$V$1,0)</f>
        <v>0</v>
      </c>
      <c r="W271" s="117">
        <f>VLOOKUP(A271,DATA!$A$4:$V$350,22,0)</f>
        <v>0</v>
      </c>
      <c r="X271" s="96">
        <f t="shared" si="72"/>
        <v>0</v>
      </c>
      <c r="Y271" s="31">
        <f>ROUND(X271*PARAMETROS!$H$35,0)</f>
        <v>0</v>
      </c>
      <c r="Z271" s="31">
        <f t="shared" si="75"/>
        <v>0</v>
      </c>
      <c r="AA271" s="31">
        <f t="shared" si="76"/>
        <v>0</v>
      </c>
      <c r="AB271" s="31">
        <f t="shared" si="77"/>
        <v>0</v>
      </c>
      <c r="AC271" s="31">
        <f t="shared" si="77"/>
        <v>0</v>
      </c>
      <c r="AD271" s="38">
        <f t="shared" si="78"/>
        <v>0</v>
      </c>
    </row>
    <row r="272" spans="1:30" ht="3" customHeight="1" x14ac:dyDescent="0.25">
      <c r="A272">
        <v>13107</v>
      </c>
      <c r="B272">
        <v>13158</v>
      </c>
      <c r="C272" t="s">
        <v>291</v>
      </c>
      <c r="D272" s="6" t="str">
        <f>+DATA!U268</f>
        <v>No</v>
      </c>
      <c r="E272" s="361">
        <f t="shared" si="65"/>
        <v>0</v>
      </c>
      <c r="F272" s="95">
        <f t="shared" si="73"/>
        <v>0</v>
      </c>
      <c r="G272" s="31">
        <f>IF(OR(D272="SI",D272="Sí"),VLOOKUP(A272,DATA!$A$4:$D$350,4,0),0)</f>
        <v>0</v>
      </c>
      <c r="H272" s="95">
        <f>IF(OR(D272="SI",D272="Sí"),VLOOKUP(A272,DATA!$A$4:$E$350,5,0),0)</f>
        <v>0</v>
      </c>
      <c r="I272" s="31">
        <f t="shared" si="79"/>
        <v>0</v>
      </c>
      <c r="J272" s="361">
        <f t="shared" si="66"/>
        <v>0</v>
      </c>
      <c r="K272" s="361">
        <f t="shared" si="67"/>
        <v>0</v>
      </c>
      <c r="L272" s="31">
        <f>IF(OR(D272="SI",D272="Sí"),VLOOKUP(A272,DATA!$A$4:$G$350,7,0),0)</f>
        <v>0</v>
      </c>
      <c r="M272" s="31">
        <f>IF(OR(D272="SI",D272="Sí"),VLOOKUP(A272,DATA!$A$4:$H$350,8,0),0)</f>
        <v>0</v>
      </c>
      <c r="N272" s="361">
        <f t="shared" si="68"/>
        <v>0</v>
      </c>
      <c r="O272" s="361">
        <f t="shared" si="74"/>
        <v>0</v>
      </c>
      <c r="P272" s="361">
        <f t="shared" si="69"/>
        <v>0</v>
      </c>
      <c r="Q272" s="31">
        <f>IF(OR(D272="SI",D272="Sí"),VLOOKUP(A272,DATA!$A$4:$P$350,14,0),0)</f>
        <v>0</v>
      </c>
      <c r="R272" s="121">
        <f t="shared" si="80"/>
        <v>0</v>
      </c>
      <c r="S272" s="31">
        <f>IF(AND(R272&gt;0,R272&lt;$R$7),ROUND(($R$7-R272)*G272,PARAMETROS!$L$8),0)</f>
        <v>0</v>
      </c>
      <c r="T272" s="122">
        <f t="shared" si="70"/>
        <v>0</v>
      </c>
      <c r="U272" s="117">
        <f t="shared" si="71"/>
        <v>0</v>
      </c>
      <c r="V272" s="117">
        <f>VLOOKUP(A272,DATA!$A$4:$V$350,DATA!$V$1,0)</f>
        <v>0</v>
      </c>
      <c r="W272" s="117">
        <f>VLOOKUP(A272,DATA!$A$4:$V$350,22,0)</f>
        <v>0</v>
      </c>
      <c r="X272" s="96">
        <f t="shared" si="72"/>
        <v>0</v>
      </c>
      <c r="Y272" s="31">
        <f>ROUND(X272*PARAMETROS!$H$35,0)</f>
        <v>0</v>
      </c>
      <c r="Z272" s="31">
        <f t="shared" si="75"/>
        <v>0</v>
      </c>
      <c r="AA272" s="31">
        <f t="shared" si="76"/>
        <v>0</v>
      </c>
      <c r="AB272" s="31">
        <f t="shared" si="77"/>
        <v>0</v>
      </c>
      <c r="AC272" s="31">
        <f t="shared" si="77"/>
        <v>0</v>
      </c>
      <c r="AD272" s="38">
        <f t="shared" si="78"/>
        <v>0</v>
      </c>
    </row>
    <row r="273" spans="1:30" ht="3" customHeight="1" x14ac:dyDescent="0.25">
      <c r="A273">
        <v>13108</v>
      </c>
      <c r="B273">
        <v>13167</v>
      </c>
      <c r="C273" t="s">
        <v>299</v>
      </c>
      <c r="D273" s="6" t="str">
        <f>+DATA!U269</f>
        <v>No</v>
      </c>
      <c r="E273" s="361">
        <f t="shared" si="65"/>
        <v>0</v>
      </c>
      <c r="F273" s="95">
        <f t="shared" si="73"/>
        <v>0</v>
      </c>
      <c r="G273" s="31">
        <f>IF(OR(D273="SI",D273="Sí"),VLOOKUP(A273,DATA!$A$4:$D$350,4,0),0)</f>
        <v>0</v>
      </c>
      <c r="H273" s="95">
        <f>IF(OR(D273="SI",D273="Sí"),VLOOKUP(A273,DATA!$A$4:$E$350,5,0),0)</f>
        <v>0</v>
      </c>
      <c r="I273" s="31">
        <f t="shared" si="79"/>
        <v>0</v>
      </c>
      <c r="J273" s="361">
        <f t="shared" si="66"/>
        <v>0</v>
      </c>
      <c r="K273" s="361">
        <f t="shared" si="67"/>
        <v>0</v>
      </c>
      <c r="L273" s="31">
        <f>IF(OR(D273="SI",D273="Sí"),VLOOKUP(A273,DATA!$A$4:$G$350,7,0),0)</f>
        <v>0</v>
      </c>
      <c r="M273" s="31">
        <f>IF(OR(D273="SI",D273="Sí"),VLOOKUP(A273,DATA!$A$4:$H$350,8,0),0)</f>
        <v>0</v>
      </c>
      <c r="N273" s="361">
        <f t="shared" si="68"/>
        <v>0</v>
      </c>
      <c r="O273" s="361">
        <f t="shared" si="74"/>
        <v>0</v>
      </c>
      <c r="P273" s="361">
        <f t="shared" si="69"/>
        <v>0</v>
      </c>
      <c r="Q273" s="31">
        <f>IF(OR(D273="SI",D273="Sí"),VLOOKUP(A273,DATA!$A$4:$P$350,14,0),0)</f>
        <v>0</v>
      </c>
      <c r="R273" s="121">
        <f t="shared" si="80"/>
        <v>0</v>
      </c>
      <c r="S273" s="31">
        <f>IF(AND(R273&gt;0,R273&lt;$R$7),ROUND(($R$7-R273)*G273,PARAMETROS!$L$8),0)</f>
        <v>0</v>
      </c>
      <c r="T273" s="122">
        <f t="shared" si="70"/>
        <v>0</v>
      </c>
      <c r="U273" s="117">
        <f t="shared" si="71"/>
        <v>0</v>
      </c>
      <c r="V273" s="117">
        <f>VLOOKUP(A273,DATA!$A$4:$V$350,DATA!$V$1,0)</f>
        <v>0</v>
      </c>
      <c r="W273" s="117">
        <f>VLOOKUP(A273,DATA!$A$4:$V$350,22,0)</f>
        <v>0</v>
      </c>
      <c r="X273" s="96">
        <f t="shared" si="72"/>
        <v>0</v>
      </c>
      <c r="Y273" s="31">
        <f>ROUND(X273*PARAMETROS!$H$35,0)</f>
        <v>0</v>
      </c>
      <c r="Z273" s="31">
        <f t="shared" si="75"/>
        <v>0</v>
      </c>
      <c r="AA273" s="31">
        <f t="shared" si="76"/>
        <v>0</v>
      </c>
      <c r="AB273" s="31">
        <f t="shared" si="77"/>
        <v>0</v>
      </c>
      <c r="AC273" s="31">
        <f t="shared" si="77"/>
        <v>0</v>
      </c>
      <c r="AD273" s="38">
        <f t="shared" si="78"/>
        <v>0</v>
      </c>
    </row>
    <row r="274" spans="1:30" ht="3" customHeight="1" x14ac:dyDescent="0.25">
      <c r="A274">
        <v>13109</v>
      </c>
      <c r="B274">
        <v>13110</v>
      </c>
      <c r="C274" t="s">
        <v>280</v>
      </c>
      <c r="D274" s="6" t="str">
        <f>+DATA!U270</f>
        <v>No</v>
      </c>
      <c r="E274" s="361">
        <f t="shared" si="65"/>
        <v>0</v>
      </c>
      <c r="F274" s="95">
        <f t="shared" si="73"/>
        <v>0</v>
      </c>
      <c r="G274" s="31">
        <f>IF(OR(D274="SI",D274="Sí"),VLOOKUP(A274,DATA!$A$4:$D$350,4,0),0)</f>
        <v>0</v>
      </c>
      <c r="H274" s="95">
        <f>IF(OR(D274="SI",D274="Sí"),VLOOKUP(A274,DATA!$A$4:$E$350,5,0),0)</f>
        <v>0</v>
      </c>
      <c r="I274" s="31">
        <f t="shared" si="79"/>
        <v>0</v>
      </c>
      <c r="J274" s="361">
        <f t="shared" si="66"/>
        <v>0</v>
      </c>
      <c r="K274" s="361">
        <f t="shared" si="67"/>
        <v>0</v>
      </c>
      <c r="L274" s="31">
        <f>IF(OR(D274="SI",D274="Sí"),VLOOKUP(A274,DATA!$A$4:$G$350,7,0),0)</f>
        <v>0</v>
      </c>
      <c r="M274" s="31">
        <f>IF(OR(D274="SI",D274="Sí"),VLOOKUP(A274,DATA!$A$4:$H$350,8,0),0)</f>
        <v>0</v>
      </c>
      <c r="N274" s="361">
        <f t="shared" si="68"/>
        <v>0</v>
      </c>
      <c r="O274" s="361">
        <f t="shared" si="74"/>
        <v>0</v>
      </c>
      <c r="P274" s="361">
        <f t="shared" si="69"/>
        <v>0</v>
      </c>
      <c r="Q274" s="31">
        <f>IF(OR(D274="SI",D274="Sí"),VLOOKUP(A274,DATA!$A$4:$P$350,14,0),0)</f>
        <v>0</v>
      </c>
      <c r="R274" s="121">
        <f t="shared" si="80"/>
        <v>0</v>
      </c>
      <c r="S274" s="31">
        <f>IF(AND(R274&gt;0,R274&lt;$R$7),ROUND(($R$7-R274)*G274,PARAMETROS!$L$8),0)</f>
        <v>0</v>
      </c>
      <c r="T274" s="122">
        <f t="shared" si="70"/>
        <v>0</v>
      </c>
      <c r="U274" s="117">
        <f t="shared" si="71"/>
        <v>0</v>
      </c>
      <c r="V274" s="117">
        <f>VLOOKUP(A274,DATA!$A$4:$V$350,DATA!$V$1,0)</f>
        <v>0</v>
      </c>
      <c r="W274" s="117">
        <f>VLOOKUP(A274,DATA!$A$4:$V$350,22,0)</f>
        <v>0</v>
      </c>
      <c r="X274" s="96">
        <f t="shared" si="72"/>
        <v>0</v>
      </c>
      <c r="Y274" s="31">
        <f>ROUND(X274*PARAMETROS!$H$35,0)</f>
        <v>0</v>
      </c>
      <c r="Z274" s="31">
        <f t="shared" si="75"/>
        <v>0</v>
      </c>
      <c r="AA274" s="31">
        <f t="shared" si="76"/>
        <v>0</v>
      </c>
      <c r="AB274" s="31">
        <f t="shared" si="77"/>
        <v>0</v>
      </c>
      <c r="AC274" s="31">
        <f t="shared" si="77"/>
        <v>0</v>
      </c>
      <c r="AD274" s="38">
        <f t="shared" si="78"/>
        <v>0</v>
      </c>
    </row>
    <row r="275" spans="1:30" ht="3" customHeight="1" x14ac:dyDescent="0.25">
      <c r="A275">
        <v>13110</v>
      </c>
      <c r="B275">
        <v>13128</v>
      </c>
      <c r="C275" t="s">
        <v>284</v>
      </c>
      <c r="D275" s="6" t="str">
        <f>+DATA!U271</f>
        <v>No</v>
      </c>
      <c r="E275" s="361">
        <f t="shared" si="65"/>
        <v>0</v>
      </c>
      <c r="F275" s="95">
        <f t="shared" si="73"/>
        <v>0</v>
      </c>
      <c r="G275" s="31">
        <f>IF(OR(D275="SI",D275="Sí"),VLOOKUP(A275,DATA!$A$4:$D$350,4,0),0)</f>
        <v>0</v>
      </c>
      <c r="H275" s="95">
        <f>IF(OR(D275="SI",D275="Sí"),VLOOKUP(A275,DATA!$A$4:$E$350,5,0),0)</f>
        <v>0</v>
      </c>
      <c r="I275" s="31">
        <f t="shared" si="79"/>
        <v>0</v>
      </c>
      <c r="J275" s="361">
        <f t="shared" si="66"/>
        <v>0</v>
      </c>
      <c r="K275" s="361">
        <f t="shared" si="67"/>
        <v>0</v>
      </c>
      <c r="L275" s="31">
        <f>IF(OR(D275="SI",D275="Sí"),VLOOKUP(A275,DATA!$A$4:$G$350,7,0),0)</f>
        <v>0</v>
      </c>
      <c r="M275" s="31">
        <f>IF(OR(D275="SI",D275="Sí"),VLOOKUP(A275,DATA!$A$4:$H$350,8,0),0)</f>
        <v>0</v>
      </c>
      <c r="N275" s="361">
        <f t="shared" si="68"/>
        <v>0</v>
      </c>
      <c r="O275" s="361">
        <f t="shared" si="74"/>
        <v>0</v>
      </c>
      <c r="P275" s="361">
        <f t="shared" si="69"/>
        <v>0</v>
      </c>
      <c r="Q275" s="31">
        <f>IF(OR(D275="SI",D275="Sí"),VLOOKUP(A275,DATA!$A$4:$P$350,14,0),0)</f>
        <v>0</v>
      </c>
      <c r="R275" s="121">
        <f t="shared" si="80"/>
        <v>0</v>
      </c>
      <c r="S275" s="31">
        <f>IF(AND(R275&gt;0,R275&lt;$R$7),ROUND(($R$7-R275)*G275,PARAMETROS!$L$8),0)</f>
        <v>0</v>
      </c>
      <c r="T275" s="122">
        <f t="shared" si="70"/>
        <v>0</v>
      </c>
      <c r="U275" s="117">
        <f t="shared" si="71"/>
        <v>0</v>
      </c>
      <c r="V275" s="117">
        <f>VLOOKUP(A275,DATA!$A$4:$V$350,DATA!$V$1,0)</f>
        <v>0</v>
      </c>
      <c r="W275" s="117">
        <f>VLOOKUP(A275,DATA!$A$4:$V$350,22,0)</f>
        <v>0</v>
      </c>
      <c r="X275" s="96">
        <f t="shared" si="72"/>
        <v>0</v>
      </c>
      <c r="Y275" s="31">
        <f>ROUND(X275*PARAMETROS!$H$35,0)</f>
        <v>0</v>
      </c>
      <c r="Z275" s="31">
        <f t="shared" si="75"/>
        <v>0</v>
      </c>
      <c r="AA275" s="31">
        <f t="shared" si="76"/>
        <v>0</v>
      </c>
      <c r="AB275" s="31">
        <f t="shared" si="77"/>
        <v>0</v>
      </c>
      <c r="AC275" s="31">
        <f t="shared" si="77"/>
        <v>0</v>
      </c>
      <c r="AD275" s="38">
        <f t="shared" si="78"/>
        <v>0</v>
      </c>
    </row>
    <row r="276" spans="1:30" ht="3" customHeight="1" x14ac:dyDescent="0.25">
      <c r="A276">
        <v>13111</v>
      </c>
      <c r="B276">
        <v>13131</v>
      </c>
      <c r="C276" t="s">
        <v>285</v>
      </c>
      <c r="D276" s="6" t="str">
        <f>+DATA!U272</f>
        <v>No</v>
      </c>
      <c r="E276" s="361">
        <f t="shared" si="65"/>
        <v>0</v>
      </c>
      <c r="F276" s="95">
        <f t="shared" si="73"/>
        <v>0</v>
      </c>
      <c r="G276" s="31">
        <f>IF(OR(D276="SI",D276="Sí"),VLOOKUP(A276,DATA!$A$4:$D$350,4,0),0)</f>
        <v>0</v>
      </c>
      <c r="H276" s="95">
        <f>IF(OR(D276="SI",D276="Sí"),VLOOKUP(A276,DATA!$A$4:$E$350,5,0),0)</f>
        <v>0</v>
      </c>
      <c r="I276" s="31">
        <f t="shared" si="79"/>
        <v>0</v>
      </c>
      <c r="J276" s="361">
        <f t="shared" si="66"/>
        <v>0</v>
      </c>
      <c r="K276" s="361">
        <f t="shared" si="67"/>
        <v>0</v>
      </c>
      <c r="L276" s="31">
        <f>IF(OR(D276="SI",D276="Sí"),VLOOKUP(A276,DATA!$A$4:$G$350,7,0),0)</f>
        <v>0</v>
      </c>
      <c r="M276" s="31">
        <f>IF(OR(D276="SI",D276="Sí"),VLOOKUP(A276,DATA!$A$4:$H$350,8,0),0)</f>
        <v>0</v>
      </c>
      <c r="N276" s="361">
        <f t="shared" si="68"/>
        <v>0</v>
      </c>
      <c r="O276" s="361">
        <f t="shared" si="74"/>
        <v>0</v>
      </c>
      <c r="P276" s="361">
        <f t="shared" si="69"/>
        <v>0</v>
      </c>
      <c r="Q276" s="31">
        <f>IF(OR(D276="SI",D276="Sí"),VLOOKUP(A276,DATA!$A$4:$P$350,14,0),0)</f>
        <v>0</v>
      </c>
      <c r="R276" s="121">
        <f t="shared" si="80"/>
        <v>0</v>
      </c>
      <c r="S276" s="31">
        <f>IF(AND(R276&gt;0,R276&lt;$R$7),ROUND(($R$7-R276)*G276,PARAMETROS!$L$8),0)</f>
        <v>0</v>
      </c>
      <c r="T276" s="122">
        <f t="shared" si="70"/>
        <v>0</v>
      </c>
      <c r="U276" s="117">
        <f t="shared" si="71"/>
        <v>0</v>
      </c>
      <c r="V276" s="117">
        <f>VLOOKUP(A276,DATA!$A$4:$V$350,DATA!$V$1,0)</f>
        <v>0</v>
      </c>
      <c r="W276" s="117">
        <f>VLOOKUP(A276,DATA!$A$4:$V$350,22,0)</f>
        <v>0</v>
      </c>
      <c r="X276" s="96">
        <f t="shared" si="72"/>
        <v>0</v>
      </c>
      <c r="Y276" s="31">
        <f>ROUND(X276*PARAMETROS!$H$35,0)</f>
        <v>0</v>
      </c>
      <c r="Z276" s="31">
        <f t="shared" si="75"/>
        <v>0</v>
      </c>
      <c r="AA276" s="31">
        <f t="shared" si="76"/>
        <v>0</v>
      </c>
      <c r="AB276" s="31">
        <f t="shared" si="77"/>
        <v>0</v>
      </c>
      <c r="AC276" s="31">
        <f t="shared" si="77"/>
        <v>0</v>
      </c>
      <c r="AD276" s="38">
        <f t="shared" si="78"/>
        <v>0</v>
      </c>
    </row>
    <row r="277" spans="1:30" ht="3" customHeight="1" x14ac:dyDescent="0.25">
      <c r="A277">
        <v>13112</v>
      </c>
      <c r="B277">
        <v>13154</v>
      </c>
      <c r="C277" t="s">
        <v>288</v>
      </c>
      <c r="D277" s="6" t="str">
        <f>+DATA!U273</f>
        <v>No</v>
      </c>
      <c r="E277" s="361">
        <f t="shared" si="65"/>
        <v>0</v>
      </c>
      <c r="F277" s="95">
        <f t="shared" si="73"/>
        <v>0</v>
      </c>
      <c r="G277" s="31">
        <f>IF(OR(D277="SI",D277="Sí"),VLOOKUP(A277,DATA!$A$4:$D$350,4,0),0)</f>
        <v>0</v>
      </c>
      <c r="H277" s="95">
        <f>IF(OR(D277="SI",D277="Sí"),VLOOKUP(A277,DATA!$A$4:$E$350,5,0),0)</f>
        <v>0</v>
      </c>
      <c r="I277" s="31">
        <f t="shared" si="79"/>
        <v>0</v>
      </c>
      <c r="J277" s="361">
        <f t="shared" si="66"/>
        <v>0</v>
      </c>
      <c r="K277" s="361">
        <f t="shared" si="67"/>
        <v>0</v>
      </c>
      <c r="L277" s="31">
        <f>IF(OR(D277="SI",D277="Sí"),VLOOKUP(A277,DATA!$A$4:$G$350,7,0),0)</f>
        <v>0</v>
      </c>
      <c r="M277" s="31">
        <f>IF(OR(D277="SI",D277="Sí"),VLOOKUP(A277,DATA!$A$4:$H$350,8,0),0)</f>
        <v>0</v>
      </c>
      <c r="N277" s="361">
        <f t="shared" si="68"/>
        <v>0</v>
      </c>
      <c r="O277" s="361">
        <f t="shared" si="74"/>
        <v>0</v>
      </c>
      <c r="P277" s="361">
        <f t="shared" si="69"/>
        <v>0</v>
      </c>
      <c r="Q277" s="31">
        <f>IF(OR(D277="SI",D277="Sí"),VLOOKUP(A277,DATA!$A$4:$P$350,14,0),0)</f>
        <v>0</v>
      </c>
      <c r="R277" s="121">
        <f t="shared" si="80"/>
        <v>0</v>
      </c>
      <c r="S277" s="31">
        <f>IF(AND(R277&gt;0,R277&lt;$R$7),ROUND(($R$7-R277)*G277,PARAMETROS!$L$8),0)</f>
        <v>0</v>
      </c>
      <c r="T277" s="122">
        <f t="shared" si="70"/>
        <v>0</v>
      </c>
      <c r="U277" s="117">
        <f t="shared" si="71"/>
        <v>0</v>
      </c>
      <c r="V277" s="117">
        <f>VLOOKUP(A277,DATA!$A$4:$V$350,DATA!$V$1,0)</f>
        <v>0</v>
      </c>
      <c r="W277" s="117">
        <f>VLOOKUP(A277,DATA!$A$4:$V$350,22,0)</f>
        <v>0</v>
      </c>
      <c r="X277" s="96">
        <f t="shared" si="72"/>
        <v>0</v>
      </c>
      <c r="Y277" s="31">
        <f>ROUND(X277*PARAMETROS!$H$35,0)</f>
        <v>0</v>
      </c>
      <c r="Z277" s="31">
        <f t="shared" si="75"/>
        <v>0</v>
      </c>
      <c r="AA277" s="31">
        <f t="shared" si="76"/>
        <v>0</v>
      </c>
      <c r="AB277" s="31">
        <f t="shared" si="77"/>
        <v>0</v>
      </c>
      <c r="AC277" s="31">
        <f t="shared" si="77"/>
        <v>0</v>
      </c>
      <c r="AD277" s="38">
        <f t="shared" si="78"/>
        <v>0</v>
      </c>
    </row>
    <row r="278" spans="1:30" ht="3" customHeight="1" x14ac:dyDescent="0.25">
      <c r="A278">
        <v>13113</v>
      </c>
      <c r="B278">
        <v>13132</v>
      </c>
      <c r="C278" t="s">
        <v>286</v>
      </c>
      <c r="D278" s="6" t="str">
        <f>+DATA!U274</f>
        <v>No</v>
      </c>
      <c r="E278" s="361">
        <f t="shared" si="65"/>
        <v>0</v>
      </c>
      <c r="F278" s="95">
        <f t="shared" si="73"/>
        <v>0</v>
      </c>
      <c r="G278" s="31">
        <f>IF(OR(D278="SI",D278="Sí"),VLOOKUP(A278,DATA!$A$4:$D$350,4,0),0)</f>
        <v>0</v>
      </c>
      <c r="H278" s="95">
        <f>IF(OR(D278="SI",D278="Sí"),VLOOKUP(A278,DATA!$A$4:$E$350,5,0),0)</f>
        <v>0</v>
      </c>
      <c r="I278" s="31">
        <f t="shared" si="79"/>
        <v>0</v>
      </c>
      <c r="J278" s="361">
        <f t="shared" si="66"/>
        <v>0</v>
      </c>
      <c r="K278" s="361">
        <f t="shared" si="67"/>
        <v>0</v>
      </c>
      <c r="L278" s="31">
        <f>IF(OR(D278="SI",D278="Sí"),VLOOKUP(A278,DATA!$A$4:$G$350,7,0),0)</f>
        <v>0</v>
      </c>
      <c r="M278" s="31">
        <f>IF(OR(D278="SI",D278="Sí"),VLOOKUP(A278,DATA!$A$4:$H$350,8,0),0)</f>
        <v>0</v>
      </c>
      <c r="N278" s="361">
        <f t="shared" si="68"/>
        <v>0</v>
      </c>
      <c r="O278" s="361">
        <f t="shared" si="74"/>
        <v>0</v>
      </c>
      <c r="P278" s="361">
        <f t="shared" si="69"/>
        <v>0</v>
      </c>
      <c r="Q278" s="31">
        <f>IF(OR(D278="SI",D278="Sí"),VLOOKUP(A278,DATA!$A$4:$P$350,14,0),0)</f>
        <v>0</v>
      </c>
      <c r="R278" s="121">
        <f t="shared" si="80"/>
        <v>0</v>
      </c>
      <c r="S278" s="31">
        <f>IF(AND(R278&gt;0,R278&lt;$R$7),ROUND(($R$7-R278)*G278,PARAMETROS!$L$8),0)</f>
        <v>0</v>
      </c>
      <c r="T278" s="122">
        <f t="shared" si="70"/>
        <v>0</v>
      </c>
      <c r="U278" s="117">
        <f t="shared" si="71"/>
        <v>0</v>
      </c>
      <c r="V278" s="117">
        <f>VLOOKUP(A278,DATA!$A$4:$V$350,DATA!$V$1,0)</f>
        <v>0</v>
      </c>
      <c r="W278" s="117">
        <f>VLOOKUP(A278,DATA!$A$4:$V$350,22,0)</f>
        <v>0</v>
      </c>
      <c r="X278" s="96">
        <f t="shared" si="72"/>
        <v>0</v>
      </c>
      <c r="Y278" s="31">
        <f>ROUND(X278*PARAMETROS!$H$35,0)</f>
        <v>0</v>
      </c>
      <c r="Z278" s="31">
        <f t="shared" si="75"/>
        <v>0</v>
      </c>
      <c r="AA278" s="31">
        <f t="shared" si="76"/>
        <v>0</v>
      </c>
      <c r="AB278" s="31">
        <f t="shared" si="77"/>
        <v>0</v>
      </c>
      <c r="AC278" s="31">
        <f t="shared" si="77"/>
        <v>0</v>
      </c>
      <c r="AD278" s="38">
        <f t="shared" si="78"/>
        <v>0</v>
      </c>
    </row>
    <row r="279" spans="1:30" ht="3" customHeight="1" x14ac:dyDescent="0.25">
      <c r="A279">
        <v>13114</v>
      </c>
      <c r="B279">
        <v>13108</v>
      </c>
      <c r="C279" t="s">
        <v>279</v>
      </c>
      <c r="D279" s="6" t="str">
        <f>+DATA!U275</f>
        <v>No</v>
      </c>
      <c r="E279" s="361">
        <f t="shared" si="65"/>
        <v>0</v>
      </c>
      <c r="F279" s="95">
        <f t="shared" si="73"/>
        <v>0</v>
      </c>
      <c r="G279" s="31">
        <f>IF(OR(D279="SI",D279="Sí"),VLOOKUP(A279,DATA!$A$4:$D$350,4,0),0)</f>
        <v>0</v>
      </c>
      <c r="H279" s="95">
        <f>IF(OR(D279="SI",D279="Sí"),VLOOKUP(A279,DATA!$A$4:$E$350,5,0),0)</f>
        <v>0</v>
      </c>
      <c r="I279" s="31">
        <f t="shared" si="79"/>
        <v>0</v>
      </c>
      <c r="J279" s="361">
        <f t="shared" si="66"/>
        <v>0</v>
      </c>
      <c r="K279" s="361">
        <f t="shared" si="67"/>
        <v>0</v>
      </c>
      <c r="L279" s="31">
        <f>IF(OR(D279="SI",D279="Sí"),VLOOKUP(A279,DATA!$A$4:$G$350,7,0),0)</f>
        <v>0</v>
      </c>
      <c r="M279" s="31">
        <f>IF(OR(D279="SI",D279="Sí"),VLOOKUP(A279,DATA!$A$4:$H$350,8,0),0)</f>
        <v>0</v>
      </c>
      <c r="N279" s="361">
        <f t="shared" si="68"/>
        <v>0</v>
      </c>
      <c r="O279" s="361">
        <f t="shared" si="74"/>
        <v>0</v>
      </c>
      <c r="P279" s="361">
        <f t="shared" si="69"/>
        <v>0</v>
      </c>
      <c r="Q279" s="31">
        <f>IF(OR(D279="SI",D279="Sí"),VLOOKUP(A279,DATA!$A$4:$P$350,14,0),0)</f>
        <v>0</v>
      </c>
      <c r="R279" s="121">
        <f t="shared" si="80"/>
        <v>0</v>
      </c>
      <c r="S279" s="31">
        <f>IF(AND(R279&gt;0,R279&lt;$R$7),ROUND(($R$7-R279)*G279,PARAMETROS!$L$8),0)</f>
        <v>0</v>
      </c>
      <c r="T279" s="122">
        <f t="shared" si="70"/>
        <v>0</v>
      </c>
      <c r="U279" s="117">
        <f t="shared" si="71"/>
        <v>0</v>
      </c>
      <c r="V279" s="117">
        <f>VLOOKUP(A279,DATA!$A$4:$V$350,DATA!$V$1,0)</f>
        <v>0</v>
      </c>
      <c r="W279" s="117">
        <f>VLOOKUP(A279,DATA!$A$4:$V$350,22,0)</f>
        <v>0</v>
      </c>
      <c r="X279" s="96">
        <f t="shared" si="72"/>
        <v>0</v>
      </c>
      <c r="Y279" s="31">
        <f>ROUND(X279*PARAMETROS!$H$35,0)</f>
        <v>0</v>
      </c>
      <c r="Z279" s="31">
        <f t="shared" si="75"/>
        <v>0</v>
      </c>
      <c r="AA279" s="31">
        <f t="shared" si="76"/>
        <v>0</v>
      </c>
      <c r="AB279" s="31">
        <f t="shared" si="77"/>
        <v>0</v>
      </c>
      <c r="AC279" s="31">
        <f t="shared" si="77"/>
        <v>0</v>
      </c>
      <c r="AD279" s="38">
        <f t="shared" si="78"/>
        <v>0</v>
      </c>
    </row>
    <row r="280" spans="1:30" ht="3" customHeight="1" x14ac:dyDescent="0.25">
      <c r="A280">
        <v>13115</v>
      </c>
      <c r="B280">
        <v>13161</v>
      </c>
      <c r="C280" t="s">
        <v>294</v>
      </c>
      <c r="D280" s="6" t="str">
        <f>+DATA!U276</f>
        <v>No</v>
      </c>
      <c r="E280" s="361">
        <f t="shared" si="65"/>
        <v>0</v>
      </c>
      <c r="F280" s="95">
        <f t="shared" si="73"/>
        <v>0</v>
      </c>
      <c r="G280" s="31">
        <f>IF(OR(D280="SI",D280="Sí"),VLOOKUP(A280,DATA!$A$4:$D$350,4,0),0)</f>
        <v>0</v>
      </c>
      <c r="H280" s="95">
        <f>IF(OR(D280="SI",D280="Sí"),VLOOKUP(A280,DATA!$A$4:$E$350,5,0),0)</f>
        <v>0</v>
      </c>
      <c r="I280" s="31">
        <f t="shared" si="79"/>
        <v>0</v>
      </c>
      <c r="J280" s="361">
        <f t="shared" si="66"/>
        <v>0</v>
      </c>
      <c r="K280" s="361">
        <f t="shared" si="67"/>
        <v>0</v>
      </c>
      <c r="L280" s="31">
        <f>IF(OR(D280="SI",D280="Sí"),VLOOKUP(A280,DATA!$A$4:$G$350,7,0),0)</f>
        <v>0</v>
      </c>
      <c r="M280" s="31">
        <f>IF(OR(D280="SI",D280="Sí"),VLOOKUP(A280,DATA!$A$4:$H$350,8,0),0)</f>
        <v>0</v>
      </c>
      <c r="N280" s="361">
        <f t="shared" si="68"/>
        <v>0</v>
      </c>
      <c r="O280" s="361">
        <f t="shared" si="74"/>
        <v>0</v>
      </c>
      <c r="P280" s="361">
        <f t="shared" si="69"/>
        <v>0</v>
      </c>
      <c r="Q280" s="31">
        <f>IF(OR(D280="SI",D280="Sí"),VLOOKUP(A280,DATA!$A$4:$P$350,14,0),0)</f>
        <v>0</v>
      </c>
      <c r="R280" s="121">
        <f t="shared" si="80"/>
        <v>0</v>
      </c>
      <c r="S280" s="31">
        <f>IF(AND(R280&gt;0,R280&lt;$R$7),ROUND(($R$7-R280)*G280,PARAMETROS!$L$8),0)</f>
        <v>0</v>
      </c>
      <c r="T280" s="122">
        <f t="shared" si="70"/>
        <v>0</v>
      </c>
      <c r="U280" s="117">
        <f t="shared" si="71"/>
        <v>0</v>
      </c>
      <c r="V280" s="117">
        <f>VLOOKUP(A280,DATA!$A$4:$V$350,DATA!$V$1,0)</f>
        <v>0</v>
      </c>
      <c r="W280" s="117">
        <f>VLOOKUP(A280,DATA!$A$4:$V$350,22,0)</f>
        <v>0</v>
      </c>
      <c r="X280" s="96">
        <f t="shared" si="72"/>
        <v>0</v>
      </c>
      <c r="Y280" s="31">
        <f>ROUND(X280*PARAMETROS!$H$35,0)</f>
        <v>0</v>
      </c>
      <c r="Z280" s="31">
        <f t="shared" si="75"/>
        <v>0</v>
      </c>
      <c r="AA280" s="31">
        <f t="shared" si="76"/>
        <v>0</v>
      </c>
      <c r="AB280" s="31">
        <f t="shared" si="77"/>
        <v>0</v>
      </c>
      <c r="AC280" s="31">
        <f t="shared" si="77"/>
        <v>0</v>
      </c>
      <c r="AD280" s="38">
        <f t="shared" si="78"/>
        <v>0</v>
      </c>
    </row>
    <row r="281" spans="1:30" ht="3" customHeight="1" x14ac:dyDescent="0.25">
      <c r="A281">
        <v>13116</v>
      </c>
      <c r="B281">
        <v>13164</v>
      </c>
      <c r="C281" t="s">
        <v>296</v>
      </c>
      <c r="D281" s="6" t="str">
        <f>+DATA!U277</f>
        <v>No</v>
      </c>
      <c r="E281" s="361">
        <f t="shared" si="65"/>
        <v>0</v>
      </c>
      <c r="F281" s="95">
        <f t="shared" si="73"/>
        <v>0</v>
      </c>
      <c r="G281" s="31">
        <f>IF(OR(D281="SI",D281="Sí"),VLOOKUP(A281,DATA!$A$4:$D$350,4,0),0)</f>
        <v>0</v>
      </c>
      <c r="H281" s="95">
        <f>IF(OR(D281="SI",D281="Sí"),VLOOKUP(A281,DATA!$A$4:$E$350,5,0),0)</f>
        <v>0</v>
      </c>
      <c r="I281" s="31">
        <f t="shared" si="79"/>
        <v>0</v>
      </c>
      <c r="J281" s="361">
        <f t="shared" si="66"/>
        <v>0</v>
      </c>
      <c r="K281" s="361">
        <f t="shared" si="67"/>
        <v>0</v>
      </c>
      <c r="L281" s="31">
        <f>IF(OR(D281="SI",D281="Sí"),VLOOKUP(A281,DATA!$A$4:$G$350,7,0),0)</f>
        <v>0</v>
      </c>
      <c r="M281" s="31">
        <f>IF(OR(D281="SI",D281="Sí"),VLOOKUP(A281,DATA!$A$4:$H$350,8,0),0)</f>
        <v>0</v>
      </c>
      <c r="N281" s="361">
        <f t="shared" si="68"/>
        <v>0</v>
      </c>
      <c r="O281" s="361">
        <f t="shared" si="74"/>
        <v>0</v>
      </c>
      <c r="P281" s="361">
        <f t="shared" si="69"/>
        <v>0</v>
      </c>
      <c r="Q281" s="31">
        <f>IF(OR(D281="SI",D281="Sí"),VLOOKUP(A281,DATA!$A$4:$P$350,14,0),0)</f>
        <v>0</v>
      </c>
      <c r="R281" s="121">
        <f t="shared" si="80"/>
        <v>0</v>
      </c>
      <c r="S281" s="31">
        <f>IF(AND(R281&gt;0,R281&lt;$R$7),ROUND(($R$7-R281)*G281,PARAMETROS!$L$8),0)</f>
        <v>0</v>
      </c>
      <c r="T281" s="122">
        <f t="shared" si="70"/>
        <v>0</v>
      </c>
      <c r="U281" s="117">
        <f t="shared" si="71"/>
        <v>0</v>
      </c>
      <c r="V281" s="117">
        <f>VLOOKUP(A281,DATA!$A$4:$V$350,DATA!$V$1,0)</f>
        <v>0</v>
      </c>
      <c r="W281" s="117">
        <f>VLOOKUP(A281,DATA!$A$4:$V$350,22,0)</f>
        <v>0</v>
      </c>
      <c r="X281" s="96">
        <f t="shared" si="72"/>
        <v>0</v>
      </c>
      <c r="Y281" s="31">
        <f>ROUND(X281*PARAMETROS!$H$35,0)</f>
        <v>0</v>
      </c>
      <c r="Z281" s="31">
        <f t="shared" si="75"/>
        <v>0</v>
      </c>
      <c r="AA281" s="31">
        <f t="shared" si="76"/>
        <v>0</v>
      </c>
      <c r="AB281" s="31">
        <f t="shared" si="77"/>
        <v>0</v>
      </c>
      <c r="AC281" s="31">
        <f t="shared" si="77"/>
        <v>0</v>
      </c>
      <c r="AD281" s="38">
        <f t="shared" si="78"/>
        <v>0</v>
      </c>
    </row>
    <row r="282" spans="1:30" ht="3" customHeight="1" x14ac:dyDescent="0.25">
      <c r="A282">
        <v>13117</v>
      </c>
      <c r="B282">
        <v>13155</v>
      </c>
      <c r="C282" t="s">
        <v>289</v>
      </c>
      <c r="D282" s="6" t="str">
        <f>+DATA!U278</f>
        <v>No</v>
      </c>
      <c r="E282" s="361">
        <f t="shared" si="65"/>
        <v>0</v>
      </c>
      <c r="F282" s="95">
        <f t="shared" si="73"/>
        <v>0</v>
      </c>
      <c r="G282" s="31">
        <f>IF(OR(D282="SI",D282="Sí"),VLOOKUP(A282,DATA!$A$4:$D$350,4,0),0)</f>
        <v>0</v>
      </c>
      <c r="H282" s="95">
        <f>IF(OR(D282="SI",D282="Sí"),VLOOKUP(A282,DATA!$A$4:$E$350,5,0),0)</f>
        <v>0</v>
      </c>
      <c r="I282" s="31">
        <f t="shared" si="79"/>
        <v>0</v>
      </c>
      <c r="J282" s="361">
        <f t="shared" si="66"/>
        <v>0</v>
      </c>
      <c r="K282" s="361">
        <f t="shared" si="67"/>
        <v>0</v>
      </c>
      <c r="L282" s="31">
        <f>IF(OR(D282="SI",D282="Sí"),VLOOKUP(A282,DATA!$A$4:$G$350,7,0),0)</f>
        <v>0</v>
      </c>
      <c r="M282" s="31">
        <f>IF(OR(D282="SI",D282="Sí"),VLOOKUP(A282,DATA!$A$4:$H$350,8,0),0)</f>
        <v>0</v>
      </c>
      <c r="N282" s="361">
        <f t="shared" si="68"/>
        <v>0</v>
      </c>
      <c r="O282" s="361">
        <f t="shared" si="74"/>
        <v>0</v>
      </c>
      <c r="P282" s="361">
        <f t="shared" si="69"/>
        <v>0</v>
      </c>
      <c r="Q282" s="31">
        <f>IF(OR(D282="SI",D282="Sí"),VLOOKUP(A282,DATA!$A$4:$P$350,14,0),0)</f>
        <v>0</v>
      </c>
      <c r="R282" s="121">
        <f t="shared" si="80"/>
        <v>0</v>
      </c>
      <c r="S282" s="31">
        <f>IF(AND(R282&gt;0,R282&lt;$R$7),ROUND(($R$7-R282)*G282,PARAMETROS!$L$8),0)</f>
        <v>0</v>
      </c>
      <c r="T282" s="122">
        <f t="shared" si="70"/>
        <v>0</v>
      </c>
      <c r="U282" s="117">
        <f t="shared" si="71"/>
        <v>0</v>
      </c>
      <c r="V282" s="117">
        <f>VLOOKUP(A282,DATA!$A$4:$V$350,DATA!$V$1,0)</f>
        <v>0</v>
      </c>
      <c r="W282" s="117">
        <f>VLOOKUP(A282,DATA!$A$4:$V$350,22,0)</f>
        <v>0</v>
      </c>
      <c r="X282" s="96">
        <f t="shared" si="72"/>
        <v>0</v>
      </c>
      <c r="Y282" s="31">
        <f>ROUND(X282*PARAMETROS!$H$35,0)</f>
        <v>0</v>
      </c>
      <c r="Z282" s="31">
        <f t="shared" si="75"/>
        <v>0</v>
      </c>
      <c r="AA282" s="31">
        <f t="shared" si="76"/>
        <v>0</v>
      </c>
      <c r="AB282" s="31">
        <f t="shared" si="77"/>
        <v>0</v>
      </c>
      <c r="AC282" s="31">
        <f t="shared" si="77"/>
        <v>0</v>
      </c>
      <c r="AD282" s="38">
        <f t="shared" si="78"/>
        <v>0</v>
      </c>
    </row>
    <row r="283" spans="1:30" ht="3" customHeight="1" x14ac:dyDescent="0.25">
      <c r="A283">
        <v>13118</v>
      </c>
      <c r="B283">
        <v>13151</v>
      </c>
      <c r="C283" t="s">
        <v>287</v>
      </c>
      <c r="D283" s="6" t="str">
        <f>+DATA!U279</f>
        <v>No</v>
      </c>
      <c r="E283" s="361">
        <f t="shared" si="65"/>
        <v>0</v>
      </c>
      <c r="F283" s="95">
        <f t="shared" si="73"/>
        <v>0</v>
      </c>
      <c r="G283" s="31">
        <f>IF(OR(D283="SI",D283="Sí"),VLOOKUP(A283,DATA!$A$4:$D$350,4,0),0)</f>
        <v>0</v>
      </c>
      <c r="H283" s="95">
        <f>IF(OR(D283="SI",D283="Sí"),VLOOKUP(A283,DATA!$A$4:$E$350,5,0),0)</f>
        <v>0</v>
      </c>
      <c r="I283" s="31">
        <f t="shared" si="79"/>
        <v>0</v>
      </c>
      <c r="J283" s="361">
        <f t="shared" si="66"/>
        <v>0</v>
      </c>
      <c r="K283" s="361">
        <f t="shared" si="67"/>
        <v>0</v>
      </c>
      <c r="L283" s="31">
        <f>IF(OR(D283="SI",D283="Sí"),VLOOKUP(A283,DATA!$A$4:$G$350,7,0),0)</f>
        <v>0</v>
      </c>
      <c r="M283" s="31">
        <f>IF(OR(D283="SI",D283="Sí"),VLOOKUP(A283,DATA!$A$4:$H$350,8,0),0)</f>
        <v>0</v>
      </c>
      <c r="N283" s="361">
        <f t="shared" si="68"/>
        <v>0</v>
      </c>
      <c r="O283" s="361">
        <f t="shared" si="74"/>
        <v>0</v>
      </c>
      <c r="P283" s="361">
        <f t="shared" si="69"/>
        <v>0</v>
      </c>
      <c r="Q283" s="31">
        <f>IF(OR(D283="SI",D283="Sí"),VLOOKUP(A283,DATA!$A$4:$P$350,14,0),0)</f>
        <v>0</v>
      </c>
      <c r="R283" s="121">
        <f t="shared" si="80"/>
        <v>0</v>
      </c>
      <c r="S283" s="31">
        <f>IF(AND(R283&gt;0,R283&lt;$R$7),ROUND(($R$7-R283)*G283,PARAMETROS!$L$8),0)</f>
        <v>0</v>
      </c>
      <c r="T283" s="122">
        <f t="shared" si="70"/>
        <v>0</v>
      </c>
      <c r="U283" s="117">
        <f t="shared" si="71"/>
        <v>0</v>
      </c>
      <c r="V283" s="117">
        <f>VLOOKUP(A283,DATA!$A$4:$V$350,DATA!$V$1,0)</f>
        <v>0</v>
      </c>
      <c r="W283" s="117">
        <f>VLOOKUP(A283,DATA!$A$4:$V$350,22,0)</f>
        <v>0</v>
      </c>
      <c r="X283" s="96">
        <f t="shared" si="72"/>
        <v>0</v>
      </c>
      <c r="Y283" s="31">
        <f>ROUND(X283*PARAMETROS!$H$35,0)</f>
        <v>0</v>
      </c>
      <c r="Z283" s="31">
        <f t="shared" si="75"/>
        <v>0</v>
      </c>
      <c r="AA283" s="31">
        <f t="shared" si="76"/>
        <v>0</v>
      </c>
      <c r="AB283" s="31">
        <f t="shared" si="77"/>
        <v>0</v>
      </c>
      <c r="AC283" s="31">
        <f t="shared" si="77"/>
        <v>0</v>
      </c>
      <c r="AD283" s="38">
        <f t="shared" si="78"/>
        <v>0</v>
      </c>
    </row>
    <row r="284" spans="1:30" ht="3" customHeight="1" x14ac:dyDescent="0.25">
      <c r="A284">
        <v>13119</v>
      </c>
      <c r="B284">
        <v>13109</v>
      </c>
      <c r="C284" t="s">
        <v>427</v>
      </c>
      <c r="D284" s="6" t="str">
        <f>+DATA!U280</f>
        <v>No</v>
      </c>
      <c r="E284" s="361">
        <f t="shared" si="65"/>
        <v>0</v>
      </c>
      <c r="F284" s="95">
        <f t="shared" si="73"/>
        <v>0</v>
      </c>
      <c r="G284" s="31">
        <f>IF(OR(D284="SI",D284="Sí"),VLOOKUP(A284,DATA!$A$4:$D$350,4,0),0)</f>
        <v>0</v>
      </c>
      <c r="H284" s="95">
        <f>IF(OR(D284="SI",D284="Sí"),VLOOKUP(A284,DATA!$A$4:$E$350,5,0),0)</f>
        <v>0</v>
      </c>
      <c r="I284" s="31">
        <f t="shared" si="79"/>
        <v>0</v>
      </c>
      <c r="J284" s="361">
        <f t="shared" si="66"/>
        <v>0</v>
      </c>
      <c r="K284" s="361">
        <f t="shared" si="67"/>
        <v>0</v>
      </c>
      <c r="L284" s="31">
        <f>IF(OR(D284="SI",D284="Sí"),VLOOKUP(A284,DATA!$A$4:$G$350,7,0),0)</f>
        <v>0</v>
      </c>
      <c r="M284" s="31">
        <f>IF(OR(D284="SI",D284="Sí"),VLOOKUP(A284,DATA!$A$4:$H$350,8,0),0)</f>
        <v>0</v>
      </c>
      <c r="N284" s="361">
        <f t="shared" si="68"/>
        <v>0</v>
      </c>
      <c r="O284" s="361">
        <f t="shared" si="74"/>
        <v>0</v>
      </c>
      <c r="P284" s="361">
        <f t="shared" si="69"/>
        <v>0</v>
      </c>
      <c r="Q284" s="31">
        <f>IF(OR(D284="SI",D284="Sí"),VLOOKUP(A284,DATA!$A$4:$P$350,14,0),0)</f>
        <v>0</v>
      </c>
      <c r="R284" s="121">
        <f t="shared" si="80"/>
        <v>0</v>
      </c>
      <c r="S284" s="31">
        <f>IF(AND(R284&gt;0,R284&lt;$R$7),ROUND(($R$7-R284)*G284,PARAMETROS!$L$8),0)</f>
        <v>0</v>
      </c>
      <c r="T284" s="122">
        <f t="shared" si="70"/>
        <v>0</v>
      </c>
      <c r="U284" s="117">
        <f t="shared" si="71"/>
        <v>0</v>
      </c>
      <c r="V284" s="117">
        <f>VLOOKUP(A284,DATA!$A$4:$V$350,DATA!$V$1,0)</f>
        <v>0</v>
      </c>
      <c r="W284" s="117">
        <f>VLOOKUP(A284,DATA!$A$4:$V$350,22,0)</f>
        <v>0</v>
      </c>
      <c r="X284" s="96">
        <f t="shared" si="72"/>
        <v>0</v>
      </c>
      <c r="Y284" s="31">
        <f>ROUND(X284*PARAMETROS!$H$35,0)</f>
        <v>0</v>
      </c>
      <c r="Z284" s="31">
        <f t="shared" si="75"/>
        <v>0</v>
      </c>
      <c r="AA284" s="31">
        <f t="shared" si="76"/>
        <v>0</v>
      </c>
      <c r="AB284" s="31">
        <f t="shared" si="77"/>
        <v>0</v>
      </c>
      <c r="AC284" s="31">
        <f t="shared" si="77"/>
        <v>0</v>
      </c>
      <c r="AD284" s="38">
        <f t="shared" si="78"/>
        <v>0</v>
      </c>
    </row>
    <row r="285" spans="1:30" ht="3" customHeight="1" x14ac:dyDescent="0.25">
      <c r="A285">
        <v>13120</v>
      </c>
      <c r="B285">
        <v>13105</v>
      </c>
      <c r="C285" t="s">
        <v>276</v>
      </c>
      <c r="D285" s="6" t="str">
        <f>+DATA!U281</f>
        <v>No</v>
      </c>
      <c r="E285" s="361">
        <f t="shared" si="65"/>
        <v>0</v>
      </c>
      <c r="F285" s="95">
        <f t="shared" si="73"/>
        <v>0</v>
      </c>
      <c r="G285" s="31">
        <f>IF(OR(D285="SI",D285="Sí"),VLOOKUP(A285,DATA!$A$4:$D$350,4,0),0)</f>
        <v>0</v>
      </c>
      <c r="H285" s="95">
        <f>IF(OR(D285="SI",D285="Sí"),VLOOKUP(A285,DATA!$A$4:$E$350,5,0),0)</f>
        <v>0</v>
      </c>
      <c r="I285" s="31">
        <f t="shared" si="79"/>
        <v>0</v>
      </c>
      <c r="J285" s="361">
        <f t="shared" si="66"/>
        <v>0</v>
      </c>
      <c r="K285" s="361">
        <f t="shared" si="67"/>
        <v>0</v>
      </c>
      <c r="L285" s="31">
        <f>IF(OR(D285="SI",D285="Sí"),VLOOKUP(A285,DATA!$A$4:$G$350,7,0),0)</f>
        <v>0</v>
      </c>
      <c r="M285" s="31">
        <f>IF(OR(D285="SI",D285="Sí"),VLOOKUP(A285,DATA!$A$4:$H$350,8,0),0)</f>
        <v>0</v>
      </c>
      <c r="N285" s="361">
        <f t="shared" si="68"/>
        <v>0</v>
      </c>
      <c r="O285" s="361">
        <f t="shared" si="74"/>
        <v>0</v>
      </c>
      <c r="P285" s="361">
        <f t="shared" si="69"/>
        <v>0</v>
      </c>
      <c r="Q285" s="31">
        <f>IF(OR(D285="SI",D285="Sí"),VLOOKUP(A285,DATA!$A$4:$P$350,14,0),0)</f>
        <v>0</v>
      </c>
      <c r="R285" s="121">
        <f t="shared" si="80"/>
        <v>0</v>
      </c>
      <c r="S285" s="31">
        <f>IF(AND(R285&gt;0,R285&lt;$R$7),ROUND(($R$7-R285)*G285,PARAMETROS!$L$8),0)</f>
        <v>0</v>
      </c>
      <c r="T285" s="122">
        <f t="shared" si="70"/>
        <v>0</v>
      </c>
      <c r="U285" s="117">
        <f t="shared" si="71"/>
        <v>0</v>
      </c>
      <c r="V285" s="117">
        <f>VLOOKUP(A285,DATA!$A$4:$V$350,DATA!$V$1,0)</f>
        <v>0</v>
      </c>
      <c r="W285" s="117">
        <f>VLOOKUP(A285,DATA!$A$4:$V$350,22,0)</f>
        <v>0</v>
      </c>
      <c r="X285" s="96">
        <f t="shared" si="72"/>
        <v>0</v>
      </c>
      <c r="Y285" s="31">
        <f>ROUND(X285*PARAMETROS!$H$35,0)</f>
        <v>0</v>
      </c>
      <c r="Z285" s="31">
        <f t="shared" si="75"/>
        <v>0</v>
      </c>
      <c r="AA285" s="31">
        <f t="shared" si="76"/>
        <v>0</v>
      </c>
      <c r="AB285" s="31">
        <f t="shared" si="77"/>
        <v>0</v>
      </c>
      <c r="AC285" s="31">
        <f t="shared" si="77"/>
        <v>0</v>
      </c>
      <c r="AD285" s="38">
        <f t="shared" si="78"/>
        <v>0</v>
      </c>
    </row>
    <row r="286" spans="1:30" ht="3" customHeight="1" x14ac:dyDescent="0.25">
      <c r="A286">
        <v>13121</v>
      </c>
      <c r="B286">
        <v>13162</v>
      </c>
      <c r="C286" t="s">
        <v>295</v>
      </c>
      <c r="D286" s="6" t="str">
        <f>+DATA!U282</f>
        <v>No</v>
      </c>
      <c r="E286" s="361">
        <f t="shared" si="65"/>
        <v>0</v>
      </c>
      <c r="F286" s="95">
        <f t="shared" si="73"/>
        <v>0</v>
      </c>
      <c r="G286" s="31">
        <f>IF(OR(D286="SI",D286="Sí"),VLOOKUP(A286,DATA!$A$4:$D$350,4,0),0)</f>
        <v>0</v>
      </c>
      <c r="H286" s="95">
        <f>IF(OR(D286="SI",D286="Sí"),VLOOKUP(A286,DATA!$A$4:$E$350,5,0),0)</f>
        <v>0</v>
      </c>
      <c r="I286" s="31">
        <f t="shared" si="79"/>
        <v>0</v>
      </c>
      <c r="J286" s="361">
        <f t="shared" si="66"/>
        <v>0</v>
      </c>
      <c r="K286" s="361">
        <f t="shared" si="67"/>
        <v>0</v>
      </c>
      <c r="L286" s="31">
        <f>IF(OR(D286="SI",D286="Sí"),VLOOKUP(A286,DATA!$A$4:$G$350,7,0),0)</f>
        <v>0</v>
      </c>
      <c r="M286" s="31">
        <f>IF(OR(D286="SI",D286="Sí"),VLOOKUP(A286,DATA!$A$4:$H$350,8,0),0)</f>
        <v>0</v>
      </c>
      <c r="N286" s="361">
        <f t="shared" si="68"/>
        <v>0</v>
      </c>
      <c r="O286" s="361">
        <f t="shared" si="74"/>
        <v>0</v>
      </c>
      <c r="P286" s="361">
        <f t="shared" si="69"/>
        <v>0</v>
      </c>
      <c r="Q286" s="31">
        <f>IF(OR(D286="SI",D286="Sí"),VLOOKUP(A286,DATA!$A$4:$P$350,14,0),0)</f>
        <v>0</v>
      </c>
      <c r="R286" s="121">
        <f t="shared" si="80"/>
        <v>0</v>
      </c>
      <c r="S286" s="31">
        <f>IF(AND(R286&gt;0,R286&lt;$R$7),ROUND(($R$7-R286)*G286,PARAMETROS!$L$8),0)</f>
        <v>0</v>
      </c>
      <c r="T286" s="122">
        <f t="shared" si="70"/>
        <v>0</v>
      </c>
      <c r="U286" s="117">
        <f t="shared" si="71"/>
        <v>0</v>
      </c>
      <c r="V286" s="117">
        <f>VLOOKUP(A286,DATA!$A$4:$V$350,DATA!$V$1,0)</f>
        <v>0</v>
      </c>
      <c r="W286" s="117">
        <f>VLOOKUP(A286,DATA!$A$4:$V$350,22,0)</f>
        <v>0</v>
      </c>
      <c r="X286" s="96">
        <f t="shared" si="72"/>
        <v>0</v>
      </c>
      <c r="Y286" s="31">
        <f>ROUND(X286*PARAMETROS!$H$35,0)</f>
        <v>0</v>
      </c>
      <c r="Z286" s="31">
        <f t="shared" si="75"/>
        <v>0</v>
      </c>
      <c r="AA286" s="31">
        <f t="shared" si="76"/>
        <v>0</v>
      </c>
      <c r="AB286" s="31">
        <f t="shared" si="77"/>
        <v>0</v>
      </c>
      <c r="AC286" s="31">
        <f t="shared" si="77"/>
        <v>0</v>
      </c>
      <c r="AD286" s="38">
        <f t="shared" si="78"/>
        <v>0</v>
      </c>
    </row>
    <row r="287" spans="1:30" ht="3" customHeight="1" x14ac:dyDescent="0.25">
      <c r="A287">
        <v>13122</v>
      </c>
      <c r="B287">
        <v>13152</v>
      </c>
      <c r="C287" t="s">
        <v>428</v>
      </c>
      <c r="D287" s="6" t="str">
        <f>+DATA!U283</f>
        <v>No</v>
      </c>
      <c r="E287" s="361">
        <f t="shared" si="65"/>
        <v>0</v>
      </c>
      <c r="F287" s="95">
        <f t="shared" si="73"/>
        <v>0</v>
      </c>
      <c r="G287" s="31">
        <f>IF(OR(D287="SI",D287="Sí"),VLOOKUP(A287,DATA!$A$4:$D$350,4,0),0)</f>
        <v>0</v>
      </c>
      <c r="H287" s="95">
        <f>IF(OR(D287="SI",D287="Sí"),VLOOKUP(A287,DATA!$A$4:$E$350,5,0),0)</f>
        <v>0</v>
      </c>
      <c r="I287" s="31">
        <f t="shared" si="79"/>
        <v>0</v>
      </c>
      <c r="J287" s="361">
        <f t="shared" si="66"/>
        <v>0</v>
      </c>
      <c r="K287" s="361">
        <f t="shared" si="67"/>
        <v>0</v>
      </c>
      <c r="L287" s="31">
        <f>IF(OR(D287="SI",D287="Sí"),VLOOKUP(A287,DATA!$A$4:$G$350,7,0),0)</f>
        <v>0</v>
      </c>
      <c r="M287" s="31">
        <f>IF(OR(D287="SI",D287="Sí"),VLOOKUP(A287,DATA!$A$4:$H$350,8,0),0)</f>
        <v>0</v>
      </c>
      <c r="N287" s="361">
        <f t="shared" si="68"/>
        <v>0</v>
      </c>
      <c r="O287" s="361">
        <f t="shared" si="74"/>
        <v>0</v>
      </c>
      <c r="P287" s="361">
        <f t="shared" si="69"/>
        <v>0</v>
      </c>
      <c r="Q287" s="31">
        <f>IF(OR(D287="SI",D287="Sí"),VLOOKUP(A287,DATA!$A$4:$P$350,14,0),0)</f>
        <v>0</v>
      </c>
      <c r="R287" s="121">
        <f t="shared" si="80"/>
        <v>0</v>
      </c>
      <c r="S287" s="31">
        <f>IF(AND(R287&gt;0,R287&lt;$R$7),ROUND(($R$7-R287)*G287,PARAMETROS!$L$8),0)</f>
        <v>0</v>
      </c>
      <c r="T287" s="122">
        <f t="shared" si="70"/>
        <v>0</v>
      </c>
      <c r="U287" s="117">
        <f t="shared" si="71"/>
        <v>0</v>
      </c>
      <c r="V287" s="117">
        <f>VLOOKUP(A287,DATA!$A$4:$V$350,DATA!$V$1,0)</f>
        <v>0</v>
      </c>
      <c r="W287" s="117">
        <f>VLOOKUP(A287,DATA!$A$4:$V$350,22,0)</f>
        <v>0</v>
      </c>
      <c r="X287" s="96">
        <f t="shared" si="72"/>
        <v>0</v>
      </c>
      <c r="Y287" s="31">
        <f>ROUND(X287*PARAMETROS!$H$35,0)</f>
        <v>0</v>
      </c>
      <c r="Z287" s="31">
        <f t="shared" si="75"/>
        <v>0</v>
      </c>
      <c r="AA287" s="31">
        <f t="shared" si="76"/>
        <v>0</v>
      </c>
      <c r="AB287" s="31">
        <f t="shared" si="77"/>
        <v>0</v>
      </c>
      <c r="AC287" s="31">
        <f t="shared" si="77"/>
        <v>0</v>
      </c>
      <c r="AD287" s="38">
        <f t="shared" si="78"/>
        <v>0</v>
      </c>
    </row>
    <row r="288" spans="1:30" ht="3" customHeight="1" x14ac:dyDescent="0.25">
      <c r="A288">
        <v>13123</v>
      </c>
      <c r="B288">
        <v>13103</v>
      </c>
      <c r="C288" t="s">
        <v>275</v>
      </c>
      <c r="D288" s="6" t="str">
        <f>+DATA!U284</f>
        <v>No</v>
      </c>
      <c r="E288" s="361">
        <f t="shared" si="65"/>
        <v>0</v>
      </c>
      <c r="F288" s="95">
        <f t="shared" si="73"/>
        <v>0</v>
      </c>
      <c r="G288" s="31">
        <f>IF(OR(D288="SI",D288="Sí"),VLOOKUP(A288,DATA!$A$4:$D$350,4,0),0)</f>
        <v>0</v>
      </c>
      <c r="H288" s="95">
        <f>IF(OR(D288="SI",D288="Sí"),VLOOKUP(A288,DATA!$A$4:$E$350,5,0),0)</f>
        <v>0</v>
      </c>
      <c r="I288" s="31">
        <f t="shared" si="79"/>
        <v>0</v>
      </c>
      <c r="J288" s="361">
        <f t="shared" si="66"/>
        <v>0</v>
      </c>
      <c r="K288" s="361">
        <f t="shared" si="67"/>
        <v>0</v>
      </c>
      <c r="L288" s="31">
        <f>IF(OR(D288="SI",D288="Sí"),VLOOKUP(A288,DATA!$A$4:$G$350,7,0),0)</f>
        <v>0</v>
      </c>
      <c r="M288" s="31">
        <f>IF(OR(D288="SI",D288="Sí"),VLOOKUP(A288,DATA!$A$4:$H$350,8,0),0)</f>
        <v>0</v>
      </c>
      <c r="N288" s="361">
        <f t="shared" si="68"/>
        <v>0</v>
      </c>
      <c r="O288" s="361">
        <f t="shared" si="74"/>
        <v>0</v>
      </c>
      <c r="P288" s="361">
        <f t="shared" si="69"/>
        <v>0</v>
      </c>
      <c r="Q288" s="31">
        <f>IF(OR(D288="SI",D288="Sí"),VLOOKUP(A288,DATA!$A$4:$P$350,14,0),0)</f>
        <v>0</v>
      </c>
      <c r="R288" s="121">
        <f t="shared" si="80"/>
        <v>0</v>
      </c>
      <c r="S288" s="31">
        <f>IF(AND(R288&gt;0,R288&lt;$R$7),ROUND(($R$7-R288)*G288,PARAMETROS!$L$8),0)</f>
        <v>0</v>
      </c>
      <c r="T288" s="122">
        <f t="shared" si="70"/>
        <v>0</v>
      </c>
      <c r="U288" s="117">
        <f t="shared" si="71"/>
        <v>0</v>
      </c>
      <c r="V288" s="117">
        <f>VLOOKUP(A288,DATA!$A$4:$V$350,DATA!$V$1,0)</f>
        <v>0</v>
      </c>
      <c r="W288" s="117">
        <f>VLOOKUP(A288,DATA!$A$4:$V$350,22,0)</f>
        <v>0</v>
      </c>
      <c r="X288" s="96">
        <f t="shared" si="72"/>
        <v>0</v>
      </c>
      <c r="Y288" s="31">
        <f>ROUND(X288*PARAMETROS!$H$35,0)</f>
        <v>0</v>
      </c>
      <c r="Z288" s="31">
        <f t="shared" si="75"/>
        <v>0</v>
      </c>
      <c r="AA288" s="31">
        <f t="shared" si="76"/>
        <v>0</v>
      </c>
      <c r="AB288" s="31">
        <f t="shared" si="77"/>
        <v>0</v>
      </c>
      <c r="AC288" s="31">
        <f t="shared" si="77"/>
        <v>0</v>
      </c>
      <c r="AD288" s="38">
        <f t="shared" si="78"/>
        <v>0</v>
      </c>
    </row>
    <row r="289" spans="1:30" ht="3" customHeight="1" x14ac:dyDescent="0.25">
      <c r="A289">
        <v>13124</v>
      </c>
      <c r="B289">
        <v>13111</v>
      </c>
      <c r="C289" t="s">
        <v>281</v>
      </c>
      <c r="D289" s="6" t="str">
        <f>+DATA!U285</f>
        <v>No</v>
      </c>
      <c r="E289" s="361">
        <f t="shared" si="65"/>
        <v>0</v>
      </c>
      <c r="F289" s="95">
        <f t="shared" si="73"/>
        <v>0</v>
      </c>
      <c r="G289" s="31">
        <f>IF(OR(D289="SI",D289="Sí"),VLOOKUP(A289,DATA!$A$4:$D$350,4,0),0)</f>
        <v>0</v>
      </c>
      <c r="H289" s="95">
        <f>IF(OR(D289="SI",D289="Sí"),VLOOKUP(A289,DATA!$A$4:$E$350,5,0),0)</f>
        <v>0</v>
      </c>
      <c r="I289" s="31">
        <f t="shared" si="79"/>
        <v>0</v>
      </c>
      <c r="J289" s="361">
        <f t="shared" si="66"/>
        <v>0</v>
      </c>
      <c r="K289" s="361">
        <f t="shared" si="67"/>
        <v>0</v>
      </c>
      <c r="L289" s="31">
        <f>IF(OR(D289="SI",D289="Sí"),VLOOKUP(A289,DATA!$A$4:$G$350,7,0),0)</f>
        <v>0</v>
      </c>
      <c r="M289" s="31">
        <f>IF(OR(D289="SI",D289="Sí"),VLOOKUP(A289,DATA!$A$4:$H$350,8,0),0)</f>
        <v>0</v>
      </c>
      <c r="N289" s="361">
        <f t="shared" si="68"/>
        <v>0</v>
      </c>
      <c r="O289" s="361">
        <f t="shared" si="74"/>
        <v>0</v>
      </c>
      <c r="P289" s="361">
        <f t="shared" si="69"/>
        <v>0</v>
      </c>
      <c r="Q289" s="31">
        <f>IF(OR(D289="SI",D289="Sí"),VLOOKUP(A289,DATA!$A$4:$P$350,14,0),0)</f>
        <v>0</v>
      </c>
      <c r="R289" s="121">
        <f t="shared" si="80"/>
        <v>0</v>
      </c>
      <c r="S289" s="31">
        <f>IF(AND(R289&gt;0,R289&lt;$R$7),ROUND(($R$7-R289)*G289,PARAMETROS!$L$8),0)</f>
        <v>0</v>
      </c>
      <c r="T289" s="122">
        <f t="shared" si="70"/>
        <v>0</v>
      </c>
      <c r="U289" s="117">
        <f t="shared" si="71"/>
        <v>0</v>
      </c>
      <c r="V289" s="117">
        <f>VLOOKUP(A289,DATA!$A$4:$V$350,DATA!$V$1,0)</f>
        <v>0</v>
      </c>
      <c r="W289" s="117">
        <f>VLOOKUP(A289,DATA!$A$4:$V$350,22,0)</f>
        <v>0</v>
      </c>
      <c r="X289" s="96">
        <f t="shared" si="72"/>
        <v>0</v>
      </c>
      <c r="Y289" s="31">
        <f>ROUND(X289*PARAMETROS!$H$35,0)</f>
        <v>0</v>
      </c>
      <c r="Z289" s="31">
        <f t="shared" si="75"/>
        <v>0</v>
      </c>
      <c r="AA289" s="31">
        <f t="shared" si="76"/>
        <v>0</v>
      </c>
      <c r="AB289" s="31">
        <f t="shared" si="77"/>
        <v>0</v>
      </c>
      <c r="AC289" s="31">
        <f t="shared" si="77"/>
        <v>0</v>
      </c>
      <c r="AD289" s="38">
        <f t="shared" si="78"/>
        <v>0</v>
      </c>
    </row>
    <row r="290" spans="1:30" ht="3" customHeight="1" x14ac:dyDescent="0.25">
      <c r="A290">
        <v>13125</v>
      </c>
      <c r="B290">
        <v>13114</v>
      </c>
      <c r="C290" t="s">
        <v>283</v>
      </c>
      <c r="D290" s="6" t="str">
        <f>+DATA!U286</f>
        <v>No</v>
      </c>
      <c r="E290" s="361">
        <f t="shared" si="65"/>
        <v>0</v>
      </c>
      <c r="F290" s="95">
        <f t="shared" si="73"/>
        <v>0</v>
      </c>
      <c r="G290" s="31">
        <f>IF(OR(D290="SI",D290="Sí"),VLOOKUP(A290,DATA!$A$4:$D$350,4,0),0)</f>
        <v>0</v>
      </c>
      <c r="H290" s="95">
        <f>IF(OR(D290="SI",D290="Sí"),VLOOKUP(A290,DATA!$A$4:$E$350,5,0),0)</f>
        <v>0</v>
      </c>
      <c r="I290" s="31">
        <f t="shared" si="79"/>
        <v>0</v>
      </c>
      <c r="J290" s="361">
        <f t="shared" si="66"/>
        <v>0</v>
      </c>
      <c r="K290" s="361">
        <f t="shared" si="67"/>
        <v>0</v>
      </c>
      <c r="L290" s="31">
        <f>IF(OR(D290="SI",D290="Sí"),VLOOKUP(A290,DATA!$A$4:$G$350,7,0),0)</f>
        <v>0</v>
      </c>
      <c r="M290" s="31">
        <f>IF(OR(D290="SI",D290="Sí"),VLOOKUP(A290,DATA!$A$4:$H$350,8,0),0)</f>
        <v>0</v>
      </c>
      <c r="N290" s="361">
        <f t="shared" si="68"/>
        <v>0</v>
      </c>
      <c r="O290" s="361">
        <f t="shared" si="74"/>
        <v>0</v>
      </c>
      <c r="P290" s="361">
        <f t="shared" si="69"/>
        <v>0</v>
      </c>
      <c r="Q290" s="31">
        <f>IF(OR(D290="SI",D290="Sí"),VLOOKUP(A290,DATA!$A$4:$P$350,14,0),0)</f>
        <v>0</v>
      </c>
      <c r="R290" s="121">
        <f t="shared" si="80"/>
        <v>0</v>
      </c>
      <c r="S290" s="31">
        <f>IF(AND(R290&gt;0,R290&lt;$R$7),ROUND(($R$7-R290)*G290,PARAMETROS!$L$8),0)</f>
        <v>0</v>
      </c>
      <c r="T290" s="122">
        <f t="shared" si="70"/>
        <v>0</v>
      </c>
      <c r="U290" s="117">
        <f t="shared" si="71"/>
        <v>0</v>
      </c>
      <c r="V290" s="117">
        <f>VLOOKUP(A290,DATA!$A$4:$V$350,DATA!$V$1,0)</f>
        <v>0</v>
      </c>
      <c r="W290" s="117">
        <f>VLOOKUP(A290,DATA!$A$4:$V$350,22,0)</f>
        <v>0</v>
      </c>
      <c r="X290" s="96">
        <f t="shared" si="72"/>
        <v>0</v>
      </c>
      <c r="Y290" s="31">
        <f>ROUND(X290*PARAMETROS!$H$35,0)</f>
        <v>0</v>
      </c>
      <c r="Z290" s="31">
        <f t="shared" si="75"/>
        <v>0</v>
      </c>
      <c r="AA290" s="31">
        <f t="shared" si="76"/>
        <v>0</v>
      </c>
      <c r="AB290" s="31">
        <f t="shared" si="77"/>
        <v>0</v>
      </c>
      <c r="AC290" s="31">
        <f t="shared" si="77"/>
        <v>0</v>
      </c>
      <c r="AD290" s="38">
        <f t="shared" si="78"/>
        <v>0</v>
      </c>
    </row>
    <row r="291" spans="1:30" ht="3" customHeight="1" x14ac:dyDescent="0.25">
      <c r="A291">
        <v>13126</v>
      </c>
      <c r="B291">
        <v>13107</v>
      </c>
      <c r="C291" t="s">
        <v>278</v>
      </c>
      <c r="D291" s="6" t="str">
        <f>+DATA!U287</f>
        <v>No</v>
      </c>
      <c r="E291" s="361">
        <f t="shared" si="65"/>
        <v>0</v>
      </c>
      <c r="F291" s="95">
        <f t="shared" si="73"/>
        <v>0</v>
      </c>
      <c r="G291" s="31">
        <f>IF(OR(D291="SI",D291="Sí"),VLOOKUP(A291,DATA!$A$4:$D$350,4,0),0)</f>
        <v>0</v>
      </c>
      <c r="H291" s="95">
        <f>IF(OR(D291="SI",D291="Sí"),VLOOKUP(A291,DATA!$A$4:$E$350,5,0),0)</f>
        <v>0</v>
      </c>
      <c r="I291" s="31">
        <f t="shared" si="79"/>
        <v>0</v>
      </c>
      <c r="J291" s="361">
        <f t="shared" si="66"/>
        <v>0</v>
      </c>
      <c r="K291" s="361">
        <f t="shared" si="67"/>
        <v>0</v>
      </c>
      <c r="L291" s="31">
        <f>IF(OR(D291="SI",D291="Sí"),VLOOKUP(A291,DATA!$A$4:$G$350,7,0),0)</f>
        <v>0</v>
      </c>
      <c r="M291" s="31">
        <f>IF(OR(D291="SI",D291="Sí"),VLOOKUP(A291,DATA!$A$4:$H$350,8,0),0)</f>
        <v>0</v>
      </c>
      <c r="N291" s="361">
        <f t="shared" si="68"/>
        <v>0</v>
      </c>
      <c r="O291" s="361">
        <f t="shared" si="74"/>
        <v>0</v>
      </c>
      <c r="P291" s="361">
        <f t="shared" si="69"/>
        <v>0</v>
      </c>
      <c r="Q291" s="31">
        <f>IF(OR(D291="SI",D291="Sí"),VLOOKUP(A291,DATA!$A$4:$P$350,14,0),0)</f>
        <v>0</v>
      </c>
      <c r="R291" s="121">
        <f t="shared" si="80"/>
        <v>0</v>
      </c>
      <c r="S291" s="31">
        <f>IF(AND(R291&gt;0,R291&lt;$R$7),ROUND(($R$7-R291)*G291,PARAMETROS!$L$8),0)</f>
        <v>0</v>
      </c>
      <c r="T291" s="122">
        <f t="shared" si="70"/>
        <v>0</v>
      </c>
      <c r="U291" s="117">
        <f t="shared" si="71"/>
        <v>0</v>
      </c>
      <c r="V291" s="117">
        <f>VLOOKUP(A291,DATA!$A$4:$V$350,DATA!$V$1,0)</f>
        <v>0</v>
      </c>
      <c r="W291" s="117">
        <f>VLOOKUP(A291,DATA!$A$4:$V$350,22,0)</f>
        <v>0</v>
      </c>
      <c r="X291" s="96">
        <f t="shared" si="72"/>
        <v>0</v>
      </c>
      <c r="Y291" s="31">
        <f>ROUND(X291*PARAMETROS!$H$35,0)</f>
        <v>0</v>
      </c>
      <c r="Z291" s="31">
        <f t="shared" si="75"/>
        <v>0</v>
      </c>
      <c r="AA291" s="31">
        <f t="shared" si="76"/>
        <v>0</v>
      </c>
      <c r="AB291" s="31">
        <f t="shared" si="77"/>
        <v>0</v>
      </c>
      <c r="AC291" s="31">
        <f t="shared" si="77"/>
        <v>0</v>
      </c>
      <c r="AD291" s="38">
        <f t="shared" si="78"/>
        <v>0</v>
      </c>
    </row>
    <row r="292" spans="1:30" ht="3" customHeight="1" x14ac:dyDescent="0.25">
      <c r="A292">
        <v>13127</v>
      </c>
      <c r="B292">
        <v>13159</v>
      </c>
      <c r="C292" t="s">
        <v>292</v>
      </c>
      <c r="D292" s="6" t="str">
        <f>+DATA!U288</f>
        <v>No</v>
      </c>
      <c r="E292" s="361">
        <f t="shared" si="65"/>
        <v>0</v>
      </c>
      <c r="F292" s="95">
        <f t="shared" si="73"/>
        <v>0</v>
      </c>
      <c r="G292" s="31">
        <f>IF(OR(D292="SI",D292="Sí"),VLOOKUP(A292,DATA!$A$4:$D$350,4,0),0)</f>
        <v>0</v>
      </c>
      <c r="H292" s="95">
        <f>IF(OR(D292="SI",D292="Sí"),VLOOKUP(A292,DATA!$A$4:$E$350,5,0),0)</f>
        <v>0</v>
      </c>
      <c r="I292" s="31">
        <f t="shared" si="79"/>
        <v>0</v>
      </c>
      <c r="J292" s="361">
        <f t="shared" si="66"/>
        <v>0</v>
      </c>
      <c r="K292" s="361">
        <f t="shared" si="67"/>
        <v>0</v>
      </c>
      <c r="L292" s="31">
        <f>IF(OR(D292="SI",D292="Sí"),VLOOKUP(A292,DATA!$A$4:$G$350,7,0),0)</f>
        <v>0</v>
      </c>
      <c r="M292" s="31">
        <f>IF(OR(D292="SI",D292="Sí"),VLOOKUP(A292,DATA!$A$4:$H$350,8,0),0)</f>
        <v>0</v>
      </c>
      <c r="N292" s="361">
        <f t="shared" si="68"/>
        <v>0</v>
      </c>
      <c r="O292" s="361">
        <f t="shared" si="74"/>
        <v>0</v>
      </c>
      <c r="P292" s="361">
        <f t="shared" si="69"/>
        <v>0</v>
      </c>
      <c r="Q292" s="31">
        <f>IF(OR(D292="SI",D292="Sí"),VLOOKUP(A292,DATA!$A$4:$P$350,14,0),0)</f>
        <v>0</v>
      </c>
      <c r="R292" s="121">
        <f t="shared" si="80"/>
        <v>0</v>
      </c>
      <c r="S292" s="31">
        <f>IF(AND(R292&gt;0,R292&lt;$R$7),ROUND(($R$7-R292)*G292,PARAMETROS!$L$8),0)</f>
        <v>0</v>
      </c>
      <c r="T292" s="122">
        <f t="shared" si="70"/>
        <v>0</v>
      </c>
      <c r="U292" s="117">
        <f t="shared" si="71"/>
        <v>0</v>
      </c>
      <c r="V292" s="117">
        <f>VLOOKUP(A292,DATA!$A$4:$V$350,DATA!$V$1,0)</f>
        <v>0</v>
      </c>
      <c r="W292" s="117">
        <f>VLOOKUP(A292,DATA!$A$4:$V$350,22,0)</f>
        <v>0</v>
      </c>
      <c r="X292" s="96">
        <f t="shared" si="72"/>
        <v>0</v>
      </c>
      <c r="Y292" s="31">
        <f>ROUND(X292*PARAMETROS!$H$35,0)</f>
        <v>0</v>
      </c>
      <c r="Z292" s="31">
        <f t="shared" si="75"/>
        <v>0</v>
      </c>
      <c r="AA292" s="31">
        <f t="shared" si="76"/>
        <v>0</v>
      </c>
      <c r="AB292" s="31">
        <f t="shared" si="77"/>
        <v>0</v>
      </c>
      <c r="AC292" s="31">
        <f t="shared" si="77"/>
        <v>0</v>
      </c>
      <c r="AD292" s="38">
        <f t="shared" si="78"/>
        <v>0</v>
      </c>
    </row>
    <row r="293" spans="1:30" ht="3" customHeight="1" x14ac:dyDescent="0.25">
      <c r="A293">
        <v>13128</v>
      </c>
      <c r="B293">
        <v>13113</v>
      </c>
      <c r="C293" t="s">
        <v>282</v>
      </c>
      <c r="D293" s="6" t="str">
        <f>+DATA!U289</f>
        <v>No</v>
      </c>
      <c r="E293" s="361">
        <f t="shared" si="65"/>
        <v>0</v>
      </c>
      <c r="F293" s="95">
        <f t="shared" si="73"/>
        <v>0</v>
      </c>
      <c r="G293" s="31">
        <f>IF(OR(D293="SI",D293="Sí"),VLOOKUP(A293,DATA!$A$4:$D$350,4,0),0)</f>
        <v>0</v>
      </c>
      <c r="H293" s="95">
        <f>IF(OR(D293="SI",D293="Sí"),VLOOKUP(A293,DATA!$A$4:$E$350,5,0),0)</f>
        <v>0</v>
      </c>
      <c r="I293" s="31">
        <f t="shared" si="79"/>
        <v>0</v>
      </c>
      <c r="J293" s="361">
        <f t="shared" si="66"/>
        <v>0</v>
      </c>
      <c r="K293" s="361">
        <f t="shared" si="67"/>
        <v>0</v>
      </c>
      <c r="L293" s="31">
        <f>IF(OR(D293="SI",D293="Sí"),VLOOKUP(A293,DATA!$A$4:$G$350,7,0),0)</f>
        <v>0</v>
      </c>
      <c r="M293" s="31">
        <f>IF(OR(D293="SI",D293="Sí"),VLOOKUP(A293,DATA!$A$4:$H$350,8,0),0)</f>
        <v>0</v>
      </c>
      <c r="N293" s="361">
        <f t="shared" si="68"/>
        <v>0</v>
      </c>
      <c r="O293" s="361">
        <f t="shared" si="74"/>
        <v>0</v>
      </c>
      <c r="P293" s="361">
        <f t="shared" si="69"/>
        <v>0</v>
      </c>
      <c r="Q293" s="31">
        <f>IF(OR(D293="SI",D293="Sí"),VLOOKUP(A293,DATA!$A$4:$P$350,14,0),0)</f>
        <v>0</v>
      </c>
      <c r="R293" s="121">
        <f t="shared" si="80"/>
        <v>0</v>
      </c>
      <c r="S293" s="31">
        <f>IF(AND(R293&gt;0,R293&lt;$R$7),ROUND(($R$7-R293)*G293,PARAMETROS!$L$8),0)</f>
        <v>0</v>
      </c>
      <c r="T293" s="122">
        <f t="shared" si="70"/>
        <v>0</v>
      </c>
      <c r="U293" s="117">
        <f t="shared" si="71"/>
        <v>0</v>
      </c>
      <c r="V293" s="117">
        <f>VLOOKUP(A293,DATA!$A$4:$V$350,DATA!$V$1,0)</f>
        <v>0</v>
      </c>
      <c r="W293" s="117">
        <f>VLOOKUP(A293,DATA!$A$4:$V$350,22,0)</f>
        <v>0</v>
      </c>
      <c r="X293" s="96">
        <f t="shared" si="72"/>
        <v>0</v>
      </c>
      <c r="Y293" s="31">
        <f>ROUND(X293*PARAMETROS!$H$35,0)</f>
        <v>0</v>
      </c>
      <c r="Z293" s="31">
        <f t="shared" si="75"/>
        <v>0</v>
      </c>
      <c r="AA293" s="31">
        <f t="shared" si="76"/>
        <v>0</v>
      </c>
      <c r="AB293" s="31">
        <f t="shared" si="77"/>
        <v>0</v>
      </c>
      <c r="AC293" s="31">
        <f t="shared" si="77"/>
        <v>0</v>
      </c>
      <c r="AD293" s="38">
        <f t="shared" si="78"/>
        <v>0</v>
      </c>
    </row>
    <row r="294" spans="1:30" ht="3" customHeight="1" x14ac:dyDescent="0.25">
      <c r="A294">
        <v>13129</v>
      </c>
      <c r="B294">
        <v>13163</v>
      </c>
      <c r="C294" t="s">
        <v>429</v>
      </c>
      <c r="D294" s="6" t="str">
        <f>+DATA!U290</f>
        <v>No</v>
      </c>
      <c r="E294" s="361">
        <f t="shared" si="65"/>
        <v>0</v>
      </c>
      <c r="F294" s="95">
        <f t="shared" si="73"/>
        <v>0</v>
      </c>
      <c r="G294" s="31">
        <f>IF(OR(D294="SI",D294="Sí"),VLOOKUP(A294,DATA!$A$4:$D$350,4,0),0)</f>
        <v>0</v>
      </c>
      <c r="H294" s="95">
        <f>IF(OR(D294="SI",D294="Sí"),VLOOKUP(A294,DATA!$A$4:$E$350,5,0),0)</f>
        <v>0</v>
      </c>
      <c r="I294" s="31">
        <f t="shared" si="79"/>
        <v>0</v>
      </c>
      <c r="J294" s="361">
        <f t="shared" si="66"/>
        <v>0</v>
      </c>
      <c r="K294" s="361">
        <f t="shared" si="67"/>
        <v>0</v>
      </c>
      <c r="L294" s="31">
        <f>IF(OR(D294="SI",D294="Sí"),VLOOKUP(A294,DATA!$A$4:$G$350,7,0),0)</f>
        <v>0</v>
      </c>
      <c r="M294" s="31">
        <f>IF(OR(D294="SI",D294="Sí"),VLOOKUP(A294,DATA!$A$4:$H$350,8,0),0)</f>
        <v>0</v>
      </c>
      <c r="N294" s="361">
        <f t="shared" si="68"/>
        <v>0</v>
      </c>
      <c r="O294" s="361">
        <f t="shared" si="74"/>
        <v>0</v>
      </c>
      <c r="P294" s="361">
        <f t="shared" si="69"/>
        <v>0</v>
      </c>
      <c r="Q294" s="31">
        <f>IF(OR(D294="SI",D294="Sí"),VLOOKUP(A294,DATA!$A$4:$P$350,14,0),0)</f>
        <v>0</v>
      </c>
      <c r="R294" s="121">
        <f t="shared" si="80"/>
        <v>0</v>
      </c>
      <c r="S294" s="31">
        <f>IF(AND(R294&gt;0,R294&lt;$R$7),ROUND(($R$7-R294)*G294,PARAMETROS!$L$8),0)</f>
        <v>0</v>
      </c>
      <c r="T294" s="122">
        <f t="shared" si="70"/>
        <v>0</v>
      </c>
      <c r="U294" s="117">
        <f t="shared" si="71"/>
        <v>0</v>
      </c>
      <c r="V294" s="117">
        <f>VLOOKUP(A294,DATA!$A$4:$V$350,DATA!$V$1,0)</f>
        <v>0</v>
      </c>
      <c r="W294" s="117">
        <f>VLOOKUP(A294,DATA!$A$4:$V$350,22,0)</f>
        <v>0</v>
      </c>
      <c r="X294" s="96">
        <f t="shared" si="72"/>
        <v>0</v>
      </c>
      <c r="Y294" s="31">
        <f>ROUND(X294*PARAMETROS!$H$35,0)</f>
        <v>0</v>
      </c>
      <c r="Z294" s="31">
        <f t="shared" si="75"/>
        <v>0</v>
      </c>
      <c r="AA294" s="31">
        <f t="shared" si="76"/>
        <v>0</v>
      </c>
      <c r="AB294" s="31">
        <f t="shared" si="77"/>
        <v>0</v>
      </c>
      <c r="AC294" s="31">
        <f t="shared" si="77"/>
        <v>0</v>
      </c>
      <c r="AD294" s="38">
        <f t="shared" si="78"/>
        <v>0</v>
      </c>
    </row>
    <row r="295" spans="1:30" ht="3" customHeight="1" x14ac:dyDescent="0.25">
      <c r="A295">
        <v>13130</v>
      </c>
      <c r="B295">
        <v>13106</v>
      </c>
      <c r="C295" t="s">
        <v>277</v>
      </c>
      <c r="D295" s="6" t="str">
        <f>+DATA!U291</f>
        <v>No</v>
      </c>
      <c r="E295" s="361">
        <f t="shared" si="65"/>
        <v>0</v>
      </c>
      <c r="F295" s="95">
        <f t="shared" si="73"/>
        <v>0</v>
      </c>
      <c r="G295" s="31">
        <f>IF(OR(D295="SI",D295="Sí"),VLOOKUP(A295,DATA!$A$4:$D$350,4,0),0)</f>
        <v>0</v>
      </c>
      <c r="H295" s="95">
        <f>IF(OR(D295="SI",D295="Sí"),VLOOKUP(A295,DATA!$A$4:$E$350,5,0),0)</f>
        <v>0</v>
      </c>
      <c r="I295" s="31">
        <f t="shared" si="79"/>
        <v>0</v>
      </c>
      <c r="J295" s="361">
        <f t="shared" si="66"/>
        <v>0</v>
      </c>
      <c r="K295" s="361">
        <f t="shared" si="67"/>
        <v>0</v>
      </c>
      <c r="L295" s="31">
        <f>IF(OR(D295="SI",D295="Sí"),VLOOKUP(A295,DATA!$A$4:$G$350,7,0),0)</f>
        <v>0</v>
      </c>
      <c r="M295" s="31">
        <f>IF(OR(D295="SI",D295="Sí"),VLOOKUP(A295,DATA!$A$4:$H$350,8,0),0)</f>
        <v>0</v>
      </c>
      <c r="N295" s="361">
        <f t="shared" si="68"/>
        <v>0</v>
      </c>
      <c r="O295" s="361">
        <f t="shared" si="74"/>
        <v>0</v>
      </c>
      <c r="P295" s="361">
        <f t="shared" si="69"/>
        <v>0</v>
      </c>
      <c r="Q295" s="31">
        <f>IF(OR(D295="SI",D295="Sí"),VLOOKUP(A295,DATA!$A$4:$P$350,14,0),0)</f>
        <v>0</v>
      </c>
      <c r="R295" s="121">
        <f t="shared" si="80"/>
        <v>0</v>
      </c>
      <c r="S295" s="31">
        <f>IF(AND(R295&gt;0,R295&lt;$R$7),ROUND(($R$7-R295)*G295,PARAMETROS!$L$8),0)</f>
        <v>0</v>
      </c>
      <c r="T295" s="122">
        <f t="shared" si="70"/>
        <v>0</v>
      </c>
      <c r="U295" s="117">
        <f t="shared" si="71"/>
        <v>0</v>
      </c>
      <c r="V295" s="117">
        <f>VLOOKUP(A295,DATA!$A$4:$V$350,DATA!$V$1,0)</f>
        <v>0</v>
      </c>
      <c r="W295" s="117">
        <f>VLOOKUP(A295,DATA!$A$4:$V$350,22,0)</f>
        <v>0</v>
      </c>
      <c r="X295" s="96">
        <f t="shared" si="72"/>
        <v>0</v>
      </c>
      <c r="Y295" s="31">
        <f>ROUND(X295*PARAMETROS!$H$35,0)</f>
        <v>0</v>
      </c>
      <c r="Z295" s="31">
        <f t="shared" si="75"/>
        <v>0</v>
      </c>
      <c r="AA295" s="31">
        <f t="shared" si="76"/>
        <v>0</v>
      </c>
      <c r="AB295" s="31">
        <f t="shared" si="77"/>
        <v>0</v>
      </c>
      <c r="AC295" s="31">
        <f t="shared" si="77"/>
        <v>0</v>
      </c>
      <c r="AD295" s="38">
        <f t="shared" si="78"/>
        <v>0</v>
      </c>
    </row>
    <row r="296" spans="1:30" ht="3" customHeight="1" x14ac:dyDescent="0.25">
      <c r="A296">
        <v>13131</v>
      </c>
      <c r="B296">
        <v>13153</v>
      </c>
      <c r="C296" t="s">
        <v>430</v>
      </c>
      <c r="D296" s="6" t="str">
        <f>+DATA!U292</f>
        <v>No</v>
      </c>
      <c r="E296" s="361">
        <f t="shared" si="65"/>
        <v>0</v>
      </c>
      <c r="F296" s="95">
        <f t="shared" si="73"/>
        <v>0</v>
      </c>
      <c r="G296" s="31">
        <f>IF(OR(D296="SI",D296="Sí"),VLOOKUP(A296,DATA!$A$4:$D$350,4,0),0)</f>
        <v>0</v>
      </c>
      <c r="H296" s="95">
        <f>IF(OR(D296="SI",D296="Sí"),VLOOKUP(A296,DATA!$A$4:$E$350,5,0),0)</f>
        <v>0</v>
      </c>
      <c r="I296" s="31">
        <f t="shared" si="79"/>
        <v>0</v>
      </c>
      <c r="J296" s="361">
        <f t="shared" si="66"/>
        <v>0</v>
      </c>
      <c r="K296" s="361">
        <f t="shared" si="67"/>
        <v>0</v>
      </c>
      <c r="L296" s="31">
        <f>IF(OR(D296="SI",D296="Sí"),VLOOKUP(A296,DATA!$A$4:$G$350,7,0),0)</f>
        <v>0</v>
      </c>
      <c r="M296" s="31">
        <f>IF(OR(D296="SI",D296="Sí"),VLOOKUP(A296,DATA!$A$4:$H$350,8,0),0)</f>
        <v>0</v>
      </c>
      <c r="N296" s="361">
        <f t="shared" si="68"/>
        <v>0</v>
      </c>
      <c r="O296" s="361">
        <f t="shared" si="74"/>
        <v>0</v>
      </c>
      <c r="P296" s="361">
        <f t="shared" si="69"/>
        <v>0</v>
      </c>
      <c r="Q296" s="31">
        <f>IF(OR(D296="SI",D296="Sí"),VLOOKUP(A296,DATA!$A$4:$P$350,14,0),0)</f>
        <v>0</v>
      </c>
      <c r="R296" s="121">
        <f t="shared" si="80"/>
        <v>0</v>
      </c>
      <c r="S296" s="31">
        <f>IF(AND(R296&gt;0,R296&lt;$R$7),ROUND(($R$7-R296)*G296,PARAMETROS!$L$8),0)</f>
        <v>0</v>
      </c>
      <c r="T296" s="122">
        <f t="shared" si="70"/>
        <v>0</v>
      </c>
      <c r="U296" s="117">
        <f t="shared" si="71"/>
        <v>0</v>
      </c>
      <c r="V296" s="117">
        <f>VLOOKUP(A296,DATA!$A$4:$V$350,DATA!$V$1,0)</f>
        <v>0</v>
      </c>
      <c r="W296" s="117">
        <f>VLOOKUP(A296,DATA!$A$4:$V$350,22,0)</f>
        <v>0</v>
      </c>
      <c r="X296" s="96">
        <f t="shared" si="72"/>
        <v>0</v>
      </c>
      <c r="Y296" s="31">
        <f>ROUND(X296*PARAMETROS!$H$35,0)</f>
        <v>0</v>
      </c>
      <c r="Z296" s="31">
        <f t="shared" si="75"/>
        <v>0</v>
      </c>
      <c r="AA296" s="31">
        <f t="shared" si="76"/>
        <v>0</v>
      </c>
      <c r="AB296" s="31">
        <f t="shared" si="77"/>
        <v>0</v>
      </c>
      <c r="AC296" s="31">
        <f t="shared" si="77"/>
        <v>0</v>
      </c>
      <c r="AD296" s="38">
        <f t="shared" si="78"/>
        <v>0</v>
      </c>
    </row>
    <row r="297" spans="1:30" ht="3" customHeight="1" x14ac:dyDescent="0.25">
      <c r="A297">
        <v>13132</v>
      </c>
      <c r="B297">
        <v>13160</v>
      </c>
      <c r="C297" t="s">
        <v>293</v>
      </c>
      <c r="D297" s="6" t="str">
        <f>+DATA!U293</f>
        <v>No</v>
      </c>
      <c r="E297" s="361">
        <f t="shared" si="65"/>
        <v>0</v>
      </c>
      <c r="F297" s="95">
        <f t="shared" si="73"/>
        <v>0</v>
      </c>
      <c r="G297" s="31">
        <f>IF(OR(D297="SI",D297="Sí"),VLOOKUP(A297,DATA!$A$4:$D$350,4,0),0)</f>
        <v>0</v>
      </c>
      <c r="H297" s="95">
        <f>IF(OR(D297="SI",D297="Sí"),VLOOKUP(A297,DATA!$A$4:$E$350,5,0),0)</f>
        <v>0</v>
      </c>
      <c r="I297" s="31">
        <f t="shared" si="79"/>
        <v>0</v>
      </c>
      <c r="J297" s="361">
        <f t="shared" si="66"/>
        <v>0</v>
      </c>
      <c r="K297" s="361">
        <f t="shared" si="67"/>
        <v>0</v>
      </c>
      <c r="L297" s="31">
        <f>IF(OR(D297="SI",D297="Sí"),VLOOKUP(A297,DATA!$A$4:$G$350,7,0),0)</f>
        <v>0</v>
      </c>
      <c r="M297" s="31">
        <f>IF(OR(D297="SI",D297="Sí"),VLOOKUP(A297,DATA!$A$4:$H$350,8,0),0)</f>
        <v>0</v>
      </c>
      <c r="N297" s="361">
        <f t="shared" si="68"/>
        <v>0</v>
      </c>
      <c r="O297" s="361">
        <f t="shared" si="74"/>
        <v>0</v>
      </c>
      <c r="P297" s="361">
        <f t="shared" si="69"/>
        <v>0</v>
      </c>
      <c r="Q297" s="31">
        <f>IF(OR(D297="SI",D297="Sí"),VLOOKUP(A297,DATA!$A$4:$P$350,14,0),0)</f>
        <v>0</v>
      </c>
      <c r="R297" s="121">
        <f t="shared" si="80"/>
        <v>0</v>
      </c>
      <c r="S297" s="31">
        <f>IF(AND(R297&gt;0,R297&lt;$R$7),ROUND(($R$7-R297)*G297,PARAMETROS!$L$8),0)</f>
        <v>0</v>
      </c>
      <c r="T297" s="122">
        <f t="shared" si="70"/>
        <v>0</v>
      </c>
      <c r="U297" s="117">
        <f t="shared" si="71"/>
        <v>0</v>
      </c>
      <c r="V297" s="117">
        <f>VLOOKUP(A297,DATA!$A$4:$V$350,DATA!$V$1,0)</f>
        <v>0</v>
      </c>
      <c r="W297" s="117">
        <f>VLOOKUP(A297,DATA!$A$4:$V$350,22,0)</f>
        <v>0</v>
      </c>
      <c r="X297" s="96">
        <f t="shared" si="72"/>
        <v>0</v>
      </c>
      <c r="Y297" s="31">
        <f>ROUND(X297*PARAMETROS!$H$35,0)</f>
        <v>0</v>
      </c>
      <c r="Z297" s="31">
        <f t="shared" si="75"/>
        <v>0</v>
      </c>
      <c r="AA297" s="31">
        <f t="shared" si="76"/>
        <v>0</v>
      </c>
      <c r="AB297" s="31">
        <f t="shared" si="77"/>
        <v>0</v>
      </c>
      <c r="AC297" s="31">
        <f t="shared" si="77"/>
        <v>0</v>
      </c>
      <c r="AD297" s="38">
        <f t="shared" si="78"/>
        <v>0</v>
      </c>
    </row>
    <row r="298" spans="1:30" ht="3" customHeight="1" x14ac:dyDescent="0.25">
      <c r="A298">
        <v>13201</v>
      </c>
      <c r="B298">
        <v>13301</v>
      </c>
      <c r="C298" t="s">
        <v>303</v>
      </c>
      <c r="D298" s="6" t="str">
        <f>+DATA!U294</f>
        <v>No</v>
      </c>
      <c r="E298" s="361">
        <f t="shared" si="65"/>
        <v>0</v>
      </c>
      <c r="F298" s="95">
        <f t="shared" si="73"/>
        <v>0</v>
      </c>
      <c r="G298" s="31">
        <f>IF(OR(D298="SI",D298="Sí"),VLOOKUP(A298,DATA!$A$4:$D$350,4,0),0)</f>
        <v>0</v>
      </c>
      <c r="H298" s="95">
        <f>IF(OR(D298="SI",D298="Sí"),VLOOKUP(A298,DATA!$A$4:$E$350,5,0),0)</f>
        <v>0</v>
      </c>
      <c r="I298" s="31">
        <f t="shared" si="79"/>
        <v>0</v>
      </c>
      <c r="J298" s="361">
        <f t="shared" si="66"/>
        <v>0</v>
      </c>
      <c r="K298" s="361">
        <f t="shared" si="67"/>
        <v>0</v>
      </c>
      <c r="L298" s="31">
        <f>IF(OR(D298="SI",D298="Sí"),VLOOKUP(A298,DATA!$A$4:$G$350,7,0),0)</f>
        <v>0</v>
      </c>
      <c r="M298" s="31">
        <f>IF(OR(D298="SI",D298="Sí"),VLOOKUP(A298,DATA!$A$4:$H$350,8,0),0)</f>
        <v>0</v>
      </c>
      <c r="N298" s="361">
        <f t="shared" si="68"/>
        <v>0</v>
      </c>
      <c r="O298" s="361">
        <f t="shared" si="74"/>
        <v>0</v>
      </c>
      <c r="P298" s="361">
        <f t="shared" si="69"/>
        <v>0</v>
      </c>
      <c r="Q298" s="31">
        <f>IF(OR(D298="SI",D298="Sí"),VLOOKUP(A298,DATA!$A$4:$P$350,14,0),0)</f>
        <v>0</v>
      </c>
      <c r="R298" s="121">
        <f t="shared" si="80"/>
        <v>0</v>
      </c>
      <c r="S298" s="31">
        <f>IF(AND(R298&gt;0,R298&lt;$R$7),ROUND(($R$7-R298)*G298,PARAMETROS!$L$8),0)</f>
        <v>0</v>
      </c>
      <c r="T298" s="122">
        <f t="shared" si="70"/>
        <v>0</v>
      </c>
      <c r="U298" s="117">
        <f t="shared" si="71"/>
        <v>0</v>
      </c>
      <c r="V298" s="117">
        <f>VLOOKUP(A298,DATA!$A$4:$V$350,DATA!$V$1,0)</f>
        <v>0</v>
      </c>
      <c r="W298" s="117">
        <f>VLOOKUP(A298,DATA!$A$4:$V$350,22,0)</f>
        <v>0</v>
      </c>
      <c r="X298" s="96">
        <f t="shared" si="72"/>
        <v>0</v>
      </c>
      <c r="Y298" s="31">
        <f>ROUND(X298*PARAMETROS!$H$35,0)</f>
        <v>0</v>
      </c>
      <c r="Z298" s="31">
        <f t="shared" si="75"/>
        <v>0</v>
      </c>
      <c r="AA298" s="31">
        <f t="shared" si="76"/>
        <v>0</v>
      </c>
      <c r="AB298" s="31">
        <f t="shared" si="77"/>
        <v>0</v>
      </c>
      <c r="AC298" s="31">
        <f t="shared" si="77"/>
        <v>0</v>
      </c>
      <c r="AD298" s="38">
        <f t="shared" si="78"/>
        <v>0</v>
      </c>
    </row>
    <row r="299" spans="1:30" ht="3" customHeight="1" x14ac:dyDescent="0.25">
      <c r="A299">
        <v>13202</v>
      </c>
      <c r="B299">
        <v>13302</v>
      </c>
      <c r="C299" t="s">
        <v>304</v>
      </c>
      <c r="D299" s="6" t="str">
        <f>+DATA!U295</f>
        <v>No</v>
      </c>
      <c r="E299" s="361">
        <f t="shared" si="65"/>
        <v>0</v>
      </c>
      <c r="F299" s="95">
        <f t="shared" si="73"/>
        <v>0</v>
      </c>
      <c r="G299" s="31">
        <f>IF(OR(D299="SI",D299="Sí"),VLOOKUP(A299,DATA!$A$4:$D$350,4,0),0)</f>
        <v>0</v>
      </c>
      <c r="H299" s="95">
        <f>IF(OR(D299="SI",D299="Sí"),VLOOKUP(A299,DATA!$A$4:$E$350,5,0),0)</f>
        <v>0</v>
      </c>
      <c r="I299" s="31">
        <f t="shared" si="79"/>
        <v>0</v>
      </c>
      <c r="J299" s="361">
        <f t="shared" si="66"/>
        <v>0</v>
      </c>
      <c r="K299" s="361">
        <f t="shared" si="67"/>
        <v>0</v>
      </c>
      <c r="L299" s="31">
        <f>IF(OR(D299="SI",D299="Sí"),VLOOKUP(A299,DATA!$A$4:$G$350,7,0),0)</f>
        <v>0</v>
      </c>
      <c r="M299" s="31">
        <f>IF(OR(D299="SI",D299="Sí"),VLOOKUP(A299,DATA!$A$4:$H$350,8,0),0)</f>
        <v>0</v>
      </c>
      <c r="N299" s="361">
        <f t="shared" si="68"/>
        <v>0</v>
      </c>
      <c r="O299" s="361">
        <f t="shared" si="74"/>
        <v>0</v>
      </c>
      <c r="P299" s="361">
        <f t="shared" si="69"/>
        <v>0</v>
      </c>
      <c r="Q299" s="31">
        <f>IF(OR(D299="SI",D299="Sí"),VLOOKUP(A299,DATA!$A$4:$P$350,14,0),0)</f>
        <v>0</v>
      </c>
      <c r="R299" s="121">
        <f t="shared" si="80"/>
        <v>0</v>
      </c>
      <c r="S299" s="31">
        <f>IF(AND(R299&gt;0,R299&lt;$R$7),ROUND(($R$7-R299)*G299,PARAMETROS!$L$8),0)</f>
        <v>0</v>
      </c>
      <c r="T299" s="122">
        <f t="shared" si="70"/>
        <v>0</v>
      </c>
      <c r="U299" s="117">
        <f t="shared" si="71"/>
        <v>0</v>
      </c>
      <c r="V299" s="117">
        <f>VLOOKUP(A299,DATA!$A$4:$V$350,DATA!$V$1,0)</f>
        <v>0</v>
      </c>
      <c r="W299" s="117">
        <f>VLOOKUP(A299,DATA!$A$4:$V$350,22,0)</f>
        <v>0</v>
      </c>
      <c r="X299" s="96">
        <f t="shared" si="72"/>
        <v>0</v>
      </c>
      <c r="Y299" s="31">
        <f>ROUND(X299*PARAMETROS!$H$35,0)</f>
        <v>0</v>
      </c>
      <c r="Z299" s="31">
        <f t="shared" si="75"/>
        <v>0</v>
      </c>
      <c r="AA299" s="31">
        <f t="shared" si="76"/>
        <v>0</v>
      </c>
      <c r="AB299" s="31">
        <f t="shared" si="77"/>
        <v>0</v>
      </c>
      <c r="AC299" s="31">
        <f t="shared" si="77"/>
        <v>0</v>
      </c>
      <c r="AD299" s="38">
        <f t="shared" si="78"/>
        <v>0</v>
      </c>
    </row>
    <row r="300" spans="1:30" ht="3" customHeight="1" x14ac:dyDescent="0.25">
      <c r="A300">
        <v>13203</v>
      </c>
      <c r="B300">
        <v>13303</v>
      </c>
      <c r="C300" t="s">
        <v>431</v>
      </c>
      <c r="D300" s="6" t="str">
        <f>+DATA!U296</f>
        <v>No</v>
      </c>
      <c r="E300" s="361">
        <f t="shared" si="65"/>
        <v>0</v>
      </c>
      <c r="F300" s="95">
        <f t="shared" si="73"/>
        <v>0</v>
      </c>
      <c r="G300" s="31">
        <f>IF(OR(D300="SI",D300="Sí"),VLOOKUP(A300,DATA!$A$4:$D$350,4,0),0)</f>
        <v>0</v>
      </c>
      <c r="H300" s="95">
        <f>IF(OR(D300="SI",D300="Sí"),VLOOKUP(A300,DATA!$A$4:$E$350,5,0),0)</f>
        <v>0</v>
      </c>
      <c r="I300" s="31">
        <f t="shared" si="79"/>
        <v>0</v>
      </c>
      <c r="J300" s="361">
        <f t="shared" si="66"/>
        <v>0</v>
      </c>
      <c r="K300" s="361">
        <f t="shared" si="67"/>
        <v>0</v>
      </c>
      <c r="L300" s="31">
        <f>IF(OR(D300="SI",D300="Sí"),VLOOKUP(A300,DATA!$A$4:$G$350,7,0),0)</f>
        <v>0</v>
      </c>
      <c r="M300" s="31">
        <f>IF(OR(D300="SI",D300="Sí"),VLOOKUP(A300,DATA!$A$4:$H$350,8,0),0)</f>
        <v>0</v>
      </c>
      <c r="N300" s="361">
        <f t="shared" si="68"/>
        <v>0</v>
      </c>
      <c r="O300" s="361">
        <f t="shared" si="74"/>
        <v>0</v>
      </c>
      <c r="P300" s="361">
        <f t="shared" si="69"/>
        <v>0</v>
      </c>
      <c r="Q300" s="31">
        <f>IF(OR(D300="SI",D300="Sí"),VLOOKUP(A300,DATA!$A$4:$P$350,14,0),0)</f>
        <v>0</v>
      </c>
      <c r="R300" s="121">
        <f t="shared" si="80"/>
        <v>0</v>
      </c>
      <c r="S300" s="31">
        <f>IF(AND(R300&gt;0,R300&lt;$R$7),ROUND(($R$7-R300)*G300,PARAMETROS!$L$8),0)</f>
        <v>0</v>
      </c>
      <c r="T300" s="122">
        <f t="shared" si="70"/>
        <v>0</v>
      </c>
      <c r="U300" s="117">
        <f t="shared" si="71"/>
        <v>0</v>
      </c>
      <c r="V300" s="117">
        <f>VLOOKUP(A300,DATA!$A$4:$V$350,DATA!$V$1,0)</f>
        <v>0</v>
      </c>
      <c r="W300" s="117">
        <f>VLOOKUP(A300,DATA!$A$4:$V$350,22,0)</f>
        <v>0</v>
      </c>
      <c r="X300" s="96">
        <f t="shared" si="72"/>
        <v>0</v>
      </c>
      <c r="Y300" s="31">
        <f>ROUND(X300*PARAMETROS!$H$35,0)</f>
        <v>0</v>
      </c>
      <c r="Z300" s="31">
        <f t="shared" si="75"/>
        <v>0</v>
      </c>
      <c r="AA300" s="31">
        <f t="shared" si="76"/>
        <v>0</v>
      </c>
      <c r="AB300" s="31">
        <f t="shared" si="77"/>
        <v>0</v>
      </c>
      <c r="AC300" s="31">
        <f t="shared" si="77"/>
        <v>0</v>
      </c>
      <c r="AD300" s="38">
        <f t="shared" si="78"/>
        <v>0</v>
      </c>
    </row>
    <row r="301" spans="1:30" ht="3" customHeight="1" x14ac:dyDescent="0.25">
      <c r="A301">
        <v>13301</v>
      </c>
      <c r="B301">
        <v>13201</v>
      </c>
      <c r="C301" t="s">
        <v>300</v>
      </c>
      <c r="D301" s="6" t="str">
        <f>+DATA!U297</f>
        <v>No</v>
      </c>
      <c r="E301" s="361">
        <f t="shared" si="65"/>
        <v>0</v>
      </c>
      <c r="F301" s="95">
        <f t="shared" si="73"/>
        <v>0</v>
      </c>
      <c r="G301" s="31">
        <f>IF(OR(D301="SI",D301="Sí"),VLOOKUP(A301,DATA!$A$4:$D$350,4,0),0)</f>
        <v>0</v>
      </c>
      <c r="H301" s="95">
        <f>IF(OR(D301="SI",D301="Sí"),VLOOKUP(A301,DATA!$A$4:$E$350,5,0),0)</f>
        <v>0</v>
      </c>
      <c r="I301" s="31">
        <f t="shared" si="79"/>
        <v>0</v>
      </c>
      <c r="J301" s="361">
        <f t="shared" si="66"/>
        <v>0</v>
      </c>
      <c r="K301" s="361">
        <f t="shared" si="67"/>
        <v>0</v>
      </c>
      <c r="L301" s="31">
        <f>IF(OR(D301="SI",D301="Sí"),VLOOKUP(A301,DATA!$A$4:$G$350,7,0),0)</f>
        <v>0</v>
      </c>
      <c r="M301" s="31">
        <f>IF(OR(D301="SI",D301="Sí"),VLOOKUP(A301,DATA!$A$4:$H$350,8,0),0)</f>
        <v>0</v>
      </c>
      <c r="N301" s="361">
        <f t="shared" si="68"/>
        <v>0</v>
      </c>
      <c r="O301" s="361">
        <f t="shared" si="74"/>
        <v>0</v>
      </c>
      <c r="P301" s="361">
        <f t="shared" si="69"/>
        <v>0</v>
      </c>
      <c r="Q301" s="31">
        <f>IF(OR(D301="SI",D301="Sí"),VLOOKUP(A301,DATA!$A$4:$P$350,14,0),0)</f>
        <v>0</v>
      </c>
      <c r="R301" s="121">
        <f t="shared" si="80"/>
        <v>0</v>
      </c>
      <c r="S301" s="31">
        <f>IF(AND(R301&gt;0,R301&lt;$R$7),ROUND(($R$7-R301)*G301,PARAMETROS!$L$8),0)</f>
        <v>0</v>
      </c>
      <c r="T301" s="122">
        <f t="shared" si="70"/>
        <v>0</v>
      </c>
      <c r="U301" s="117">
        <f t="shared" si="71"/>
        <v>0</v>
      </c>
      <c r="V301" s="117">
        <f>VLOOKUP(A301,DATA!$A$4:$V$350,DATA!$V$1,0)</f>
        <v>0</v>
      </c>
      <c r="W301" s="117">
        <f>VLOOKUP(A301,DATA!$A$4:$V$350,22,0)</f>
        <v>0</v>
      </c>
      <c r="X301" s="96">
        <f t="shared" si="72"/>
        <v>0</v>
      </c>
      <c r="Y301" s="31">
        <f>ROUND(X301*PARAMETROS!$H$35,0)</f>
        <v>0</v>
      </c>
      <c r="Z301" s="31">
        <f t="shared" si="75"/>
        <v>0</v>
      </c>
      <c r="AA301" s="31">
        <f t="shared" si="76"/>
        <v>0</v>
      </c>
      <c r="AB301" s="31">
        <f t="shared" si="77"/>
        <v>0</v>
      </c>
      <c r="AC301" s="31">
        <f t="shared" si="77"/>
        <v>0</v>
      </c>
      <c r="AD301" s="38">
        <f t="shared" si="78"/>
        <v>0</v>
      </c>
    </row>
    <row r="302" spans="1:30" ht="3" customHeight="1" x14ac:dyDescent="0.25">
      <c r="A302">
        <v>13302</v>
      </c>
      <c r="B302">
        <v>13202</v>
      </c>
      <c r="C302" t="s">
        <v>301</v>
      </c>
      <c r="D302" s="6" t="str">
        <f>+DATA!U298</f>
        <v>No</v>
      </c>
      <c r="E302" s="361">
        <f t="shared" si="65"/>
        <v>0</v>
      </c>
      <c r="F302" s="95">
        <f t="shared" si="73"/>
        <v>0</v>
      </c>
      <c r="G302" s="31">
        <f>IF(OR(D302="SI",D302="Sí"),VLOOKUP(A302,DATA!$A$4:$D$350,4,0),0)</f>
        <v>0</v>
      </c>
      <c r="H302" s="95">
        <f>IF(OR(D302="SI",D302="Sí"),VLOOKUP(A302,DATA!$A$4:$E$350,5,0),0)</f>
        <v>0</v>
      </c>
      <c r="I302" s="31">
        <f t="shared" si="79"/>
        <v>0</v>
      </c>
      <c r="J302" s="361">
        <f t="shared" si="66"/>
        <v>0</v>
      </c>
      <c r="K302" s="361">
        <f t="shared" si="67"/>
        <v>0</v>
      </c>
      <c r="L302" s="31">
        <f>IF(OR(D302="SI",D302="Sí"),VLOOKUP(A302,DATA!$A$4:$G$350,7,0),0)</f>
        <v>0</v>
      </c>
      <c r="M302" s="31">
        <f>IF(OR(D302="SI",D302="Sí"),VLOOKUP(A302,DATA!$A$4:$H$350,8,0),0)</f>
        <v>0</v>
      </c>
      <c r="N302" s="361">
        <f t="shared" si="68"/>
        <v>0</v>
      </c>
      <c r="O302" s="361">
        <f t="shared" si="74"/>
        <v>0</v>
      </c>
      <c r="P302" s="361">
        <f t="shared" si="69"/>
        <v>0</v>
      </c>
      <c r="Q302" s="31">
        <f>IF(OR(D302="SI",D302="Sí"),VLOOKUP(A302,DATA!$A$4:$P$350,14,0),0)</f>
        <v>0</v>
      </c>
      <c r="R302" s="121">
        <f t="shared" si="80"/>
        <v>0</v>
      </c>
      <c r="S302" s="31">
        <f>IF(AND(R302&gt;0,R302&lt;$R$7),ROUND(($R$7-R302)*G302,PARAMETROS!$L$8),0)</f>
        <v>0</v>
      </c>
      <c r="T302" s="122">
        <f t="shared" si="70"/>
        <v>0</v>
      </c>
      <c r="U302" s="117">
        <f t="shared" si="71"/>
        <v>0</v>
      </c>
      <c r="V302" s="117">
        <f>VLOOKUP(A302,DATA!$A$4:$V$350,DATA!$V$1,0)</f>
        <v>0</v>
      </c>
      <c r="W302" s="117">
        <f>VLOOKUP(A302,DATA!$A$4:$V$350,22,0)</f>
        <v>0</v>
      </c>
      <c r="X302" s="96">
        <f t="shared" si="72"/>
        <v>0</v>
      </c>
      <c r="Y302" s="31">
        <f>ROUND(X302*PARAMETROS!$H$35,0)</f>
        <v>0</v>
      </c>
      <c r="Z302" s="31">
        <f t="shared" si="75"/>
        <v>0</v>
      </c>
      <c r="AA302" s="31">
        <f t="shared" si="76"/>
        <v>0</v>
      </c>
      <c r="AB302" s="31">
        <f t="shared" si="77"/>
        <v>0</v>
      </c>
      <c r="AC302" s="31">
        <f t="shared" si="77"/>
        <v>0</v>
      </c>
      <c r="AD302" s="38">
        <f t="shared" si="78"/>
        <v>0</v>
      </c>
    </row>
    <row r="303" spans="1:30" ht="3" customHeight="1" x14ac:dyDescent="0.25">
      <c r="A303">
        <v>13303</v>
      </c>
      <c r="B303">
        <v>13203</v>
      </c>
      <c r="C303" t="s">
        <v>302</v>
      </c>
      <c r="D303" s="6" t="str">
        <f>+DATA!U299</f>
        <v>No</v>
      </c>
      <c r="E303" s="361">
        <f t="shared" si="65"/>
        <v>0</v>
      </c>
      <c r="F303" s="95">
        <f t="shared" si="73"/>
        <v>0</v>
      </c>
      <c r="G303" s="31">
        <f>IF(OR(D303="SI",D303="Sí"),VLOOKUP(A303,DATA!$A$4:$D$350,4,0),0)</f>
        <v>0</v>
      </c>
      <c r="H303" s="95">
        <f>IF(OR(D303="SI",D303="Sí"),VLOOKUP(A303,DATA!$A$4:$E$350,5,0),0)</f>
        <v>0</v>
      </c>
      <c r="I303" s="31">
        <f t="shared" si="79"/>
        <v>0</v>
      </c>
      <c r="J303" s="361">
        <f t="shared" si="66"/>
        <v>0</v>
      </c>
      <c r="K303" s="361">
        <f t="shared" si="67"/>
        <v>0</v>
      </c>
      <c r="L303" s="31">
        <f>IF(OR(D303="SI",D303="Sí"),VLOOKUP(A303,DATA!$A$4:$G$350,7,0),0)</f>
        <v>0</v>
      </c>
      <c r="M303" s="31">
        <f>IF(OR(D303="SI",D303="Sí"),VLOOKUP(A303,DATA!$A$4:$H$350,8,0),0)</f>
        <v>0</v>
      </c>
      <c r="N303" s="361">
        <f t="shared" si="68"/>
        <v>0</v>
      </c>
      <c r="O303" s="361">
        <f t="shared" si="74"/>
        <v>0</v>
      </c>
      <c r="P303" s="361">
        <f t="shared" si="69"/>
        <v>0</v>
      </c>
      <c r="Q303" s="31">
        <f>IF(OR(D303="SI",D303="Sí"),VLOOKUP(A303,DATA!$A$4:$P$350,14,0),0)</f>
        <v>0</v>
      </c>
      <c r="R303" s="121">
        <f t="shared" si="80"/>
        <v>0</v>
      </c>
      <c r="S303" s="31">
        <f>IF(AND(R303&gt;0,R303&lt;$R$7),ROUND(($R$7-R303)*G303,PARAMETROS!$L$8),0)</f>
        <v>0</v>
      </c>
      <c r="T303" s="122">
        <f t="shared" si="70"/>
        <v>0</v>
      </c>
      <c r="U303" s="117">
        <f t="shared" si="71"/>
        <v>0</v>
      </c>
      <c r="V303" s="117">
        <f>VLOOKUP(A303,DATA!$A$4:$V$350,DATA!$V$1,0)</f>
        <v>0</v>
      </c>
      <c r="W303" s="117">
        <f>VLOOKUP(A303,DATA!$A$4:$V$350,22,0)</f>
        <v>0</v>
      </c>
      <c r="X303" s="96">
        <f t="shared" si="72"/>
        <v>0</v>
      </c>
      <c r="Y303" s="31">
        <f>ROUND(X303*PARAMETROS!$H$35,0)</f>
        <v>0</v>
      </c>
      <c r="Z303" s="31">
        <f t="shared" si="75"/>
        <v>0</v>
      </c>
      <c r="AA303" s="31">
        <f t="shared" si="76"/>
        <v>0</v>
      </c>
      <c r="AB303" s="31">
        <f t="shared" si="77"/>
        <v>0</v>
      </c>
      <c r="AC303" s="31">
        <f t="shared" si="77"/>
        <v>0</v>
      </c>
      <c r="AD303" s="38">
        <f t="shared" si="78"/>
        <v>0</v>
      </c>
    </row>
    <row r="304" spans="1:30" ht="3" customHeight="1" x14ac:dyDescent="0.25">
      <c r="A304">
        <v>13401</v>
      </c>
      <c r="B304">
        <v>13401</v>
      </c>
      <c r="C304" t="s">
        <v>305</v>
      </c>
      <c r="D304" s="6" t="str">
        <f>+DATA!U300</f>
        <v>No</v>
      </c>
      <c r="E304" s="361">
        <f t="shared" si="65"/>
        <v>0</v>
      </c>
      <c r="F304" s="95">
        <f t="shared" si="73"/>
        <v>0</v>
      </c>
      <c r="G304" s="31">
        <f>IF(OR(D304="SI",D304="Sí"),VLOOKUP(A304,DATA!$A$4:$D$350,4,0),0)</f>
        <v>0</v>
      </c>
      <c r="H304" s="95">
        <f>IF(OR(D304="SI",D304="Sí"),VLOOKUP(A304,DATA!$A$4:$E$350,5,0),0)</f>
        <v>0</v>
      </c>
      <c r="I304" s="31">
        <f t="shared" si="79"/>
        <v>0</v>
      </c>
      <c r="J304" s="361">
        <f t="shared" si="66"/>
        <v>0</v>
      </c>
      <c r="K304" s="361">
        <f t="shared" si="67"/>
        <v>0</v>
      </c>
      <c r="L304" s="31">
        <f>IF(OR(D304="SI",D304="Sí"),VLOOKUP(A304,DATA!$A$4:$G$350,7,0),0)</f>
        <v>0</v>
      </c>
      <c r="M304" s="31">
        <f>IF(OR(D304="SI",D304="Sí"),VLOOKUP(A304,DATA!$A$4:$H$350,8,0),0)</f>
        <v>0</v>
      </c>
      <c r="N304" s="361">
        <f t="shared" si="68"/>
        <v>0</v>
      </c>
      <c r="O304" s="361">
        <f t="shared" si="74"/>
        <v>0</v>
      </c>
      <c r="P304" s="361">
        <f t="shared" si="69"/>
        <v>0</v>
      </c>
      <c r="Q304" s="31">
        <f>IF(OR(D304="SI",D304="Sí"),VLOOKUP(A304,DATA!$A$4:$P$350,14,0),0)</f>
        <v>0</v>
      </c>
      <c r="R304" s="121">
        <f t="shared" si="80"/>
        <v>0</v>
      </c>
      <c r="S304" s="31">
        <f>IF(AND(R304&gt;0,R304&lt;$R$7),ROUND(($R$7-R304)*G304,PARAMETROS!$L$8),0)</f>
        <v>0</v>
      </c>
      <c r="T304" s="122">
        <f t="shared" si="70"/>
        <v>0</v>
      </c>
      <c r="U304" s="117">
        <f t="shared" si="71"/>
        <v>0</v>
      </c>
      <c r="V304" s="117">
        <f>VLOOKUP(A304,DATA!$A$4:$V$350,DATA!$V$1,0)</f>
        <v>0</v>
      </c>
      <c r="W304" s="117">
        <f>VLOOKUP(A304,DATA!$A$4:$V$350,22,0)</f>
        <v>0</v>
      </c>
      <c r="X304" s="96">
        <f t="shared" si="72"/>
        <v>0</v>
      </c>
      <c r="Y304" s="31">
        <f>ROUND(X304*PARAMETROS!$H$35,0)</f>
        <v>0</v>
      </c>
      <c r="Z304" s="31">
        <f t="shared" si="75"/>
        <v>0</v>
      </c>
      <c r="AA304" s="31">
        <f t="shared" si="76"/>
        <v>0</v>
      </c>
      <c r="AB304" s="31">
        <f t="shared" si="77"/>
        <v>0</v>
      </c>
      <c r="AC304" s="31">
        <f t="shared" si="77"/>
        <v>0</v>
      </c>
      <c r="AD304" s="38">
        <f t="shared" si="78"/>
        <v>0</v>
      </c>
    </row>
    <row r="305" spans="1:30" ht="3" customHeight="1" x14ac:dyDescent="0.25">
      <c r="A305">
        <v>13402</v>
      </c>
      <c r="B305">
        <v>13403</v>
      </c>
      <c r="C305" t="s">
        <v>307</v>
      </c>
      <c r="D305" s="6" t="str">
        <f>+DATA!U301</f>
        <v>No</v>
      </c>
      <c r="E305" s="361">
        <f t="shared" si="65"/>
        <v>0</v>
      </c>
      <c r="F305" s="95">
        <f t="shared" si="73"/>
        <v>0</v>
      </c>
      <c r="G305" s="31">
        <f>IF(OR(D305="SI",D305="Sí"),VLOOKUP(A305,DATA!$A$4:$D$350,4,0),0)</f>
        <v>0</v>
      </c>
      <c r="H305" s="95">
        <f>IF(OR(D305="SI",D305="Sí"),VLOOKUP(A305,DATA!$A$4:$E$350,5,0),0)</f>
        <v>0</v>
      </c>
      <c r="I305" s="31">
        <f t="shared" si="79"/>
        <v>0</v>
      </c>
      <c r="J305" s="361">
        <f t="shared" si="66"/>
        <v>0</v>
      </c>
      <c r="K305" s="361">
        <f t="shared" si="67"/>
        <v>0</v>
      </c>
      <c r="L305" s="31">
        <f>IF(OR(D305="SI",D305="Sí"),VLOOKUP(A305,DATA!$A$4:$G$350,7,0),0)</f>
        <v>0</v>
      </c>
      <c r="M305" s="31">
        <f>IF(OR(D305="SI",D305="Sí"),VLOOKUP(A305,DATA!$A$4:$H$350,8,0),0)</f>
        <v>0</v>
      </c>
      <c r="N305" s="361">
        <f t="shared" si="68"/>
        <v>0</v>
      </c>
      <c r="O305" s="361">
        <f t="shared" si="74"/>
        <v>0</v>
      </c>
      <c r="P305" s="361">
        <f t="shared" si="69"/>
        <v>0</v>
      </c>
      <c r="Q305" s="31">
        <f>IF(OR(D305="SI",D305="Sí"),VLOOKUP(A305,DATA!$A$4:$P$350,14,0),0)</f>
        <v>0</v>
      </c>
      <c r="R305" s="121">
        <f t="shared" si="80"/>
        <v>0</v>
      </c>
      <c r="S305" s="31">
        <f>IF(AND(R305&gt;0,R305&lt;$R$7),ROUND(($R$7-R305)*G305,PARAMETROS!$L$8),0)</f>
        <v>0</v>
      </c>
      <c r="T305" s="122">
        <f t="shared" si="70"/>
        <v>0</v>
      </c>
      <c r="U305" s="117">
        <f t="shared" si="71"/>
        <v>0</v>
      </c>
      <c r="V305" s="117">
        <f>VLOOKUP(A305,DATA!$A$4:$V$350,DATA!$V$1,0)</f>
        <v>0</v>
      </c>
      <c r="W305" s="117">
        <f>VLOOKUP(A305,DATA!$A$4:$V$350,22,0)</f>
        <v>0</v>
      </c>
      <c r="X305" s="96">
        <f t="shared" si="72"/>
        <v>0</v>
      </c>
      <c r="Y305" s="31">
        <f>ROUND(X305*PARAMETROS!$H$35,0)</f>
        <v>0</v>
      </c>
      <c r="Z305" s="31">
        <f t="shared" si="75"/>
        <v>0</v>
      </c>
      <c r="AA305" s="31">
        <f t="shared" si="76"/>
        <v>0</v>
      </c>
      <c r="AB305" s="31">
        <f t="shared" si="77"/>
        <v>0</v>
      </c>
      <c r="AC305" s="31">
        <f t="shared" si="77"/>
        <v>0</v>
      </c>
      <c r="AD305" s="38">
        <f t="shared" si="78"/>
        <v>0</v>
      </c>
    </row>
    <row r="306" spans="1:30" ht="3" customHeight="1" x14ac:dyDescent="0.25">
      <c r="A306">
        <v>13403</v>
      </c>
      <c r="B306">
        <v>13402</v>
      </c>
      <c r="C306" t="s">
        <v>306</v>
      </c>
      <c r="D306" s="6" t="str">
        <f>+DATA!U302</f>
        <v>No</v>
      </c>
      <c r="E306" s="361">
        <f t="shared" si="65"/>
        <v>0</v>
      </c>
      <c r="F306" s="95">
        <f t="shared" si="73"/>
        <v>0</v>
      </c>
      <c r="G306" s="31">
        <f>IF(OR(D306="SI",D306="Sí"),VLOOKUP(A306,DATA!$A$4:$D$350,4,0),0)</f>
        <v>0</v>
      </c>
      <c r="H306" s="95">
        <f>IF(OR(D306="SI",D306="Sí"),VLOOKUP(A306,DATA!$A$4:$E$350,5,0),0)</f>
        <v>0</v>
      </c>
      <c r="I306" s="31">
        <f t="shared" si="79"/>
        <v>0</v>
      </c>
      <c r="J306" s="361">
        <f t="shared" si="66"/>
        <v>0</v>
      </c>
      <c r="K306" s="361">
        <f t="shared" si="67"/>
        <v>0</v>
      </c>
      <c r="L306" s="31">
        <f>IF(OR(D306="SI",D306="Sí"),VLOOKUP(A306,DATA!$A$4:$G$350,7,0),0)</f>
        <v>0</v>
      </c>
      <c r="M306" s="31">
        <f>IF(OR(D306="SI",D306="Sí"),VLOOKUP(A306,DATA!$A$4:$H$350,8,0),0)</f>
        <v>0</v>
      </c>
      <c r="N306" s="361">
        <f t="shared" si="68"/>
        <v>0</v>
      </c>
      <c r="O306" s="361">
        <f t="shared" si="74"/>
        <v>0</v>
      </c>
      <c r="P306" s="361">
        <f t="shared" si="69"/>
        <v>0</v>
      </c>
      <c r="Q306" s="31">
        <f>IF(OR(D306="SI",D306="Sí"),VLOOKUP(A306,DATA!$A$4:$P$350,14,0),0)</f>
        <v>0</v>
      </c>
      <c r="R306" s="121">
        <f t="shared" si="80"/>
        <v>0</v>
      </c>
      <c r="S306" s="31">
        <f>IF(AND(R306&gt;0,R306&lt;$R$7),ROUND(($R$7-R306)*G306,PARAMETROS!$L$8),0)</f>
        <v>0</v>
      </c>
      <c r="T306" s="122">
        <f t="shared" si="70"/>
        <v>0</v>
      </c>
      <c r="U306" s="117">
        <f t="shared" si="71"/>
        <v>0</v>
      </c>
      <c r="V306" s="117">
        <f>VLOOKUP(A306,DATA!$A$4:$V$350,DATA!$V$1,0)</f>
        <v>0</v>
      </c>
      <c r="W306" s="117">
        <f>VLOOKUP(A306,DATA!$A$4:$V$350,22,0)</f>
        <v>0</v>
      </c>
      <c r="X306" s="96">
        <f t="shared" si="72"/>
        <v>0</v>
      </c>
      <c r="Y306" s="31">
        <f>ROUND(X306*PARAMETROS!$H$35,0)</f>
        <v>0</v>
      </c>
      <c r="Z306" s="31">
        <f t="shared" si="75"/>
        <v>0</v>
      </c>
      <c r="AA306" s="31">
        <f t="shared" si="76"/>
        <v>0</v>
      </c>
      <c r="AB306" s="31">
        <f t="shared" si="77"/>
        <v>0</v>
      </c>
      <c r="AC306" s="31">
        <f t="shared" si="77"/>
        <v>0</v>
      </c>
      <c r="AD306" s="38">
        <f t="shared" si="78"/>
        <v>0</v>
      </c>
    </row>
    <row r="307" spans="1:30" ht="3" customHeight="1" x14ac:dyDescent="0.25">
      <c r="A307">
        <v>13404</v>
      </c>
      <c r="B307">
        <v>13404</v>
      </c>
      <c r="C307" t="s">
        <v>308</v>
      </c>
      <c r="D307" s="6" t="str">
        <f>+DATA!U303</f>
        <v>No</v>
      </c>
      <c r="E307" s="361">
        <f t="shared" si="65"/>
        <v>0</v>
      </c>
      <c r="F307" s="95">
        <f t="shared" si="73"/>
        <v>0</v>
      </c>
      <c r="G307" s="31">
        <f>IF(OR(D307="SI",D307="Sí"),VLOOKUP(A307,DATA!$A$4:$D$350,4,0),0)</f>
        <v>0</v>
      </c>
      <c r="H307" s="95">
        <f>IF(OR(D307="SI",D307="Sí"),VLOOKUP(A307,DATA!$A$4:$E$350,5,0),0)</f>
        <v>0</v>
      </c>
      <c r="I307" s="31">
        <f t="shared" si="79"/>
        <v>0</v>
      </c>
      <c r="J307" s="361">
        <f t="shared" si="66"/>
        <v>0</v>
      </c>
      <c r="K307" s="361">
        <f t="shared" si="67"/>
        <v>0</v>
      </c>
      <c r="L307" s="31">
        <f>IF(OR(D307="SI",D307="Sí"),VLOOKUP(A307,DATA!$A$4:$G$350,7,0),0)</f>
        <v>0</v>
      </c>
      <c r="M307" s="31">
        <f>IF(OR(D307="SI",D307="Sí"),VLOOKUP(A307,DATA!$A$4:$H$350,8,0),0)</f>
        <v>0</v>
      </c>
      <c r="N307" s="361">
        <f t="shared" si="68"/>
        <v>0</v>
      </c>
      <c r="O307" s="361">
        <f t="shared" si="74"/>
        <v>0</v>
      </c>
      <c r="P307" s="361">
        <f t="shared" si="69"/>
        <v>0</v>
      </c>
      <c r="Q307" s="31">
        <f>IF(OR(D307="SI",D307="Sí"),VLOOKUP(A307,DATA!$A$4:$P$350,14,0),0)</f>
        <v>0</v>
      </c>
      <c r="R307" s="121">
        <f t="shared" si="80"/>
        <v>0</v>
      </c>
      <c r="S307" s="31">
        <f>IF(AND(R307&gt;0,R307&lt;$R$7),ROUND(($R$7-R307)*G307,PARAMETROS!$L$8),0)</f>
        <v>0</v>
      </c>
      <c r="T307" s="122">
        <f t="shared" si="70"/>
        <v>0</v>
      </c>
      <c r="U307" s="117">
        <f t="shared" si="71"/>
        <v>0</v>
      </c>
      <c r="V307" s="117">
        <f>VLOOKUP(A307,DATA!$A$4:$V$350,DATA!$V$1,0)</f>
        <v>0</v>
      </c>
      <c r="W307" s="117">
        <f>VLOOKUP(A307,DATA!$A$4:$V$350,22,0)</f>
        <v>0</v>
      </c>
      <c r="X307" s="96">
        <f t="shared" si="72"/>
        <v>0</v>
      </c>
      <c r="Y307" s="31">
        <f>ROUND(X307*PARAMETROS!$H$35,0)</f>
        <v>0</v>
      </c>
      <c r="Z307" s="31">
        <f t="shared" si="75"/>
        <v>0</v>
      </c>
      <c r="AA307" s="31">
        <f t="shared" si="76"/>
        <v>0</v>
      </c>
      <c r="AB307" s="31">
        <f t="shared" si="77"/>
        <v>0</v>
      </c>
      <c r="AC307" s="31">
        <f t="shared" si="77"/>
        <v>0</v>
      </c>
      <c r="AD307" s="38">
        <f t="shared" si="78"/>
        <v>0</v>
      </c>
    </row>
    <row r="308" spans="1:30" ht="3" customHeight="1" x14ac:dyDescent="0.25">
      <c r="A308">
        <v>13501</v>
      </c>
      <c r="B308">
        <v>13601</v>
      </c>
      <c r="C308" t="s">
        <v>314</v>
      </c>
      <c r="D308" s="6" t="str">
        <f>+DATA!U304</f>
        <v>No</v>
      </c>
      <c r="E308" s="361">
        <f t="shared" si="65"/>
        <v>0</v>
      </c>
      <c r="F308" s="95">
        <f t="shared" si="73"/>
        <v>0</v>
      </c>
      <c r="G308" s="31">
        <f>IF(OR(D308="SI",D308="Sí"),VLOOKUP(A308,DATA!$A$4:$D$350,4,0),0)</f>
        <v>0</v>
      </c>
      <c r="H308" s="95">
        <f>IF(OR(D308="SI",D308="Sí"),VLOOKUP(A308,DATA!$A$4:$E$350,5,0),0)</f>
        <v>0</v>
      </c>
      <c r="I308" s="31">
        <f t="shared" si="79"/>
        <v>0</v>
      </c>
      <c r="J308" s="361">
        <f t="shared" si="66"/>
        <v>0</v>
      </c>
      <c r="K308" s="361">
        <f t="shared" si="67"/>
        <v>0</v>
      </c>
      <c r="L308" s="31">
        <f>IF(OR(D308="SI",D308="Sí"),VLOOKUP(A308,DATA!$A$4:$G$350,7,0),0)</f>
        <v>0</v>
      </c>
      <c r="M308" s="31">
        <f>IF(OR(D308="SI",D308="Sí"),VLOOKUP(A308,DATA!$A$4:$H$350,8,0),0)</f>
        <v>0</v>
      </c>
      <c r="N308" s="361">
        <f t="shared" si="68"/>
        <v>0</v>
      </c>
      <c r="O308" s="361">
        <f t="shared" si="74"/>
        <v>0</v>
      </c>
      <c r="P308" s="361">
        <f t="shared" si="69"/>
        <v>0</v>
      </c>
      <c r="Q308" s="31">
        <f>IF(OR(D308="SI",D308="Sí"),VLOOKUP(A308,DATA!$A$4:$P$350,14,0),0)</f>
        <v>0</v>
      </c>
      <c r="R308" s="121">
        <f t="shared" si="80"/>
        <v>0</v>
      </c>
      <c r="S308" s="31">
        <f>IF(AND(R308&gt;0,R308&lt;$R$7),ROUND(($R$7-R308)*G308,PARAMETROS!$L$8),0)</f>
        <v>0</v>
      </c>
      <c r="T308" s="122">
        <f t="shared" si="70"/>
        <v>0</v>
      </c>
      <c r="U308" s="117">
        <f t="shared" si="71"/>
        <v>0</v>
      </c>
      <c r="V308" s="117">
        <f>VLOOKUP(A308,DATA!$A$4:$V$350,DATA!$V$1,0)</f>
        <v>0</v>
      </c>
      <c r="W308" s="117">
        <f>VLOOKUP(A308,DATA!$A$4:$V$350,22,0)</f>
        <v>0</v>
      </c>
      <c r="X308" s="96">
        <f t="shared" si="72"/>
        <v>0</v>
      </c>
      <c r="Y308" s="31">
        <f>ROUND(X308*PARAMETROS!$H$35,0)</f>
        <v>0</v>
      </c>
      <c r="Z308" s="31">
        <f t="shared" si="75"/>
        <v>0</v>
      </c>
      <c r="AA308" s="31">
        <f t="shared" si="76"/>
        <v>0</v>
      </c>
      <c r="AB308" s="31">
        <f t="shared" si="77"/>
        <v>0</v>
      </c>
      <c r="AC308" s="31">
        <f t="shared" si="77"/>
        <v>0</v>
      </c>
      <c r="AD308" s="38">
        <f t="shared" si="78"/>
        <v>0</v>
      </c>
    </row>
    <row r="309" spans="1:30" ht="3" customHeight="1" x14ac:dyDescent="0.25">
      <c r="A309">
        <v>13502</v>
      </c>
      <c r="B309">
        <v>13605</v>
      </c>
      <c r="C309" t="s">
        <v>432</v>
      </c>
      <c r="D309" s="6" t="str">
        <f>+DATA!U305</f>
        <v>No</v>
      </c>
      <c r="E309" s="361">
        <f t="shared" si="65"/>
        <v>0</v>
      </c>
      <c r="F309" s="95">
        <f t="shared" si="73"/>
        <v>0</v>
      </c>
      <c r="G309" s="31">
        <f>IF(OR(D309="SI",D309="Sí"),VLOOKUP(A309,DATA!$A$4:$D$350,4,0),0)</f>
        <v>0</v>
      </c>
      <c r="H309" s="95">
        <f>IF(OR(D309="SI",D309="Sí"),VLOOKUP(A309,DATA!$A$4:$E$350,5,0),0)</f>
        <v>0</v>
      </c>
      <c r="I309" s="31">
        <f t="shared" si="79"/>
        <v>0</v>
      </c>
      <c r="J309" s="361">
        <f t="shared" si="66"/>
        <v>0</v>
      </c>
      <c r="K309" s="361">
        <f t="shared" si="67"/>
        <v>0</v>
      </c>
      <c r="L309" s="31">
        <f>IF(OR(D309="SI",D309="Sí"),VLOOKUP(A309,DATA!$A$4:$G$350,7,0),0)</f>
        <v>0</v>
      </c>
      <c r="M309" s="31">
        <f>IF(OR(D309="SI",D309="Sí"),VLOOKUP(A309,DATA!$A$4:$H$350,8,0),0)</f>
        <v>0</v>
      </c>
      <c r="N309" s="361">
        <f t="shared" si="68"/>
        <v>0</v>
      </c>
      <c r="O309" s="361">
        <f t="shared" si="74"/>
        <v>0</v>
      </c>
      <c r="P309" s="361">
        <f t="shared" si="69"/>
        <v>0</v>
      </c>
      <c r="Q309" s="31">
        <f>IF(OR(D309="SI",D309="Sí"),VLOOKUP(A309,DATA!$A$4:$P$350,14,0),0)</f>
        <v>0</v>
      </c>
      <c r="R309" s="121">
        <f t="shared" si="80"/>
        <v>0</v>
      </c>
      <c r="S309" s="31">
        <f>IF(AND(R309&gt;0,R309&lt;$R$7),ROUND(($R$7-R309)*G309,PARAMETROS!$L$8),0)</f>
        <v>0</v>
      </c>
      <c r="T309" s="122">
        <f t="shared" si="70"/>
        <v>0</v>
      </c>
      <c r="U309" s="117">
        <f t="shared" si="71"/>
        <v>0</v>
      </c>
      <c r="V309" s="117">
        <f>VLOOKUP(A309,DATA!$A$4:$V$350,DATA!$V$1,0)</f>
        <v>0</v>
      </c>
      <c r="W309" s="117">
        <f>VLOOKUP(A309,DATA!$A$4:$V$350,22,0)</f>
        <v>0</v>
      </c>
      <c r="X309" s="96">
        <f t="shared" si="72"/>
        <v>0</v>
      </c>
      <c r="Y309" s="31">
        <f>ROUND(X309*PARAMETROS!$H$35,0)</f>
        <v>0</v>
      </c>
      <c r="Z309" s="31">
        <f t="shared" si="75"/>
        <v>0</v>
      </c>
      <c r="AA309" s="31">
        <f t="shared" si="76"/>
        <v>0</v>
      </c>
      <c r="AB309" s="31">
        <f t="shared" si="77"/>
        <v>0</v>
      </c>
      <c r="AC309" s="31">
        <f t="shared" si="77"/>
        <v>0</v>
      </c>
      <c r="AD309" s="38">
        <f t="shared" si="78"/>
        <v>0</v>
      </c>
    </row>
    <row r="310" spans="1:30" ht="3" customHeight="1" x14ac:dyDescent="0.25">
      <c r="A310">
        <v>13503</v>
      </c>
      <c r="B310">
        <v>13603</v>
      </c>
      <c r="C310" t="s">
        <v>433</v>
      </c>
      <c r="D310" s="6" t="str">
        <f>+DATA!U306</f>
        <v>No</v>
      </c>
      <c r="E310" s="361">
        <f t="shared" si="65"/>
        <v>0</v>
      </c>
      <c r="F310" s="95">
        <f t="shared" si="73"/>
        <v>0</v>
      </c>
      <c r="G310" s="31">
        <f>IF(OR(D310="SI",D310="Sí"),VLOOKUP(A310,DATA!$A$4:$D$350,4,0),0)</f>
        <v>0</v>
      </c>
      <c r="H310" s="95">
        <f>IF(OR(D310="SI",D310="Sí"),VLOOKUP(A310,DATA!$A$4:$E$350,5,0),0)</f>
        <v>0</v>
      </c>
      <c r="I310" s="31">
        <f t="shared" si="79"/>
        <v>0</v>
      </c>
      <c r="J310" s="361">
        <f t="shared" si="66"/>
        <v>0</v>
      </c>
      <c r="K310" s="361">
        <f t="shared" si="67"/>
        <v>0</v>
      </c>
      <c r="L310" s="31">
        <f>IF(OR(D310="SI",D310="Sí"),VLOOKUP(A310,DATA!$A$4:$G$350,7,0),0)</f>
        <v>0</v>
      </c>
      <c r="M310" s="31">
        <f>IF(OR(D310="SI",D310="Sí"),VLOOKUP(A310,DATA!$A$4:$H$350,8,0),0)</f>
        <v>0</v>
      </c>
      <c r="N310" s="361">
        <f t="shared" si="68"/>
        <v>0</v>
      </c>
      <c r="O310" s="361">
        <f t="shared" si="74"/>
        <v>0</v>
      </c>
      <c r="P310" s="361">
        <f t="shared" si="69"/>
        <v>0</v>
      </c>
      <c r="Q310" s="31">
        <f>IF(OR(D310="SI",D310="Sí"),VLOOKUP(A310,DATA!$A$4:$P$350,14,0),0)</f>
        <v>0</v>
      </c>
      <c r="R310" s="121">
        <f t="shared" si="80"/>
        <v>0</v>
      </c>
      <c r="S310" s="31">
        <f>IF(AND(R310&gt;0,R310&lt;$R$7),ROUND(($R$7-R310)*G310,PARAMETROS!$L$8),0)</f>
        <v>0</v>
      </c>
      <c r="T310" s="122">
        <f t="shared" si="70"/>
        <v>0</v>
      </c>
      <c r="U310" s="117">
        <f t="shared" si="71"/>
        <v>0</v>
      </c>
      <c r="V310" s="117">
        <f>VLOOKUP(A310,DATA!$A$4:$V$350,DATA!$V$1,0)</f>
        <v>0</v>
      </c>
      <c r="W310" s="117">
        <f>VLOOKUP(A310,DATA!$A$4:$V$350,22,0)</f>
        <v>0</v>
      </c>
      <c r="X310" s="96">
        <f t="shared" si="72"/>
        <v>0</v>
      </c>
      <c r="Y310" s="31">
        <f>ROUND(X310*PARAMETROS!$H$35,0)</f>
        <v>0</v>
      </c>
      <c r="Z310" s="31">
        <f t="shared" si="75"/>
        <v>0</v>
      </c>
      <c r="AA310" s="31">
        <f t="shared" si="76"/>
        <v>0</v>
      </c>
      <c r="AB310" s="31">
        <f t="shared" si="77"/>
        <v>0</v>
      </c>
      <c r="AC310" s="31">
        <f t="shared" si="77"/>
        <v>0</v>
      </c>
      <c r="AD310" s="38">
        <f t="shared" si="78"/>
        <v>0</v>
      </c>
    </row>
    <row r="311" spans="1:30" ht="3" customHeight="1" x14ac:dyDescent="0.25">
      <c r="A311">
        <v>13504</v>
      </c>
      <c r="B311">
        <v>13602</v>
      </c>
      <c r="C311" t="s">
        <v>434</v>
      </c>
      <c r="D311" s="6" t="str">
        <f>+DATA!U307</f>
        <v>No</v>
      </c>
      <c r="E311" s="361">
        <f t="shared" si="65"/>
        <v>0</v>
      </c>
      <c r="F311" s="95">
        <f t="shared" si="73"/>
        <v>0</v>
      </c>
      <c r="G311" s="31">
        <f>IF(OR(D311="SI",D311="Sí"),VLOOKUP(A311,DATA!$A$4:$D$350,4,0),0)</f>
        <v>0</v>
      </c>
      <c r="H311" s="95">
        <f>IF(OR(D311="SI",D311="Sí"),VLOOKUP(A311,DATA!$A$4:$E$350,5,0),0)</f>
        <v>0</v>
      </c>
      <c r="I311" s="31">
        <f t="shared" si="79"/>
        <v>0</v>
      </c>
      <c r="J311" s="361">
        <f t="shared" si="66"/>
        <v>0</v>
      </c>
      <c r="K311" s="361">
        <f t="shared" si="67"/>
        <v>0</v>
      </c>
      <c r="L311" s="31">
        <f>IF(OR(D311="SI",D311="Sí"),VLOOKUP(A311,DATA!$A$4:$G$350,7,0),0)</f>
        <v>0</v>
      </c>
      <c r="M311" s="31">
        <f>IF(OR(D311="SI",D311="Sí"),VLOOKUP(A311,DATA!$A$4:$H$350,8,0),0)</f>
        <v>0</v>
      </c>
      <c r="N311" s="361">
        <f t="shared" si="68"/>
        <v>0</v>
      </c>
      <c r="O311" s="361">
        <f t="shared" si="74"/>
        <v>0</v>
      </c>
      <c r="P311" s="361">
        <f t="shared" si="69"/>
        <v>0</v>
      </c>
      <c r="Q311" s="31">
        <f>IF(OR(D311="SI",D311="Sí"),VLOOKUP(A311,DATA!$A$4:$P$350,14,0),0)</f>
        <v>0</v>
      </c>
      <c r="R311" s="121">
        <f t="shared" si="80"/>
        <v>0</v>
      </c>
      <c r="S311" s="31">
        <f>IF(AND(R311&gt;0,R311&lt;$R$7),ROUND(($R$7-R311)*G311,PARAMETROS!$L$8),0)</f>
        <v>0</v>
      </c>
      <c r="T311" s="122">
        <f t="shared" si="70"/>
        <v>0</v>
      </c>
      <c r="U311" s="117">
        <f t="shared" si="71"/>
        <v>0</v>
      </c>
      <c r="V311" s="117">
        <f>VLOOKUP(A311,DATA!$A$4:$V$350,DATA!$V$1,0)</f>
        <v>0</v>
      </c>
      <c r="W311" s="117">
        <f>VLOOKUP(A311,DATA!$A$4:$V$350,22,0)</f>
        <v>0</v>
      </c>
      <c r="X311" s="96">
        <f t="shared" si="72"/>
        <v>0</v>
      </c>
      <c r="Y311" s="31">
        <f>ROUND(X311*PARAMETROS!$H$35,0)</f>
        <v>0</v>
      </c>
      <c r="Z311" s="31">
        <f t="shared" si="75"/>
        <v>0</v>
      </c>
      <c r="AA311" s="31">
        <f t="shared" si="76"/>
        <v>0</v>
      </c>
      <c r="AB311" s="31">
        <f t="shared" si="77"/>
        <v>0</v>
      </c>
      <c r="AC311" s="31">
        <f t="shared" si="77"/>
        <v>0</v>
      </c>
      <c r="AD311" s="38">
        <f t="shared" si="78"/>
        <v>0</v>
      </c>
    </row>
    <row r="312" spans="1:30" ht="3" customHeight="1" x14ac:dyDescent="0.25">
      <c r="A312">
        <v>13505</v>
      </c>
      <c r="B312">
        <v>13604</v>
      </c>
      <c r="C312" t="s">
        <v>315</v>
      </c>
      <c r="D312" s="6" t="str">
        <f>+DATA!U308</f>
        <v>No</v>
      </c>
      <c r="E312" s="361">
        <f t="shared" si="65"/>
        <v>0</v>
      </c>
      <c r="F312" s="95">
        <f t="shared" si="73"/>
        <v>0</v>
      </c>
      <c r="G312" s="31">
        <f>IF(OR(D312="SI",D312="Sí"),VLOOKUP(A312,DATA!$A$4:$D$350,4,0),0)</f>
        <v>0</v>
      </c>
      <c r="H312" s="95">
        <f>IF(OR(D312="SI",D312="Sí"),VLOOKUP(A312,DATA!$A$4:$E$350,5,0),0)</f>
        <v>0</v>
      </c>
      <c r="I312" s="31">
        <f t="shared" si="79"/>
        <v>0</v>
      </c>
      <c r="J312" s="361">
        <f t="shared" si="66"/>
        <v>0</v>
      </c>
      <c r="K312" s="361">
        <f t="shared" si="67"/>
        <v>0</v>
      </c>
      <c r="L312" s="31">
        <f>IF(OR(D312="SI",D312="Sí"),VLOOKUP(A312,DATA!$A$4:$G$350,7,0),0)</f>
        <v>0</v>
      </c>
      <c r="M312" s="31">
        <f>IF(OR(D312="SI",D312="Sí"),VLOOKUP(A312,DATA!$A$4:$H$350,8,0),0)</f>
        <v>0</v>
      </c>
      <c r="N312" s="361">
        <f t="shared" si="68"/>
        <v>0</v>
      </c>
      <c r="O312" s="361">
        <f t="shared" si="74"/>
        <v>0</v>
      </c>
      <c r="P312" s="361">
        <f t="shared" si="69"/>
        <v>0</v>
      </c>
      <c r="Q312" s="31">
        <f>IF(OR(D312="SI",D312="Sí"),VLOOKUP(A312,DATA!$A$4:$P$350,14,0),0)</f>
        <v>0</v>
      </c>
      <c r="R312" s="121">
        <f t="shared" si="80"/>
        <v>0</v>
      </c>
      <c r="S312" s="31">
        <f>IF(AND(R312&gt;0,R312&lt;$R$7),ROUND(($R$7-R312)*G312,PARAMETROS!$L$8),0)</f>
        <v>0</v>
      </c>
      <c r="T312" s="122">
        <f t="shared" si="70"/>
        <v>0</v>
      </c>
      <c r="U312" s="117">
        <f t="shared" si="71"/>
        <v>0</v>
      </c>
      <c r="V312" s="117">
        <f>VLOOKUP(A312,DATA!$A$4:$V$350,DATA!$V$1,0)</f>
        <v>0</v>
      </c>
      <c r="W312" s="117">
        <f>VLOOKUP(A312,DATA!$A$4:$V$350,22,0)</f>
        <v>0</v>
      </c>
      <c r="X312" s="96">
        <f t="shared" si="72"/>
        <v>0</v>
      </c>
      <c r="Y312" s="31">
        <f>ROUND(X312*PARAMETROS!$H$35,0)</f>
        <v>0</v>
      </c>
      <c r="Z312" s="31">
        <f t="shared" si="75"/>
        <v>0</v>
      </c>
      <c r="AA312" s="31">
        <f t="shared" si="76"/>
        <v>0</v>
      </c>
      <c r="AB312" s="31">
        <f t="shared" si="77"/>
        <v>0</v>
      </c>
      <c r="AC312" s="31">
        <f t="shared" si="77"/>
        <v>0</v>
      </c>
      <c r="AD312" s="38">
        <f t="shared" si="78"/>
        <v>0</v>
      </c>
    </row>
    <row r="313" spans="1:30" ht="3" customHeight="1" x14ac:dyDescent="0.25">
      <c r="A313">
        <v>13601</v>
      </c>
      <c r="B313">
        <v>13501</v>
      </c>
      <c r="C313" t="s">
        <v>309</v>
      </c>
      <c r="D313" s="6" t="str">
        <f>+DATA!U309</f>
        <v>No</v>
      </c>
      <c r="E313" s="361">
        <f t="shared" si="65"/>
        <v>0</v>
      </c>
      <c r="F313" s="95">
        <f t="shared" si="73"/>
        <v>0</v>
      </c>
      <c r="G313" s="31">
        <f>IF(OR(D313="SI",D313="Sí"),VLOOKUP(A313,DATA!$A$4:$D$350,4,0),0)</f>
        <v>0</v>
      </c>
      <c r="H313" s="95">
        <f>IF(OR(D313="SI",D313="Sí"),VLOOKUP(A313,DATA!$A$4:$E$350,5,0),0)</f>
        <v>0</v>
      </c>
      <c r="I313" s="31">
        <f t="shared" si="79"/>
        <v>0</v>
      </c>
      <c r="J313" s="361">
        <f t="shared" si="66"/>
        <v>0</v>
      </c>
      <c r="K313" s="361">
        <f t="shared" si="67"/>
        <v>0</v>
      </c>
      <c r="L313" s="31">
        <f>IF(OR(D313="SI",D313="Sí"),VLOOKUP(A313,DATA!$A$4:$G$350,7,0),0)</f>
        <v>0</v>
      </c>
      <c r="M313" s="31">
        <f>IF(OR(D313="SI",D313="Sí"),VLOOKUP(A313,DATA!$A$4:$H$350,8,0),0)</f>
        <v>0</v>
      </c>
      <c r="N313" s="361">
        <f t="shared" si="68"/>
        <v>0</v>
      </c>
      <c r="O313" s="361">
        <f t="shared" si="74"/>
        <v>0</v>
      </c>
      <c r="P313" s="361">
        <f t="shared" si="69"/>
        <v>0</v>
      </c>
      <c r="Q313" s="31">
        <f>IF(OR(D313="SI",D313="Sí"),VLOOKUP(A313,DATA!$A$4:$P$350,14,0),0)</f>
        <v>0</v>
      </c>
      <c r="R313" s="121">
        <f t="shared" si="80"/>
        <v>0</v>
      </c>
      <c r="S313" s="31">
        <f>IF(AND(R313&gt;0,R313&lt;$R$7),ROUND(($R$7-R313)*G313,PARAMETROS!$L$8),0)</f>
        <v>0</v>
      </c>
      <c r="T313" s="122">
        <f t="shared" si="70"/>
        <v>0</v>
      </c>
      <c r="U313" s="117">
        <f t="shared" si="71"/>
        <v>0</v>
      </c>
      <c r="V313" s="117">
        <f>VLOOKUP(A313,DATA!$A$4:$V$350,DATA!$V$1,0)</f>
        <v>0</v>
      </c>
      <c r="W313" s="117">
        <f>VLOOKUP(A313,DATA!$A$4:$V$350,22,0)</f>
        <v>0</v>
      </c>
      <c r="X313" s="96">
        <f t="shared" si="72"/>
        <v>0</v>
      </c>
      <c r="Y313" s="31">
        <f>ROUND(X313*PARAMETROS!$H$35,0)</f>
        <v>0</v>
      </c>
      <c r="Z313" s="31">
        <f t="shared" si="75"/>
        <v>0</v>
      </c>
      <c r="AA313" s="31">
        <f t="shared" si="76"/>
        <v>0</v>
      </c>
      <c r="AB313" s="31">
        <f t="shared" si="77"/>
        <v>0</v>
      </c>
      <c r="AC313" s="31">
        <f t="shared" si="77"/>
        <v>0</v>
      </c>
      <c r="AD313" s="38">
        <f t="shared" si="78"/>
        <v>0</v>
      </c>
    </row>
    <row r="314" spans="1:30" ht="3" customHeight="1" x14ac:dyDescent="0.25">
      <c r="A314">
        <v>13602</v>
      </c>
      <c r="B314">
        <v>13503</v>
      </c>
      <c r="C314" t="s">
        <v>311</v>
      </c>
      <c r="D314" s="6" t="str">
        <f>+DATA!U310</f>
        <v>No</v>
      </c>
      <c r="E314" s="361">
        <f t="shared" si="65"/>
        <v>0</v>
      </c>
      <c r="F314" s="95">
        <f t="shared" si="73"/>
        <v>0</v>
      </c>
      <c r="G314" s="31">
        <f>IF(OR(D314="SI",D314="Sí"),VLOOKUP(A314,DATA!$A$4:$D$350,4,0),0)</f>
        <v>0</v>
      </c>
      <c r="H314" s="95">
        <f>IF(OR(D314="SI",D314="Sí"),VLOOKUP(A314,DATA!$A$4:$E$350,5,0),0)</f>
        <v>0</v>
      </c>
      <c r="I314" s="31">
        <f t="shared" si="79"/>
        <v>0</v>
      </c>
      <c r="J314" s="361">
        <f t="shared" si="66"/>
        <v>0</v>
      </c>
      <c r="K314" s="361">
        <f t="shared" si="67"/>
        <v>0</v>
      </c>
      <c r="L314" s="31">
        <f>IF(OR(D314="SI",D314="Sí"),VLOOKUP(A314,DATA!$A$4:$G$350,7,0),0)</f>
        <v>0</v>
      </c>
      <c r="M314" s="31">
        <f>IF(OR(D314="SI",D314="Sí"),VLOOKUP(A314,DATA!$A$4:$H$350,8,0),0)</f>
        <v>0</v>
      </c>
      <c r="N314" s="361">
        <f t="shared" si="68"/>
        <v>0</v>
      </c>
      <c r="O314" s="361">
        <f t="shared" si="74"/>
        <v>0</v>
      </c>
      <c r="P314" s="361">
        <f t="shared" si="69"/>
        <v>0</v>
      </c>
      <c r="Q314" s="31">
        <f>IF(OR(D314="SI",D314="Sí"),VLOOKUP(A314,DATA!$A$4:$P$350,14,0),0)</f>
        <v>0</v>
      </c>
      <c r="R314" s="121">
        <f t="shared" si="80"/>
        <v>0</v>
      </c>
      <c r="S314" s="31">
        <f>IF(AND(R314&gt;0,R314&lt;$R$7),ROUND(($R$7-R314)*G314,PARAMETROS!$L$8),0)</f>
        <v>0</v>
      </c>
      <c r="T314" s="122">
        <f t="shared" si="70"/>
        <v>0</v>
      </c>
      <c r="U314" s="117">
        <f t="shared" si="71"/>
        <v>0</v>
      </c>
      <c r="V314" s="117">
        <f>VLOOKUP(A314,DATA!$A$4:$V$350,DATA!$V$1,0)</f>
        <v>0</v>
      </c>
      <c r="W314" s="117">
        <f>VLOOKUP(A314,DATA!$A$4:$V$350,22,0)</f>
        <v>0</v>
      </c>
      <c r="X314" s="96">
        <f t="shared" si="72"/>
        <v>0</v>
      </c>
      <c r="Y314" s="31">
        <f>ROUND(X314*PARAMETROS!$H$35,0)</f>
        <v>0</v>
      </c>
      <c r="Z314" s="31">
        <f t="shared" si="75"/>
        <v>0</v>
      </c>
      <c r="AA314" s="31">
        <f t="shared" si="76"/>
        <v>0</v>
      </c>
      <c r="AB314" s="31">
        <f t="shared" si="77"/>
        <v>0</v>
      </c>
      <c r="AC314" s="31">
        <f t="shared" si="77"/>
        <v>0</v>
      </c>
      <c r="AD314" s="38">
        <f t="shared" si="78"/>
        <v>0</v>
      </c>
    </row>
    <row r="315" spans="1:30" ht="3" customHeight="1" x14ac:dyDescent="0.25">
      <c r="A315">
        <v>13603</v>
      </c>
      <c r="B315">
        <v>13502</v>
      </c>
      <c r="C315" t="s">
        <v>310</v>
      </c>
      <c r="D315" s="6" t="str">
        <f>+DATA!U311</f>
        <v>No</v>
      </c>
      <c r="E315" s="361">
        <f t="shared" si="65"/>
        <v>0</v>
      </c>
      <c r="F315" s="95">
        <f t="shared" si="73"/>
        <v>0</v>
      </c>
      <c r="G315" s="31">
        <f>IF(OR(D315="SI",D315="Sí"),VLOOKUP(A315,DATA!$A$4:$D$350,4,0),0)</f>
        <v>0</v>
      </c>
      <c r="H315" s="95">
        <f>IF(OR(D315="SI",D315="Sí"),VLOOKUP(A315,DATA!$A$4:$E$350,5,0),0)</f>
        <v>0</v>
      </c>
      <c r="I315" s="31">
        <f t="shared" si="79"/>
        <v>0</v>
      </c>
      <c r="J315" s="361">
        <f t="shared" si="66"/>
        <v>0</v>
      </c>
      <c r="K315" s="361">
        <f t="shared" si="67"/>
        <v>0</v>
      </c>
      <c r="L315" s="31">
        <f>IF(OR(D315="SI",D315="Sí"),VLOOKUP(A315,DATA!$A$4:$G$350,7,0),0)</f>
        <v>0</v>
      </c>
      <c r="M315" s="31">
        <f>IF(OR(D315="SI",D315="Sí"),VLOOKUP(A315,DATA!$A$4:$H$350,8,0),0)</f>
        <v>0</v>
      </c>
      <c r="N315" s="361">
        <f t="shared" si="68"/>
        <v>0</v>
      </c>
      <c r="O315" s="361">
        <f t="shared" si="74"/>
        <v>0</v>
      </c>
      <c r="P315" s="361">
        <f t="shared" si="69"/>
        <v>0</v>
      </c>
      <c r="Q315" s="31">
        <f>IF(OR(D315="SI",D315="Sí"),VLOOKUP(A315,DATA!$A$4:$P$350,14,0),0)</f>
        <v>0</v>
      </c>
      <c r="R315" s="121">
        <f t="shared" si="80"/>
        <v>0</v>
      </c>
      <c r="S315" s="31">
        <f>IF(AND(R315&gt;0,R315&lt;$R$7),ROUND(($R$7-R315)*G315,PARAMETROS!$L$8),0)</f>
        <v>0</v>
      </c>
      <c r="T315" s="122">
        <f t="shared" si="70"/>
        <v>0</v>
      </c>
      <c r="U315" s="117">
        <f t="shared" si="71"/>
        <v>0</v>
      </c>
      <c r="V315" s="117">
        <f>VLOOKUP(A315,DATA!$A$4:$V$350,DATA!$V$1,0)</f>
        <v>0</v>
      </c>
      <c r="W315" s="117">
        <f>VLOOKUP(A315,DATA!$A$4:$V$350,22,0)</f>
        <v>0</v>
      </c>
      <c r="X315" s="96">
        <f t="shared" si="72"/>
        <v>0</v>
      </c>
      <c r="Y315" s="31">
        <f>ROUND(X315*PARAMETROS!$H$35,0)</f>
        <v>0</v>
      </c>
      <c r="Z315" s="31">
        <f t="shared" si="75"/>
        <v>0</v>
      </c>
      <c r="AA315" s="31">
        <f t="shared" si="76"/>
        <v>0</v>
      </c>
      <c r="AB315" s="31">
        <f t="shared" si="77"/>
        <v>0</v>
      </c>
      <c r="AC315" s="31">
        <f t="shared" si="77"/>
        <v>0</v>
      </c>
      <c r="AD315" s="38">
        <f t="shared" si="78"/>
        <v>0</v>
      </c>
    </row>
    <row r="316" spans="1:30" ht="3" customHeight="1" x14ac:dyDescent="0.25">
      <c r="A316">
        <v>13604</v>
      </c>
      <c r="B316">
        <v>13505</v>
      </c>
      <c r="C316" t="s">
        <v>313</v>
      </c>
      <c r="D316" s="6" t="str">
        <f>+DATA!U312</f>
        <v>No</v>
      </c>
      <c r="E316" s="361">
        <f t="shared" si="65"/>
        <v>0</v>
      </c>
      <c r="F316" s="95">
        <f t="shared" si="73"/>
        <v>0</v>
      </c>
      <c r="G316" s="31">
        <f>IF(OR(D316="SI",D316="Sí"),VLOOKUP(A316,DATA!$A$4:$D$350,4,0),0)</f>
        <v>0</v>
      </c>
      <c r="H316" s="95">
        <f>IF(OR(D316="SI",D316="Sí"),VLOOKUP(A316,DATA!$A$4:$E$350,5,0),0)</f>
        <v>0</v>
      </c>
      <c r="I316" s="31">
        <f t="shared" si="79"/>
        <v>0</v>
      </c>
      <c r="J316" s="361">
        <f t="shared" si="66"/>
        <v>0</v>
      </c>
      <c r="K316" s="361">
        <f t="shared" si="67"/>
        <v>0</v>
      </c>
      <c r="L316" s="31">
        <f>IF(OR(D316="SI",D316="Sí"),VLOOKUP(A316,DATA!$A$4:$G$350,7,0),0)</f>
        <v>0</v>
      </c>
      <c r="M316" s="31">
        <f>IF(OR(D316="SI",D316="Sí"),VLOOKUP(A316,DATA!$A$4:$H$350,8,0),0)</f>
        <v>0</v>
      </c>
      <c r="N316" s="361">
        <f t="shared" si="68"/>
        <v>0</v>
      </c>
      <c r="O316" s="361">
        <f t="shared" si="74"/>
        <v>0</v>
      </c>
      <c r="P316" s="361">
        <f t="shared" si="69"/>
        <v>0</v>
      </c>
      <c r="Q316" s="31">
        <f>IF(OR(D316="SI",D316="Sí"),VLOOKUP(A316,DATA!$A$4:$P$350,14,0),0)</f>
        <v>0</v>
      </c>
      <c r="R316" s="121">
        <f t="shared" si="80"/>
        <v>0</v>
      </c>
      <c r="S316" s="31">
        <f>IF(AND(R316&gt;0,R316&lt;$R$7),ROUND(($R$7-R316)*G316,PARAMETROS!$L$8),0)</f>
        <v>0</v>
      </c>
      <c r="T316" s="122">
        <f t="shared" si="70"/>
        <v>0</v>
      </c>
      <c r="U316" s="117">
        <f t="shared" si="71"/>
        <v>0</v>
      </c>
      <c r="V316" s="117">
        <f>VLOOKUP(A316,DATA!$A$4:$V$350,DATA!$V$1,0)</f>
        <v>0</v>
      </c>
      <c r="W316" s="117">
        <f>VLOOKUP(A316,DATA!$A$4:$V$350,22,0)</f>
        <v>0</v>
      </c>
      <c r="X316" s="96">
        <f t="shared" si="72"/>
        <v>0</v>
      </c>
      <c r="Y316" s="31">
        <f>ROUND(X316*PARAMETROS!$H$35,0)</f>
        <v>0</v>
      </c>
      <c r="Z316" s="31">
        <f t="shared" si="75"/>
        <v>0</v>
      </c>
      <c r="AA316" s="31">
        <f t="shared" si="76"/>
        <v>0</v>
      </c>
      <c r="AB316" s="31">
        <f t="shared" si="77"/>
        <v>0</v>
      </c>
      <c r="AC316" s="31">
        <f t="shared" si="77"/>
        <v>0</v>
      </c>
      <c r="AD316" s="38">
        <f t="shared" si="78"/>
        <v>0</v>
      </c>
    </row>
    <row r="317" spans="1:30" ht="3" customHeight="1" x14ac:dyDescent="0.25">
      <c r="A317">
        <v>13605</v>
      </c>
      <c r="B317">
        <v>13504</v>
      </c>
      <c r="C317" t="s">
        <v>312</v>
      </c>
      <c r="D317" s="6" t="str">
        <f>+DATA!U313</f>
        <v>No</v>
      </c>
      <c r="E317" s="361">
        <f t="shared" si="65"/>
        <v>0</v>
      </c>
      <c r="F317" s="95">
        <f t="shared" si="73"/>
        <v>0</v>
      </c>
      <c r="G317" s="31">
        <f>IF(OR(D317="SI",D317="Sí"),VLOOKUP(A317,DATA!$A$4:$D$350,4,0),0)</f>
        <v>0</v>
      </c>
      <c r="H317" s="95">
        <f>IF(OR(D317="SI",D317="Sí"),VLOOKUP(A317,DATA!$A$4:$E$350,5,0),0)</f>
        <v>0</v>
      </c>
      <c r="I317" s="31">
        <f t="shared" si="79"/>
        <v>0</v>
      </c>
      <c r="J317" s="361">
        <f t="shared" si="66"/>
        <v>0</v>
      </c>
      <c r="K317" s="361">
        <f t="shared" si="67"/>
        <v>0</v>
      </c>
      <c r="L317" s="31">
        <f>IF(OR(D317="SI",D317="Sí"),VLOOKUP(A317,DATA!$A$4:$G$350,7,0),0)</f>
        <v>0</v>
      </c>
      <c r="M317" s="31">
        <f>IF(OR(D317="SI",D317="Sí"),VLOOKUP(A317,DATA!$A$4:$H$350,8,0),0)</f>
        <v>0</v>
      </c>
      <c r="N317" s="361">
        <f t="shared" si="68"/>
        <v>0</v>
      </c>
      <c r="O317" s="361">
        <f t="shared" si="74"/>
        <v>0</v>
      </c>
      <c r="P317" s="361">
        <f t="shared" si="69"/>
        <v>0</v>
      </c>
      <c r="Q317" s="31">
        <f>IF(OR(D317="SI",D317="Sí"),VLOOKUP(A317,DATA!$A$4:$P$350,14,0),0)</f>
        <v>0</v>
      </c>
      <c r="R317" s="121">
        <f t="shared" si="80"/>
        <v>0</v>
      </c>
      <c r="S317" s="31">
        <f>IF(AND(R317&gt;0,R317&lt;$R$7),ROUND(($R$7-R317)*G317,PARAMETROS!$L$8),0)</f>
        <v>0</v>
      </c>
      <c r="T317" s="122">
        <f t="shared" si="70"/>
        <v>0</v>
      </c>
      <c r="U317" s="117">
        <f t="shared" si="71"/>
        <v>0</v>
      </c>
      <c r="V317" s="117">
        <f>VLOOKUP(A317,DATA!$A$4:$V$350,DATA!$V$1,0)</f>
        <v>0</v>
      </c>
      <c r="W317" s="117">
        <f>VLOOKUP(A317,DATA!$A$4:$V$350,22,0)</f>
        <v>0</v>
      </c>
      <c r="X317" s="96">
        <f t="shared" si="72"/>
        <v>0</v>
      </c>
      <c r="Y317" s="31">
        <f>ROUND(X317*PARAMETROS!$H$35,0)</f>
        <v>0</v>
      </c>
      <c r="Z317" s="31">
        <f t="shared" si="75"/>
        <v>0</v>
      </c>
      <c r="AA317" s="31">
        <f t="shared" si="76"/>
        <v>0</v>
      </c>
      <c r="AB317" s="31">
        <f t="shared" si="77"/>
        <v>0</v>
      </c>
      <c r="AC317" s="31">
        <f t="shared" si="77"/>
        <v>0</v>
      </c>
      <c r="AD317" s="38">
        <f t="shared" si="78"/>
        <v>0</v>
      </c>
    </row>
    <row r="318" spans="1:30" ht="3" customHeight="1" x14ac:dyDescent="0.25">
      <c r="A318">
        <v>14101</v>
      </c>
      <c r="B318">
        <v>10101</v>
      </c>
      <c r="C318" t="s">
        <v>232</v>
      </c>
      <c r="D318" s="6" t="str">
        <f>+DATA!U314</f>
        <v>No</v>
      </c>
      <c r="E318" s="361">
        <f t="shared" si="65"/>
        <v>0</v>
      </c>
      <c r="F318" s="95">
        <f t="shared" si="73"/>
        <v>0</v>
      </c>
      <c r="G318" s="31">
        <f>IF(OR(D318="SI",D318="Sí"),VLOOKUP(A318,DATA!$A$4:$D$350,4,0),0)</f>
        <v>0</v>
      </c>
      <c r="H318" s="95">
        <f>IF(OR(D318="SI",D318="Sí"),VLOOKUP(A318,DATA!$A$4:$E$350,5,0),0)</f>
        <v>0</v>
      </c>
      <c r="I318" s="31">
        <f t="shared" si="79"/>
        <v>0</v>
      </c>
      <c r="J318" s="361">
        <f t="shared" si="66"/>
        <v>0</v>
      </c>
      <c r="K318" s="361">
        <f t="shared" si="67"/>
        <v>0</v>
      </c>
      <c r="L318" s="31">
        <f>IF(OR(D318="SI",D318="Sí"),VLOOKUP(A318,DATA!$A$4:$G$350,7,0),0)</f>
        <v>0</v>
      </c>
      <c r="M318" s="31">
        <f>IF(OR(D318="SI",D318="Sí"),VLOOKUP(A318,DATA!$A$4:$H$350,8,0),0)</f>
        <v>0</v>
      </c>
      <c r="N318" s="361">
        <f t="shared" si="68"/>
        <v>0</v>
      </c>
      <c r="O318" s="361">
        <f t="shared" si="74"/>
        <v>0</v>
      </c>
      <c r="P318" s="361">
        <f t="shared" si="69"/>
        <v>0</v>
      </c>
      <c r="Q318" s="31">
        <f>IF(OR(D318="SI",D318="Sí"),VLOOKUP(A318,DATA!$A$4:$P$350,14,0),0)</f>
        <v>0</v>
      </c>
      <c r="R318" s="121">
        <f t="shared" si="80"/>
        <v>0</v>
      </c>
      <c r="S318" s="31">
        <f>IF(AND(R318&gt;0,R318&lt;$R$7),ROUND(($R$7-R318)*G318,PARAMETROS!$L$8),0)</f>
        <v>0</v>
      </c>
      <c r="T318" s="122">
        <f t="shared" si="70"/>
        <v>0</v>
      </c>
      <c r="U318" s="117">
        <f t="shared" si="71"/>
        <v>0</v>
      </c>
      <c r="V318" s="117">
        <f>VLOOKUP(A318,DATA!$A$4:$V$350,DATA!$V$1,0)</f>
        <v>0</v>
      </c>
      <c r="W318" s="117">
        <f>VLOOKUP(A318,DATA!$A$4:$V$350,22,0)</f>
        <v>0</v>
      </c>
      <c r="X318" s="96">
        <f t="shared" si="72"/>
        <v>0</v>
      </c>
      <c r="Y318" s="31">
        <f>ROUND(X318*PARAMETROS!$H$35,0)</f>
        <v>0</v>
      </c>
      <c r="Z318" s="31">
        <f t="shared" si="75"/>
        <v>0</v>
      </c>
      <c r="AA318" s="31">
        <f t="shared" si="76"/>
        <v>0</v>
      </c>
      <c r="AB318" s="31">
        <f t="shared" si="77"/>
        <v>0</v>
      </c>
      <c r="AC318" s="31">
        <f t="shared" si="77"/>
        <v>0</v>
      </c>
      <c r="AD318" s="38">
        <f t="shared" si="78"/>
        <v>0</v>
      </c>
    </row>
    <row r="319" spans="1:30" ht="3" customHeight="1" x14ac:dyDescent="0.25">
      <c r="A319">
        <v>14102</v>
      </c>
      <c r="B319">
        <v>10106</v>
      </c>
      <c r="C319" t="s">
        <v>236</v>
      </c>
      <c r="D319" s="6" t="str">
        <f>+DATA!U315</f>
        <v>No</v>
      </c>
      <c r="E319" s="361">
        <f t="shared" si="65"/>
        <v>0</v>
      </c>
      <c r="F319" s="95">
        <f t="shared" si="73"/>
        <v>0</v>
      </c>
      <c r="G319" s="31">
        <f>IF(OR(D319="SI",D319="Sí"),VLOOKUP(A319,DATA!$A$4:$D$350,4,0),0)</f>
        <v>0</v>
      </c>
      <c r="H319" s="95">
        <f>IF(OR(D319="SI",D319="Sí"),VLOOKUP(A319,DATA!$A$4:$E$350,5,0),0)</f>
        <v>0</v>
      </c>
      <c r="I319" s="31">
        <f t="shared" si="79"/>
        <v>0</v>
      </c>
      <c r="J319" s="361">
        <f t="shared" si="66"/>
        <v>0</v>
      </c>
      <c r="K319" s="361">
        <f t="shared" si="67"/>
        <v>0</v>
      </c>
      <c r="L319" s="31">
        <f>IF(OR(D319="SI",D319="Sí"),VLOOKUP(A319,DATA!$A$4:$G$350,7,0),0)</f>
        <v>0</v>
      </c>
      <c r="M319" s="31">
        <f>IF(OR(D319="SI",D319="Sí"),VLOOKUP(A319,DATA!$A$4:$H$350,8,0),0)</f>
        <v>0</v>
      </c>
      <c r="N319" s="361">
        <f t="shared" si="68"/>
        <v>0</v>
      </c>
      <c r="O319" s="361">
        <f t="shared" si="74"/>
        <v>0</v>
      </c>
      <c r="P319" s="361">
        <f t="shared" si="69"/>
        <v>0</v>
      </c>
      <c r="Q319" s="31">
        <f>IF(OR(D319="SI",D319="Sí"),VLOOKUP(A319,DATA!$A$4:$P$350,14,0),0)</f>
        <v>0</v>
      </c>
      <c r="R319" s="121">
        <f t="shared" si="80"/>
        <v>0</v>
      </c>
      <c r="S319" s="31">
        <f>IF(AND(R319&gt;0,R319&lt;$R$7),ROUND(($R$7-R319)*G319,PARAMETROS!$L$8),0)</f>
        <v>0</v>
      </c>
      <c r="T319" s="122">
        <f t="shared" si="70"/>
        <v>0</v>
      </c>
      <c r="U319" s="117">
        <f t="shared" si="71"/>
        <v>0</v>
      </c>
      <c r="V319" s="117">
        <f>VLOOKUP(A319,DATA!$A$4:$V$350,DATA!$V$1,0)</f>
        <v>0</v>
      </c>
      <c r="W319" s="117">
        <f>VLOOKUP(A319,DATA!$A$4:$V$350,22,0)</f>
        <v>0</v>
      </c>
      <c r="X319" s="96">
        <f t="shared" si="72"/>
        <v>0</v>
      </c>
      <c r="Y319" s="31">
        <f>ROUND(X319*PARAMETROS!$H$35,0)</f>
        <v>0</v>
      </c>
      <c r="Z319" s="31">
        <f t="shared" si="75"/>
        <v>0</v>
      </c>
      <c r="AA319" s="31">
        <f t="shared" si="76"/>
        <v>0</v>
      </c>
      <c r="AB319" s="31">
        <f t="shared" si="77"/>
        <v>0</v>
      </c>
      <c r="AC319" s="31">
        <f t="shared" si="77"/>
        <v>0</v>
      </c>
      <c r="AD319" s="38">
        <f t="shared" si="78"/>
        <v>0</v>
      </c>
    </row>
    <row r="320" spans="1:30" ht="3" customHeight="1" x14ac:dyDescent="0.25">
      <c r="A320">
        <v>14103</v>
      </c>
      <c r="B320">
        <v>10103</v>
      </c>
      <c r="C320" t="s">
        <v>233</v>
      </c>
      <c r="D320" s="6" t="str">
        <f>+DATA!U316</f>
        <v>No</v>
      </c>
      <c r="E320" s="361">
        <f t="shared" si="65"/>
        <v>0</v>
      </c>
      <c r="F320" s="95">
        <f t="shared" si="73"/>
        <v>0</v>
      </c>
      <c r="G320" s="31">
        <f>IF(OR(D320="SI",D320="Sí"),VLOOKUP(A320,DATA!$A$4:$D$350,4,0),0)</f>
        <v>0</v>
      </c>
      <c r="H320" s="95">
        <f>IF(OR(D320="SI",D320="Sí"),VLOOKUP(A320,DATA!$A$4:$E$350,5,0),0)</f>
        <v>0</v>
      </c>
      <c r="I320" s="31">
        <f t="shared" si="79"/>
        <v>0</v>
      </c>
      <c r="J320" s="361">
        <f t="shared" si="66"/>
        <v>0</v>
      </c>
      <c r="K320" s="361">
        <f t="shared" si="67"/>
        <v>0</v>
      </c>
      <c r="L320" s="31">
        <f>IF(OR(D320="SI",D320="Sí"),VLOOKUP(A320,DATA!$A$4:$G$350,7,0),0)</f>
        <v>0</v>
      </c>
      <c r="M320" s="31">
        <f>IF(OR(D320="SI",D320="Sí"),VLOOKUP(A320,DATA!$A$4:$H$350,8,0),0)</f>
        <v>0</v>
      </c>
      <c r="N320" s="361">
        <f t="shared" si="68"/>
        <v>0</v>
      </c>
      <c r="O320" s="361">
        <f t="shared" si="74"/>
        <v>0</v>
      </c>
      <c r="P320" s="361">
        <f t="shared" si="69"/>
        <v>0</v>
      </c>
      <c r="Q320" s="31">
        <f>IF(OR(D320="SI",D320="Sí"),VLOOKUP(A320,DATA!$A$4:$P$350,14,0),0)</f>
        <v>0</v>
      </c>
      <c r="R320" s="121">
        <f t="shared" si="80"/>
        <v>0</v>
      </c>
      <c r="S320" s="31">
        <f>IF(AND(R320&gt;0,R320&lt;$R$7),ROUND(($R$7-R320)*G320,PARAMETROS!$L$8),0)</f>
        <v>0</v>
      </c>
      <c r="T320" s="122">
        <f t="shared" si="70"/>
        <v>0</v>
      </c>
      <c r="U320" s="117">
        <f t="shared" si="71"/>
        <v>0</v>
      </c>
      <c r="V320" s="117">
        <f>VLOOKUP(A320,DATA!$A$4:$V$350,DATA!$V$1,0)</f>
        <v>0</v>
      </c>
      <c r="W320" s="117">
        <f>VLOOKUP(A320,DATA!$A$4:$V$350,22,0)</f>
        <v>0</v>
      </c>
      <c r="X320" s="96">
        <f t="shared" si="72"/>
        <v>0</v>
      </c>
      <c r="Y320" s="31">
        <f>ROUND(X320*PARAMETROS!$H$35,0)</f>
        <v>0</v>
      </c>
      <c r="Z320" s="31">
        <f t="shared" si="75"/>
        <v>0</v>
      </c>
      <c r="AA320" s="31">
        <f t="shared" si="76"/>
        <v>0</v>
      </c>
      <c r="AB320" s="31">
        <f t="shared" si="77"/>
        <v>0</v>
      </c>
      <c r="AC320" s="31">
        <f t="shared" si="77"/>
        <v>0</v>
      </c>
      <c r="AD320" s="38">
        <f t="shared" si="78"/>
        <v>0</v>
      </c>
    </row>
    <row r="321" spans="1:30" ht="3" customHeight="1" x14ac:dyDescent="0.25">
      <c r="A321">
        <v>14104</v>
      </c>
      <c r="B321">
        <v>10104</v>
      </c>
      <c r="C321" t="s">
        <v>234</v>
      </c>
      <c r="D321" s="6" t="str">
        <f>+DATA!U317</f>
        <v>No</v>
      </c>
      <c r="E321" s="361">
        <f t="shared" si="65"/>
        <v>0</v>
      </c>
      <c r="F321" s="95">
        <f t="shared" si="73"/>
        <v>0</v>
      </c>
      <c r="G321" s="31">
        <f>IF(OR(D321="SI",D321="Sí"),VLOOKUP(A321,DATA!$A$4:$D$350,4,0),0)</f>
        <v>0</v>
      </c>
      <c r="H321" s="95">
        <f>IF(OR(D321="SI",D321="Sí"),VLOOKUP(A321,DATA!$A$4:$E$350,5,0),0)</f>
        <v>0</v>
      </c>
      <c r="I321" s="31">
        <f t="shared" si="79"/>
        <v>0</v>
      </c>
      <c r="J321" s="361">
        <f t="shared" si="66"/>
        <v>0</v>
      </c>
      <c r="K321" s="361">
        <f t="shared" si="67"/>
        <v>0</v>
      </c>
      <c r="L321" s="31">
        <f>IF(OR(D321="SI",D321="Sí"),VLOOKUP(A321,DATA!$A$4:$G$350,7,0),0)</f>
        <v>0</v>
      </c>
      <c r="M321" s="31">
        <f>IF(OR(D321="SI",D321="Sí"),VLOOKUP(A321,DATA!$A$4:$H$350,8,0),0)</f>
        <v>0</v>
      </c>
      <c r="N321" s="361">
        <f t="shared" si="68"/>
        <v>0</v>
      </c>
      <c r="O321" s="361">
        <f t="shared" si="74"/>
        <v>0</v>
      </c>
      <c r="P321" s="361">
        <f t="shared" si="69"/>
        <v>0</v>
      </c>
      <c r="Q321" s="31">
        <f>IF(OR(D321="SI",D321="Sí"),VLOOKUP(A321,DATA!$A$4:$P$350,14,0),0)</f>
        <v>0</v>
      </c>
      <c r="R321" s="121">
        <f t="shared" si="80"/>
        <v>0</v>
      </c>
      <c r="S321" s="31">
        <f>IF(AND(R321&gt;0,R321&lt;$R$7),ROUND(($R$7-R321)*G321,PARAMETROS!$L$8),0)</f>
        <v>0</v>
      </c>
      <c r="T321" s="122">
        <f t="shared" si="70"/>
        <v>0</v>
      </c>
      <c r="U321" s="117">
        <f t="shared" si="71"/>
        <v>0</v>
      </c>
      <c r="V321" s="117">
        <f>VLOOKUP(A321,DATA!$A$4:$V$350,DATA!$V$1,0)</f>
        <v>0</v>
      </c>
      <c r="W321" s="117">
        <f>VLOOKUP(A321,DATA!$A$4:$V$350,22,0)</f>
        <v>0</v>
      </c>
      <c r="X321" s="96">
        <f t="shared" si="72"/>
        <v>0</v>
      </c>
      <c r="Y321" s="31">
        <f>ROUND(X321*PARAMETROS!$H$35,0)</f>
        <v>0</v>
      </c>
      <c r="Z321" s="31">
        <f t="shared" si="75"/>
        <v>0</v>
      </c>
      <c r="AA321" s="31">
        <f t="shared" si="76"/>
        <v>0</v>
      </c>
      <c r="AB321" s="31">
        <f t="shared" si="77"/>
        <v>0</v>
      </c>
      <c r="AC321" s="31">
        <f t="shared" si="77"/>
        <v>0</v>
      </c>
      <c r="AD321" s="38">
        <f t="shared" si="78"/>
        <v>0</v>
      </c>
    </row>
    <row r="322" spans="1:30" ht="3" customHeight="1" x14ac:dyDescent="0.25">
      <c r="A322">
        <v>14105</v>
      </c>
      <c r="B322">
        <v>10107</v>
      </c>
      <c r="C322" t="s">
        <v>435</v>
      </c>
      <c r="D322" s="6" t="str">
        <f>+DATA!U318</f>
        <v>No</v>
      </c>
      <c r="E322" s="361">
        <f t="shared" si="65"/>
        <v>0</v>
      </c>
      <c r="F322" s="95">
        <f t="shared" si="73"/>
        <v>0</v>
      </c>
      <c r="G322" s="31">
        <f>IF(OR(D322="SI",D322="Sí"),VLOOKUP(A322,DATA!$A$4:$D$350,4,0),0)</f>
        <v>0</v>
      </c>
      <c r="H322" s="95">
        <f>IF(OR(D322="SI",D322="Sí"),VLOOKUP(A322,DATA!$A$4:$E$350,5,0),0)</f>
        <v>0</v>
      </c>
      <c r="I322" s="31">
        <f t="shared" si="79"/>
        <v>0</v>
      </c>
      <c r="J322" s="361">
        <f t="shared" si="66"/>
        <v>0</v>
      </c>
      <c r="K322" s="361">
        <f t="shared" si="67"/>
        <v>0</v>
      </c>
      <c r="L322" s="31">
        <f>IF(OR(D322="SI",D322="Sí"),VLOOKUP(A322,DATA!$A$4:$G$350,7,0),0)</f>
        <v>0</v>
      </c>
      <c r="M322" s="31">
        <f>IF(OR(D322="SI",D322="Sí"),VLOOKUP(A322,DATA!$A$4:$H$350,8,0),0)</f>
        <v>0</v>
      </c>
      <c r="N322" s="361">
        <f t="shared" si="68"/>
        <v>0</v>
      </c>
      <c r="O322" s="361">
        <f t="shared" si="74"/>
        <v>0</v>
      </c>
      <c r="P322" s="361">
        <f t="shared" si="69"/>
        <v>0</v>
      </c>
      <c r="Q322" s="31">
        <f>IF(OR(D322="SI",D322="Sí"),VLOOKUP(A322,DATA!$A$4:$P$350,14,0),0)</f>
        <v>0</v>
      </c>
      <c r="R322" s="121">
        <f t="shared" si="80"/>
        <v>0</v>
      </c>
      <c r="S322" s="31">
        <f>IF(AND(R322&gt;0,R322&lt;$R$7),ROUND(($R$7-R322)*G322,PARAMETROS!$L$8),0)</f>
        <v>0</v>
      </c>
      <c r="T322" s="122">
        <f t="shared" si="70"/>
        <v>0</v>
      </c>
      <c r="U322" s="117">
        <f t="shared" si="71"/>
        <v>0</v>
      </c>
      <c r="V322" s="117">
        <f>VLOOKUP(A322,DATA!$A$4:$V$350,DATA!$V$1,0)</f>
        <v>0</v>
      </c>
      <c r="W322" s="117">
        <f>VLOOKUP(A322,DATA!$A$4:$V$350,22,0)</f>
        <v>0</v>
      </c>
      <c r="X322" s="96">
        <f t="shared" si="72"/>
        <v>0</v>
      </c>
      <c r="Y322" s="31">
        <f>ROUND(X322*PARAMETROS!$H$35,0)</f>
        <v>0</v>
      </c>
      <c r="Z322" s="31">
        <f t="shared" si="75"/>
        <v>0</v>
      </c>
      <c r="AA322" s="31">
        <f t="shared" si="76"/>
        <v>0</v>
      </c>
      <c r="AB322" s="31">
        <f t="shared" si="77"/>
        <v>0</v>
      </c>
      <c r="AC322" s="31">
        <f t="shared" si="77"/>
        <v>0</v>
      </c>
      <c r="AD322" s="38">
        <f t="shared" si="78"/>
        <v>0</v>
      </c>
    </row>
    <row r="323" spans="1:30" ht="3" customHeight="1" x14ac:dyDescent="0.25">
      <c r="A323">
        <v>14106</v>
      </c>
      <c r="B323">
        <v>10102</v>
      </c>
      <c r="C323" t="s">
        <v>317</v>
      </c>
      <c r="D323" s="6" t="str">
        <f>+DATA!U319</f>
        <v>No</v>
      </c>
      <c r="E323" s="361">
        <f t="shared" si="65"/>
        <v>0</v>
      </c>
      <c r="F323" s="95">
        <f t="shared" si="73"/>
        <v>0</v>
      </c>
      <c r="G323" s="31">
        <f>IF(OR(D323="SI",D323="Sí"),VLOOKUP(A323,DATA!$A$4:$D$350,4,0),0)</f>
        <v>0</v>
      </c>
      <c r="H323" s="95">
        <f>IF(OR(D323="SI",D323="Sí"),VLOOKUP(A323,DATA!$A$4:$E$350,5,0),0)</f>
        <v>0</v>
      </c>
      <c r="I323" s="31">
        <f t="shared" si="79"/>
        <v>0</v>
      </c>
      <c r="J323" s="361">
        <f t="shared" si="66"/>
        <v>0</v>
      </c>
      <c r="K323" s="361">
        <f t="shared" si="67"/>
        <v>0</v>
      </c>
      <c r="L323" s="31">
        <f>IF(OR(D323="SI",D323="Sí"),VLOOKUP(A323,DATA!$A$4:$G$350,7,0),0)</f>
        <v>0</v>
      </c>
      <c r="M323" s="31">
        <f>IF(OR(D323="SI",D323="Sí"),VLOOKUP(A323,DATA!$A$4:$H$350,8,0),0)</f>
        <v>0</v>
      </c>
      <c r="N323" s="361">
        <f t="shared" si="68"/>
        <v>0</v>
      </c>
      <c r="O323" s="361">
        <f t="shared" si="74"/>
        <v>0</v>
      </c>
      <c r="P323" s="361">
        <f t="shared" si="69"/>
        <v>0</v>
      </c>
      <c r="Q323" s="31">
        <f>IF(OR(D323="SI",D323="Sí"),VLOOKUP(A323,DATA!$A$4:$P$350,14,0),0)</f>
        <v>0</v>
      </c>
      <c r="R323" s="121">
        <f t="shared" si="80"/>
        <v>0</v>
      </c>
      <c r="S323" s="31">
        <f>IF(AND(R323&gt;0,R323&lt;$R$7),ROUND(($R$7-R323)*G323,PARAMETROS!$L$8),0)</f>
        <v>0</v>
      </c>
      <c r="T323" s="122">
        <f t="shared" si="70"/>
        <v>0</v>
      </c>
      <c r="U323" s="117">
        <f t="shared" si="71"/>
        <v>0</v>
      </c>
      <c r="V323" s="117">
        <f>VLOOKUP(A323,DATA!$A$4:$V$350,DATA!$V$1,0)</f>
        <v>0</v>
      </c>
      <c r="W323" s="117">
        <f>VLOOKUP(A323,DATA!$A$4:$V$350,22,0)</f>
        <v>0</v>
      </c>
      <c r="X323" s="96">
        <f t="shared" si="72"/>
        <v>0</v>
      </c>
      <c r="Y323" s="31">
        <f>ROUND(X323*PARAMETROS!$H$35,0)</f>
        <v>0</v>
      </c>
      <c r="Z323" s="31">
        <f t="shared" si="75"/>
        <v>0</v>
      </c>
      <c r="AA323" s="31">
        <f t="shared" si="76"/>
        <v>0</v>
      </c>
      <c r="AB323" s="31">
        <f t="shared" si="77"/>
        <v>0</v>
      </c>
      <c r="AC323" s="31">
        <f t="shared" si="77"/>
        <v>0</v>
      </c>
      <c r="AD323" s="38">
        <f t="shared" si="78"/>
        <v>0</v>
      </c>
    </row>
    <row r="324" spans="1:30" ht="3" customHeight="1" x14ac:dyDescent="0.25">
      <c r="A324">
        <v>14107</v>
      </c>
      <c r="B324">
        <v>10110</v>
      </c>
      <c r="C324" t="s">
        <v>238</v>
      </c>
      <c r="D324" s="6" t="str">
        <f>+DATA!U320</f>
        <v>No</v>
      </c>
      <c r="E324" s="361">
        <f t="shared" si="65"/>
        <v>0</v>
      </c>
      <c r="F324" s="95">
        <f t="shared" si="73"/>
        <v>0</v>
      </c>
      <c r="G324" s="31">
        <f>IF(OR(D324="SI",D324="Sí"),VLOOKUP(A324,DATA!$A$4:$D$350,4,0),0)</f>
        <v>0</v>
      </c>
      <c r="H324" s="95">
        <f>IF(OR(D324="SI",D324="Sí"),VLOOKUP(A324,DATA!$A$4:$E$350,5,0),0)</f>
        <v>0</v>
      </c>
      <c r="I324" s="31">
        <f t="shared" si="79"/>
        <v>0</v>
      </c>
      <c r="J324" s="361">
        <f t="shared" si="66"/>
        <v>0</v>
      </c>
      <c r="K324" s="361">
        <f t="shared" si="67"/>
        <v>0</v>
      </c>
      <c r="L324" s="31">
        <f>IF(OR(D324="SI",D324="Sí"),VLOOKUP(A324,DATA!$A$4:$G$350,7,0),0)</f>
        <v>0</v>
      </c>
      <c r="M324" s="31">
        <f>IF(OR(D324="SI",D324="Sí"),VLOOKUP(A324,DATA!$A$4:$H$350,8,0),0)</f>
        <v>0</v>
      </c>
      <c r="N324" s="361">
        <f t="shared" si="68"/>
        <v>0</v>
      </c>
      <c r="O324" s="361">
        <f t="shared" si="74"/>
        <v>0</v>
      </c>
      <c r="P324" s="361">
        <f t="shared" si="69"/>
        <v>0</v>
      </c>
      <c r="Q324" s="31">
        <f>IF(OR(D324="SI",D324="Sí"),VLOOKUP(A324,DATA!$A$4:$P$350,14,0),0)</f>
        <v>0</v>
      </c>
      <c r="R324" s="121">
        <f t="shared" si="80"/>
        <v>0</v>
      </c>
      <c r="S324" s="31">
        <f>IF(AND(R324&gt;0,R324&lt;$R$7),ROUND(($R$7-R324)*G324,PARAMETROS!$L$8),0)</f>
        <v>0</v>
      </c>
      <c r="T324" s="122">
        <f t="shared" si="70"/>
        <v>0</v>
      </c>
      <c r="U324" s="117">
        <f t="shared" si="71"/>
        <v>0</v>
      </c>
      <c r="V324" s="117">
        <f>VLOOKUP(A324,DATA!$A$4:$V$350,DATA!$V$1,0)</f>
        <v>0</v>
      </c>
      <c r="W324" s="117">
        <f>VLOOKUP(A324,DATA!$A$4:$V$350,22,0)</f>
        <v>0</v>
      </c>
      <c r="X324" s="96">
        <f t="shared" si="72"/>
        <v>0</v>
      </c>
      <c r="Y324" s="31">
        <f>ROUND(X324*PARAMETROS!$H$35,0)</f>
        <v>0</v>
      </c>
      <c r="Z324" s="31">
        <f t="shared" si="75"/>
        <v>0</v>
      </c>
      <c r="AA324" s="31">
        <f t="shared" si="76"/>
        <v>0</v>
      </c>
      <c r="AB324" s="31">
        <f t="shared" si="77"/>
        <v>0</v>
      </c>
      <c r="AC324" s="31">
        <f t="shared" si="77"/>
        <v>0</v>
      </c>
      <c r="AD324" s="38">
        <f t="shared" si="78"/>
        <v>0</v>
      </c>
    </row>
    <row r="325" spans="1:30" ht="3" customHeight="1" x14ac:dyDescent="0.25">
      <c r="A325">
        <v>14108</v>
      </c>
      <c r="B325">
        <v>10108</v>
      </c>
      <c r="C325" t="s">
        <v>237</v>
      </c>
      <c r="D325" s="6" t="str">
        <f>+DATA!U321</f>
        <v>No</v>
      </c>
      <c r="E325" s="361">
        <f t="shared" si="65"/>
        <v>0</v>
      </c>
      <c r="F325" s="95">
        <f t="shared" si="73"/>
        <v>0</v>
      </c>
      <c r="G325" s="31">
        <f>IF(OR(D325="SI",D325="Sí"),VLOOKUP(A325,DATA!$A$4:$D$350,4,0),0)</f>
        <v>0</v>
      </c>
      <c r="H325" s="95">
        <f>IF(OR(D325="SI",D325="Sí"),VLOOKUP(A325,DATA!$A$4:$E$350,5,0),0)</f>
        <v>0</v>
      </c>
      <c r="I325" s="31">
        <f t="shared" si="79"/>
        <v>0</v>
      </c>
      <c r="J325" s="361">
        <f t="shared" si="66"/>
        <v>0</v>
      </c>
      <c r="K325" s="361">
        <f t="shared" si="67"/>
        <v>0</v>
      </c>
      <c r="L325" s="31">
        <f>IF(OR(D325="SI",D325="Sí"),VLOOKUP(A325,DATA!$A$4:$G$350,7,0),0)</f>
        <v>0</v>
      </c>
      <c r="M325" s="31">
        <f>IF(OR(D325="SI",D325="Sí"),VLOOKUP(A325,DATA!$A$4:$H$350,8,0),0)</f>
        <v>0</v>
      </c>
      <c r="N325" s="361">
        <f t="shared" si="68"/>
        <v>0</v>
      </c>
      <c r="O325" s="361">
        <f t="shared" si="74"/>
        <v>0</v>
      </c>
      <c r="P325" s="361">
        <f t="shared" si="69"/>
        <v>0</v>
      </c>
      <c r="Q325" s="31">
        <f>IF(OR(D325="SI",D325="Sí"),VLOOKUP(A325,DATA!$A$4:$P$350,14,0),0)</f>
        <v>0</v>
      </c>
      <c r="R325" s="121">
        <f t="shared" si="80"/>
        <v>0</v>
      </c>
      <c r="S325" s="31">
        <f>IF(AND(R325&gt;0,R325&lt;$R$7),ROUND(($R$7-R325)*G325,PARAMETROS!$L$8),0)</f>
        <v>0</v>
      </c>
      <c r="T325" s="122">
        <f t="shared" si="70"/>
        <v>0</v>
      </c>
      <c r="U325" s="117">
        <f t="shared" si="71"/>
        <v>0</v>
      </c>
      <c r="V325" s="117">
        <f>VLOOKUP(A325,DATA!$A$4:$V$350,DATA!$V$1,0)</f>
        <v>0</v>
      </c>
      <c r="W325" s="117">
        <f>VLOOKUP(A325,DATA!$A$4:$V$350,22,0)</f>
        <v>0</v>
      </c>
      <c r="X325" s="96">
        <f t="shared" si="72"/>
        <v>0</v>
      </c>
      <c r="Y325" s="31">
        <f>ROUND(X325*PARAMETROS!$H$35,0)</f>
        <v>0</v>
      </c>
      <c r="Z325" s="31">
        <f t="shared" si="75"/>
        <v>0</v>
      </c>
      <c r="AA325" s="31">
        <f t="shared" si="76"/>
        <v>0</v>
      </c>
      <c r="AB325" s="31">
        <f t="shared" si="77"/>
        <v>0</v>
      </c>
      <c r="AC325" s="31">
        <f t="shared" si="77"/>
        <v>0</v>
      </c>
      <c r="AD325" s="38">
        <f t="shared" si="78"/>
        <v>0</v>
      </c>
    </row>
    <row r="326" spans="1:30" ht="3" customHeight="1" x14ac:dyDescent="0.25">
      <c r="A326">
        <v>14201</v>
      </c>
      <c r="B326">
        <v>10109</v>
      </c>
      <c r="C326" t="s">
        <v>436</v>
      </c>
      <c r="D326" s="6" t="str">
        <f>+DATA!U322</f>
        <v>No</v>
      </c>
      <c r="E326" s="361">
        <f t="shared" si="65"/>
        <v>0</v>
      </c>
      <c r="F326" s="95">
        <f t="shared" si="73"/>
        <v>0</v>
      </c>
      <c r="G326" s="31">
        <f>IF(OR(D326="SI",D326="Sí"),VLOOKUP(A326,DATA!$A$4:$D$350,4,0),0)</f>
        <v>0</v>
      </c>
      <c r="H326" s="95">
        <f>IF(OR(D326="SI",D326="Sí"),VLOOKUP(A326,DATA!$A$4:$E$350,5,0),0)</f>
        <v>0</v>
      </c>
      <c r="I326" s="31">
        <f t="shared" si="79"/>
        <v>0</v>
      </c>
      <c r="J326" s="361">
        <f t="shared" si="66"/>
        <v>0</v>
      </c>
      <c r="K326" s="361">
        <f t="shared" si="67"/>
        <v>0</v>
      </c>
      <c r="L326" s="31">
        <f>IF(OR(D326="SI",D326="Sí"),VLOOKUP(A326,DATA!$A$4:$G$350,7,0),0)</f>
        <v>0</v>
      </c>
      <c r="M326" s="31">
        <f>IF(OR(D326="SI",D326="Sí"),VLOOKUP(A326,DATA!$A$4:$H$350,8,0),0)</f>
        <v>0</v>
      </c>
      <c r="N326" s="361">
        <f t="shared" si="68"/>
        <v>0</v>
      </c>
      <c r="O326" s="361">
        <f t="shared" si="74"/>
        <v>0</v>
      </c>
      <c r="P326" s="361">
        <f t="shared" si="69"/>
        <v>0</v>
      </c>
      <c r="Q326" s="31">
        <f>IF(OR(D326="SI",D326="Sí"),VLOOKUP(A326,DATA!$A$4:$P$350,14,0),0)</f>
        <v>0</v>
      </c>
      <c r="R326" s="121">
        <f t="shared" si="80"/>
        <v>0</v>
      </c>
      <c r="S326" s="31">
        <f>IF(AND(R326&gt;0,R326&lt;$R$7),ROUND(($R$7-R326)*G326,PARAMETROS!$L$8),0)</f>
        <v>0</v>
      </c>
      <c r="T326" s="122">
        <f t="shared" si="70"/>
        <v>0</v>
      </c>
      <c r="U326" s="117">
        <f t="shared" si="71"/>
        <v>0</v>
      </c>
      <c r="V326" s="117">
        <f>VLOOKUP(A326,DATA!$A$4:$V$350,DATA!$V$1,0)</f>
        <v>0</v>
      </c>
      <c r="W326" s="117">
        <f>VLOOKUP(A326,DATA!$A$4:$V$350,22,0)</f>
        <v>0</v>
      </c>
      <c r="X326" s="96">
        <f t="shared" si="72"/>
        <v>0</v>
      </c>
      <c r="Y326" s="31">
        <f>ROUND(X326*PARAMETROS!$H$35,0)</f>
        <v>0</v>
      </c>
      <c r="Z326" s="31">
        <f t="shared" si="75"/>
        <v>0</v>
      </c>
      <c r="AA326" s="31">
        <f t="shared" si="76"/>
        <v>0</v>
      </c>
      <c r="AB326" s="31">
        <f t="shared" si="77"/>
        <v>0</v>
      </c>
      <c r="AC326" s="31">
        <f t="shared" si="77"/>
        <v>0</v>
      </c>
      <c r="AD326" s="38">
        <f t="shared" si="78"/>
        <v>0</v>
      </c>
    </row>
    <row r="327" spans="1:30" ht="3" customHeight="1" x14ac:dyDescent="0.25">
      <c r="A327">
        <v>14202</v>
      </c>
      <c r="B327">
        <v>10105</v>
      </c>
      <c r="C327" t="s">
        <v>235</v>
      </c>
      <c r="D327" s="6" t="str">
        <f>+DATA!U323</f>
        <v>No</v>
      </c>
      <c r="E327" s="361">
        <f t="shared" si="65"/>
        <v>0</v>
      </c>
      <c r="F327" s="95">
        <f t="shared" si="73"/>
        <v>0</v>
      </c>
      <c r="G327" s="31">
        <f>IF(OR(D327="SI",D327="Sí"),VLOOKUP(A327,DATA!$A$4:$D$350,4,0),0)</f>
        <v>0</v>
      </c>
      <c r="H327" s="95">
        <f>IF(OR(D327="SI",D327="Sí"),VLOOKUP(A327,DATA!$A$4:$E$350,5,0),0)</f>
        <v>0</v>
      </c>
      <c r="I327" s="31">
        <f t="shared" si="79"/>
        <v>0</v>
      </c>
      <c r="J327" s="361">
        <f t="shared" si="66"/>
        <v>0</v>
      </c>
      <c r="K327" s="361">
        <f t="shared" si="67"/>
        <v>0</v>
      </c>
      <c r="L327" s="31">
        <f>IF(OR(D327="SI",D327="Sí"),VLOOKUP(A327,DATA!$A$4:$G$350,7,0),0)</f>
        <v>0</v>
      </c>
      <c r="M327" s="31">
        <f>IF(OR(D327="SI",D327="Sí"),VLOOKUP(A327,DATA!$A$4:$H$350,8,0),0)</f>
        <v>0</v>
      </c>
      <c r="N327" s="361">
        <f t="shared" si="68"/>
        <v>0</v>
      </c>
      <c r="O327" s="361">
        <f t="shared" si="74"/>
        <v>0</v>
      </c>
      <c r="P327" s="361">
        <f t="shared" si="69"/>
        <v>0</v>
      </c>
      <c r="Q327" s="31">
        <f>IF(OR(D327="SI",D327="Sí"),VLOOKUP(A327,DATA!$A$4:$P$350,14,0),0)</f>
        <v>0</v>
      </c>
      <c r="R327" s="121">
        <f t="shared" si="80"/>
        <v>0</v>
      </c>
      <c r="S327" s="31">
        <f>IF(AND(R327&gt;0,R327&lt;$R$7),ROUND(($R$7-R327)*G327,PARAMETROS!$L$8),0)</f>
        <v>0</v>
      </c>
      <c r="T327" s="122">
        <f t="shared" si="70"/>
        <v>0</v>
      </c>
      <c r="U327" s="117">
        <f t="shared" si="71"/>
        <v>0</v>
      </c>
      <c r="V327" s="117">
        <f>VLOOKUP(A327,DATA!$A$4:$V$350,DATA!$V$1,0)</f>
        <v>0</v>
      </c>
      <c r="W327" s="117">
        <f>VLOOKUP(A327,DATA!$A$4:$V$350,22,0)</f>
        <v>0</v>
      </c>
      <c r="X327" s="96">
        <f t="shared" si="72"/>
        <v>0</v>
      </c>
      <c r="Y327" s="31">
        <f>ROUND(X327*PARAMETROS!$H$35,0)</f>
        <v>0</v>
      </c>
      <c r="Z327" s="31">
        <f t="shared" si="75"/>
        <v>0</v>
      </c>
      <c r="AA327" s="31">
        <f t="shared" si="76"/>
        <v>0</v>
      </c>
      <c r="AB327" s="31">
        <f t="shared" si="77"/>
        <v>0</v>
      </c>
      <c r="AC327" s="31">
        <f t="shared" si="77"/>
        <v>0</v>
      </c>
      <c r="AD327" s="38">
        <f t="shared" si="78"/>
        <v>0</v>
      </c>
    </row>
    <row r="328" spans="1:30" ht="3" customHeight="1" x14ac:dyDescent="0.25">
      <c r="A328">
        <v>14203</v>
      </c>
      <c r="B328">
        <v>10112</v>
      </c>
      <c r="C328" t="s">
        <v>239</v>
      </c>
      <c r="D328" s="6" t="str">
        <f>+DATA!U324</f>
        <v>No</v>
      </c>
      <c r="E328" s="361">
        <f t="shared" si="65"/>
        <v>0</v>
      </c>
      <c r="F328" s="95">
        <f t="shared" si="73"/>
        <v>0</v>
      </c>
      <c r="G328" s="31">
        <f>IF(OR(D328="SI",D328="Sí"),VLOOKUP(A328,DATA!$A$4:$D$350,4,0),0)</f>
        <v>0</v>
      </c>
      <c r="H328" s="95">
        <f>IF(OR(D328="SI",D328="Sí"),VLOOKUP(A328,DATA!$A$4:$E$350,5,0),0)</f>
        <v>0</v>
      </c>
      <c r="I328" s="31">
        <f t="shared" si="79"/>
        <v>0</v>
      </c>
      <c r="J328" s="361">
        <f t="shared" si="66"/>
        <v>0</v>
      </c>
      <c r="K328" s="361">
        <f t="shared" si="67"/>
        <v>0</v>
      </c>
      <c r="L328" s="31">
        <f>IF(OR(D328="SI",D328="Sí"),VLOOKUP(A328,DATA!$A$4:$G$350,7,0),0)</f>
        <v>0</v>
      </c>
      <c r="M328" s="31">
        <f>IF(OR(D328="SI",D328="Sí"),VLOOKUP(A328,DATA!$A$4:$H$350,8,0),0)</f>
        <v>0</v>
      </c>
      <c r="N328" s="361">
        <f t="shared" si="68"/>
        <v>0</v>
      </c>
      <c r="O328" s="361">
        <f t="shared" si="74"/>
        <v>0</v>
      </c>
      <c r="P328" s="361">
        <f t="shared" si="69"/>
        <v>0</v>
      </c>
      <c r="Q328" s="31">
        <f>IF(OR(D328="SI",D328="Sí"),VLOOKUP(A328,DATA!$A$4:$P$350,14,0),0)</f>
        <v>0</v>
      </c>
      <c r="R328" s="121">
        <f t="shared" si="80"/>
        <v>0</v>
      </c>
      <c r="S328" s="31">
        <f>IF(AND(R328&gt;0,R328&lt;$R$7),ROUND(($R$7-R328)*G328,PARAMETROS!$L$8),0)</f>
        <v>0</v>
      </c>
      <c r="T328" s="122">
        <f t="shared" si="70"/>
        <v>0</v>
      </c>
      <c r="U328" s="117">
        <f t="shared" si="71"/>
        <v>0</v>
      </c>
      <c r="V328" s="117">
        <f>VLOOKUP(A328,DATA!$A$4:$V$350,DATA!$V$1,0)</f>
        <v>0</v>
      </c>
      <c r="W328" s="117">
        <f>VLOOKUP(A328,DATA!$A$4:$V$350,22,0)</f>
        <v>0</v>
      </c>
      <c r="X328" s="96">
        <f t="shared" si="72"/>
        <v>0</v>
      </c>
      <c r="Y328" s="31">
        <f>ROUND(X328*PARAMETROS!$H$35,0)</f>
        <v>0</v>
      </c>
      <c r="Z328" s="31">
        <f t="shared" si="75"/>
        <v>0</v>
      </c>
      <c r="AA328" s="31">
        <f t="shared" si="76"/>
        <v>0</v>
      </c>
      <c r="AB328" s="31">
        <f t="shared" si="77"/>
        <v>0</v>
      </c>
      <c r="AC328" s="31">
        <f t="shared" si="77"/>
        <v>0</v>
      </c>
      <c r="AD328" s="38">
        <f t="shared" si="78"/>
        <v>0</v>
      </c>
    </row>
    <row r="329" spans="1:30" ht="3" customHeight="1" x14ac:dyDescent="0.25">
      <c r="A329">
        <v>14204</v>
      </c>
      <c r="B329">
        <v>10111</v>
      </c>
      <c r="C329" t="s">
        <v>437</v>
      </c>
      <c r="D329" s="6" t="str">
        <f>+DATA!U325</f>
        <v>No</v>
      </c>
      <c r="E329" s="361">
        <f t="shared" ref="E329:E354" si="81">IF(OR(D329="SI",D329="Sí"),ROUND(1/$D$7,DEC),0)</f>
        <v>0</v>
      </c>
      <c r="F329" s="95">
        <f t="shared" si="73"/>
        <v>0</v>
      </c>
      <c r="G329" s="31">
        <f>IF(OR(D329="SI",D329="Sí"),VLOOKUP(A329,DATA!$A$4:$D$350,4,0),0)</f>
        <v>0</v>
      </c>
      <c r="H329" s="95">
        <f>IF(OR(D329="SI",D329="Sí"),VLOOKUP(A329,DATA!$A$4:$E$350,5,0),0)</f>
        <v>0</v>
      </c>
      <c r="I329" s="31">
        <f t="shared" si="79"/>
        <v>0</v>
      </c>
      <c r="J329" s="361">
        <f t="shared" ref="J329:J354" si="82">ROUND(I329/$I$7,DEC)</f>
        <v>0</v>
      </c>
      <c r="K329" s="361">
        <f t="shared" ref="K329:K354" si="83">ROUND(J329*$K$7,DEC)</f>
        <v>0</v>
      </c>
      <c r="L329" s="31">
        <f>IF(OR(D329="SI",D329="Sí"),VLOOKUP(A329,DATA!$A$4:$G$350,7,0),0)</f>
        <v>0</v>
      </c>
      <c r="M329" s="31">
        <f>IF(OR(D329="SI",D329="Sí"),VLOOKUP(A329,DATA!$A$4:$H$350,8,0),0)</f>
        <v>0</v>
      </c>
      <c r="N329" s="361">
        <f t="shared" ref="N329:N354" si="84">IF(M329=0,0,ROUND((L329/$L$7)*(L329/M329),DEC))</f>
        <v>0</v>
      </c>
      <c r="O329" s="361">
        <f t="shared" si="74"/>
        <v>0</v>
      </c>
      <c r="P329" s="361">
        <f t="shared" ref="P329:P354" si="85">ROUND(O329*$P$7,DEC)</f>
        <v>0</v>
      </c>
      <c r="Q329" s="31">
        <f>IF(OR(D329="SI",D329="Sí"),VLOOKUP(A329,DATA!$A$4:$P$350,14,0),0)</f>
        <v>0</v>
      </c>
      <c r="R329" s="121">
        <f t="shared" si="80"/>
        <v>0</v>
      </c>
      <c r="S329" s="31">
        <f>IF(AND(R329&gt;0,R329&lt;$R$7),ROUND(($R$7-R329)*G329,PARAMETROS!$L$8),0)</f>
        <v>0</v>
      </c>
      <c r="T329" s="122">
        <f t="shared" ref="T329:T354" si="86">ROUND(S329/$S$7,DEC)</f>
        <v>0</v>
      </c>
      <c r="U329" s="117">
        <f t="shared" ref="U329:U354" si="87">ROUND(T329*$U$7,DEC)</f>
        <v>0</v>
      </c>
      <c r="V329" s="117">
        <f>VLOOKUP(A329,DATA!$A$4:$V$350,DATA!$V$1,0)</f>
        <v>0</v>
      </c>
      <c r="W329" s="117">
        <f>VLOOKUP(A329,DATA!$A$4:$V$350,22,0)</f>
        <v>0</v>
      </c>
      <c r="X329" s="96">
        <f t="shared" ref="X329:X354" si="88">+F329+K329+P329+U329+W329</f>
        <v>0</v>
      </c>
      <c r="Y329" s="31">
        <f>ROUND(X329*PARAMETROS!$H$35,0)</f>
        <v>0</v>
      </c>
      <c r="Z329" s="31">
        <f t="shared" si="75"/>
        <v>0</v>
      </c>
      <c r="AA329" s="31">
        <f t="shared" si="76"/>
        <v>0</v>
      </c>
      <c r="AB329" s="31">
        <f t="shared" si="77"/>
        <v>0</v>
      </c>
      <c r="AC329" s="31">
        <f t="shared" si="77"/>
        <v>0</v>
      </c>
      <c r="AD329" s="38">
        <f t="shared" si="78"/>
        <v>0</v>
      </c>
    </row>
    <row r="330" spans="1:30" ht="3" customHeight="1" x14ac:dyDescent="0.25">
      <c r="A330">
        <v>15101</v>
      </c>
      <c r="B330">
        <v>1101</v>
      </c>
      <c r="C330" t="s">
        <v>52</v>
      </c>
      <c r="D330" s="6" t="str">
        <f>+DATA!U326</f>
        <v>No</v>
      </c>
      <c r="E330" s="361">
        <f t="shared" si="81"/>
        <v>0</v>
      </c>
      <c r="F330" s="95">
        <f t="shared" ref="F330:F354" si="89">+E330*$F$7</f>
        <v>0</v>
      </c>
      <c r="G330" s="31">
        <f>IF(OR(D330="SI",D330="Sí"),VLOOKUP(A330,DATA!$A$4:$D$350,4,0),0)</f>
        <v>0</v>
      </c>
      <c r="H330" s="95">
        <f>IF(OR(D330="SI",D330="Sí"),VLOOKUP(A330,DATA!$A$4:$E$350,5,0),0)</f>
        <v>0</v>
      </c>
      <c r="I330" s="31">
        <f t="shared" si="79"/>
        <v>0</v>
      </c>
      <c r="J330" s="361">
        <f t="shared" si="82"/>
        <v>0</v>
      </c>
      <c r="K330" s="361">
        <f t="shared" si="83"/>
        <v>0</v>
      </c>
      <c r="L330" s="31">
        <f>IF(OR(D330="SI",D330="Sí"),VLOOKUP(A330,DATA!$A$4:$G$350,7,0),0)</f>
        <v>0</v>
      </c>
      <c r="M330" s="31">
        <f>IF(OR(D330="SI",D330="Sí"),VLOOKUP(A330,DATA!$A$4:$H$350,8,0),0)</f>
        <v>0</v>
      </c>
      <c r="N330" s="361">
        <f t="shared" si="84"/>
        <v>0</v>
      </c>
      <c r="O330" s="361">
        <f t="shared" ref="O330:O354" si="90">+N330/$N$7</f>
        <v>0</v>
      </c>
      <c r="P330" s="361">
        <f t="shared" si="85"/>
        <v>0</v>
      </c>
      <c r="Q330" s="31">
        <f>IF(OR(D330="SI",D330="Sí"),VLOOKUP(A330,DATA!$A$4:$P$350,14,0),0)</f>
        <v>0</v>
      </c>
      <c r="R330" s="121">
        <f t="shared" si="80"/>
        <v>0</v>
      </c>
      <c r="S330" s="31">
        <f>IF(AND(R330&gt;0,R330&lt;$R$7),ROUND(($R$7-R330)*G330,PARAMETROS!$L$8),0)</f>
        <v>0</v>
      </c>
      <c r="T330" s="122">
        <f t="shared" si="86"/>
        <v>0</v>
      </c>
      <c r="U330" s="117">
        <f t="shared" si="87"/>
        <v>0</v>
      </c>
      <c r="V330" s="117">
        <f>VLOOKUP(A330,DATA!$A$4:$V$350,DATA!$V$1,0)</f>
        <v>0</v>
      </c>
      <c r="W330" s="117">
        <f>VLOOKUP(A330,DATA!$A$4:$V$350,22,0)</f>
        <v>0</v>
      </c>
      <c r="X330" s="96">
        <f t="shared" si="88"/>
        <v>0</v>
      </c>
      <c r="Y330" s="31">
        <f>ROUND(X330*PARAMETROS!$H$35,0)</f>
        <v>0</v>
      </c>
      <c r="Z330" s="31">
        <f t="shared" ref="Z330:Z354" si="91">IF(Y330=$Z$6,Y330+$Z$5,Y330)</f>
        <v>0</v>
      </c>
      <c r="AA330" s="31">
        <f t="shared" ref="AA330:AA354" si="92">ROUND(Z330/4,0)</f>
        <v>0</v>
      </c>
      <c r="AB330" s="31">
        <f t="shared" ref="AB330:AC354" si="93">+AA330</f>
        <v>0</v>
      </c>
      <c r="AC330" s="31">
        <f t="shared" si="93"/>
        <v>0</v>
      </c>
      <c r="AD330" s="38">
        <f t="shared" ref="AD330:AD354" si="94">+Z330-AA330-AB330-AC330</f>
        <v>0</v>
      </c>
    </row>
    <row r="331" spans="1:30" ht="3" customHeight="1" x14ac:dyDescent="0.25">
      <c r="A331">
        <v>15102</v>
      </c>
      <c r="B331">
        <v>1106</v>
      </c>
      <c r="C331" t="s">
        <v>53</v>
      </c>
      <c r="D331" s="6" t="str">
        <f>+DATA!U327</f>
        <v>No</v>
      </c>
      <c r="E331" s="361">
        <f t="shared" si="81"/>
        <v>0</v>
      </c>
      <c r="F331" s="95">
        <f t="shared" si="89"/>
        <v>0</v>
      </c>
      <c r="G331" s="31">
        <f>IF(OR(D331="SI",D331="Sí"),VLOOKUP(A331,DATA!$A$4:$D$350,4,0),0)</f>
        <v>0</v>
      </c>
      <c r="H331" s="95">
        <f>IF(OR(D331="SI",D331="Sí"),VLOOKUP(A331,DATA!$A$4:$E$350,5,0),0)</f>
        <v>0</v>
      </c>
      <c r="I331" s="31">
        <f t="shared" ref="I331:I354" si="95">ROUND(G331*H331,0)</f>
        <v>0</v>
      </c>
      <c r="J331" s="361">
        <f t="shared" si="82"/>
        <v>0</v>
      </c>
      <c r="K331" s="361">
        <f t="shared" si="83"/>
        <v>0</v>
      </c>
      <c r="L331" s="31">
        <f>IF(OR(D331="SI",D331="Sí"),VLOOKUP(A331,DATA!$A$4:$G$350,7,0),0)</f>
        <v>0</v>
      </c>
      <c r="M331" s="31">
        <f>IF(OR(D331="SI",D331="Sí"),VLOOKUP(A331,DATA!$A$4:$H$350,8,0),0)</f>
        <v>0</v>
      </c>
      <c r="N331" s="361">
        <f t="shared" si="84"/>
        <v>0</v>
      </c>
      <c r="O331" s="361">
        <f t="shared" si="90"/>
        <v>0</v>
      </c>
      <c r="P331" s="361">
        <f t="shared" si="85"/>
        <v>0</v>
      </c>
      <c r="Q331" s="31">
        <f>IF(OR(D331="SI",D331="Sí"),VLOOKUP(A331,DATA!$A$4:$P$350,14,0),0)</f>
        <v>0</v>
      </c>
      <c r="R331" s="121">
        <f t="shared" ref="R331:R354" si="96">IFERROR(ROUND(Q331/G331,2),0)</f>
        <v>0</v>
      </c>
      <c r="S331" s="31">
        <f>IF(AND(R331&gt;0,R331&lt;$R$7),ROUND(($R$7-R331)*G331,PARAMETROS!$L$8),0)</f>
        <v>0</v>
      </c>
      <c r="T331" s="122">
        <f t="shared" si="86"/>
        <v>0</v>
      </c>
      <c r="U331" s="117">
        <f t="shared" si="87"/>
        <v>0</v>
      </c>
      <c r="V331" s="117">
        <f>VLOOKUP(A331,DATA!$A$4:$V$350,DATA!$V$1,0)</f>
        <v>0</v>
      </c>
      <c r="W331" s="117">
        <f>VLOOKUP(A331,DATA!$A$4:$V$350,22,0)</f>
        <v>0</v>
      </c>
      <c r="X331" s="96">
        <f t="shared" si="88"/>
        <v>0</v>
      </c>
      <c r="Y331" s="31">
        <f>ROUND(X331*PARAMETROS!$H$35,0)</f>
        <v>0</v>
      </c>
      <c r="Z331" s="31">
        <f t="shared" si="91"/>
        <v>0</v>
      </c>
      <c r="AA331" s="31">
        <f t="shared" si="92"/>
        <v>0</v>
      </c>
      <c r="AB331" s="31">
        <f t="shared" si="93"/>
        <v>0</v>
      </c>
      <c r="AC331" s="31">
        <f t="shared" si="93"/>
        <v>0</v>
      </c>
      <c r="AD331" s="38">
        <f t="shared" si="94"/>
        <v>0</v>
      </c>
    </row>
    <row r="332" spans="1:30" ht="3" customHeight="1" x14ac:dyDescent="0.25">
      <c r="A332">
        <v>15201</v>
      </c>
      <c r="B332">
        <v>1301</v>
      </c>
      <c r="C332" t="s">
        <v>61</v>
      </c>
      <c r="D332" s="6" t="str">
        <f>+DATA!U328</f>
        <v>No</v>
      </c>
      <c r="E332" s="361">
        <f t="shared" si="81"/>
        <v>0</v>
      </c>
      <c r="F332" s="95">
        <f t="shared" si="89"/>
        <v>0</v>
      </c>
      <c r="G332" s="31">
        <f>IF(OR(D332="SI",D332="Sí"),VLOOKUP(A332,DATA!$A$4:$D$350,4,0),0)</f>
        <v>0</v>
      </c>
      <c r="H332" s="95">
        <f>IF(OR(D332="SI",D332="Sí"),VLOOKUP(A332,DATA!$A$4:$E$350,5,0),0)</f>
        <v>0</v>
      </c>
      <c r="I332" s="31">
        <f t="shared" si="95"/>
        <v>0</v>
      </c>
      <c r="J332" s="361">
        <f t="shared" si="82"/>
        <v>0</v>
      </c>
      <c r="K332" s="361">
        <f t="shared" si="83"/>
        <v>0</v>
      </c>
      <c r="L332" s="31">
        <f>IF(OR(D332="SI",D332="Sí"),VLOOKUP(A332,DATA!$A$4:$G$350,7,0),0)</f>
        <v>0</v>
      </c>
      <c r="M332" s="31">
        <f>IF(OR(D332="SI",D332="Sí"),VLOOKUP(A332,DATA!$A$4:$H$350,8,0),0)</f>
        <v>0</v>
      </c>
      <c r="N332" s="361">
        <f t="shared" si="84"/>
        <v>0</v>
      </c>
      <c r="O332" s="361">
        <f t="shared" si="90"/>
        <v>0</v>
      </c>
      <c r="P332" s="361">
        <f t="shared" si="85"/>
        <v>0</v>
      </c>
      <c r="Q332" s="31">
        <f>IF(OR(D332="SI",D332="Sí"),VLOOKUP(A332,DATA!$A$4:$P$350,14,0),0)</f>
        <v>0</v>
      </c>
      <c r="R332" s="121">
        <f t="shared" si="96"/>
        <v>0</v>
      </c>
      <c r="S332" s="31">
        <f>IF(AND(R332&gt;0,R332&lt;$R$7),ROUND(($R$7-R332)*G332,PARAMETROS!$L$8),0)</f>
        <v>0</v>
      </c>
      <c r="T332" s="122">
        <f t="shared" si="86"/>
        <v>0</v>
      </c>
      <c r="U332" s="117">
        <f t="shared" si="87"/>
        <v>0</v>
      </c>
      <c r="V332" s="117">
        <f>VLOOKUP(A332,DATA!$A$4:$V$350,DATA!$V$1,0)</f>
        <v>0</v>
      </c>
      <c r="W332" s="117">
        <f>VLOOKUP(A332,DATA!$A$4:$V$350,22,0)</f>
        <v>0</v>
      </c>
      <c r="X332" s="96">
        <f t="shared" si="88"/>
        <v>0</v>
      </c>
      <c r="Y332" s="31">
        <f>ROUND(X332*PARAMETROS!$H$35,0)</f>
        <v>0</v>
      </c>
      <c r="Z332" s="31">
        <f t="shared" si="91"/>
        <v>0</v>
      </c>
      <c r="AA332" s="31">
        <f t="shared" si="92"/>
        <v>0</v>
      </c>
      <c r="AB332" s="31">
        <f t="shared" si="93"/>
        <v>0</v>
      </c>
      <c r="AC332" s="31">
        <f t="shared" si="93"/>
        <v>0</v>
      </c>
      <c r="AD332" s="38">
        <f t="shared" si="94"/>
        <v>0</v>
      </c>
    </row>
    <row r="333" spans="1:30" ht="3" customHeight="1" x14ac:dyDescent="0.25">
      <c r="A333">
        <v>15202</v>
      </c>
      <c r="B333">
        <v>1302</v>
      </c>
      <c r="C333" t="s">
        <v>62</v>
      </c>
      <c r="D333" s="6" t="str">
        <f>+DATA!U329</f>
        <v>No</v>
      </c>
      <c r="E333" s="361">
        <f t="shared" si="81"/>
        <v>0</v>
      </c>
      <c r="F333" s="95">
        <f t="shared" si="89"/>
        <v>0</v>
      </c>
      <c r="G333" s="31">
        <f>IF(OR(D333="SI",D333="Sí"),VLOOKUP(A333,DATA!$A$4:$D$350,4,0),0)</f>
        <v>0</v>
      </c>
      <c r="H333" s="95">
        <f>IF(OR(D333="SI",D333="Sí"),VLOOKUP(A333,DATA!$A$4:$E$350,5,0),0)</f>
        <v>0</v>
      </c>
      <c r="I333" s="31">
        <f t="shared" si="95"/>
        <v>0</v>
      </c>
      <c r="J333" s="361">
        <f t="shared" si="82"/>
        <v>0</v>
      </c>
      <c r="K333" s="361">
        <f t="shared" si="83"/>
        <v>0</v>
      </c>
      <c r="L333" s="31">
        <f>IF(OR(D333="SI",D333="Sí"),VLOOKUP(A333,DATA!$A$4:$G$350,7,0),0)</f>
        <v>0</v>
      </c>
      <c r="M333" s="31">
        <f>IF(OR(D333="SI",D333="Sí"),VLOOKUP(A333,DATA!$A$4:$H$350,8,0),0)</f>
        <v>0</v>
      </c>
      <c r="N333" s="361">
        <f t="shared" si="84"/>
        <v>0</v>
      </c>
      <c r="O333" s="361">
        <f t="shared" si="90"/>
        <v>0</v>
      </c>
      <c r="P333" s="361">
        <f t="shared" si="85"/>
        <v>0</v>
      </c>
      <c r="Q333" s="31">
        <f>IF(OR(D333="SI",D333="Sí"),VLOOKUP(A333,DATA!$A$4:$P$350,14,0),0)</f>
        <v>0</v>
      </c>
      <c r="R333" s="121">
        <f t="shared" si="96"/>
        <v>0</v>
      </c>
      <c r="S333" s="31">
        <f>IF(AND(R333&gt;0,R333&lt;$R$7),ROUND(($R$7-R333)*G333,PARAMETROS!$L$8),0)</f>
        <v>0</v>
      </c>
      <c r="T333" s="122">
        <f t="shared" si="86"/>
        <v>0</v>
      </c>
      <c r="U333" s="117">
        <f t="shared" si="87"/>
        <v>0</v>
      </c>
      <c r="V333" s="117">
        <f>VLOOKUP(A333,DATA!$A$4:$V$350,DATA!$V$1,0)</f>
        <v>0</v>
      </c>
      <c r="W333" s="117">
        <f>VLOOKUP(A333,DATA!$A$4:$V$350,22,0)</f>
        <v>0</v>
      </c>
      <c r="X333" s="96">
        <f t="shared" si="88"/>
        <v>0</v>
      </c>
      <c r="Y333" s="31">
        <f>ROUND(X333*PARAMETROS!$H$35,0)</f>
        <v>0</v>
      </c>
      <c r="Z333" s="31">
        <f t="shared" si="91"/>
        <v>0</v>
      </c>
      <c r="AA333" s="31">
        <f t="shared" si="92"/>
        <v>0</v>
      </c>
      <c r="AB333" s="31">
        <f t="shared" si="93"/>
        <v>0</v>
      </c>
      <c r="AC333" s="31">
        <f t="shared" si="93"/>
        <v>0</v>
      </c>
      <c r="AD333" s="38">
        <f t="shared" si="94"/>
        <v>0</v>
      </c>
    </row>
    <row r="334" spans="1:30" ht="3" customHeight="1" x14ac:dyDescent="0.25">
      <c r="A334">
        <v>16101</v>
      </c>
      <c r="B334">
        <v>8101</v>
      </c>
      <c r="C334" t="s">
        <v>401</v>
      </c>
      <c r="D334" s="6" t="str">
        <f>+DATA!U330</f>
        <v>No</v>
      </c>
      <c r="E334" s="361">
        <f t="shared" si="81"/>
        <v>0</v>
      </c>
      <c r="F334" s="95">
        <f t="shared" si="89"/>
        <v>0</v>
      </c>
      <c r="G334" s="31">
        <f>IF(OR(D334="SI",D334="Sí"),VLOOKUP(A334,DATA!$A$4:$D$350,4,0),0)</f>
        <v>0</v>
      </c>
      <c r="H334" s="95">
        <f>IF(OR(D334="SI",D334="Sí"),VLOOKUP(A334,DATA!$A$4:$E$350,5,0),0)</f>
        <v>0</v>
      </c>
      <c r="I334" s="31">
        <f t="shared" si="95"/>
        <v>0</v>
      </c>
      <c r="J334" s="361">
        <f t="shared" si="82"/>
        <v>0</v>
      </c>
      <c r="K334" s="361">
        <f t="shared" si="83"/>
        <v>0</v>
      </c>
      <c r="L334" s="31">
        <f>IF(OR(D334="SI",D334="Sí"),VLOOKUP(A334,DATA!$A$4:$G$350,7,0),0)</f>
        <v>0</v>
      </c>
      <c r="M334" s="31">
        <f>IF(OR(D334="SI",D334="Sí"),VLOOKUP(A334,DATA!$A$4:$H$350,8,0),0)</f>
        <v>0</v>
      </c>
      <c r="N334" s="361">
        <f t="shared" si="84"/>
        <v>0</v>
      </c>
      <c r="O334" s="361">
        <f t="shared" si="90"/>
        <v>0</v>
      </c>
      <c r="P334" s="361">
        <f t="shared" si="85"/>
        <v>0</v>
      </c>
      <c r="Q334" s="31">
        <f>IF(OR(D334="SI",D334="Sí"),VLOOKUP(A334,DATA!$A$4:$P$350,14,0),0)</f>
        <v>0</v>
      </c>
      <c r="R334" s="121">
        <f t="shared" si="96"/>
        <v>0</v>
      </c>
      <c r="S334" s="31">
        <f>IF(AND(R334&gt;0,R334&lt;$R$7),ROUND(($R$7-R334)*G334,PARAMETROS!$L$8),0)</f>
        <v>0</v>
      </c>
      <c r="T334" s="122">
        <f t="shared" si="86"/>
        <v>0</v>
      </c>
      <c r="U334" s="117">
        <f t="shared" si="87"/>
        <v>0</v>
      </c>
      <c r="V334" s="117">
        <f>VLOOKUP(A334,DATA!$A$4:$V$350,DATA!$V$1,0)</f>
        <v>0</v>
      </c>
      <c r="W334" s="117">
        <f>VLOOKUP(A334,DATA!$A$4:$V$350,22,0)</f>
        <v>0</v>
      </c>
      <c r="X334" s="96">
        <f t="shared" si="88"/>
        <v>0</v>
      </c>
      <c r="Y334" s="31">
        <f>ROUND(X334*PARAMETROS!$H$35,0)</f>
        <v>0</v>
      </c>
      <c r="Z334" s="31">
        <f t="shared" si="91"/>
        <v>0</v>
      </c>
      <c r="AA334" s="31">
        <f t="shared" si="92"/>
        <v>0</v>
      </c>
      <c r="AB334" s="31">
        <f t="shared" si="93"/>
        <v>0</v>
      </c>
      <c r="AC334" s="31">
        <f t="shared" si="93"/>
        <v>0</v>
      </c>
      <c r="AD334" s="38">
        <f t="shared" si="94"/>
        <v>0</v>
      </c>
    </row>
    <row r="335" spans="1:30" ht="3" customHeight="1" x14ac:dyDescent="0.25">
      <c r="A335">
        <v>16102</v>
      </c>
      <c r="B335">
        <v>8113</v>
      </c>
      <c r="C335" t="s">
        <v>177</v>
      </c>
      <c r="D335" s="6" t="str">
        <f>+DATA!U331</f>
        <v>No</v>
      </c>
      <c r="E335" s="361">
        <f t="shared" si="81"/>
        <v>0</v>
      </c>
      <c r="F335" s="95">
        <f t="shared" si="89"/>
        <v>0</v>
      </c>
      <c r="G335" s="31">
        <f>IF(OR(D335="SI",D335="Sí"),VLOOKUP(A335,DATA!$A$4:$D$350,4,0),0)</f>
        <v>0</v>
      </c>
      <c r="H335" s="95">
        <f>IF(OR(D335="SI",D335="Sí"),VLOOKUP(A335,DATA!$A$4:$E$350,5,0),0)</f>
        <v>0</v>
      </c>
      <c r="I335" s="31">
        <f t="shared" si="95"/>
        <v>0</v>
      </c>
      <c r="J335" s="361">
        <f t="shared" si="82"/>
        <v>0</v>
      </c>
      <c r="K335" s="361">
        <f t="shared" si="83"/>
        <v>0</v>
      </c>
      <c r="L335" s="31">
        <f>IF(OR(D335="SI",D335="Sí"),VLOOKUP(A335,DATA!$A$4:$G$350,7,0),0)</f>
        <v>0</v>
      </c>
      <c r="M335" s="31">
        <f>IF(OR(D335="SI",D335="Sí"),VLOOKUP(A335,DATA!$A$4:$H$350,8,0),0)</f>
        <v>0</v>
      </c>
      <c r="N335" s="361">
        <f t="shared" si="84"/>
        <v>0</v>
      </c>
      <c r="O335" s="361">
        <f t="shared" si="90"/>
        <v>0</v>
      </c>
      <c r="P335" s="361">
        <f t="shared" si="85"/>
        <v>0</v>
      </c>
      <c r="Q335" s="31">
        <f>IF(OR(D335="SI",D335="Sí"),VLOOKUP(A335,DATA!$A$4:$P$350,14,0),0)</f>
        <v>0</v>
      </c>
      <c r="R335" s="121">
        <f t="shared" si="96"/>
        <v>0</v>
      </c>
      <c r="S335" s="31">
        <f>IF(AND(R335&gt;0,R335&lt;$R$7),ROUND(($R$7-R335)*G335,PARAMETROS!$L$8),0)</f>
        <v>0</v>
      </c>
      <c r="T335" s="122">
        <f t="shared" si="86"/>
        <v>0</v>
      </c>
      <c r="U335" s="117">
        <f t="shared" si="87"/>
        <v>0</v>
      </c>
      <c r="V335" s="117">
        <f>VLOOKUP(A335,DATA!$A$4:$V$350,DATA!$V$1,0)</f>
        <v>0</v>
      </c>
      <c r="W335" s="117">
        <f>VLOOKUP(A335,DATA!$A$4:$V$350,22,0)</f>
        <v>0</v>
      </c>
      <c r="X335" s="96">
        <f t="shared" si="88"/>
        <v>0</v>
      </c>
      <c r="Y335" s="31">
        <f>ROUND(X335*PARAMETROS!$H$35,0)</f>
        <v>0</v>
      </c>
      <c r="Z335" s="31">
        <f t="shared" si="91"/>
        <v>0</v>
      </c>
      <c r="AA335" s="31">
        <f t="shared" si="92"/>
        <v>0</v>
      </c>
      <c r="AB335" s="31">
        <f t="shared" si="93"/>
        <v>0</v>
      </c>
      <c r="AC335" s="31">
        <f t="shared" si="93"/>
        <v>0</v>
      </c>
      <c r="AD335" s="38">
        <f t="shared" si="94"/>
        <v>0</v>
      </c>
    </row>
    <row r="336" spans="1:30" ht="3" customHeight="1" x14ac:dyDescent="0.25">
      <c r="A336">
        <v>16103</v>
      </c>
      <c r="B336">
        <v>8121</v>
      </c>
      <c r="C336" t="s">
        <v>402</v>
      </c>
      <c r="D336" s="6" t="str">
        <f>+DATA!U332</f>
        <v>No</v>
      </c>
      <c r="E336" s="361">
        <f t="shared" si="81"/>
        <v>0</v>
      </c>
      <c r="F336" s="95">
        <f t="shared" si="89"/>
        <v>0</v>
      </c>
      <c r="G336" s="31">
        <f>IF(OR(D336="SI",D336="Sí"),VLOOKUP(A336,DATA!$A$4:$D$350,4,0),0)</f>
        <v>0</v>
      </c>
      <c r="H336" s="95">
        <f>IF(OR(D336="SI",D336="Sí"),VLOOKUP(A336,DATA!$A$4:$E$350,5,0),0)</f>
        <v>0</v>
      </c>
      <c r="I336" s="31">
        <f t="shared" si="95"/>
        <v>0</v>
      </c>
      <c r="J336" s="361">
        <f t="shared" si="82"/>
        <v>0</v>
      </c>
      <c r="K336" s="361">
        <f t="shared" si="83"/>
        <v>0</v>
      </c>
      <c r="L336" s="31">
        <f>IF(OR(D336="SI",D336="Sí"),VLOOKUP(A336,DATA!$A$4:$G$350,7,0),0)</f>
        <v>0</v>
      </c>
      <c r="M336" s="31">
        <f>IF(OR(D336="SI",D336="Sí"),VLOOKUP(A336,DATA!$A$4:$H$350,8,0),0)</f>
        <v>0</v>
      </c>
      <c r="N336" s="361">
        <f t="shared" si="84"/>
        <v>0</v>
      </c>
      <c r="O336" s="361">
        <f t="shared" si="90"/>
        <v>0</v>
      </c>
      <c r="P336" s="361">
        <f t="shared" si="85"/>
        <v>0</v>
      </c>
      <c r="Q336" s="31">
        <f>IF(OR(D336="SI",D336="Sí"),VLOOKUP(A336,DATA!$A$4:$P$350,14,0),0)</f>
        <v>0</v>
      </c>
      <c r="R336" s="121">
        <f t="shared" si="96"/>
        <v>0</v>
      </c>
      <c r="S336" s="31">
        <f>IF(AND(R336&gt;0,R336&lt;$R$7),ROUND(($R$7-R336)*G336,PARAMETROS!$L$8),0)</f>
        <v>0</v>
      </c>
      <c r="T336" s="122">
        <f t="shared" si="86"/>
        <v>0</v>
      </c>
      <c r="U336" s="117">
        <f t="shared" si="87"/>
        <v>0</v>
      </c>
      <c r="V336" s="117">
        <f>VLOOKUP(A336,DATA!$A$4:$V$350,DATA!$V$1,0)</f>
        <v>0</v>
      </c>
      <c r="W336" s="117">
        <f>VLOOKUP(A336,DATA!$A$4:$V$350,22,0)</f>
        <v>0</v>
      </c>
      <c r="X336" s="96">
        <f t="shared" si="88"/>
        <v>0</v>
      </c>
      <c r="Y336" s="31">
        <f>ROUND(X336*PARAMETROS!$H$35,0)</f>
        <v>0</v>
      </c>
      <c r="Z336" s="31">
        <f t="shared" si="91"/>
        <v>0</v>
      </c>
      <c r="AA336" s="31">
        <f t="shared" si="92"/>
        <v>0</v>
      </c>
      <c r="AB336" s="31">
        <f t="shared" si="93"/>
        <v>0</v>
      </c>
      <c r="AC336" s="31">
        <f t="shared" si="93"/>
        <v>0</v>
      </c>
      <c r="AD336" s="38">
        <f t="shared" si="94"/>
        <v>0</v>
      </c>
    </row>
    <row r="337" spans="1:30" ht="3" customHeight="1" x14ac:dyDescent="0.25">
      <c r="A337">
        <v>16104</v>
      </c>
      <c r="B337">
        <v>8118</v>
      </c>
      <c r="C337" t="s">
        <v>181</v>
      </c>
      <c r="D337" s="6" t="str">
        <f>+DATA!U333</f>
        <v>No</v>
      </c>
      <c r="E337" s="361">
        <f t="shared" si="81"/>
        <v>0</v>
      </c>
      <c r="F337" s="95">
        <f t="shared" si="89"/>
        <v>0</v>
      </c>
      <c r="G337" s="31">
        <f>IF(OR(D337="SI",D337="Sí"),VLOOKUP(A337,DATA!$A$4:$D$350,4,0),0)</f>
        <v>0</v>
      </c>
      <c r="H337" s="95">
        <f>IF(OR(D337="SI",D337="Sí"),VLOOKUP(A337,DATA!$A$4:$E$350,5,0),0)</f>
        <v>0</v>
      </c>
      <c r="I337" s="31">
        <f t="shared" si="95"/>
        <v>0</v>
      </c>
      <c r="J337" s="361">
        <f t="shared" si="82"/>
        <v>0</v>
      </c>
      <c r="K337" s="361">
        <f t="shared" si="83"/>
        <v>0</v>
      </c>
      <c r="L337" s="31">
        <f>IF(OR(D337="SI",D337="Sí"),VLOOKUP(A337,DATA!$A$4:$G$350,7,0),0)</f>
        <v>0</v>
      </c>
      <c r="M337" s="31">
        <f>IF(OR(D337="SI",D337="Sí"),VLOOKUP(A337,DATA!$A$4:$H$350,8,0),0)</f>
        <v>0</v>
      </c>
      <c r="N337" s="361">
        <f t="shared" si="84"/>
        <v>0</v>
      </c>
      <c r="O337" s="361">
        <f t="shared" si="90"/>
        <v>0</v>
      </c>
      <c r="P337" s="361">
        <f t="shared" si="85"/>
        <v>0</v>
      </c>
      <c r="Q337" s="31">
        <f>IF(OR(D337="SI",D337="Sí"),VLOOKUP(A337,DATA!$A$4:$P$350,14,0),0)</f>
        <v>0</v>
      </c>
      <c r="R337" s="121">
        <f t="shared" si="96"/>
        <v>0</v>
      </c>
      <c r="S337" s="31">
        <f>IF(AND(R337&gt;0,R337&lt;$R$7),ROUND(($R$7-R337)*G337,PARAMETROS!$L$8),0)</f>
        <v>0</v>
      </c>
      <c r="T337" s="122">
        <f t="shared" si="86"/>
        <v>0</v>
      </c>
      <c r="U337" s="117">
        <f t="shared" si="87"/>
        <v>0</v>
      </c>
      <c r="V337" s="117">
        <f>VLOOKUP(A337,DATA!$A$4:$V$350,DATA!$V$1,0)</f>
        <v>0</v>
      </c>
      <c r="W337" s="117">
        <f>VLOOKUP(A337,DATA!$A$4:$V$350,22,0)</f>
        <v>0</v>
      </c>
      <c r="X337" s="96">
        <f t="shared" si="88"/>
        <v>0</v>
      </c>
      <c r="Y337" s="31">
        <f>ROUND(X337*PARAMETROS!$H$35,0)</f>
        <v>0</v>
      </c>
      <c r="Z337" s="31">
        <f t="shared" si="91"/>
        <v>0</v>
      </c>
      <c r="AA337" s="31">
        <f t="shared" si="92"/>
        <v>0</v>
      </c>
      <c r="AB337" s="31">
        <f t="shared" si="93"/>
        <v>0</v>
      </c>
      <c r="AC337" s="31">
        <f t="shared" si="93"/>
        <v>0</v>
      </c>
      <c r="AD337" s="38">
        <f t="shared" si="94"/>
        <v>0</v>
      </c>
    </row>
    <row r="338" spans="1:30" ht="3" customHeight="1" x14ac:dyDescent="0.25">
      <c r="A338">
        <v>16105</v>
      </c>
      <c r="B338">
        <v>8117</v>
      </c>
      <c r="C338" t="s">
        <v>180</v>
      </c>
      <c r="D338" s="6" t="str">
        <f>+DATA!U334</f>
        <v>No</v>
      </c>
      <c r="E338" s="361">
        <f t="shared" si="81"/>
        <v>0</v>
      </c>
      <c r="F338" s="95">
        <f t="shared" si="89"/>
        <v>0</v>
      </c>
      <c r="G338" s="31">
        <f>IF(OR(D338="SI",D338="Sí"),VLOOKUP(A338,DATA!$A$4:$D$350,4,0),0)</f>
        <v>0</v>
      </c>
      <c r="H338" s="95">
        <f>IF(OR(D338="SI",D338="Sí"),VLOOKUP(A338,DATA!$A$4:$E$350,5,0),0)</f>
        <v>0</v>
      </c>
      <c r="I338" s="31">
        <f t="shared" si="95"/>
        <v>0</v>
      </c>
      <c r="J338" s="361">
        <f t="shared" si="82"/>
        <v>0</v>
      </c>
      <c r="K338" s="361">
        <f t="shared" si="83"/>
        <v>0</v>
      </c>
      <c r="L338" s="31">
        <f>IF(OR(D338="SI",D338="Sí"),VLOOKUP(A338,DATA!$A$4:$G$350,7,0),0)</f>
        <v>0</v>
      </c>
      <c r="M338" s="31">
        <f>IF(OR(D338="SI",D338="Sí"),VLOOKUP(A338,DATA!$A$4:$H$350,8,0),0)</f>
        <v>0</v>
      </c>
      <c r="N338" s="361">
        <f t="shared" si="84"/>
        <v>0</v>
      </c>
      <c r="O338" s="361">
        <f t="shared" si="90"/>
        <v>0</v>
      </c>
      <c r="P338" s="361">
        <f t="shared" si="85"/>
        <v>0</v>
      </c>
      <c r="Q338" s="31">
        <f>IF(OR(D338="SI",D338="Sí"),VLOOKUP(A338,DATA!$A$4:$P$350,14,0),0)</f>
        <v>0</v>
      </c>
      <c r="R338" s="121">
        <f t="shared" si="96"/>
        <v>0</v>
      </c>
      <c r="S338" s="31">
        <f>IF(AND(R338&gt;0,R338&lt;$R$7),ROUND(($R$7-R338)*G338,PARAMETROS!$L$8),0)</f>
        <v>0</v>
      </c>
      <c r="T338" s="122">
        <f t="shared" si="86"/>
        <v>0</v>
      </c>
      <c r="U338" s="117">
        <f t="shared" si="87"/>
        <v>0</v>
      </c>
      <c r="V338" s="117">
        <f>VLOOKUP(A338,DATA!$A$4:$V$350,DATA!$V$1,0)</f>
        <v>0</v>
      </c>
      <c r="W338" s="117">
        <f>VLOOKUP(A338,DATA!$A$4:$V$350,22,0)</f>
        <v>0</v>
      </c>
      <c r="X338" s="96">
        <f t="shared" si="88"/>
        <v>0</v>
      </c>
      <c r="Y338" s="31">
        <f>ROUND(X338*PARAMETROS!$H$35,0)</f>
        <v>0</v>
      </c>
      <c r="Z338" s="31">
        <f t="shared" si="91"/>
        <v>0</v>
      </c>
      <c r="AA338" s="31">
        <f t="shared" si="92"/>
        <v>0</v>
      </c>
      <c r="AB338" s="31">
        <f t="shared" si="93"/>
        <v>0</v>
      </c>
      <c r="AC338" s="31">
        <f t="shared" si="93"/>
        <v>0</v>
      </c>
      <c r="AD338" s="38">
        <f t="shared" si="94"/>
        <v>0</v>
      </c>
    </row>
    <row r="339" spans="1:30" ht="3" customHeight="1" x14ac:dyDescent="0.25">
      <c r="A339">
        <v>16106</v>
      </c>
      <c r="B339">
        <v>8102</v>
      </c>
      <c r="C339" t="s">
        <v>169</v>
      </c>
      <c r="D339" s="6" t="str">
        <f>+DATA!U335</f>
        <v>No</v>
      </c>
      <c r="E339" s="361">
        <f t="shared" si="81"/>
        <v>0</v>
      </c>
      <c r="F339" s="95">
        <f t="shared" si="89"/>
        <v>0</v>
      </c>
      <c r="G339" s="31">
        <f>IF(OR(D339="SI",D339="Sí"),VLOOKUP(A339,DATA!$A$4:$D$350,4,0),0)</f>
        <v>0</v>
      </c>
      <c r="H339" s="95">
        <f>IF(OR(D339="SI",D339="Sí"),VLOOKUP(A339,DATA!$A$4:$E$350,5,0),0)</f>
        <v>0</v>
      </c>
      <c r="I339" s="31">
        <f t="shared" si="95"/>
        <v>0</v>
      </c>
      <c r="J339" s="361">
        <f t="shared" si="82"/>
        <v>0</v>
      </c>
      <c r="K339" s="361">
        <f t="shared" si="83"/>
        <v>0</v>
      </c>
      <c r="L339" s="31">
        <f>IF(OR(D339="SI",D339="Sí"),VLOOKUP(A339,DATA!$A$4:$G$350,7,0),0)</f>
        <v>0</v>
      </c>
      <c r="M339" s="31">
        <f>IF(OR(D339="SI",D339="Sí"),VLOOKUP(A339,DATA!$A$4:$H$350,8,0),0)</f>
        <v>0</v>
      </c>
      <c r="N339" s="361">
        <f t="shared" si="84"/>
        <v>0</v>
      </c>
      <c r="O339" s="361">
        <f t="shared" si="90"/>
        <v>0</v>
      </c>
      <c r="P339" s="361">
        <f t="shared" si="85"/>
        <v>0</v>
      </c>
      <c r="Q339" s="31">
        <f>IF(OR(D339="SI",D339="Sí"),VLOOKUP(A339,DATA!$A$4:$P$350,14,0),0)</f>
        <v>0</v>
      </c>
      <c r="R339" s="121">
        <f t="shared" si="96"/>
        <v>0</v>
      </c>
      <c r="S339" s="31">
        <f>IF(AND(R339&gt;0,R339&lt;$R$7),ROUND(($R$7-R339)*G339,PARAMETROS!$L$8),0)</f>
        <v>0</v>
      </c>
      <c r="T339" s="122">
        <f t="shared" si="86"/>
        <v>0</v>
      </c>
      <c r="U339" s="117">
        <f t="shared" si="87"/>
        <v>0</v>
      </c>
      <c r="V339" s="117">
        <f>VLOOKUP(A339,DATA!$A$4:$V$350,DATA!$V$1,0)</f>
        <v>0</v>
      </c>
      <c r="W339" s="117">
        <f>VLOOKUP(A339,DATA!$A$4:$V$350,22,0)</f>
        <v>0</v>
      </c>
      <c r="X339" s="96">
        <f t="shared" si="88"/>
        <v>0</v>
      </c>
      <c r="Y339" s="31">
        <f>ROUND(X339*PARAMETROS!$H$35,0)</f>
        <v>0</v>
      </c>
      <c r="Z339" s="31">
        <f t="shared" si="91"/>
        <v>0</v>
      </c>
      <c r="AA339" s="31">
        <f t="shared" si="92"/>
        <v>0</v>
      </c>
      <c r="AB339" s="31">
        <f t="shared" si="93"/>
        <v>0</v>
      </c>
      <c r="AC339" s="31">
        <f t="shared" si="93"/>
        <v>0</v>
      </c>
      <c r="AD339" s="38">
        <f t="shared" si="94"/>
        <v>0</v>
      </c>
    </row>
    <row r="340" spans="1:30" ht="3" customHeight="1" x14ac:dyDescent="0.25">
      <c r="A340">
        <v>16107</v>
      </c>
      <c r="B340">
        <v>8115</v>
      </c>
      <c r="C340" t="s">
        <v>404</v>
      </c>
      <c r="D340" s="6" t="str">
        <f>+DATA!U336</f>
        <v>No</v>
      </c>
      <c r="E340" s="361">
        <f t="shared" si="81"/>
        <v>0</v>
      </c>
      <c r="F340" s="95">
        <f t="shared" si="89"/>
        <v>0</v>
      </c>
      <c r="G340" s="31">
        <f>IF(OR(D340="SI",D340="Sí"),VLOOKUP(A340,DATA!$A$4:$D$350,4,0),0)</f>
        <v>0</v>
      </c>
      <c r="H340" s="95">
        <f>IF(OR(D340="SI",D340="Sí"),VLOOKUP(A340,DATA!$A$4:$E$350,5,0),0)</f>
        <v>0</v>
      </c>
      <c r="I340" s="31">
        <f t="shared" si="95"/>
        <v>0</v>
      </c>
      <c r="J340" s="361">
        <f t="shared" si="82"/>
        <v>0</v>
      </c>
      <c r="K340" s="361">
        <f t="shared" si="83"/>
        <v>0</v>
      </c>
      <c r="L340" s="31">
        <f>IF(OR(D340="SI",D340="Sí"),VLOOKUP(A340,DATA!$A$4:$G$350,7,0),0)</f>
        <v>0</v>
      </c>
      <c r="M340" s="31">
        <f>IF(OR(D340="SI",D340="Sí"),VLOOKUP(A340,DATA!$A$4:$H$350,8,0),0)</f>
        <v>0</v>
      </c>
      <c r="N340" s="361">
        <f t="shared" si="84"/>
        <v>0</v>
      </c>
      <c r="O340" s="361">
        <f t="shared" si="90"/>
        <v>0</v>
      </c>
      <c r="P340" s="361">
        <f t="shared" si="85"/>
        <v>0</v>
      </c>
      <c r="Q340" s="31">
        <f>IF(OR(D340="SI",D340="Sí"),VLOOKUP(A340,DATA!$A$4:$P$350,14,0),0)</f>
        <v>0</v>
      </c>
      <c r="R340" s="121">
        <f t="shared" si="96"/>
        <v>0</v>
      </c>
      <c r="S340" s="31">
        <f>IF(AND(R340&gt;0,R340&lt;$R$7),ROUND(($R$7-R340)*G340,PARAMETROS!$L$8),0)</f>
        <v>0</v>
      </c>
      <c r="T340" s="122">
        <f t="shared" si="86"/>
        <v>0</v>
      </c>
      <c r="U340" s="117">
        <f t="shared" si="87"/>
        <v>0</v>
      </c>
      <c r="V340" s="117">
        <f>VLOOKUP(A340,DATA!$A$4:$V$350,DATA!$V$1,0)</f>
        <v>0</v>
      </c>
      <c r="W340" s="117">
        <f>VLOOKUP(A340,DATA!$A$4:$V$350,22,0)</f>
        <v>0</v>
      </c>
      <c r="X340" s="96">
        <f t="shared" si="88"/>
        <v>0</v>
      </c>
      <c r="Y340" s="31">
        <f>ROUND(X340*PARAMETROS!$H$35,0)</f>
        <v>0</v>
      </c>
      <c r="Z340" s="31">
        <f t="shared" si="91"/>
        <v>0</v>
      </c>
      <c r="AA340" s="31">
        <f t="shared" si="92"/>
        <v>0</v>
      </c>
      <c r="AB340" s="31">
        <f t="shared" si="93"/>
        <v>0</v>
      </c>
      <c r="AC340" s="31">
        <f t="shared" si="93"/>
        <v>0</v>
      </c>
      <c r="AD340" s="38">
        <f t="shared" si="94"/>
        <v>0</v>
      </c>
    </row>
    <row r="341" spans="1:30" ht="3" customHeight="1" x14ac:dyDescent="0.25">
      <c r="A341">
        <v>16108</v>
      </c>
      <c r="B341">
        <v>8114</v>
      </c>
      <c r="C341" t="s">
        <v>178</v>
      </c>
      <c r="D341" s="6" t="str">
        <f>+DATA!U337</f>
        <v>No</v>
      </c>
      <c r="E341" s="361">
        <f t="shared" si="81"/>
        <v>0</v>
      </c>
      <c r="F341" s="95">
        <f t="shared" si="89"/>
        <v>0</v>
      </c>
      <c r="G341" s="31">
        <f>IF(OR(D341="SI",D341="Sí"),VLOOKUP(A341,DATA!$A$4:$D$350,4,0),0)</f>
        <v>0</v>
      </c>
      <c r="H341" s="95">
        <f>IF(OR(D341="SI",D341="Sí"),VLOOKUP(A341,DATA!$A$4:$E$350,5,0),0)</f>
        <v>0</v>
      </c>
      <c r="I341" s="31">
        <f t="shared" si="95"/>
        <v>0</v>
      </c>
      <c r="J341" s="361">
        <f t="shared" si="82"/>
        <v>0</v>
      </c>
      <c r="K341" s="361">
        <f t="shared" si="83"/>
        <v>0</v>
      </c>
      <c r="L341" s="31">
        <f>IF(OR(D341="SI",D341="Sí"),VLOOKUP(A341,DATA!$A$4:$G$350,7,0),0)</f>
        <v>0</v>
      </c>
      <c r="M341" s="31">
        <f>IF(OR(D341="SI",D341="Sí"),VLOOKUP(A341,DATA!$A$4:$H$350,8,0),0)</f>
        <v>0</v>
      </c>
      <c r="N341" s="361">
        <f t="shared" si="84"/>
        <v>0</v>
      </c>
      <c r="O341" s="361">
        <f t="shared" si="90"/>
        <v>0</v>
      </c>
      <c r="P341" s="361">
        <f t="shared" si="85"/>
        <v>0</v>
      </c>
      <c r="Q341" s="31">
        <f>IF(OR(D341="SI",D341="Sí"),VLOOKUP(A341,DATA!$A$4:$P$350,14,0),0)</f>
        <v>0</v>
      </c>
      <c r="R341" s="121">
        <f t="shared" si="96"/>
        <v>0</v>
      </c>
      <c r="S341" s="31">
        <f>IF(AND(R341&gt;0,R341&lt;$R$7),ROUND(($R$7-R341)*G341,PARAMETROS!$L$8),0)</f>
        <v>0</v>
      </c>
      <c r="T341" s="122">
        <f t="shared" si="86"/>
        <v>0</v>
      </c>
      <c r="U341" s="117">
        <f t="shared" si="87"/>
        <v>0</v>
      </c>
      <c r="V341" s="117">
        <f>VLOOKUP(A341,DATA!$A$4:$V$350,DATA!$V$1,0)</f>
        <v>0</v>
      </c>
      <c r="W341" s="117">
        <f>VLOOKUP(A341,DATA!$A$4:$V$350,22,0)</f>
        <v>0</v>
      </c>
      <c r="X341" s="96">
        <f t="shared" si="88"/>
        <v>0</v>
      </c>
      <c r="Y341" s="31">
        <f>ROUND(X341*PARAMETROS!$H$35,0)</f>
        <v>0</v>
      </c>
      <c r="Z341" s="31">
        <f t="shared" si="91"/>
        <v>0</v>
      </c>
      <c r="AA341" s="31">
        <f t="shared" si="92"/>
        <v>0</v>
      </c>
      <c r="AB341" s="31">
        <f t="shared" si="93"/>
        <v>0</v>
      </c>
      <c r="AC341" s="31">
        <f t="shared" si="93"/>
        <v>0</v>
      </c>
      <c r="AD341" s="38">
        <f t="shared" si="94"/>
        <v>0</v>
      </c>
    </row>
    <row r="342" spans="1:30" ht="3" customHeight="1" x14ac:dyDescent="0.25">
      <c r="A342">
        <v>16109</v>
      </c>
      <c r="B342">
        <v>8116</v>
      </c>
      <c r="C342" t="s">
        <v>179</v>
      </c>
      <c r="D342" s="6" t="str">
        <f>+DATA!U338</f>
        <v>No</v>
      </c>
      <c r="E342" s="361">
        <f t="shared" si="81"/>
        <v>0</v>
      </c>
      <c r="F342" s="95">
        <f t="shared" si="89"/>
        <v>0</v>
      </c>
      <c r="G342" s="31">
        <f>IF(OR(D342="SI",D342="Sí"),VLOOKUP(A342,DATA!$A$4:$D$350,4,0),0)</f>
        <v>0</v>
      </c>
      <c r="H342" s="95">
        <f>IF(OR(D342="SI",D342="Sí"),VLOOKUP(A342,DATA!$A$4:$E$350,5,0),0)</f>
        <v>0</v>
      </c>
      <c r="I342" s="31">
        <f t="shared" si="95"/>
        <v>0</v>
      </c>
      <c r="J342" s="361">
        <f t="shared" si="82"/>
        <v>0</v>
      </c>
      <c r="K342" s="361">
        <f t="shared" si="83"/>
        <v>0</v>
      </c>
      <c r="L342" s="31">
        <f>IF(OR(D342="SI",D342="Sí"),VLOOKUP(A342,DATA!$A$4:$G$350,7,0),0)</f>
        <v>0</v>
      </c>
      <c r="M342" s="31">
        <f>IF(OR(D342="SI",D342="Sí"),VLOOKUP(A342,DATA!$A$4:$H$350,8,0),0)</f>
        <v>0</v>
      </c>
      <c r="N342" s="361">
        <f t="shared" si="84"/>
        <v>0</v>
      </c>
      <c r="O342" s="361">
        <f t="shared" si="90"/>
        <v>0</v>
      </c>
      <c r="P342" s="361">
        <f t="shared" si="85"/>
        <v>0</v>
      </c>
      <c r="Q342" s="31">
        <f>IF(OR(D342="SI",D342="Sí"),VLOOKUP(A342,DATA!$A$4:$P$350,14,0),0)</f>
        <v>0</v>
      </c>
      <c r="R342" s="121">
        <f t="shared" si="96"/>
        <v>0</v>
      </c>
      <c r="S342" s="31">
        <f>IF(AND(R342&gt;0,R342&lt;$R$7),ROUND(($R$7-R342)*G342,PARAMETROS!$L$8),0)</f>
        <v>0</v>
      </c>
      <c r="T342" s="122">
        <f t="shared" si="86"/>
        <v>0</v>
      </c>
      <c r="U342" s="117">
        <f t="shared" si="87"/>
        <v>0</v>
      </c>
      <c r="V342" s="117">
        <f>VLOOKUP(A342,DATA!$A$4:$V$350,DATA!$V$1,0)</f>
        <v>0</v>
      </c>
      <c r="W342" s="117">
        <f>VLOOKUP(A342,DATA!$A$4:$V$350,22,0)</f>
        <v>0</v>
      </c>
      <c r="X342" s="96">
        <f t="shared" si="88"/>
        <v>0</v>
      </c>
      <c r="Y342" s="31">
        <f>ROUND(X342*PARAMETROS!$H$35,0)</f>
        <v>0</v>
      </c>
      <c r="Z342" s="31">
        <f t="shared" si="91"/>
        <v>0</v>
      </c>
      <c r="AA342" s="31">
        <f t="shared" si="92"/>
        <v>0</v>
      </c>
      <c r="AB342" s="31">
        <f t="shared" si="93"/>
        <v>0</v>
      </c>
      <c r="AC342" s="31">
        <f t="shared" si="93"/>
        <v>0</v>
      </c>
      <c r="AD342" s="38">
        <f t="shared" si="94"/>
        <v>0</v>
      </c>
    </row>
    <row r="343" spans="1:30" ht="3" customHeight="1" x14ac:dyDescent="0.25">
      <c r="A343">
        <v>16201</v>
      </c>
      <c r="B343">
        <v>8104</v>
      </c>
      <c r="C343" t="s">
        <v>171</v>
      </c>
      <c r="D343" s="6" t="str">
        <f>+DATA!U339</f>
        <v>No</v>
      </c>
      <c r="E343" s="361">
        <f t="shared" si="81"/>
        <v>0</v>
      </c>
      <c r="F343" s="95">
        <f t="shared" si="89"/>
        <v>0</v>
      </c>
      <c r="G343" s="31">
        <f>IF(OR(D343="SI",D343="Sí"),VLOOKUP(A343,DATA!$A$4:$D$350,4,0),0)</f>
        <v>0</v>
      </c>
      <c r="H343" s="95">
        <f>IF(OR(D343="SI",D343="Sí"),VLOOKUP(A343,DATA!$A$4:$E$350,5,0),0)</f>
        <v>0</v>
      </c>
      <c r="I343" s="31">
        <f t="shared" si="95"/>
        <v>0</v>
      </c>
      <c r="J343" s="361">
        <f t="shared" si="82"/>
        <v>0</v>
      </c>
      <c r="K343" s="361">
        <f t="shared" si="83"/>
        <v>0</v>
      </c>
      <c r="L343" s="31">
        <f>IF(OR(D343="SI",D343="Sí"),VLOOKUP(A343,DATA!$A$4:$G$350,7,0),0)</f>
        <v>0</v>
      </c>
      <c r="M343" s="31">
        <f>IF(OR(D343="SI",D343="Sí"),VLOOKUP(A343,DATA!$A$4:$H$350,8,0),0)</f>
        <v>0</v>
      </c>
      <c r="N343" s="361">
        <f t="shared" si="84"/>
        <v>0</v>
      </c>
      <c r="O343" s="361">
        <f t="shared" si="90"/>
        <v>0</v>
      </c>
      <c r="P343" s="361">
        <f t="shared" si="85"/>
        <v>0</v>
      </c>
      <c r="Q343" s="31">
        <f>IF(OR(D343="SI",D343="Sí"),VLOOKUP(A343,DATA!$A$4:$P$350,14,0),0)</f>
        <v>0</v>
      </c>
      <c r="R343" s="121">
        <f t="shared" si="96"/>
        <v>0</v>
      </c>
      <c r="S343" s="31">
        <f>IF(AND(R343&gt;0,R343&lt;$R$7),ROUND(($R$7-R343)*G343,PARAMETROS!$L$8),0)</f>
        <v>0</v>
      </c>
      <c r="T343" s="122">
        <f t="shared" si="86"/>
        <v>0</v>
      </c>
      <c r="U343" s="117">
        <f t="shared" si="87"/>
        <v>0</v>
      </c>
      <c r="V343" s="117">
        <f>VLOOKUP(A343,DATA!$A$4:$V$350,DATA!$V$1,0)</f>
        <v>0</v>
      </c>
      <c r="W343" s="117">
        <f>VLOOKUP(A343,DATA!$A$4:$V$350,22,0)</f>
        <v>0</v>
      </c>
      <c r="X343" s="96">
        <f t="shared" si="88"/>
        <v>0</v>
      </c>
      <c r="Y343" s="31">
        <f>ROUND(X343*PARAMETROS!$H$35,0)</f>
        <v>0</v>
      </c>
      <c r="Z343" s="31">
        <f t="shared" si="91"/>
        <v>0</v>
      </c>
      <c r="AA343" s="31">
        <f t="shared" si="92"/>
        <v>0</v>
      </c>
      <c r="AB343" s="31">
        <f t="shared" si="93"/>
        <v>0</v>
      </c>
      <c r="AC343" s="31">
        <f t="shared" si="93"/>
        <v>0</v>
      </c>
      <c r="AD343" s="38">
        <f t="shared" si="94"/>
        <v>0</v>
      </c>
    </row>
    <row r="344" spans="1:30" ht="3" customHeight="1" x14ac:dyDescent="0.25">
      <c r="A344">
        <v>16202</v>
      </c>
      <c r="B344">
        <v>8107</v>
      </c>
      <c r="C344" t="s">
        <v>174</v>
      </c>
      <c r="D344" s="6" t="str">
        <f>+DATA!U340</f>
        <v>No</v>
      </c>
      <c r="E344" s="361">
        <f t="shared" si="81"/>
        <v>0</v>
      </c>
      <c r="F344" s="95">
        <f t="shared" si="89"/>
        <v>0</v>
      </c>
      <c r="G344" s="31">
        <f>IF(OR(D344="SI",D344="Sí"),VLOOKUP(A344,DATA!$A$4:$D$350,4,0),0)</f>
        <v>0</v>
      </c>
      <c r="H344" s="95">
        <f>IF(OR(D344="SI",D344="Sí"),VLOOKUP(A344,DATA!$A$4:$E$350,5,0),0)</f>
        <v>0</v>
      </c>
      <c r="I344" s="31">
        <f t="shared" si="95"/>
        <v>0</v>
      </c>
      <c r="J344" s="361">
        <f t="shared" si="82"/>
        <v>0</v>
      </c>
      <c r="K344" s="361">
        <f t="shared" si="83"/>
        <v>0</v>
      </c>
      <c r="L344" s="31">
        <f>IF(OR(D344="SI",D344="Sí"),VLOOKUP(A344,DATA!$A$4:$G$350,7,0),0)</f>
        <v>0</v>
      </c>
      <c r="M344" s="31">
        <f>IF(OR(D344="SI",D344="Sí"),VLOOKUP(A344,DATA!$A$4:$H$350,8,0),0)</f>
        <v>0</v>
      </c>
      <c r="N344" s="361">
        <f t="shared" si="84"/>
        <v>0</v>
      </c>
      <c r="O344" s="361">
        <f t="shared" si="90"/>
        <v>0</v>
      </c>
      <c r="P344" s="361">
        <f t="shared" si="85"/>
        <v>0</v>
      </c>
      <c r="Q344" s="31">
        <f>IF(OR(D344="SI",D344="Sí"),VLOOKUP(A344,DATA!$A$4:$P$350,14,0),0)</f>
        <v>0</v>
      </c>
      <c r="R344" s="121">
        <f t="shared" si="96"/>
        <v>0</v>
      </c>
      <c r="S344" s="31">
        <f>IF(AND(R344&gt;0,R344&lt;$R$7),ROUND(($R$7-R344)*G344,PARAMETROS!$L$8),0)</f>
        <v>0</v>
      </c>
      <c r="T344" s="122">
        <f t="shared" si="86"/>
        <v>0</v>
      </c>
      <c r="U344" s="117">
        <f t="shared" si="87"/>
        <v>0</v>
      </c>
      <c r="V344" s="117">
        <f>VLOOKUP(A344,DATA!$A$4:$V$350,DATA!$V$1,0)</f>
        <v>0</v>
      </c>
      <c r="W344" s="117">
        <f>VLOOKUP(A344,DATA!$A$4:$V$350,22,0)</f>
        <v>0</v>
      </c>
      <c r="X344" s="96">
        <f t="shared" si="88"/>
        <v>0</v>
      </c>
      <c r="Y344" s="31">
        <f>ROUND(X344*PARAMETROS!$H$35,0)</f>
        <v>0</v>
      </c>
      <c r="Z344" s="31">
        <f t="shared" si="91"/>
        <v>0</v>
      </c>
      <c r="AA344" s="31">
        <f t="shared" si="92"/>
        <v>0</v>
      </c>
      <c r="AB344" s="31">
        <f t="shared" si="93"/>
        <v>0</v>
      </c>
      <c r="AC344" s="31">
        <f t="shared" si="93"/>
        <v>0</v>
      </c>
      <c r="AD344" s="38">
        <f t="shared" si="94"/>
        <v>0</v>
      </c>
    </row>
    <row r="345" spans="1:30" ht="3" customHeight="1" x14ac:dyDescent="0.25">
      <c r="A345">
        <v>16203</v>
      </c>
      <c r="B345">
        <v>8120</v>
      </c>
      <c r="C345" t="s">
        <v>182</v>
      </c>
      <c r="D345" s="6" t="str">
        <f>+DATA!U341</f>
        <v>No</v>
      </c>
      <c r="E345" s="361">
        <f t="shared" si="81"/>
        <v>0</v>
      </c>
      <c r="F345" s="95">
        <f t="shared" si="89"/>
        <v>0</v>
      </c>
      <c r="G345" s="31">
        <f>IF(OR(D345="SI",D345="Sí"),VLOOKUP(A345,DATA!$A$4:$D$350,4,0),0)</f>
        <v>0</v>
      </c>
      <c r="H345" s="95">
        <f>IF(OR(D345="SI",D345="Sí"),VLOOKUP(A345,DATA!$A$4:$E$350,5,0),0)</f>
        <v>0</v>
      </c>
      <c r="I345" s="31">
        <f t="shared" si="95"/>
        <v>0</v>
      </c>
      <c r="J345" s="361">
        <f t="shared" si="82"/>
        <v>0</v>
      </c>
      <c r="K345" s="361">
        <f t="shared" si="83"/>
        <v>0</v>
      </c>
      <c r="L345" s="31">
        <f>IF(OR(D345="SI",D345="Sí"),VLOOKUP(A345,DATA!$A$4:$G$350,7,0),0)</f>
        <v>0</v>
      </c>
      <c r="M345" s="31">
        <f>IF(OR(D345="SI",D345="Sí"),VLOOKUP(A345,DATA!$A$4:$H$350,8,0),0)</f>
        <v>0</v>
      </c>
      <c r="N345" s="361">
        <f t="shared" si="84"/>
        <v>0</v>
      </c>
      <c r="O345" s="361">
        <f t="shared" si="90"/>
        <v>0</v>
      </c>
      <c r="P345" s="361">
        <f t="shared" si="85"/>
        <v>0</v>
      </c>
      <c r="Q345" s="31">
        <f>IF(OR(D345="SI",D345="Sí"),VLOOKUP(A345,DATA!$A$4:$P$350,14,0),0)</f>
        <v>0</v>
      </c>
      <c r="R345" s="121">
        <f t="shared" si="96"/>
        <v>0</v>
      </c>
      <c r="S345" s="31">
        <f>IF(AND(R345&gt;0,R345&lt;$R$7),ROUND(($R$7-R345)*G345,PARAMETROS!$L$8),0)</f>
        <v>0</v>
      </c>
      <c r="T345" s="122">
        <f t="shared" si="86"/>
        <v>0</v>
      </c>
      <c r="U345" s="117">
        <f t="shared" si="87"/>
        <v>0</v>
      </c>
      <c r="V345" s="117">
        <f>VLOOKUP(A345,DATA!$A$4:$V$350,DATA!$V$1,0)</f>
        <v>0</v>
      </c>
      <c r="W345" s="117">
        <f>VLOOKUP(A345,DATA!$A$4:$V$350,22,0)</f>
        <v>0</v>
      </c>
      <c r="X345" s="96">
        <f t="shared" si="88"/>
        <v>0</v>
      </c>
      <c r="Y345" s="31">
        <f>ROUND(X345*PARAMETROS!$H$35,0)</f>
        <v>0</v>
      </c>
      <c r="Z345" s="31">
        <f t="shared" si="91"/>
        <v>0</v>
      </c>
      <c r="AA345" s="31">
        <f t="shared" si="92"/>
        <v>0</v>
      </c>
      <c r="AB345" s="31">
        <f t="shared" si="93"/>
        <v>0</v>
      </c>
      <c r="AC345" s="31">
        <f t="shared" si="93"/>
        <v>0</v>
      </c>
      <c r="AD345" s="38">
        <f t="shared" si="94"/>
        <v>0</v>
      </c>
    </row>
    <row r="346" spans="1:30" ht="3" customHeight="1" x14ac:dyDescent="0.25">
      <c r="A346">
        <v>16204</v>
      </c>
      <c r="B346">
        <v>8105</v>
      </c>
      <c r="C346" t="s">
        <v>172</v>
      </c>
      <c r="D346" s="6" t="str">
        <f>+DATA!U342</f>
        <v>No</v>
      </c>
      <c r="E346" s="361">
        <f t="shared" si="81"/>
        <v>0</v>
      </c>
      <c r="F346" s="95">
        <f t="shared" si="89"/>
        <v>0</v>
      </c>
      <c r="G346" s="31">
        <f>IF(OR(D346="SI",D346="Sí"),VLOOKUP(A346,DATA!$A$4:$D$350,4,0),0)</f>
        <v>0</v>
      </c>
      <c r="H346" s="95">
        <f>IF(OR(D346="SI",D346="Sí"),VLOOKUP(A346,DATA!$A$4:$E$350,5,0),0)</f>
        <v>0</v>
      </c>
      <c r="I346" s="31">
        <f t="shared" si="95"/>
        <v>0</v>
      </c>
      <c r="J346" s="361">
        <f t="shared" si="82"/>
        <v>0</v>
      </c>
      <c r="K346" s="361">
        <f t="shared" si="83"/>
        <v>0</v>
      </c>
      <c r="L346" s="31">
        <f>IF(OR(D346="SI",D346="Sí"),VLOOKUP(A346,DATA!$A$4:$G$350,7,0),0)</f>
        <v>0</v>
      </c>
      <c r="M346" s="31">
        <f>IF(OR(D346="SI",D346="Sí"),VLOOKUP(A346,DATA!$A$4:$H$350,8,0),0)</f>
        <v>0</v>
      </c>
      <c r="N346" s="361">
        <f t="shared" si="84"/>
        <v>0</v>
      </c>
      <c r="O346" s="361">
        <f t="shared" si="90"/>
        <v>0</v>
      </c>
      <c r="P346" s="361">
        <f t="shared" si="85"/>
        <v>0</v>
      </c>
      <c r="Q346" s="31">
        <f>IF(OR(D346="SI",D346="Sí"),VLOOKUP(A346,DATA!$A$4:$P$350,14,0),0)</f>
        <v>0</v>
      </c>
      <c r="R346" s="121">
        <f t="shared" si="96"/>
        <v>0</v>
      </c>
      <c r="S346" s="31">
        <f>IF(AND(R346&gt;0,R346&lt;$R$7),ROUND(($R$7-R346)*G346,PARAMETROS!$L$8),0)</f>
        <v>0</v>
      </c>
      <c r="T346" s="122">
        <f t="shared" si="86"/>
        <v>0</v>
      </c>
      <c r="U346" s="117">
        <f t="shared" si="87"/>
        <v>0</v>
      </c>
      <c r="V346" s="117">
        <f>VLOOKUP(A346,DATA!$A$4:$V$350,DATA!$V$1,0)</f>
        <v>0</v>
      </c>
      <c r="W346" s="117">
        <f>VLOOKUP(A346,DATA!$A$4:$V$350,22,0)</f>
        <v>0</v>
      </c>
      <c r="X346" s="96">
        <f t="shared" si="88"/>
        <v>0</v>
      </c>
      <c r="Y346" s="31">
        <f>ROUND(X346*PARAMETROS!$H$35,0)</f>
        <v>0</v>
      </c>
      <c r="Z346" s="31">
        <f t="shared" si="91"/>
        <v>0</v>
      </c>
      <c r="AA346" s="31">
        <f t="shared" si="92"/>
        <v>0</v>
      </c>
      <c r="AB346" s="31">
        <f t="shared" si="93"/>
        <v>0</v>
      </c>
      <c r="AC346" s="31">
        <f t="shared" si="93"/>
        <v>0</v>
      </c>
      <c r="AD346" s="38">
        <f t="shared" si="94"/>
        <v>0</v>
      </c>
    </row>
    <row r="347" spans="1:30" ht="3" customHeight="1" x14ac:dyDescent="0.25">
      <c r="A347">
        <v>16205</v>
      </c>
      <c r="B347">
        <v>8106</v>
      </c>
      <c r="C347" t="s">
        <v>173</v>
      </c>
      <c r="D347" s="6" t="str">
        <f>+DATA!U343</f>
        <v>No</v>
      </c>
      <c r="E347" s="361">
        <f t="shared" si="81"/>
        <v>0</v>
      </c>
      <c r="F347" s="95">
        <f t="shared" si="89"/>
        <v>0</v>
      </c>
      <c r="G347" s="31">
        <f>IF(OR(D347="SI",D347="Sí"),VLOOKUP(A347,DATA!$A$4:$D$350,4,0),0)</f>
        <v>0</v>
      </c>
      <c r="H347" s="95">
        <f>IF(OR(D347="SI",D347="Sí"),VLOOKUP(A347,DATA!$A$4:$E$350,5,0),0)</f>
        <v>0</v>
      </c>
      <c r="I347" s="31">
        <f t="shared" si="95"/>
        <v>0</v>
      </c>
      <c r="J347" s="361">
        <f t="shared" si="82"/>
        <v>0</v>
      </c>
      <c r="K347" s="361">
        <f t="shared" si="83"/>
        <v>0</v>
      </c>
      <c r="L347" s="31">
        <f>IF(OR(D347="SI",D347="Sí"),VLOOKUP(A347,DATA!$A$4:$G$350,7,0),0)</f>
        <v>0</v>
      </c>
      <c r="M347" s="31">
        <f>IF(OR(D347="SI",D347="Sí"),VLOOKUP(A347,DATA!$A$4:$H$350,8,0),0)</f>
        <v>0</v>
      </c>
      <c r="N347" s="361">
        <f t="shared" si="84"/>
        <v>0</v>
      </c>
      <c r="O347" s="361">
        <f t="shared" si="90"/>
        <v>0</v>
      </c>
      <c r="P347" s="361">
        <f t="shared" si="85"/>
        <v>0</v>
      </c>
      <c r="Q347" s="31">
        <f>IF(OR(D347="SI",D347="Sí"),VLOOKUP(A347,DATA!$A$4:$P$350,14,0),0)</f>
        <v>0</v>
      </c>
      <c r="R347" s="121">
        <f t="shared" si="96"/>
        <v>0</v>
      </c>
      <c r="S347" s="31">
        <f>IF(AND(R347&gt;0,R347&lt;$R$7),ROUND(($R$7-R347)*G347,PARAMETROS!$L$8),0)</f>
        <v>0</v>
      </c>
      <c r="T347" s="122">
        <f t="shared" si="86"/>
        <v>0</v>
      </c>
      <c r="U347" s="117">
        <f t="shared" si="87"/>
        <v>0</v>
      </c>
      <c r="V347" s="117">
        <f>VLOOKUP(A347,DATA!$A$4:$V$350,DATA!$V$1,0)</f>
        <v>0</v>
      </c>
      <c r="W347" s="117">
        <f>VLOOKUP(A347,DATA!$A$4:$V$350,22,0)</f>
        <v>0</v>
      </c>
      <c r="X347" s="96">
        <f t="shared" si="88"/>
        <v>0</v>
      </c>
      <c r="Y347" s="31">
        <f>ROUND(X347*PARAMETROS!$H$35,0)</f>
        <v>0</v>
      </c>
      <c r="Z347" s="31">
        <f t="shared" si="91"/>
        <v>0</v>
      </c>
      <c r="AA347" s="31">
        <f t="shared" si="92"/>
        <v>0</v>
      </c>
      <c r="AB347" s="31">
        <f t="shared" si="93"/>
        <v>0</v>
      </c>
      <c r="AC347" s="31">
        <f t="shared" si="93"/>
        <v>0</v>
      </c>
      <c r="AD347" s="38">
        <f t="shared" si="94"/>
        <v>0</v>
      </c>
    </row>
    <row r="348" spans="1:30" ht="3" customHeight="1" x14ac:dyDescent="0.25">
      <c r="A348">
        <v>16206</v>
      </c>
      <c r="B348">
        <v>8119</v>
      </c>
      <c r="C348" t="s">
        <v>33</v>
      </c>
      <c r="D348" s="6" t="str">
        <f>+DATA!U344</f>
        <v>No</v>
      </c>
      <c r="E348" s="361">
        <f t="shared" si="81"/>
        <v>0</v>
      </c>
      <c r="F348" s="95">
        <f t="shared" si="89"/>
        <v>0</v>
      </c>
      <c r="G348" s="31">
        <f>IF(OR(D348="SI",D348="Sí"),VLOOKUP(A348,DATA!$A$4:$D$350,4,0),0)</f>
        <v>0</v>
      </c>
      <c r="H348" s="95">
        <f>IF(OR(D348="SI",D348="Sí"),VLOOKUP(A348,DATA!$A$4:$E$350,5,0),0)</f>
        <v>0</v>
      </c>
      <c r="I348" s="31">
        <f t="shared" si="95"/>
        <v>0</v>
      </c>
      <c r="J348" s="361">
        <f t="shared" si="82"/>
        <v>0</v>
      </c>
      <c r="K348" s="361">
        <f t="shared" si="83"/>
        <v>0</v>
      </c>
      <c r="L348" s="31">
        <f>IF(OR(D348="SI",D348="Sí"),VLOOKUP(A348,DATA!$A$4:$G$350,7,0),0)</f>
        <v>0</v>
      </c>
      <c r="M348" s="31">
        <f>IF(OR(D348="SI",D348="Sí"),VLOOKUP(A348,DATA!$A$4:$H$350,8,0),0)</f>
        <v>0</v>
      </c>
      <c r="N348" s="361">
        <f t="shared" si="84"/>
        <v>0</v>
      </c>
      <c r="O348" s="361">
        <f t="shared" si="90"/>
        <v>0</v>
      </c>
      <c r="P348" s="361">
        <f t="shared" si="85"/>
        <v>0</v>
      </c>
      <c r="Q348" s="31">
        <f>IF(OR(D348="SI",D348="Sí"),VLOOKUP(A348,DATA!$A$4:$P$350,14,0),0)</f>
        <v>0</v>
      </c>
      <c r="R348" s="121">
        <f t="shared" si="96"/>
        <v>0</v>
      </c>
      <c r="S348" s="31">
        <f>IF(AND(R348&gt;0,R348&lt;$R$7),ROUND(($R$7-R348)*G348,PARAMETROS!$L$8),0)</f>
        <v>0</v>
      </c>
      <c r="T348" s="122">
        <f t="shared" si="86"/>
        <v>0</v>
      </c>
      <c r="U348" s="117">
        <f t="shared" si="87"/>
        <v>0</v>
      </c>
      <c r="V348" s="117">
        <f>VLOOKUP(A348,DATA!$A$4:$V$350,DATA!$V$1,0)</f>
        <v>0</v>
      </c>
      <c r="W348" s="117">
        <f>VLOOKUP(A348,DATA!$A$4:$V$350,22,0)</f>
        <v>0</v>
      </c>
      <c r="X348" s="96">
        <f t="shared" si="88"/>
        <v>0</v>
      </c>
      <c r="Y348" s="31">
        <f>ROUND(X348*PARAMETROS!$H$35,0)</f>
        <v>0</v>
      </c>
      <c r="Z348" s="31">
        <f t="shared" si="91"/>
        <v>0</v>
      </c>
      <c r="AA348" s="31">
        <f t="shared" si="92"/>
        <v>0</v>
      </c>
      <c r="AB348" s="31">
        <f t="shared" si="93"/>
        <v>0</v>
      </c>
      <c r="AC348" s="31">
        <f t="shared" si="93"/>
        <v>0</v>
      </c>
      <c r="AD348" s="38">
        <f t="shared" si="94"/>
        <v>0</v>
      </c>
    </row>
    <row r="349" spans="1:30" ht="3" customHeight="1" x14ac:dyDescent="0.25">
      <c r="A349">
        <v>16207</v>
      </c>
      <c r="B349">
        <v>8108</v>
      </c>
      <c r="C349" t="s">
        <v>175</v>
      </c>
      <c r="D349" s="6" t="str">
        <f>+DATA!U345</f>
        <v>No</v>
      </c>
      <c r="E349" s="361">
        <f t="shared" si="81"/>
        <v>0</v>
      </c>
      <c r="F349" s="95">
        <f t="shared" si="89"/>
        <v>0</v>
      </c>
      <c r="G349" s="31">
        <f>IF(OR(D349="SI",D349="Sí"),VLOOKUP(A349,DATA!$A$4:$D$350,4,0),0)</f>
        <v>0</v>
      </c>
      <c r="H349" s="95">
        <f>IF(OR(D349="SI",D349="Sí"),VLOOKUP(A349,DATA!$A$4:$E$350,5,0),0)</f>
        <v>0</v>
      </c>
      <c r="I349" s="31">
        <f t="shared" si="95"/>
        <v>0</v>
      </c>
      <c r="J349" s="361">
        <f t="shared" si="82"/>
        <v>0</v>
      </c>
      <c r="K349" s="361">
        <f t="shared" si="83"/>
        <v>0</v>
      </c>
      <c r="L349" s="31">
        <f>IF(OR(D349="SI",D349="Sí"),VLOOKUP(A349,DATA!$A$4:$G$350,7,0),0)</f>
        <v>0</v>
      </c>
      <c r="M349" s="31">
        <f>IF(OR(D349="SI",D349="Sí"),VLOOKUP(A349,DATA!$A$4:$H$350,8,0),0)</f>
        <v>0</v>
      </c>
      <c r="N349" s="361">
        <f t="shared" si="84"/>
        <v>0</v>
      </c>
      <c r="O349" s="361">
        <f t="shared" si="90"/>
        <v>0</v>
      </c>
      <c r="P349" s="361">
        <f t="shared" si="85"/>
        <v>0</v>
      </c>
      <c r="Q349" s="31">
        <f>IF(OR(D349="SI",D349="Sí"),VLOOKUP(A349,DATA!$A$4:$P$350,14,0),0)</f>
        <v>0</v>
      </c>
      <c r="R349" s="121">
        <f t="shared" si="96"/>
        <v>0</v>
      </c>
      <c r="S349" s="31">
        <f>IF(AND(R349&gt;0,R349&lt;$R$7),ROUND(($R$7-R349)*G349,PARAMETROS!$L$8),0)</f>
        <v>0</v>
      </c>
      <c r="T349" s="122">
        <f t="shared" si="86"/>
        <v>0</v>
      </c>
      <c r="U349" s="117">
        <f t="shared" si="87"/>
        <v>0</v>
      </c>
      <c r="V349" s="117">
        <f>VLOOKUP(A349,DATA!$A$4:$V$350,DATA!$V$1,0)</f>
        <v>0</v>
      </c>
      <c r="W349" s="117">
        <f>VLOOKUP(A349,DATA!$A$4:$V$350,22,0)</f>
        <v>0</v>
      </c>
      <c r="X349" s="96">
        <f t="shared" si="88"/>
        <v>0</v>
      </c>
      <c r="Y349" s="31">
        <f>ROUND(X349*PARAMETROS!$H$35,0)</f>
        <v>0</v>
      </c>
      <c r="Z349" s="31">
        <f t="shared" si="91"/>
        <v>0</v>
      </c>
      <c r="AA349" s="31">
        <f t="shared" si="92"/>
        <v>0</v>
      </c>
      <c r="AB349" s="31">
        <f t="shared" si="93"/>
        <v>0</v>
      </c>
      <c r="AC349" s="31">
        <f t="shared" si="93"/>
        <v>0</v>
      </c>
      <c r="AD349" s="38">
        <f t="shared" si="94"/>
        <v>0</v>
      </c>
    </row>
    <row r="350" spans="1:30" ht="3" customHeight="1" x14ac:dyDescent="0.25">
      <c r="A350">
        <v>16301</v>
      </c>
      <c r="B350">
        <v>8109</v>
      </c>
      <c r="C350" t="s">
        <v>176</v>
      </c>
      <c r="D350" s="6" t="str">
        <f>+DATA!U346</f>
        <v>No</v>
      </c>
      <c r="E350" s="361">
        <f t="shared" si="81"/>
        <v>0</v>
      </c>
      <c r="F350" s="95">
        <f t="shared" si="89"/>
        <v>0</v>
      </c>
      <c r="G350" s="31">
        <f>IF(OR(D350="SI",D350="Sí"),VLOOKUP(A350,DATA!$A$4:$D$350,4,0),0)</f>
        <v>0</v>
      </c>
      <c r="H350" s="95">
        <f>IF(OR(D350="SI",D350="Sí"),VLOOKUP(A350,DATA!$A$4:$E$350,5,0),0)</f>
        <v>0</v>
      </c>
      <c r="I350" s="31">
        <f t="shared" si="95"/>
        <v>0</v>
      </c>
      <c r="J350" s="361">
        <f t="shared" si="82"/>
        <v>0</v>
      </c>
      <c r="K350" s="361">
        <f t="shared" si="83"/>
        <v>0</v>
      </c>
      <c r="L350" s="31">
        <f>IF(OR(D350="SI",D350="Sí"),VLOOKUP(A350,DATA!$A$4:$G$350,7,0),0)</f>
        <v>0</v>
      </c>
      <c r="M350" s="31">
        <f>IF(OR(D350="SI",D350="Sí"),VLOOKUP(A350,DATA!$A$4:$H$350,8,0),0)</f>
        <v>0</v>
      </c>
      <c r="N350" s="361">
        <f t="shared" si="84"/>
        <v>0</v>
      </c>
      <c r="O350" s="361">
        <f t="shared" si="90"/>
        <v>0</v>
      </c>
      <c r="P350" s="361">
        <f t="shared" si="85"/>
        <v>0</v>
      </c>
      <c r="Q350" s="31">
        <f>IF(OR(D350="SI",D350="Sí"),VLOOKUP(A350,DATA!$A$4:$P$350,14,0),0)</f>
        <v>0</v>
      </c>
      <c r="R350" s="121">
        <f t="shared" si="96"/>
        <v>0</v>
      </c>
      <c r="S350" s="31">
        <f>IF(AND(R350&gt;0,R350&lt;$R$7),ROUND(($R$7-R350)*G350,PARAMETROS!$L$8),0)</f>
        <v>0</v>
      </c>
      <c r="T350" s="122">
        <f t="shared" si="86"/>
        <v>0</v>
      </c>
      <c r="U350" s="117">
        <f t="shared" si="87"/>
        <v>0</v>
      </c>
      <c r="V350" s="117">
        <f>VLOOKUP(A350,DATA!$A$4:$V$350,DATA!$V$1,0)</f>
        <v>0</v>
      </c>
      <c r="W350" s="117">
        <f>VLOOKUP(A350,DATA!$A$4:$V$350,22,0)</f>
        <v>0</v>
      </c>
      <c r="X350" s="96">
        <f t="shared" si="88"/>
        <v>0</v>
      </c>
      <c r="Y350" s="31">
        <f>ROUND(X350*PARAMETROS!$H$35,0)</f>
        <v>0</v>
      </c>
      <c r="Z350" s="31">
        <f t="shared" si="91"/>
        <v>0</v>
      </c>
      <c r="AA350" s="31">
        <f t="shared" si="92"/>
        <v>0</v>
      </c>
      <c r="AB350" s="31">
        <f t="shared" si="93"/>
        <v>0</v>
      </c>
      <c r="AC350" s="31">
        <f t="shared" si="93"/>
        <v>0</v>
      </c>
      <c r="AD350" s="38">
        <f t="shared" si="94"/>
        <v>0</v>
      </c>
    </row>
    <row r="351" spans="1:30" ht="3" customHeight="1" x14ac:dyDescent="0.25">
      <c r="A351">
        <v>16302</v>
      </c>
      <c r="B351">
        <v>8103</v>
      </c>
      <c r="C351" t="s">
        <v>170</v>
      </c>
      <c r="D351" s="6" t="str">
        <f>+DATA!U347</f>
        <v>No</v>
      </c>
      <c r="E351" s="361">
        <f t="shared" si="81"/>
        <v>0</v>
      </c>
      <c r="F351" s="95">
        <f t="shared" si="89"/>
        <v>0</v>
      </c>
      <c r="G351" s="31">
        <f>IF(OR(D351="SI",D351="Sí"),VLOOKUP(A351,DATA!$A$4:$D$350,4,0),0)</f>
        <v>0</v>
      </c>
      <c r="H351" s="95">
        <f>IF(OR(D351="SI",D351="Sí"),VLOOKUP(A351,DATA!$A$4:$E$350,5,0),0)</f>
        <v>0</v>
      </c>
      <c r="I351" s="31">
        <f t="shared" si="95"/>
        <v>0</v>
      </c>
      <c r="J351" s="361">
        <f t="shared" si="82"/>
        <v>0</v>
      </c>
      <c r="K351" s="361">
        <f t="shared" si="83"/>
        <v>0</v>
      </c>
      <c r="L351" s="31">
        <f>IF(OR(D351="SI",D351="Sí"),VLOOKUP(A351,DATA!$A$4:$G$350,7,0),0)</f>
        <v>0</v>
      </c>
      <c r="M351" s="31">
        <f>IF(OR(D351="SI",D351="Sí"),VLOOKUP(A351,DATA!$A$4:$H$350,8,0),0)</f>
        <v>0</v>
      </c>
      <c r="N351" s="361">
        <f t="shared" si="84"/>
        <v>0</v>
      </c>
      <c r="O351" s="361">
        <f t="shared" si="90"/>
        <v>0</v>
      </c>
      <c r="P351" s="361">
        <f t="shared" si="85"/>
        <v>0</v>
      </c>
      <c r="Q351" s="31">
        <f>IF(OR(D351="SI",D351="Sí"),VLOOKUP(A351,DATA!$A$4:$P$350,14,0),0)</f>
        <v>0</v>
      </c>
      <c r="R351" s="121">
        <f t="shared" si="96"/>
        <v>0</v>
      </c>
      <c r="S351" s="31">
        <f>IF(AND(R351&gt;0,R351&lt;$R$7),ROUND(($R$7-R351)*G351,PARAMETROS!$L$8),0)</f>
        <v>0</v>
      </c>
      <c r="T351" s="122">
        <f t="shared" si="86"/>
        <v>0</v>
      </c>
      <c r="U351" s="117">
        <f t="shared" si="87"/>
        <v>0</v>
      </c>
      <c r="V351" s="117">
        <f>VLOOKUP(A351,DATA!$A$4:$V$350,DATA!$V$1,0)</f>
        <v>0</v>
      </c>
      <c r="W351" s="117">
        <f>VLOOKUP(A351,DATA!$A$4:$V$350,22,0)</f>
        <v>0</v>
      </c>
      <c r="X351" s="96">
        <f t="shared" si="88"/>
        <v>0</v>
      </c>
      <c r="Y351" s="31">
        <f>ROUND(X351*PARAMETROS!$H$35,0)</f>
        <v>0</v>
      </c>
      <c r="Z351" s="31">
        <f t="shared" si="91"/>
        <v>0</v>
      </c>
      <c r="AA351" s="31">
        <f t="shared" si="92"/>
        <v>0</v>
      </c>
      <c r="AB351" s="31">
        <f t="shared" si="93"/>
        <v>0</v>
      </c>
      <c r="AC351" s="31">
        <f t="shared" si="93"/>
        <v>0</v>
      </c>
      <c r="AD351" s="38">
        <f t="shared" si="94"/>
        <v>0</v>
      </c>
    </row>
    <row r="352" spans="1:30" ht="3" customHeight="1" x14ac:dyDescent="0.25">
      <c r="A352">
        <v>16303</v>
      </c>
      <c r="B352">
        <v>8110</v>
      </c>
      <c r="C352" t="s">
        <v>403</v>
      </c>
      <c r="D352" s="6" t="str">
        <f>+DATA!U348</f>
        <v>No</v>
      </c>
      <c r="E352" s="361">
        <f t="shared" si="81"/>
        <v>0</v>
      </c>
      <c r="F352" s="95">
        <f t="shared" si="89"/>
        <v>0</v>
      </c>
      <c r="G352" s="31">
        <f>IF(OR(D352="SI",D352="Sí"),VLOOKUP(A352,DATA!$A$4:$D$350,4,0),0)</f>
        <v>0</v>
      </c>
      <c r="H352" s="95">
        <f>IF(OR(D352="SI",D352="Sí"),VLOOKUP(A352,DATA!$A$4:$E$350,5,0),0)</f>
        <v>0</v>
      </c>
      <c r="I352" s="31">
        <f t="shared" si="95"/>
        <v>0</v>
      </c>
      <c r="J352" s="361">
        <f t="shared" si="82"/>
        <v>0</v>
      </c>
      <c r="K352" s="361">
        <f t="shared" si="83"/>
        <v>0</v>
      </c>
      <c r="L352" s="31">
        <f>IF(OR(D352="SI",D352="Sí"),VLOOKUP(A352,DATA!$A$4:$G$350,7,0),0)</f>
        <v>0</v>
      </c>
      <c r="M352" s="31">
        <f>IF(OR(D352="SI",D352="Sí"),VLOOKUP(A352,DATA!$A$4:$H$350,8,0),0)</f>
        <v>0</v>
      </c>
      <c r="N352" s="361">
        <f t="shared" si="84"/>
        <v>0</v>
      </c>
      <c r="O352" s="361">
        <f t="shared" si="90"/>
        <v>0</v>
      </c>
      <c r="P352" s="361">
        <f t="shared" si="85"/>
        <v>0</v>
      </c>
      <c r="Q352" s="31">
        <f>IF(OR(D352="SI",D352="Sí"),VLOOKUP(A352,DATA!$A$4:$P$350,14,0),0)</f>
        <v>0</v>
      </c>
      <c r="R352" s="121">
        <f t="shared" si="96"/>
        <v>0</v>
      </c>
      <c r="S352" s="31">
        <f>IF(AND(R352&gt;0,R352&lt;$R$7),ROUND(($R$7-R352)*G352,PARAMETROS!$L$8),0)</f>
        <v>0</v>
      </c>
      <c r="T352" s="122">
        <f t="shared" si="86"/>
        <v>0</v>
      </c>
      <c r="U352" s="117">
        <f t="shared" si="87"/>
        <v>0</v>
      </c>
      <c r="V352" s="117">
        <f>VLOOKUP(A352,DATA!$A$4:$V$350,DATA!$V$1,0)</f>
        <v>0</v>
      </c>
      <c r="W352" s="117">
        <f>VLOOKUP(A352,DATA!$A$4:$V$350,22,0)</f>
        <v>0</v>
      </c>
      <c r="X352" s="96">
        <f t="shared" si="88"/>
        <v>0</v>
      </c>
      <c r="Y352" s="31">
        <f>ROUND(X352*PARAMETROS!$H$35,0)</f>
        <v>0</v>
      </c>
      <c r="Z352" s="31">
        <f t="shared" si="91"/>
        <v>0</v>
      </c>
      <c r="AA352" s="31">
        <f t="shared" si="92"/>
        <v>0</v>
      </c>
      <c r="AB352" s="31">
        <f t="shared" si="93"/>
        <v>0</v>
      </c>
      <c r="AC352" s="31">
        <f t="shared" si="93"/>
        <v>0</v>
      </c>
      <c r="AD352" s="38">
        <f t="shared" si="94"/>
        <v>0</v>
      </c>
    </row>
    <row r="353" spans="1:30" ht="3" customHeight="1" x14ac:dyDescent="0.25">
      <c r="A353">
        <v>16304</v>
      </c>
      <c r="B353">
        <v>8111</v>
      </c>
      <c r="C353" t="s">
        <v>405</v>
      </c>
      <c r="D353" s="6" t="str">
        <f>+DATA!U349</f>
        <v>No</v>
      </c>
      <c r="E353" s="361">
        <f t="shared" si="81"/>
        <v>0</v>
      </c>
      <c r="F353" s="95">
        <f t="shared" si="89"/>
        <v>0</v>
      </c>
      <c r="G353" s="31">
        <f>IF(OR(D353="SI",D353="Sí"),VLOOKUP(A353,DATA!$A$4:$D$350,4,0),0)</f>
        <v>0</v>
      </c>
      <c r="H353" s="95">
        <f>IF(OR(D353="SI",D353="Sí"),VLOOKUP(A353,DATA!$A$4:$E$350,5,0),0)</f>
        <v>0</v>
      </c>
      <c r="I353" s="31">
        <f t="shared" si="95"/>
        <v>0</v>
      </c>
      <c r="J353" s="361">
        <f t="shared" si="82"/>
        <v>0</v>
      </c>
      <c r="K353" s="361">
        <f t="shared" si="83"/>
        <v>0</v>
      </c>
      <c r="L353" s="31">
        <f>IF(OR(D353="SI",D353="Sí"),VLOOKUP(A353,DATA!$A$4:$G$350,7,0),0)</f>
        <v>0</v>
      </c>
      <c r="M353" s="31">
        <f>IF(OR(D353="SI",D353="Sí"),VLOOKUP(A353,DATA!$A$4:$H$350,8,0),0)</f>
        <v>0</v>
      </c>
      <c r="N353" s="361">
        <f t="shared" si="84"/>
        <v>0</v>
      </c>
      <c r="O353" s="361">
        <f t="shared" si="90"/>
        <v>0</v>
      </c>
      <c r="P353" s="361">
        <f t="shared" si="85"/>
        <v>0</v>
      </c>
      <c r="Q353" s="31">
        <f>IF(OR(D353="SI",D353="Sí"),VLOOKUP(A353,DATA!$A$4:$P$350,14,0),0)</f>
        <v>0</v>
      </c>
      <c r="R353" s="121">
        <f t="shared" si="96"/>
        <v>0</v>
      </c>
      <c r="S353" s="31">
        <f>IF(AND(R353&gt;0,R353&lt;$R$7),ROUND(($R$7-R353)*G353,PARAMETROS!$L$8),0)</f>
        <v>0</v>
      </c>
      <c r="T353" s="122">
        <f t="shared" si="86"/>
        <v>0</v>
      </c>
      <c r="U353" s="117">
        <f t="shared" si="87"/>
        <v>0</v>
      </c>
      <c r="V353" s="117">
        <f>VLOOKUP(A353,DATA!$A$4:$V$350,DATA!$V$1,0)</f>
        <v>0</v>
      </c>
      <c r="W353" s="117">
        <f>VLOOKUP(A353,DATA!$A$4:$V$350,22,0)</f>
        <v>0</v>
      </c>
      <c r="X353" s="96">
        <f t="shared" si="88"/>
        <v>0</v>
      </c>
      <c r="Y353" s="31">
        <f>ROUND(X353*PARAMETROS!$H$35,0)</f>
        <v>0</v>
      </c>
      <c r="Z353" s="31">
        <f t="shared" si="91"/>
        <v>0</v>
      </c>
      <c r="AA353" s="31">
        <f t="shared" si="92"/>
        <v>0</v>
      </c>
      <c r="AB353" s="31">
        <f t="shared" si="93"/>
        <v>0</v>
      </c>
      <c r="AC353" s="31">
        <f t="shared" si="93"/>
        <v>0</v>
      </c>
      <c r="AD353" s="38">
        <f t="shared" si="94"/>
        <v>0</v>
      </c>
    </row>
    <row r="354" spans="1:30" ht="3" customHeight="1" x14ac:dyDescent="0.25">
      <c r="A354">
        <v>16305</v>
      </c>
      <c r="B354">
        <v>8112</v>
      </c>
      <c r="C354" t="s">
        <v>406</v>
      </c>
      <c r="D354" s="6" t="str">
        <f>+DATA!U350</f>
        <v>No</v>
      </c>
      <c r="E354" s="361">
        <f t="shared" si="81"/>
        <v>0</v>
      </c>
      <c r="F354" s="95">
        <f t="shared" si="89"/>
        <v>0</v>
      </c>
      <c r="G354" s="31">
        <f>IF(OR(D354="SI",D354="Sí"),VLOOKUP(A354,DATA!$A$4:$D$350,4,0),0)</f>
        <v>0</v>
      </c>
      <c r="H354" s="95">
        <f>IF(OR(D354="SI",D354="Sí"),VLOOKUP(A354,DATA!$A$4:$E$350,5,0),0)</f>
        <v>0</v>
      </c>
      <c r="I354" s="31">
        <f t="shared" si="95"/>
        <v>0</v>
      </c>
      <c r="J354" s="361">
        <f t="shared" si="82"/>
        <v>0</v>
      </c>
      <c r="K354" s="361">
        <f t="shared" si="83"/>
        <v>0</v>
      </c>
      <c r="L354" s="31">
        <f>IF(OR(D354="SI",D354="Sí"),VLOOKUP(A354,DATA!$A$4:$G$350,7,0),0)</f>
        <v>0</v>
      </c>
      <c r="M354" s="31">
        <f>IF(OR(D354="SI",D354="Sí"),VLOOKUP(A354,DATA!$A$4:$H$350,8,0),0)</f>
        <v>0</v>
      </c>
      <c r="N354" s="361">
        <f t="shared" si="84"/>
        <v>0</v>
      </c>
      <c r="O354" s="361">
        <f t="shared" si="90"/>
        <v>0</v>
      </c>
      <c r="P354" s="361">
        <f t="shared" si="85"/>
        <v>0</v>
      </c>
      <c r="Q354" s="31">
        <f>IF(OR(D354="SI",D354="Sí"),VLOOKUP(A354,DATA!$A$4:$P$350,14,0),0)</f>
        <v>0</v>
      </c>
      <c r="R354" s="121">
        <f t="shared" si="96"/>
        <v>0</v>
      </c>
      <c r="S354" s="31">
        <f>IF(AND(R354&gt;0,R354&lt;$R$7),ROUND(($R$7-R354)*G354,PARAMETROS!$L$8),0)</f>
        <v>0</v>
      </c>
      <c r="T354" s="122">
        <f t="shared" si="86"/>
        <v>0</v>
      </c>
      <c r="U354" s="117">
        <f t="shared" si="87"/>
        <v>0</v>
      </c>
      <c r="V354" s="117">
        <f>VLOOKUP(A354,DATA!$A$4:$V$350,DATA!$V$1,0)</f>
        <v>0</v>
      </c>
      <c r="W354" s="117">
        <f>VLOOKUP(A354,DATA!$A$4:$V$350,22,0)</f>
        <v>0</v>
      </c>
      <c r="X354" s="96">
        <f t="shared" si="88"/>
        <v>0</v>
      </c>
      <c r="Y354" s="31">
        <f>ROUND(X354*PARAMETROS!$H$35,0)</f>
        <v>0</v>
      </c>
      <c r="Z354" s="31">
        <f t="shared" si="91"/>
        <v>0</v>
      </c>
      <c r="AA354" s="31">
        <f t="shared" si="92"/>
        <v>0</v>
      </c>
      <c r="AB354" s="31">
        <f t="shared" si="93"/>
        <v>0</v>
      </c>
      <c r="AC354" s="31">
        <f t="shared" si="93"/>
        <v>0</v>
      </c>
      <c r="AD354" s="38">
        <f t="shared" si="94"/>
        <v>0</v>
      </c>
    </row>
  </sheetData>
  <sheetProtection algorithmName="SHA-512" hashValue="X7rOjszSbI59jhsNVZLeHCvJ7UgMZsSpwGnrQjIWcH3/AXMLeoSnhUZ3KrJ73ecZiwpjKq+CUNvJL1H8P1uepQ==" saltValue="rUy7I/gxF6v+3gUdyzwHDA==" spinCount="100000" sheet="1" objects="1" scenarios="1" selectLockedCells="1" selectUnlockedCells="1"/>
  <autoFilter ref="X8:AD8" xr:uid="{DA94070A-781B-449D-A0BE-2A9F1B943174}"/>
  <conditionalFormatting sqref="D9:D354">
    <cfRule type="cellIs" dxfId="0" priority="1" operator="equal">
      <formula>"SI"</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6590C-34BB-4C58-BDD9-AFE438B39C15}">
  <sheetPr codeName="Hoja6">
    <tabColor theme="0"/>
  </sheetPr>
  <dimension ref="A1:BB369"/>
  <sheetViews>
    <sheetView showOutlineSymbols="0" showWhiteSpace="0" topLeftCell="A2" workbookViewId="0">
      <selection activeCell="A2" sqref="A2"/>
    </sheetView>
  </sheetViews>
  <sheetFormatPr baseColWidth="10" defaultColWidth="0" defaultRowHeight="15" zeroHeight="1" outlineLevelCol="1" x14ac:dyDescent="0.25"/>
  <cols>
    <col min="1" max="1" width="16.85546875" style="527" bestFit="1" customWidth="1"/>
    <col min="2" max="2" width="16.5703125" style="527" customWidth="1"/>
    <col min="3" max="3" width="26.5703125" style="527" customWidth="1"/>
    <col min="4" max="4" width="18.140625" style="527" customWidth="1" outlineLevel="1"/>
    <col min="5" max="5" width="19" style="527" bestFit="1" customWidth="1"/>
    <col min="6" max="6" width="23.140625" style="527" customWidth="1" outlineLevel="1"/>
    <col min="7" max="7" width="23.5703125" style="527" customWidth="1" outlineLevel="1"/>
    <col min="8" max="8" width="16.5703125" style="527" customWidth="1" outlineLevel="1"/>
    <col min="9" max="9" width="18" style="527" customWidth="1" outlineLevel="1"/>
    <col min="10" max="10" width="19" style="527" customWidth="1"/>
    <col min="11" max="11" width="20.85546875" style="777" customWidth="1" outlineLevel="1"/>
    <col min="12" max="12" width="19.5703125" style="777" customWidth="1" outlineLevel="1"/>
    <col min="13" max="13" width="22" style="527" customWidth="1" outlineLevel="1"/>
    <col min="14" max="14" width="22.85546875" style="527" customWidth="1" outlineLevel="1"/>
    <col min="15" max="15" width="18.85546875" style="527" customWidth="1" outlineLevel="1"/>
    <col min="16" max="16" width="21" style="527" customWidth="1" outlineLevel="1"/>
    <col min="17" max="18" width="18" style="527" customWidth="1" outlineLevel="1"/>
    <col min="19" max="19" width="18.42578125" style="527" customWidth="1"/>
    <col min="20" max="21" width="18.42578125" style="527" hidden="1" customWidth="1" outlineLevel="1"/>
    <col min="22" max="22" width="19.85546875" style="527" hidden="1" customWidth="1" outlineLevel="1"/>
    <col min="23" max="23" width="16.5703125" style="527" hidden="1" customWidth="1" outlineLevel="1"/>
    <col min="24" max="24" width="17.42578125" style="527" hidden="1" customWidth="1" outlineLevel="1"/>
    <col min="25" max="25" width="19.85546875" style="527" customWidth="1" outlineLevel="1"/>
    <col min="26" max="26" width="23.85546875" style="527" customWidth="1" outlineLevel="1"/>
    <col min="27" max="27" width="28" style="527" customWidth="1" outlineLevel="1"/>
    <col min="28" max="28" width="21" style="527" customWidth="1" outlineLevel="1"/>
    <col min="29" max="29" width="30.140625" style="527" customWidth="1" outlineLevel="1"/>
    <col min="30" max="30" width="20.140625" style="777" customWidth="1" outlineLevel="1"/>
    <col min="31" max="31" width="19.140625" style="527" customWidth="1" outlineLevel="1"/>
    <col min="32" max="32" width="18.42578125" style="527" customWidth="1"/>
    <col min="33" max="33" width="18.140625" style="527" customWidth="1"/>
    <col min="34" max="34" width="24.42578125" style="777" hidden="1" customWidth="1" outlineLevel="1"/>
    <col min="35" max="35" width="20" style="777" hidden="1" customWidth="1" outlineLevel="1"/>
    <col min="36" max="36" width="22.140625" style="527" hidden="1" customWidth="1" outlineLevel="1"/>
    <col min="37" max="37" width="17.85546875" style="777" hidden="1" customWidth="1" outlineLevel="1"/>
    <col min="38" max="38" width="23" style="777" hidden="1" customWidth="1" outlineLevel="1"/>
    <col min="39" max="48" width="15.140625" style="527" hidden="1" customWidth="1" outlineLevel="1"/>
    <col min="49" max="49" width="15.140625" style="728" customWidth="1" outlineLevel="1"/>
    <col min="50" max="54" width="0" style="527" hidden="1" customWidth="1"/>
    <col min="55" max="16384" width="11.5703125" style="527" hidden="1"/>
  </cols>
  <sheetData>
    <row r="1" spans="1:49" s="715" customFormat="1" hidden="1" x14ac:dyDescent="0.25">
      <c r="C1" s="716"/>
      <c r="D1" s="717">
        <f>COLUMN()</f>
        <v>4</v>
      </c>
      <c r="E1" s="718">
        <f>COLUMN()</f>
        <v>5</v>
      </c>
      <c r="F1" s="718">
        <f>COLUMN()</f>
        <v>6</v>
      </c>
      <c r="G1" s="718">
        <f>COLUMN()</f>
        <v>7</v>
      </c>
      <c r="H1" s="718">
        <f>COLUMN()</f>
        <v>8</v>
      </c>
      <c r="I1" s="718">
        <f>COLUMN()</f>
        <v>9</v>
      </c>
      <c r="J1" s="718">
        <f>COLUMN()</f>
        <v>10</v>
      </c>
      <c r="K1" s="718">
        <f>COLUMN()</f>
        <v>11</v>
      </c>
      <c r="L1" s="718">
        <f>COLUMN()</f>
        <v>12</v>
      </c>
      <c r="M1" s="718">
        <f>COLUMN()</f>
        <v>13</v>
      </c>
      <c r="N1" s="718">
        <f>COLUMN()</f>
        <v>14</v>
      </c>
      <c r="O1" s="718">
        <f>COLUMN()</f>
        <v>15</v>
      </c>
      <c r="P1" s="718">
        <f>COLUMN()</f>
        <v>16</v>
      </c>
      <c r="Q1" s="718">
        <f>COLUMN()</f>
        <v>17</v>
      </c>
      <c r="R1" s="718">
        <f>COLUMN()</f>
        <v>18</v>
      </c>
      <c r="S1" s="718">
        <f>COLUMN()</f>
        <v>19</v>
      </c>
      <c r="T1" s="512">
        <f>COLUMN()</f>
        <v>20</v>
      </c>
      <c r="U1" s="512">
        <f>COLUMN()</f>
        <v>21</v>
      </c>
      <c r="V1" s="512">
        <f>COLUMN()</f>
        <v>22</v>
      </c>
      <c r="W1" s="512">
        <f>COLUMN()</f>
        <v>23</v>
      </c>
      <c r="X1" s="512">
        <f>COLUMN()</f>
        <v>24</v>
      </c>
      <c r="Y1" s="512">
        <f>COLUMN()</f>
        <v>25</v>
      </c>
      <c r="Z1" s="718">
        <f>COLUMN()</f>
        <v>26</v>
      </c>
      <c r="AA1" s="718">
        <f>COLUMN()</f>
        <v>27</v>
      </c>
      <c r="AB1" s="718">
        <f>COLUMN()</f>
        <v>28</v>
      </c>
      <c r="AC1" s="718">
        <f>COLUMN()</f>
        <v>29</v>
      </c>
      <c r="AD1" s="718">
        <f>COLUMN()</f>
        <v>30</v>
      </c>
      <c r="AE1" s="718">
        <f>COLUMN()</f>
        <v>31</v>
      </c>
      <c r="AF1" s="718">
        <f>COLUMN()</f>
        <v>32</v>
      </c>
      <c r="AG1" s="718">
        <f>COLUMN()</f>
        <v>33</v>
      </c>
      <c r="AH1" s="718">
        <f>COLUMN()</f>
        <v>34</v>
      </c>
      <c r="AI1" s="718">
        <f>COLUMN()</f>
        <v>35</v>
      </c>
      <c r="AJ1" s="718">
        <f>COLUMN()</f>
        <v>36</v>
      </c>
      <c r="AK1" s="718">
        <f>COLUMN()</f>
        <v>37</v>
      </c>
      <c r="AL1" s="718">
        <f>COLUMN()</f>
        <v>38</v>
      </c>
      <c r="AM1" s="718">
        <f>COLUMN()</f>
        <v>39</v>
      </c>
      <c r="AN1" s="718">
        <f>COLUMN()</f>
        <v>40</v>
      </c>
      <c r="AO1" s="718">
        <f>COLUMN()</f>
        <v>41</v>
      </c>
      <c r="AP1" s="718">
        <f>COLUMN()</f>
        <v>42</v>
      </c>
      <c r="AQ1" s="718">
        <f>COLUMN()</f>
        <v>43</v>
      </c>
      <c r="AR1" s="718">
        <f>COLUMN()</f>
        <v>44</v>
      </c>
      <c r="AS1" s="718">
        <f>COLUMN()</f>
        <v>45</v>
      </c>
      <c r="AT1" s="718">
        <f>COLUMN()</f>
        <v>46</v>
      </c>
      <c r="AU1" s="718">
        <f>COLUMN()</f>
        <v>47</v>
      </c>
      <c r="AV1" s="718">
        <f>COLUMN()</f>
        <v>48</v>
      </c>
      <c r="AW1" s="719"/>
    </row>
    <row r="2" spans="1:49" s="720" customFormat="1" ht="15.75" thickBot="1" x14ac:dyDescent="0.3">
      <c r="C2" s="721"/>
      <c r="D2" s="720" t="s">
        <v>639</v>
      </c>
      <c r="E2" s="720" t="s">
        <v>640</v>
      </c>
      <c r="F2" s="720" t="s">
        <v>641</v>
      </c>
      <c r="G2" s="720" t="s">
        <v>642</v>
      </c>
      <c r="H2" s="720" t="s">
        <v>643</v>
      </c>
      <c r="I2" s="720" t="s">
        <v>644</v>
      </c>
      <c r="J2" s="720" t="s">
        <v>645</v>
      </c>
      <c r="K2" s="722" t="s">
        <v>646</v>
      </c>
      <c r="L2" s="722" t="s">
        <v>647</v>
      </c>
      <c r="M2" s="720" t="s">
        <v>648</v>
      </c>
      <c r="N2" s="720" t="s">
        <v>649</v>
      </c>
      <c r="O2" s="720" t="s">
        <v>650</v>
      </c>
      <c r="P2" s="720" t="s">
        <v>651</v>
      </c>
      <c r="Q2" s="720" t="s">
        <v>652</v>
      </c>
      <c r="R2" s="720" t="s">
        <v>653</v>
      </c>
      <c r="S2" s="720" t="s">
        <v>654</v>
      </c>
      <c r="T2" s="513"/>
      <c r="U2" s="513"/>
      <c r="V2" s="513"/>
      <c r="W2" s="513"/>
      <c r="X2" s="513"/>
      <c r="Y2" s="513"/>
      <c r="Z2" s="720" t="s">
        <v>661</v>
      </c>
      <c r="AA2" s="720" t="s">
        <v>662</v>
      </c>
      <c r="AB2" s="720" t="s">
        <v>664</v>
      </c>
      <c r="AC2" s="720" t="s">
        <v>665</v>
      </c>
      <c r="AD2" s="722" t="s">
        <v>666</v>
      </c>
      <c r="AE2" s="720" t="s">
        <v>667</v>
      </c>
      <c r="AF2" s="720" t="s">
        <v>668</v>
      </c>
      <c r="AG2" s="720" t="s">
        <v>669</v>
      </c>
      <c r="AH2" s="722" t="s">
        <v>687</v>
      </c>
      <c r="AI2" s="722" t="s">
        <v>688</v>
      </c>
      <c r="AJ2" s="720" t="s">
        <v>689</v>
      </c>
      <c r="AK2" s="722" t="s">
        <v>690</v>
      </c>
      <c r="AL2" s="722" t="s">
        <v>691</v>
      </c>
      <c r="AM2" s="720" t="s">
        <v>692</v>
      </c>
      <c r="AN2" s="720" t="s">
        <v>693</v>
      </c>
      <c r="AO2" s="720" t="s">
        <v>694</v>
      </c>
      <c r="AP2" s="720" t="s">
        <v>695</v>
      </c>
      <c r="AQ2" s="720" t="s">
        <v>696</v>
      </c>
      <c r="AR2" s="720" t="s">
        <v>697</v>
      </c>
      <c r="AS2" s="720" t="s">
        <v>698</v>
      </c>
      <c r="AT2" s="720" t="s">
        <v>699</v>
      </c>
      <c r="AU2" s="720" t="s">
        <v>700</v>
      </c>
      <c r="AV2" s="720" t="s">
        <v>701</v>
      </c>
      <c r="AW2" s="719"/>
    </row>
    <row r="3" spans="1:49" ht="15.75" thickBot="1" x14ac:dyDescent="0.3">
      <c r="C3" s="723"/>
      <c r="D3" s="514"/>
      <c r="E3" s="514"/>
      <c r="F3" s="514"/>
      <c r="G3" s="514"/>
      <c r="H3" s="514"/>
      <c r="I3" s="514"/>
      <c r="J3" s="514"/>
      <c r="K3" s="724" t="str">
        <f>"P = √ ("&amp;K5&amp;"/"&amp;L5&amp;")*("&amp;M5&amp;"/"&amp;N5&amp;")"</f>
        <v>P = √ (Σ(PXci)/Σ(PTci))*(Σ(MXci)/Σ(MTci))</v>
      </c>
      <c r="L3" s="725"/>
      <c r="M3" s="726"/>
      <c r="N3" s="727">
        <f>GEOMEAN((K6/L6),(M6/N6))</f>
        <v>0.46772080101971797</v>
      </c>
      <c r="O3" s="514"/>
      <c r="P3" s="514"/>
      <c r="Q3" s="514"/>
      <c r="R3" s="514"/>
      <c r="S3" s="514"/>
      <c r="T3" s="514"/>
      <c r="U3" s="514"/>
      <c r="V3" s="514"/>
      <c r="W3" s="514"/>
      <c r="X3" s="514"/>
      <c r="Y3" s="514"/>
      <c r="Z3" s="514"/>
      <c r="AA3" s="514"/>
      <c r="AB3" s="514"/>
      <c r="AC3" s="514"/>
      <c r="AD3" s="525"/>
      <c r="AE3" s="514"/>
      <c r="AF3" s="514"/>
      <c r="AG3" s="514"/>
      <c r="AH3" s="525"/>
      <c r="AI3" s="525"/>
      <c r="AJ3" s="514"/>
      <c r="AK3" s="525"/>
      <c r="AL3" s="525"/>
      <c r="AM3" s="514"/>
      <c r="AN3" s="514"/>
      <c r="AO3" s="514"/>
      <c r="AP3" s="514"/>
      <c r="AQ3" s="514"/>
      <c r="AR3" s="514"/>
      <c r="AS3" s="514"/>
      <c r="AT3" s="514"/>
      <c r="AU3" s="514"/>
      <c r="AV3" s="514"/>
    </row>
    <row r="4" spans="1:49" ht="15.75" thickBot="1" x14ac:dyDescent="0.3">
      <c r="C4" s="723"/>
      <c r="D4" s="514"/>
      <c r="E4" s="514"/>
      <c r="F4" s="514"/>
      <c r="G4" s="514"/>
      <c r="H4" s="514"/>
      <c r="I4" s="514"/>
      <c r="J4" s="514"/>
      <c r="K4" s="525"/>
      <c r="L4" s="525"/>
      <c r="M4" s="514"/>
      <c r="N4" s="514"/>
      <c r="O4" s="514"/>
      <c r="P4" s="514"/>
      <c r="Q4" s="514"/>
      <c r="R4" s="514"/>
      <c r="S4" s="514"/>
      <c r="T4" s="578"/>
      <c r="U4" s="579"/>
      <c r="V4" s="515"/>
      <c r="W4" s="579"/>
      <c r="X4" s="579"/>
      <c r="Y4" s="728"/>
      <c r="Z4" s="514"/>
      <c r="AA4" s="514"/>
      <c r="AB4" s="514"/>
      <c r="AC4" s="514"/>
      <c r="AD4" s="525"/>
      <c r="AE4" s="514"/>
      <c r="AF4" s="514"/>
      <c r="AG4" s="514"/>
      <c r="AH4" s="525"/>
      <c r="AI4" s="525"/>
      <c r="AJ4" s="514"/>
      <c r="AK4" s="525"/>
      <c r="AL4" s="525"/>
      <c r="AM4" s="514"/>
      <c r="AN4" s="514"/>
      <c r="AO4" s="514"/>
      <c r="AP4" s="514"/>
      <c r="AQ4" s="514"/>
      <c r="AR4" s="514"/>
      <c r="AS4" s="514"/>
      <c r="AT4" s="514"/>
      <c r="AU4" s="514"/>
      <c r="AV4" s="514"/>
    </row>
    <row r="5" spans="1:49" ht="15.75" thickBot="1" x14ac:dyDescent="0.3">
      <c r="D5" s="514"/>
      <c r="E5" s="514"/>
      <c r="F5" s="514"/>
      <c r="G5" s="514"/>
      <c r="H5" s="514"/>
      <c r="I5" s="514"/>
      <c r="J5" s="514"/>
      <c r="K5" s="729" t="str">
        <f>"Σ"&amp;RIGHT(K8,6)</f>
        <v>Σ(PXci)</v>
      </c>
      <c r="L5" s="730" t="str">
        <f t="shared" ref="L5:N5" si="0">"Σ"&amp;RIGHT(L8,6)</f>
        <v>Σ(PTci)</v>
      </c>
      <c r="M5" s="729" t="str">
        <f t="shared" si="0"/>
        <v>Σ(MXci)</v>
      </c>
      <c r="N5" s="731" t="str">
        <f t="shared" si="0"/>
        <v>Σ(MTci)</v>
      </c>
      <c r="O5" s="514"/>
      <c r="P5" s="514"/>
      <c r="Q5" s="514"/>
      <c r="R5" s="514"/>
      <c r="S5" s="514"/>
      <c r="T5" s="516"/>
      <c r="U5" s="514"/>
      <c r="V5" s="514"/>
      <c r="W5" s="514"/>
      <c r="X5" s="514"/>
      <c r="Y5" s="728"/>
      <c r="Z5" s="514"/>
      <c r="AA5" s="514"/>
      <c r="AB5" s="514"/>
      <c r="AC5" s="709" t="str">
        <f>"IPP percápita ("&amp;LEFT(Y8,9)&amp;" país)"</f>
        <v>IPP percápita (IPP FCM 
 país)</v>
      </c>
      <c r="AD5" s="525"/>
      <c r="AE5" s="514"/>
      <c r="AF5" s="514"/>
      <c r="AG5" s="514"/>
      <c r="AH5" s="728"/>
      <c r="AI5" s="728"/>
      <c r="AJ5" s="728"/>
      <c r="AK5" s="728"/>
      <c r="AL5" s="728"/>
      <c r="AM5" s="728"/>
      <c r="AN5" s="728"/>
      <c r="AO5" s="728"/>
      <c r="AP5" s="728"/>
      <c r="AQ5" s="728"/>
      <c r="AR5" s="728"/>
      <c r="AS5" s="728"/>
      <c r="AT5" s="728"/>
      <c r="AU5" s="728"/>
      <c r="AV5" s="728"/>
    </row>
    <row r="6" spans="1:49" ht="26.25" customHeight="1" thickBot="1" x14ac:dyDescent="0.3">
      <c r="A6" s="732" t="s">
        <v>679</v>
      </c>
      <c r="B6" s="733"/>
      <c r="C6" s="734" t="str">
        <f>+PARAMETROS!B3</f>
        <v>FCM 2026</v>
      </c>
      <c r="D6" s="514"/>
      <c r="E6" s="735">
        <f>SUM(E9:E354)</f>
        <v>0.2499999999995991</v>
      </c>
      <c r="F6" s="514"/>
      <c r="G6" s="514"/>
      <c r="H6" s="514"/>
      <c r="I6" s="514"/>
      <c r="J6" s="735">
        <f>SUM(J9:J354)</f>
        <v>0.1000000000018</v>
      </c>
      <c r="K6" s="736">
        <f>SUM($K$9:$K$354)</f>
        <v>5460054</v>
      </c>
      <c r="L6" s="737">
        <f>SUM($L$9:$L$354)</f>
        <v>9183865</v>
      </c>
      <c r="M6" s="736">
        <f>SUM($M$9:$M$354)</f>
        <v>211253205639744</v>
      </c>
      <c r="N6" s="738">
        <f>SUM($N$9:$N$354)</f>
        <v>574118293191697</v>
      </c>
      <c r="O6" s="739"/>
      <c r="P6" s="514"/>
      <c r="Q6" s="514"/>
      <c r="R6" s="514"/>
      <c r="S6" s="735">
        <f>SUM(S9:S354)</f>
        <v>0.30000000000219984</v>
      </c>
      <c r="T6" s="516"/>
      <c r="U6" s="514"/>
      <c r="V6" s="514"/>
      <c r="W6" s="514"/>
      <c r="X6" s="514"/>
      <c r="Y6" s="728"/>
      <c r="Z6" s="514"/>
      <c r="AA6" s="518">
        <f>SUM(AA9:AA354)</f>
        <v>9643303</v>
      </c>
      <c r="AB6" s="514"/>
      <c r="AC6" s="740">
        <f>ROUND(Y7/AB7,2)</f>
        <v>104.52</v>
      </c>
      <c r="AD6" s="525"/>
      <c r="AE6" s="514"/>
      <c r="AF6" s="735">
        <f>SUM(AF9:AF354)</f>
        <v>0.35000000000150028</v>
      </c>
      <c r="AG6" s="735">
        <f>SUM(AG9:AG354)</f>
        <v>1.0000000000050997</v>
      </c>
      <c r="AH6" s="741" t="str">
        <f>+DATA!Q2</f>
        <v xml:space="preserve">(*) Datos para cálculo Glosa Nº08, de la Partida:50, Capítulo: 01, </v>
      </c>
      <c r="AI6" s="742"/>
      <c r="AJ6" s="743"/>
      <c r="AK6" s="744" t="str">
        <f>+DATA!W2</f>
        <v>(**) Cierre para determinación del Mecanismo de Estabilización.</v>
      </c>
      <c r="AL6" s="745"/>
      <c r="AM6" s="746" t="str">
        <f>"Estimaciones informadas para calendario de flujos "&amp;RIGHT(PARAMETROS!B3,4)&amp;" por TGR"</f>
        <v>Estimaciones informadas para calendario de flujos 2026 por TGR</v>
      </c>
      <c r="AN6" s="746"/>
      <c r="AO6" s="746"/>
      <c r="AP6" s="746"/>
      <c r="AQ6" s="746"/>
      <c r="AR6" s="746"/>
      <c r="AS6" s="746"/>
      <c r="AT6" s="746"/>
      <c r="AU6" s="746"/>
      <c r="AV6" s="747"/>
    </row>
    <row r="7" spans="1:49" ht="15.75" thickBot="1" x14ac:dyDescent="0.3">
      <c r="D7" s="514"/>
      <c r="E7" s="748">
        <f>+PARAMETROS!$D$7</f>
        <v>0.25</v>
      </c>
      <c r="F7" s="514"/>
      <c r="G7" s="514"/>
      <c r="H7" s="518">
        <f>SUM($H$9:$H$354)</f>
        <v>1305820</v>
      </c>
      <c r="I7" s="749"/>
      <c r="J7" s="748">
        <f>+PARAMETROS!$D$8</f>
        <v>0.1</v>
      </c>
      <c r="K7" s="525"/>
      <c r="L7" s="525"/>
      <c r="M7" s="514"/>
      <c r="N7" s="514"/>
      <c r="O7" s="514"/>
      <c r="P7" s="514"/>
      <c r="Q7" s="750">
        <f>SUM($Q$9:$Q$354)</f>
        <v>0.69749877844559982</v>
      </c>
      <c r="R7" s="514"/>
      <c r="S7" s="748">
        <f>+PARAMETROS!$D$9</f>
        <v>0.3</v>
      </c>
      <c r="T7" s="517">
        <f>SUM($T$9:$T$354)</f>
        <v>0</v>
      </c>
      <c r="U7" s="517">
        <f>SUM($U$9:$U$354)</f>
        <v>0</v>
      </c>
      <c r="V7" s="517">
        <f>SUM($V$9:$V$354)</f>
        <v>3107444865</v>
      </c>
      <c r="W7" s="517">
        <f>SUM($W$9:$W$354)</f>
        <v>3107444865</v>
      </c>
      <c r="X7" s="518">
        <f>SUM($X$9:$X$354)</f>
        <v>3107444865</v>
      </c>
      <c r="Y7" s="519">
        <f>SUM($Y$9:$Y$354)</f>
        <v>3107444865</v>
      </c>
      <c r="Z7" s="519">
        <f>SUM(Z9:Z354)</f>
        <v>192015710.90732843</v>
      </c>
      <c r="AA7" s="707" t="str">
        <f>""""&amp;"SI"&amp;""""&amp;" &gt; 0 : "&amp;COUNTIF($AA$9:$AA$354,"&gt;0")</f>
        <v>"SI" &gt; 0 : 246</v>
      </c>
      <c r="AB7" s="518">
        <f>SUM(AB9:AB354)</f>
        <v>29729529</v>
      </c>
      <c r="AC7" s="514"/>
      <c r="AD7" s="751">
        <f>SUM(AD9:AD354)</f>
        <v>1041862034</v>
      </c>
      <c r="AE7" s="514"/>
      <c r="AF7" s="748">
        <f>+PARAMETROS!D10</f>
        <v>0.35</v>
      </c>
      <c r="AG7" s="752">
        <f>+AF7+S7+J7+E7</f>
        <v>0.99999999999999989</v>
      </c>
      <c r="AH7" s="753">
        <f>SUM($AH$9:$AH$354)</f>
        <v>1995563620.7269976</v>
      </c>
      <c r="AI7" s="754">
        <f>+AH7/12</f>
        <v>166296968.39391646</v>
      </c>
      <c r="AJ7" s="755">
        <f>SUM($AJ$9:$AJ$354)</f>
        <v>131374604</v>
      </c>
      <c r="AK7" s="756">
        <f>SUM(AK9:AK354)</f>
        <v>22097766</v>
      </c>
      <c r="AL7" s="757">
        <f>SUM(AL9:AL354)</f>
        <v>2707997173.9000006</v>
      </c>
      <c r="AM7" s="526">
        <f>SUM(AM9:AM354)</f>
        <v>166598599</v>
      </c>
      <c r="AN7" s="526">
        <f t="shared" ref="AN7:AV7" si="1">SUM(AN9:AN354)</f>
        <v>113031946</v>
      </c>
      <c r="AO7" s="526">
        <f t="shared" si="1"/>
        <v>134772086</v>
      </c>
      <c r="AP7" s="526">
        <f t="shared" si="1"/>
        <v>109728676</v>
      </c>
      <c r="AQ7" s="526">
        <f t="shared" si="1"/>
        <v>524131307</v>
      </c>
      <c r="AR7" s="526">
        <f t="shared" si="1"/>
        <v>17142491</v>
      </c>
      <c r="AS7" s="526">
        <f t="shared" si="1"/>
        <v>7867593</v>
      </c>
      <c r="AT7" s="526">
        <f t="shared" si="1"/>
        <v>10644722.000000004</v>
      </c>
      <c r="AU7" s="526">
        <f t="shared" si="1"/>
        <v>7389213</v>
      </c>
      <c r="AV7" s="758">
        <f t="shared" si="1"/>
        <v>43044019.000000015</v>
      </c>
    </row>
    <row r="8" spans="1:49" s="759" customFormat="1" ht="90.75" thickBot="1" x14ac:dyDescent="0.3">
      <c r="A8" s="759" t="s">
        <v>638</v>
      </c>
      <c r="B8" s="759" t="s">
        <v>340</v>
      </c>
      <c r="C8" s="759" t="s">
        <v>544</v>
      </c>
      <c r="D8" s="760" t="s">
        <v>36</v>
      </c>
      <c r="E8" s="524" t="s">
        <v>51</v>
      </c>
      <c r="F8" s="761" t="str">
        <f>+DATA!D4</f>
        <v>Población Comunal, Estimada por el INE (N° ) Año 2024</v>
      </c>
      <c r="G8" s="761" t="str">
        <f>+DATA!E4</f>
        <v>Estimación de Porcentaje de Personas Pobres, Encuesta CASEN</v>
      </c>
      <c r="H8" s="760" t="s">
        <v>2</v>
      </c>
      <c r="I8" s="760" t="s">
        <v>37</v>
      </c>
      <c r="J8" s="524" t="s">
        <v>318</v>
      </c>
      <c r="K8" s="762" t="str">
        <f>+DATA!G4</f>
        <v>TOTAL 
PREDIOS 
EXENTOS 
Comuna
 AÑO 2024 (N° ) 
(PXci)</v>
      </c>
      <c r="L8" s="762" t="str">
        <f>+DATA!H4</f>
        <v>TOTAL PREDIOS 
por Comuna 
AÑO 2024 (N° ) 
(PTci)</v>
      </c>
      <c r="M8" s="762" t="str">
        <f>+DATA!I4</f>
        <v>MONTO AVALÚO PREDIOS 
EXENTOS 
Comuna 
Año 2024 (PESOS) 
(MXci)</v>
      </c>
      <c r="N8" s="762" t="str">
        <f>+DATA!J4</f>
        <v>MONTO AVALÚO PREDIOS 
 Comuna 
Año 2024 (PESOS) 
(MTci)</v>
      </c>
      <c r="O8" s="763" t="str">
        <f>" Mi =
"&amp;"√ ("&amp;RIGHT(K8,6)&amp;"/"&amp;RIGHT(L8,6)&amp;")*
("&amp;RIGHT(M8,6)&amp;"/"&amp;RIGHT(N8,6)&amp;")"</f>
        <v xml:space="preserve"> Mi =
√ ((PXci)/(PTci))*
((MXci)/(MTci))</v>
      </c>
      <c r="P8" s="763" t="s">
        <v>994</v>
      </c>
      <c r="Q8" s="760" t="s">
        <v>324</v>
      </c>
      <c r="R8" s="760" t="s">
        <v>322</v>
      </c>
      <c r="S8" s="524" t="s">
        <v>323</v>
      </c>
      <c r="T8" s="520" t="str">
        <f>+DATA!K4</f>
        <v>Recursos 
FCMi, 
Artículo 38bis 
(2024) 
(M$) (T)</v>
      </c>
      <c r="U8" s="521" t="str">
        <f>+DATA!L4</f>
        <v>Recursos 
FET, 
Artículo 38ter 
(2024) 
(M$) (U)</v>
      </c>
      <c r="V8" s="521" t="str">
        <f>+DATA!M4</f>
        <v>Ingresos Propios Permanentes (IPP) (M$) Año 2024 (V)</v>
      </c>
      <c r="W8" s="522" t="str">
        <f>"IPP FCMi
(V) "
&amp;RIGHT(PARAMETROS!B3,4)-2</f>
        <v>IPP FCMi
(V) 2024</v>
      </c>
      <c r="X8" s="523" t="str">
        <f>"IPP FET
(V+T) "&amp;RIGHT(PARAMETROS!B3,4)-2</f>
        <v>IPP FET
(V+T) 2024</v>
      </c>
      <c r="Y8" s="524" t="str">
        <f>"IPP FCM 
(V+T) "&amp;RIGHT(PARAMETROS!B3,4)-2</f>
        <v>IPP FCM 
(V+T) 2024</v>
      </c>
      <c r="Z8" s="761" t="str">
        <f>+DATA!F4</f>
        <v>Población flotante total Estimada 
Informada por SERNATUR 
(Uso exclusivo para cálculos FCM 2026)</v>
      </c>
      <c r="AA8" s="760" t="str">
        <f>"Ponderación de la Población Flotante si s"&amp;MID(P8,2,LEN(P8))</f>
        <v>Ponderación de la Población Flotante si se asigna proporción 
de la población 
flotante SERNATUR,  
sólo si 
Mi &gt; P</v>
      </c>
      <c r="AB8" s="760" t="str">
        <f>"Población final de cada Comuna, incluida población flotante "&amp;RIGHT(AA8,16)&amp;" 
( c + aa )"</f>
        <v>Población final de cada Comuna, incluida población flotante 
sólo si 
Mi &gt; P 
( c + aa )</v>
      </c>
      <c r="AC8" s="760" t="str">
        <f>"IPP percápita 
("&amp;
LEFT(Y8,9)&amp;"/
Población final)"</f>
        <v>IPP percápita 
(IPP FCM 
/
Población final)</v>
      </c>
      <c r="AD8" s="764" t="s">
        <v>326</v>
      </c>
      <c r="AE8" s="760" t="s">
        <v>327</v>
      </c>
      <c r="AF8" s="524" t="s">
        <v>328</v>
      </c>
      <c r="AG8" s="765" t="str">
        <f>"COEFICIENTE 100%
FONDO COMUN MUNICIPAL "&amp;RIGHT(PARAMETROS!B3,4)</f>
        <v>COEFICIENTE 100%
FONDO COMUN MUNICIPAL 2026</v>
      </c>
      <c r="AH8" s="766" t="str">
        <f>+DATA!Q4</f>
        <v>Anticipos pagados AÑO  (SIN: aporte fiscal, aportes extraordinarios y Ley Nº 19.704) Montos en M$ Pago Anticipo F.C.M. - Año 2025</v>
      </c>
      <c r="AI8" s="767" t="str">
        <f>"Promedio flujo de anticipos mensuales "&amp;RIGHT(PARAMETROS!B3,4)-1&amp;" 
(M$) "</f>
        <v xml:space="preserve">Promedio flujo de anticipos mensuales 2025 
(M$) </v>
      </c>
      <c r="AJ8" s="768" t="str">
        <f>CONCATENATE("Promedio flujo de anticipos mensuales pagados el año ",RIGHT(PARAMETROS!B3,4)-1,", al ",PARAMETROS!L10*100,"% Glosa nº14 
(M$)")</f>
        <v>Promedio flujo de anticipos mensuales pagados el año 2025, al 79% Glosa nº14 
(M$)</v>
      </c>
      <c r="AK8" s="766" t="str">
        <f>+'_DATA STT PAGOS_'!G6</f>
        <v>Compensación Ley Nº 19704 ISLA DE PASCUA Año 2025 M$</v>
      </c>
      <c r="AL8" s="768" t="str">
        <f>+'_DATA STT PAGOS_'!J6</f>
        <v>Total FCM Estimado Cierre (neto Ley 19.704) (Anticipos pagados, Saldos Pagados y Aporte Fiscal M$ Pagado - Año 2025</v>
      </c>
      <c r="AM8" s="769" t="str">
        <f>+DATA!Y4</f>
        <v xml:space="preserve">I.TRR. Recaudacion Abril Pago en  Mayo </v>
      </c>
      <c r="AN8" s="769" t="str">
        <f>+DATA!Z4</f>
        <v>I.TRR. Recaudacion Junio Pago en  Julio</v>
      </c>
      <c r="AO8" s="769" t="str">
        <f>+DATA!AA4</f>
        <v>I.TRR. Recaudacion Septiembre Pago en  Octubre</v>
      </c>
      <c r="AP8" s="769" t="str">
        <f>+DATA!AB4</f>
        <v>I.TRR. Recaudacion Noviembre Pago en  Diciembre</v>
      </c>
      <c r="AQ8" s="769" t="str">
        <f>+DATA!AC4</f>
        <v>I.TERRITORIAL
Total Recaudacion  Estimada</v>
      </c>
      <c r="AR8" s="769" t="str">
        <f>+DATA!AD4</f>
        <v xml:space="preserve">Aseo Municipal Recaudacion Abril Pago en  Mayo </v>
      </c>
      <c r="AS8" s="769" t="str">
        <f>+DATA!AE4</f>
        <v>Aseo Municipal Recaudacion Junio Pago en  Julio</v>
      </c>
      <c r="AT8" s="769" t="str">
        <f>+DATA!AF4</f>
        <v>Aseo Municipal Recaudacion Septiembre Pago en  Octubre</v>
      </c>
      <c r="AU8" s="769" t="str">
        <f>+DATA!AG4</f>
        <v>Aseo Municipal Recaudacion Noviembre Pago en  Diciembre</v>
      </c>
      <c r="AV8" s="770" t="str">
        <f>+DATA!AH4</f>
        <v>Aseo Municipal
Total Recaudacion Estimada</v>
      </c>
      <c r="AW8" s="728"/>
    </row>
    <row r="9" spans="1:49" x14ac:dyDescent="0.25">
      <c r="A9" s="527">
        <v>1101</v>
      </c>
      <c r="B9" s="527">
        <v>1201</v>
      </c>
      <c r="C9" s="527" t="s">
        <v>54</v>
      </c>
      <c r="D9" s="771">
        <f t="shared" ref="D9:D72" si="2">ROUND(1/COUNTA($A$9:$A$354),DEC)</f>
        <v>2.8901734103999998E-3</v>
      </c>
      <c r="E9" s="771">
        <f t="shared" ref="E9:E72" si="3">ROUND(D9*$E$7,DEC)</f>
        <v>7.2254335259999995E-4</v>
      </c>
      <c r="F9" s="525">
        <f>+DATA!D5</f>
        <v>231962</v>
      </c>
      <c r="G9" s="772">
        <f>+DATA!E5</f>
        <v>7.8903808412546558E-2</v>
      </c>
      <c r="H9" s="525">
        <f>ROUND(F9*G9,0)</f>
        <v>18303</v>
      </c>
      <c r="I9" s="771">
        <f t="shared" ref="I9:I72" si="4">ROUND(H9/$H$7,DEC)</f>
        <v>1.40164800662E-2</v>
      </c>
      <c r="J9" s="771">
        <f t="shared" ref="J9:J72" si="5">ROUND(I9*$J$7,DEC)</f>
        <v>1.4016480066E-3</v>
      </c>
      <c r="K9" s="525">
        <f>+DATA!G5</f>
        <v>32357</v>
      </c>
      <c r="L9" s="525">
        <f>+DATA!H5</f>
        <v>90669</v>
      </c>
      <c r="M9" s="525">
        <f>+DATA!I5</f>
        <v>2486951671659</v>
      </c>
      <c r="N9" s="525">
        <f>+DATA!J5</f>
        <v>7817363056767</v>
      </c>
      <c r="O9" s="773">
        <f>IF(AND(L9=0,N9=0),0,GEOMEAN((K9/L9),(M9/N9)))</f>
        <v>0.33694440044460339</v>
      </c>
      <c r="P9" s="774" t="str">
        <f>IF(O9&gt;$N$3,"SI","NO")</f>
        <v>NO</v>
      </c>
      <c r="Q9" s="771">
        <f t="shared" ref="Q9:Q72" si="6">IF(K9=0,0,ROUND((K9/$K$6)*(K9/L9),DEC))</f>
        <v>2.1148556704999998E-3</v>
      </c>
      <c r="R9" s="771">
        <f t="shared" ref="R9:R72" si="7">ROUND(Q9/$Q$7,DEC)</f>
        <v>3.0320564506E-3</v>
      </c>
      <c r="S9" s="771">
        <f t="shared" ref="S9:S72" si="8">ROUND(R9*$S$7,DEC)</f>
        <v>9.0961693520000004E-4</v>
      </c>
      <c r="T9" s="525">
        <f>+DATA!K5</f>
        <v>0</v>
      </c>
      <c r="U9" s="525">
        <f>+DATA!L5</f>
        <v>0</v>
      </c>
      <c r="V9" s="525">
        <f>+DATA!M5</f>
        <v>47463055</v>
      </c>
      <c r="W9" s="526">
        <f t="shared" ref="W9:W72" si="9">+V9</f>
        <v>47463055</v>
      </c>
      <c r="X9" s="526">
        <f>+T9+V9</f>
        <v>47463055</v>
      </c>
      <c r="Y9" s="526">
        <f>+V9+T9</f>
        <v>47463055</v>
      </c>
      <c r="Z9" s="525">
        <f>+DATA!F5</f>
        <v>1936459.71701795</v>
      </c>
      <c r="AA9" s="525">
        <f>IF(P9="SI",ROUND(Z9/DIV_Pf,PARAMETROS!$L$8),0)</f>
        <v>0</v>
      </c>
      <c r="AB9" s="526">
        <f>+F9+AA9</f>
        <v>231962</v>
      </c>
      <c r="AC9" s="775">
        <f>IFERROR(ROUND(Y9/AB9,2),0)</f>
        <v>204.62</v>
      </c>
      <c r="AD9" s="525">
        <f>IF(AC9&lt;$AC$6,ROUND(($AC$6-AC9)*AB9,PARAMETROS!$L$8),0)</f>
        <v>0</v>
      </c>
      <c r="AE9" s="771">
        <f t="shared" ref="AE9:AE72" si="10">ROUND(AD9/$AD$7,DEC)</f>
        <v>0</v>
      </c>
      <c r="AF9" s="771">
        <f t="shared" ref="AF9:AF72" si="11">ROUND(AE9*$AF$7,DEC)</f>
        <v>0</v>
      </c>
      <c r="AG9" s="771">
        <f>+E9+J9+S9+AF9</f>
        <v>3.0338082943999999E-3</v>
      </c>
      <c r="AH9" s="525">
        <f>+DATA!Q5</f>
        <v>5559296.7740000002</v>
      </c>
      <c r="AI9" s="525">
        <f>+DATA!R5</f>
        <v>463274.73116666666</v>
      </c>
      <c r="AJ9" s="525">
        <f>+DATA!S5</f>
        <v>365987</v>
      </c>
      <c r="AK9" s="525">
        <f>+'_DATA STT PAGOS_'!G7</f>
        <v>0</v>
      </c>
      <c r="AL9" s="525">
        <f>+'_DATA STT PAGOS_'!J7</f>
        <v>7548535.6720000003</v>
      </c>
      <c r="AM9" s="525">
        <f>+DATA!Y5</f>
        <v>2599803</v>
      </c>
      <c r="AN9" s="525">
        <f>+DATA!Z5</f>
        <v>225546</v>
      </c>
      <c r="AO9" s="525">
        <f>+DATA!AA5</f>
        <v>2135794</v>
      </c>
      <c r="AP9" s="525">
        <f>+DATA!AB5</f>
        <v>1762668</v>
      </c>
      <c r="AQ9" s="525">
        <f>+DATA!AC5</f>
        <v>6723811</v>
      </c>
      <c r="AR9" s="525">
        <f>+DATA!AD5</f>
        <v>126379</v>
      </c>
      <c r="AS9" s="525">
        <f>+DATA!AE5</f>
        <v>54911</v>
      </c>
      <c r="AT9" s="525">
        <f>+DATA!AF5</f>
        <v>80316.694000000003</v>
      </c>
      <c r="AU9" s="525">
        <f>+DATA!AG5</f>
        <v>53727</v>
      </c>
      <c r="AV9" s="525">
        <f>+DATA!AH5</f>
        <v>315333.69400000002</v>
      </c>
    </row>
    <row r="10" spans="1:49" x14ac:dyDescent="0.25">
      <c r="A10" s="527">
        <v>1107</v>
      </c>
      <c r="B10" s="527">
        <v>1211</v>
      </c>
      <c r="C10" s="527" t="s">
        <v>60</v>
      </c>
      <c r="D10" s="771">
        <f t="shared" si="2"/>
        <v>2.8901734103999998E-3</v>
      </c>
      <c r="E10" s="771">
        <f t="shared" si="3"/>
        <v>7.2254335259999995E-4</v>
      </c>
      <c r="F10" s="525">
        <f>+DATA!D6</f>
        <v>143294</v>
      </c>
      <c r="G10" s="772">
        <f>+DATA!E6</f>
        <v>0.15263439519693811</v>
      </c>
      <c r="H10" s="525">
        <f t="shared" ref="H10:H73" si="12">ROUND(F10*G10,0)</f>
        <v>21872</v>
      </c>
      <c r="I10" s="771">
        <f t="shared" si="4"/>
        <v>1.6749628585900001E-2</v>
      </c>
      <c r="J10" s="771">
        <f t="shared" si="5"/>
        <v>1.6749628586E-3</v>
      </c>
      <c r="K10" s="525">
        <f>+DATA!G6</f>
        <v>29915</v>
      </c>
      <c r="L10" s="525">
        <f>+DATA!H6</f>
        <v>33813</v>
      </c>
      <c r="M10" s="525">
        <f>+DATA!I6</f>
        <v>1145653927286</v>
      </c>
      <c r="N10" s="525">
        <f>+DATA!J6</f>
        <v>1674199452487</v>
      </c>
      <c r="O10" s="773">
        <f t="shared" ref="O10:O73" si="13">IF(AND(L10=0,N10=0),0,GEOMEAN((K10/L10),(M10/N10)))</f>
        <v>0.7780827329596588</v>
      </c>
      <c r="P10" s="774" t="str">
        <f t="shared" ref="P10:P73" si="14">IF(O10&gt;$N$3,"SI","NO")</f>
        <v>SI</v>
      </c>
      <c r="Q10" s="771">
        <f t="shared" si="6"/>
        <v>4.8472717937999999E-3</v>
      </c>
      <c r="R10" s="771">
        <f t="shared" si="7"/>
        <v>6.9495057821000001E-3</v>
      </c>
      <c r="S10" s="771">
        <f t="shared" si="8"/>
        <v>2.0848517346000002E-3</v>
      </c>
      <c r="T10" s="525">
        <f>+DATA!K6</f>
        <v>0</v>
      </c>
      <c r="U10" s="525">
        <f>+DATA!L6</f>
        <v>0</v>
      </c>
      <c r="V10" s="525">
        <f>+DATA!M6</f>
        <v>7784736</v>
      </c>
      <c r="W10" s="526">
        <f t="shared" si="9"/>
        <v>7784736</v>
      </c>
      <c r="X10" s="526">
        <f t="shared" ref="X10:X73" si="15">+T10+V10</f>
        <v>7784736</v>
      </c>
      <c r="Y10" s="526">
        <f t="shared" ref="Y10:Y73" si="16">+V10+T10</f>
        <v>7784736</v>
      </c>
      <c r="Z10" s="525">
        <f>+DATA!F6</f>
        <v>263367.65310605417</v>
      </c>
      <c r="AA10" s="525">
        <f>IF(P10="SI",ROUND(Z10/DIV_Pf,PARAMETROS!$L$8),0)</f>
        <v>21947</v>
      </c>
      <c r="AB10" s="526">
        <f t="shared" ref="AB10:AB73" si="17">+F10+AA10</f>
        <v>165241</v>
      </c>
      <c r="AC10" s="775">
        <f t="shared" ref="AC10:AC73" si="18">IFERROR(ROUND(Y10/AB10,2),0)</f>
        <v>47.11</v>
      </c>
      <c r="AD10" s="525">
        <f>IF(AC10&lt;$AC$6,ROUND(($AC$6-AC10)*AB10,PARAMETROS!$L$8),0)</f>
        <v>9486486</v>
      </c>
      <c r="AE10" s="771">
        <f t="shared" si="10"/>
        <v>9.1053188333999995E-3</v>
      </c>
      <c r="AF10" s="771">
        <f t="shared" si="11"/>
        <v>3.1868615916999998E-3</v>
      </c>
      <c r="AG10" s="771">
        <f t="shared" ref="AG10:AG73" si="19">+E10+J10+S10+AF10</f>
        <v>7.6692195374999999E-3</v>
      </c>
      <c r="AH10" s="525">
        <f>+DATA!Q6</f>
        <v>14351249.559</v>
      </c>
      <c r="AI10" s="525">
        <f>+DATA!R6</f>
        <v>1195937.46325</v>
      </c>
      <c r="AJ10" s="525">
        <f>+DATA!S6</f>
        <v>944791</v>
      </c>
      <c r="AK10" s="525">
        <f>+'_DATA STT PAGOS_'!G8</f>
        <v>0</v>
      </c>
      <c r="AL10" s="525">
        <f>+'_DATA STT PAGOS_'!J8</f>
        <v>19513718.671</v>
      </c>
      <c r="AM10" s="525">
        <f>+DATA!Y6</f>
        <v>338728</v>
      </c>
      <c r="AN10" s="525">
        <f>+DATA!Z6</f>
        <v>247936</v>
      </c>
      <c r="AO10" s="525">
        <f>+DATA!AA6</f>
        <v>254846</v>
      </c>
      <c r="AP10" s="525">
        <f>+DATA!AB6</f>
        <v>260707</v>
      </c>
      <c r="AQ10" s="525">
        <f>+DATA!AC6</f>
        <v>1102217</v>
      </c>
      <c r="AR10" s="525">
        <f>+DATA!AD6</f>
        <v>6554</v>
      </c>
      <c r="AS10" s="525">
        <f>+DATA!AE6</f>
        <v>3956</v>
      </c>
      <c r="AT10" s="525">
        <f>+DATA!AF6</f>
        <v>4330.7120000000004</v>
      </c>
      <c r="AU10" s="525">
        <f>+DATA!AG6</f>
        <v>4158</v>
      </c>
      <c r="AV10" s="525">
        <f>+DATA!AH6</f>
        <v>18998.712</v>
      </c>
    </row>
    <row r="11" spans="1:49" x14ac:dyDescent="0.25">
      <c r="A11" s="527">
        <v>1401</v>
      </c>
      <c r="B11" s="527">
        <v>1204</v>
      </c>
      <c r="C11" s="527" t="s">
        <v>56</v>
      </c>
      <c r="D11" s="771">
        <f t="shared" si="2"/>
        <v>2.8901734103999998E-3</v>
      </c>
      <c r="E11" s="771">
        <f t="shared" si="3"/>
        <v>7.2254335259999995E-4</v>
      </c>
      <c r="F11" s="525">
        <f>+DATA!D7</f>
        <v>18713</v>
      </c>
      <c r="G11" s="772">
        <f>+DATA!E7</f>
        <v>0.15334397144922859</v>
      </c>
      <c r="H11" s="525">
        <f t="shared" si="12"/>
        <v>2870</v>
      </c>
      <c r="I11" s="771">
        <f t="shared" si="4"/>
        <v>2.1978526903E-3</v>
      </c>
      <c r="J11" s="771">
        <f t="shared" si="5"/>
        <v>2.1978526899999999E-4</v>
      </c>
      <c r="K11" s="525">
        <f>+DATA!G7</f>
        <v>10816</v>
      </c>
      <c r="L11" s="525">
        <f>+DATA!H7</f>
        <v>12594</v>
      </c>
      <c r="M11" s="525">
        <f>+DATA!I7</f>
        <v>148679021890</v>
      </c>
      <c r="N11" s="525">
        <f>+DATA!J7</f>
        <v>333112368763</v>
      </c>
      <c r="O11" s="773">
        <f t="shared" si="13"/>
        <v>0.61912873809358604</v>
      </c>
      <c r="P11" s="774" t="str">
        <f t="shared" si="14"/>
        <v>SI</v>
      </c>
      <c r="Q11" s="771">
        <f t="shared" si="6"/>
        <v>1.7012679886999999E-3</v>
      </c>
      <c r="R11" s="771">
        <f t="shared" si="7"/>
        <v>2.4390981623E-3</v>
      </c>
      <c r="S11" s="771">
        <f t="shared" si="8"/>
        <v>7.3172944869999998E-4</v>
      </c>
      <c r="T11" s="525">
        <f>+DATA!K7</f>
        <v>0</v>
      </c>
      <c r="U11" s="525">
        <f>+DATA!L7</f>
        <v>0</v>
      </c>
      <c r="V11" s="525">
        <f>+DATA!M7</f>
        <v>7971392</v>
      </c>
      <c r="W11" s="526">
        <f t="shared" si="9"/>
        <v>7971392</v>
      </c>
      <c r="X11" s="526">
        <f t="shared" si="15"/>
        <v>7971392</v>
      </c>
      <c r="Y11" s="526">
        <f t="shared" si="16"/>
        <v>7971392</v>
      </c>
      <c r="Z11" s="525">
        <f>+DATA!F7</f>
        <v>454058.3104441613</v>
      </c>
      <c r="AA11" s="525">
        <f>IF(P11="SI",ROUND(Z11/DIV_Pf,PARAMETROS!$L$8),0)</f>
        <v>37838</v>
      </c>
      <c r="AB11" s="526">
        <f t="shared" si="17"/>
        <v>56551</v>
      </c>
      <c r="AC11" s="775">
        <f t="shared" si="18"/>
        <v>140.96</v>
      </c>
      <c r="AD11" s="525">
        <f>IF(AC11&lt;$AC$6,ROUND(($AC$6-AC11)*AB11,PARAMETROS!$L$8),0)</f>
        <v>0</v>
      </c>
      <c r="AE11" s="771">
        <f t="shared" si="10"/>
        <v>0</v>
      </c>
      <c r="AF11" s="771">
        <f t="shared" si="11"/>
        <v>0</v>
      </c>
      <c r="AG11" s="771">
        <f t="shared" si="19"/>
        <v>1.6740580702999999E-3</v>
      </c>
      <c r="AH11" s="525">
        <f>+DATA!Q7</f>
        <v>3051310.0759999999</v>
      </c>
      <c r="AI11" s="525">
        <f>+DATA!R7</f>
        <v>254275.83966666667</v>
      </c>
      <c r="AJ11" s="525">
        <f>+DATA!S7</f>
        <v>200878</v>
      </c>
      <c r="AK11" s="525">
        <f>+'_DATA STT PAGOS_'!G9</f>
        <v>0</v>
      </c>
      <c r="AL11" s="525">
        <f>+'_DATA STT PAGOS_'!J9</f>
        <v>4145851.0439999998</v>
      </c>
      <c r="AM11" s="525">
        <f>+DATA!Y7</f>
        <v>137713</v>
      </c>
      <c r="AN11" s="525">
        <f>+DATA!Z7</f>
        <v>135183</v>
      </c>
      <c r="AO11" s="525">
        <f>+DATA!AA7</f>
        <v>110668</v>
      </c>
      <c r="AP11" s="525">
        <f>+DATA!AB7</f>
        <v>86827</v>
      </c>
      <c r="AQ11" s="525">
        <f>+DATA!AC7</f>
        <v>470391</v>
      </c>
      <c r="AR11" s="525">
        <f>+DATA!AD7</f>
        <v>651</v>
      </c>
      <c r="AS11" s="525">
        <f>+DATA!AE7</f>
        <v>297</v>
      </c>
      <c r="AT11" s="525">
        <f>+DATA!AF7</f>
        <v>372.721</v>
      </c>
      <c r="AU11" s="525">
        <f>+DATA!AG7</f>
        <v>360</v>
      </c>
      <c r="AV11" s="525">
        <f>+DATA!AH7</f>
        <v>1680.721</v>
      </c>
    </row>
    <row r="12" spans="1:49" x14ac:dyDescent="0.25">
      <c r="A12" s="527">
        <v>1402</v>
      </c>
      <c r="B12" s="527">
        <v>1208</v>
      </c>
      <c r="C12" s="527" t="s">
        <v>58</v>
      </c>
      <c r="D12" s="771">
        <f t="shared" si="2"/>
        <v>2.8901734103999998E-3</v>
      </c>
      <c r="E12" s="771">
        <f t="shared" si="3"/>
        <v>7.2254335259999995E-4</v>
      </c>
      <c r="F12" s="525">
        <f>+DATA!D8</f>
        <v>1374</v>
      </c>
      <c r="G12" s="772">
        <f>+DATA!E8</f>
        <v>0.24036468504276171</v>
      </c>
      <c r="H12" s="525">
        <f t="shared" si="12"/>
        <v>330</v>
      </c>
      <c r="I12" s="771">
        <f t="shared" si="4"/>
        <v>2.5271476930000003E-4</v>
      </c>
      <c r="J12" s="771">
        <f t="shared" si="5"/>
        <v>2.5271476899999999E-5</v>
      </c>
      <c r="K12" s="525">
        <f>+DATA!G8</f>
        <v>1876</v>
      </c>
      <c r="L12" s="525">
        <f>+DATA!H8</f>
        <v>1921</v>
      </c>
      <c r="M12" s="525">
        <f>+DATA!I8</f>
        <v>7518643492</v>
      </c>
      <c r="N12" s="525">
        <f>+DATA!J8</f>
        <v>8092934870</v>
      </c>
      <c r="O12" s="773">
        <f t="shared" si="13"/>
        <v>0.95250981221143816</v>
      </c>
      <c r="P12" s="774" t="str">
        <f t="shared" si="14"/>
        <v>SI</v>
      </c>
      <c r="Q12" s="771">
        <f t="shared" si="6"/>
        <v>3.3553773250000001E-4</v>
      </c>
      <c r="R12" s="771">
        <f t="shared" si="7"/>
        <v>4.810585235E-4</v>
      </c>
      <c r="S12" s="771">
        <f t="shared" si="8"/>
        <v>1.4431755710000001E-4</v>
      </c>
      <c r="T12" s="525">
        <f>+DATA!K8</f>
        <v>0</v>
      </c>
      <c r="U12" s="525">
        <f>+DATA!L8</f>
        <v>0</v>
      </c>
      <c r="V12" s="525">
        <f>+DATA!M8</f>
        <v>142731</v>
      </c>
      <c r="W12" s="526">
        <f t="shared" si="9"/>
        <v>142731</v>
      </c>
      <c r="X12" s="526">
        <f t="shared" si="15"/>
        <v>142731</v>
      </c>
      <c r="Y12" s="526">
        <f t="shared" si="16"/>
        <v>142731</v>
      </c>
      <c r="Z12" s="525">
        <f>+DATA!F8</f>
        <v>28722.9528511444</v>
      </c>
      <c r="AA12" s="525">
        <f>IF(P12="SI",ROUND(Z12/DIV_Pf,PARAMETROS!$L$8),0)</f>
        <v>2394</v>
      </c>
      <c r="AB12" s="526">
        <f t="shared" si="17"/>
        <v>3768</v>
      </c>
      <c r="AC12" s="775">
        <f t="shared" si="18"/>
        <v>37.880000000000003</v>
      </c>
      <c r="AD12" s="525">
        <f>IF(AC12&lt;$AC$6,ROUND(($AC$6-AC12)*AB12,PARAMETROS!$L$8),0)</f>
        <v>251100</v>
      </c>
      <c r="AE12" s="771">
        <f t="shared" si="10"/>
        <v>2.410107978E-4</v>
      </c>
      <c r="AF12" s="771">
        <f t="shared" si="11"/>
        <v>8.4353779199999998E-5</v>
      </c>
      <c r="AG12" s="771">
        <f t="shared" si="19"/>
        <v>9.7648616579999997E-4</v>
      </c>
      <c r="AH12" s="525">
        <f>+DATA!Q8</f>
        <v>1910948.2960000001</v>
      </c>
      <c r="AI12" s="525">
        <f>+DATA!R8</f>
        <v>159245.69133333335</v>
      </c>
      <c r="AJ12" s="525">
        <f>+DATA!S8</f>
        <v>125804</v>
      </c>
      <c r="AK12" s="525">
        <f>+'_DATA STT PAGOS_'!G10</f>
        <v>0</v>
      </c>
      <c r="AL12" s="525">
        <f>+'_DATA STT PAGOS_'!J10</f>
        <v>2593753.4330000002</v>
      </c>
      <c r="AM12" s="525">
        <f>+DATA!Y8</f>
        <v>0</v>
      </c>
      <c r="AN12" s="525">
        <f>+DATA!Z8</f>
        <v>0</v>
      </c>
      <c r="AO12" s="525">
        <f>+DATA!AA8</f>
        <v>0</v>
      </c>
      <c r="AP12" s="525">
        <f>+DATA!AB8</f>
        <v>0</v>
      </c>
      <c r="AQ12" s="525">
        <f>+DATA!AC8</f>
        <v>0</v>
      </c>
      <c r="AR12" s="525">
        <f>+DATA!AD8</f>
        <v>0</v>
      </c>
      <c r="AS12" s="525">
        <f>+DATA!AE8</f>
        <v>0</v>
      </c>
      <c r="AT12" s="525">
        <f>+DATA!AF8</f>
        <v>0</v>
      </c>
      <c r="AU12" s="525">
        <f>+DATA!AG8</f>
        <v>0</v>
      </c>
      <c r="AV12" s="525">
        <f>+DATA!AH8</f>
        <v>0</v>
      </c>
    </row>
    <row r="13" spans="1:49" x14ac:dyDescent="0.25">
      <c r="A13" s="527">
        <v>1403</v>
      </c>
      <c r="B13" s="527">
        <v>1210</v>
      </c>
      <c r="C13" s="527" t="s">
        <v>59</v>
      </c>
      <c r="D13" s="771">
        <f t="shared" si="2"/>
        <v>2.8901734103999998E-3</v>
      </c>
      <c r="E13" s="771">
        <f t="shared" si="3"/>
        <v>7.2254335259999995E-4</v>
      </c>
      <c r="F13" s="525">
        <f>+DATA!D9</f>
        <v>1558</v>
      </c>
      <c r="G13" s="772">
        <f>+DATA!E9</f>
        <v>0.22253521986331601</v>
      </c>
      <c r="H13" s="525">
        <f t="shared" si="12"/>
        <v>347</v>
      </c>
      <c r="I13" s="771">
        <f t="shared" si="4"/>
        <v>2.657334089E-4</v>
      </c>
      <c r="J13" s="771">
        <f t="shared" si="5"/>
        <v>2.6573340899999999E-5</v>
      </c>
      <c r="K13" s="525">
        <f>+DATA!G9</f>
        <v>909</v>
      </c>
      <c r="L13" s="525">
        <f>+DATA!H9</f>
        <v>1129</v>
      </c>
      <c r="M13" s="525">
        <f>+DATA!I9</f>
        <v>8897739279</v>
      </c>
      <c r="N13" s="525">
        <f>+DATA!J9</f>
        <v>11126421758</v>
      </c>
      <c r="O13" s="773">
        <f t="shared" si="13"/>
        <v>0.80241132483802347</v>
      </c>
      <c r="P13" s="774" t="str">
        <f t="shared" si="14"/>
        <v>SI</v>
      </c>
      <c r="Q13" s="771">
        <f t="shared" si="6"/>
        <v>1.3404076160000001E-4</v>
      </c>
      <c r="R13" s="771">
        <f t="shared" si="7"/>
        <v>1.921734715E-4</v>
      </c>
      <c r="S13" s="771">
        <f t="shared" si="8"/>
        <v>5.76520415E-5</v>
      </c>
      <c r="T13" s="525">
        <f>+DATA!K9</f>
        <v>0</v>
      </c>
      <c r="U13" s="525">
        <f>+DATA!L9</f>
        <v>0</v>
      </c>
      <c r="V13" s="525">
        <f>+DATA!M9</f>
        <v>687213</v>
      </c>
      <c r="W13" s="526">
        <f t="shared" si="9"/>
        <v>687213</v>
      </c>
      <c r="X13" s="526">
        <f t="shared" si="15"/>
        <v>687213</v>
      </c>
      <c r="Y13" s="526">
        <f t="shared" si="16"/>
        <v>687213</v>
      </c>
      <c r="Z13" s="525">
        <f>+DATA!F9</f>
        <v>128218.51714930385</v>
      </c>
      <c r="AA13" s="525">
        <f>IF(P13="SI",ROUND(Z13/DIV_Pf,PARAMETROS!$L$8),0)</f>
        <v>10685</v>
      </c>
      <c r="AB13" s="526">
        <f t="shared" si="17"/>
        <v>12243</v>
      </c>
      <c r="AC13" s="775">
        <f t="shared" si="18"/>
        <v>56.13</v>
      </c>
      <c r="AD13" s="525">
        <f>IF(AC13&lt;$AC$6,ROUND(($AC$6-AC13)*AB13,PARAMETROS!$L$8),0)</f>
        <v>592439</v>
      </c>
      <c r="AE13" s="771">
        <f t="shared" si="10"/>
        <v>5.6863479100000003E-4</v>
      </c>
      <c r="AF13" s="771">
        <f t="shared" si="11"/>
        <v>1.990221769E-4</v>
      </c>
      <c r="AG13" s="771">
        <f t="shared" si="19"/>
        <v>1.0057909118999999E-3</v>
      </c>
      <c r="AH13" s="525">
        <f>+DATA!Q9</f>
        <v>1668947.017</v>
      </c>
      <c r="AI13" s="525">
        <f>+DATA!R9</f>
        <v>139078.91808333332</v>
      </c>
      <c r="AJ13" s="525">
        <f>+DATA!S9</f>
        <v>109872</v>
      </c>
      <c r="AK13" s="525">
        <f>+'_DATA STT PAGOS_'!G11</f>
        <v>0</v>
      </c>
      <c r="AL13" s="525">
        <f>+'_DATA STT PAGOS_'!J11</f>
        <v>2264832.7960000001</v>
      </c>
      <c r="AM13" s="525">
        <f>+DATA!Y9</f>
        <v>251</v>
      </c>
      <c r="AN13" s="525">
        <f>+DATA!Z9</f>
        <v>191</v>
      </c>
      <c r="AO13" s="525">
        <f>+DATA!AA9</f>
        <v>108</v>
      </c>
      <c r="AP13" s="525">
        <f>+DATA!AB9</f>
        <v>359</v>
      </c>
      <c r="AQ13" s="525">
        <f>+DATA!AC9</f>
        <v>909</v>
      </c>
      <c r="AR13" s="525">
        <f>+DATA!AD9</f>
        <v>0</v>
      </c>
      <c r="AS13" s="525">
        <f>+DATA!AE9</f>
        <v>0</v>
      </c>
      <c r="AT13" s="525">
        <f>+DATA!AF9</f>
        <v>0</v>
      </c>
      <c r="AU13" s="525">
        <f>+DATA!AG9</f>
        <v>0</v>
      </c>
      <c r="AV13" s="525">
        <f>+DATA!AH9</f>
        <v>0</v>
      </c>
    </row>
    <row r="14" spans="1:49" x14ac:dyDescent="0.25">
      <c r="A14" s="527">
        <v>1404</v>
      </c>
      <c r="B14" s="527">
        <v>1206</v>
      </c>
      <c r="C14" s="527" t="s">
        <v>57</v>
      </c>
      <c r="D14" s="771">
        <f t="shared" si="2"/>
        <v>2.8901734103999998E-3</v>
      </c>
      <c r="E14" s="771">
        <f t="shared" si="3"/>
        <v>7.2254335259999995E-4</v>
      </c>
      <c r="F14" s="525">
        <f>+DATA!D10</f>
        <v>3095</v>
      </c>
      <c r="G14" s="772">
        <f>+DATA!E10</f>
        <v>0.18065871940513911</v>
      </c>
      <c r="H14" s="525">
        <f t="shared" si="12"/>
        <v>559</v>
      </c>
      <c r="I14" s="771">
        <f t="shared" si="4"/>
        <v>4.2808350309999997E-4</v>
      </c>
      <c r="J14" s="771">
        <f t="shared" si="5"/>
        <v>4.28083503E-5</v>
      </c>
      <c r="K14" s="525">
        <f>+DATA!G10</f>
        <v>5026</v>
      </c>
      <c r="L14" s="525">
        <f>+DATA!H10</f>
        <v>5200</v>
      </c>
      <c r="M14" s="525">
        <f>+DATA!I10</f>
        <v>39071990392</v>
      </c>
      <c r="N14" s="525">
        <f>+DATA!J10</f>
        <v>46713215255</v>
      </c>
      <c r="O14" s="773">
        <f t="shared" si="13"/>
        <v>0.89912993647851147</v>
      </c>
      <c r="P14" s="774" t="str">
        <f t="shared" si="14"/>
        <v>SI</v>
      </c>
      <c r="Q14" s="771">
        <f t="shared" si="6"/>
        <v>8.897022461E-4</v>
      </c>
      <c r="R14" s="771">
        <f t="shared" si="7"/>
        <v>1.2755610097000001E-3</v>
      </c>
      <c r="S14" s="771">
        <f t="shared" si="8"/>
        <v>3.8266830290000002E-4</v>
      </c>
      <c r="T14" s="525">
        <f>+DATA!K10</f>
        <v>0</v>
      </c>
      <c r="U14" s="525">
        <f>+DATA!L10</f>
        <v>0</v>
      </c>
      <c r="V14" s="525">
        <f>+DATA!M10</f>
        <v>2293714</v>
      </c>
      <c r="W14" s="526">
        <f t="shared" si="9"/>
        <v>2293714</v>
      </c>
      <c r="X14" s="526">
        <f t="shared" si="15"/>
        <v>2293714</v>
      </c>
      <c r="Y14" s="526">
        <f t="shared" si="16"/>
        <v>2293714</v>
      </c>
      <c r="Z14" s="525">
        <f>+DATA!F10</f>
        <v>303545.2682261134</v>
      </c>
      <c r="AA14" s="525">
        <f>IF(P14="SI",ROUND(Z14/DIV_Pf,PARAMETROS!$L$8),0)</f>
        <v>25295</v>
      </c>
      <c r="AB14" s="526">
        <f t="shared" si="17"/>
        <v>28390</v>
      </c>
      <c r="AC14" s="775">
        <f t="shared" si="18"/>
        <v>80.790000000000006</v>
      </c>
      <c r="AD14" s="525">
        <f>IF(AC14&lt;$AC$6,ROUND(($AC$6-AC14)*AB14,PARAMETROS!$L$8),0)</f>
        <v>673695</v>
      </c>
      <c r="AE14" s="771">
        <f t="shared" si="10"/>
        <v>6.4662592360000004E-4</v>
      </c>
      <c r="AF14" s="771">
        <f t="shared" si="11"/>
        <v>2.2631907329999999E-4</v>
      </c>
      <c r="AG14" s="771">
        <f t="shared" si="19"/>
        <v>1.3743390791E-3</v>
      </c>
      <c r="AH14" s="525">
        <f>+DATA!Q10</f>
        <v>2411239.673</v>
      </c>
      <c r="AI14" s="525">
        <f>+DATA!R10</f>
        <v>200936.63941666667</v>
      </c>
      <c r="AJ14" s="525">
        <f>+DATA!S10</f>
        <v>158740</v>
      </c>
      <c r="AK14" s="525">
        <f>+'_DATA STT PAGOS_'!G12</f>
        <v>0</v>
      </c>
      <c r="AL14" s="525">
        <f>+'_DATA STT PAGOS_'!J12</f>
        <v>3271722.463</v>
      </c>
      <c r="AM14" s="525">
        <f>+DATA!Y10</f>
        <v>2326</v>
      </c>
      <c r="AN14" s="525">
        <f>+DATA!Z10</f>
        <v>1935</v>
      </c>
      <c r="AO14" s="525">
        <f>+DATA!AA10</f>
        <v>2295</v>
      </c>
      <c r="AP14" s="525">
        <f>+DATA!AB10</f>
        <v>2609</v>
      </c>
      <c r="AQ14" s="525">
        <f>+DATA!AC10</f>
        <v>9165</v>
      </c>
      <c r="AR14" s="525">
        <f>+DATA!AD10</f>
        <v>0</v>
      </c>
      <c r="AS14" s="525">
        <f>+DATA!AE10</f>
        <v>0</v>
      </c>
      <c r="AT14" s="525">
        <f>+DATA!AF10</f>
        <v>0</v>
      </c>
      <c r="AU14" s="525">
        <f>+DATA!AG10</f>
        <v>0</v>
      </c>
      <c r="AV14" s="525">
        <f>+DATA!AH10</f>
        <v>0</v>
      </c>
    </row>
    <row r="15" spans="1:49" x14ac:dyDescent="0.25">
      <c r="A15" s="527">
        <v>1405</v>
      </c>
      <c r="B15" s="527">
        <v>1203</v>
      </c>
      <c r="C15" s="527" t="s">
        <v>55</v>
      </c>
      <c r="D15" s="771">
        <f t="shared" si="2"/>
        <v>2.8901734103999998E-3</v>
      </c>
      <c r="E15" s="771">
        <f t="shared" si="3"/>
        <v>7.2254335259999995E-4</v>
      </c>
      <c r="F15" s="525">
        <f>+DATA!D11</f>
        <v>6291</v>
      </c>
      <c r="G15" s="772">
        <f>+DATA!E11</f>
        <v>0.1073139711951238</v>
      </c>
      <c r="H15" s="525">
        <f t="shared" si="12"/>
        <v>675</v>
      </c>
      <c r="I15" s="771">
        <f t="shared" si="4"/>
        <v>5.1691657349999995E-4</v>
      </c>
      <c r="J15" s="771">
        <f t="shared" si="5"/>
        <v>5.1691657400000001E-5</v>
      </c>
      <c r="K15" s="525">
        <f>+DATA!G11</f>
        <v>3351</v>
      </c>
      <c r="L15" s="525">
        <f>+DATA!H11</f>
        <v>4342</v>
      </c>
      <c r="M15" s="525">
        <f>+DATA!I11</f>
        <v>85313790818</v>
      </c>
      <c r="N15" s="525">
        <f>+DATA!J11</f>
        <v>296480634394</v>
      </c>
      <c r="O15" s="773">
        <f t="shared" si="13"/>
        <v>0.47125259922972296</v>
      </c>
      <c r="P15" s="774" t="str">
        <f t="shared" si="14"/>
        <v>SI</v>
      </c>
      <c r="Q15" s="771">
        <f t="shared" si="6"/>
        <v>4.7365496999999998E-4</v>
      </c>
      <c r="R15" s="771">
        <f t="shared" si="7"/>
        <v>6.7907641509999997E-4</v>
      </c>
      <c r="S15" s="771">
        <f t="shared" si="8"/>
        <v>2.037229245E-4</v>
      </c>
      <c r="T15" s="525">
        <f>+DATA!K11</f>
        <v>0</v>
      </c>
      <c r="U15" s="525">
        <f>+DATA!L11</f>
        <v>0</v>
      </c>
      <c r="V15" s="525">
        <f>+DATA!M11</f>
        <v>5592051</v>
      </c>
      <c r="W15" s="526">
        <f t="shared" si="9"/>
        <v>5592051</v>
      </c>
      <c r="X15" s="526">
        <f t="shared" si="15"/>
        <v>5592051</v>
      </c>
      <c r="Y15" s="526">
        <f t="shared" si="16"/>
        <v>5592051</v>
      </c>
      <c r="Z15" s="525">
        <f>+DATA!F11</f>
        <v>806770.02479595051</v>
      </c>
      <c r="AA15" s="525">
        <f>IF(P15="SI",ROUND(Z15/DIV_Pf,PARAMETROS!$L$8),0)</f>
        <v>67231</v>
      </c>
      <c r="AB15" s="526">
        <f t="shared" si="17"/>
        <v>73522</v>
      </c>
      <c r="AC15" s="775">
        <f t="shared" si="18"/>
        <v>76.06</v>
      </c>
      <c r="AD15" s="525">
        <f>IF(AC15&lt;$AC$6,ROUND(($AC$6-AC15)*AB15,PARAMETROS!$L$8),0)</f>
        <v>2092436</v>
      </c>
      <c r="AE15" s="771">
        <f t="shared" si="10"/>
        <v>2.0083618864E-3</v>
      </c>
      <c r="AF15" s="771">
        <f t="shared" si="11"/>
        <v>7.0292666020000001E-4</v>
      </c>
      <c r="AG15" s="771">
        <f t="shared" si="19"/>
        <v>1.6808845946999999E-3</v>
      </c>
      <c r="AH15" s="525">
        <f>+DATA!Q11</f>
        <v>2641616.2420000001</v>
      </c>
      <c r="AI15" s="525">
        <f>+DATA!R11</f>
        <v>220134.68683333334</v>
      </c>
      <c r="AJ15" s="525">
        <f>+DATA!S11</f>
        <v>173906</v>
      </c>
      <c r="AK15" s="525">
        <f>+'_DATA STT PAGOS_'!G13</f>
        <v>0</v>
      </c>
      <c r="AL15" s="525">
        <f>+'_DATA STT PAGOS_'!J13</f>
        <v>3581801.2829999998</v>
      </c>
      <c r="AM15" s="525">
        <f>+DATA!Y11</f>
        <v>153849</v>
      </c>
      <c r="AN15" s="525">
        <f>+DATA!Z11</f>
        <v>143721</v>
      </c>
      <c r="AO15" s="525">
        <f>+DATA!AA11</f>
        <v>149155</v>
      </c>
      <c r="AP15" s="525">
        <f>+DATA!AB11</f>
        <v>148929</v>
      </c>
      <c r="AQ15" s="525">
        <f>+DATA!AC11</f>
        <v>595654</v>
      </c>
      <c r="AR15" s="525">
        <f>+DATA!AD11</f>
        <v>680</v>
      </c>
      <c r="AS15" s="525">
        <f>+DATA!AE11</f>
        <v>119</v>
      </c>
      <c r="AT15" s="525">
        <f>+DATA!AF11</f>
        <v>393.34899999999999</v>
      </c>
      <c r="AU15" s="525">
        <f>+DATA!AG11</f>
        <v>415</v>
      </c>
      <c r="AV15" s="525">
        <f>+DATA!AH11</f>
        <v>1607.3489999999999</v>
      </c>
    </row>
    <row r="16" spans="1:49" x14ac:dyDescent="0.25">
      <c r="A16" s="527">
        <v>2101</v>
      </c>
      <c r="B16" s="527">
        <v>2201</v>
      </c>
      <c r="C16" s="527" t="s">
        <v>64</v>
      </c>
      <c r="D16" s="771">
        <f t="shared" si="2"/>
        <v>2.8901734103999998E-3</v>
      </c>
      <c r="E16" s="771">
        <f t="shared" si="3"/>
        <v>7.2254335259999995E-4</v>
      </c>
      <c r="F16" s="525">
        <f>+DATA!D12</f>
        <v>444276</v>
      </c>
      <c r="G16" s="772">
        <f>+DATA!E12</f>
        <v>7.2328001178032467E-2</v>
      </c>
      <c r="H16" s="525">
        <f t="shared" si="12"/>
        <v>32134</v>
      </c>
      <c r="I16" s="771">
        <f t="shared" si="4"/>
        <v>2.4608292107599999E-2</v>
      </c>
      <c r="J16" s="771">
        <f t="shared" si="5"/>
        <v>2.4608292108000002E-3</v>
      </c>
      <c r="K16" s="525">
        <f>+DATA!G12</f>
        <v>83130</v>
      </c>
      <c r="L16" s="525">
        <f>+DATA!H12</f>
        <v>167429</v>
      </c>
      <c r="M16" s="525">
        <f>+DATA!I12</f>
        <v>13599303668993</v>
      </c>
      <c r="N16" s="525">
        <f>+DATA!J12</f>
        <v>20887679308242</v>
      </c>
      <c r="O16" s="773">
        <f t="shared" si="13"/>
        <v>0.56856063676648527</v>
      </c>
      <c r="P16" s="774" t="str">
        <f t="shared" si="14"/>
        <v>SI</v>
      </c>
      <c r="Q16" s="771">
        <f t="shared" si="6"/>
        <v>7.5594106777000002E-3</v>
      </c>
      <c r="R16" s="771">
        <f t="shared" si="7"/>
        <v>1.0837883751600001E-2</v>
      </c>
      <c r="S16" s="771">
        <f t="shared" si="8"/>
        <v>3.2513651255000001E-3</v>
      </c>
      <c r="T16" s="525">
        <f>+DATA!K12</f>
        <v>0</v>
      </c>
      <c r="U16" s="525">
        <f>+DATA!L12</f>
        <v>0</v>
      </c>
      <c r="V16" s="525">
        <f>+DATA!M12</f>
        <v>74332575</v>
      </c>
      <c r="W16" s="526">
        <f t="shared" si="9"/>
        <v>74332575</v>
      </c>
      <c r="X16" s="526">
        <f t="shared" si="15"/>
        <v>74332575</v>
      </c>
      <c r="Y16" s="526">
        <f t="shared" si="16"/>
        <v>74332575</v>
      </c>
      <c r="Z16" s="525">
        <f>+DATA!F12</f>
        <v>3260148.1599204554</v>
      </c>
      <c r="AA16" s="525">
        <f>IF(P16="SI",ROUND(Z16/DIV_Pf,PARAMETROS!$L$8),0)</f>
        <v>271679</v>
      </c>
      <c r="AB16" s="526">
        <f t="shared" si="17"/>
        <v>715955</v>
      </c>
      <c r="AC16" s="775">
        <f t="shared" si="18"/>
        <v>103.82</v>
      </c>
      <c r="AD16" s="525">
        <f>IF(AC16&lt;$AC$6,ROUND(($AC$6-AC16)*AB16,PARAMETROS!$L$8),0)</f>
        <v>501169</v>
      </c>
      <c r="AE16" s="771">
        <f t="shared" si="10"/>
        <v>4.8103202119999998E-4</v>
      </c>
      <c r="AF16" s="771">
        <f t="shared" si="11"/>
        <v>1.6836120739999999E-4</v>
      </c>
      <c r="AG16" s="771">
        <f t="shared" si="19"/>
        <v>6.6030988963000003E-3</v>
      </c>
      <c r="AH16" s="525">
        <f>+DATA!Q12</f>
        <v>15984806.787</v>
      </c>
      <c r="AI16" s="525">
        <f>+DATA!R12</f>
        <v>1332067.2322500001</v>
      </c>
      <c r="AJ16" s="525">
        <f>+DATA!S12</f>
        <v>1052333</v>
      </c>
      <c r="AK16" s="525">
        <f>+'_DATA STT PAGOS_'!G14</f>
        <v>0</v>
      </c>
      <c r="AL16" s="525">
        <f>+'_DATA STT PAGOS_'!J14</f>
        <v>21737559.677000001</v>
      </c>
      <c r="AM16" s="525">
        <f>+DATA!Y12</f>
        <v>3732884</v>
      </c>
      <c r="AN16" s="525">
        <f>+DATA!Z12</f>
        <v>2425917</v>
      </c>
      <c r="AO16" s="525">
        <f>+DATA!AA12</f>
        <v>3215592</v>
      </c>
      <c r="AP16" s="525">
        <f>+DATA!AB12</f>
        <v>2775965</v>
      </c>
      <c r="AQ16" s="525">
        <f>+DATA!AC12</f>
        <v>12150358</v>
      </c>
      <c r="AR16" s="525">
        <f>+DATA!AD12</f>
        <v>347832</v>
      </c>
      <c r="AS16" s="525">
        <f>+DATA!AE12</f>
        <v>144925</v>
      </c>
      <c r="AT16" s="525">
        <f>+DATA!AF12</f>
        <v>206993.25300000422</v>
      </c>
      <c r="AU16" s="525">
        <f>+DATA!AG12</f>
        <v>141352</v>
      </c>
      <c r="AV16" s="525">
        <f>+DATA!AH12</f>
        <v>841102.25300000422</v>
      </c>
    </row>
    <row r="17" spans="1:48" x14ac:dyDescent="0.25">
      <c r="A17" s="527">
        <v>2102</v>
      </c>
      <c r="B17" s="527">
        <v>2203</v>
      </c>
      <c r="C17" s="527" t="s">
        <v>66</v>
      </c>
      <c r="D17" s="771">
        <f t="shared" si="2"/>
        <v>2.8901734103999998E-3</v>
      </c>
      <c r="E17" s="771">
        <f t="shared" si="3"/>
        <v>7.2254335259999995E-4</v>
      </c>
      <c r="F17" s="525">
        <f>+DATA!D13</f>
        <v>15877</v>
      </c>
      <c r="G17" s="772">
        <f>+DATA!E13</f>
        <v>7.1397404410535312E-2</v>
      </c>
      <c r="H17" s="525">
        <f t="shared" si="12"/>
        <v>1134</v>
      </c>
      <c r="I17" s="771">
        <f t="shared" si="4"/>
        <v>8.6841984350000004E-4</v>
      </c>
      <c r="J17" s="771">
        <f t="shared" si="5"/>
        <v>8.6841984399999996E-5</v>
      </c>
      <c r="K17" s="525">
        <f>+DATA!G13</f>
        <v>4841</v>
      </c>
      <c r="L17" s="525">
        <f>+DATA!H13</f>
        <v>5602</v>
      </c>
      <c r="M17" s="525">
        <f>+DATA!I13</f>
        <v>602684631140</v>
      </c>
      <c r="N17" s="525">
        <f>+DATA!J13</f>
        <v>973369827978</v>
      </c>
      <c r="O17" s="773">
        <f t="shared" si="13"/>
        <v>0.73147941255927773</v>
      </c>
      <c r="P17" s="774" t="str">
        <f t="shared" si="14"/>
        <v>SI</v>
      </c>
      <c r="Q17" s="771">
        <f t="shared" si="6"/>
        <v>7.6617878570000002E-4</v>
      </c>
      <c r="R17" s="771">
        <f t="shared" si="7"/>
        <v>1.0984661327000001E-3</v>
      </c>
      <c r="S17" s="771">
        <f t="shared" si="8"/>
        <v>3.295398398E-4</v>
      </c>
      <c r="T17" s="525">
        <f>+DATA!K13</f>
        <v>0</v>
      </c>
      <c r="U17" s="525">
        <f>+DATA!L13</f>
        <v>0</v>
      </c>
      <c r="V17" s="525">
        <f>+DATA!M13</f>
        <v>8869794</v>
      </c>
      <c r="W17" s="526">
        <f t="shared" si="9"/>
        <v>8869794</v>
      </c>
      <c r="X17" s="526">
        <f t="shared" si="15"/>
        <v>8869794</v>
      </c>
      <c r="Y17" s="526">
        <f t="shared" si="16"/>
        <v>8869794</v>
      </c>
      <c r="Z17" s="525">
        <f>+DATA!F13</f>
        <v>676334.61755437474</v>
      </c>
      <c r="AA17" s="525">
        <f>IF(P17="SI",ROUND(Z17/DIV_Pf,PARAMETROS!$L$8),0)</f>
        <v>56361</v>
      </c>
      <c r="AB17" s="526">
        <f t="shared" si="17"/>
        <v>72238</v>
      </c>
      <c r="AC17" s="775">
        <f t="shared" si="18"/>
        <v>122.79</v>
      </c>
      <c r="AD17" s="525">
        <f>IF(AC17&lt;$AC$6,ROUND(($AC$6-AC17)*AB17,PARAMETROS!$L$8),0)</f>
        <v>0</v>
      </c>
      <c r="AE17" s="771">
        <f t="shared" si="10"/>
        <v>0</v>
      </c>
      <c r="AF17" s="771">
        <f t="shared" si="11"/>
        <v>0</v>
      </c>
      <c r="AG17" s="771">
        <f t="shared" si="19"/>
        <v>1.1389251768E-3</v>
      </c>
      <c r="AH17" s="525">
        <f>+DATA!Q13</f>
        <v>2139905.7560000001</v>
      </c>
      <c r="AI17" s="525">
        <f>+DATA!R13</f>
        <v>178325.47966666668</v>
      </c>
      <c r="AJ17" s="525">
        <f>+DATA!S13</f>
        <v>140877</v>
      </c>
      <c r="AK17" s="525">
        <f>+'_DATA STT PAGOS_'!G15</f>
        <v>0</v>
      </c>
      <c r="AL17" s="525">
        <f>+'_DATA STT PAGOS_'!J15</f>
        <v>2903065.5240000002</v>
      </c>
      <c r="AM17" s="525">
        <f>+DATA!Y13</f>
        <v>315267</v>
      </c>
      <c r="AN17" s="525">
        <f>+DATA!Z13</f>
        <v>221306</v>
      </c>
      <c r="AO17" s="525">
        <f>+DATA!AA13</f>
        <v>320553</v>
      </c>
      <c r="AP17" s="525">
        <f>+DATA!AB13</f>
        <v>257972</v>
      </c>
      <c r="AQ17" s="525">
        <f>+DATA!AC13</f>
        <v>1115098</v>
      </c>
      <c r="AR17" s="525">
        <f>+DATA!AD13</f>
        <v>3202</v>
      </c>
      <c r="AS17" s="525">
        <f>+DATA!AE13</f>
        <v>1463</v>
      </c>
      <c r="AT17" s="525">
        <f>+DATA!AF13</f>
        <v>2420.5659999999998</v>
      </c>
      <c r="AU17" s="525">
        <f>+DATA!AG13</f>
        <v>2037</v>
      </c>
      <c r="AV17" s="525">
        <f>+DATA!AH13</f>
        <v>9122.5659999999989</v>
      </c>
    </row>
    <row r="18" spans="1:48" x14ac:dyDescent="0.25">
      <c r="A18" s="527">
        <v>2103</v>
      </c>
      <c r="B18" s="527">
        <v>2206</v>
      </c>
      <c r="C18" s="527" t="s">
        <v>67</v>
      </c>
      <c r="D18" s="771">
        <f t="shared" si="2"/>
        <v>2.8901734103999998E-3</v>
      </c>
      <c r="E18" s="771">
        <f t="shared" si="3"/>
        <v>7.2254335259999995E-4</v>
      </c>
      <c r="F18" s="525">
        <f>+DATA!D14</f>
        <v>1800</v>
      </c>
      <c r="G18" s="772">
        <f>+DATA!E14</f>
        <v>2.1060184458724391E-2</v>
      </c>
      <c r="H18" s="525">
        <f t="shared" si="12"/>
        <v>38</v>
      </c>
      <c r="I18" s="771">
        <f t="shared" si="4"/>
        <v>2.91004886E-5</v>
      </c>
      <c r="J18" s="771">
        <f t="shared" si="5"/>
        <v>2.9100489E-6</v>
      </c>
      <c r="K18" s="525">
        <f>+DATA!G14</f>
        <v>934</v>
      </c>
      <c r="L18" s="525">
        <f>+DATA!H14</f>
        <v>1179</v>
      </c>
      <c r="M18" s="525">
        <f>+DATA!I14</f>
        <v>109661121652</v>
      </c>
      <c r="N18" s="525">
        <f>+DATA!J14</f>
        <v>464436368264</v>
      </c>
      <c r="O18" s="773">
        <f t="shared" si="13"/>
        <v>0.4324936816884502</v>
      </c>
      <c r="P18" s="774" t="str">
        <f t="shared" si="14"/>
        <v>NO</v>
      </c>
      <c r="Q18" s="771">
        <f t="shared" si="6"/>
        <v>1.3551363949999999E-4</v>
      </c>
      <c r="R18" s="771">
        <f t="shared" si="7"/>
        <v>1.942851281E-4</v>
      </c>
      <c r="S18" s="771">
        <f t="shared" si="8"/>
        <v>5.82855384E-5</v>
      </c>
      <c r="T18" s="525">
        <f>+DATA!K14</f>
        <v>0</v>
      </c>
      <c r="U18" s="525">
        <f>+DATA!L14</f>
        <v>0</v>
      </c>
      <c r="V18" s="525">
        <f>+DATA!M14</f>
        <v>13774988</v>
      </c>
      <c r="W18" s="526">
        <f t="shared" si="9"/>
        <v>13774988</v>
      </c>
      <c r="X18" s="526">
        <f t="shared" si="15"/>
        <v>13774988</v>
      </c>
      <c r="Y18" s="526">
        <f t="shared" si="16"/>
        <v>13774988</v>
      </c>
      <c r="Z18" s="525">
        <f>+DATA!F14</f>
        <v>697849.18111088546</v>
      </c>
      <c r="AA18" s="525">
        <f>IF(P18="SI",ROUND(Z18/DIV_Pf,PARAMETROS!$L$8),0)</f>
        <v>0</v>
      </c>
      <c r="AB18" s="526">
        <f t="shared" si="17"/>
        <v>1800</v>
      </c>
      <c r="AC18" s="775">
        <f t="shared" si="18"/>
        <v>7652.77</v>
      </c>
      <c r="AD18" s="525">
        <f>IF(AC18&lt;$AC$6,ROUND(($AC$6-AC18)*AB18,PARAMETROS!$L$8),0)</f>
        <v>0</v>
      </c>
      <c r="AE18" s="771">
        <f t="shared" si="10"/>
        <v>0</v>
      </c>
      <c r="AF18" s="771">
        <f t="shared" si="11"/>
        <v>0</v>
      </c>
      <c r="AG18" s="771">
        <f t="shared" si="19"/>
        <v>7.8373893989999992E-4</v>
      </c>
      <c r="AH18" s="525">
        <f>+DATA!Q14</f>
        <v>1546442.727</v>
      </c>
      <c r="AI18" s="525">
        <f>+DATA!R14</f>
        <v>128870.22725</v>
      </c>
      <c r="AJ18" s="525">
        <f>+DATA!S14</f>
        <v>101807</v>
      </c>
      <c r="AK18" s="525">
        <f>+'_DATA STT PAGOS_'!G16</f>
        <v>0</v>
      </c>
      <c r="AL18" s="525">
        <f>+'_DATA STT PAGOS_'!J16</f>
        <v>2097976.4739999999</v>
      </c>
      <c r="AM18" s="525">
        <f>+DATA!Y14</f>
        <v>335281</v>
      </c>
      <c r="AN18" s="525">
        <f>+DATA!Z14</f>
        <v>215371</v>
      </c>
      <c r="AO18" s="525">
        <f>+DATA!AA14</f>
        <v>312271</v>
      </c>
      <c r="AP18" s="525">
        <f>+DATA!AB14</f>
        <v>60329</v>
      </c>
      <c r="AQ18" s="525">
        <f>+DATA!AC14</f>
        <v>923252</v>
      </c>
      <c r="AR18" s="525">
        <f>+DATA!AD14</f>
        <v>79</v>
      </c>
      <c r="AS18" s="525">
        <f>+DATA!AE14</f>
        <v>0</v>
      </c>
      <c r="AT18" s="525">
        <f>+DATA!AF14</f>
        <v>0</v>
      </c>
      <c r="AU18" s="525">
        <f>+DATA!AG14</f>
        <v>0</v>
      </c>
      <c r="AV18" s="525">
        <f>+DATA!AH14</f>
        <v>79</v>
      </c>
    </row>
    <row r="19" spans="1:48" x14ac:dyDescent="0.25">
      <c r="A19" s="527">
        <v>2104</v>
      </c>
      <c r="B19" s="527">
        <v>2202</v>
      </c>
      <c r="C19" s="527" t="s">
        <v>65</v>
      </c>
      <c r="D19" s="771">
        <f t="shared" si="2"/>
        <v>2.8901734103999998E-3</v>
      </c>
      <c r="E19" s="771">
        <f t="shared" si="3"/>
        <v>7.2254335259999995E-4</v>
      </c>
      <c r="F19" s="525">
        <f>+DATA!D15</f>
        <v>13967</v>
      </c>
      <c r="G19" s="772">
        <f>+DATA!E15</f>
        <v>0.11480221609318229</v>
      </c>
      <c r="H19" s="525">
        <f t="shared" si="12"/>
        <v>1603</v>
      </c>
      <c r="I19" s="771">
        <f t="shared" si="4"/>
        <v>1.2275811368000001E-3</v>
      </c>
      <c r="J19" s="771">
        <f t="shared" si="5"/>
        <v>1.2275811370000001E-4</v>
      </c>
      <c r="K19" s="525">
        <f>+DATA!G15</f>
        <v>4165</v>
      </c>
      <c r="L19" s="525">
        <f>+DATA!H15</f>
        <v>4454</v>
      </c>
      <c r="M19" s="525">
        <f>+DATA!I15</f>
        <v>282038164623</v>
      </c>
      <c r="N19" s="525">
        <f>+DATA!J15</f>
        <v>333387831154</v>
      </c>
      <c r="O19" s="773">
        <f t="shared" si="13"/>
        <v>0.88942936647428861</v>
      </c>
      <c r="P19" s="774" t="str">
        <f t="shared" si="14"/>
        <v>SI</v>
      </c>
      <c r="Q19" s="771">
        <f t="shared" si="6"/>
        <v>7.1331747060000004E-4</v>
      </c>
      <c r="R19" s="771">
        <f t="shared" si="7"/>
        <v>1.0226791683000001E-3</v>
      </c>
      <c r="S19" s="771">
        <f t="shared" si="8"/>
        <v>3.0680375050000001E-4</v>
      </c>
      <c r="T19" s="525">
        <f>+DATA!K15</f>
        <v>0</v>
      </c>
      <c r="U19" s="525">
        <f>+DATA!L15</f>
        <v>0</v>
      </c>
      <c r="V19" s="525">
        <f>+DATA!M15</f>
        <v>5450341</v>
      </c>
      <c r="W19" s="526">
        <f t="shared" si="9"/>
        <v>5450341</v>
      </c>
      <c r="X19" s="526">
        <f t="shared" si="15"/>
        <v>5450341</v>
      </c>
      <c r="Y19" s="526">
        <f t="shared" si="16"/>
        <v>5450341</v>
      </c>
      <c r="Z19" s="525">
        <f>+DATA!F15</f>
        <v>350412.45125707553</v>
      </c>
      <c r="AA19" s="525">
        <f>IF(P19="SI",ROUND(Z19/DIV_Pf,PARAMETROS!$L$8),0)</f>
        <v>29201</v>
      </c>
      <c r="AB19" s="526">
        <f t="shared" si="17"/>
        <v>43168</v>
      </c>
      <c r="AC19" s="775">
        <f t="shared" si="18"/>
        <v>126.26</v>
      </c>
      <c r="AD19" s="525">
        <f>IF(AC19&lt;$AC$6,ROUND(($AC$6-AC19)*AB19,PARAMETROS!$L$8),0)</f>
        <v>0</v>
      </c>
      <c r="AE19" s="771">
        <f t="shared" si="10"/>
        <v>0</v>
      </c>
      <c r="AF19" s="771">
        <f t="shared" si="11"/>
        <v>0</v>
      </c>
      <c r="AG19" s="771">
        <f t="shared" si="19"/>
        <v>1.1521052167999999E-3</v>
      </c>
      <c r="AH19" s="525">
        <f>+DATA!Q15</f>
        <v>2267500.8289999999</v>
      </c>
      <c r="AI19" s="525">
        <f>+DATA!R15</f>
        <v>188958.40241666665</v>
      </c>
      <c r="AJ19" s="525">
        <f>+DATA!S15</f>
        <v>149277</v>
      </c>
      <c r="AK19" s="525">
        <f>+'_DATA STT PAGOS_'!G17</f>
        <v>0</v>
      </c>
      <c r="AL19" s="525">
        <f>+'_DATA STT PAGOS_'!J17</f>
        <v>3078758.915</v>
      </c>
      <c r="AM19" s="525">
        <f>+DATA!Y15</f>
        <v>20100</v>
      </c>
      <c r="AN19" s="525">
        <f>+DATA!Z15</f>
        <v>16620</v>
      </c>
      <c r="AO19" s="525">
        <f>+DATA!AA15</f>
        <v>22750</v>
      </c>
      <c r="AP19" s="525">
        <f>+DATA!AB15</f>
        <v>17558</v>
      </c>
      <c r="AQ19" s="525">
        <f>+DATA!AC15</f>
        <v>77028</v>
      </c>
      <c r="AR19" s="525">
        <f>+DATA!AD15</f>
        <v>0</v>
      </c>
      <c r="AS19" s="525">
        <f>+DATA!AE15</f>
        <v>0</v>
      </c>
      <c r="AT19" s="525">
        <f>+DATA!AF15</f>
        <v>0</v>
      </c>
      <c r="AU19" s="525">
        <f>+DATA!AG15</f>
        <v>0</v>
      </c>
      <c r="AV19" s="525">
        <f>+DATA!AH15</f>
        <v>0</v>
      </c>
    </row>
    <row r="20" spans="1:48" x14ac:dyDescent="0.25">
      <c r="A20" s="527">
        <v>2201</v>
      </c>
      <c r="B20" s="527">
        <v>2301</v>
      </c>
      <c r="C20" s="527" t="s">
        <v>68</v>
      </c>
      <c r="D20" s="771">
        <f t="shared" si="2"/>
        <v>2.8901734103999998E-3</v>
      </c>
      <c r="E20" s="771">
        <f t="shared" si="3"/>
        <v>7.2254335259999995E-4</v>
      </c>
      <c r="F20" s="525">
        <f>+DATA!D16</f>
        <v>196152</v>
      </c>
      <c r="G20" s="772">
        <f>+DATA!E16</f>
        <v>8.1431433649548926E-2</v>
      </c>
      <c r="H20" s="525">
        <f t="shared" si="12"/>
        <v>15973</v>
      </c>
      <c r="I20" s="771">
        <f t="shared" si="4"/>
        <v>1.22321606347E-2</v>
      </c>
      <c r="J20" s="771">
        <f t="shared" si="5"/>
        <v>1.2232160635E-3</v>
      </c>
      <c r="K20" s="525">
        <f>+DATA!G16</f>
        <v>31408</v>
      </c>
      <c r="L20" s="525">
        <f>+DATA!H16</f>
        <v>55975</v>
      </c>
      <c r="M20" s="525">
        <f>+DATA!I16</f>
        <v>1990521604802</v>
      </c>
      <c r="N20" s="525">
        <f>+DATA!J16</f>
        <v>5037079497227</v>
      </c>
      <c r="O20" s="773">
        <f t="shared" si="13"/>
        <v>0.47088747106657136</v>
      </c>
      <c r="P20" s="774" t="str">
        <f t="shared" si="14"/>
        <v>SI</v>
      </c>
      <c r="Q20" s="771">
        <f t="shared" si="6"/>
        <v>3.2276729631999998E-3</v>
      </c>
      <c r="R20" s="771">
        <f t="shared" si="7"/>
        <v>4.6274962235999997E-3</v>
      </c>
      <c r="S20" s="771">
        <f t="shared" si="8"/>
        <v>1.3882488671E-3</v>
      </c>
      <c r="T20" s="525">
        <f>+DATA!K16</f>
        <v>0</v>
      </c>
      <c r="U20" s="525">
        <f>+DATA!L16</f>
        <v>0</v>
      </c>
      <c r="V20" s="525">
        <f>+DATA!M16</f>
        <v>28364299</v>
      </c>
      <c r="W20" s="526">
        <f t="shared" si="9"/>
        <v>28364299</v>
      </c>
      <c r="X20" s="526">
        <f t="shared" si="15"/>
        <v>28364299</v>
      </c>
      <c r="Y20" s="526">
        <f t="shared" si="16"/>
        <v>28364299</v>
      </c>
      <c r="Z20" s="525">
        <f>+DATA!F16</f>
        <v>1653309.9466936728</v>
      </c>
      <c r="AA20" s="525">
        <f>IF(P20="SI",ROUND(Z20/DIV_Pf,PARAMETROS!$L$8),0)</f>
        <v>137776</v>
      </c>
      <c r="AB20" s="526">
        <f t="shared" si="17"/>
        <v>333928</v>
      </c>
      <c r="AC20" s="775">
        <f t="shared" si="18"/>
        <v>84.94</v>
      </c>
      <c r="AD20" s="525">
        <f>IF(AC20&lt;$AC$6,ROUND(($AC$6-AC20)*AB20,PARAMETROS!$L$8),0)</f>
        <v>6538310</v>
      </c>
      <c r="AE20" s="771">
        <f t="shared" si="10"/>
        <v>6.2756005944999997E-3</v>
      </c>
      <c r="AF20" s="771">
        <f t="shared" si="11"/>
        <v>2.1964602080999998E-3</v>
      </c>
      <c r="AG20" s="771">
        <f t="shared" si="19"/>
        <v>5.5304684913E-3</v>
      </c>
      <c r="AH20" s="525">
        <f>+DATA!Q16</f>
        <v>10298830.237</v>
      </c>
      <c r="AI20" s="525">
        <f>+DATA!R16</f>
        <v>858235.85308333335</v>
      </c>
      <c r="AJ20" s="525">
        <f>+DATA!S16</f>
        <v>678006</v>
      </c>
      <c r="AK20" s="525">
        <f>+'_DATA STT PAGOS_'!G18</f>
        <v>0</v>
      </c>
      <c r="AL20" s="525">
        <f>+'_DATA STT PAGOS_'!J18</f>
        <v>13988822.637</v>
      </c>
      <c r="AM20" s="525">
        <f>+DATA!Y16</f>
        <v>1318839</v>
      </c>
      <c r="AN20" s="525">
        <f>+DATA!Z16</f>
        <v>987712</v>
      </c>
      <c r="AO20" s="525">
        <f>+DATA!AA16</f>
        <v>1107812</v>
      </c>
      <c r="AP20" s="525">
        <f>+DATA!AB16</f>
        <v>988117</v>
      </c>
      <c r="AQ20" s="525">
        <f>+DATA!AC16</f>
        <v>4402480</v>
      </c>
      <c r="AR20" s="525">
        <f>+DATA!AD16</f>
        <v>181961</v>
      </c>
      <c r="AS20" s="525">
        <f>+DATA!AE16</f>
        <v>74244</v>
      </c>
      <c r="AT20" s="525">
        <f>+DATA!AF16</f>
        <v>99250.21</v>
      </c>
      <c r="AU20" s="525">
        <f>+DATA!AG16</f>
        <v>70626</v>
      </c>
      <c r="AV20" s="525">
        <f>+DATA!AH16</f>
        <v>426081.21</v>
      </c>
    </row>
    <row r="21" spans="1:48" x14ac:dyDescent="0.25">
      <c r="A21" s="527">
        <v>2202</v>
      </c>
      <c r="B21" s="527">
        <v>2302</v>
      </c>
      <c r="C21" s="527" t="s">
        <v>27</v>
      </c>
      <c r="D21" s="771">
        <f t="shared" si="2"/>
        <v>2.8901734103999998E-3</v>
      </c>
      <c r="E21" s="771">
        <f t="shared" si="3"/>
        <v>7.2254335259999995E-4</v>
      </c>
      <c r="F21" s="525">
        <f>+DATA!D17</f>
        <v>269</v>
      </c>
      <c r="G21" s="772">
        <f>+DATA!E17</f>
        <v>8.7212215477328936E-2</v>
      </c>
      <c r="H21" s="525">
        <f t="shared" si="12"/>
        <v>23</v>
      </c>
      <c r="I21" s="771">
        <f t="shared" si="4"/>
        <v>1.7613453600000001E-5</v>
      </c>
      <c r="J21" s="771">
        <f t="shared" si="5"/>
        <v>1.7613453999999999E-6</v>
      </c>
      <c r="K21" s="525">
        <f>+DATA!G17</f>
        <v>185</v>
      </c>
      <c r="L21" s="525">
        <f>+DATA!H17</f>
        <v>198</v>
      </c>
      <c r="M21" s="525">
        <f>+DATA!I17</f>
        <v>13413396005</v>
      </c>
      <c r="N21" s="525">
        <f>+DATA!J17</f>
        <v>16444930647</v>
      </c>
      <c r="O21" s="773">
        <f t="shared" si="13"/>
        <v>0.87298467364170262</v>
      </c>
      <c r="P21" s="774" t="str">
        <f t="shared" si="14"/>
        <v>SI</v>
      </c>
      <c r="Q21" s="771">
        <f t="shared" si="6"/>
        <v>3.1657843600000001E-5</v>
      </c>
      <c r="R21" s="771">
        <f t="shared" si="7"/>
        <v>4.5387668900000003E-5</v>
      </c>
      <c r="S21" s="771">
        <f t="shared" si="8"/>
        <v>1.36163007E-5</v>
      </c>
      <c r="T21" s="525">
        <f>+DATA!K17</f>
        <v>0</v>
      </c>
      <c r="U21" s="525">
        <f>+DATA!L17</f>
        <v>0</v>
      </c>
      <c r="V21" s="525">
        <f>+DATA!M17</f>
        <v>1255041</v>
      </c>
      <c r="W21" s="526">
        <f t="shared" si="9"/>
        <v>1255041</v>
      </c>
      <c r="X21" s="526">
        <f t="shared" si="15"/>
        <v>1255041</v>
      </c>
      <c r="Y21" s="526">
        <f t="shared" si="16"/>
        <v>1255041</v>
      </c>
      <c r="Z21" s="525">
        <f>+DATA!F17</f>
        <v>20973.541405883036</v>
      </c>
      <c r="AA21" s="525">
        <f>IF(P21="SI",ROUND(Z21/DIV_Pf,PARAMETROS!$L$8),0)</f>
        <v>1748</v>
      </c>
      <c r="AB21" s="526">
        <f t="shared" si="17"/>
        <v>2017</v>
      </c>
      <c r="AC21" s="775">
        <f t="shared" si="18"/>
        <v>622.23</v>
      </c>
      <c r="AD21" s="525">
        <f>IF(AC21&lt;$AC$6,ROUND(($AC$6-AC21)*AB21,PARAMETROS!$L$8),0)</f>
        <v>0</v>
      </c>
      <c r="AE21" s="771">
        <f t="shared" si="10"/>
        <v>0</v>
      </c>
      <c r="AF21" s="771">
        <f t="shared" si="11"/>
        <v>0</v>
      </c>
      <c r="AG21" s="771">
        <f t="shared" si="19"/>
        <v>7.3792099869999996E-4</v>
      </c>
      <c r="AH21" s="525">
        <f>+DATA!Q17</f>
        <v>1613132.375</v>
      </c>
      <c r="AI21" s="525">
        <f>+DATA!R17</f>
        <v>134427.69791666666</v>
      </c>
      <c r="AJ21" s="525">
        <f>+DATA!S17</f>
        <v>106198</v>
      </c>
      <c r="AK21" s="525">
        <f>+'_DATA STT PAGOS_'!G19</f>
        <v>0</v>
      </c>
      <c r="AL21" s="525">
        <f>+'_DATA STT PAGOS_'!J19</f>
        <v>2189057.6720000003</v>
      </c>
      <c r="AM21" s="525">
        <f>+DATA!Y17</f>
        <v>2480</v>
      </c>
      <c r="AN21" s="525">
        <f>+DATA!Z17</f>
        <v>1431</v>
      </c>
      <c r="AO21" s="525">
        <f>+DATA!AA17</f>
        <v>2527</v>
      </c>
      <c r="AP21" s="525">
        <f>+DATA!AB17</f>
        <v>1458</v>
      </c>
      <c r="AQ21" s="525">
        <f>+DATA!AC17</f>
        <v>7896</v>
      </c>
      <c r="AR21" s="525">
        <f>+DATA!AD17</f>
        <v>0</v>
      </c>
      <c r="AS21" s="525">
        <f>+DATA!AE17</f>
        <v>0</v>
      </c>
      <c r="AT21" s="525">
        <f>+DATA!AF17</f>
        <v>0</v>
      </c>
      <c r="AU21" s="525">
        <f>+DATA!AG17</f>
        <v>0</v>
      </c>
      <c r="AV21" s="525">
        <f>+DATA!AH17</f>
        <v>0</v>
      </c>
    </row>
    <row r="22" spans="1:48" x14ac:dyDescent="0.25">
      <c r="A22" s="527">
        <v>2203</v>
      </c>
      <c r="B22" s="527">
        <v>2303</v>
      </c>
      <c r="C22" s="527" t="s">
        <v>69</v>
      </c>
      <c r="D22" s="771">
        <f t="shared" si="2"/>
        <v>2.8901734103999998E-3</v>
      </c>
      <c r="E22" s="771">
        <f t="shared" si="3"/>
        <v>7.2254335259999995E-4</v>
      </c>
      <c r="F22" s="525">
        <f>+DATA!D18</f>
        <v>11030</v>
      </c>
      <c r="G22" s="772">
        <f>+DATA!E18</f>
        <v>4.8730078667678887E-2</v>
      </c>
      <c r="H22" s="525">
        <f t="shared" si="12"/>
        <v>537</v>
      </c>
      <c r="I22" s="771">
        <f t="shared" si="4"/>
        <v>4.1123585179999998E-4</v>
      </c>
      <c r="J22" s="771">
        <f t="shared" si="5"/>
        <v>4.1123585200000003E-5</v>
      </c>
      <c r="K22" s="525">
        <f>+DATA!G18</f>
        <v>5524</v>
      </c>
      <c r="L22" s="525">
        <f>+DATA!H18</f>
        <v>6138</v>
      </c>
      <c r="M22" s="525">
        <f>+DATA!I18</f>
        <v>640317882808</v>
      </c>
      <c r="N22" s="525">
        <f>+DATA!J18</f>
        <v>745469334781</v>
      </c>
      <c r="O22" s="773">
        <f t="shared" si="13"/>
        <v>0.87921748590923232</v>
      </c>
      <c r="P22" s="774" t="str">
        <f t="shared" si="14"/>
        <v>SI</v>
      </c>
      <c r="Q22" s="771">
        <f t="shared" si="6"/>
        <v>9.1050747969999995E-4</v>
      </c>
      <c r="R22" s="771">
        <f t="shared" si="7"/>
        <v>1.3053893538E-3</v>
      </c>
      <c r="S22" s="771">
        <f t="shared" si="8"/>
        <v>3.9161680610000002E-4</v>
      </c>
      <c r="T22" s="525">
        <f>+DATA!K18</f>
        <v>0</v>
      </c>
      <c r="U22" s="525">
        <f>+DATA!L18</f>
        <v>0</v>
      </c>
      <c r="V22" s="525">
        <f>+DATA!M18</f>
        <v>6674338</v>
      </c>
      <c r="W22" s="526">
        <f t="shared" si="9"/>
        <v>6674338</v>
      </c>
      <c r="X22" s="526">
        <f t="shared" si="15"/>
        <v>6674338</v>
      </c>
      <c r="Y22" s="526">
        <f t="shared" si="16"/>
        <v>6674338</v>
      </c>
      <c r="Z22" s="525">
        <f>+DATA!F18</f>
        <v>1010483.7464228333</v>
      </c>
      <c r="AA22" s="525">
        <f>IF(P22="SI",ROUND(Z22/DIV_Pf,PARAMETROS!$L$8),0)</f>
        <v>84207</v>
      </c>
      <c r="AB22" s="526">
        <f t="shared" si="17"/>
        <v>95237</v>
      </c>
      <c r="AC22" s="775">
        <f t="shared" si="18"/>
        <v>70.08</v>
      </c>
      <c r="AD22" s="525">
        <f>IF(AC22&lt;$AC$6,ROUND(($AC$6-AC22)*AB22,PARAMETROS!$L$8),0)</f>
        <v>3279962</v>
      </c>
      <c r="AE22" s="771">
        <f t="shared" si="10"/>
        <v>3.1481730718000002E-3</v>
      </c>
      <c r="AF22" s="771">
        <f t="shared" si="11"/>
        <v>1.1018605751E-3</v>
      </c>
      <c r="AG22" s="771">
        <f t="shared" si="19"/>
        <v>2.257144319E-3</v>
      </c>
      <c r="AH22" s="525">
        <f>+DATA!Q18</f>
        <v>5705758.7259999998</v>
      </c>
      <c r="AI22" s="525">
        <f>+DATA!R18</f>
        <v>475479.89383333334</v>
      </c>
      <c r="AJ22" s="525">
        <f>+DATA!S18</f>
        <v>375629</v>
      </c>
      <c r="AK22" s="525">
        <f>+'_DATA STT PAGOS_'!G20</f>
        <v>0</v>
      </c>
      <c r="AL22" s="525">
        <f>+'_DATA STT PAGOS_'!J20</f>
        <v>7737828.6370000001</v>
      </c>
      <c r="AM22" s="525">
        <f>+DATA!Y18</f>
        <v>63436</v>
      </c>
      <c r="AN22" s="525">
        <f>+DATA!Z18</f>
        <v>58329</v>
      </c>
      <c r="AO22" s="525">
        <f>+DATA!AA18</f>
        <v>59680</v>
      </c>
      <c r="AP22" s="525">
        <f>+DATA!AB18</f>
        <v>58437</v>
      </c>
      <c r="AQ22" s="525">
        <f>+DATA!AC18</f>
        <v>239882</v>
      </c>
      <c r="AR22" s="525">
        <f>+DATA!AD18</f>
        <v>0</v>
      </c>
      <c r="AS22" s="525">
        <f>+DATA!AE18</f>
        <v>0</v>
      </c>
      <c r="AT22" s="525">
        <f>+DATA!AF18</f>
        <v>0</v>
      </c>
      <c r="AU22" s="525">
        <f>+DATA!AG18</f>
        <v>0</v>
      </c>
      <c r="AV22" s="525">
        <f>+DATA!AH18</f>
        <v>0</v>
      </c>
    </row>
    <row r="23" spans="1:48" x14ac:dyDescent="0.25">
      <c r="A23" s="527">
        <v>2301</v>
      </c>
      <c r="B23" s="527">
        <v>2101</v>
      </c>
      <c r="C23" s="527" t="s">
        <v>63</v>
      </c>
      <c r="D23" s="771">
        <f t="shared" si="2"/>
        <v>2.8901734103999998E-3</v>
      </c>
      <c r="E23" s="771">
        <f t="shared" si="3"/>
        <v>7.2254335259999995E-4</v>
      </c>
      <c r="F23" s="525">
        <f>+DATA!D19</f>
        <v>28354</v>
      </c>
      <c r="G23" s="772">
        <f>+DATA!E19</f>
        <v>0.10427636654800319</v>
      </c>
      <c r="H23" s="525">
        <f t="shared" si="12"/>
        <v>2957</v>
      </c>
      <c r="I23" s="771">
        <f t="shared" si="4"/>
        <v>2.2644774931000001E-3</v>
      </c>
      <c r="J23" s="771">
        <f t="shared" si="5"/>
        <v>2.2644774930000001E-4</v>
      </c>
      <c r="K23" s="525">
        <f>+DATA!G19</f>
        <v>9446</v>
      </c>
      <c r="L23" s="525">
        <f>+DATA!H19</f>
        <v>10106</v>
      </c>
      <c r="M23" s="525">
        <f>+DATA!I19</f>
        <v>187466233211</v>
      </c>
      <c r="N23" s="525">
        <f>+DATA!J19</f>
        <v>294748890245</v>
      </c>
      <c r="O23" s="773">
        <f t="shared" si="13"/>
        <v>0.77102730959454957</v>
      </c>
      <c r="P23" s="774" t="str">
        <f t="shared" si="14"/>
        <v>SI</v>
      </c>
      <c r="Q23" s="771">
        <f t="shared" si="6"/>
        <v>1.6170358583999999E-3</v>
      </c>
      <c r="R23" s="771">
        <f t="shared" si="7"/>
        <v>2.3183350400000002E-3</v>
      </c>
      <c r="S23" s="771">
        <f t="shared" si="8"/>
        <v>6.9550051199999995E-4</v>
      </c>
      <c r="T23" s="525">
        <f>+DATA!K19</f>
        <v>0</v>
      </c>
      <c r="U23" s="525">
        <f>+DATA!L19</f>
        <v>0</v>
      </c>
      <c r="V23" s="525">
        <f>+DATA!M19</f>
        <v>3264150</v>
      </c>
      <c r="W23" s="526">
        <f t="shared" si="9"/>
        <v>3264150</v>
      </c>
      <c r="X23" s="526">
        <f t="shared" si="15"/>
        <v>3264150</v>
      </c>
      <c r="Y23" s="526">
        <f t="shared" si="16"/>
        <v>3264150</v>
      </c>
      <c r="Z23" s="525">
        <f>+DATA!F19</f>
        <v>355103.6330647241</v>
      </c>
      <c r="AA23" s="525">
        <f>IF(P23="SI",ROUND(Z23/DIV_Pf,PARAMETROS!$L$8),0)</f>
        <v>29592</v>
      </c>
      <c r="AB23" s="526">
        <f t="shared" si="17"/>
        <v>57946</v>
      </c>
      <c r="AC23" s="775">
        <f t="shared" si="18"/>
        <v>56.33</v>
      </c>
      <c r="AD23" s="525">
        <f>IF(AC23&lt;$AC$6,ROUND(($AC$6-AC23)*AB23,PARAMETROS!$L$8),0)</f>
        <v>2792418</v>
      </c>
      <c r="AE23" s="771">
        <f t="shared" si="10"/>
        <v>2.6802185979000002E-3</v>
      </c>
      <c r="AF23" s="771">
        <f t="shared" si="11"/>
        <v>9.380765093E-4</v>
      </c>
      <c r="AG23" s="771">
        <f t="shared" si="19"/>
        <v>2.5825681232E-3</v>
      </c>
      <c r="AH23" s="525">
        <f>+DATA!Q19</f>
        <v>4544654.335</v>
      </c>
      <c r="AI23" s="525">
        <f>+DATA!R19</f>
        <v>378721.19458333333</v>
      </c>
      <c r="AJ23" s="525">
        <f>+DATA!S19</f>
        <v>299190</v>
      </c>
      <c r="AK23" s="525">
        <f>+'_DATA STT PAGOS_'!G21</f>
        <v>0</v>
      </c>
      <c r="AL23" s="525">
        <f>+'_DATA STT PAGOS_'!J21</f>
        <v>6173909.557</v>
      </c>
      <c r="AM23" s="525">
        <f>+DATA!Y19</f>
        <v>91671</v>
      </c>
      <c r="AN23" s="525">
        <f>+DATA!Z19</f>
        <v>82882</v>
      </c>
      <c r="AO23" s="525">
        <f>+DATA!AA19</f>
        <v>80228</v>
      </c>
      <c r="AP23" s="525">
        <f>+DATA!AB19</f>
        <v>79785</v>
      </c>
      <c r="AQ23" s="525">
        <f>+DATA!AC19</f>
        <v>334566</v>
      </c>
      <c r="AR23" s="525">
        <f>+DATA!AD19</f>
        <v>2843</v>
      </c>
      <c r="AS23" s="525">
        <f>+DATA!AE19</f>
        <v>1079</v>
      </c>
      <c r="AT23" s="525">
        <f>+DATA!AF19</f>
        <v>1476.241</v>
      </c>
      <c r="AU23" s="525">
        <f>+DATA!AG19</f>
        <v>1357</v>
      </c>
      <c r="AV23" s="525">
        <f>+DATA!AH19</f>
        <v>6755.241</v>
      </c>
    </row>
    <row r="24" spans="1:48" x14ac:dyDescent="0.25">
      <c r="A24" s="527">
        <v>2302</v>
      </c>
      <c r="B24" s="527">
        <v>2103</v>
      </c>
      <c r="C24" s="527" t="s">
        <v>374</v>
      </c>
      <c r="D24" s="771">
        <f t="shared" si="2"/>
        <v>2.8901734103999998E-3</v>
      </c>
      <c r="E24" s="771">
        <f t="shared" si="3"/>
        <v>7.2254335259999995E-4</v>
      </c>
      <c r="F24" s="525">
        <f>+DATA!D20</f>
        <v>6507</v>
      </c>
      <c r="G24" s="772">
        <f>+DATA!E20</f>
        <v>5.5513796245607212E-2</v>
      </c>
      <c r="H24" s="525">
        <f t="shared" si="12"/>
        <v>361</v>
      </c>
      <c r="I24" s="771">
        <f t="shared" si="4"/>
        <v>2.7645464150000002E-4</v>
      </c>
      <c r="J24" s="771">
        <f t="shared" si="5"/>
        <v>2.76454642E-5</v>
      </c>
      <c r="K24" s="525">
        <f>+DATA!G20</f>
        <v>492</v>
      </c>
      <c r="L24" s="525">
        <f>+DATA!H20</f>
        <v>585</v>
      </c>
      <c r="M24" s="525">
        <f>+DATA!I20</f>
        <v>146669201198</v>
      </c>
      <c r="N24" s="525">
        <f>+DATA!J20</f>
        <v>329774493206</v>
      </c>
      <c r="O24" s="773">
        <f t="shared" si="13"/>
        <v>0.61159728791432866</v>
      </c>
      <c r="P24" s="774" t="str">
        <f t="shared" si="14"/>
        <v>SI</v>
      </c>
      <c r="Q24" s="771">
        <f t="shared" si="6"/>
        <v>7.5783978600000001E-5</v>
      </c>
      <c r="R24" s="771">
        <f t="shared" si="7"/>
        <v>1.0865105570000001E-4</v>
      </c>
      <c r="S24" s="771">
        <f t="shared" si="8"/>
        <v>3.2595316700000001E-5</v>
      </c>
      <c r="T24" s="525">
        <f>+DATA!K20</f>
        <v>0</v>
      </c>
      <c r="U24" s="525">
        <f>+DATA!L20</f>
        <v>0</v>
      </c>
      <c r="V24" s="525">
        <f>+DATA!M20</f>
        <v>6646122</v>
      </c>
      <c r="W24" s="526">
        <f t="shared" si="9"/>
        <v>6646122</v>
      </c>
      <c r="X24" s="526">
        <f t="shared" si="15"/>
        <v>6646122</v>
      </c>
      <c r="Y24" s="526">
        <f t="shared" si="16"/>
        <v>6646122</v>
      </c>
      <c r="Z24" s="525">
        <f>+DATA!F20</f>
        <v>247817.03480980464</v>
      </c>
      <c r="AA24" s="525">
        <f>IF(P24="SI",ROUND(Z24/DIV_Pf,PARAMETROS!$L$8),0)</f>
        <v>20651</v>
      </c>
      <c r="AB24" s="526">
        <f t="shared" si="17"/>
        <v>27158</v>
      </c>
      <c r="AC24" s="775">
        <f t="shared" si="18"/>
        <v>244.72</v>
      </c>
      <c r="AD24" s="525">
        <f>IF(AC24&lt;$AC$6,ROUND(($AC$6-AC24)*AB24,PARAMETROS!$L$8),0)</f>
        <v>0</v>
      </c>
      <c r="AE24" s="771">
        <f t="shared" si="10"/>
        <v>0</v>
      </c>
      <c r="AF24" s="771">
        <f t="shared" si="11"/>
        <v>0</v>
      </c>
      <c r="AG24" s="771">
        <f t="shared" si="19"/>
        <v>7.8278413350000003E-4</v>
      </c>
      <c r="AH24" s="525">
        <f>+DATA!Q20</f>
        <v>1508526.4669999999</v>
      </c>
      <c r="AI24" s="525">
        <f>+DATA!R20</f>
        <v>125710.53891666666</v>
      </c>
      <c r="AJ24" s="525">
        <f>+DATA!S20</f>
        <v>99311</v>
      </c>
      <c r="AK24" s="525">
        <f>+'_DATA STT PAGOS_'!G22</f>
        <v>0</v>
      </c>
      <c r="AL24" s="525">
        <f>+'_DATA STT PAGOS_'!J22</f>
        <v>2045180.247</v>
      </c>
      <c r="AM24" s="525">
        <f>+DATA!Y20</f>
        <v>142056</v>
      </c>
      <c r="AN24" s="525">
        <f>+DATA!Z20</f>
        <v>71245</v>
      </c>
      <c r="AO24" s="525">
        <f>+DATA!AA20</f>
        <v>157442</v>
      </c>
      <c r="AP24" s="525">
        <f>+DATA!AB20</f>
        <v>99829</v>
      </c>
      <c r="AQ24" s="525">
        <f>+DATA!AC20</f>
        <v>470572</v>
      </c>
      <c r="AR24" s="525">
        <f>+DATA!AD20</f>
        <v>0</v>
      </c>
      <c r="AS24" s="525">
        <f>+DATA!AE20</f>
        <v>0</v>
      </c>
      <c r="AT24" s="525">
        <f>+DATA!AF20</f>
        <v>0</v>
      </c>
      <c r="AU24" s="525">
        <f>+DATA!AG20</f>
        <v>0</v>
      </c>
      <c r="AV24" s="525">
        <f>+DATA!AH20</f>
        <v>0</v>
      </c>
    </row>
    <row r="25" spans="1:48" x14ac:dyDescent="0.25">
      <c r="A25" s="527">
        <v>3101</v>
      </c>
      <c r="B25" s="527">
        <v>3201</v>
      </c>
      <c r="C25" s="527" t="s">
        <v>375</v>
      </c>
      <c r="D25" s="771">
        <f t="shared" si="2"/>
        <v>2.8901734103999998E-3</v>
      </c>
      <c r="E25" s="771">
        <f t="shared" si="3"/>
        <v>7.2254335259999995E-4</v>
      </c>
      <c r="F25" s="525">
        <f>+DATA!D21</f>
        <v>176100</v>
      </c>
      <c r="G25" s="772">
        <f>+DATA!E21</f>
        <v>7.232720034645454E-2</v>
      </c>
      <c r="H25" s="525">
        <f t="shared" si="12"/>
        <v>12737</v>
      </c>
      <c r="I25" s="771">
        <f t="shared" si="4"/>
        <v>9.7540242911999999E-3</v>
      </c>
      <c r="J25" s="771">
        <f t="shared" si="5"/>
        <v>9.7540242909999999E-4</v>
      </c>
      <c r="K25" s="525">
        <f>+DATA!G21</f>
        <v>46758</v>
      </c>
      <c r="L25" s="525">
        <f>+DATA!H21</f>
        <v>65681</v>
      </c>
      <c r="M25" s="525">
        <f>+DATA!I21</f>
        <v>1856146601249</v>
      </c>
      <c r="N25" s="525">
        <f>+DATA!J21</f>
        <v>3957962697019</v>
      </c>
      <c r="O25" s="773">
        <f t="shared" si="13"/>
        <v>0.57780111289630842</v>
      </c>
      <c r="P25" s="774" t="str">
        <f t="shared" si="14"/>
        <v>SI</v>
      </c>
      <c r="Q25" s="771">
        <f t="shared" si="6"/>
        <v>6.0964239281999996E-3</v>
      </c>
      <c r="R25" s="771">
        <f t="shared" si="7"/>
        <v>8.7404080359999997E-3</v>
      </c>
      <c r="S25" s="771">
        <f t="shared" si="8"/>
        <v>2.6221224108000001E-3</v>
      </c>
      <c r="T25" s="525">
        <f>+DATA!K21</f>
        <v>0</v>
      </c>
      <c r="U25" s="525">
        <f>+DATA!L21</f>
        <v>0</v>
      </c>
      <c r="V25" s="525">
        <f>+DATA!M21</f>
        <v>26253692</v>
      </c>
      <c r="W25" s="526">
        <f t="shared" si="9"/>
        <v>26253692</v>
      </c>
      <c r="X25" s="526">
        <f t="shared" si="15"/>
        <v>26253692</v>
      </c>
      <c r="Y25" s="526">
        <f t="shared" si="16"/>
        <v>26253692</v>
      </c>
      <c r="Z25" s="525">
        <f>+DATA!F21</f>
        <v>1048829.03557989</v>
      </c>
      <c r="AA25" s="525">
        <f>IF(P25="SI",ROUND(Z25/DIV_Pf,PARAMETROS!$L$8),0)</f>
        <v>87402</v>
      </c>
      <c r="AB25" s="526">
        <f t="shared" si="17"/>
        <v>263502</v>
      </c>
      <c r="AC25" s="775">
        <f t="shared" si="18"/>
        <v>99.63</v>
      </c>
      <c r="AD25" s="525">
        <f>IF(AC25&lt;$AC$6,ROUND(($AC$6-AC25)*AB25,PARAMETROS!$L$8),0)</f>
        <v>1288525</v>
      </c>
      <c r="AE25" s="771">
        <f t="shared" si="10"/>
        <v>1.2367520439E-3</v>
      </c>
      <c r="AF25" s="771">
        <f t="shared" si="11"/>
        <v>4.3286321539999999E-4</v>
      </c>
      <c r="AG25" s="771">
        <f t="shared" si="19"/>
        <v>4.7529314079000004E-3</v>
      </c>
      <c r="AH25" s="525">
        <f>+DATA!Q21</f>
        <v>12255380.461999999</v>
      </c>
      <c r="AI25" s="525">
        <f>+DATA!R21</f>
        <v>1021281.7051666667</v>
      </c>
      <c r="AJ25" s="525">
        <f>+DATA!S21</f>
        <v>806813</v>
      </c>
      <c r="AK25" s="525">
        <f>+'_DATA STT PAGOS_'!G23</f>
        <v>0</v>
      </c>
      <c r="AL25" s="525">
        <f>+'_DATA STT PAGOS_'!J23</f>
        <v>16633220.783999998</v>
      </c>
      <c r="AM25" s="525">
        <f>+DATA!Y21</f>
        <v>950984</v>
      </c>
      <c r="AN25" s="525">
        <f>+DATA!Z21</f>
        <v>730389</v>
      </c>
      <c r="AO25" s="525">
        <f>+DATA!AA21</f>
        <v>825475</v>
      </c>
      <c r="AP25" s="525">
        <f>+DATA!AB21</f>
        <v>713920</v>
      </c>
      <c r="AQ25" s="525">
        <f>+DATA!AC21</f>
        <v>3220768</v>
      </c>
      <c r="AR25" s="525">
        <f>+DATA!AD21</f>
        <v>96659</v>
      </c>
      <c r="AS25" s="525">
        <f>+DATA!AE21</f>
        <v>45348</v>
      </c>
      <c r="AT25" s="525">
        <f>+DATA!AF21</f>
        <v>61800.078999999998</v>
      </c>
      <c r="AU25" s="525">
        <f>+DATA!AG21</f>
        <v>40863</v>
      </c>
      <c r="AV25" s="525">
        <f>+DATA!AH21</f>
        <v>244670.079</v>
      </c>
    </row>
    <row r="26" spans="1:48" x14ac:dyDescent="0.25">
      <c r="A26" s="527">
        <v>3102</v>
      </c>
      <c r="B26" s="527">
        <v>3202</v>
      </c>
      <c r="C26" s="527" t="s">
        <v>72</v>
      </c>
      <c r="D26" s="771">
        <f t="shared" si="2"/>
        <v>2.8901734103999998E-3</v>
      </c>
      <c r="E26" s="771">
        <f t="shared" si="3"/>
        <v>7.2254335259999995E-4</v>
      </c>
      <c r="F26" s="525">
        <f>+DATA!D22</f>
        <v>19964</v>
      </c>
      <c r="G26" s="772">
        <f>+DATA!E22</f>
        <v>4.1111214166464051E-2</v>
      </c>
      <c r="H26" s="525">
        <f t="shared" si="12"/>
        <v>821</v>
      </c>
      <c r="I26" s="771">
        <f t="shared" si="4"/>
        <v>6.2872371379999999E-4</v>
      </c>
      <c r="J26" s="771">
        <f t="shared" si="5"/>
        <v>6.2872371400000005E-5</v>
      </c>
      <c r="K26" s="525">
        <f>+DATA!G22</f>
        <v>8138</v>
      </c>
      <c r="L26" s="525">
        <f>+DATA!H22</f>
        <v>10147</v>
      </c>
      <c r="M26" s="525">
        <f>+DATA!I22</f>
        <v>458870601212</v>
      </c>
      <c r="N26" s="525">
        <f>+DATA!J22</f>
        <v>678494514945</v>
      </c>
      <c r="O26" s="773">
        <f t="shared" si="13"/>
        <v>0.73648169858296653</v>
      </c>
      <c r="P26" s="774" t="str">
        <f t="shared" si="14"/>
        <v>SI</v>
      </c>
      <c r="Q26" s="771">
        <f t="shared" si="6"/>
        <v>1.1953656526E-3</v>
      </c>
      <c r="R26" s="771">
        <f t="shared" si="7"/>
        <v>1.7137888832999999E-3</v>
      </c>
      <c r="S26" s="771">
        <f t="shared" si="8"/>
        <v>5.1413666500000005E-4</v>
      </c>
      <c r="T26" s="525">
        <f>+DATA!K22</f>
        <v>0</v>
      </c>
      <c r="U26" s="525">
        <f>+DATA!L22</f>
        <v>0</v>
      </c>
      <c r="V26" s="525">
        <f>+DATA!M22</f>
        <v>3543232</v>
      </c>
      <c r="W26" s="526">
        <f t="shared" si="9"/>
        <v>3543232</v>
      </c>
      <c r="X26" s="526">
        <f t="shared" si="15"/>
        <v>3543232</v>
      </c>
      <c r="Y26" s="526">
        <f t="shared" si="16"/>
        <v>3543232</v>
      </c>
      <c r="Z26" s="525">
        <f>+DATA!F22</f>
        <v>1169395.2762500928</v>
      </c>
      <c r="AA26" s="525">
        <f>IF(P26="SI",ROUND(Z26/DIV_Pf,PARAMETROS!$L$8),0)</f>
        <v>97450</v>
      </c>
      <c r="AB26" s="526">
        <f t="shared" si="17"/>
        <v>117414</v>
      </c>
      <c r="AC26" s="775">
        <f t="shared" si="18"/>
        <v>30.18</v>
      </c>
      <c r="AD26" s="525">
        <f>IF(AC26&lt;$AC$6,ROUND(($AC$6-AC26)*AB26,PARAMETROS!$L$8),0)</f>
        <v>8728557</v>
      </c>
      <c r="AE26" s="771">
        <f t="shared" si="10"/>
        <v>8.3778434332999994E-3</v>
      </c>
      <c r="AF26" s="771">
        <f t="shared" si="11"/>
        <v>2.9322452017E-3</v>
      </c>
      <c r="AG26" s="771">
        <f t="shared" si="19"/>
        <v>4.2317975907E-3</v>
      </c>
      <c r="AH26" s="525">
        <f>+DATA!Q22</f>
        <v>7413729.7390000001</v>
      </c>
      <c r="AI26" s="525">
        <f>+DATA!R22</f>
        <v>617810.8115833333</v>
      </c>
      <c r="AJ26" s="525">
        <f>+DATA!S22</f>
        <v>488071</v>
      </c>
      <c r="AK26" s="525">
        <f>+'_DATA STT PAGOS_'!G24</f>
        <v>0</v>
      </c>
      <c r="AL26" s="525">
        <f>+'_DATA STT PAGOS_'!J24</f>
        <v>10056871.368999999</v>
      </c>
      <c r="AM26" s="525">
        <f>+DATA!Y22</f>
        <v>133274</v>
      </c>
      <c r="AN26" s="525">
        <f>+DATA!Z22</f>
        <v>89954</v>
      </c>
      <c r="AO26" s="525">
        <f>+DATA!AA22</f>
        <v>91693</v>
      </c>
      <c r="AP26" s="525">
        <f>+DATA!AB22</f>
        <v>83641</v>
      </c>
      <c r="AQ26" s="525">
        <f>+DATA!AC22</f>
        <v>398562</v>
      </c>
      <c r="AR26" s="525">
        <f>+DATA!AD22</f>
        <v>13602</v>
      </c>
      <c r="AS26" s="525">
        <f>+DATA!AE22</f>
        <v>6773</v>
      </c>
      <c r="AT26" s="525">
        <f>+DATA!AF22</f>
        <v>8536.6389999999992</v>
      </c>
      <c r="AU26" s="525">
        <f>+DATA!AG22</f>
        <v>5809</v>
      </c>
      <c r="AV26" s="525">
        <f>+DATA!AH22</f>
        <v>34720.638999999996</v>
      </c>
    </row>
    <row r="27" spans="1:48" x14ac:dyDescent="0.25">
      <c r="A27" s="527">
        <v>3103</v>
      </c>
      <c r="B27" s="527">
        <v>3203</v>
      </c>
      <c r="C27" s="527" t="s">
        <v>73</v>
      </c>
      <c r="D27" s="771">
        <f t="shared" si="2"/>
        <v>2.8901734103999998E-3</v>
      </c>
      <c r="E27" s="771">
        <f t="shared" si="3"/>
        <v>7.2254335259999995E-4</v>
      </c>
      <c r="F27" s="525">
        <f>+DATA!D23</f>
        <v>14431</v>
      </c>
      <c r="G27" s="772">
        <f>+DATA!E23</f>
        <v>6.874896010670549E-2</v>
      </c>
      <c r="H27" s="525">
        <f t="shared" si="12"/>
        <v>992</v>
      </c>
      <c r="I27" s="771">
        <f t="shared" si="4"/>
        <v>7.5967591249999995E-4</v>
      </c>
      <c r="J27" s="771">
        <f t="shared" si="5"/>
        <v>7.5967591299999998E-5</v>
      </c>
      <c r="K27" s="525">
        <f>+DATA!G23</f>
        <v>3624</v>
      </c>
      <c r="L27" s="525">
        <f>+DATA!H23</f>
        <v>4394</v>
      </c>
      <c r="M27" s="525">
        <f>+DATA!I23</f>
        <v>98350792336</v>
      </c>
      <c r="N27" s="525">
        <f>+DATA!J23</f>
        <v>359508757128</v>
      </c>
      <c r="O27" s="773">
        <f t="shared" si="13"/>
        <v>0.47500508945098557</v>
      </c>
      <c r="P27" s="774" t="str">
        <f t="shared" si="14"/>
        <v>SI</v>
      </c>
      <c r="Q27" s="771">
        <f t="shared" si="6"/>
        <v>5.4741839570000004E-4</v>
      </c>
      <c r="R27" s="771">
        <f t="shared" si="7"/>
        <v>7.8483061560000004E-4</v>
      </c>
      <c r="S27" s="771">
        <f t="shared" si="8"/>
        <v>2.3544918469999999E-4</v>
      </c>
      <c r="T27" s="525">
        <f>+DATA!K23</f>
        <v>0</v>
      </c>
      <c r="U27" s="525">
        <f>+DATA!L23</f>
        <v>0</v>
      </c>
      <c r="V27" s="525">
        <f>+DATA!M23</f>
        <v>7458135</v>
      </c>
      <c r="W27" s="526">
        <f t="shared" si="9"/>
        <v>7458135</v>
      </c>
      <c r="X27" s="526">
        <f t="shared" si="15"/>
        <v>7458135</v>
      </c>
      <c r="Y27" s="526">
        <f t="shared" si="16"/>
        <v>7458135</v>
      </c>
      <c r="Z27" s="525">
        <f>+DATA!F23</f>
        <v>168189.86904131123</v>
      </c>
      <c r="AA27" s="525">
        <f>IF(P27="SI",ROUND(Z27/DIV_Pf,PARAMETROS!$L$8),0)</f>
        <v>14016</v>
      </c>
      <c r="AB27" s="526">
        <f t="shared" si="17"/>
        <v>28447</v>
      </c>
      <c r="AC27" s="775">
        <f t="shared" si="18"/>
        <v>262.18</v>
      </c>
      <c r="AD27" s="525">
        <f>IF(AC27&lt;$AC$6,ROUND(($AC$6-AC27)*AB27,PARAMETROS!$L$8),0)</f>
        <v>0</v>
      </c>
      <c r="AE27" s="771">
        <f t="shared" si="10"/>
        <v>0</v>
      </c>
      <c r="AF27" s="771">
        <f t="shared" si="11"/>
        <v>0</v>
      </c>
      <c r="AG27" s="771">
        <f t="shared" si="19"/>
        <v>1.0339601286E-3</v>
      </c>
      <c r="AH27" s="525">
        <f>+DATA!Q23</f>
        <v>1979125.38</v>
      </c>
      <c r="AI27" s="525">
        <f>+DATA!R23</f>
        <v>164927.11499999999</v>
      </c>
      <c r="AJ27" s="525">
        <f>+DATA!S23</f>
        <v>130292</v>
      </c>
      <c r="AK27" s="525">
        <f>+'_DATA STT PAGOS_'!G25</f>
        <v>0</v>
      </c>
      <c r="AL27" s="525">
        <f>+'_DATA STT PAGOS_'!J25</f>
        <v>2685199.1659999997</v>
      </c>
      <c r="AM27" s="525">
        <f>+DATA!Y23</f>
        <v>128501</v>
      </c>
      <c r="AN27" s="525">
        <f>+DATA!Z23</f>
        <v>112678</v>
      </c>
      <c r="AO27" s="525">
        <f>+DATA!AA23</f>
        <v>132795</v>
      </c>
      <c r="AP27" s="525">
        <f>+DATA!AB23</f>
        <v>121891</v>
      </c>
      <c r="AQ27" s="525">
        <f>+DATA!AC23</f>
        <v>495865</v>
      </c>
      <c r="AR27" s="525">
        <f>+DATA!AD23</f>
        <v>0</v>
      </c>
      <c r="AS27" s="525">
        <f>+DATA!AE23</f>
        <v>0</v>
      </c>
      <c r="AT27" s="525">
        <f>+DATA!AF23</f>
        <v>0</v>
      </c>
      <c r="AU27" s="525">
        <f>+DATA!AG23</f>
        <v>0</v>
      </c>
      <c r="AV27" s="525">
        <f>+DATA!AH23</f>
        <v>0</v>
      </c>
    </row>
    <row r="28" spans="1:48" x14ac:dyDescent="0.25">
      <c r="A28" s="527">
        <v>3201</v>
      </c>
      <c r="B28" s="527">
        <v>3101</v>
      </c>
      <c r="C28" s="527" t="s">
        <v>70</v>
      </c>
      <c r="D28" s="771">
        <f t="shared" si="2"/>
        <v>2.8901734103999998E-3</v>
      </c>
      <c r="E28" s="771">
        <f t="shared" si="3"/>
        <v>7.2254335259999995E-4</v>
      </c>
      <c r="F28" s="525">
        <f>+DATA!D24</f>
        <v>13017</v>
      </c>
      <c r="G28" s="772">
        <f>+DATA!E24</f>
        <v>0.1146199488480459</v>
      </c>
      <c r="H28" s="525">
        <f t="shared" si="12"/>
        <v>1492</v>
      </c>
      <c r="I28" s="771">
        <f t="shared" si="4"/>
        <v>1.142577078E-3</v>
      </c>
      <c r="J28" s="771">
        <f t="shared" si="5"/>
        <v>1.1425770779999999E-4</v>
      </c>
      <c r="K28" s="525">
        <f>+DATA!G24</f>
        <v>5017</v>
      </c>
      <c r="L28" s="525">
        <f>+DATA!H24</f>
        <v>5582</v>
      </c>
      <c r="M28" s="525">
        <f>+DATA!I24</f>
        <v>107941279310</v>
      </c>
      <c r="N28" s="525">
        <f>+DATA!J24</f>
        <v>164488764323</v>
      </c>
      <c r="O28" s="773">
        <f t="shared" si="13"/>
        <v>0.76798510299493139</v>
      </c>
      <c r="P28" s="774" t="str">
        <f t="shared" si="14"/>
        <v>SI</v>
      </c>
      <c r="Q28" s="771">
        <f t="shared" si="6"/>
        <v>8.2585049229999996E-4</v>
      </c>
      <c r="R28" s="771">
        <f t="shared" si="7"/>
        <v>1.1840171162999999E-3</v>
      </c>
      <c r="S28" s="771">
        <f t="shared" si="8"/>
        <v>3.5520513490000001E-4</v>
      </c>
      <c r="T28" s="525">
        <f>+DATA!K24</f>
        <v>0</v>
      </c>
      <c r="U28" s="525">
        <f>+DATA!L24</f>
        <v>0</v>
      </c>
      <c r="V28" s="525">
        <f>+DATA!M24</f>
        <v>3063852</v>
      </c>
      <c r="W28" s="526">
        <f t="shared" si="9"/>
        <v>3063852</v>
      </c>
      <c r="X28" s="526">
        <f t="shared" si="15"/>
        <v>3063852</v>
      </c>
      <c r="Y28" s="526">
        <f t="shared" si="16"/>
        <v>3063852</v>
      </c>
      <c r="Z28" s="525">
        <f>+DATA!F24</f>
        <v>332648.19775704946</v>
      </c>
      <c r="AA28" s="525">
        <f>IF(P28="SI",ROUND(Z28/DIV_Pf,PARAMETROS!$L$8),0)</f>
        <v>27721</v>
      </c>
      <c r="AB28" s="526">
        <f t="shared" si="17"/>
        <v>40738</v>
      </c>
      <c r="AC28" s="775">
        <f t="shared" si="18"/>
        <v>75.209999999999994</v>
      </c>
      <c r="AD28" s="525">
        <f>IF(AC28&lt;$AC$6,ROUND(($AC$6-AC28)*AB28,PARAMETROS!$L$8),0)</f>
        <v>1194031</v>
      </c>
      <c r="AE28" s="771">
        <f t="shared" si="10"/>
        <v>1.1460548144E-3</v>
      </c>
      <c r="AF28" s="771">
        <f t="shared" si="11"/>
        <v>4.0111918499999999E-4</v>
      </c>
      <c r="AG28" s="771">
        <f t="shared" si="19"/>
        <v>1.5931253803E-3</v>
      </c>
      <c r="AH28" s="525">
        <f>+DATA!Q24</f>
        <v>2786396.3420000002</v>
      </c>
      <c r="AI28" s="525">
        <f>+DATA!R24</f>
        <v>232199.69516666667</v>
      </c>
      <c r="AJ28" s="525">
        <f>+DATA!S24</f>
        <v>183438</v>
      </c>
      <c r="AK28" s="525">
        <f>+'_DATA STT PAGOS_'!G26</f>
        <v>0</v>
      </c>
      <c r="AL28" s="525">
        <f>+'_DATA STT PAGOS_'!J26</f>
        <v>3782637.95</v>
      </c>
      <c r="AM28" s="525">
        <f>+DATA!Y24</f>
        <v>31268</v>
      </c>
      <c r="AN28" s="525">
        <f>+DATA!Z24</f>
        <v>45040</v>
      </c>
      <c r="AO28" s="525">
        <f>+DATA!AA24</f>
        <v>25311</v>
      </c>
      <c r="AP28" s="525">
        <f>+DATA!AB24</f>
        <v>19543</v>
      </c>
      <c r="AQ28" s="525">
        <f>+DATA!AC24</f>
        <v>121162</v>
      </c>
      <c r="AR28" s="525">
        <f>+DATA!AD24</f>
        <v>2196</v>
      </c>
      <c r="AS28" s="525">
        <f>+DATA!AE24</f>
        <v>1041</v>
      </c>
      <c r="AT28" s="525">
        <f>+DATA!AF24</f>
        <v>1069.644</v>
      </c>
      <c r="AU28" s="525">
        <f>+DATA!AG24</f>
        <v>990</v>
      </c>
      <c r="AV28" s="525">
        <f>+DATA!AH24</f>
        <v>5296.6440000000002</v>
      </c>
    </row>
    <row r="29" spans="1:48" x14ac:dyDescent="0.25">
      <c r="A29" s="527">
        <v>3202</v>
      </c>
      <c r="B29" s="527">
        <v>3102</v>
      </c>
      <c r="C29" s="527" t="s">
        <v>71</v>
      </c>
      <c r="D29" s="771">
        <f t="shared" si="2"/>
        <v>2.8901734103999998E-3</v>
      </c>
      <c r="E29" s="771">
        <f t="shared" si="3"/>
        <v>7.2254335259999995E-4</v>
      </c>
      <c r="F29" s="525">
        <f>+DATA!D25</f>
        <v>13909</v>
      </c>
      <c r="G29" s="772">
        <f>+DATA!E25</f>
        <v>5.6804255654079823E-2</v>
      </c>
      <c r="H29" s="525">
        <f t="shared" si="12"/>
        <v>790</v>
      </c>
      <c r="I29" s="771">
        <f t="shared" si="4"/>
        <v>6.0498384159999999E-4</v>
      </c>
      <c r="J29" s="771">
        <f t="shared" si="5"/>
        <v>6.0498384200000003E-5</v>
      </c>
      <c r="K29" s="525">
        <f>+DATA!G25</f>
        <v>3221</v>
      </c>
      <c r="L29" s="525">
        <f>+DATA!H25</f>
        <v>3795</v>
      </c>
      <c r="M29" s="525">
        <f>+DATA!I25</f>
        <v>78496485391</v>
      </c>
      <c r="N29" s="525">
        <f>+DATA!J25</f>
        <v>266969685096</v>
      </c>
      <c r="O29" s="773">
        <f t="shared" si="13"/>
        <v>0.49955533767447174</v>
      </c>
      <c r="P29" s="774" t="str">
        <f t="shared" si="14"/>
        <v>SI</v>
      </c>
      <c r="Q29" s="771">
        <f t="shared" si="6"/>
        <v>5.0069439700000003E-4</v>
      </c>
      <c r="R29" s="771">
        <f t="shared" si="7"/>
        <v>7.1784268659999995E-4</v>
      </c>
      <c r="S29" s="771">
        <f t="shared" si="8"/>
        <v>2.1535280600000001E-4</v>
      </c>
      <c r="T29" s="525">
        <f>+DATA!K25</f>
        <v>0</v>
      </c>
      <c r="U29" s="525">
        <f>+DATA!L25</f>
        <v>0</v>
      </c>
      <c r="V29" s="525">
        <f>+DATA!M25</f>
        <v>5348541</v>
      </c>
      <c r="W29" s="526">
        <f t="shared" si="9"/>
        <v>5348541</v>
      </c>
      <c r="X29" s="526">
        <f t="shared" si="15"/>
        <v>5348541</v>
      </c>
      <c r="Y29" s="526">
        <f t="shared" si="16"/>
        <v>5348541</v>
      </c>
      <c r="Z29" s="525">
        <f>+DATA!F25</f>
        <v>278022.88275770459</v>
      </c>
      <c r="AA29" s="525">
        <f>IF(P29="SI",ROUND(Z29/DIV_Pf,PARAMETROS!$L$8),0)</f>
        <v>23169</v>
      </c>
      <c r="AB29" s="526">
        <f t="shared" si="17"/>
        <v>37078</v>
      </c>
      <c r="AC29" s="775">
        <f t="shared" si="18"/>
        <v>144.25</v>
      </c>
      <c r="AD29" s="525">
        <f>IF(AC29&lt;$AC$6,ROUND(($AC$6-AC29)*AB29,PARAMETROS!$L$8),0)</f>
        <v>0</v>
      </c>
      <c r="AE29" s="771">
        <f t="shared" si="10"/>
        <v>0</v>
      </c>
      <c r="AF29" s="771">
        <f t="shared" si="11"/>
        <v>0</v>
      </c>
      <c r="AG29" s="771">
        <f t="shared" si="19"/>
        <v>9.9839454279999993E-4</v>
      </c>
      <c r="AH29" s="525">
        <f>+DATA!Q25</f>
        <v>2093061.2520000001</v>
      </c>
      <c r="AI29" s="525">
        <f>+DATA!R25</f>
        <v>174421.77100000001</v>
      </c>
      <c r="AJ29" s="525">
        <f>+DATA!S25</f>
        <v>137793</v>
      </c>
      <c r="AK29" s="525">
        <f>+'_DATA STT PAGOS_'!G27</f>
        <v>0</v>
      </c>
      <c r="AL29" s="525">
        <f>+'_DATA STT PAGOS_'!J27</f>
        <v>2839952.64</v>
      </c>
      <c r="AM29" s="525">
        <f>+DATA!Y25</f>
        <v>124859</v>
      </c>
      <c r="AN29" s="525">
        <f>+DATA!Z25</f>
        <v>113119</v>
      </c>
      <c r="AO29" s="525">
        <f>+DATA!AA25</f>
        <v>117320</v>
      </c>
      <c r="AP29" s="525">
        <f>+DATA!AB25</f>
        <v>116687</v>
      </c>
      <c r="AQ29" s="525">
        <f>+DATA!AC25</f>
        <v>471985</v>
      </c>
      <c r="AR29" s="525">
        <f>+DATA!AD25</f>
        <v>320</v>
      </c>
      <c r="AS29" s="525">
        <f>+DATA!AE25</f>
        <v>214</v>
      </c>
      <c r="AT29" s="525">
        <f>+DATA!AF25</f>
        <v>322.43799999999999</v>
      </c>
      <c r="AU29" s="525">
        <f>+DATA!AG25</f>
        <v>270</v>
      </c>
      <c r="AV29" s="525">
        <f>+DATA!AH25</f>
        <v>1126.4380000000001</v>
      </c>
    </row>
    <row r="30" spans="1:48" x14ac:dyDescent="0.25">
      <c r="A30" s="527">
        <v>3301</v>
      </c>
      <c r="B30" s="527">
        <v>3301</v>
      </c>
      <c r="C30" s="527" t="s">
        <v>74</v>
      </c>
      <c r="D30" s="771">
        <f t="shared" si="2"/>
        <v>2.8901734103999998E-3</v>
      </c>
      <c r="E30" s="771">
        <f t="shared" si="3"/>
        <v>7.2254335259999995E-4</v>
      </c>
      <c r="F30" s="525">
        <f>+DATA!D26</f>
        <v>57360</v>
      </c>
      <c r="G30" s="772">
        <f>+DATA!E26</f>
        <v>0.10727825897008141</v>
      </c>
      <c r="H30" s="525">
        <f t="shared" si="12"/>
        <v>6153</v>
      </c>
      <c r="I30" s="771">
        <f t="shared" si="4"/>
        <v>4.7119817433000002E-3</v>
      </c>
      <c r="J30" s="771">
        <f t="shared" si="5"/>
        <v>4.7119817429999998E-4</v>
      </c>
      <c r="K30" s="525">
        <f>+DATA!G26</f>
        <v>18999</v>
      </c>
      <c r="L30" s="525">
        <f>+DATA!H26</f>
        <v>23264</v>
      </c>
      <c r="M30" s="525">
        <f>+DATA!I26</f>
        <v>494271808386</v>
      </c>
      <c r="N30" s="525">
        <f>+DATA!J26</f>
        <v>939357594737</v>
      </c>
      <c r="O30" s="773">
        <f t="shared" si="13"/>
        <v>0.65552705629032837</v>
      </c>
      <c r="P30" s="774" t="str">
        <f t="shared" si="14"/>
        <v>SI</v>
      </c>
      <c r="Q30" s="771">
        <f t="shared" si="6"/>
        <v>2.8417126358999999E-3</v>
      </c>
      <c r="R30" s="771">
        <f t="shared" si="7"/>
        <v>4.0741471150000002E-3</v>
      </c>
      <c r="S30" s="771">
        <f t="shared" si="8"/>
        <v>1.2222441345E-3</v>
      </c>
      <c r="T30" s="525">
        <f>+DATA!K26</f>
        <v>0</v>
      </c>
      <c r="U30" s="525">
        <f>+DATA!L26</f>
        <v>0</v>
      </c>
      <c r="V30" s="525">
        <f>+DATA!M26</f>
        <v>6253296</v>
      </c>
      <c r="W30" s="526">
        <f t="shared" si="9"/>
        <v>6253296</v>
      </c>
      <c r="X30" s="526">
        <f t="shared" si="15"/>
        <v>6253296</v>
      </c>
      <c r="Y30" s="526">
        <f t="shared" si="16"/>
        <v>6253296</v>
      </c>
      <c r="Z30" s="525">
        <f>+DATA!F26</f>
        <v>690110.5867712386</v>
      </c>
      <c r="AA30" s="525">
        <f>IF(P30="SI",ROUND(Z30/DIV_Pf,PARAMETROS!$L$8),0)</f>
        <v>57509</v>
      </c>
      <c r="AB30" s="526">
        <f t="shared" si="17"/>
        <v>114869</v>
      </c>
      <c r="AC30" s="775">
        <f t="shared" si="18"/>
        <v>54.44</v>
      </c>
      <c r="AD30" s="525">
        <f>IF(AC30&lt;$AC$6,ROUND(($AC$6-AC30)*AB30,PARAMETROS!$L$8),0)</f>
        <v>5752640</v>
      </c>
      <c r="AE30" s="771">
        <f t="shared" si="10"/>
        <v>5.5214988283000003E-3</v>
      </c>
      <c r="AF30" s="771">
        <f t="shared" si="11"/>
        <v>1.9325245899000001E-3</v>
      </c>
      <c r="AG30" s="771">
        <f t="shared" si="19"/>
        <v>4.3485102512999998E-3</v>
      </c>
      <c r="AH30" s="525">
        <f>+DATA!Q26</f>
        <v>7493541.0750000002</v>
      </c>
      <c r="AI30" s="525">
        <f>+DATA!R26</f>
        <v>624461.75624999998</v>
      </c>
      <c r="AJ30" s="525">
        <f>+DATA!S26</f>
        <v>493325</v>
      </c>
      <c r="AK30" s="525">
        <f>+'_DATA STT PAGOS_'!G28</f>
        <v>0</v>
      </c>
      <c r="AL30" s="525">
        <f>+'_DATA STT PAGOS_'!J28</f>
        <v>10180143.746000001</v>
      </c>
      <c r="AM30" s="525">
        <f>+DATA!Y26</f>
        <v>169811</v>
      </c>
      <c r="AN30" s="525">
        <f>+DATA!Z26</f>
        <v>145676</v>
      </c>
      <c r="AO30" s="525">
        <f>+DATA!AA26</f>
        <v>147962</v>
      </c>
      <c r="AP30" s="525">
        <f>+DATA!AB26</f>
        <v>120391</v>
      </c>
      <c r="AQ30" s="525">
        <f>+DATA!AC26</f>
        <v>583840</v>
      </c>
      <c r="AR30" s="525">
        <f>+DATA!AD26</f>
        <v>11130</v>
      </c>
      <c r="AS30" s="525">
        <f>+DATA!AE26</f>
        <v>6331</v>
      </c>
      <c r="AT30" s="525">
        <f>+DATA!AF26</f>
        <v>6019.3509999999997</v>
      </c>
      <c r="AU30" s="525">
        <f>+DATA!AG26</f>
        <v>4139</v>
      </c>
      <c r="AV30" s="525">
        <f>+DATA!AH26</f>
        <v>27619.350999999999</v>
      </c>
    </row>
    <row r="31" spans="1:48" x14ac:dyDescent="0.25">
      <c r="A31" s="527">
        <v>3302</v>
      </c>
      <c r="B31" s="527">
        <v>3304</v>
      </c>
      <c r="C31" s="527" t="s">
        <v>77</v>
      </c>
      <c r="D31" s="771">
        <f t="shared" si="2"/>
        <v>2.8901734103999998E-3</v>
      </c>
      <c r="E31" s="771">
        <f t="shared" si="3"/>
        <v>7.2254335259999995E-4</v>
      </c>
      <c r="F31" s="525">
        <f>+DATA!D27</f>
        <v>5781</v>
      </c>
      <c r="G31" s="772">
        <f>+DATA!E27</f>
        <v>0.15061128911529911</v>
      </c>
      <c r="H31" s="525">
        <f t="shared" si="12"/>
        <v>871</v>
      </c>
      <c r="I31" s="771">
        <f t="shared" si="4"/>
        <v>6.670138304E-4</v>
      </c>
      <c r="J31" s="771">
        <f t="shared" si="5"/>
        <v>6.6701382999999998E-5</v>
      </c>
      <c r="K31" s="525">
        <f>+DATA!G27</f>
        <v>3573</v>
      </c>
      <c r="L31" s="525">
        <f>+DATA!H27</f>
        <v>3954</v>
      </c>
      <c r="M31" s="525">
        <f>+DATA!I27</f>
        <v>57667338355</v>
      </c>
      <c r="N31" s="525">
        <f>+DATA!J27</f>
        <v>98662345296</v>
      </c>
      <c r="O31" s="773">
        <f t="shared" si="13"/>
        <v>0.72675396802746861</v>
      </c>
      <c r="P31" s="774" t="str">
        <f t="shared" si="14"/>
        <v>SI</v>
      </c>
      <c r="Q31" s="771">
        <f t="shared" si="6"/>
        <v>5.9133342690000004E-4</v>
      </c>
      <c r="R31" s="771">
        <f t="shared" si="7"/>
        <v>8.4779134409999999E-4</v>
      </c>
      <c r="S31" s="771">
        <f t="shared" si="8"/>
        <v>2.5433740320000001E-4</v>
      </c>
      <c r="T31" s="525">
        <f>+DATA!K27</f>
        <v>0</v>
      </c>
      <c r="U31" s="525">
        <f>+DATA!L27</f>
        <v>0</v>
      </c>
      <c r="V31" s="525">
        <f>+DATA!M27</f>
        <v>1333027</v>
      </c>
      <c r="W31" s="526">
        <f t="shared" si="9"/>
        <v>1333027</v>
      </c>
      <c r="X31" s="526">
        <f t="shared" si="15"/>
        <v>1333027</v>
      </c>
      <c r="Y31" s="526">
        <f t="shared" si="16"/>
        <v>1333027</v>
      </c>
      <c r="Z31" s="525">
        <f>+DATA!F27</f>
        <v>102365.03810542882</v>
      </c>
      <c r="AA31" s="525">
        <f>IF(P31="SI",ROUND(Z31/DIV_Pf,PARAMETROS!$L$8),0)</f>
        <v>8530</v>
      </c>
      <c r="AB31" s="526">
        <f t="shared" si="17"/>
        <v>14311</v>
      </c>
      <c r="AC31" s="775">
        <f t="shared" si="18"/>
        <v>93.15</v>
      </c>
      <c r="AD31" s="525">
        <f>IF(AC31&lt;$AC$6,ROUND(($AC$6-AC31)*AB31,PARAMETROS!$L$8),0)</f>
        <v>162716</v>
      </c>
      <c r="AE31" s="771">
        <f t="shared" si="10"/>
        <v>1.561780684E-4</v>
      </c>
      <c r="AF31" s="771">
        <f t="shared" si="11"/>
        <v>5.4662323900000001E-5</v>
      </c>
      <c r="AG31" s="771">
        <f t="shared" si="19"/>
        <v>1.0982444626999998E-3</v>
      </c>
      <c r="AH31" s="525">
        <f>+DATA!Q27</f>
        <v>2125846.986</v>
      </c>
      <c r="AI31" s="525">
        <f>+DATA!R27</f>
        <v>177153.9155</v>
      </c>
      <c r="AJ31" s="525">
        <f>+DATA!S27</f>
        <v>139952</v>
      </c>
      <c r="AK31" s="525">
        <f>+'_DATA STT PAGOS_'!G29</f>
        <v>0</v>
      </c>
      <c r="AL31" s="525">
        <f>+'_DATA STT PAGOS_'!J29</f>
        <v>2886748.9539999999</v>
      </c>
      <c r="AM31" s="525">
        <f>+DATA!Y27</f>
        <v>11832</v>
      </c>
      <c r="AN31" s="525">
        <f>+DATA!Z27</f>
        <v>11582</v>
      </c>
      <c r="AO31" s="525">
        <f>+DATA!AA27</f>
        <v>11251</v>
      </c>
      <c r="AP31" s="525">
        <f>+DATA!AB27</f>
        <v>10835</v>
      </c>
      <c r="AQ31" s="525">
        <f>+DATA!AC27</f>
        <v>45500</v>
      </c>
      <c r="AR31" s="525">
        <f>+DATA!AD27</f>
        <v>0</v>
      </c>
      <c r="AS31" s="525">
        <f>+DATA!AE27</f>
        <v>0</v>
      </c>
      <c r="AT31" s="525">
        <f>+DATA!AF27</f>
        <v>0</v>
      </c>
      <c r="AU31" s="525">
        <f>+DATA!AG27</f>
        <v>0</v>
      </c>
      <c r="AV31" s="525">
        <f>+DATA!AH27</f>
        <v>0</v>
      </c>
    </row>
    <row r="32" spans="1:48" x14ac:dyDescent="0.25">
      <c r="A32" s="527">
        <v>3303</v>
      </c>
      <c r="B32" s="527">
        <v>3302</v>
      </c>
      <c r="C32" s="527" t="s">
        <v>75</v>
      </c>
      <c r="D32" s="771">
        <f t="shared" si="2"/>
        <v>2.8901734103999998E-3</v>
      </c>
      <c r="E32" s="771">
        <f t="shared" si="3"/>
        <v>7.2254335259999995E-4</v>
      </c>
      <c r="F32" s="525">
        <f>+DATA!D28</f>
        <v>7840</v>
      </c>
      <c r="G32" s="772">
        <f>+DATA!E28</f>
        <v>0.1338693829029102</v>
      </c>
      <c r="H32" s="525">
        <f t="shared" si="12"/>
        <v>1050</v>
      </c>
      <c r="I32" s="771">
        <f t="shared" si="4"/>
        <v>8.0409244769999997E-4</v>
      </c>
      <c r="J32" s="771">
        <f t="shared" si="5"/>
        <v>8.0409244799999996E-5</v>
      </c>
      <c r="K32" s="525">
        <f>+DATA!G28</f>
        <v>2840</v>
      </c>
      <c r="L32" s="525">
        <f>+DATA!H28</f>
        <v>3321</v>
      </c>
      <c r="M32" s="525">
        <f>+DATA!I28</f>
        <v>52754775209</v>
      </c>
      <c r="N32" s="525">
        <f>+DATA!J28</f>
        <v>134502697964</v>
      </c>
      <c r="O32" s="773">
        <f t="shared" si="13"/>
        <v>0.57914874917680181</v>
      </c>
      <c r="P32" s="774" t="str">
        <f t="shared" si="14"/>
        <v>SI</v>
      </c>
      <c r="Q32" s="771">
        <f t="shared" si="6"/>
        <v>4.4480623529999998E-4</v>
      </c>
      <c r="R32" s="771">
        <f t="shared" si="7"/>
        <v>6.3771614950000003E-4</v>
      </c>
      <c r="S32" s="771">
        <f t="shared" si="8"/>
        <v>1.913148449E-4</v>
      </c>
      <c r="T32" s="525">
        <f>+DATA!K28</f>
        <v>0</v>
      </c>
      <c r="U32" s="525">
        <f>+DATA!L28</f>
        <v>0</v>
      </c>
      <c r="V32" s="525">
        <f>+DATA!M28</f>
        <v>1304181</v>
      </c>
      <c r="W32" s="526">
        <f t="shared" si="9"/>
        <v>1304181</v>
      </c>
      <c r="X32" s="526">
        <f t="shared" si="15"/>
        <v>1304181</v>
      </c>
      <c r="Y32" s="526">
        <f t="shared" si="16"/>
        <v>1304181</v>
      </c>
      <c r="Z32" s="525">
        <f>+DATA!F28</f>
        <v>80716.985947748442</v>
      </c>
      <c r="AA32" s="525">
        <f>IF(P32="SI",ROUND(Z32/DIV_Pf,PARAMETROS!$L$8),0)</f>
        <v>6726</v>
      </c>
      <c r="AB32" s="526">
        <f t="shared" si="17"/>
        <v>14566</v>
      </c>
      <c r="AC32" s="775">
        <f t="shared" si="18"/>
        <v>89.54</v>
      </c>
      <c r="AD32" s="525">
        <f>IF(AC32&lt;$AC$6,ROUND(($AC$6-AC32)*AB32,PARAMETROS!$L$8),0)</f>
        <v>218199</v>
      </c>
      <c r="AE32" s="771">
        <f t="shared" si="10"/>
        <v>2.0943176049999999E-4</v>
      </c>
      <c r="AF32" s="771">
        <f t="shared" si="11"/>
        <v>7.3301116200000002E-5</v>
      </c>
      <c r="AG32" s="771">
        <f t="shared" si="19"/>
        <v>1.0675685584999998E-3</v>
      </c>
      <c r="AH32" s="525">
        <f>+DATA!Q28</f>
        <v>2061809.8259999999</v>
      </c>
      <c r="AI32" s="525">
        <f>+DATA!R28</f>
        <v>171817.48549999998</v>
      </c>
      <c r="AJ32" s="525">
        <f>+DATA!S28</f>
        <v>135736</v>
      </c>
      <c r="AK32" s="525">
        <f>+'_DATA STT PAGOS_'!G30</f>
        <v>0</v>
      </c>
      <c r="AL32" s="525">
        <f>+'_DATA STT PAGOS_'!J30</f>
        <v>2799992.2420000001</v>
      </c>
      <c r="AM32" s="525">
        <f>+DATA!Y28</f>
        <v>34149</v>
      </c>
      <c r="AN32" s="525">
        <f>+DATA!Z28</f>
        <v>28437</v>
      </c>
      <c r="AO32" s="525">
        <f>+DATA!AA28</f>
        <v>29719</v>
      </c>
      <c r="AP32" s="525">
        <f>+DATA!AB28</f>
        <v>25711</v>
      </c>
      <c r="AQ32" s="525">
        <f>+DATA!AC28</f>
        <v>118016</v>
      </c>
      <c r="AR32" s="525">
        <f>+DATA!AD28</f>
        <v>196</v>
      </c>
      <c r="AS32" s="525">
        <f>+DATA!AE28</f>
        <v>134</v>
      </c>
      <c r="AT32" s="525">
        <f>+DATA!AF28</f>
        <v>180.96700000000001</v>
      </c>
      <c r="AU32" s="525">
        <f>+DATA!AG28</f>
        <v>95</v>
      </c>
      <c r="AV32" s="525">
        <f>+DATA!AH28</f>
        <v>605.96699999999998</v>
      </c>
    </row>
    <row r="33" spans="1:48" x14ac:dyDescent="0.25">
      <c r="A33" s="527">
        <v>3304</v>
      </c>
      <c r="B33" s="527">
        <v>3303</v>
      </c>
      <c r="C33" s="527" t="s">
        <v>76</v>
      </c>
      <c r="D33" s="771">
        <f t="shared" si="2"/>
        <v>2.8901734103999998E-3</v>
      </c>
      <c r="E33" s="771">
        <f t="shared" si="3"/>
        <v>7.2254335259999995E-4</v>
      </c>
      <c r="F33" s="525">
        <f>+DATA!D29</f>
        <v>11590</v>
      </c>
      <c r="G33" s="772">
        <f>+DATA!E29</f>
        <v>0.11374127862958169</v>
      </c>
      <c r="H33" s="525">
        <f t="shared" si="12"/>
        <v>1318</v>
      </c>
      <c r="I33" s="771">
        <f t="shared" si="4"/>
        <v>1.0093274723999999E-3</v>
      </c>
      <c r="J33" s="771">
        <f t="shared" si="5"/>
        <v>1.009327472E-4</v>
      </c>
      <c r="K33" s="525">
        <f>+DATA!G29</f>
        <v>4598</v>
      </c>
      <c r="L33" s="525">
        <f>+DATA!H29</f>
        <v>5341</v>
      </c>
      <c r="M33" s="525">
        <f>+DATA!I29</f>
        <v>119002089667</v>
      </c>
      <c r="N33" s="525">
        <f>+DATA!J29</f>
        <v>197864516167</v>
      </c>
      <c r="O33" s="773">
        <f t="shared" si="13"/>
        <v>0.71955919885858111</v>
      </c>
      <c r="P33" s="774" t="str">
        <f t="shared" si="14"/>
        <v>SI</v>
      </c>
      <c r="Q33" s="771">
        <f t="shared" si="6"/>
        <v>7.2496730010000005E-4</v>
      </c>
      <c r="R33" s="771">
        <f t="shared" si="7"/>
        <v>1.0393814619999999E-3</v>
      </c>
      <c r="S33" s="771">
        <f t="shared" si="8"/>
        <v>3.1181443860000001E-4</v>
      </c>
      <c r="T33" s="525">
        <f>+DATA!K29</f>
        <v>0</v>
      </c>
      <c r="U33" s="525">
        <f>+DATA!L29</f>
        <v>0</v>
      </c>
      <c r="V33" s="525">
        <f>+DATA!M29</f>
        <v>2389550</v>
      </c>
      <c r="W33" s="526">
        <f t="shared" si="9"/>
        <v>2389550</v>
      </c>
      <c r="X33" s="526">
        <f t="shared" si="15"/>
        <v>2389550</v>
      </c>
      <c r="Y33" s="526">
        <f t="shared" si="16"/>
        <v>2389550</v>
      </c>
      <c r="Z33" s="525">
        <f>+DATA!F29</f>
        <v>325780.07553651492</v>
      </c>
      <c r="AA33" s="525">
        <f>IF(P33="SI",ROUND(Z33/DIV_Pf,PARAMETROS!$L$8),0)</f>
        <v>27148</v>
      </c>
      <c r="AB33" s="526">
        <f t="shared" si="17"/>
        <v>38738</v>
      </c>
      <c r="AC33" s="775">
        <f t="shared" si="18"/>
        <v>61.68</v>
      </c>
      <c r="AD33" s="525">
        <f>IF(AC33&lt;$AC$6,ROUND(($AC$6-AC33)*AB33,PARAMETROS!$L$8),0)</f>
        <v>1659536</v>
      </c>
      <c r="AE33" s="771">
        <f t="shared" si="10"/>
        <v>1.5928558157E-3</v>
      </c>
      <c r="AF33" s="771">
        <f t="shared" si="11"/>
        <v>5.5749953549999996E-4</v>
      </c>
      <c r="AG33" s="771">
        <f t="shared" si="19"/>
        <v>1.6927900738999998E-3</v>
      </c>
      <c r="AH33" s="525">
        <f>+DATA!Q29</f>
        <v>2960258.4419999998</v>
      </c>
      <c r="AI33" s="525">
        <f>+DATA!R29</f>
        <v>246688.20349999997</v>
      </c>
      <c r="AJ33" s="525">
        <f>+DATA!S29</f>
        <v>194884</v>
      </c>
      <c r="AK33" s="525">
        <f>+'_DATA STT PAGOS_'!G31</f>
        <v>0</v>
      </c>
      <c r="AL33" s="525">
        <f>+'_DATA STT PAGOS_'!J31</f>
        <v>4019100.35</v>
      </c>
      <c r="AM33" s="525">
        <f>+DATA!Y29</f>
        <v>44056</v>
      </c>
      <c r="AN33" s="525">
        <f>+DATA!Z29</f>
        <v>24121</v>
      </c>
      <c r="AO33" s="525">
        <f>+DATA!AA29</f>
        <v>51726</v>
      </c>
      <c r="AP33" s="525">
        <f>+DATA!AB29</f>
        <v>24076</v>
      </c>
      <c r="AQ33" s="525">
        <f>+DATA!AC29</f>
        <v>143979</v>
      </c>
      <c r="AR33" s="525">
        <f>+DATA!AD29</f>
        <v>0</v>
      </c>
      <c r="AS33" s="525">
        <f>+DATA!AE29</f>
        <v>0</v>
      </c>
      <c r="AT33" s="525">
        <f>+DATA!AF29</f>
        <v>0</v>
      </c>
      <c r="AU33" s="525">
        <f>+DATA!AG29</f>
        <v>0</v>
      </c>
      <c r="AV33" s="525">
        <f>+DATA!AH29</f>
        <v>0</v>
      </c>
    </row>
    <row r="34" spans="1:48" x14ac:dyDescent="0.25">
      <c r="A34" s="527">
        <v>4101</v>
      </c>
      <c r="B34" s="527">
        <v>4101</v>
      </c>
      <c r="C34" s="527" t="s">
        <v>78</v>
      </c>
      <c r="D34" s="771">
        <f t="shared" si="2"/>
        <v>2.8901734103999998E-3</v>
      </c>
      <c r="E34" s="771">
        <f t="shared" si="3"/>
        <v>7.2254335259999995E-4</v>
      </c>
      <c r="F34" s="525">
        <f>+DATA!D30</f>
        <v>267400</v>
      </c>
      <c r="G34" s="772">
        <f>+DATA!E30</f>
        <v>5.9288006054940771E-2</v>
      </c>
      <c r="H34" s="525">
        <f t="shared" si="12"/>
        <v>15854</v>
      </c>
      <c r="I34" s="771">
        <f t="shared" si="4"/>
        <v>1.21410301573E-2</v>
      </c>
      <c r="J34" s="771">
        <f t="shared" si="5"/>
        <v>1.2141030156999999E-3</v>
      </c>
      <c r="K34" s="525">
        <f>+DATA!G30</f>
        <v>62584</v>
      </c>
      <c r="L34" s="525">
        <f>+DATA!H30</f>
        <v>131635</v>
      </c>
      <c r="M34" s="525">
        <f>+DATA!I30</f>
        <v>3344779673004</v>
      </c>
      <c r="N34" s="525">
        <f>+DATA!J30</f>
        <v>9697461837754</v>
      </c>
      <c r="O34" s="773">
        <f t="shared" si="13"/>
        <v>0.40494933279887696</v>
      </c>
      <c r="P34" s="774" t="str">
        <f t="shared" si="14"/>
        <v>NO</v>
      </c>
      <c r="Q34" s="771">
        <f t="shared" si="6"/>
        <v>5.4495208531999996E-3</v>
      </c>
      <c r="R34" s="771">
        <f t="shared" si="7"/>
        <v>7.8129468059000007E-3</v>
      </c>
      <c r="S34" s="771">
        <f t="shared" si="8"/>
        <v>2.3438840418000002E-3</v>
      </c>
      <c r="T34" s="525">
        <f>+DATA!K30</f>
        <v>0</v>
      </c>
      <c r="U34" s="525">
        <f>+DATA!L30</f>
        <v>0</v>
      </c>
      <c r="V34" s="525">
        <f>+DATA!M30</f>
        <v>36318399</v>
      </c>
      <c r="W34" s="526">
        <f t="shared" si="9"/>
        <v>36318399</v>
      </c>
      <c r="X34" s="526">
        <f t="shared" si="15"/>
        <v>36318399</v>
      </c>
      <c r="Y34" s="526">
        <f t="shared" si="16"/>
        <v>36318399</v>
      </c>
      <c r="Z34" s="525">
        <f>+DATA!F30</f>
        <v>3784211.5980483694</v>
      </c>
      <c r="AA34" s="525">
        <f>IF(P34="SI",ROUND(Z34/DIV_Pf,PARAMETROS!$L$8),0)</f>
        <v>0</v>
      </c>
      <c r="AB34" s="526">
        <f t="shared" si="17"/>
        <v>267400</v>
      </c>
      <c r="AC34" s="775">
        <f t="shared" si="18"/>
        <v>135.82</v>
      </c>
      <c r="AD34" s="525">
        <f>IF(AC34&lt;$AC$6,ROUND(($AC$6-AC34)*AB34,PARAMETROS!$L$8),0)</f>
        <v>0</v>
      </c>
      <c r="AE34" s="771">
        <f t="shared" si="10"/>
        <v>0</v>
      </c>
      <c r="AF34" s="771">
        <f t="shared" si="11"/>
        <v>0</v>
      </c>
      <c r="AG34" s="771">
        <f t="shared" si="19"/>
        <v>4.2805304101000002E-3</v>
      </c>
      <c r="AH34" s="525">
        <f>+DATA!Q30</f>
        <v>11509607.446</v>
      </c>
      <c r="AI34" s="525">
        <f>+DATA!R30</f>
        <v>959133.95383333333</v>
      </c>
      <c r="AJ34" s="525">
        <f>+DATA!S30</f>
        <v>757716</v>
      </c>
      <c r="AK34" s="525">
        <f>+'_DATA STT PAGOS_'!G32</f>
        <v>0</v>
      </c>
      <c r="AL34" s="525">
        <f>+'_DATA STT PAGOS_'!J32</f>
        <v>15618801.604000002</v>
      </c>
      <c r="AM34" s="525">
        <f>+DATA!Y30</f>
        <v>2430008</v>
      </c>
      <c r="AN34" s="525">
        <f>+DATA!Z30</f>
        <v>1595702</v>
      </c>
      <c r="AO34" s="525">
        <f>+DATA!AA30</f>
        <v>1864827</v>
      </c>
      <c r="AP34" s="525">
        <f>+DATA!AB30</f>
        <v>1650520</v>
      </c>
      <c r="AQ34" s="525">
        <f>+DATA!AC30</f>
        <v>7541057</v>
      </c>
      <c r="AR34" s="525">
        <f>+DATA!AD30</f>
        <v>286035</v>
      </c>
      <c r="AS34" s="525">
        <f>+DATA!AE30</f>
        <v>133404</v>
      </c>
      <c r="AT34" s="525">
        <f>+DATA!AF30</f>
        <v>173835.8</v>
      </c>
      <c r="AU34" s="525">
        <f>+DATA!AG30</f>
        <v>121929</v>
      </c>
      <c r="AV34" s="525">
        <f>+DATA!AH30</f>
        <v>715203.8</v>
      </c>
    </row>
    <row r="35" spans="1:48" x14ac:dyDescent="0.25">
      <c r="A35" s="527">
        <v>4102</v>
      </c>
      <c r="B35" s="527">
        <v>4103</v>
      </c>
      <c r="C35" s="527" t="s">
        <v>80</v>
      </c>
      <c r="D35" s="771">
        <f t="shared" si="2"/>
        <v>2.8901734103999998E-3</v>
      </c>
      <c r="E35" s="771">
        <f t="shared" si="3"/>
        <v>7.2254335259999995E-4</v>
      </c>
      <c r="F35" s="525">
        <f>+DATA!D31</f>
        <v>275644</v>
      </c>
      <c r="G35" s="772">
        <f>+DATA!E31</f>
        <v>7.0644308453171739E-2</v>
      </c>
      <c r="H35" s="525">
        <f t="shared" si="12"/>
        <v>19473</v>
      </c>
      <c r="I35" s="771">
        <f t="shared" si="4"/>
        <v>1.49124687936E-2</v>
      </c>
      <c r="J35" s="771">
        <f t="shared" si="5"/>
        <v>1.4912468794E-3</v>
      </c>
      <c r="K35" s="525">
        <f>+DATA!G31</f>
        <v>75986</v>
      </c>
      <c r="L35" s="525">
        <f>+DATA!H31</f>
        <v>120279</v>
      </c>
      <c r="M35" s="525">
        <f>+DATA!I31</f>
        <v>2932682039029</v>
      </c>
      <c r="N35" s="525">
        <f>+DATA!J31</f>
        <v>6847672237464</v>
      </c>
      <c r="O35" s="773">
        <f t="shared" si="13"/>
        <v>0.5201551402543162</v>
      </c>
      <c r="P35" s="774" t="str">
        <f t="shared" si="14"/>
        <v>SI</v>
      </c>
      <c r="Q35" s="771">
        <f t="shared" si="6"/>
        <v>8.7918530387000003E-3</v>
      </c>
      <c r="R35" s="771">
        <f t="shared" si="7"/>
        <v>1.26048292992E-2</v>
      </c>
      <c r="S35" s="771">
        <f t="shared" si="8"/>
        <v>3.7814487897999999E-3</v>
      </c>
      <c r="T35" s="525">
        <f>+DATA!K31</f>
        <v>0</v>
      </c>
      <c r="U35" s="525">
        <f>+DATA!L31</f>
        <v>0</v>
      </c>
      <c r="V35" s="525">
        <f>+DATA!M31</f>
        <v>46773782</v>
      </c>
      <c r="W35" s="526">
        <f t="shared" si="9"/>
        <v>46773782</v>
      </c>
      <c r="X35" s="526">
        <f t="shared" si="15"/>
        <v>46773782</v>
      </c>
      <c r="Y35" s="526">
        <f t="shared" si="16"/>
        <v>46773782</v>
      </c>
      <c r="Z35" s="525">
        <f>+DATA!F31</f>
        <v>4239551.8772267373</v>
      </c>
      <c r="AA35" s="525">
        <f>IF(P35="SI",ROUND(Z35/DIV_Pf,PARAMETROS!$L$8),0)</f>
        <v>353296</v>
      </c>
      <c r="AB35" s="526">
        <f t="shared" si="17"/>
        <v>628940</v>
      </c>
      <c r="AC35" s="775">
        <f t="shared" si="18"/>
        <v>74.37</v>
      </c>
      <c r="AD35" s="525">
        <f>IF(AC35&lt;$AC$6,ROUND(($AC$6-AC35)*AB35,PARAMETROS!$L$8),0)</f>
        <v>18962541</v>
      </c>
      <c r="AE35" s="771">
        <f t="shared" si="10"/>
        <v>1.8200625784600001E-2</v>
      </c>
      <c r="AF35" s="771">
        <f t="shared" si="11"/>
        <v>6.3702190245999999E-3</v>
      </c>
      <c r="AG35" s="771">
        <f t="shared" si="19"/>
        <v>1.2365458046400001E-2</v>
      </c>
      <c r="AH35" s="525">
        <f>+DATA!Q31</f>
        <v>23533996.602000002</v>
      </c>
      <c r="AI35" s="525">
        <f>+DATA!R31</f>
        <v>1961166.3835000002</v>
      </c>
      <c r="AJ35" s="525">
        <f>+DATA!S31</f>
        <v>1549321</v>
      </c>
      <c r="AK35" s="525">
        <f>+'_DATA STT PAGOS_'!G33</f>
        <v>0</v>
      </c>
      <c r="AL35" s="525">
        <f>+'_DATA STT PAGOS_'!J33</f>
        <v>31940954.115000002</v>
      </c>
      <c r="AM35" s="525">
        <f>+DATA!Y31</f>
        <v>1506795</v>
      </c>
      <c r="AN35" s="525">
        <f>+DATA!Z31</f>
        <v>1006766</v>
      </c>
      <c r="AO35" s="525">
        <f>+DATA!AA31</f>
        <v>1165703</v>
      </c>
      <c r="AP35" s="525">
        <f>+DATA!AB31</f>
        <v>1186564</v>
      </c>
      <c r="AQ35" s="525">
        <f>+DATA!AC31</f>
        <v>4865828</v>
      </c>
      <c r="AR35" s="525">
        <f>+DATA!AD31</f>
        <v>172878</v>
      </c>
      <c r="AS35" s="525">
        <f>+DATA!AE31</f>
        <v>78651</v>
      </c>
      <c r="AT35" s="525">
        <f>+DATA!AF31</f>
        <v>103889.81</v>
      </c>
      <c r="AU35" s="525">
        <f>+DATA!AG31</f>
        <v>76318</v>
      </c>
      <c r="AV35" s="525">
        <f>+DATA!AH31</f>
        <v>431736.81</v>
      </c>
    </row>
    <row r="36" spans="1:48" x14ac:dyDescent="0.25">
      <c r="A36" s="527">
        <v>4103</v>
      </c>
      <c r="B36" s="527">
        <v>4104</v>
      </c>
      <c r="C36" s="527" t="s">
        <v>81</v>
      </c>
      <c r="D36" s="771">
        <f t="shared" si="2"/>
        <v>2.8901734103999998E-3</v>
      </c>
      <c r="E36" s="771">
        <f t="shared" si="3"/>
        <v>7.2254335259999995E-4</v>
      </c>
      <c r="F36" s="525">
        <f>+DATA!D32</f>
        <v>11836</v>
      </c>
      <c r="G36" s="772">
        <f>+DATA!E32</f>
        <v>0.10450254705398181</v>
      </c>
      <c r="H36" s="525">
        <f t="shared" si="12"/>
        <v>1237</v>
      </c>
      <c r="I36" s="771">
        <f t="shared" si="4"/>
        <v>9.4729748360000005E-4</v>
      </c>
      <c r="J36" s="771">
        <f t="shared" si="5"/>
        <v>9.4729748400000007E-5</v>
      </c>
      <c r="K36" s="525">
        <f>+DATA!G32</f>
        <v>4472</v>
      </c>
      <c r="L36" s="525">
        <f>+DATA!H32</f>
        <v>5128</v>
      </c>
      <c r="M36" s="525">
        <f>+DATA!I32</f>
        <v>75213145767</v>
      </c>
      <c r="N36" s="525">
        <f>+DATA!J32</f>
        <v>116047423477</v>
      </c>
      <c r="O36" s="773">
        <f t="shared" si="13"/>
        <v>0.75180639322520093</v>
      </c>
      <c r="P36" s="774" t="str">
        <f t="shared" si="14"/>
        <v>SI</v>
      </c>
      <c r="Q36" s="771">
        <f t="shared" si="6"/>
        <v>7.1426379240000003E-4</v>
      </c>
      <c r="R36" s="771">
        <f t="shared" si="7"/>
        <v>1.0240359043999999E-3</v>
      </c>
      <c r="S36" s="771">
        <f t="shared" si="8"/>
        <v>3.0721077129999998E-4</v>
      </c>
      <c r="T36" s="525">
        <f>+DATA!K32</f>
        <v>0</v>
      </c>
      <c r="U36" s="525">
        <f>+DATA!L32</f>
        <v>0</v>
      </c>
      <c r="V36" s="525">
        <f>+DATA!M32</f>
        <v>1556394</v>
      </c>
      <c r="W36" s="526">
        <f t="shared" si="9"/>
        <v>1556394</v>
      </c>
      <c r="X36" s="526">
        <f t="shared" si="15"/>
        <v>1556394</v>
      </c>
      <c r="Y36" s="526">
        <f t="shared" si="16"/>
        <v>1556394</v>
      </c>
      <c r="Z36" s="525">
        <f>+DATA!F32</f>
        <v>152513.44138316857</v>
      </c>
      <c r="AA36" s="525">
        <f>IF(P36="SI",ROUND(Z36/DIV_Pf,PARAMETROS!$L$8),0)</f>
        <v>12709</v>
      </c>
      <c r="AB36" s="526">
        <f t="shared" si="17"/>
        <v>24545</v>
      </c>
      <c r="AC36" s="775">
        <f t="shared" si="18"/>
        <v>63.41</v>
      </c>
      <c r="AD36" s="525">
        <f>IF(AC36&lt;$AC$6,ROUND(($AC$6-AC36)*AB36,PARAMETROS!$L$8),0)</f>
        <v>1009045</v>
      </c>
      <c r="AE36" s="771">
        <f t="shared" si="10"/>
        <v>9.6850155500000003E-4</v>
      </c>
      <c r="AF36" s="771">
        <f t="shared" si="11"/>
        <v>3.3897554430000002E-4</v>
      </c>
      <c r="AG36" s="771">
        <f t="shared" si="19"/>
        <v>1.4634594166E-3</v>
      </c>
      <c r="AH36" s="525">
        <f>+DATA!Q32</f>
        <v>2617240.3280000002</v>
      </c>
      <c r="AI36" s="525">
        <f>+DATA!R32</f>
        <v>218103.36066666667</v>
      </c>
      <c r="AJ36" s="525">
        <f>+DATA!S32</f>
        <v>172302</v>
      </c>
      <c r="AK36" s="525">
        <f>+'_DATA STT PAGOS_'!G34</f>
        <v>0</v>
      </c>
      <c r="AL36" s="525">
        <f>+'_DATA STT PAGOS_'!J34</f>
        <v>3553857.9780000001</v>
      </c>
      <c r="AM36" s="525">
        <f>+DATA!Y32</f>
        <v>11809</v>
      </c>
      <c r="AN36" s="525">
        <f>+DATA!Z32</f>
        <v>11879</v>
      </c>
      <c r="AO36" s="525">
        <f>+DATA!AA32</f>
        <v>10267</v>
      </c>
      <c r="AP36" s="525">
        <f>+DATA!AB32</f>
        <v>16205</v>
      </c>
      <c r="AQ36" s="525">
        <f>+DATA!AC32</f>
        <v>50160</v>
      </c>
      <c r="AR36" s="525">
        <f>+DATA!AD32</f>
        <v>392</v>
      </c>
      <c r="AS36" s="525">
        <f>+DATA!AE32</f>
        <v>103</v>
      </c>
      <c r="AT36" s="525">
        <f>+DATA!AF32</f>
        <v>204.69800000000001</v>
      </c>
      <c r="AU36" s="525">
        <f>+DATA!AG32</f>
        <v>148</v>
      </c>
      <c r="AV36" s="525">
        <f>+DATA!AH32</f>
        <v>847.69799999999998</v>
      </c>
    </row>
    <row r="37" spans="1:48" x14ac:dyDescent="0.25">
      <c r="A37" s="527">
        <v>4104</v>
      </c>
      <c r="B37" s="527">
        <v>4102</v>
      </c>
      <c r="C37" s="527" t="s">
        <v>79</v>
      </c>
      <c r="D37" s="771">
        <f t="shared" si="2"/>
        <v>2.8901734103999998E-3</v>
      </c>
      <c r="E37" s="771">
        <f t="shared" si="3"/>
        <v>7.2254335259999995E-4</v>
      </c>
      <c r="F37" s="525">
        <f>+DATA!D33</f>
        <v>4533</v>
      </c>
      <c r="G37" s="772">
        <f>+DATA!E33</f>
        <v>0.1074879738365082</v>
      </c>
      <c r="H37" s="525">
        <f t="shared" si="12"/>
        <v>487</v>
      </c>
      <c r="I37" s="771">
        <f t="shared" si="4"/>
        <v>3.7294573520000002E-4</v>
      </c>
      <c r="J37" s="771">
        <f t="shared" si="5"/>
        <v>3.7294573499999998E-5</v>
      </c>
      <c r="K37" s="525">
        <f>+DATA!G33</f>
        <v>5078</v>
      </c>
      <c r="L37" s="525">
        <f>+DATA!H33</f>
        <v>6724</v>
      </c>
      <c r="M37" s="525">
        <f>+DATA!I33</f>
        <v>23629476610</v>
      </c>
      <c r="N37" s="525">
        <f>+DATA!J33</f>
        <v>63419542558</v>
      </c>
      <c r="O37" s="773">
        <f t="shared" si="13"/>
        <v>0.53045432458310904</v>
      </c>
      <c r="P37" s="774" t="str">
        <f t="shared" si="14"/>
        <v>SI</v>
      </c>
      <c r="Q37" s="771">
        <f t="shared" si="6"/>
        <v>7.0236158529999996E-4</v>
      </c>
      <c r="R37" s="771">
        <f t="shared" si="7"/>
        <v>1.0069717782999999E-3</v>
      </c>
      <c r="S37" s="771">
        <f t="shared" si="8"/>
        <v>3.0209153349999997E-4</v>
      </c>
      <c r="T37" s="525">
        <f>+DATA!K33</f>
        <v>0</v>
      </c>
      <c r="U37" s="525">
        <f>+DATA!L33</f>
        <v>0</v>
      </c>
      <c r="V37" s="525">
        <f>+DATA!M33</f>
        <v>2122638</v>
      </c>
      <c r="W37" s="526">
        <f t="shared" si="9"/>
        <v>2122638</v>
      </c>
      <c r="X37" s="526">
        <f t="shared" si="15"/>
        <v>2122638</v>
      </c>
      <c r="Y37" s="526">
        <f t="shared" si="16"/>
        <v>2122638</v>
      </c>
      <c r="Z37" s="525">
        <f>+DATA!F33</f>
        <v>348730.73565466091</v>
      </c>
      <c r="AA37" s="525">
        <f>IF(P37="SI",ROUND(Z37/DIV_Pf,PARAMETROS!$L$8),0)</f>
        <v>29061</v>
      </c>
      <c r="AB37" s="526">
        <f t="shared" si="17"/>
        <v>33594</v>
      </c>
      <c r="AC37" s="775">
        <f t="shared" si="18"/>
        <v>63.19</v>
      </c>
      <c r="AD37" s="525">
        <f>IF(AC37&lt;$AC$6,ROUND(($AC$6-AC37)*AB37,PARAMETROS!$L$8),0)</f>
        <v>1388440</v>
      </c>
      <c r="AE37" s="771">
        <f t="shared" si="10"/>
        <v>1.3326524575E-3</v>
      </c>
      <c r="AF37" s="771">
        <f t="shared" si="11"/>
        <v>4.6642836010000002E-4</v>
      </c>
      <c r="AG37" s="771">
        <f t="shared" si="19"/>
        <v>1.5283578196999999E-3</v>
      </c>
      <c r="AH37" s="525">
        <f>+DATA!Q33</f>
        <v>2256375.7749999999</v>
      </c>
      <c r="AI37" s="525">
        <f>+DATA!R33</f>
        <v>188031.31458333333</v>
      </c>
      <c r="AJ37" s="525">
        <f>+DATA!S33</f>
        <v>148545</v>
      </c>
      <c r="AK37" s="525">
        <f>+'_DATA STT PAGOS_'!G35</f>
        <v>0</v>
      </c>
      <c r="AL37" s="525">
        <f>+'_DATA STT PAGOS_'!J35</f>
        <v>3061305.4210000001</v>
      </c>
      <c r="AM37" s="525">
        <f>+DATA!Y33</f>
        <v>10841</v>
      </c>
      <c r="AN37" s="525">
        <f>+DATA!Z33</f>
        <v>8004</v>
      </c>
      <c r="AO37" s="525">
        <f>+DATA!AA33</f>
        <v>9565</v>
      </c>
      <c r="AP37" s="525">
        <f>+DATA!AB33</f>
        <v>7465</v>
      </c>
      <c r="AQ37" s="525">
        <f>+DATA!AC33</f>
        <v>35875</v>
      </c>
      <c r="AR37" s="525">
        <f>+DATA!AD33</f>
        <v>0</v>
      </c>
      <c r="AS37" s="525">
        <f>+DATA!AE33</f>
        <v>0</v>
      </c>
      <c r="AT37" s="525">
        <f>+DATA!AF33</f>
        <v>0</v>
      </c>
      <c r="AU37" s="525">
        <f>+DATA!AG33</f>
        <v>0</v>
      </c>
      <c r="AV37" s="525">
        <f>+DATA!AH33</f>
        <v>0</v>
      </c>
    </row>
    <row r="38" spans="1:48" x14ac:dyDescent="0.25">
      <c r="A38" s="527">
        <v>4105</v>
      </c>
      <c r="B38" s="527">
        <v>4106</v>
      </c>
      <c r="C38" s="527" t="s">
        <v>28</v>
      </c>
      <c r="D38" s="771">
        <f t="shared" si="2"/>
        <v>2.8901734103999998E-3</v>
      </c>
      <c r="E38" s="771">
        <f t="shared" si="3"/>
        <v>7.2254335259999995E-4</v>
      </c>
      <c r="F38" s="525">
        <f>+DATA!D34</f>
        <v>4709</v>
      </c>
      <c r="G38" s="772">
        <f>+DATA!E34</f>
        <v>8.2919575691373634E-2</v>
      </c>
      <c r="H38" s="525">
        <f t="shared" si="12"/>
        <v>390</v>
      </c>
      <c r="I38" s="771">
        <f t="shared" si="4"/>
        <v>2.9866290910000003E-4</v>
      </c>
      <c r="J38" s="771">
        <f t="shared" si="5"/>
        <v>2.9866290899999999E-5</v>
      </c>
      <c r="K38" s="525">
        <f>+DATA!G34</f>
        <v>2632</v>
      </c>
      <c r="L38" s="525">
        <f>+DATA!H34</f>
        <v>3473</v>
      </c>
      <c r="M38" s="525">
        <f>+DATA!I34</f>
        <v>41840082046.999992</v>
      </c>
      <c r="N38" s="525">
        <f>+DATA!J34</f>
        <v>114261048139</v>
      </c>
      <c r="O38" s="773">
        <f t="shared" si="13"/>
        <v>0.52679023114240109</v>
      </c>
      <c r="P38" s="774" t="str">
        <f t="shared" si="14"/>
        <v>SI</v>
      </c>
      <c r="Q38" s="771">
        <f t="shared" si="6"/>
        <v>3.6531713969999998E-4</v>
      </c>
      <c r="R38" s="771">
        <f t="shared" si="7"/>
        <v>5.2375308889999995E-4</v>
      </c>
      <c r="S38" s="771">
        <f t="shared" si="8"/>
        <v>1.5712592670000001E-4</v>
      </c>
      <c r="T38" s="525">
        <f>+DATA!K34</f>
        <v>0</v>
      </c>
      <c r="U38" s="525">
        <f>+DATA!L34</f>
        <v>0</v>
      </c>
      <c r="V38" s="525">
        <f>+DATA!M34</f>
        <v>2089482</v>
      </c>
      <c r="W38" s="526">
        <f t="shared" si="9"/>
        <v>2089482</v>
      </c>
      <c r="X38" s="526">
        <f t="shared" si="15"/>
        <v>2089482</v>
      </c>
      <c r="Y38" s="526">
        <f t="shared" si="16"/>
        <v>2089482</v>
      </c>
      <c r="Z38" s="525">
        <f>+DATA!F34</f>
        <v>304963.33028596535</v>
      </c>
      <c r="AA38" s="525">
        <f>IF(P38="SI",ROUND(Z38/DIV_Pf,PARAMETROS!$L$8),0)</f>
        <v>25414</v>
      </c>
      <c r="AB38" s="526">
        <f t="shared" si="17"/>
        <v>30123</v>
      </c>
      <c r="AC38" s="775">
        <f t="shared" si="18"/>
        <v>69.37</v>
      </c>
      <c r="AD38" s="525">
        <f>IF(AC38&lt;$AC$6,ROUND(($AC$6-AC38)*AB38,PARAMETROS!$L$8),0)</f>
        <v>1058823</v>
      </c>
      <c r="AE38" s="771">
        <f t="shared" si="10"/>
        <v>1.0162794741000001E-3</v>
      </c>
      <c r="AF38" s="771">
        <f t="shared" si="11"/>
        <v>3.5569781589999999E-4</v>
      </c>
      <c r="AG38" s="771">
        <f t="shared" si="19"/>
        <v>1.2652333860999998E-3</v>
      </c>
      <c r="AH38" s="525">
        <f>+DATA!Q34</f>
        <v>2603980.2170000002</v>
      </c>
      <c r="AI38" s="525">
        <f>+DATA!R34</f>
        <v>216998.35141666667</v>
      </c>
      <c r="AJ38" s="525">
        <f>+DATA!S34</f>
        <v>171429</v>
      </c>
      <c r="AK38" s="525">
        <f>+'_DATA STT PAGOS_'!G36</f>
        <v>0</v>
      </c>
      <c r="AL38" s="525">
        <f>+'_DATA STT PAGOS_'!J36</f>
        <v>3533634.3550000004</v>
      </c>
      <c r="AM38" s="525">
        <f>+DATA!Y34</f>
        <v>19234</v>
      </c>
      <c r="AN38" s="525">
        <f>+DATA!Z34</f>
        <v>11506</v>
      </c>
      <c r="AO38" s="525">
        <f>+DATA!AA34</f>
        <v>12933</v>
      </c>
      <c r="AP38" s="525">
        <f>+DATA!AB34</f>
        <v>12879</v>
      </c>
      <c r="AQ38" s="525">
        <f>+DATA!AC34</f>
        <v>56552</v>
      </c>
      <c r="AR38" s="525">
        <f>+DATA!AD34</f>
        <v>171</v>
      </c>
      <c r="AS38" s="525">
        <f>+DATA!AE34</f>
        <v>133</v>
      </c>
      <c r="AT38" s="525">
        <f>+DATA!AF34</f>
        <v>83.111999999999995</v>
      </c>
      <c r="AU38" s="525">
        <f>+DATA!AG34</f>
        <v>54</v>
      </c>
      <c r="AV38" s="525">
        <f>+DATA!AH34</f>
        <v>441.11199999999997</v>
      </c>
    </row>
    <row r="39" spans="1:48" x14ac:dyDescent="0.25">
      <c r="A39" s="527">
        <v>4106</v>
      </c>
      <c r="B39" s="527">
        <v>4105</v>
      </c>
      <c r="C39" s="527" t="s">
        <v>82</v>
      </c>
      <c r="D39" s="771">
        <f t="shared" si="2"/>
        <v>2.8901734103999998E-3</v>
      </c>
      <c r="E39" s="771">
        <f t="shared" si="3"/>
        <v>7.2254335259999995E-4</v>
      </c>
      <c r="F39" s="525">
        <f>+DATA!D35</f>
        <v>30541</v>
      </c>
      <c r="G39" s="772">
        <f>+DATA!E35</f>
        <v>0.1091485858372039</v>
      </c>
      <c r="H39" s="525">
        <f t="shared" si="12"/>
        <v>3334</v>
      </c>
      <c r="I39" s="771">
        <f t="shared" si="4"/>
        <v>2.5531849719000002E-3</v>
      </c>
      <c r="J39" s="771">
        <f t="shared" si="5"/>
        <v>2.5531849720000001E-4</v>
      </c>
      <c r="K39" s="525">
        <f>+DATA!G35</f>
        <v>11276</v>
      </c>
      <c r="L39" s="525">
        <f>+DATA!H35</f>
        <v>14118</v>
      </c>
      <c r="M39" s="525">
        <f>+DATA!I35</f>
        <v>225814821201</v>
      </c>
      <c r="N39" s="525">
        <f>+DATA!J35</f>
        <v>482443448285</v>
      </c>
      <c r="O39" s="773">
        <f t="shared" si="13"/>
        <v>0.6114260808108275</v>
      </c>
      <c r="P39" s="774" t="str">
        <f t="shared" si="14"/>
        <v>SI</v>
      </c>
      <c r="Q39" s="771">
        <f t="shared" si="6"/>
        <v>1.6494532803E-3</v>
      </c>
      <c r="R39" s="771">
        <f t="shared" si="7"/>
        <v>2.3648117119E-3</v>
      </c>
      <c r="S39" s="771">
        <f t="shared" si="8"/>
        <v>7.0944351360000002E-4</v>
      </c>
      <c r="T39" s="525">
        <f>+DATA!K35</f>
        <v>0</v>
      </c>
      <c r="U39" s="525">
        <f>+DATA!L35</f>
        <v>0</v>
      </c>
      <c r="V39" s="525">
        <f>+DATA!M35</f>
        <v>3082384</v>
      </c>
      <c r="W39" s="526">
        <f t="shared" si="9"/>
        <v>3082384</v>
      </c>
      <c r="X39" s="526">
        <f t="shared" si="15"/>
        <v>3082384</v>
      </c>
      <c r="Y39" s="526">
        <f t="shared" si="16"/>
        <v>3082384</v>
      </c>
      <c r="Z39" s="525">
        <f>+DATA!F35</f>
        <v>750604.87015723775</v>
      </c>
      <c r="AA39" s="525">
        <f>IF(P39="SI",ROUND(Z39/DIV_Pf,PARAMETROS!$L$8),0)</f>
        <v>62550</v>
      </c>
      <c r="AB39" s="526">
        <f t="shared" si="17"/>
        <v>93091</v>
      </c>
      <c r="AC39" s="775">
        <f t="shared" si="18"/>
        <v>33.11</v>
      </c>
      <c r="AD39" s="525">
        <f>IF(AC39&lt;$AC$6,ROUND(($AC$6-AC39)*AB39,PARAMETROS!$L$8),0)</f>
        <v>6647628</v>
      </c>
      <c r="AE39" s="771">
        <f t="shared" si="10"/>
        <v>6.3805261954999999E-3</v>
      </c>
      <c r="AF39" s="771">
        <f t="shared" si="11"/>
        <v>2.2331841684000001E-3</v>
      </c>
      <c r="AG39" s="771">
        <f t="shared" si="19"/>
        <v>3.9204895318E-3</v>
      </c>
      <c r="AH39" s="525">
        <f>+DATA!Q35</f>
        <v>6823488.3720000004</v>
      </c>
      <c r="AI39" s="525">
        <f>+DATA!R35</f>
        <v>568624.03100000008</v>
      </c>
      <c r="AJ39" s="525">
        <f>+DATA!S35</f>
        <v>449213</v>
      </c>
      <c r="AK39" s="525">
        <f>+'_DATA STT PAGOS_'!G37</f>
        <v>0</v>
      </c>
      <c r="AL39" s="525">
        <f>+'_DATA STT PAGOS_'!J37</f>
        <v>9262927.4979999997</v>
      </c>
      <c r="AM39" s="525">
        <f>+DATA!Y35</f>
        <v>79026</v>
      </c>
      <c r="AN39" s="525">
        <f>+DATA!Z35</f>
        <v>48512</v>
      </c>
      <c r="AO39" s="525">
        <f>+DATA!AA35</f>
        <v>61729</v>
      </c>
      <c r="AP39" s="525">
        <f>+DATA!AB35</f>
        <v>59297</v>
      </c>
      <c r="AQ39" s="525">
        <f>+DATA!AC35</f>
        <v>248564</v>
      </c>
      <c r="AR39" s="525">
        <f>+DATA!AD35</f>
        <v>2279</v>
      </c>
      <c r="AS39" s="525">
        <f>+DATA!AE35</f>
        <v>968</v>
      </c>
      <c r="AT39" s="525">
        <f>+DATA!AF35</f>
        <v>1537.75</v>
      </c>
      <c r="AU39" s="525">
        <f>+DATA!AG35</f>
        <v>1106</v>
      </c>
      <c r="AV39" s="525">
        <f>+DATA!AH35</f>
        <v>5890.75</v>
      </c>
    </row>
    <row r="40" spans="1:48" x14ac:dyDescent="0.25">
      <c r="A40" s="527">
        <v>4201</v>
      </c>
      <c r="B40" s="527">
        <v>4301</v>
      </c>
      <c r="C40" s="527" t="s">
        <v>86</v>
      </c>
      <c r="D40" s="771">
        <f t="shared" si="2"/>
        <v>2.8901734103999998E-3</v>
      </c>
      <c r="E40" s="771">
        <f t="shared" si="3"/>
        <v>7.2254335259999995E-4</v>
      </c>
      <c r="F40" s="525">
        <f>+DATA!D36</f>
        <v>33021</v>
      </c>
      <c r="G40" s="772">
        <f>+DATA!E36</f>
        <v>8.0524927147214931E-2</v>
      </c>
      <c r="H40" s="525">
        <f t="shared" si="12"/>
        <v>2659</v>
      </c>
      <c r="I40" s="771">
        <f t="shared" si="4"/>
        <v>2.0362683984E-3</v>
      </c>
      <c r="J40" s="771">
        <f t="shared" si="5"/>
        <v>2.0362683980000001E-4</v>
      </c>
      <c r="K40" s="525">
        <f>+DATA!G36</f>
        <v>11402</v>
      </c>
      <c r="L40" s="525">
        <f>+DATA!H36</f>
        <v>14115</v>
      </c>
      <c r="M40" s="525">
        <f>+DATA!I36</f>
        <v>241360659076</v>
      </c>
      <c r="N40" s="525">
        <f>+DATA!J36</f>
        <v>396103854665</v>
      </c>
      <c r="O40" s="773">
        <f t="shared" si="13"/>
        <v>0.70158255919497492</v>
      </c>
      <c r="P40" s="774" t="str">
        <f t="shared" si="14"/>
        <v>SI</v>
      </c>
      <c r="Q40" s="771">
        <f t="shared" si="6"/>
        <v>1.6868802477E-3</v>
      </c>
      <c r="R40" s="771">
        <f t="shared" si="7"/>
        <v>2.4184705405E-3</v>
      </c>
      <c r="S40" s="771">
        <f t="shared" si="8"/>
        <v>7.2554116219999997E-4</v>
      </c>
      <c r="T40" s="525">
        <f>+DATA!K36</f>
        <v>0</v>
      </c>
      <c r="U40" s="525">
        <f>+DATA!L36</f>
        <v>0</v>
      </c>
      <c r="V40" s="525">
        <f>+DATA!M36</f>
        <v>2700481</v>
      </c>
      <c r="W40" s="526">
        <f t="shared" si="9"/>
        <v>2700481</v>
      </c>
      <c r="X40" s="526">
        <f t="shared" si="15"/>
        <v>2700481</v>
      </c>
      <c r="Y40" s="526">
        <f t="shared" si="16"/>
        <v>2700481</v>
      </c>
      <c r="Z40" s="525">
        <f>+DATA!F36</f>
        <v>355003.39515577996</v>
      </c>
      <c r="AA40" s="525">
        <f>IF(P40="SI",ROUND(Z40/DIV_Pf,PARAMETROS!$L$8),0)</f>
        <v>29584</v>
      </c>
      <c r="AB40" s="526">
        <f t="shared" si="17"/>
        <v>62605</v>
      </c>
      <c r="AC40" s="775">
        <f t="shared" si="18"/>
        <v>43.14</v>
      </c>
      <c r="AD40" s="525">
        <f>IF(AC40&lt;$AC$6,ROUND(($AC$6-AC40)*AB40,PARAMETROS!$L$8),0)</f>
        <v>3842695</v>
      </c>
      <c r="AE40" s="771">
        <f t="shared" si="10"/>
        <v>3.6882954505E-3</v>
      </c>
      <c r="AF40" s="771">
        <f t="shared" si="11"/>
        <v>1.2909034077E-3</v>
      </c>
      <c r="AG40" s="771">
        <f t="shared" si="19"/>
        <v>2.9426147622999997E-3</v>
      </c>
      <c r="AH40" s="525">
        <f>+DATA!Q36</f>
        <v>5519345.7709999997</v>
      </c>
      <c r="AI40" s="525">
        <f>+DATA!R36</f>
        <v>459945.48091666662</v>
      </c>
      <c r="AJ40" s="525">
        <f>+DATA!S36</f>
        <v>363357</v>
      </c>
      <c r="AK40" s="525">
        <f>+'_DATA STT PAGOS_'!G38</f>
        <v>0</v>
      </c>
      <c r="AL40" s="525">
        <f>+'_DATA STT PAGOS_'!J38</f>
        <v>7490051.2749999994</v>
      </c>
      <c r="AM40" s="525">
        <f>+DATA!Y36</f>
        <v>54014</v>
      </c>
      <c r="AN40" s="525">
        <f>+DATA!Z36</f>
        <v>41008</v>
      </c>
      <c r="AO40" s="525">
        <f>+DATA!AA36</f>
        <v>41596</v>
      </c>
      <c r="AP40" s="525">
        <f>+DATA!AB36</f>
        <v>39038</v>
      </c>
      <c r="AQ40" s="525">
        <f>+DATA!AC36</f>
        <v>175656</v>
      </c>
      <c r="AR40" s="525">
        <f>+DATA!AD36</f>
        <v>4734</v>
      </c>
      <c r="AS40" s="525">
        <f>+DATA!AE36</f>
        <v>2608</v>
      </c>
      <c r="AT40" s="525">
        <f>+DATA!AF36</f>
        <v>3030.5250000000001</v>
      </c>
      <c r="AU40" s="525">
        <f>+DATA!AG36</f>
        <v>2475</v>
      </c>
      <c r="AV40" s="525">
        <f>+DATA!AH36</f>
        <v>12847.525</v>
      </c>
    </row>
    <row r="41" spans="1:48" x14ac:dyDescent="0.25">
      <c r="A41" s="527">
        <v>4202</v>
      </c>
      <c r="B41" s="527">
        <v>4304</v>
      </c>
      <c r="C41" s="527" t="s">
        <v>89</v>
      </c>
      <c r="D41" s="771">
        <f t="shared" si="2"/>
        <v>2.8901734103999998E-3</v>
      </c>
      <c r="E41" s="771">
        <f t="shared" si="3"/>
        <v>7.2254335259999995E-4</v>
      </c>
      <c r="F41" s="525">
        <f>+DATA!D37</f>
        <v>9509</v>
      </c>
      <c r="G41" s="772">
        <f>+DATA!E37</f>
        <v>0.1631210174806921</v>
      </c>
      <c r="H41" s="525">
        <f t="shared" si="12"/>
        <v>1551</v>
      </c>
      <c r="I41" s="771">
        <f t="shared" si="4"/>
        <v>1.1877594154999999E-3</v>
      </c>
      <c r="J41" s="771">
        <f t="shared" si="5"/>
        <v>1.187759416E-4</v>
      </c>
      <c r="K41" s="525">
        <f>+DATA!G37</f>
        <v>4423</v>
      </c>
      <c r="L41" s="525">
        <f>+DATA!H37</f>
        <v>6450</v>
      </c>
      <c r="M41" s="525">
        <f>+DATA!I37</f>
        <v>43421076560</v>
      </c>
      <c r="N41" s="525">
        <f>+DATA!J37</f>
        <v>123748708702</v>
      </c>
      <c r="O41" s="773">
        <f t="shared" si="13"/>
        <v>0.49052208761806676</v>
      </c>
      <c r="P41" s="774" t="str">
        <f t="shared" si="14"/>
        <v>SI</v>
      </c>
      <c r="Q41" s="771">
        <f t="shared" si="6"/>
        <v>5.5549125489999995E-4</v>
      </c>
      <c r="R41" s="771">
        <f t="shared" si="7"/>
        <v>7.9640462759999998E-4</v>
      </c>
      <c r="S41" s="771">
        <f t="shared" si="8"/>
        <v>2.3892138829999999E-4</v>
      </c>
      <c r="T41" s="525">
        <f>+DATA!K37</f>
        <v>0</v>
      </c>
      <c r="U41" s="525">
        <f>+DATA!L37</f>
        <v>0</v>
      </c>
      <c r="V41" s="525">
        <f>+DATA!M37</f>
        <v>1195637</v>
      </c>
      <c r="W41" s="526">
        <f t="shared" si="9"/>
        <v>1195637</v>
      </c>
      <c r="X41" s="526">
        <f t="shared" si="15"/>
        <v>1195637</v>
      </c>
      <c r="Y41" s="526">
        <f t="shared" si="16"/>
        <v>1195637</v>
      </c>
      <c r="Z41" s="525">
        <f>+DATA!F37</f>
        <v>416570.00196989032</v>
      </c>
      <c r="AA41" s="525">
        <f>IF(P41="SI",ROUND(Z41/DIV_Pf,PARAMETROS!$L$8),0)</f>
        <v>34714</v>
      </c>
      <c r="AB41" s="526">
        <f t="shared" si="17"/>
        <v>44223</v>
      </c>
      <c r="AC41" s="775">
        <f t="shared" si="18"/>
        <v>27.04</v>
      </c>
      <c r="AD41" s="525">
        <f>IF(AC41&lt;$AC$6,ROUND(($AC$6-AC41)*AB41,PARAMETROS!$L$8),0)</f>
        <v>3426398</v>
      </c>
      <c r="AE41" s="771">
        <f t="shared" si="10"/>
        <v>3.2887252709000001E-3</v>
      </c>
      <c r="AF41" s="771">
        <f t="shared" si="11"/>
        <v>1.1510538447999999E-3</v>
      </c>
      <c r="AG41" s="771">
        <f t="shared" si="19"/>
        <v>2.2312945272999997E-3</v>
      </c>
      <c r="AH41" s="525">
        <f>+DATA!Q37</f>
        <v>2972573.0159999998</v>
      </c>
      <c r="AI41" s="525">
        <f>+DATA!R37</f>
        <v>247714.41799999998</v>
      </c>
      <c r="AJ41" s="525">
        <f>+DATA!S37</f>
        <v>195694</v>
      </c>
      <c r="AK41" s="525">
        <f>+'_DATA STT PAGOS_'!G39</f>
        <v>0</v>
      </c>
      <c r="AL41" s="525">
        <f>+'_DATA STT PAGOS_'!J39</f>
        <v>4034471.3739999998</v>
      </c>
      <c r="AM41" s="525">
        <f>+DATA!Y37</f>
        <v>35970</v>
      </c>
      <c r="AN41" s="525">
        <f>+DATA!Z37</f>
        <v>18683</v>
      </c>
      <c r="AO41" s="525">
        <f>+DATA!AA37</f>
        <v>23700</v>
      </c>
      <c r="AP41" s="525">
        <f>+DATA!AB37</f>
        <v>19712</v>
      </c>
      <c r="AQ41" s="525">
        <f>+DATA!AC37</f>
        <v>98065</v>
      </c>
      <c r="AR41" s="525">
        <f>+DATA!AD37</f>
        <v>92</v>
      </c>
      <c r="AS41" s="525">
        <f>+DATA!AE37</f>
        <v>63</v>
      </c>
      <c r="AT41" s="525">
        <f>+DATA!AF37</f>
        <v>64.816999999999993</v>
      </c>
      <c r="AU41" s="525">
        <f>+DATA!AG37</f>
        <v>0</v>
      </c>
      <c r="AV41" s="525">
        <f>+DATA!AH37</f>
        <v>219.81700000000001</v>
      </c>
    </row>
    <row r="42" spans="1:48" x14ac:dyDescent="0.25">
      <c r="A42" s="527">
        <v>4203</v>
      </c>
      <c r="B42" s="527">
        <v>4303</v>
      </c>
      <c r="C42" s="527" t="s">
        <v>88</v>
      </c>
      <c r="D42" s="771">
        <f t="shared" si="2"/>
        <v>2.8901734103999998E-3</v>
      </c>
      <c r="E42" s="771">
        <f t="shared" si="3"/>
        <v>7.2254335259999995E-4</v>
      </c>
      <c r="F42" s="525">
        <f>+DATA!D38</f>
        <v>24408</v>
      </c>
      <c r="G42" s="772">
        <f>+DATA!E38</f>
        <v>8.4524265276058747E-2</v>
      </c>
      <c r="H42" s="525">
        <f t="shared" si="12"/>
        <v>2063</v>
      </c>
      <c r="I42" s="771">
        <f t="shared" si="4"/>
        <v>1.5798502090999999E-3</v>
      </c>
      <c r="J42" s="771">
        <f t="shared" si="5"/>
        <v>1.5798502089999999E-4</v>
      </c>
      <c r="K42" s="525">
        <f>+DATA!G38</f>
        <v>11217</v>
      </c>
      <c r="L42" s="525">
        <f>+DATA!H38</f>
        <v>16018</v>
      </c>
      <c r="M42" s="525">
        <f>+DATA!I38</f>
        <v>244626947881</v>
      </c>
      <c r="N42" s="525">
        <f>+DATA!J38</f>
        <v>556141152461</v>
      </c>
      <c r="O42" s="773">
        <f t="shared" si="13"/>
        <v>0.55500110452786411</v>
      </c>
      <c r="P42" s="774" t="str">
        <f t="shared" si="14"/>
        <v>SI</v>
      </c>
      <c r="Q42" s="771">
        <f t="shared" si="6"/>
        <v>1.4386270188E-3</v>
      </c>
      <c r="R42" s="771">
        <f t="shared" si="7"/>
        <v>2.0625513094000001E-3</v>
      </c>
      <c r="S42" s="771">
        <f t="shared" si="8"/>
        <v>6.1876539279999995E-4</v>
      </c>
      <c r="T42" s="525">
        <f>+DATA!K38</f>
        <v>0</v>
      </c>
      <c r="U42" s="525">
        <f>+DATA!L38</f>
        <v>0</v>
      </c>
      <c r="V42" s="525">
        <f>+DATA!M38</f>
        <v>3520226</v>
      </c>
      <c r="W42" s="526">
        <f t="shared" si="9"/>
        <v>3520226</v>
      </c>
      <c r="X42" s="526">
        <f t="shared" si="15"/>
        <v>3520226</v>
      </c>
      <c r="Y42" s="526">
        <f t="shared" si="16"/>
        <v>3520226</v>
      </c>
      <c r="Z42" s="525">
        <f>+DATA!F38</f>
        <v>1433605.0974973515</v>
      </c>
      <c r="AA42" s="525">
        <f>IF(P42="SI",ROUND(Z42/DIV_Pf,PARAMETROS!$L$8),0)</f>
        <v>119467</v>
      </c>
      <c r="AB42" s="526">
        <f t="shared" si="17"/>
        <v>143875</v>
      </c>
      <c r="AC42" s="775">
        <f t="shared" si="18"/>
        <v>24.47</v>
      </c>
      <c r="AD42" s="525">
        <f>IF(AC42&lt;$AC$6,ROUND(($AC$6-AC42)*AB42,PARAMETROS!$L$8),0)</f>
        <v>11517194</v>
      </c>
      <c r="AE42" s="771">
        <f t="shared" si="10"/>
        <v>1.1054432951899999E-2</v>
      </c>
      <c r="AF42" s="771">
        <f t="shared" si="11"/>
        <v>3.8690515331999999E-3</v>
      </c>
      <c r="AG42" s="771">
        <f t="shared" si="19"/>
        <v>5.3683452994999995E-3</v>
      </c>
      <c r="AH42" s="525">
        <f>+DATA!Q38</f>
        <v>9151523.4979999997</v>
      </c>
      <c r="AI42" s="525">
        <f>+DATA!R38</f>
        <v>762626.95816666668</v>
      </c>
      <c r="AJ42" s="525">
        <f>+DATA!S38</f>
        <v>602475</v>
      </c>
      <c r="AK42" s="525">
        <f>+'_DATA STT PAGOS_'!G40</f>
        <v>0</v>
      </c>
      <c r="AL42" s="525">
        <f>+'_DATA STT PAGOS_'!J40</f>
        <v>12414869.785</v>
      </c>
      <c r="AM42" s="525">
        <f>+DATA!Y38</f>
        <v>158632</v>
      </c>
      <c r="AN42" s="525">
        <f>+DATA!Z38</f>
        <v>63298</v>
      </c>
      <c r="AO42" s="525">
        <f>+DATA!AA38</f>
        <v>144094</v>
      </c>
      <c r="AP42" s="525">
        <f>+DATA!AB38</f>
        <v>67214</v>
      </c>
      <c r="AQ42" s="525">
        <f>+DATA!AC38</f>
        <v>433238</v>
      </c>
      <c r="AR42" s="525">
        <f>+DATA!AD38</f>
        <v>12238</v>
      </c>
      <c r="AS42" s="525">
        <f>+DATA!AE38</f>
        <v>6484</v>
      </c>
      <c r="AT42" s="525">
        <f>+DATA!AF38</f>
        <v>9392.2199999999993</v>
      </c>
      <c r="AU42" s="525">
        <f>+DATA!AG38</f>
        <v>7283</v>
      </c>
      <c r="AV42" s="525">
        <f>+DATA!AH38</f>
        <v>35397.22</v>
      </c>
    </row>
    <row r="43" spans="1:48" x14ac:dyDescent="0.25">
      <c r="A43" s="527">
        <v>4204</v>
      </c>
      <c r="B43" s="527">
        <v>4302</v>
      </c>
      <c r="C43" s="527" t="s">
        <v>87</v>
      </c>
      <c r="D43" s="771">
        <f t="shared" si="2"/>
        <v>2.8901734103999998E-3</v>
      </c>
      <c r="E43" s="771">
        <f t="shared" si="3"/>
        <v>7.2254335259999995E-4</v>
      </c>
      <c r="F43" s="525">
        <f>+DATA!D39</f>
        <v>29916</v>
      </c>
      <c r="G43" s="772">
        <f>+DATA!E39</f>
        <v>9.1075665513342632E-2</v>
      </c>
      <c r="H43" s="525">
        <f t="shared" si="12"/>
        <v>2725</v>
      </c>
      <c r="I43" s="771">
        <f t="shared" si="4"/>
        <v>2.0868113523E-3</v>
      </c>
      <c r="J43" s="771">
        <f t="shared" si="5"/>
        <v>2.0868113519999999E-4</v>
      </c>
      <c r="K43" s="525">
        <f>+DATA!G39</f>
        <v>11658</v>
      </c>
      <c r="L43" s="525">
        <f>+DATA!H39</f>
        <v>14447</v>
      </c>
      <c r="M43" s="525">
        <f>+DATA!I39</f>
        <v>243512021624</v>
      </c>
      <c r="N43" s="525">
        <f>+DATA!J39</f>
        <v>452393219449</v>
      </c>
      <c r="O43" s="773">
        <f t="shared" si="13"/>
        <v>0.65906059891817126</v>
      </c>
      <c r="P43" s="774" t="str">
        <f t="shared" si="14"/>
        <v>SI</v>
      </c>
      <c r="Q43" s="771">
        <f t="shared" si="6"/>
        <v>1.7229532407E-3</v>
      </c>
      <c r="R43" s="771">
        <f t="shared" si="7"/>
        <v>2.4701881837999999E-3</v>
      </c>
      <c r="S43" s="771">
        <f t="shared" si="8"/>
        <v>7.4105645510000003E-4</v>
      </c>
      <c r="T43" s="525">
        <f>+DATA!K39</f>
        <v>0</v>
      </c>
      <c r="U43" s="525">
        <f>+DATA!L39</f>
        <v>0</v>
      </c>
      <c r="V43" s="525">
        <f>+DATA!M39</f>
        <v>4404570</v>
      </c>
      <c r="W43" s="526">
        <f t="shared" si="9"/>
        <v>4404570</v>
      </c>
      <c r="X43" s="526">
        <f t="shared" si="15"/>
        <v>4404570</v>
      </c>
      <c r="Y43" s="526">
        <f t="shared" si="16"/>
        <v>4404570</v>
      </c>
      <c r="Z43" s="525">
        <f>+DATA!F39</f>
        <v>503792.49272425618</v>
      </c>
      <c r="AA43" s="525">
        <f>IF(P43="SI",ROUND(Z43/DIV_Pf,PARAMETROS!$L$8),0)</f>
        <v>41983</v>
      </c>
      <c r="AB43" s="526">
        <f t="shared" si="17"/>
        <v>71899</v>
      </c>
      <c r="AC43" s="775">
        <f t="shared" si="18"/>
        <v>61.26</v>
      </c>
      <c r="AD43" s="525">
        <f>IF(AC43&lt;$AC$6,ROUND(($AC$6-AC43)*AB43,PARAMETROS!$L$8),0)</f>
        <v>3110351</v>
      </c>
      <c r="AE43" s="771">
        <f t="shared" si="10"/>
        <v>2.9853770447000002E-3</v>
      </c>
      <c r="AF43" s="771">
        <f t="shared" si="11"/>
        <v>1.0448819656E-3</v>
      </c>
      <c r="AG43" s="771">
        <f t="shared" si="19"/>
        <v>2.7171629085E-3</v>
      </c>
      <c r="AH43" s="525">
        <f>+DATA!Q39</f>
        <v>4509682.1349999998</v>
      </c>
      <c r="AI43" s="525">
        <f>+DATA!R39</f>
        <v>375806.8445833333</v>
      </c>
      <c r="AJ43" s="525">
        <f>+DATA!S39</f>
        <v>296887</v>
      </c>
      <c r="AK43" s="525">
        <f>+'_DATA STT PAGOS_'!G41</f>
        <v>0</v>
      </c>
      <c r="AL43" s="525">
        <f>+'_DATA STT PAGOS_'!J41</f>
        <v>6121725.1579999998</v>
      </c>
      <c r="AM43" s="525">
        <f>+DATA!Y39</f>
        <v>107799</v>
      </c>
      <c r="AN43" s="525">
        <f>+DATA!Z39</f>
        <v>34731</v>
      </c>
      <c r="AO43" s="525">
        <f>+DATA!AA39</f>
        <v>96593</v>
      </c>
      <c r="AP43" s="525">
        <f>+DATA!AB39</f>
        <v>32086</v>
      </c>
      <c r="AQ43" s="525">
        <f>+DATA!AC39</f>
        <v>271209</v>
      </c>
      <c r="AR43" s="525">
        <f>+DATA!AD39</f>
        <v>1674</v>
      </c>
      <c r="AS43" s="525">
        <f>+DATA!AE39</f>
        <v>1026</v>
      </c>
      <c r="AT43" s="525">
        <f>+DATA!AF39</f>
        <v>1231.171</v>
      </c>
      <c r="AU43" s="525">
        <f>+DATA!AG39</f>
        <v>944</v>
      </c>
      <c r="AV43" s="525">
        <f>+DATA!AH39</f>
        <v>4875.1710000000003</v>
      </c>
    </row>
    <row r="44" spans="1:48" x14ac:dyDescent="0.25">
      <c r="A44" s="527">
        <v>4301</v>
      </c>
      <c r="B44" s="527">
        <v>4201</v>
      </c>
      <c r="C44" s="527" t="s">
        <v>83</v>
      </c>
      <c r="D44" s="771">
        <f t="shared" si="2"/>
        <v>2.8901734103999998E-3</v>
      </c>
      <c r="E44" s="771">
        <f t="shared" si="3"/>
        <v>7.2254335259999995E-4</v>
      </c>
      <c r="F44" s="525">
        <f>+DATA!D40</f>
        <v>124401</v>
      </c>
      <c r="G44" s="772">
        <f>+DATA!E40</f>
        <v>9.5085124773698834E-2</v>
      </c>
      <c r="H44" s="525">
        <f t="shared" si="12"/>
        <v>11829</v>
      </c>
      <c r="I44" s="771">
        <f t="shared" si="4"/>
        <v>9.0586757745999991E-3</v>
      </c>
      <c r="J44" s="771">
        <f t="shared" si="5"/>
        <v>9.0586757749999995E-4</v>
      </c>
      <c r="K44" s="525">
        <f>+DATA!G40</f>
        <v>42511</v>
      </c>
      <c r="L44" s="525">
        <f>+DATA!H40</f>
        <v>57148</v>
      </c>
      <c r="M44" s="525">
        <f>+DATA!I40</f>
        <v>1230553245020</v>
      </c>
      <c r="N44" s="525">
        <f>+DATA!J40</f>
        <v>2225155278333</v>
      </c>
      <c r="O44" s="773">
        <f t="shared" si="13"/>
        <v>0.6413870487167852</v>
      </c>
      <c r="P44" s="774" t="str">
        <f t="shared" si="14"/>
        <v>SI</v>
      </c>
      <c r="Q44" s="771">
        <f t="shared" si="6"/>
        <v>5.7916814664000001E-3</v>
      </c>
      <c r="R44" s="771">
        <f t="shared" si="7"/>
        <v>8.3035005155000004E-3</v>
      </c>
      <c r="S44" s="771">
        <f t="shared" si="8"/>
        <v>2.4910501547000001E-3</v>
      </c>
      <c r="T44" s="525">
        <f>+DATA!K40</f>
        <v>0</v>
      </c>
      <c r="U44" s="525">
        <f>+DATA!L40</f>
        <v>0</v>
      </c>
      <c r="V44" s="525">
        <f>+DATA!M40</f>
        <v>10581423</v>
      </c>
      <c r="W44" s="526">
        <f t="shared" si="9"/>
        <v>10581423</v>
      </c>
      <c r="X44" s="526">
        <f t="shared" si="15"/>
        <v>10581423</v>
      </c>
      <c r="Y44" s="526">
        <f t="shared" si="16"/>
        <v>10581423</v>
      </c>
      <c r="Z44" s="525">
        <f>+DATA!F40</f>
        <v>1104293.0299237904</v>
      </c>
      <c r="AA44" s="525">
        <f>IF(P44="SI",ROUND(Z44/DIV_Pf,PARAMETROS!$L$8),0)</f>
        <v>92024</v>
      </c>
      <c r="AB44" s="526">
        <f t="shared" si="17"/>
        <v>216425</v>
      </c>
      <c r="AC44" s="775">
        <f t="shared" si="18"/>
        <v>48.89</v>
      </c>
      <c r="AD44" s="525">
        <f>IF(AC44&lt;$AC$6,ROUND(($AC$6-AC44)*AB44,PARAMETROS!$L$8),0)</f>
        <v>12039723</v>
      </c>
      <c r="AE44" s="771">
        <f t="shared" si="10"/>
        <v>1.15559667279E-2</v>
      </c>
      <c r="AF44" s="771">
        <f t="shared" si="11"/>
        <v>4.0445883548000001E-3</v>
      </c>
      <c r="AG44" s="771">
        <f t="shared" si="19"/>
        <v>8.1640494396000001E-3</v>
      </c>
      <c r="AH44" s="525">
        <f>+DATA!Q40</f>
        <v>14778658.675000001</v>
      </c>
      <c r="AI44" s="525">
        <f>+DATA!R40</f>
        <v>1231554.8895833334</v>
      </c>
      <c r="AJ44" s="525">
        <f>+DATA!S40</f>
        <v>972928</v>
      </c>
      <c r="AK44" s="525">
        <f>+'_DATA STT PAGOS_'!G42</f>
        <v>0</v>
      </c>
      <c r="AL44" s="525">
        <f>+'_DATA STT PAGOS_'!J42</f>
        <v>20071999.322999999</v>
      </c>
      <c r="AM44" s="525">
        <f>+DATA!Y40</f>
        <v>376860</v>
      </c>
      <c r="AN44" s="525">
        <f>+DATA!Z40</f>
        <v>307333</v>
      </c>
      <c r="AO44" s="525">
        <f>+DATA!AA40</f>
        <v>349888</v>
      </c>
      <c r="AP44" s="525">
        <f>+DATA!AB40</f>
        <v>295540</v>
      </c>
      <c r="AQ44" s="525">
        <f>+DATA!AC40</f>
        <v>1329621</v>
      </c>
      <c r="AR44" s="525">
        <f>+DATA!AD40</f>
        <v>15137</v>
      </c>
      <c r="AS44" s="525">
        <f>+DATA!AE40</f>
        <v>6747</v>
      </c>
      <c r="AT44" s="525">
        <f>+DATA!AF40</f>
        <v>10158.919</v>
      </c>
      <c r="AU44" s="525">
        <f>+DATA!AG40</f>
        <v>6850</v>
      </c>
      <c r="AV44" s="525">
        <f>+DATA!AH40</f>
        <v>38892.919000000002</v>
      </c>
    </row>
    <row r="45" spans="1:48" x14ac:dyDescent="0.25">
      <c r="A45" s="527">
        <v>4302</v>
      </c>
      <c r="B45" s="527">
        <v>4205</v>
      </c>
      <c r="C45" s="527" t="s">
        <v>376</v>
      </c>
      <c r="D45" s="771">
        <f t="shared" si="2"/>
        <v>2.8901734103999998E-3</v>
      </c>
      <c r="E45" s="771">
        <f t="shared" si="3"/>
        <v>7.2254335259999995E-4</v>
      </c>
      <c r="F45" s="525">
        <f>+DATA!D41</f>
        <v>13855</v>
      </c>
      <c r="G45" s="772">
        <f>+DATA!E41</f>
        <v>0.1099473813298209</v>
      </c>
      <c r="H45" s="525">
        <f t="shared" si="12"/>
        <v>1523</v>
      </c>
      <c r="I45" s="771">
        <f t="shared" si="4"/>
        <v>1.1663169503000001E-3</v>
      </c>
      <c r="J45" s="771">
        <f t="shared" si="5"/>
        <v>1.16631695E-4</v>
      </c>
      <c r="K45" s="525">
        <f>+DATA!G41</f>
        <v>7891</v>
      </c>
      <c r="L45" s="525">
        <f>+DATA!H41</f>
        <v>8852</v>
      </c>
      <c r="M45" s="525">
        <f>+DATA!I41</f>
        <v>98513751958</v>
      </c>
      <c r="N45" s="525">
        <f>+DATA!J41</f>
        <v>154721550086</v>
      </c>
      <c r="O45" s="773">
        <f t="shared" si="13"/>
        <v>0.75338738695038443</v>
      </c>
      <c r="P45" s="774" t="str">
        <f t="shared" si="14"/>
        <v>SI</v>
      </c>
      <c r="Q45" s="771">
        <f t="shared" si="6"/>
        <v>1.2883259173E-3</v>
      </c>
      <c r="R45" s="771">
        <f t="shared" si="7"/>
        <v>1.8470654819000001E-3</v>
      </c>
      <c r="S45" s="771">
        <f t="shared" si="8"/>
        <v>5.5411964459999995E-4</v>
      </c>
      <c r="T45" s="525">
        <f>+DATA!K41</f>
        <v>0</v>
      </c>
      <c r="U45" s="525">
        <f>+DATA!L41</f>
        <v>0</v>
      </c>
      <c r="V45" s="525">
        <f>+DATA!M41</f>
        <v>759952</v>
      </c>
      <c r="W45" s="526">
        <f t="shared" si="9"/>
        <v>759952</v>
      </c>
      <c r="X45" s="526">
        <f t="shared" si="15"/>
        <v>759952</v>
      </c>
      <c r="Y45" s="526">
        <f t="shared" si="16"/>
        <v>759952</v>
      </c>
      <c r="Z45" s="525">
        <f>+DATA!F41</f>
        <v>190867.09063396495</v>
      </c>
      <c r="AA45" s="525">
        <f>IF(P45="SI",ROUND(Z45/DIV_Pf,PARAMETROS!$L$8),0)</f>
        <v>15906</v>
      </c>
      <c r="AB45" s="526">
        <f t="shared" si="17"/>
        <v>29761</v>
      </c>
      <c r="AC45" s="775">
        <f t="shared" si="18"/>
        <v>25.54</v>
      </c>
      <c r="AD45" s="525">
        <f>IF(AC45&lt;$AC$6,ROUND(($AC$6-AC45)*AB45,PARAMETROS!$L$8),0)</f>
        <v>2350524</v>
      </c>
      <c r="AE45" s="771">
        <f t="shared" si="10"/>
        <v>2.2560799063000001E-3</v>
      </c>
      <c r="AF45" s="771">
        <f t="shared" si="11"/>
        <v>7.8962796719999999E-4</v>
      </c>
      <c r="AG45" s="771">
        <f t="shared" si="19"/>
        <v>2.1829226593999998E-3</v>
      </c>
      <c r="AH45" s="525">
        <f>+DATA!Q41</f>
        <v>3891199.1970000002</v>
      </c>
      <c r="AI45" s="525">
        <f>+DATA!R41</f>
        <v>324266.59974999999</v>
      </c>
      <c r="AJ45" s="525">
        <f>+DATA!S41</f>
        <v>256171</v>
      </c>
      <c r="AK45" s="525">
        <f>+'_DATA STT PAGOS_'!G43</f>
        <v>0</v>
      </c>
      <c r="AL45" s="525">
        <f>+'_DATA STT PAGOS_'!J43</f>
        <v>5281604.0240000002</v>
      </c>
      <c r="AM45" s="525">
        <f>+DATA!Y41</f>
        <v>16343</v>
      </c>
      <c r="AN45" s="525">
        <f>+DATA!Z41</f>
        <v>7344</v>
      </c>
      <c r="AO45" s="525">
        <f>+DATA!AA41</f>
        <v>10464</v>
      </c>
      <c r="AP45" s="525">
        <f>+DATA!AB41</f>
        <v>9386</v>
      </c>
      <c r="AQ45" s="525">
        <f>+DATA!AC41</f>
        <v>43537</v>
      </c>
      <c r="AR45" s="525">
        <f>+DATA!AD41</f>
        <v>516</v>
      </c>
      <c r="AS45" s="525">
        <f>+DATA!AE41</f>
        <v>83</v>
      </c>
      <c r="AT45" s="525">
        <f>+DATA!AF41</f>
        <v>218.00399999999999</v>
      </c>
      <c r="AU45" s="525">
        <f>+DATA!AG41</f>
        <v>147</v>
      </c>
      <c r="AV45" s="525">
        <f>+DATA!AH41</f>
        <v>964.00400000000002</v>
      </c>
    </row>
    <row r="46" spans="1:48" x14ac:dyDescent="0.25">
      <c r="A46" s="527">
        <v>4303</v>
      </c>
      <c r="B46" s="527">
        <v>4203</v>
      </c>
      <c r="C46" s="527" t="s">
        <v>84</v>
      </c>
      <c r="D46" s="771">
        <f t="shared" si="2"/>
        <v>2.8901734103999998E-3</v>
      </c>
      <c r="E46" s="771">
        <f t="shared" si="3"/>
        <v>7.2254335259999995E-4</v>
      </c>
      <c r="F46" s="525">
        <f>+DATA!D42</f>
        <v>32672</v>
      </c>
      <c r="G46" s="772">
        <f>+DATA!E42</f>
        <v>0.127703937398395</v>
      </c>
      <c r="H46" s="525">
        <f t="shared" si="12"/>
        <v>4172</v>
      </c>
      <c r="I46" s="771">
        <f t="shared" si="4"/>
        <v>3.1949273254000001E-3</v>
      </c>
      <c r="J46" s="771">
        <f t="shared" si="5"/>
        <v>3.194927325E-4</v>
      </c>
      <c r="K46" s="525">
        <f>+DATA!G42</f>
        <v>15424</v>
      </c>
      <c r="L46" s="525">
        <f>+DATA!H42</f>
        <v>17381</v>
      </c>
      <c r="M46" s="525">
        <f>+DATA!I42</f>
        <v>189803894985</v>
      </c>
      <c r="N46" s="525">
        <f>+DATA!J42</f>
        <v>368117035459</v>
      </c>
      <c r="O46" s="773">
        <f t="shared" si="13"/>
        <v>0.67642668279629259</v>
      </c>
      <c r="P46" s="774" t="str">
        <f t="shared" si="14"/>
        <v>SI</v>
      </c>
      <c r="Q46" s="771">
        <f t="shared" si="6"/>
        <v>2.506815294E-3</v>
      </c>
      <c r="R46" s="771">
        <f t="shared" si="7"/>
        <v>3.5940067157999999E-3</v>
      </c>
      <c r="S46" s="771">
        <f t="shared" si="8"/>
        <v>1.0782020147E-3</v>
      </c>
      <c r="T46" s="525">
        <f>+DATA!K42</f>
        <v>0</v>
      </c>
      <c r="U46" s="525">
        <f>+DATA!L42</f>
        <v>0</v>
      </c>
      <c r="V46" s="525">
        <f>+DATA!M42</f>
        <v>1927539</v>
      </c>
      <c r="W46" s="526">
        <f t="shared" si="9"/>
        <v>1927539</v>
      </c>
      <c r="X46" s="526">
        <f t="shared" si="15"/>
        <v>1927539</v>
      </c>
      <c r="Y46" s="526">
        <f t="shared" si="16"/>
        <v>1927539</v>
      </c>
      <c r="Z46" s="525">
        <f>+DATA!F42</f>
        <v>319700.03501909814</v>
      </c>
      <c r="AA46" s="525">
        <f>IF(P46="SI",ROUND(Z46/DIV_Pf,PARAMETROS!$L$8),0)</f>
        <v>26642</v>
      </c>
      <c r="AB46" s="526">
        <f t="shared" si="17"/>
        <v>59314</v>
      </c>
      <c r="AC46" s="775">
        <f t="shared" si="18"/>
        <v>32.5</v>
      </c>
      <c r="AD46" s="525">
        <f>IF(AC46&lt;$AC$6,ROUND(($AC$6-AC46)*AB46,PARAMETROS!$L$8),0)</f>
        <v>4271794</v>
      </c>
      <c r="AE46" s="771">
        <f t="shared" si="10"/>
        <v>4.1001532454000003E-3</v>
      </c>
      <c r="AF46" s="771">
        <f t="shared" si="11"/>
        <v>1.4350536358999999E-3</v>
      </c>
      <c r="AG46" s="771">
        <f t="shared" si="19"/>
        <v>3.5552917356999995E-3</v>
      </c>
      <c r="AH46" s="525">
        <f>+DATA!Q42</f>
        <v>6561143.2640000004</v>
      </c>
      <c r="AI46" s="525">
        <f>+DATA!R42</f>
        <v>546761.93866666674</v>
      </c>
      <c r="AJ46" s="525">
        <f>+DATA!S42</f>
        <v>431942</v>
      </c>
      <c r="AK46" s="525">
        <f>+'_DATA STT PAGOS_'!G44</f>
        <v>0</v>
      </c>
      <c r="AL46" s="525">
        <f>+'_DATA STT PAGOS_'!J44</f>
        <v>8907587.807</v>
      </c>
      <c r="AM46" s="525">
        <f>+DATA!Y42</f>
        <v>40309</v>
      </c>
      <c r="AN46" s="525">
        <f>+DATA!Z42</f>
        <v>24487</v>
      </c>
      <c r="AO46" s="525">
        <f>+DATA!AA42</f>
        <v>23794</v>
      </c>
      <c r="AP46" s="525">
        <f>+DATA!AB42</f>
        <v>21549</v>
      </c>
      <c r="AQ46" s="525">
        <f>+DATA!AC42</f>
        <v>110139</v>
      </c>
      <c r="AR46" s="525">
        <f>+DATA!AD42</f>
        <v>282</v>
      </c>
      <c r="AS46" s="525">
        <f>+DATA!AE42</f>
        <v>112</v>
      </c>
      <c r="AT46" s="525">
        <f>+DATA!AF42</f>
        <v>165.20599999999999</v>
      </c>
      <c r="AU46" s="525">
        <f>+DATA!AG42</f>
        <v>90</v>
      </c>
      <c r="AV46" s="525">
        <f>+DATA!AH42</f>
        <v>649.20600000000002</v>
      </c>
    </row>
    <row r="47" spans="1:48" x14ac:dyDescent="0.25">
      <c r="A47" s="527">
        <v>4304</v>
      </c>
      <c r="B47" s="527">
        <v>4204</v>
      </c>
      <c r="C47" s="527" t="s">
        <v>85</v>
      </c>
      <c r="D47" s="771">
        <f t="shared" si="2"/>
        <v>2.8901734103999998E-3</v>
      </c>
      <c r="E47" s="771">
        <f t="shared" si="3"/>
        <v>7.2254335259999995E-4</v>
      </c>
      <c r="F47" s="525">
        <f>+DATA!D43</f>
        <v>12514</v>
      </c>
      <c r="G47" s="772">
        <f>+DATA!E43</f>
        <v>0.14464948024439669</v>
      </c>
      <c r="H47" s="525">
        <f t="shared" si="12"/>
        <v>1810</v>
      </c>
      <c r="I47" s="771">
        <f t="shared" si="4"/>
        <v>1.3861022193E-3</v>
      </c>
      <c r="J47" s="771">
        <f t="shared" si="5"/>
        <v>1.3861022190000001E-4</v>
      </c>
      <c r="K47" s="525">
        <f>+DATA!G43</f>
        <v>5478</v>
      </c>
      <c r="L47" s="525">
        <f>+DATA!H43</f>
        <v>6639</v>
      </c>
      <c r="M47" s="525">
        <f>+DATA!I43</f>
        <v>88791530604</v>
      </c>
      <c r="N47" s="525">
        <f>+DATA!J43</f>
        <v>180621141217</v>
      </c>
      <c r="O47" s="773">
        <f t="shared" si="13"/>
        <v>0.63688520452245279</v>
      </c>
      <c r="P47" s="774" t="str">
        <f t="shared" si="14"/>
        <v>SI</v>
      </c>
      <c r="Q47" s="771">
        <f t="shared" si="6"/>
        <v>8.2783626819999995E-4</v>
      </c>
      <c r="R47" s="771">
        <f t="shared" si="7"/>
        <v>1.1868641119E-3</v>
      </c>
      <c r="S47" s="771">
        <f t="shared" si="8"/>
        <v>3.5605923360000001E-4</v>
      </c>
      <c r="T47" s="525">
        <f>+DATA!K43</f>
        <v>0</v>
      </c>
      <c r="U47" s="525">
        <f>+DATA!L43</f>
        <v>0</v>
      </c>
      <c r="V47" s="525">
        <f>+DATA!M43</f>
        <v>954709</v>
      </c>
      <c r="W47" s="526">
        <f t="shared" si="9"/>
        <v>954709</v>
      </c>
      <c r="X47" s="526">
        <f t="shared" si="15"/>
        <v>954709</v>
      </c>
      <c r="Y47" s="526">
        <f t="shared" si="16"/>
        <v>954709</v>
      </c>
      <c r="Z47" s="525">
        <f>+DATA!F43</f>
        <v>154286.62098305454</v>
      </c>
      <c r="AA47" s="525">
        <f>IF(P47="SI",ROUND(Z47/DIV_Pf,PARAMETROS!$L$8),0)</f>
        <v>12857</v>
      </c>
      <c r="AB47" s="526">
        <f t="shared" si="17"/>
        <v>25371</v>
      </c>
      <c r="AC47" s="775">
        <f t="shared" si="18"/>
        <v>37.630000000000003</v>
      </c>
      <c r="AD47" s="525">
        <f>IF(AC47&lt;$AC$6,ROUND(($AC$6-AC47)*AB47,PARAMETROS!$L$8),0)</f>
        <v>1697066</v>
      </c>
      <c r="AE47" s="771">
        <f t="shared" si="10"/>
        <v>1.6288778596999999E-3</v>
      </c>
      <c r="AF47" s="771">
        <f t="shared" si="11"/>
        <v>5.7010725090000003E-4</v>
      </c>
      <c r="AG47" s="771">
        <f t="shared" si="19"/>
        <v>1.787320059E-3</v>
      </c>
      <c r="AH47" s="525">
        <f>+DATA!Q43</f>
        <v>3106024.6860000002</v>
      </c>
      <c r="AI47" s="525">
        <f>+DATA!R43</f>
        <v>258835.39050000001</v>
      </c>
      <c r="AJ47" s="525">
        <f>+DATA!S43</f>
        <v>204480</v>
      </c>
      <c r="AK47" s="525">
        <f>+'_DATA STT PAGOS_'!G45</f>
        <v>0</v>
      </c>
      <c r="AL47" s="525">
        <f>+'_DATA STT PAGOS_'!J45</f>
        <v>4217744.6610000003</v>
      </c>
      <c r="AM47" s="525">
        <f>+DATA!Y43</f>
        <v>18170</v>
      </c>
      <c r="AN47" s="525">
        <f>+DATA!Z43</f>
        <v>12333</v>
      </c>
      <c r="AO47" s="525">
        <f>+DATA!AA43</f>
        <v>13629</v>
      </c>
      <c r="AP47" s="525">
        <f>+DATA!AB43</f>
        <v>14751</v>
      </c>
      <c r="AQ47" s="525">
        <f>+DATA!AC43</f>
        <v>58883</v>
      </c>
      <c r="AR47" s="525">
        <f>+DATA!AD43</f>
        <v>400</v>
      </c>
      <c r="AS47" s="525">
        <f>+DATA!AE43</f>
        <v>123</v>
      </c>
      <c r="AT47" s="525">
        <f>+DATA!AF43</f>
        <v>210.34</v>
      </c>
      <c r="AU47" s="525">
        <f>+DATA!AG43</f>
        <v>194</v>
      </c>
      <c r="AV47" s="525">
        <f>+DATA!AH43</f>
        <v>927.34</v>
      </c>
    </row>
    <row r="48" spans="1:48" x14ac:dyDescent="0.25">
      <c r="A48" s="527">
        <v>4305</v>
      </c>
      <c r="B48" s="527">
        <v>4206</v>
      </c>
      <c r="C48" s="527" t="s">
        <v>377</v>
      </c>
      <c r="D48" s="771">
        <f t="shared" si="2"/>
        <v>2.8901734103999998E-3</v>
      </c>
      <c r="E48" s="771">
        <f t="shared" si="3"/>
        <v>7.2254335259999995E-4</v>
      </c>
      <c r="F48" s="525">
        <f>+DATA!D44</f>
        <v>4308</v>
      </c>
      <c r="G48" s="772">
        <f>+DATA!E44</f>
        <v>7.7679537884254357E-2</v>
      </c>
      <c r="H48" s="525">
        <f t="shared" si="12"/>
        <v>335</v>
      </c>
      <c r="I48" s="771">
        <f t="shared" si="4"/>
        <v>2.5654378090000002E-4</v>
      </c>
      <c r="J48" s="771">
        <f t="shared" si="5"/>
        <v>2.5654378100000001E-5</v>
      </c>
      <c r="K48" s="525">
        <f>+DATA!G44</f>
        <v>3184</v>
      </c>
      <c r="L48" s="525">
        <f>+DATA!H44</f>
        <v>3585</v>
      </c>
      <c r="M48" s="525">
        <f>+DATA!I44</f>
        <v>38515901700</v>
      </c>
      <c r="N48" s="525">
        <f>+DATA!J44</f>
        <v>76389659202</v>
      </c>
      <c r="O48" s="773">
        <f t="shared" si="13"/>
        <v>0.66918268956092319</v>
      </c>
      <c r="P48" s="774" t="str">
        <f t="shared" si="14"/>
        <v>SI</v>
      </c>
      <c r="Q48" s="771">
        <f t="shared" si="6"/>
        <v>5.1791682560000003E-4</v>
      </c>
      <c r="R48" s="771">
        <f t="shared" si="7"/>
        <v>7.4253438370000004E-4</v>
      </c>
      <c r="S48" s="771">
        <f t="shared" si="8"/>
        <v>2.2276031510000001E-4</v>
      </c>
      <c r="T48" s="525">
        <f>+DATA!K44</f>
        <v>0</v>
      </c>
      <c r="U48" s="525">
        <f>+DATA!L44</f>
        <v>0</v>
      </c>
      <c r="V48" s="525">
        <f>+DATA!M44</f>
        <v>645033</v>
      </c>
      <c r="W48" s="526">
        <f t="shared" si="9"/>
        <v>645033</v>
      </c>
      <c r="X48" s="526">
        <f t="shared" si="15"/>
        <v>645033</v>
      </c>
      <c r="Y48" s="526">
        <f t="shared" si="16"/>
        <v>645033</v>
      </c>
      <c r="Z48" s="525">
        <f>+DATA!F44</f>
        <v>167257.97805167965</v>
      </c>
      <c r="AA48" s="525">
        <f>IF(P48="SI",ROUND(Z48/DIV_Pf,PARAMETROS!$L$8),0)</f>
        <v>13938</v>
      </c>
      <c r="AB48" s="526">
        <f t="shared" si="17"/>
        <v>18246</v>
      </c>
      <c r="AC48" s="775">
        <f t="shared" si="18"/>
        <v>35.35</v>
      </c>
      <c r="AD48" s="525">
        <f>IF(AC48&lt;$AC$6,ROUND(($AC$6-AC48)*AB48,PARAMETROS!$L$8),0)</f>
        <v>1262076</v>
      </c>
      <c r="AE48" s="771">
        <f t="shared" si="10"/>
        <v>1.2113657652E-3</v>
      </c>
      <c r="AF48" s="771">
        <f t="shared" si="11"/>
        <v>4.2397801780000001E-4</v>
      </c>
      <c r="AG48" s="771">
        <f t="shared" si="19"/>
        <v>1.3949360636000001E-3</v>
      </c>
      <c r="AH48" s="525">
        <f>+DATA!Q44</f>
        <v>2286696.2459999998</v>
      </c>
      <c r="AI48" s="525">
        <f>+DATA!R44</f>
        <v>190558.02049999998</v>
      </c>
      <c r="AJ48" s="525">
        <f>+DATA!S44</f>
        <v>150541</v>
      </c>
      <c r="AK48" s="525">
        <f>+'_DATA STT PAGOS_'!G46</f>
        <v>0</v>
      </c>
      <c r="AL48" s="525">
        <f>+'_DATA STT PAGOS_'!J46</f>
        <v>3101976.9219999998</v>
      </c>
      <c r="AM48" s="525">
        <f>+DATA!Y44</f>
        <v>8132</v>
      </c>
      <c r="AN48" s="525">
        <f>+DATA!Z44</f>
        <v>6013</v>
      </c>
      <c r="AO48" s="525">
        <f>+DATA!AA44</f>
        <v>7069</v>
      </c>
      <c r="AP48" s="525">
        <f>+DATA!AB44</f>
        <v>5823</v>
      </c>
      <c r="AQ48" s="525">
        <f>+DATA!AC44</f>
        <v>27037</v>
      </c>
      <c r="AR48" s="525">
        <f>+DATA!AD44</f>
        <v>181</v>
      </c>
      <c r="AS48" s="525">
        <f>+DATA!AE44</f>
        <v>0</v>
      </c>
      <c r="AT48" s="525">
        <f>+DATA!AF44</f>
        <v>0</v>
      </c>
      <c r="AU48" s="525">
        <f>+DATA!AG44</f>
        <v>87</v>
      </c>
      <c r="AV48" s="525">
        <f>+DATA!AH44</f>
        <v>268</v>
      </c>
    </row>
    <row r="49" spans="1:48" x14ac:dyDescent="0.25">
      <c r="A49" s="527">
        <v>5101</v>
      </c>
      <c r="B49" s="527">
        <v>5301</v>
      </c>
      <c r="C49" s="527" t="s">
        <v>378</v>
      </c>
      <c r="D49" s="771">
        <f t="shared" si="2"/>
        <v>2.8901734103999998E-3</v>
      </c>
      <c r="E49" s="771">
        <f t="shared" si="3"/>
        <v>7.2254335259999995E-4</v>
      </c>
      <c r="F49" s="525">
        <f>+DATA!D45</f>
        <v>320816</v>
      </c>
      <c r="G49" s="772">
        <f>+DATA!E45</f>
        <v>7.3763872862535398E-2</v>
      </c>
      <c r="H49" s="525">
        <f t="shared" si="12"/>
        <v>23665</v>
      </c>
      <c r="I49" s="771">
        <f t="shared" si="4"/>
        <v>1.8122712165499998E-2</v>
      </c>
      <c r="J49" s="771">
        <f t="shared" si="5"/>
        <v>1.8122712165999999E-3</v>
      </c>
      <c r="K49" s="525">
        <f>+DATA!G45</f>
        <v>89694</v>
      </c>
      <c r="L49" s="525">
        <f>+DATA!H45</f>
        <v>128845</v>
      </c>
      <c r="M49" s="525">
        <f>+DATA!I45</f>
        <v>3287924018316</v>
      </c>
      <c r="N49" s="525">
        <f>+DATA!J45</f>
        <v>6360644664806</v>
      </c>
      <c r="O49" s="773">
        <f t="shared" si="13"/>
        <v>0.5998715017807682</v>
      </c>
      <c r="P49" s="774" t="str">
        <f t="shared" si="14"/>
        <v>SI</v>
      </c>
      <c r="Q49" s="771">
        <f t="shared" si="6"/>
        <v>1.1435687442100001E-2</v>
      </c>
      <c r="R49" s="771">
        <f t="shared" si="7"/>
        <v>1.6395279526599998E-2</v>
      </c>
      <c r="S49" s="771">
        <f t="shared" si="8"/>
        <v>4.9185838579999999E-3</v>
      </c>
      <c r="T49" s="525">
        <f>+DATA!K45</f>
        <v>0</v>
      </c>
      <c r="U49" s="525">
        <f>+DATA!L45</f>
        <v>0</v>
      </c>
      <c r="V49" s="525">
        <f>+DATA!M45</f>
        <v>33633391</v>
      </c>
      <c r="W49" s="526">
        <f t="shared" si="9"/>
        <v>33633391</v>
      </c>
      <c r="X49" s="526">
        <f t="shared" si="15"/>
        <v>33633391</v>
      </c>
      <c r="Y49" s="526">
        <f t="shared" si="16"/>
        <v>33633391</v>
      </c>
      <c r="Z49" s="525">
        <f>+DATA!F45</f>
        <v>3080837.0217417092</v>
      </c>
      <c r="AA49" s="525">
        <f>IF(P49="SI",ROUND(Z49/DIV_Pf,PARAMETROS!$L$8),0)</f>
        <v>256736</v>
      </c>
      <c r="AB49" s="526">
        <f t="shared" si="17"/>
        <v>577552</v>
      </c>
      <c r="AC49" s="775">
        <f t="shared" si="18"/>
        <v>58.23</v>
      </c>
      <c r="AD49" s="525">
        <f>IF(AC49&lt;$AC$6,ROUND(($AC$6-AC49)*AB49,PARAMETROS!$L$8),0)</f>
        <v>26734882</v>
      </c>
      <c r="AE49" s="771">
        <f t="shared" si="10"/>
        <v>2.56606739928E-2</v>
      </c>
      <c r="AF49" s="771">
        <f t="shared" si="11"/>
        <v>8.9812358975000003E-3</v>
      </c>
      <c r="AG49" s="771">
        <f t="shared" si="19"/>
        <v>1.64346343247E-2</v>
      </c>
      <c r="AH49" s="525">
        <f>+DATA!Q45</f>
        <v>30009878.239</v>
      </c>
      <c r="AI49" s="525">
        <f>+DATA!R45</f>
        <v>2500823.1865833332</v>
      </c>
      <c r="AJ49" s="525">
        <f>+DATA!S45</f>
        <v>1975650</v>
      </c>
      <c r="AK49" s="525">
        <f>+'_DATA STT PAGOS_'!G47</f>
        <v>0</v>
      </c>
      <c r="AL49" s="525">
        <f>+'_DATA STT PAGOS_'!J47</f>
        <v>40710292.370999999</v>
      </c>
      <c r="AM49" s="525">
        <f>+DATA!Y45</f>
        <v>1578546</v>
      </c>
      <c r="AN49" s="525">
        <f>+DATA!Z45</f>
        <v>1241874</v>
      </c>
      <c r="AO49" s="525">
        <f>+DATA!AA45</f>
        <v>1456309</v>
      </c>
      <c r="AP49" s="525">
        <f>+DATA!AB45</f>
        <v>1237881</v>
      </c>
      <c r="AQ49" s="525">
        <f>+DATA!AC45</f>
        <v>5514610</v>
      </c>
      <c r="AR49" s="525">
        <f>+DATA!AD45</f>
        <v>182079</v>
      </c>
      <c r="AS49" s="525">
        <f>+DATA!AE45</f>
        <v>78266</v>
      </c>
      <c r="AT49" s="525">
        <f>+DATA!AF45</f>
        <v>107286.928</v>
      </c>
      <c r="AU49" s="525">
        <f>+DATA!AG45</f>
        <v>70807</v>
      </c>
      <c r="AV49" s="525">
        <f>+DATA!AH45</f>
        <v>438438.92800000001</v>
      </c>
    </row>
    <row r="50" spans="1:48" x14ac:dyDescent="0.25">
      <c r="A50" s="527">
        <v>5102</v>
      </c>
      <c r="B50" s="527">
        <v>5305</v>
      </c>
      <c r="C50" s="527" t="s">
        <v>97</v>
      </c>
      <c r="D50" s="771">
        <f t="shared" si="2"/>
        <v>2.8901734103999998E-3</v>
      </c>
      <c r="E50" s="771">
        <f t="shared" si="3"/>
        <v>7.2254335259999995E-4</v>
      </c>
      <c r="F50" s="525">
        <f>+DATA!D46</f>
        <v>30543</v>
      </c>
      <c r="G50" s="772">
        <f>+DATA!E46</f>
        <v>8.220609441285881E-2</v>
      </c>
      <c r="H50" s="525">
        <f t="shared" si="12"/>
        <v>2511</v>
      </c>
      <c r="I50" s="771">
        <f t="shared" si="4"/>
        <v>1.9229296534E-3</v>
      </c>
      <c r="J50" s="771">
        <f t="shared" si="5"/>
        <v>1.922929653E-4</v>
      </c>
      <c r="K50" s="525">
        <f>+DATA!G46</f>
        <v>8135</v>
      </c>
      <c r="L50" s="525">
        <f>+DATA!H46</f>
        <v>16055</v>
      </c>
      <c r="M50" s="525">
        <f>+DATA!I46</f>
        <v>267284794581</v>
      </c>
      <c r="N50" s="525">
        <f>+DATA!J46</f>
        <v>1280924382883</v>
      </c>
      <c r="O50" s="773">
        <f t="shared" si="13"/>
        <v>0.32516141432653894</v>
      </c>
      <c r="P50" s="774" t="str">
        <f t="shared" si="14"/>
        <v>NO</v>
      </c>
      <c r="Q50" s="771">
        <f t="shared" si="6"/>
        <v>7.5493205589999995E-4</v>
      </c>
      <c r="R50" s="771">
        <f t="shared" si="7"/>
        <v>1.0823417606E-3</v>
      </c>
      <c r="S50" s="771">
        <f t="shared" si="8"/>
        <v>3.2470252820000002E-4</v>
      </c>
      <c r="T50" s="525">
        <f>+DATA!K46</f>
        <v>0</v>
      </c>
      <c r="U50" s="525">
        <f>+DATA!L46</f>
        <v>0</v>
      </c>
      <c r="V50" s="525">
        <f>+DATA!M46</f>
        <v>10311948</v>
      </c>
      <c r="W50" s="526">
        <f t="shared" si="9"/>
        <v>10311948</v>
      </c>
      <c r="X50" s="526">
        <f t="shared" si="15"/>
        <v>10311948</v>
      </c>
      <c r="Y50" s="526">
        <f t="shared" si="16"/>
        <v>10311948</v>
      </c>
      <c r="Z50" s="525">
        <f>+DATA!F46</f>
        <v>605991.69929280155</v>
      </c>
      <c r="AA50" s="525">
        <f>IF(P50="SI",ROUND(Z50/DIV_Pf,PARAMETROS!$L$8),0)</f>
        <v>0</v>
      </c>
      <c r="AB50" s="526">
        <f t="shared" si="17"/>
        <v>30543</v>
      </c>
      <c r="AC50" s="775">
        <f t="shared" si="18"/>
        <v>337.62</v>
      </c>
      <c r="AD50" s="525">
        <f>IF(AC50&lt;$AC$6,ROUND(($AC$6-AC50)*AB50,PARAMETROS!$L$8),0)</f>
        <v>0</v>
      </c>
      <c r="AE50" s="771">
        <f t="shared" si="10"/>
        <v>0</v>
      </c>
      <c r="AF50" s="771">
        <f t="shared" si="11"/>
        <v>0</v>
      </c>
      <c r="AG50" s="771">
        <f t="shared" si="19"/>
        <v>1.2395388461000001E-3</v>
      </c>
      <c r="AH50" s="525">
        <f>+DATA!Q46</f>
        <v>2260877.9569999999</v>
      </c>
      <c r="AI50" s="525">
        <f>+DATA!R46</f>
        <v>188406.49641666666</v>
      </c>
      <c r="AJ50" s="525">
        <f>+DATA!S46</f>
        <v>148841</v>
      </c>
      <c r="AK50" s="525">
        <f>+'_DATA STT PAGOS_'!G48</f>
        <v>0</v>
      </c>
      <c r="AL50" s="525">
        <f>+'_DATA STT PAGOS_'!J48</f>
        <v>3071532.6979999999</v>
      </c>
      <c r="AM50" s="525">
        <f>+DATA!Y46</f>
        <v>396895</v>
      </c>
      <c r="AN50" s="525">
        <f>+DATA!Z46</f>
        <v>264347</v>
      </c>
      <c r="AO50" s="525">
        <f>+DATA!AA46</f>
        <v>280323</v>
      </c>
      <c r="AP50" s="525">
        <f>+DATA!AB46</f>
        <v>261528</v>
      </c>
      <c r="AQ50" s="525">
        <f>+DATA!AC46</f>
        <v>1203093</v>
      </c>
      <c r="AR50" s="525">
        <f>+DATA!AD46</f>
        <v>15870</v>
      </c>
      <c r="AS50" s="525">
        <f>+DATA!AE46</f>
        <v>7282</v>
      </c>
      <c r="AT50" s="525">
        <f>+DATA!AF46</f>
        <v>9169.9570000000003</v>
      </c>
      <c r="AU50" s="525">
        <f>+DATA!AG46</f>
        <v>8841</v>
      </c>
      <c r="AV50" s="525">
        <f>+DATA!AH46</f>
        <v>41162.957000000002</v>
      </c>
    </row>
    <row r="51" spans="1:48" x14ac:dyDescent="0.25">
      <c r="A51" s="527">
        <v>5103</v>
      </c>
      <c r="B51" s="527">
        <v>5309</v>
      </c>
      <c r="C51" s="527" t="s">
        <v>379</v>
      </c>
      <c r="D51" s="771">
        <f t="shared" si="2"/>
        <v>2.8901734103999998E-3</v>
      </c>
      <c r="E51" s="771">
        <f t="shared" si="3"/>
        <v>7.2254335259999995E-4</v>
      </c>
      <c r="F51" s="525">
        <f>+DATA!D47</f>
        <v>48171</v>
      </c>
      <c r="G51" s="772">
        <f>+DATA!E47</f>
        <v>2.717759424605647E-2</v>
      </c>
      <c r="H51" s="525">
        <f t="shared" si="12"/>
        <v>1309</v>
      </c>
      <c r="I51" s="771">
        <f t="shared" si="4"/>
        <v>1.0024352514000001E-3</v>
      </c>
      <c r="J51" s="771">
        <f t="shared" si="5"/>
        <v>1.002435251E-4</v>
      </c>
      <c r="K51" s="525">
        <f>+DATA!G47</f>
        <v>8196</v>
      </c>
      <c r="L51" s="525">
        <f>+DATA!H47</f>
        <v>48006</v>
      </c>
      <c r="M51" s="525">
        <f>+DATA!I47</f>
        <v>476035904540</v>
      </c>
      <c r="N51" s="525">
        <f>+DATA!J47</f>
        <v>3489468441454</v>
      </c>
      <c r="O51" s="773">
        <f t="shared" si="13"/>
        <v>0.15261366854238159</v>
      </c>
      <c r="P51" s="774" t="str">
        <f t="shared" si="14"/>
        <v>NO</v>
      </c>
      <c r="Q51" s="771">
        <f t="shared" si="6"/>
        <v>2.5627806769999999E-4</v>
      </c>
      <c r="R51" s="771">
        <f t="shared" si="7"/>
        <v>3.6742439650000003E-4</v>
      </c>
      <c r="S51" s="771">
        <f t="shared" si="8"/>
        <v>1.10227319E-4</v>
      </c>
      <c r="T51" s="525">
        <f>+DATA!K47</f>
        <v>0</v>
      </c>
      <c r="U51" s="525">
        <f>+DATA!L47</f>
        <v>0</v>
      </c>
      <c r="V51" s="525">
        <f>+DATA!M47</f>
        <v>14491259</v>
      </c>
      <c r="W51" s="526">
        <f t="shared" si="9"/>
        <v>14491259</v>
      </c>
      <c r="X51" s="526">
        <f t="shared" si="15"/>
        <v>14491259</v>
      </c>
      <c r="Y51" s="526">
        <f t="shared" si="16"/>
        <v>14491259</v>
      </c>
      <c r="Z51" s="525">
        <f>+DATA!F47</f>
        <v>1148845.6545046554</v>
      </c>
      <c r="AA51" s="525">
        <f>IF(P51="SI",ROUND(Z51/DIV_Pf,PARAMETROS!$L$8),0)</f>
        <v>0</v>
      </c>
      <c r="AB51" s="526">
        <f t="shared" si="17"/>
        <v>48171</v>
      </c>
      <c r="AC51" s="775">
        <f t="shared" si="18"/>
        <v>300.83</v>
      </c>
      <c r="AD51" s="525">
        <f>IF(AC51&lt;$AC$6,ROUND(($AC$6-AC51)*AB51,PARAMETROS!$L$8),0)</f>
        <v>0</v>
      </c>
      <c r="AE51" s="771">
        <f t="shared" si="10"/>
        <v>0</v>
      </c>
      <c r="AF51" s="771">
        <f t="shared" si="11"/>
        <v>0</v>
      </c>
      <c r="AG51" s="771">
        <f t="shared" si="19"/>
        <v>9.3301419669999995E-4</v>
      </c>
      <c r="AH51" s="525">
        <f>+DATA!Q47</f>
        <v>1900489.2649999999</v>
      </c>
      <c r="AI51" s="525">
        <f>+DATA!R47</f>
        <v>158374.10541666666</v>
      </c>
      <c r="AJ51" s="525">
        <f>+DATA!S47</f>
        <v>125116</v>
      </c>
      <c r="AK51" s="525">
        <f>+'_DATA STT PAGOS_'!G49</f>
        <v>0</v>
      </c>
      <c r="AL51" s="525">
        <f>+'_DATA STT PAGOS_'!J49</f>
        <v>2574411.2939999998</v>
      </c>
      <c r="AM51" s="525">
        <f>+DATA!Y47</f>
        <v>1479702</v>
      </c>
      <c r="AN51" s="525">
        <f>+DATA!Z47</f>
        <v>882586</v>
      </c>
      <c r="AO51" s="525">
        <f>+DATA!AA47</f>
        <v>1270196</v>
      </c>
      <c r="AP51" s="525">
        <f>+DATA!AB47</f>
        <v>959094</v>
      </c>
      <c r="AQ51" s="525">
        <f>+DATA!AC47</f>
        <v>4591578</v>
      </c>
      <c r="AR51" s="525">
        <f>+DATA!AD47</f>
        <v>204485</v>
      </c>
      <c r="AS51" s="525">
        <f>+DATA!AE47</f>
        <v>93188</v>
      </c>
      <c r="AT51" s="525">
        <f>+DATA!AF47</f>
        <v>125634.902</v>
      </c>
      <c r="AU51" s="525">
        <f>+DATA!AG47</f>
        <v>84910</v>
      </c>
      <c r="AV51" s="525">
        <f>+DATA!AH47</f>
        <v>508217.902</v>
      </c>
    </row>
    <row r="52" spans="1:48" x14ac:dyDescent="0.25">
      <c r="A52" s="527">
        <v>5104</v>
      </c>
      <c r="B52" s="527">
        <v>5308</v>
      </c>
      <c r="C52" s="527" t="s">
        <v>380</v>
      </c>
      <c r="D52" s="771">
        <f t="shared" si="2"/>
        <v>2.8901734103999998E-3</v>
      </c>
      <c r="E52" s="771">
        <f t="shared" si="3"/>
        <v>7.2254335259999995E-4</v>
      </c>
      <c r="F52" s="525">
        <f>+DATA!D48</f>
        <v>1104</v>
      </c>
      <c r="G52" s="772">
        <f>+DATA!E48</f>
        <v>2.468741376426857E-2</v>
      </c>
      <c r="H52" s="525">
        <f t="shared" si="12"/>
        <v>27</v>
      </c>
      <c r="I52" s="771">
        <f t="shared" si="4"/>
        <v>2.0676662899999999E-5</v>
      </c>
      <c r="J52" s="771">
        <f t="shared" si="5"/>
        <v>2.0676662999999999E-6</v>
      </c>
      <c r="K52" s="525">
        <f>+DATA!G48</f>
        <v>380</v>
      </c>
      <c r="L52" s="525">
        <f>+DATA!H48</f>
        <v>464</v>
      </c>
      <c r="M52" s="525">
        <f>+DATA!I48</f>
        <v>13830299608</v>
      </c>
      <c r="N52" s="525">
        <f>+DATA!J48</f>
        <v>15262478369</v>
      </c>
      <c r="O52" s="773">
        <f t="shared" si="13"/>
        <v>0.86146189386474514</v>
      </c>
      <c r="P52" s="774" t="str">
        <f t="shared" si="14"/>
        <v>SI</v>
      </c>
      <c r="Q52" s="771">
        <f t="shared" si="6"/>
        <v>5.6997036400000002E-5</v>
      </c>
      <c r="R52" s="771">
        <f t="shared" si="7"/>
        <v>8.1716324299999996E-5</v>
      </c>
      <c r="S52" s="771">
        <f t="shared" si="8"/>
        <v>2.4514897300000001E-5</v>
      </c>
      <c r="T52" s="525">
        <f>+DATA!K48</f>
        <v>0</v>
      </c>
      <c r="U52" s="525">
        <f>+DATA!L48</f>
        <v>0</v>
      </c>
      <c r="V52" s="525">
        <f>+DATA!M48</f>
        <v>147969</v>
      </c>
      <c r="W52" s="526">
        <f t="shared" si="9"/>
        <v>147969</v>
      </c>
      <c r="X52" s="526">
        <f t="shared" si="15"/>
        <v>147969</v>
      </c>
      <c r="Y52" s="526">
        <f t="shared" si="16"/>
        <v>147969</v>
      </c>
      <c r="Z52" s="525">
        <f>+DATA!F48</f>
        <v>15342.100329944913</v>
      </c>
      <c r="AA52" s="525">
        <f>IF(P52="SI",ROUND(Z52/DIV_Pf,PARAMETROS!$L$8),0)</f>
        <v>1279</v>
      </c>
      <c r="AB52" s="526">
        <f t="shared" si="17"/>
        <v>2383</v>
      </c>
      <c r="AC52" s="775">
        <f t="shared" si="18"/>
        <v>62.09</v>
      </c>
      <c r="AD52" s="525">
        <f>IF(AC52&lt;$AC$6,ROUND(($AC$6-AC52)*AB52,PARAMETROS!$L$8),0)</f>
        <v>101111</v>
      </c>
      <c r="AE52" s="771">
        <f t="shared" si="10"/>
        <v>9.7048358300000004E-5</v>
      </c>
      <c r="AF52" s="771">
        <f t="shared" si="11"/>
        <v>3.3966925400000003E-5</v>
      </c>
      <c r="AG52" s="771">
        <f t="shared" si="19"/>
        <v>7.8309284159999997E-4</v>
      </c>
      <c r="AH52" s="525">
        <f>+DATA!Q48</f>
        <v>1557742.7720000001</v>
      </c>
      <c r="AI52" s="525">
        <f>+DATA!R48</f>
        <v>129811.89766666667</v>
      </c>
      <c r="AJ52" s="525">
        <f>+DATA!S48</f>
        <v>102551</v>
      </c>
      <c r="AK52" s="525">
        <f>+'_DATA STT PAGOS_'!G50</f>
        <v>0</v>
      </c>
      <c r="AL52" s="525">
        <f>+'_DATA STT PAGOS_'!J50</f>
        <v>2113528.1320000002</v>
      </c>
      <c r="AM52" s="525">
        <f>+DATA!Y48</f>
        <v>875</v>
      </c>
      <c r="AN52" s="525">
        <f>+DATA!Z48</f>
        <v>394</v>
      </c>
      <c r="AO52" s="525">
        <f>+DATA!AA48</f>
        <v>1056</v>
      </c>
      <c r="AP52" s="525">
        <f>+DATA!AB48</f>
        <v>193</v>
      </c>
      <c r="AQ52" s="525">
        <f>+DATA!AC48</f>
        <v>2518</v>
      </c>
      <c r="AR52" s="525">
        <f>+DATA!AD48</f>
        <v>0</v>
      </c>
      <c r="AS52" s="525">
        <f>+DATA!AE48</f>
        <v>0</v>
      </c>
      <c r="AT52" s="525">
        <f>+DATA!AF48</f>
        <v>0</v>
      </c>
      <c r="AU52" s="525">
        <f>+DATA!AG48</f>
        <v>0</v>
      </c>
      <c r="AV52" s="525">
        <f>+DATA!AH48</f>
        <v>0</v>
      </c>
    </row>
    <row r="53" spans="1:48" x14ac:dyDescent="0.25">
      <c r="A53" s="527">
        <v>5105</v>
      </c>
      <c r="B53" s="527">
        <v>5307</v>
      </c>
      <c r="C53" s="527" t="s">
        <v>381</v>
      </c>
      <c r="D53" s="771">
        <f t="shared" si="2"/>
        <v>2.8901734103999998E-3</v>
      </c>
      <c r="E53" s="771">
        <f t="shared" si="3"/>
        <v>7.2254335259999995E-4</v>
      </c>
      <c r="F53" s="525">
        <f>+DATA!D49</f>
        <v>21221</v>
      </c>
      <c r="G53" s="772">
        <f>+DATA!E49</f>
        <v>3.2935928149776E-2</v>
      </c>
      <c r="H53" s="525">
        <f t="shared" si="12"/>
        <v>699</v>
      </c>
      <c r="I53" s="771">
        <f t="shared" si="4"/>
        <v>5.3529582940000005E-4</v>
      </c>
      <c r="J53" s="771">
        <f t="shared" si="5"/>
        <v>5.3529582899999998E-5</v>
      </c>
      <c r="K53" s="525">
        <f>+DATA!G49</f>
        <v>9380</v>
      </c>
      <c r="L53" s="525">
        <f>+DATA!H49</f>
        <v>22628</v>
      </c>
      <c r="M53" s="525">
        <f>+DATA!I49</f>
        <v>291967529067</v>
      </c>
      <c r="N53" s="525">
        <f>+DATA!J49</f>
        <v>1648669153552</v>
      </c>
      <c r="O53" s="773">
        <f t="shared" si="13"/>
        <v>0.27094357394184992</v>
      </c>
      <c r="P53" s="774" t="str">
        <f t="shared" si="14"/>
        <v>NO</v>
      </c>
      <c r="Q53" s="771">
        <f t="shared" si="6"/>
        <v>7.1213538990000001E-4</v>
      </c>
      <c r="R53" s="771">
        <f t="shared" si="7"/>
        <v>1.0209844258999999E-3</v>
      </c>
      <c r="S53" s="771">
        <f t="shared" si="8"/>
        <v>3.0629532779999997E-4</v>
      </c>
      <c r="T53" s="525">
        <f>+DATA!K49</f>
        <v>0</v>
      </c>
      <c r="U53" s="525">
        <f>+DATA!L49</f>
        <v>0</v>
      </c>
      <c r="V53" s="525">
        <f>+DATA!M49</f>
        <v>8550433</v>
      </c>
      <c r="W53" s="526">
        <f t="shared" si="9"/>
        <v>8550433</v>
      </c>
      <c r="X53" s="526">
        <f t="shared" si="15"/>
        <v>8550433</v>
      </c>
      <c r="Y53" s="526">
        <f t="shared" si="16"/>
        <v>8550433</v>
      </c>
      <c r="Z53" s="525">
        <f>+DATA!F49</f>
        <v>2097521.4048150699</v>
      </c>
      <c r="AA53" s="525">
        <f>IF(P53="SI",ROUND(Z53/DIV_Pf,PARAMETROS!$L$8),0)</f>
        <v>0</v>
      </c>
      <c r="AB53" s="526">
        <f t="shared" si="17"/>
        <v>21221</v>
      </c>
      <c r="AC53" s="775">
        <f t="shared" si="18"/>
        <v>402.92</v>
      </c>
      <c r="AD53" s="525">
        <f>IF(AC53&lt;$AC$6,ROUND(($AC$6-AC53)*AB53,PARAMETROS!$L$8),0)</f>
        <v>0</v>
      </c>
      <c r="AE53" s="771">
        <f t="shared" si="10"/>
        <v>0</v>
      </c>
      <c r="AF53" s="771">
        <f t="shared" si="11"/>
        <v>0</v>
      </c>
      <c r="AG53" s="771">
        <f t="shared" si="19"/>
        <v>1.0823682633000001E-3</v>
      </c>
      <c r="AH53" s="525">
        <f>+DATA!Q49</f>
        <v>2170736.8280000002</v>
      </c>
      <c r="AI53" s="525">
        <f>+DATA!R49</f>
        <v>180894.73566666667</v>
      </c>
      <c r="AJ53" s="525">
        <f>+DATA!S49</f>
        <v>142907</v>
      </c>
      <c r="AK53" s="525">
        <f>+'_DATA STT PAGOS_'!G51</f>
        <v>0</v>
      </c>
      <c r="AL53" s="525">
        <f>+'_DATA STT PAGOS_'!J51</f>
        <v>2940412.6069999998</v>
      </c>
      <c r="AM53" s="525">
        <f>+DATA!Y49</f>
        <v>753276</v>
      </c>
      <c r="AN53" s="525">
        <f>+DATA!Z49</f>
        <v>459743</v>
      </c>
      <c r="AO53" s="525">
        <f>+DATA!AA49</f>
        <v>552480</v>
      </c>
      <c r="AP53" s="525">
        <f>+DATA!AB49</f>
        <v>493073</v>
      </c>
      <c r="AQ53" s="525">
        <f>+DATA!AC49</f>
        <v>2258572</v>
      </c>
      <c r="AR53" s="525">
        <f>+DATA!AD49</f>
        <v>68451</v>
      </c>
      <c r="AS53" s="525">
        <f>+DATA!AE49</f>
        <v>33260</v>
      </c>
      <c r="AT53" s="525">
        <f>+DATA!AF49</f>
        <v>44106.224999999999</v>
      </c>
      <c r="AU53" s="525">
        <f>+DATA!AG49</f>
        <v>34980</v>
      </c>
      <c r="AV53" s="525">
        <f>+DATA!AH49</f>
        <v>180797.22500000001</v>
      </c>
    </row>
    <row r="54" spans="1:48" x14ac:dyDescent="0.25">
      <c r="A54" s="527">
        <v>5107</v>
      </c>
      <c r="B54" s="527">
        <v>5306</v>
      </c>
      <c r="C54" s="527" t="s">
        <v>98</v>
      </c>
      <c r="D54" s="771">
        <f t="shared" si="2"/>
        <v>2.8901734103999998E-3</v>
      </c>
      <c r="E54" s="771">
        <f t="shared" si="3"/>
        <v>7.2254335259999995E-4</v>
      </c>
      <c r="F54" s="525">
        <f>+DATA!D50</f>
        <v>38613</v>
      </c>
      <c r="G54" s="772">
        <f>+DATA!E50</f>
        <v>7.7221617901614942E-2</v>
      </c>
      <c r="H54" s="525">
        <f t="shared" si="12"/>
        <v>2982</v>
      </c>
      <c r="I54" s="771">
        <f t="shared" si="4"/>
        <v>2.2836225512999999E-3</v>
      </c>
      <c r="J54" s="771">
        <f t="shared" si="5"/>
        <v>2.2836225510000001E-4</v>
      </c>
      <c r="K54" s="525">
        <f>+DATA!G50</f>
        <v>12779</v>
      </c>
      <c r="L54" s="525">
        <f>+DATA!H50</f>
        <v>20266</v>
      </c>
      <c r="M54" s="525">
        <f>+DATA!I50</f>
        <v>368403172707</v>
      </c>
      <c r="N54" s="525">
        <f>+DATA!J50</f>
        <v>955464020649</v>
      </c>
      <c r="O54" s="773">
        <f t="shared" si="13"/>
        <v>0.4930817491291144</v>
      </c>
      <c r="P54" s="774" t="str">
        <f t="shared" si="14"/>
        <v>SI</v>
      </c>
      <c r="Q54" s="771">
        <f t="shared" si="6"/>
        <v>1.4758042750999999E-3</v>
      </c>
      <c r="R54" s="771">
        <f t="shared" si="7"/>
        <v>2.1158521286000001E-3</v>
      </c>
      <c r="S54" s="771">
        <f t="shared" si="8"/>
        <v>6.3475563860000001E-4</v>
      </c>
      <c r="T54" s="525">
        <f>+DATA!K50</f>
        <v>0</v>
      </c>
      <c r="U54" s="525">
        <f>+DATA!L50</f>
        <v>0</v>
      </c>
      <c r="V54" s="525">
        <f>+DATA!M50</f>
        <v>4630693</v>
      </c>
      <c r="W54" s="526">
        <f t="shared" si="9"/>
        <v>4630693</v>
      </c>
      <c r="X54" s="526">
        <f t="shared" si="15"/>
        <v>4630693</v>
      </c>
      <c r="Y54" s="526">
        <f t="shared" si="16"/>
        <v>4630693</v>
      </c>
      <c r="Z54" s="525">
        <f>+DATA!F50</f>
        <v>1494006.5323082737</v>
      </c>
      <c r="AA54" s="525">
        <f>IF(P54="SI",ROUND(Z54/DIV_Pf,PARAMETROS!$L$8),0)</f>
        <v>124501</v>
      </c>
      <c r="AB54" s="526">
        <f t="shared" si="17"/>
        <v>163114</v>
      </c>
      <c r="AC54" s="775">
        <f t="shared" si="18"/>
        <v>28.39</v>
      </c>
      <c r="AD54" s="525">
        <f>IF(AC54&lt;$AC$6,ROUND(($AC$6-AC54)*AB54,PARAMETROS!$L$8),0)</f>
        <v>12417869</v>
      </c>
      <c r="AE54" s="771">
        <f t="shared" si="10"/>
        <v>1.19189188153E-2</v>
      </c>
      <c r="AF54" s="771">
        <f t="shared" si="11"/>
        <v>4.1716215853999997E-3</v>
      </c>
      <c r="AG54" s="771">
        <f t="shared" si="19"/>
        <v>5.7572828316999995E-3</v>
      </c>
      <c r="AH54" s="525">
        <f>+DATA!Q50</f>
        <v>13288068.967</v>
      </c>
      <c r="AI54" s="525">
        <f>+DATA!R50</f>
        <v>1107339.0805833333</v>
      </c>
      <c r="AJ54" s="525">
        <f>+DATA!S50</f>
        <v>874798</v>
      </c>
      <c r="AK54" s="525">
        <f>+'_DATA STT PAGOS_'!G52</f>
        <v>0</v>
      </c>
      <c r="AL54" s="525">
        <f>+'_DATA STT PAGOS_'!J52</f>
        <v>18032214.719000001</v>
      </c>
      <c r="AM54" s="525">
        <f>+DATA!Y50</f>
        <v>294302</v>
      </c>
      <c r="AN54" s="525">
        <f>+DATA!Z50</f>
        <v>163558</v>
      </c>
      <c r="AO54" s="525">
        <f>+DATA!AA50</f>
        <v>247813</v>
      </c>
      <c r="AP54" s="525">
        <f>+DATA!AB50</f>
        <v>207414</v>
      </c>
      <c r="AQ54" s="525">
        <f>+DATA!AC50</f>
        <v>913087</v>
      </c>
      <c r="AR54" s="525">
        <f>+DATA!AD50</f>
        <v>30661</v>
      </c>
      <c r="AS54" s="525">
        <f>+DATA!AE50</f>
        <v>17708</v>
      </c>
      <c r="AT54" s="525">
        <f>+DATA!AF50</f>
        <v>21016.552</v>
      </c>
      <c r="AU54" s="525">
        <f>+DATA!AG50</f>
        <v>16396</v>
      </c>
      <c r="AV54" s="525">
        <f>+DATA!AH50</f>
        <v>85781.551999999996</v>
      </c>
    </row>
    <row r="55" spans="1:48" x14ac:dyDescent="0.25">
      <c r="A55" s="527">
        <v>5109</v>
      </c>
      <c r="B55" s="527">
        <v>5302</v>
      </c>
      <c r="C55" s="527" t="s">
        <v>95</v>
      </c>
      <c r="D55" s="771">
        <f t="shared" si="2"/>
        <v>2.8901734103999998E-3</v>
      </c>
      <c r="E55" s="771">
        <f t="shared" si="3"/>
        <v>7.2254335259999995E-4</v>
      </c>
      <c r="F55" s="525">
        <f>+DATA!D51</f>
        <v>371490</v>
      </c>
      <c r="G55" s="772">
        <f>+DATA!E51</f>
        <v>6.4775862613205684E-2</v>
      </c>
      <c r="H55" s="525">
        <f t="shared" si="12"/>
        <v>24064</v>
      </c>
      <c r="I55" s="771">
        <f t="shared" si="4"/>
        <v>1.8428267295600001E-2</v>
      </c>
      <c r="J55" s="771">
        <f t="shared" si="5"/>
        <v>1.8428267296000001E-3</v>
      </c>
      <c r="K55" s="525">
        <f>+DATA!G51</f>
        <v>89657</v>
      </c>
      <c r="L55" s="525">
        <f>+DATA!H51</f>
        <v>231800</v>
      </c>
      <c r="M55" s="525">
        <f>+DATA!I51</f>
        <v>4438282986723</v>
      </c>
      <c r="N55" s="525">
        <f>+DATA!J51</f>
        <v>14003368244854</v>
      </c>
      <c r="O55" s="773">
        <f t="shared" si="13"/>
        <v>0.35012782476404331</v>
      </c>
      <c r="P55" s="774" t="str">
        <f t="shared" si="14"/>
        <v>NO</v>
      </c>
      <c r="Q55" s="771">
        <f t="shared" si="6"/>
        <v>6.3512328656999996E-3</v>
      </c>
      <c r="R55" s="771">
        <f t="shared" si="7"/>
        <v>9.1057261488999997E-3</v>
      </c>
      <c r="S55" s="771">
        <f t="shared" si="8"/>
        <v>2.7317178446999999E-3</v>
      </c>
      <c r="T55" s="525">
        <f>+DATA!K51</f>
        <v>0</v>
      </c>
      <c r="U55" s="525">
        <f>+DATA!L51</f>
        <v>0</v>
      </c>
      <c r="V55" s="525">
        <f>+DATA!M51</f>
        <v>103483640</v>
      </c>
      <c r="W55" s="526">
        <f t="shared" si="9"/>
        <v>103483640</v>
      </c>
      <c r="X55" s="526">
        <f t="shared" si="15"/>
        <v>103483640</v>
      </c>
      <c r="Y55" s="526">
        <f t="shared" si="16"/>
        <v>103483640</v>
      </c>
      <c r="Z55" s="525">
        <f>+DATA!F51</f>
        <v>6418333.8233441673</v>
      </c>
      <c r="AA55" s="525">
        <f>IF(P55="SI",ROUND(Z55/DIV_Pf,PARAMETROS!$L$8),0)</f>
        <v>0</v>
      </c>
      <c r="AB55" s="526">
        <f t="shared" si="17"/>
        <v>371490</v>
      </c>
      <c r="AC55" s="775">
        <f t="shared" si="18"/>
        <v>278.56</v>
      </c>
      <c r="AD55" s="525">
        <f>IF(AC55&lt;$AC$6,ROUND(($AC$6-AC55)*AB55,PARAMETROS!$L$8),0)</f>
        <v>0</v>
      </c>
      <c r="AE55" s="771">
        <f t="shared" si="10"/>
        <v>0</v>
      </c>
      <c r="AF55" s="771">
        <f t="shared" si="11"/>
        <v>0</v>
      </c>
      <c r="AG55" s="771">
        <f t="shared" si="19"/>
        <v>5.2970879269000001E-3</v>
      </c>
      <c r="AH55" s="525">
        <f>+DATA!Q51</f>
        <v>9916583.568</v>
      </c>
      <c r="AI55" s="525">
        <f>+DATA!R51</f>
        <v>826381.96400000004</v>
      </c>
      <c r="AJ55" s="525">
        <f>+DATA!S51</f>
        <v>652842</v>
      </c>
      <c r="AK55" s="525">
        <f>+'_DATA STT PAGOS_'!G53</f>
        <v>0</v>
      </c>
      <c r="AL55" s="525">
        <f>+'_DATA STT PAGOS_'!J53</f>
        <v>13452550.673999999</v>
      </c>
      <c r="AM55" s="525">
        <f>+DATA!Y51</f>
        <v>4645551</v>
      </c>
      <c r="AN55" s="525">
        <f>+DATA!Z51</f>
        <v>3074574</v>
      </c>
      <c r="AO55" s="525">
        <f>+DATA!AA51</f>
        <v>3795406</v>
      </c>
      <c r="AP55" s="525">
        <f>+DATA!AB51</f>
        <v>3009947</v>
      </c>
      <c r="AQ55" s="525">
        <f>+DATA!AC51</f>
        <v>14525478</v>
      </c>
      <c r="AR55" s="525">
        <f>+DATA!AD51</f>
        <v>755726</v>
      </c>
      <c r="AS55" s="525">
        <f>+DATA!AE51</f>
        <v>349242</v>
      </c>
      <c r="AT55" s="525">
        <f>+DATA!AF51</f>
        <v>484010.4</v>
      </c>
      <c r="AU55" s="525">
        <f>+DATA!AG51</f>
        <v>324525</v>
      </c>
      <c r="AV55" s="525">
        <f>+DATA!AH51</f>
        <v>1913503.4</v>
      </c>
    </row>
    <row r="56" spans="1:48" x14ac:dyDescent="0.25">
      <c r="A56" s="527">
        <v>5201</v>
      </c>
      <c r="B56" s="527">
        <v>5101</v>
      </c>
      <c r="C56" s="527" t="s">
        <v>504</v>
      </c>
      <c r="D56" s="771">
        <f t="shared" si="2"/>
        <v>2.8901734103999998E-3</v>
      </c>
      <c r="E56" s="771">
        <f t="shared" si="3"/>
        <v>7.2254335259999995E-4</v>
      </c>
      <c r="F56" s="525">
        <f>+DATA!D52</f>
        <v>8872</v>
      </c>
      <c r="G56" s="772">
        <f>+DATA!E52</f>
        <v>5.4286904186119159E-2</v>
      </c>
      <c r="H56" s="525">
        <f t="shared" si="12"/>
        <v>482</v>
      </c>
      <c r="I56" s="771">
        <f t="shared" si="4"/>
        <v>3.6911672360000002E-4</v>
      </c>
      <c r="J56" s="771">
        <f t="shared" si="5"/>
        <v>3.6911672399999997E-5</v>
      </c>
      <c r="K56" s="525">
        <f>+DATA!G52</f>
        <v>957</v>
      </c>
      <c r="L56" s="525">
        <f>+DATA!H52</f>
        <v>957</v>
      </c>
      <c r="M56" s="525">
        <f>+DATA!I52</f>
        <v>62784374577</v>
      </c>
      <c r="N56" s="525">
        <f>+DATA!J52</f>
        <v>62784374577</v>
      </c>
      <c r="O56" s="773">
        <f t="shared" si="13"/>
        <v>1</v>
      </c>
      <c r="P56" s="774" t="str">
        <f t="shared" si="14"/>
        <v>SI</v>
      </c>
      <c r="Q56" s="771">
        <f t="shared" si="6"/>
        <v>1.7527299180000001E-4</v>
      </c>
      <c r="R56" s="771">
        <f t="shared" si="7"/>
        <v>2.5128788349999999E-4</v>
      </c>
      <c r="S56" s="771">
        <f t="shared" si="8"/>
        <v>7.5386365099999996E-5</v>
      </c>
      <c r="T56" s="525">
        <f>+DATA!K52</f>
        <v>0</v>
      </c>
      <c r="U56" s="525">
        <f>+DATA!L52</f>
        <v>0</v>
      </c>
      <c r="V56" s="525">
        <f>+DATA!M52</f>
        <v>202814</v>
      </c>
      <c r="W56" s="526">
        <f t="shared" si="9"/>
        <v>202814</v>
      </c>
      <c r="X56" s="526">
        <f t="shared" si="15"/>
        <v>202814</v>
      </c>
      <c r="Y56" s="526">
        <f t="shared" si="16"/>
        <v>202814</v>
      </c>
      <c r="Z56" s="525">
        <f>+DATA!F52</f>
        <v>380911.99738684652</v>
      </c>
      <c r="AA56" s="525">
        <f>IF(P56="SI",ROUND(Z56/DIV_Pf,PARAMETROS!$L$8),0)</f>
        <v>31743</v>
      </c>
      <c r="AB56" s="526">
        <f t="shared" si="17"/>
        <v>40615</v>
      </c>
      <c r="AC56" s="775">
        <f t="shared" si="18"/>
        <v>4.99</v>
      </c>
      <c r="AD56" s="525">
        <f>IF(AC56&lt;$AC$6,ROUND(($AC$6-AC56)*AB56,PARAMETROS!$L$8),0)</f>
        <v>4042411</v>
      </c>
      <c r="AE56" s="771">
        <f t="shared" si="10"/>
        <v>3.8799868582E-3</v>
      </c>
      <c r="AF56" s="771">
        <f t="shared" si="11"/>
        <v>1.3579954003999999E-3</v>
      </c>
      <c r="AG56" s="771">
        <f t="shared" si="19"/>
        <v>2.1928367904999998E-3</v>
      </c>
      <c r="AH56" s="525">
        <f>+DATA!Q52</f>
        <v>4256961.8370000003</v>
      </c>
      <c r="AI56" s="525">
        <f>+DATA!R52</f>
        <v>354746.81975000002</v>
      </c>
      <c r="AJ56" s="525">
        <f>+DATA!S52</f>
        <v>280250</v>
      </c>
      <c r="AK56" s="525">
        <f>+'_DATA STT PAGOS_'!G54</f>
        <v>22097766</v>
      </c>
      <c r="AL56" s="525">
        <f>+'_DATA STT PAGOS_'!J54</f>
        <v>5776794.9620000012</v>
      </c>
      <c r="AM56" s="525">
        <f>+DATA!Y52</f>
        <v>0</v>
      </c>
      <c r="AN56" s="525">
        <f>+DATA!Z52</f>
        <v>0</v>
      </c>
      <c r="AO56" s="525">
        <f>+DATA!AA52</f>
        <v>0</v>
      </c>
      <c r="AP56" s="525">
        <f>+DATA!AB52</f>
        <v>0</v>
      </c>
      <c r="AQ56" s="525">
        <f>+DATA!AC52</f>
        <v>0</v>
      </c>
      <c r="AR56" s="525">
        <f>+DATA!AD52</f>
        <v>0</v>
      </c>
      <c r="AS56" s="525">
        <f>+DATA!AE52</f>
        <v>0</v>
      </c>
      <c r="AT56" s="525">
        <f>+DATA!AF52</f>
        <v>0</v>
      </c>
      <c r="AU56" s="525">
        <f>+DATA!AG52</f>
        <v>0</v>
      </c>
      <c r="AV56" s="525">
        <f>+DATA!AH52</f>
        <v>0</v>
      </c>
    </row>
    <row r="57" spans="1:48" x14ac:dyDescent="0.25">
      <c r="A57" s="527">
        <v>5301</v>
      </c>
      <c r="B57" s="527">
        <v>5701</v>
      </c>
      <c r="C57" s="527" t="s">
        <v>115</v>
      </c>
      <c r="D57" s="771">
        <f t="shared" si="2"/>
        <v>2.8901734103999998E-3</v>
      </c>
      <c r="E57" s="771">
        <f t="shared" si="3"/>
        <v>7.2254335259999995E-4</v>
      </c>
      <c r="F57" s="525">
        <f>+DATA!D53</f>
        <v>68939</v>
      </c>
      <c r="G57" s="772">
        <f>+DATA!E53</f>
        <v>8.1276749212604901E-2</v>
      </c>
      <c r="H57" s="525">
        <f t="shared" si="12"/>
        <v>5603</v>
      </c>
      <c r="I57" s="771">
        <f t="shared" si="4"/>
        <v>4.2907904612000001E-3</v>
      </c>
      <c r="J57" s="771">
        <f t="shared" si="5"/>
        <v>4.2907904609999997E-4</v>
      </c>
      <c r="K57" s="525">
        <f>+DATA!G53</f>
        <v>22510</v>
      </c>
      <c r="L57" s="525">
        <f>+DATA!H53</f>
        <v>28150</v>
      </c>
      <c r="M57" s="525">
        <f>+DATA!I53</f>
        <v>854591711857</v>
      </c>
      <c r="N57" s="525">
        <f>+DATA!J53</f>
        <v>1561798903403</v>
      </c>
      <c r="O57" s="773">
        <f t="shared" si="13"/>
        <v>0.66147788542801278</v>
      </c>
      <c r="P57" s="774" t="str">
        <f t="shared" si="14"/>
        <v>SI</v>
      </c>
      <c r="Q57" s="771">
        <f t="shared" si="6"/>
        <v>3.2966713429000002E-3</v>
      </c>
      <c r="R57" s="771">
        <f t="shared" si="7"/>
        <v>4.7264188050000003E-3</v>
      </c>
      <c r="S57" s="771">
        <f t="shared" si="8"/>
        <v>1.4179256415E-3</v>
      </c>
      <c r="T57" s="525">
        <f>+DATA!K53</f>
        <v>0</v>
      </c>
      <c r="U57" s="525">
        <f>+DATA!L53</f>
        <v>0</v>
      </c>
      <c r="V57" s="525">
        <f>+DATA!M53</f>
        <v>6943810</v>
      </c>
      <c r="W57" s="526">
        <f t="shared" si="9"/>
        <v>6943810</v>
      </c>
      <c r="X57" s="526">
        <f t="shared" si="15"/>
        <v>6943810</v>
      </c>
      <c r="Y57" s="526">
        <f t="shared" si="16"/>
        <v>6943810</v>
      </c>
      <c r="Z57" s="525">
        <f>+DATA!F53</f>
        <v>686252.02462957089</v>
      </c>
      <c r="AA57" s="525">
        <f>IF(P57="SI",ROUND(Z57/DIV_Pf,PARAMETROS!$L$8),0)</f>
        <v>57188</v>
      </c>
      <c r="AB57" s="526">
        <f t="shared" si="17"/>
        <v>126127</v>
      </c>
      <c r="AC57" s="775">
        <f t="shared" si="18"/>
        <v>55.05</v>
      </c>
      <c r="AD57" s="525">
        <f>IF(AC57&lt;$AC$6,ROUND(($AC$6-AC57)*AB57,PARAMETROS!$L$8),0)</f>
        <v>6239503</v>
      </c>
      <c r="AE57" s="771">
        <f t="shared" si="10"/>
        <v>5.9887996648000002E-3</v>
      </c>
      <c r="AF57" s="771">
        <f t="shared" si="11"/>
        <v>2.0960798827000002E-3</v>
      </c>
      <c r="AG57" s="771">
        <f t="shared" si="19"/>
        <v>4.6656279228999998E-3</v>
      </c>
      <c r="AH57" s="525">
        <f>+DATA!Q53</f>
        <v>7889657.1289999997</v>
      </c>
      <c r="AI57" s="525">
        <f>+DATA!R53</f>
        <v>657471.42741666664</v>
      </c>
      <c r="AJ57" s="525">
        <f>+DATA!S53</f>
        <v>519402</v>
      </c>
      <c r="AK57" s="525">
        <f>+'_DATA STT PAGOS_'!G55</f>
        <v>0</v>
      </c>
      <c r="AL57" s="525">
        <f>+'_DATA STT PAGOS_'!J55</f>
        <v>10711505.232999999</v>
      </c>
      <c r="AM57" s="525">
        <f>+DATA!Y53</f>
        <v>336963</v>
      </c>
      <c r="AN57" s="525">
        <f>+DATA!Z53</f>
        <v>279494</v>
      </c>
      <c r="AO57" s="525">
        <f>+DATA!AA53</f>
        <v>315355</v>
      </c>
      <c r="AP57" s="525">
        <f>+DATA!AB53</f>
        <v>271476</v>
      </c>
      <c r="AQ57" s="525">
        <f>+DATA!AC53</f>
        <v>1203288</v>
      </c>
      <c r="AR57" s="525">
        <f>+DATA!AD53</f>
        <v>28763</v>
      </c>
      <c r="AS57" s="525">
        <f>+DATA!AE53</f>
        <v>14452</v>
      </c>
      <c r="AT57" s="525">
        <f>+DATA!AF53</f>
        <v>19865.931</v>
      </c>
      <c r="AU57" s="525">
        <f>+DATA!AG53</f>
        <v>11508</v>
      </c>
      <c r="AV57" s="525">
        <f>+DATA!AH53</f>
        <v>74588.930999999997</v>
      </c>
    </row>
    <row r="58" spans="1:48" x14ac:dyDescent="0.25">
      <c r="A58" s="527">
        <v>5302</v>
      </c>
      <c r="B58" s="527">
        <v>5702</v>
      </c>
      <c r="C58" s="527" t="s">
        <v>116</v>
      </c>
      <c r="D58" s="771">
        <f t="shared" si="2"/>
        <v>2.8901734103999998E-3</v>
      </c>
      <c r="E58" s="771">
        <f t="shared" si="3"/>
        <v>7.2254335259999995E-4</v>
      </c>
      <c r="F58" s="525">
        <f>+DATA!D54</f>
        <v>17673</v>
      </c>
      <c r="G58" s="772">
        <f>+DATA!E54</f>
        <v>6.9963617704811215E-2</v>
      </c>
      <c r="H58" s="525">
        <f t="shared" si="12"/>
        <v>1236</v>
      </c>
      <c r="I58" s="771">
        <f t="shared" si="4"/>
        <v>9.4653168119999997E-4</v>
      </c>
      <c r="J58" s="771">
        <f t="shared" si="5"/>
        <v>9.4653168100000001E-5</v>
      </c>
      <c r="K58" s="525">
        <f>+DATA!G54</f>
        <v>4719</v>
      </c>
      <c r="L58" s="525">
        <f>+DATA!H54</f>
        <v>6486</v>
      </c>
      <c r="M58" s="525">
        <f>+DATA!I54</f>
        <v>114949935760</v>
      </c>
      <c r="N58" s="525">
        <f>+DATA!J54</f>
        <v>339322948655</v>
      </c>
      <c r="O58" s="773">
        <f t="shared" si="13"/>
        <v>0.49646000441854282</v>
      </c>
      <c r="P58" s="774" t="str">
        <f t="shared" si="14"/>
        <v>SI</v>
      </c>
      <c r="Q58" s="771">
        <f t="shared" si="6"/>
        <v>6.2881960360000003E-4</v>
      </c>
      <c r="R58" s="771">
        <f t="shared" si="7"/>
        <v>9.0153506079999998E-4</v>
      </c>
      <c r="S58" s="771">
        <f t="shared" si="8"/>
        <v>2.7046051819999998E-4</v>
      </c>
      <c r="T58" s="525">
        <f>+DATA!K54</f>
        <v>0</v>
      </c>
      <c r="U58" s="525">
        <f>+DATA!L54</f>
        <v>0</v>
      </c>
      <c r="V58" s="525">
        <f>+DATA!M54</f>
        <v>3371385</v>
      </c>
      <c r="W58" s="526">
        <f t="shared" si="9"/>
        <v>3371385</v>
      </c>
      <c r="X58" s="526">
        <f t="shared" si="15"/>
        <v>3371385</v>
      </c>
      <c r="Y58" s="526">
        <f t="shared" si="16"/>
        <v>3371385</v>
      </c>
      <c r="Z58" s="525">
        <f>+DATA!F54</f>
        <v>105041.5321471783</v>
      </c>
      <c r="AA58" s="525">
        <f>IF(P58="SI",ROUND(Z58/DIV_Pf,PARAMETROS!$L$8),0)</f>
        <v>8753</v>
      </c>
      <c r="AB58" s="526">
        <f t="shared" si="17"/>
        <v>26426</v>
      </c>
      <c r="AC58" s="775">
        <f t="shared" si="18"/>
        <v>127.58</v>
      </c>
      <c r="AD58" s="525">
        <f>IF(AC58&lt;$AC$6,ROUND(($AC$6-AC58)*AB58,PARAMETROS!$L$8),0)</f>
        <v>0</v>
      </c>
      <c r="AE58" s="771">
        <f t="shared" si="10"/>
        <v>0</v>
      </c>
      <c r="AF58" s="771">
        <f t="shared" si="11"/>
        <v>0</v>
      </c>
      <c r="AG58" s="771">
        <f t="shared" si="19"/>
        <v>1.0876570388999999E-3</v>
      </c>
      <c r="AH58" s="525">
        <f>+DATA!Q54</f>
        <v>2054369.078</v>
      </c>
      <c r="AI58" s="525">
        <f>+DATA!R54</f>
        <v>171197.42316666667</v>
      </c>
      <c r="AJ58" s="525">
        <f>+DATA!S54</f>
        <v>135246</v>
      </c>
      <c r="AK58" s="525">
        <f>+'_DATA STT PAGOS_'!G56</f>
        <v>0</v>
      </c>
      <c r="AL58" s="525">
        <f>+'_DATA STT PAGOS_'!J56</f>
        <v>2787611.7080000001</v>
      </c>
      <c r="AM58" s="525">
        <f>+DATA!Y54</f>
        <v>56061</v>
      </c>
      <c r="AN58" s="525">
        <f>+DATA!Z54</f>
        <v>33813</v>
      </c>
      <c r="AO58" s="525">
        <f>+DATA!AA54</f>
        <v>55153</v>
      </c>
      <c r="AP58" s="525">
        <f>+DATA!AB54</f>
        <v>35049</v>
      </c>
      <c r="AQ58" s="525">
        <f>+DATA!AC54</f>
        <v>180076</v>
      </c>
      <c r="AR58" s="525">
        <f>+DATA!AD54</f>
        <v>4562</v>
      </c>
      <c r="AS58" s="525">
        <f>+DATA!AE54</f>
        <v>1999</v>
      </c>
      <c r="AT58" s="525">
        <f>+DATA!AF54</f>
        <v>2769.087</v>
      </c>
      <c r="AU58" s="525">
        <f>+DATA!AG54</f>
        <v>1815</v>
      </c>
      <c r="AV58" s="525">
        <f>+DATA!AH54</f>
        <v>11145.087</v>
      </c>
    </row>
    <row r="59" spans="1:48" x14ac:dyDescent="0.25">
      <c r="A59" s="527">
        <v>5303</v>
      </c>
      <c r="B59" s="527">
        <v>5704</v>
      </c>
      <c r="C59" s="527" t="s">
        <v>118</v>
      </c>
      <c r="D59" s="771">
        <f t="shared" si="2"/>
        <v>2.8901734103999998E-3</v>
      </c>
      <c r="E59" s="771">
        <f t="shared" si="3"/>
        <v>7.2254335259999995E-4</v>
      </c>
      <c r="F59" s="525">
        <f>+DATA!D55</f>
        <v>12030</v>
      </c>
      <c r="G59" s="772">
        <f>+DATA!E55</f>
        <v>8.1146428114205832E-2</v>
      </c>
      <c r="H59" s="525">
        <f t="shared" si="12"/>
        <v>976</v>
      </c>
      <c r="I59" s="771">
        <f t="shared" si="4"/>
        <v>7.4742307519999997E-4</v>
      </c>
      <c r="J59" s="771">
        <f t="shared" si="5"/>
        <v>7.4742307500000001E-5</v>
      </c>
      <c r="K59" s="525">
        <f>+DATA!G55</f>
        <v>3485</v>
      </c>
      <c r="L59" s="525">
        <f>+DATA!H55</f>
        <v>5482</v>
      </c>
      <c r="M59" s="525">
        <f>+DATA!I55</f>
        <v>75787255633</v>
      </c>
      <c r="N59" s="525">
        <f>+DATA!J55</f>
        <v>324477996101</v>
      </c>
      <c r="O59" s="773">
        <f t="shared" si="13"/>
        <v>0.38533400862484257</v>
      </c>
      <c r="P59" s="774" t="str">
        <f t="shared" si="14"/>
        <v>NO</v>
      </c>
      <c r="Q59" s="771">
        <f t="shared" si="6"/>
        <v>4.0576034000000001E-4</v>
      </c>
      <c r="R59" s="771">
        <f t="shared" si="7"/>
        <v>5.8173627330000005E-4</v>
      </c>
      <c r="S59" s="771">
        <f t="shared" si="8"/>
        <v>1.74520882E-4</v>
      </c>
      <c r="T59" s="525">
        <f>+DATA!K55</f>
        <v>0</v>
      </c>
      <c r="U59" s="525">
        <f>+DATA!L55</f>
        <v>0</v>
      </c>
      <c r="V59" s="525">
        <f>+DATA!M55</f>
        <v>7181684</v>
      </c>
      <c r="W59" s="526">
        <f t="shared" si="9"/>
        <v>7181684</v>
      </c>
      <c r="X59" s="526">
        <f t="shared" si="15"/>
        <v>7181684</v>
      </c>
      <c r="Y59" s="526">
        <f t="shared" si="16"/>
        <v>7181684</v>
      </c>
      <c r="Z59" s="525">
        <f>+DATA!F55</f>
        <v>169573.64251897795</v>
      </c>
      <c r="AA59" s="525">
        <f>IF(P59="SI",ROUND(Z59/DIV_Pf,PARAMETROS!$L$8),0)</f>
        <v>0</v>
      </c>
      <c r="AB59" s="526">
        <f t="shared" si="17"/>
        <v>12030</v>
      </c>
      <c r="AC59" s="775">
        <f t="shared" si="18"/>
        <v>596.98</v>
      </c>
      <c r="AD59" s="525">
        <f>IF(AC59&lt;$AC$6,ROUND(($AC$6-AC59)*AB59,PARAMETROS!$L$8),0)</f>
        <v>0</v>
      </c>
      <c r="AE59" s="771">
        <f t="shared" si="10"/>
        <v>0</v>
      </c>
      <c r="AF59" s="771">
        <f t="shared" si="11"/>
        <v>0</v>
      </c>
      <c r="AG59" s="771">
        <f t="shared" si="19"/>
        <v>9.7180654209999995E-4</v>
      </c>
      <c r="AH59" s="525">
        <f>+DATA!Q55</f>
        <v>1801155.818</v>
      </c>
      <c r="AI59" s="525">
        <f>+DATA!R55</f>
        <v>150096.31816666666</v>
      </c>
      <c r="AJ59" s="525">
        <f>+DATA!S55</f>
        <v>118576</v>
      </c>
      <c r="AK59" s="525">
        <f>+'_DATA STT PAGOS_'!G57</f>
        <v>0</v>
      </c>
      <c r="AL59" s="525">
        <f>+'_DATA STT PAGOS_'!J57</f>
        <v>2444458.838</v>
      </c>
      <c r="AM59" s="525">
        <f>+DATA!Y55</f>
        <v>72185</v>
      </c>
      <c r="AN59" s="525">
        <f>+DATA!Z55</f>
        <v>43369</v>
      </c>
      <c r="AO59" s="525">
        <f>+DATA!AA55</f>
        <v>63835</v>
      </c>
      <c r="AP59" s="525">
        <f>+DATA!AB55</f>
        <v>35762</v>
      </c>
      <c r="AQ59" s="525">
        <f>+DATA!AC55</f>
        <v>215151</v>
      </c>
      <c r="AR59" s="525">
        <f>+DATA!AD55</f>
        <v>3267</v>
      </c>
      <c r="AS59" s="525">
        <f>+DATA!AE55</f>
        <v>2030</v>
      </c>
      <c r="AT59" s="525">
        <f>+DATA!AF55</f>
        <v>2218.6759999999999</v>
      </c>
      <c r="AU59" s="525">
        <f>+DATA!AG55</f>
        <v>1552</v>
      </c>
      <c r="AV59" s="525">
        <f>+DATA!AH55</f>
        <v>9067.6759999999995</v>
      </c>
    </row>
    <row r="60" spans="1:48" x14ac:dyDescent="0.25">
      <c r="A60" s="527">
        <v>5304</v>
      </c>
      <c r="B60" s="527">
        <v>5703</v>
      </c>
      <c r="C60" s="527" t="s">
        <v>117</v>
      </c>
      <c r="D60" s="771">
        <f t="shared" si="2"/>
        <v>2.8901734103999998E-3</v>
      </c>
      <c r="E60" s="771">
        <f t="shared" si="3"/>
        <v>7.2254335259999995E-4</v>
      </c>
      <c r="F60" s="525">
        <f>+DATA!D56</f>
        <v>21756</v>
      </c>
      <c r="G60" s="772">
        <f>+DATA!E56</f>
        <v>8.4727971790834508E-2</v>
      </c>
      <c r="H60" s="525">
        <f t="shared" si="12"/>
        <v>1843</v>
      </c>
      <c r="I60" s="771">
        <f t="shared" si="4"/>
        <v>1.4113736962E-3</v>
      </c>
      <c r="J60" s="771">
        <f t="shared" si="5"/>
        <v>1.4113736959999999E-4</v>
      </c>
      <c r="K60" s="525">
        <f>+DATA!G56</f>
        <v>6201</v>
      </c>
      <c r="L60" s="525">
        <f>+DATA!H56</f>
        <v>9370</v>
      </c>
      <c r="M60" s="525">
        <f>+DATA!I56</f>
        <v>167109055606</v>
      </c>
      <c r="N60" s="525">
        <f>+DATA!J56</f>
        <v>482886667125</v>
      </c>
      <c r="O60" s="773">
        <f t="shared" si="13"/>
        <v>0.47856226974376576</v>
      </c>
      <c r="P60" s="774" t="str">
        <f t="shared" si="14"/>
        <v>SI</v>
      </c>
      <c r="Q60" s="771">
        <f t="shared" si="6"/>
        <v>7.5160028119999997E-4</v>
      </c>
      <c r="R60" s="771">
        <f t="shared" si="7"/>
        <v>1.0775650142999999E-3</v>
      </c>
      <c r="S60" s="771">
        <f t="shared" si="8"/>
        <v>3.2326950429999998E-4</v>
      </c>
      <c r="T60" s="525">
        <f>+DATA!K56</f>
        <v>0</v>
      </c>
      <c r="U60" s="525">
        <f>+DATA!L56</f>
        <v>0</v>
      </c>
      <c r="V60" s="525">
        <f>+DATA!M56</f>
        <v>2336653</v>
      </c>
      <c r="W60" s="526">
        <f t="shared" si="9"/>
        <v>2336653</v>
      </c>
      <c r="X60" s="526">
        <f t="shared" si="15"/>
        <v>2336653</v>
      </c>
      <c r="Y60" s="526">
        <f t="shared" si="16"/>
        <v>2336653</v>
      </c>
      <c r="Z60" s="525">
        <f>+DATA!F56</f>
        <v>194864.0048379098</v>
      </c>
      <c r="AA60" s="525">
        <f>IF(P60="SI",ROUND(Z60/DIV_Pf,PARAMETROS!$L$8),0)</f>
        <v>16239</v>
      </c>
      <c r="AB60" s="526">
        <f t="shared" si="17"/>
        <v>37995</v>
      </c>
      <c r="AC60" s="775">
        <f t="shared" si="18"/>
        <v>61.5</v>
      </c>
      <c r="AD60" s="525">
        <f>IF(AC60&lt;$AC$6,ROUND(($AC$6-AC60)*AB60,PARAMETROS!$L$8),0)</f>
        <v>1634545</v>
      </c>
      <c r="AE60" s="771">
        <f t="shared" si="10"/>
        <v>1.5688689545E-3</v>
      </c>
      <c r="AF60" s="771">
        <f t="shared" si="11"/>
        <v>5.491041341E-4</v>
      </c>
      <c r="AG60" s="771">
        <f t="shared" si="19"/>
        <v>1.7360543605999998E-3</v>
      </c>
      <c r="AH60" s="525">
        <f>+DATA!Q56</f>
        <v>3289223.5219999999</v>
      </c>
      <c r="AI60" s="525">
        <f>+DATA!R56</f>
        <v>274101.96016666666</v>
      </c>
      <c r="AJ60" s="525">
        <f>+DATA!S56</f>
        <v>216541</v>
      </c>
      <c r="AK60" s="525">
        <f>+'_DATA STT PAGOS_'!G58</f>
        <v>0</v>
      </c>
      <c r="AL60" s="525">
        <f>+'_DATA STT PAGOS_'!J58</f>
        <v>4465224.6439999994</v>
      </c>
      <c r="AM60" s="525">
        <f>+DATA!Y56</f>
        <v>109541</v>
      </c>
      <c r="AN60" s="525">
        <f>+DATA!Z56</f>
        <v>51090</v>
      </c>
      <c r="AO60" s="525">
        <f>+DATA!AA56</f>
        <v>85960</v>
      </c>
      <c r="AP60" s="525">
        <f>+DATA!AB56</f>
        <v>54301</v>
      </c>
      <c r="AQ60" s="525">
        <f>+DATA!AC56</f>
        <v>300892</v>
      </c>
      <c r="AR60" s="525">
        <f>+DATA!AD56</f>
        <v>8120</v>
      </c>
      <c r="AS60" s="525">
        <f>+DATA!AE56</f>
        <v>2914</v>
      </c>
      <c r="AT60" s="525">
        <f>+DATA!AF56</f>
        <v>5019.0640000000003</v>
      </c>
      <c r="AU60" s="525">
        <f>+DATA!AG56</f>
        <v>3333</v>
      </c>
      <c r="AV60" s="525">
        <f>+DATA!AH56</f>
        <v>19386.063999999998</v>
      </c>
    </row>
    <row r="61" spans="1:48" x14ac:dyDescent="0.25">
      <c r="A61" s="527">
        <v>5401</v>
      </c>
      <c r="B61" s="527">
        <v>5201</v>
      </c>
      <c r="C61" s="527" t="s">
        <v>90</v>
      </c>
      <c r="D61" s="771">
        <f t="shared" si="2"/>
        <v>2.8901734103999998E-3</v>
      </c>
      <c r="E61" s="771">
        <f t="shared" si="3"/>
        <v>7.2254335259999995E-4</v>
      </c>
      <c r="F61" s="525">
        <f>+DATA!D57</f>
        <v>38387</v>
      </c>
      <c r="G61" s="772">
        <f>+DATA!E57</f>
        <v>8.1752102954614297E-2</v>
      </c>
      <c r="H61" s="525">
        <f t="shared" si="12"/>
        <v>3138</v>
      </c>
      <c r="I61" s="771">
        <f t="shared" si="4"/>
        <v>2.4030877150000001E-3</v>
      </c>
      <c r="J61" s="771">
        <f t="shared" si="5"/>
        <v>2.4030877150000001E-4</v>
      </c>
      <c r="K61" s="525">
        <f>+DATA!G57</f>
        <v>14204</v>
      </c>
      <c r="L61" s="525">
        <f>+DATA!H57</f>
        <v>20746</v>
      </c>
      <c r="M61" s="525">
        <f>+DATA!I57</f>
        <v>320647018890</v>
      </c>
      <c r="N61" s="525">
        <f>+DATA!J57</f>
        <v>784600154821</v>
      </c>
      <c r="O61" s="773">
        <f t="shared" si="13"/>
        <v>0.52896575092076992</v>
      </c>
      <c r="P61" s="774" t="str">
        <f t="shared" si="14"/>
        <v>SI</v>
      </c>
      <c r="Q61" s="771">
        <f t="shared" si="6"/>
        <v>1.7811070218E-3</v>
      </c>
      <c r="R61" s="771">
        <f t="shared" si="7"/>
        <v>2.5535629262999999E-3</v>
      </c>
      <c r="S61" s="771">
        <f t="shared" si="8"/>
        <v>7.6606887790000005E-4</v>
      </c>
      <c r="T61" s="525">
        <f>+DATA!K57</f>
        <v>0</v>
      </c>
      <c r="U61" s="525">
        <f>+DATA!L57</f>
        <v>0</v>
      </c>
      <c r="V61" s="525">
        <f>+DATA!M57</f>
        <v>3852324</v>
      </c>
      <c r="W61" s="526">
        <f t="shared" si="9"/>
        <v>3852324</v>
      </c>
      <c r="X61" s="526">
        <f t="shared" si="15"/>
        <v>3852324</v>
      </c>
      <c r="Y61" s="526">
        <f t="shared" si="16"/>
        <v>3852324</v>
      </c>
      <c r="Z61" s="525">
        <f>+DATA!F57</f>
        <v>1148151.8041880229</v>
      </c>
      <c r="AA61" s="525">
        <f>IF(P61="SI",ROUND(Z61/DIV_Pf,PARAMETROS!$L$8),0)</f>
        <v>95679</v>
      </c>
      <c r="AB61" s="526">
        <f t="shared" si="17"/>
        <v>134066</v>
      </c>
      <c r="AC61" s="775">
        <f t="shared" si="18"/>
        <v>28.73</v>
      </c>
      <c r="AD61" s="525">
        <f>IF(AC61&lt;$AC$6,ROUND(($AC$6-AC61)*AB61,PARAMETROS!$L$8),0)</f>
        <v>10160862</v>
      </c>
      <c r="AE61" s="771">
        <f t="shared" si="10"/>
        <v>9.7525983944E-3</v>
      </c>
      <c r="AF61" s="771">
        <f t="shared" si="11"/>
        <v>3.413409438E-3</v>
      </c>
      <c r="AG61" s="771">
        <f t="shared" si="19"/>
        <v>5.1423304400000005E-3</v>
      </c>
      <c r="AH61" s="525">
        <f>+DATA!Q57</f>
        <v>7308441.3770000003</v>
      </c>
      <c r="AI61" s="525">
        <f>+DATA!R57</f>
        <v>609036.78141666669</v>
      </c>
      <c r="AJ61" s="525">
        <f>+DATA!S57</f>
        <v>481139</v>
      </c>
      <c r="AK61" s="525">
        <f>+'_DATA STT PAGOS_'!G59</f>
        <v>0</v>
      </c>
      <c r="AL61" s="525">
        <f>+'_DATA STT PAGOS_'!J59</f>
        <v>9912126.3489999995</v>
      </c>
      <c r="AM61" s="525">
        <f>+DATA!Y57</f>
        <v>184656</v>
      </c>
      <c r="AN61" s="525">
        <f>+DATA!Z57</f>
        <v>116423</v>
      </c>
      <c r="AO61" s="525">
        <f>+DATA!AA57</f>
        <v>141869</v>
      </c>
      <c r="AP61" s="525">
        <f>+DATA!AB57</f>
        <v>109961</v>
      </c>
      <c r="AQ61" s="525">
        <f>+DATA!AC57</f>
        <v>552909</v>
      </c>
      <c r="AR61" s="525">
        <f>+DATA!AD57</f>
        <v>30510</v>
      </c>
      <c r="AS61" s="525">
        <f>+DATA!AE57</f>
        <v>15821</v>
      </c>
      <c r="AT61" s="525">
        <f>+DATA!AF57</f>
        <v>19369.326000000001</v>
      </c>
      <c r="AU61" s="525">
        <f>+DATA!AG57</f>
        <v>14842</v>
      </c>
      <c r="AV61" s="525">
        <f>+DATA!AH57</f>
        <v>80542.326000000001</v>
      </c>
    </row>
    <row r="62" spans="1:48" x14ac:dyDescent="0.25">
      <c r="A62" s="527">
        <v>5402</v>
      </c>
      <c r="B62" s="527">
        <v>5203</v>
      </c>
      <c r="C62" s="527" t="s">
        <v>92</v>
      </c>
      <c r="D62" s="771">
        <f t="shared" si="2"/>
        <v>2.8901734103999998E-3</v>
      </c>
      <c r="E62" s="771">
        <f t="shared" si="3"/>
        <v>7.2254335259999995E-4</v>
      </c>
      <c r="F62" s="525">
        <f>+DATA!D58</f>
        <v>20757</v>
      </c>
      <c r="G62" s="772">
        <f>+DATA!E58</f>
        <v>8.9311136082705994E-2</v>
      </c>
      <c r="H62" s="525">
        <f t="shared" si="12"/>
        <v>1854</v>
      </c>
      <c r="I62" s="771">
        <f t="shared" si="4"/>
        <v>1.4197975219E-3</v>
      </c>
      <c r="J62" s="771">
        <f t="shared" si="5"/>
        <v>1.4197975219999999E-4</v>
      </c>
      <c r="K62" s="525">
        <f>+DATA!G58</f>
        <v>6995</v>
      </c>
      <c r="L62" s="525">
        <f>+DATA!H58</f>
        <v>8629</v>
      </c>
      <c r="M62" s="525">
        <f>+DATA!I58</f>
        <v>126633200405</v>
      </c>
      <c r="N62" s="525">
        <f>+DATA!J58</f>
        <v>298695581704</v>
      </c>
      <c r="O62" s="773">
        <f t="shared" si="13"/>
        <v>0.58623671909264841</v>
      </c>
      <c r="P62" s="774" t="str">
        <f t="shared" si="14"/>
        <v>SI</v>
      </c>
      <c r="Q62" s="771">
        <f t="shared" si="6"/>
        <v>1.0385275709999999E-3</v>
      </c>
      <c r="R62" s="771">
        <f t="shared" si="7"/>
        <v>1.4889310247999999E-3</v>
      </c>
      <c r="S62" s="771">
        <f t="shared" si="8"/>
        <v>4.466793074E-4</v>
      </c>
      <c r="T62" s="525">
        <f>+DATA!K58</f>
        <v>0</v>
      </c>
      <c r="U62" s="525">
        <f>+DATA!L58</f>
        <v>0</v>
      </c>
      <c r="V62" s="525">
        <f>+DATA!M58</f>
        <v>1762633</v>
      </c>
      <c r="W62" s="526">
        <f t="shared" si="9"/>
        <v>1762633</v>
      </c>
      <c r="X62" s="526">
        <f t="shared" si="15"/>
        <v>1762633</v>
      </c>
      <c r="Y62" s="526">
        <f t="shared" si="16"/>
        <v>1762633</v>
      </c>
      <c r="Z62" s="525">
        <f>+DATA!F58</f>
        <v>159186.13223141624</v>
      </c>
      <c r="AA62" s="525">
        <f>IF(P62="SI",ROUND(Z62/DIV_Pf,PARAMETROS!$L$8),0)</f>
        <v>13266</v>
      </c>
      <c r="AB62" s="526">
        <f t="shared" si="17"/>
        <v>34023</v>
      </c>
      <c r="AC62" s="775">
        <f t="shared" si="18"/>
        <v>51.81</v>
      </c>
      <c r="AD62" s="525">
        <f>IF(AC62&lt;$AC$6,ROUND(($AC$6-AC62)*AB62,PARAMETROS!$L$8),0)</f>
        <v>1793352</v>
      </c>
      <c r="AE62" s="771">
        <f t="shared" si="10"/>
        <v>1.7212950866E-3</v>
      </c>
      <c r="AF62" s="771">
        <f t="shared" si="11"/>
        <v>6.0245328029999998E-4</v>
      </c>
      <c r="AG62" s="771">
        <f t="shared" si="19"/>
        <v>1.9136556924999998E-3</v>
      </c>
      <c r="AH62" s="525">
        <f>+DATA!Q58</f>
        <v>3363859.8059999999</v>
      </c>
      <c r="AI62" s="525">
        <f>+DATA!R58</f>
        <v>280321.65049999999</v>
      </c>
      <c r="AJ62" s="525">
        <f>+DATA!S58</f>
        <v>221454</v>
      </c>
      <c r="AK62" s="525">
        <f>+'_DATA STT PAGOS_'!G60</f>
        <v>0</v>
      </c>
      <c r="AL62" s="525">
        <f>+'_DATA STT PAGOS_'!J60</f>
        <v>4568086.4619999994</v>
      </c>
      <c r="AM62" s="525">
        <f>+DATA!Y58</f>
        <v>32098</v>
      </c>
      <c r="AN62" s="525">
        <f>+DATA!Z58</f>
        <v>28657</v>
      </c>
      <c r="AO62" s="525">
        <f>+DATA!AA58</f>
        <v>31734</v>
      </c>
      <c r="AP62" s="525">
        <f>+DATA!AB58</f>
        <v>24200</v>
      </c>
      <c r="AQ62" s="525">
        <f>+DATA!AC58</f>
        <v>116689</v>
      </c>
      <c r="AR62" s="525">
        <f>+DATA!AD58</f>
        <v>780</v>
      </c>
      <c r="AS62" s="525">
        <f>+DATA!AE58</f>
        <v>127</v>
      </c>
      <c r="AT62" s="525">
        <f>+DATA!AF58</f>
        <v>585.76599999999996</v>
      </c>
      <c r="AU62" s="525">
        <f>+DATA!AG58</f>
        <v>474</v>
      </c>
      <c r="AV62" s="525">
        <f>+DATA!AH58</f>
        <v>1966.7660000000001</v>
      </c>
    </row>
    <row r="63" spans="1:48" x14ac:dyDescent="0.25">
      <c r="A63" s="527">
        <v>5403</v>
      </c>
      <c r="B63" s="527">
        <v>5205</v>
      </c>
      <c r="C63" s="527" t="s">
        <v>94</v>
      </c>
      <c r="D63" s="771">
        <f t="shared" si="2"/>
        <v>2.8901734103999998E-3</v>
      </c>
      <c r="E63" s="771">
        <f t="shared" si="3"/>
        <v>7.2254335259999995E-4</v>
      </c>
      <c r="F63" s="525">
        <f>+DATA!D59</f>
        <v>6438</v>
      </c>
      <c r="G63" s="772">
        <f>+DATA!E59</f>
        <v>7.2538349124714088E-2</v>
      </c>
      <c r="H63" s="525">
        <f t="shared" si="12"/>
        <v>467</v>
      </c>
      <c r="I63" s="771">
        <f t="shared" si="4"/>
        <v>3.5762968859999998E-4</v>
      </c>
      <c r="J63" s="771">
        <f t="shared" si="5"/>
        <v>3.57629689E-5</v>
      </c>
      <c r="K63" s="525">
        <f>+DATA!G59</f>
        <v>3402</v>
      </c>
      <c r="L63" s="525">
        <f>+DATA!H59</f>
        <v>11191</v>
      </c>
      <c r="M63" s="525">
        <f>+DATA!I59</f>
        <v>159849838536</v>
      </c>
      <c r="N63" s="525">
        <f>+DATA!J59</f>
        <v>656403506849</v>
      </c>
      <c r="O63" s="773">
        <f t="shared" si="13"/>
        <v>0.27208422412405464</v>
      </c>
      <c r="P63" s="774" t="str">
        <f t="shared" si="14"/>
        <v>NO</v>
      </c>
      <c r="Q63" s="771">
        <f t="shared" si="6"/>
        <v>1.8940994800000001E-4</v>
      </c>
      <c r="R63" s="771">
        <f t="shared" si="7"/>
        <v>2.7155595659999999E-4</v>
      </c>
      <c r="S63" s="771">
        <f t="shared" si="8"/>
        <v>8.1466786999999995E-5</v>
      </c>
      <c r="T63" s="525">
        <f>+DATA!K59</f>
        <v>0</v>
      </c>
      <c r="U63" s="525">
        <f>+DATA!L59</f>
        <v>0</v>
      </c>
      <c r="V63" s="525">
        <f>+DATA!M59</f>
        <v>3904826</v>
      </c>
      <c r="W63" s="526">
        <f t="shared" si="9"/>
        <v>3904826</v>
      </c>
      <c r="X63" s="526">
        <f t="shared" si="15"/>
        <v>3904826</v>
      </c>
      <c r="Y63" s="526">
        <f t="shared" si="16"/>
        <v>3904826</v>
      </c>
      <c r="Z63" s="525">
        <f>+DATA!F59</f>
        <v>1515278.6559765914</v>
      </c>
      <c r="AA63" s="525">
        <f>IF(P63="SI",ROUND(Z63/DIV_Pf,PARAMETROS!$L$8),0)</f>
        <v>0</v>
      </c>
      <c r="AB63" s="526">
        <f t="shared" si="17"/>
        <v>6438</v>
      </c>
      <c r="AC63" s="775">
        <f t="shared" si="18"/>
        <v>606.53</v>
      </c>
      <c r="AD63" s="525">
        <f>IF(AC63&lt;$AC$6,ROUND(($AC$6-AC63)*AB63,PARAMETROS!$L$8),0)</f>
        <v>0</v>
      </c>
      <c r="AE63" s="771">
        <f t="shared" si="10"/>
        <v>0</v>
      </c>
      <c r="AF63" s="771">
        <f t="shared" si="11"/>
        <v>0</v>
      </c>
      <c r="AG63" s="771">
        <f t="shared" si="19"/>
        <v>8.3977310849999993E-4</v>
      </c>
      <c r="AH63" s="525">
        <f>+DATA!Q59</f>
        <v>1568407.111</v>
      </c>
      <c r="AI63" s="525">
        <f>+DATA!R59</f>
        <v>130700.59258333333</v>
      </c>
      <c r="AJ63" s="525">
        <f>+DATA!S59</f>
        <v>103253</v>
      </c>
      <c r="AK63" s="525">
        <f>+'_DATA STT PAGOS_'!G61</f>
        <v>0</v>
      </c>
      <c r="AL63" s="525">
        <f>+'_DATA STT PAGOS_'!J61</f>
        <v>2127857.0580000002</v>
      </c>
      <c r="AM63" s="525">
        <f>+DATA!Y59</f>
        <v>194512</v>
      </c>
      <c r="AN63" s="525">
        <f>+DATA!Z59</f>
        <v>87262</v>
      </c>
      <c r="AO63" s="525">
        <f>+DATA!AA59</f>
        <v>134982</v>
      </c>
      <c r="AP63" s="525">
        <f>+DATA!AB59</f>
        <v>98732</v>
      </c>
      <c r="AQ63" s="525">
        <f>+DATA!AC59</f>
        <v>515488</v>
      </c>
      <c r="AR63" s="525">
        <f>+DATA!AD59</f>
        <v>52550</v>
      </c>
      <c r="AS63" s="525">
        <f>+DATA!AE59</f>
        <v>22467</v>
      </c>
      <c r="AT63" s="525">
        <f>+DATA!AF59</f>
        <v>30545.164000000001</v>
      </c>
      <c r="AU63" s="525">
        <f>+DATA!AG59</f>
        <v>20501</v>
      </c>
      <c r="AV63" s="525">
        <f>+DATA!AH59</f>
        <v>126063.164</v>
      </c>
    </row>
    <row r="64" spans="1:48" x14ac:dyDescent="0.25">
      <c r="A64" s="527">
        <v>5404</v>
      </c>
      <c r="B64" s="527">
        <v>5202</v>
      </c>
      <c r="C64" s="527" t="s">
        <v>91</v>
      </c>
      <c r="D64" s="771">
        <f t="shared" si="2"/>
        <v>2.8901734103999998E-3</v>
      </c>
      <c r="E64" s="771">
        <f t="shared" si="3"/>
        <v>7.2254335259999995E-4</v>
      </c>
      <c r="F64" s="525">
        <f>+DATA!D60</f>
        <v>10633</v>
      </c>
      <c r="G64" s="772">
        <f>+DATA!E60</f>
        <v>4.5377290448041709E-2</v>
      </c>
      <c r="H64" s="525">
        <f t="shared" si="12"/>
        <v>482</v>
      </c>
      <c r="I64" s="771">
        <f t="shared" si="4"/>
        <v>3.6911672360000002E-4</v>
      </c>
      <c r="J64" s="771">
        <f t="shared" si="5"/>
        <v>3.6911672399999997E-5</v>
      </c>
      <c r="K64" s="525">
        <f>+DATA!G60</f>
        <v>5228</v>
      </c>
      <c r="L64" s="525">
        <f>+DATA!H60</f>
        <v>6013</v>
      </c>
      <c r="M64" s="525">
        <f>+DATA!I60</f>
        <v>56497573378</v>
      </c>
      <c r="N64" s="525">
        <f>+DATA!J60</f>
        <v>117887046748</v>
      </c>
      <c r="O64" s="773">
        <f t="shared" si="13"/>
        <v>0.64551158495221328</v>
      </c>
      <c r="P64" s="774" t="str">
        <f t="shared" si="14"/>
        <v>SI</v>
      </c>
      <c r="Q64" s="771">
        <f t="shared" si="6"/>
        <v>8.3249764970000004E-4</v>
      </c>
      <c r="R64" s="771">
        <f t="shared" si="7"/>
        <v>1.1935471077999999E-3</v>
      </c>
      <c r="S64" s="771">
        <f t="shared" si="8"/>
        <v>3.5806413230000001E-4</v>
      </c>
      <c r="T64" s="525">
        <f>+DATA!K60</f>
        <v>0</v>
      </c>
      <c r="U64" s="525">
        <f>+DATA!L60</f>
        <v>0</v>
      </c>
      <c r="V64" s="525">
        <f>+DATA!M60</f>
        <v>1732312</v>
      </c>
      <c r="W64" s="526">
        <f t="shared" si="9"/>
        <v>1732312</v>
      </c>
      <c r="X64" s="526">
        <f t="shared" si="15"/>
        <v>1732312</v>
      </c>
      <c r="Y64" s="526">
        <f t="shared" si="16"/>
        <v>1732312</v>
      </c>
      <c r="Z64" s="525">
        <f>+DATA!F60</f>
        <v>139296.35361591561</v>
      </c>
      <c r="AA64" s="525">
        <f>IF(P64="SI",ROUND(Z64/DIV_Pf,PARAMETROS!$L$8),0)</f>
        <v>11608</v>
      </c>
      <c r="AB64" s="526">
        <f t="shared" si="17"/>
        <v>22241</v>
      </c>
      <c r="AC64" s="775">
        <f t="shared" si="18"/>
        <v>77.89</v>
      </c>
      <c r="AD64" s="525">
        <f>IF(AC64&lt;$AC$6,ROUND(($AC$6-AC64)*AB64,PARAMETROS!$L$8),0)</f>
        <v>592278</v>
      </c>
      <c r="AE64" s="771">
        <f t="shared" si="10"/>
        <v>5.6848026000000005E-4</v>
      </c>
      <c r="AF64" s="771">
        <f t="shared" si="11"/>
        <v>1.9896809100000001E-4</v>
      </c>
      <c r="AG64" s="771">
        <f t="shared" si="19"/>
        <v>1.3164872482999998E-3</v>
      </c>
      <c r="AH64" s="525">
        <f>+DATA!Q60</f>
        <v>2302268.4419999998</v>
      </c>
      <c r="AI64" s="525">
        <f>+DATA!R60</f>
        <v>191855.70349999997</v>
      </c>
      <c r="AJ64" s="525">
        <f>+DATA!S60</f>
        <v>151566</v>
      </c>
      <c r="AK64" s="525">
        <f>+'_DATA STT PAGOS_'!G62</f>
        <v>0</v>
      </c>
      <c r="AL64" s="525">
        <f>+'_DATA STT PAGOS_'!J62</f>
        <v>3122210.0109999995</v>
      </c>
      <c r="AM64" s="525">
        <f>+DATA!Y60</f>
        <v>14351</v>
      </c>
      <c r="AN64" s="525">
        <f>+DATA!Z60</f>
        <v>13909</v>
      </c>
      <c r="AO64" s="525">
        <f>+DATA!AA60</f>
        <v>18193</v>
      </c>
      <c r="AP64" s="525">
        <f>+DATA!AB60</f>
        <v>10803</v>
      </c>
      <c r="AQ64" s="525">
        <f>+DATA!AC60</f>
        <v>57256</v>
      </c>
      <c r="AR64" s="525">
        <f>+DATA!AD60</f>
        <v>0</v>
      </c>
      <c r="AS64" s="525">
        <f>+DATA!AE60</f>
        <v>0</v>
      </c>
      <c r="AT64" s="525">
        <f>+DATA!AF60</f>
        <v>0</v>
      </c>
      <c r="AU64" s="525">
        <f>+DATA!AG60</f>
        <v>0</v>
      </c>
      <c r="AV64" s="525">
        <f>+DATA!AH60</f>
        <v>0</v>
      </c>
    </row>
    <row r="65" spans="1:48" x14ac:dyDescent="0.25">
      <c r="A65" s="527">
        <v>5405</v>
      </c>
      <c r="B65" s="527">
        <v>5204</v>
      </c>
      <c r="C65" s="527" t="s">
        <v>93</v>
      </c>
      <c r="D65" s="771">
        <f t="shared" si="2"/>
        <v>2.8901734103999998E-3</v>
      </c>
      <c r="E65" s="771">
        <f t="shared" si="3"/>
        <v>7.2254335259999995E-4</v>
      </c>
      <c r="F65" s="525">
        <f>+DATA!D61</f>
        <v>8368</v>
      </c>
      <c r="G65" s="772">
        <f>+DATA!E61</f>
        <v>4.306437608327314E-2</v>
      </c>
      <c r="H65" s="525">
        <f t="shared" si="12"/>
        <v>360</v>
      </c>
      <c r="I65" s="771">
        <f t="shared" si="4"/>
        <v>2.7568883920000003E-4</v>
      </c>
      <c r="J65" s="771">
        <f t="shared" si="5"/>
        <v>2.7568883900000001E-5</v>
      </c>
      <c r="K65" s="525">
        <f>+DATA!G61</f>
        <v>2218</v>
      </c>
      <c r="L65" s="525">
        <f>+DATA!H61</f>
        <v>10257</v>
      </c>
      <c r="M65" s="525">
        <f>+DATA!I61</f>
        <v>215419746778</v>
      </c>
      <c r="N65" s="525">
        <f>+DATA!J61</f>
        <v>2357108738944</v>
      </c>
      <c r="O65" s="773">
        <f t="shared" si="13"/>
        <v>0.1405800002229545</v>
      </c>
      <c r="P65" s="774" t="str">
        <f t="shared" si="14"/>
        <v>NO</v>
      </c>
      <c r="Q65" s="771">
        <f t="shared" si="6"/>
        <v>8.7842723100000006E-5</v>
      </c>
      <c r="R65" s="771">
        <f t="shared" si="7"/>
        <v>1.259396085E-4</v>
      </c>
      <c r="S65" s="771">
        <f t="shared" si="8"/>
        <v>3.7781882599999999E-5</v>
      </c>
      <c r="T65" s="525">
        <f>+DATA!K61</f>
        <v>0</v>
      </c>
      <c r="U65" s="525">
        <f>+DATA!L61</f>
        <v>0</v>
      </c>
      <c r="V65" s="525">
        <f>+DATA!M61</f>
        <v>20354468</v>
      </c>
      <c r="W65" s="526">
        <f t="shared" si="9"/>
        <v>20354468</v>
      </c>
      <c r="X65" s="526">
        <f t="shared" si="15"/>
        <v>20354468</v>
      </c>
      <c r="Y65" s="526">
        <f t="shared" si="16"/>
        <v>20354468</v>
      </c>
      <c r="Z65" s="525">
        <f>+DATA!F61</f>
        <v>1376927.4478095507</v>
      </c>
      <c r="AA65" s="525">
        <f>IF(P65="SI",ROUND(Z65/DIV_Pf,PARAMETROS!$L$8),0)</f>
        <v>0</v>
      </c>
      <c r="AB65" s="526">
        <f t="shared" si="17"/>
        <v>8368</v>
      </c>
      <c r="AC65" s="775">
        <f t="shared" si="18"/>
        <v>2432.42</v>
      </c>
      <c r="AD65" s="525">
        <f>IF(AC65&lt;$AC$6,ROUND(($AC$6-AC65)*AB65,PARAMETROS!$L$8),0)</f>
        <v>0</v>
      </c>
      <c r="AE65" s="771">
        <f t="shared" si="10"/>
        <v>0</v>
      </c>
      <c r="AF65" s="771">
        <f t="shared" si="11"/>
        <v>0</v>
      </c>
      <c r="AG65" s="771">
        <f t="shared" si="19"/>
        <v>7.8789411909999997E-4</v>
      </c>
      <c r="AH65" s="525">
        <f>+DATA!Q61</f>
        <v>1498823.581</v>
      </c>
      <c r="AI65" s="525">
        <f>+DATA!R61</f>
        <v>124901.96508333333</v>
      </c>
      <c r="AJ65" s="525">
        <f>+DATA!S61</f>
        <v>98673</v>
      </c>
      <c r="AK65" s="525">
        <f>+'_DATA STT PAGOS_'!G63</f>
        <v>0</v>
      </c>
      <c r="AL65" s="525">
        <f>+'_DATA STT PAGOS_'!J63</f>
        <v>2033373.1980000001</v>
      </c>
      <c r="AM65" s="525">
        <f>+DATA!Y61</f>
        <v>1453518</v>
      </c>
      <c r="AN65" s="525">
        <f>+DATA!Z61</f>
        <v>935064</v>
      </c>
      <c r="AO65" s="525">
        <f>+DATA!AA61</f>
        <v>1147761</v>
      </c>
      <c r="AP65" s="525">
        <f>+DATA!AB61</f>
        <v>918699</v>
      </c>
      <c r="AQ65" s="525">
        <f>+DATA!AC61</f>
        <v>4455042</v>
      </c>
      <c r="AR65" s="525">
        <f>+DATA!AD61</f>
        <v>123737</v>
      </c>
      <c r="AS65" s="525">
        <f>+DATA!AE61</f>
        <v>68416</v>
      </c>
      <c r="AT65" s="525">
        <f>+DATA!AF61</f>
        <v>89312.589000000007</v>
      </c>
      <c r="AU65" s="525">
        <f>+DATA!AG61</f>
        <v>66938</v>
      </c>
      <c r="AV65" s="525">
        <f>+DATA!AH61</f>
        <v>348403.58900000004</v>
      </c>
    </row>
    <row r="66" spans="1:48" x14ac:dyDescent="0.25">
      <c r="A66" s="527">
        <v>5501</v>
      </c>
      <c r="B66" s="527">
        <v>5501</v>
      </c>
      <c r="C66" s="527" t="s">
        <v>105</v>
      </c>
      <c r="D66" s="771">
        <f t="shared" si="2"/>
        <v>2.8901734103999998E-3</v>
      </c>
      <c r="E66" s="771">
        <f t="shared" si="3"/>
        <v>7.2254335259999995E-4</v>
      </c>
      <c r="F66" s="525">
        <f>+DATA!D62</f>
        <v>100972</v>
      </c>
      <c r="G66" s="772">
        <f>+DATA!E62</f>
        <v>5.2979224318787453E-2</v>
      </c>
      <c r="H66" s="525">
        <f t="shared" si="12"/>
        <v>5349</v>
      </c>
      <c r="I66" s="771">
        <f t="shared" si="4"/>
        <v>4.0962766690999996E-3</v>
      </c>
      <c r="J66" s="771">
        <f t="shared" si="5"/>
        <v>4.0962766689999999E-4</v>
      </c>
      <c r="K66" s="525">
        <f>+DATA!G62</f>
        <v>33086</v>
      </c>
      <c r="L66" s="525">
        <f>+DATA!H62</f>
        <v>40080</v>
      </c>
      <c r="M66" s="525">
        <f>+DATA!I62</f>
        <v>1041749657375</v>
      </c>
      <c r="N66" s="525">
        <f>+DATA!J62</f>
        <v>1923963000803</v>
      </c>
      <c r="O66" s="773">
        <f t="shared" si="13"/>
        <v>0.66856186618959057</v>
      </c>
      <c r="P66" s="774" t="str">
        <f t="shared" si="14"/>
        <v>SI</v>
      </c>
      <c r="Q66" s="771">
        <f t="shared" si="6"/>
        <v>5.0022325750000004E-3</v>
      </c>
      <c r="R66" s="771">
        <f t="shared" si="7"/>
        <v>7.1716721657000002E-3</v>
      </c>
      <c r="S66" s="771">
        <f t="shared" si="8"/>
        <v>2.1515016497000001E-3</v>
      </c>
      <c r="T66" s="525">
        <f>+DATA!K62</f>
        <v>0</v>
      </c>
      <c r="U66" s="525">
        <f>+DATA!L62</f>
        <v>0</v>
      </c>
      <c r="V66" s="525">
        <f>+DATA!M62</f>
        <v>9050435</v>
      </c>
      <c r="W66" s="526">
        <f t="shared" si="9"/>
        <v>9050435</v>
      </c>
      <c r="X66" s="526">
        <f t="shared" si="15"/>
        <v>9050435</v>
      </c>
      <c r="Y66" s="526">
        <f t="shared" si="16"/>
        <v>9050435</v>
      </c>
      <c r="Z66" s="525">
        <f>+DATA!F62</f>
        <v>384177.77540836227</v>
      </c>
      <c r="AA66" s="525">
        <f>IF(P66="SI",ROUND(Z66/DIV_Pf,PARAMETROS!$L$8),0)</f>
        <v>32015</v>
      </c>
      <c r="AB66" s="526">
        <f t="shared" si="17"/>
        <v>132987</v>
      </c>
      <c r="AC66" s="775">
        <f t="shared" si="18"/>
        <v>68.06</v>
      </c>
      <c r="AD66" s="525">
        <f>IF(AC66&lt;$AC$6,ROUND(($AC$6-AC66)*AB66,PARAMETROS!$L$8),0)</f>
        <v>4848706</v>
      </c>
      <c r="AE66" s="771">
        <f t="shared" si="10"/>
        <v>4.6538849116E-3</v>
      </c>
      <c r="AF66" s="771">
        <f t="shared" si="11"/>
        <v>1.6288597190999999E-3</v>
      </c>
      <c r="AG66" s="771">
        <f t="shared" si="19"/>
        <v>4.9125323882999996E-3</v>
      </c>
      <c r="AH66" s="525">
        <f>+DATA!Q62</f>
        <v>9479941.1699999999</v>
      </c>
      <c r="AI66" s="525">
        <f>+DATA!R62</f>
        <v>789995.09750000003</v>
      </c>
      <c r="AJ66" s="525">
        <f>+DATA!S62</f>
        <v>624096</v>
      </c>
      <c r="AK66" s="525">
        <f>+'_DATA STT PAGOS_'!G64</f>
        <v>0</v>
      </c>
      <c r="AL66" s="525">
        <f>+'_DATA STT PAGOS_'!J64</f>
        <v>12864497.853</v>
      </c>
      <c r="AM66" s="525">
        <f>+DATA!Y62</f>
        <v>360836</v>
      </c>
      <c r="AN66" s="525">
        <f>+DATA!Z62</f>
        <v>275706</v>
      </c>
      <c r="AO66" s="525">
        <f>+DATA!AA62</f>
        <v>273583</v>
      </c>
      <c r="AP66" s="525">
        <f>+DATA!AB62</f>
        <v>228774</v>
      </c>
      <c r="AQ66" s="525">
        <f>+DATA!AC62</f>
        <v>1138899</v>
      </c>
      <c r="AR66" s="525">
        <f>+DATA!AD62</f>
        <v>28809</v>
      </c>
      <c r="AS66" s="525">
        <f>+DATA!AE62</f>
        <v>11729</v>
      </c>
      <c r="AT66" s="525">
        <f>+DATA!AF62</f>
        <v>15508.195</v>
      </c>
      <c r="AU66" s="525">
        <f>+DATA!AG62</f>
        <v>10778</v>
      </c>
      <c r="AV66" s="525">
        <f>+DATA!AH62</f>
        <v>66824.195000000007</v>
      </c>
    </row>
    <row r="67" spans="1:48" x14ac:dyDescent="0.25">
      <c r="A67" s="527">
        <v>5502</v>
      </c>
      <c r="B67" s="527">
        <v>5504</v>
      </c>
      <c r="C67" s="527" t="s">
        <v>108</v>
      </c>
      <c r="D67" s="771">
        <f t="shared" si="2"/>
        <v>2.8901734103999998E-3</v>
      </c>
      <c r="E67" s="771">
        <f t="shared" si="3"/>
        <v>7.2254335259999995E-4</v>
      </c>
      <c r="F67" s="525">
        <f>+DATA!D63</f>
        <v>53902</v>
      </c>
      <c r="G67" s="772">
        <f>+DATA!E63</f>
        <v>7.0913136234893731E-2</v>
      </c>
      <c r="H67" s="525">
        <f t="shared" si="12"/>
        <v>3822</v>
      </c>
      <c r="I67" s="771">
        <f t="shared" si="4"/>
        <v>2.9268965094999999E-3</v>
      </c>
      <c r="J67" s="771">
        <f t="shared" si="5"/>
        <v>2.92689651E-4</v>
      </c>
      <c r="K67" s="525">
        <f>+DATA!G63</f>
        <v>16117</v>
      </c>
      <c r="L67" s="525">
        <f>+DATA!H63</f>
        <v>18098</v>
      </c>
      <c r="M67" s="525">
        <f>+DATA!I63</f>
        <v>468685198725</v>
      </c>
      <c r="N67" s="525">
        <f>+DATA!J63</f>
        <v>787400115473</v>
      </c>
      <c r="O67" s="773">
        <f t="shared" si="13"/>
        <v>0.72806422773204249</v>
      </c>
      <c r="P67" s="774" t="str">
        <f t="shared" si="14"/>
        <v>SI</v>
      </c>
      <c r="Q67" s="771">
        <f t="shared" si="6"/>
        <v>2.6286991823000001E-3</v>
      </c>
      <c r="R67" s="771">
        <f t="shared" si="7"/>
        <v>3.7687509477E-3</v>
      </c>
      <c r="S67" s="771">
        <f t="shared" si="8"/>
        <v>1.1306252842999999E-3</v>
      </c>
      <c r="T67" s="525">
        <f>+DATA!K63</f>
        <v>0</v>
      </c>
      <c r="U67" s="525">
        <f>+DATA!L63</f>
        <v>0</v>
      </c>
      <c r="V67" s="525">
        <f>+DATA!M63</f>
        <v>4672987</v>
      </c>
      <c r="W67" s="526">
        <f t="shared" si="9"/>
        <v>4672987</v>
      </c>
      <c r="X67" s="526">
        <f t="shared" si="15"/>
        <v>4672987</v>
      </c>
      <c r="Y67" s="526">
        <f t="shared" si="16"/>
        <v>4672987</v>
      </c>
      <c r="Z67" s="525">
        <f>+DATA!F63</f>
        <v>182015.73922800738</v>
      </c>
      <c r="AA67" s="525">
        <f>IF(P67="SI",ROUND(Z67/DIV_Pf,PARAMETROS!$L$8),0)</f>
        <v>15168</v>
      </c>
      <c r="AB67" s="526">
        <f t="shared" si="17"/>
        <v>69070</v>
      </c>
      <c r="AC67" s="775">
        <f t="shared" si="18"/>
        <v>67.66</v>
      </c>
      <c r="AD67" s="525">
        <f>IF(AC67&lt;$AC$6,ROUND(($AC$6-AC67)*AB67,PARAMETROS!$L$8),0)</f>
        <v>2545920</v>
      </c>
      <c r="AE67" s="771">
        <f t="shared" si="10"/>
        <v>2.4436248917E-3</v>
      </c>
      <c r="AF67" s="771">
        <f t="shared" si="11"/>
        <v>8.5526871210000002E-4</v>
      </c>
      <c r="AG67" s="771">
        <f t="shared" si="19"/>
        <v>3.0011270000000001E-3</v>
      </c>
      <c r="AH67" s="525">
        <f>+DATA!Q63</f>
        <v>6246648.0159999998</v>
      </c>
      <c r="AI67" s="525">
        <f>+DATA!R63</f>
        <v>520554.00133333332</v>
      </c>
      <c r="AJ67" s="525">
        <f>+DATA!S63</f>
        <v>411238</v>
      </c>
      <c r="AK67" s="525">
        <f>+'_DATA STT PAGOS_'!G65</f>
        <v>0</v>
      </c>
      <c r="AL67" s="525">
        <f>+'_DATA STT PAGOS_'!J65</f>
        <v>8476844.7980000004</v>
      </c>
      <c r="AM67" s="525">
        <f>+DATA!Y63</f>
        <v>174448</v>
      </c>
      <c r="AN67" s="525">
        <f>+DATA!Z63</f>
        <v>25927</v>
      </c>
      <c r="AO67" s="525">
        <f>+DATA!AA63</f>
        <v>164875</v>
      </c>
      <c r="AP67" s="525">
        <f>+DATA!AB63</f>
        <v>145033</v>
      </c>
      <c r="AQ67" s="525">
        <f>+DATA!AC63</f>
        <v>510283</v>
      </c>
      <c r="AR67" s="525">
        <f>+DATA!AD63</f>
        <v>3681</v>
      </c>
      <c r="AS67" s="525">
        <f>+DATA!AE63</f>
        <v>1751</v>
      </c>
      <c r="AT67" s="525">
        <f>+DATA!AF63</f>
        <v>2420.8270000000002</v>
      </c>
      <c r="AU67" s="525">
        <f>+DATA!AG63</f>
        <v>1478</v>
      </c>
      <c r="AV67" s="525">
        <f>+DATA!AH63</f>
        <v>9330.8270000000011</v>
      </c>
    </row>
    <row r="68" spans="1:48" x14ac:dyDescent="0.25">
      <c r="A68" s="527">
        <v>5503</v>
      </c>
      <c r="B68" s="527">
        <v>5503</v>
      </c>
      <c r="C68" s="527" t="s">
        <v>107</v>
      </c>
      <c r="D68" s="771">
        <f t="shared" si="2"/>
        <v>2.8901734103999998E-3</v>
      </c>
      <c r="E68" s="771">
        <f t="shared" si="3"/>
        <v>7.2254335259999995E-4</v>
      </c>
      <c r="F68" s="525">
        <f>+DATA!D64</f>
        <v>19464</v>
      </c>
      <c r="G68" s="772">
        <f>+DATA!E64</f>
        <v>9.0847737238025292E-2</v>
      </c>
      <c r="H68" s="525">
        <f t="shared" si="12"/>
        <v>1768</v>
      </c>
      <c r="I68" s="771">
        <f t="shared" si="4"/>
        <v>1.3539385214000001E-3</v>
      </c>
      <c r="J68" s="771">
        <f t="shared" si="5"/>
        <v>1.353938521E-4</v>
      </c>
      <c r="K68" s="525">
        <f>+DATA!G64</f>
        <v>5438</v>
      </c>
      <c r="L68" s="525">
        <f>+DATA!H64</f>
        <v>7917</v>
      </c>
      <c r="M68" s="525">
        <f>+DATA!I64</f>
        <v>126585780625</v>
      </c>
      <c r="N68" s="525">
        <f>+DATA!J64</f>
        <v>375830162745</v>
      </c>
      <c r="O68" s="773">
        <f t="shared" si="13"/>
        <v>0.48098986479218003</v>
      </c>
      <c r="P68" s="774" t="str">
        <f t="shared" si="14"/>
        <v>SI</v>
      </c>
      <c r="Q68" s="771">
        <f t="shared" si="6"/>
        <v>6.8410194260000001E-4</v>
      </c>
      <c r="R68" s="771">
        <f t="shared" si="7"/>
        <v>9.807930332999999E-4</v>
      </c>
      <c r="S68" s="771">
        <f t="shared" si="8"/>
        <v>2.9423790999999998E-4</v>
      </c>
      <c r="T68" s="525">
        <f>+DATA!K64</f>
        <v>0</v>
      </c>
      <c r="U68" s="525">
        <f>+DATA!L64</f>
        <v>0</v>
      </c>
      <c r="V68" s="525">
        <f>+DATA!M64</f>
        <v>2558619</v>
      </c>
      <c r="W68" s="526">
        <f t="shared" si="9"/>
        <v>2558619</v>
      </c>
      <c r="X68" s="526">
        <f t="shared" si="15"/>
        <v>2558619</v>
      </c>
      <c r="Y68" s="526">
        <f t="shared" si="16"/>
        <v>2558619</v>
      </c>
      <c r="Z68" s="525">
        <f>+DATA!F64</f>
        <v>204973.09620374284</v>
      </c>
      <c r="AA68" s="525">
        <f>IF(P68="SI",ROUND(Z68/DIV_Pf,PARAMETROS!$L$8),0)</f>
        <v>17081</v>
      </c>
      <c r="AB68" s="526">
        <f t="shared" si="17"/>
        <v>36545</v>
      </c>
      <c r="AC68" s="775">
        <f t="shared" si="18"/>
        <v>70.010000000000005</v>
      </c>
      <c r="AD68" s="525">
        <f>IF(AC68&lt;$AC$6,ROUND(($AC$6-AC68)*AB68,PARAMETROS!$L$8),0)</f>
        <v>1261168</v>
      </c>
      <c r="AE68" s="771">
        <f t="shared" si="10"/>
        <v>1.2104942486000001E-3</v>
      </c>
      <c r="AF68" s="771">
        <f t="shared" si="11"/>
        <v>4.2367298700000001E-4</v>
      </c>
      <c r="AG68" s="771">
        <f t="shared" si="19"/>
        <v>1.5758481016999999E-3</v>
      </c>
      <c r="AH68" s="525">
        <f>+DATA!Q64</f>
        <v>2839445.0269999998</v>
      </c>
      <c r="AI68" s="525">
        <f>+DATA!R64</f>
        <v>236620.41891666665</v>
      </c>
      <c r="AJ68" s="525">
        <f>+DATA!S64</f>
        <v>186930</v>
      </c>
      <c r="AK68" s="525">
        <f>+'_DATA STT PAGOS_'!G66</f>
        <v>0</v>
      </c>
      <c r="AL68" s="525">
        <f>+'_DATA STT PAGOS_'!J66</f>
        <v>3853502.2779999999</v>
      </c>
      <c r="AM68" s="525">
        <f>+DATA!Y64</f>
        <v>90647</v>
      </c>
      <c r="AN68" s="525">
        <f>+DATA!Z64</f>
        <v>63455</v>
      </c>
      <c r="AO68" s="525">
        <f>+DATA!AA64</f>
        <v>68083</v>
      </c>
      <c r="AP68" s="525">
        <f>+DATA!AB64</f>
        <v>59774</v>
      </c>
      <c r="AQ68" s="525">
        <f>+DATA!AC64</f>
        <v>281959</v>
      </c>
      <c r="AR68" s="525">
        <f>+DATA!AD64</f>
        <v>6295</v>
      </c>
      <c r="AS68" s="525">
        <f>+DATA!AE64</f>
        <v>3709</v>
      </c>
      <c r="AT68" s="525">
        <f>+DATA!AF64</f>
        <v>4223.9690000000001</v>
      </c>
      <c r="AU68" s="525">
        <f>+DATA!AG64</f>
        <v>3236</v>
      </c>
      <c r="AV68" s="525">
        <f>+DATA!AH64</f>
        <v>17463.969000000001</v>
      </c>
    </row>
    <row r="69" spans="1:48" x14ac:dyDescent="0.25">
      <c r="A69" s="527">
        <v>5504</v>
      </c>
      <c r="B69" s="527">
        <v>5505</v>
      </c>
      <c r="C69" s="527" t="s">
        <v>109</v>
      </c>
      <c r="D69" s="771">
        <f t="shared" si="2"/>
        <v>2.8901734103999998E-3</v>
      </c>
      <c r="E69" s="771">
        <f t="shared" si="3"/>
        <v>7.2254335259999995E-4</v>
      </c>
      <c r="F69" s="525">
        <f>+DATA!D65</f>
        <v>27898</v>
      </c>
      <c r="G69" s="772">
        <f>+DATA!E65</f>
        <v>3.1732843225444569E-2</v>
      </c>
      <c r="H69" s="525">
        <f t="shared" si="12"/>
        <v>885</v>
      </c>
      <c r="I69" s="771">
        <f t="shared" si="4"/>
        <v>6.7773506300000002E-4</v>
      </c>
      <c r="J69" s="771">
        <f t="shared" si="5"/>
        <v>6.7773506300000002E-5</v>
      </c>
      <c r="K69" s="525">
        <f>+DATA!G65</f>
        <v>7050</v>
      </c>
      <c r="L69" s="525">
        <f>+DATA!H65</f>
        <v>9691</v>
      </c>
      <c r="M69" s="525">
        <f>+DATA!I65</f>
        <v>244430548971</v>
      </c>
      <c r="N69" s="525">
        <f>+DATA!J65</f>
        <v>520173747197</v>
      </c>
      <c r="O69" s="773">
        <f t="shared" si="13"/>
        <v>0.58467400918832102</v>
      </c>
      <c r="P69" s="774" t="str">
        <f t="shared" si="14"/>
        <v>SI</v>
      </c>
      <c r="Q69" s="771">
        <f t="shared" si="6"/>
        <v>9.3931812500000001E-4</v>
      </c>
      <c r="R69" s="771">
        <f t="shared" si="7"/>
        <v>1.3466950108E-3</v>
      </c>
      <c r="S69" s="771">
        <f t="shared" si="8"/>
        <v>4.0400850319999998E-4</v>
      </c>
      <c r="T69" s="525">
        <f>+DATA!K65</f>
        <v>0</v>
      </c>
      <c r="U69" s="525">
        <f>+DATA!L65</f>
        <v>0</v>
      </c>
      <c r="V69" s="525">
        <f>+DATA!M65</f>
        <v>2735857</v>
      </c>
      <c r="W69" s="526">
        <f t="shared" si="9"/>
        <v>2735857</v>
      </c>
      <c r="X69" s="526">
        <f t="shared" si="15"/>
        <v>2735857</v>
      </c>
      <c r="Y69" s="526">
        <f t="shared" si="16"/>
        <v>2735857</v>
      </c>
      <c r="Z69" s="525">
        <f>+DATA!F65</f>
        <v>98941.030622158767</v>
      </c>
      <c r="AA69" s="525">
        <f>IF(P69="SI",ROUND(Z69/DIV_Pf,PARAMETROS!$L$8),0)</f>
        <v>8245</v>
      </c>
      <c r="AB69" s="526">
        <f t="shared" si="17"/>
        <v>36143</v>
      </c>
      <c r="AC69" s="775">
        <f t="shared" si="18"/>
        <v>75.7</v>
      </c>
      <c r="AD69" s="525">
        <f>IF(AC69&lt;$AC$6,ROUND(($AC$6-AC69)*AB69,PARAMETROS!$L$8),0)</f>
        <v>1041641</v>
      </c>
      <c r="AE69" s="771">
        <f t="shared" si="10"/>
        <v>9.9978784709999998E-4</v>
      </c>
      <c r="AF69" s="771">
        <f t="shared" si="11"/>
        <v>3.4992574650000001E-4</v>
      </c>
      <c r="AG69" s="771">
        <f t="shared" si="19"/>
        <v>1.5442511086E-3</v>
      </c>
      <c r="AH69" s="525">
        <f>+DATA!Q65</f>
        <v>2898347.5759999999</v>
      </c>
      <c r="AI69" s="525">
        <f>+DATA!R65</f>
        <v>241528.96466666667</v>
      </c>
      <c r="AJ69" s="525">
        <f>+DATA!S65</f>
        <v>190808</v>
      </c>
      <c r="AK69" s="525">
        <f>+'_DATA STT PAGOS_'!G67</f>
        <v>0</v>
      </c>
      <c r="AL69" s="525">
        <f>+'_DATA STT PAGOS_'!J67</f>
        <v>3929495.3259999999</v>
      </c>
      <c r="AM69" s="525">
        <f>+DATA!Y65</f>
        <v>90198</v>
      </c>
      <c r="AN69" s="525">
        <f>+DATA!Z65</f>
        <v>42664</v>
      </c>
      <c r="AO69" s="525">
        <f>+DATA!AA65</f>
        <v>58661</v>
      </c>
      <c r="AP69" s="525">
        <f>+DATA!AB65</f>
        <v>37608</v>
      </c>
      <c r="AQ69" s="525">
        <f>+DATA!AC65</f>
        <v>229131</v>
      </c>
      <c r="AR69" s="525">
        <f>+DATA!AD65</f>
        <v>15077</v>
      </c>
      <c r="AS69" s="525">
        <f>+DATA!AE65</f>
        <v>6667</v>
      </c>
      <c r="AT69" s="525">
        <f>+DATA!AF65</f>
        <v>8435.3119999999999</v>
      </c>
      <c r="AU69" s="525">
        <f>+DATA!AG65</f>
        <v>5791</v>
      </c>
      <c r="AV69" s="525">
        <f>+DATA!AH65</f>
        <v>35970.311999999998</v>
      </c>
    </row>
    <row r="70" spans="1:48" x14ac:dyDescent="0.25">
      <c r="A70" s="527">
        <v>5506</v>
      </c>
      <c r="B70" s="527">
        <v>5502</v>
      </c>
      <c r="C70" s="527" t="s">
        <v>106</v>
      </c>
      <c r="D70" s="771">
        <f t="shared" si="2"/>
        <v>2.8901734103999998E-3</v>
      </c>
      <c r="E70" s="771">
        <f t="shared" si="3"/>
        <v>7.2254335259999995E-4</v>
      </c>
      <c r="F70" s="525">
        <f>+DATA!D66</f>
        <v>23645</v>
      </c>
      <c r="G70" s="772">
        <f>+DATA!E66</f>
        <v>5.5620380743951918E-2</v>
      </c>
      <c r="H70" s="525">
        <f t="shared" si="12"/>
        <v>1315</v>
      </c>
      <c r="I70" s="771">
        <f t="shared" si="4"/>
        <v>1.0070300654E-3</v>
      </c>
      <c r="J70" s="771">
        <f t="shared" si="5"/>
        <v>1.007030065E-4</v>
      </c>
      <c r="K70" s="525">
        <f>+DATA!G66</f>
        <v>6495</v>
      </c>
      <c r="L70" s="525">
        <f>+DATA!H66</f>
        <v>8130</v>
      </c>
      <c r="M70" s="525">
        <f>+DATA!I66</f>
        <v>138802102256</v>
      </c>
      <c r="N70" s="525">
        <f>+DATA!J66</f>
        <v>340718360691</v>
      </c>
      <c r="O70" s="773">
        <f t="shared" si="13"/>
        <v>0.5704854311913129</v>
      </c>
      <c r="P70" s="774" t="str">
        <f t="shared" si="14"/>
        <v>SI</v>
      </c>
      <c r="Q70" s="771">
        <f t="shared" si="6"/>
        <v>9.5032209629999996E-4</v>
      </c>
      <c r="R70" s="771">
        <f t="shared" si="7"/>
        <v>1.3624713413999999E-3</v>
      </c>
      <c r="S70" s="771">
        <f t="shared" si="8"/>
        <v>4.0874140239999999E-4</v>
      </c>
      <c r="T70" s="525">
        <f>+DATA!K66</f>
        <v>0</v>
      </c>
      <c r="U70" s="525">
        <f>+DATA!L66</f>
        <v>0</v>
      </c>
      <c r="V70" s="525">
        <f>+DATA!M66</f>
        <v>2382743</v>
      </c>
      <c r="W70" s="526">
        <f t="shared" si="9"/>
        <v>2382743</v>
      </c>
      <c r="X70" s="526">
        <f t="shared" si="15"/>
        <v>2382743</v>
      </c>
      <c r="Y70" s="526">
        <f t="shared" si="16"/>
        <v>2382743</v>
      </c>
      <c r="Z70" s="525">
        <f>+DATA!F66</f>
        <v>146241.53599616233</v>
      </c>
      <c r="AA70" s="525">
        <f>IF(P70="SI",ROUND(Z70/DIV_Pf,PARAMETROS!$L$8),0)</f>
        <v>12187</v>
      </c>
      <c r="AB70" s="526">
        <f t="shared" si="17"/>
        <v>35832</v>
      </c>
      <c r="AC70" s="775">
        <f t="shared" si="18"/>
        <v>66.5</v>
      </c>
      <c r="AD70" s="525">
        <f>IF(AC70&lt;$AC$6,ROUND(($AC$6-AC70)*AB70,PARAMETROS!$L$8),0)</f>
        <v>1362333</v>
      </c>
      <c r="AE70" s="771">
        <f t="shared" si="10"/>
        <v>1.3075944372E-3</v>
      </c>
      <c r="AF70" s="771">
        <f t="shared" si="11"/>
        <v>4.5765805300000001E-4</v>
      </c>
      <c r="AG70" s="771">
        <f t="shared" si="19"/>
        <v>1.6896458145E-3</v>
      </c>
      <c r="AH70" s="525">
        <f>+DATA!Q66</f>
        <v>3218586.35</v>
      </c>
      <c r="AI70" s="525">
        <f>+DATA!R66</f>
        <v>268215.52916666667</v>
      </c>
      <c r="AJ70" s="525">
        <f>+DATA!S66</f>
        <v>211890</v>
      </c>
      <c r="AK70" s="525">
        <f>+'_DATA STT PAGOS_'!G68</f>
        <v>0</v>
      </c>
      <c r="AL70" s="525">
        <f>+'_DATA STT PAGOS_'!J68</f>
        <v>4364199.2719999999</v>
      </c>
      <c r="AM70" s="525">
        <f>+DATA!Y66</f>
        <v>82761</v>
      </c>
      <c r="AN70" s="525">
        <f>+DATA!Z66</f>
        <v>63354</v>
      </c>
      <c r="AO70" s="525">
        <f>+DATA!AA66</f>
        <v>70540</v>
      </c>
      <c r="AP70" s="525">
        <f>+DATA!AB66</f>
        <v>61525</v>
      </c>
      <c r="AQ70" s="525">
        <f>+DATA!AC66</f>
        <v>278180</v>
      </c>
      <c r="AR70" s="525">
        <f>+DATA!AD66</f>
        <v>1532</v>
      </c>
      <c r="AS70" s="525">
        <f>+DATA!AE66</f>
        <v>921</v>
      </c>
      <c r="AT70" s="525">
        <f>+DATA!AF66</f>
        <v>1179.903</v>
      </c>
      <c r="AU70" s="525">
        <f>+DATA!AG66</f>
        <v>1089</v>
      </c>
      <c r="AV70" s="525">
        <f>+DATA!AH66</f>
        <v>4721.9030000000002</v>
      </c>
    </row>
    <row r="71" spans="1:48" x14ac:dyDescent="0.25">
      <c r="A71" s="527">
        <v>5601</v>
      </c>
      <c r="B71" s="527">
        <v>5401</v>
      </c>
      <c r="C71" s="527" t="s">
        <v>99</v>
      </c>
      <c r="D71" s="771">
        <f t="shared" si="2"/>
        <v>2.8901734103999998E-3</v>
      </c>
      <c r="E71" s="771">
        <f t="shared" si="3"/>
        <v>7.2254335259999995E-4</v>
      </c>
      <c r="F71" s="525">
        <f>+DATA!D67</f>
        <v>98579</v>
      </c>
      <c r="G71" s="772">
        <f>+DATA!E67</f>
        <v>6.6310995299159126E-2</v>
      </c>
      <c r="H71" s="525">
        <f t="shared" si="12"/>
        <v>6537</v>
      </c>
      <c r="I71" s="771">
        <f t="shared" si="4"/>
        <v>5.0060498383999999E-3</v>
      </c>
      <c r="J71" s="771">
        <f t="shared" si="5"/>
        <v>5.0060498379999999E-4</v>
      </c>
      <c r="K71" s="525">
        <f>+DATA!G67</f>
        <v>29730</v>
      </c>
      <c r="L71" s="525">
        <f>+DATA!H67</f>
        <v>35874</v>
      </c>
      <c r="M71" s="525">
        <f>+DATA!I67</f>
        <v>1004506304871</v>
      </c>
      <c r="N71" s="525">
        <f>+DATA!J67</f>
        <v>1984226727194</v>
      </c>
      <c r="O71" s="773">
        <f t="shared" si="13"/>
        <v>0.64772138908989296</v>
      </c>
      <c r="P71" s="774" t="str">
        <f t="shared" si="14"/>
        <v>SI</v>
      </c>
      <c r="Q71" s="771">
        <f t="shared" si="6"/>
        <v>4.5124570025000003E-3</v>
      </c>
      <c r="R71" s="771">
        <f t="shared" si="7"/>
        <v>6.4694837351999997E-3</v>
      </c>
      <c r="S71" s="771">
        <f t="shared" si="8"/>
        <v>1.9408451205999999E-3</v>
      </c>
      <c r="T71" s="525">
        <f>+DATA!K67</f>
        <v>0</v>
      </c>
      <c r="U71" s="525">
        <f>+DATA!L67</f>
        <v>0</v>
      </c>
      <c r="V71" s="525">
        <f>+DATA!M67</f>
        <v>11866198</v>
      </c>
      <c r="W71" s="526">
        <f t="shared" si="9"/>
        <v>11866198</v>
      </c>
      <c r="X71" s="526">
        <f t="shared" si="15"/>
        <v>11866198</v>
      </c>
      <c r="Y71" s="526">
        <f t="shared" si="16"/>
        <v>11866198</v>
      </c>
      <c r="Z71" s="525">
        <f>+DATA!F67</f>
        <v>1066567.7997945221</v>
      </c>
      <c r="AA71" s="525">
        <f>IF(P71="SI",ROUND(Z71/DIV_Pf,PARAMETROS!$L$8),0)</f>
        <v>88881</v>
      </c>
      <c r="AB71" s="526">
        <f t="shared" si="17"/>
        <v>187460</v>
      </c>
      <c r="AC71" s="775">
        <f t="shared" si="18"/>
        <v>63.3</v>
      </c>
      <c r="AD71" s="525">
        <f>IF(AC71&lt;$AC$6,ROUND(($AC$6-AC71)*AB71,PARAMETROS!$L$8),0)</f>
        <v>7727101</v>
      </c>
      <c r="AE71" s="771">
        <f t="shared" si="10"/>
        <v>7.4166259521999999E-3</v>
      </c>
      <c r="AF71" s="771">
        <f t="shared" si="11"/>
        <v>2.5958190832999998E-3</v>
      </c>
      <c r="AG71" s="771">
        <f t="shared" si="19"/>
        <v>5.7598125402999996E-3</v>
      </c>
      <c r="AH71" s="525">
        <f>+DATA!Q67</f>
        <v>9663049.9279999994</v>
      </c>
      <c r="AI71" s="525">
        <f>+DATA!R67</f>
        <v>805254.16066666658</v>
      </c>
      <c r="AJ71" s="525">
        <f>+DATA!S67</f>
        <v>636151</v>
      </c>
      <c r="AK71" s="525">
        <f>+'_DATA STT PAGOS_'!G69</f>
        <v>0</v>
      </c>
      <c r="AL71" s="525">
        <f>+'_DATA STT PAGOS_'!J69</f>
        <v>13109146.607999999</v>
      </c>
      <c r="AM71" s="525">
        <f>+DATA!Y67</f>
        <v>611350</v>
      </c>
      <c r="AN71" s="525">
        <f>+DATA!Z67</f>
        <v>529621</v>
      </c>
      <c r="AO71" s="525">
        <f>+DATA!AA67</f>
        <v>523257</v>
      </c>
      <c r="AP71" s="525">
        <f>+DATA!AB67</f>
        <v>456620</v>
      </c>
      <c r="AQ71" s="525">
        <f>+DATA!AC67</f>
        <v>2120848</v>
      </c>
      <c r="AR71" s="525">
        <f>+DATA!AD67</f>
        <v>17288</v>
      </c>
      <c r="AS71" s="525">
        <f>+DATA!AE67</f>
        <v>10112</v>
      </c>
      <c r="AT71" s="525">
        <f>+DATA!AF67</f>
        <v>11267.019</v>
      </c>
      <c r="AU71" s="525">
        <f>+DATA!AG67</f>
        <v>8963</v>
      </c>
      <c r="AV71" s="525">
        <f>+DATA!AH67</f>
        <v>47630.019</v>
      </c>
    </row>
    <row r="72" spans="1:48" x14ac:dyDescent="0.25">
      <c r="A72" s="527">
        <v>5602</v>
      </c>
      <c r="B72" s="527">
        <v>5406</v>
      </c>
      <c r="C72" s="527" t="s">
        <v>104</v>
      </c>
      <c r="D72" s="771">
        <f t="shared" si="2"/>
        <v>2.8901734103999998E-3</v>
      </c>
      <c r="E72" s="771">
        <f t="shared" si="3"/>
        <v>7.2254335259999995E-4</v>
      </c>
      <c r="F72" s="525">
        <f>+DATA!D68</f>
        <v>16095</v>
      </c>
      <c r="G72" s="772">
        <f>+DATA!E68</f>
        <v>6.0638679521410818E-2</v>
      </c>
      <c r="H72" s="525">
        <f t="shared" si="12"/>
        <v>976</v>
      </c>
      <c r="I72" s="771">
        <f t="shared" si="4"/>
        <v>7.4742307519999997E-4</v>
      </c>
      <c r="J72" s="771">
        <f t="shared" si="5"/>
        <v>7.4742307500000001E-5</v>
      </c>
      <c r="K72" s="525">
        <f>+DATA!G68</f>
        <v>7975</v>
      </c>
      <c r="L72" s="525">
        <f>+DATA!H68</f>
        <v>30924</v>
      </c>
      <c r="M72" s="525">
        <f>+DATA!I68</f>
        <v>383211817332</v>
      </c>
      <c r="N72" s="525">
        <f>+DATA!J68</f>
        <v>1956139493959</v>
      </c>
      <c r="O72" s="773">
        <f t="shared" si="13"/>
        <v>0.2247693291807675</v>
      </c>
      <c r="P72" s="774" t="str">
        <f t="shared" si="14"/>
        <v>NO</v>
      </c>
      <c r="Q72" s="771">
        <f t="shared" si="6"/>
        <v>3.7667672079999998E-4</v>
      </c>
      <c r="R72" s="771">
        <f t="shared" si="7"/>
        <v>5.4003925519999999E-4</v>
      </c>
      <c r="S72" s="771">
        <f t="shared" si="8"/>
        <v>1.6201177660000001E-4</v>
      </c>
      <c r="T72" s="525">
        <f>+DATA!K68</f>
        <v>0</v>
      </c>
      <c r="U72" s="525">
        <f>+DATA!L68</f>
        <v>0</v>
      </c>
      <c r="V72" s="525">
        <f>+DATA!M68</f>
        <v>9376496</v>
      </c>
      <c r="W72" s="526">
        <f t="shared" si="9"/>
        <v>9376496</v>
      </c>
      <c r="X72" s="526">
        <f t="shared" si="15"/>
        <v>9376496</v>
      </c>
      <c r="Y72" s="526">
        <f t="shared" si="16"/>
        <v>9376496</v>
      </c>
      <c r="Z72" s="525">
        <f>+DATA!F68</f>
        <v>3024502.5704889912</v>
      </c>
      <c r="AA72" s="525">
        <f>IF(P72="SI",ROUND(Z72/DIV_Pf,PARAMETROS!$L$8),0)</f>
        <v>0</v>
      </c>
      <c r="AB72" s="526">
        <f t="shared" si="17"/>
        <v>16095</v>
      </c>
      <c r="AC72" s="775">
        <f t="shared" si="18"/>
        <v>582.57000000000005</v>
      </c>
      <c r="AD72" s="525">
        <f>IF(AC72&lt;$AC$6,ROUND(($AC$6-AC72)*AB72,PARAMETROS!$L$8),0)</f>
        <v>0</v>
      </c>
      <c r="AE72" s="771">
        <f t="shared" si="10"/>
        <v>0</v>
      </c>
      <c r="AF72" s="771">
        <f t="shared" si="11"/>
        <v>0</v>
      </c>
      <c r="AG72" s="771">
        <f t="shared" si="19"/>
        <v>9.5929743669999996E-4</v>
      </c>
      <c r="AH72" s="525">
        <f>+DATA!Q68</f>
        <v>1822419.031</v>
      </c>
      <c r="AI72" s="525">
        <f>+DATA!R68</f>
        <v>151868.25258333332</v>
      </c>
      <c r="AJ72" s="525">
        <f>+DATA!S68</f>
        <v>119976</v>
      </c>
      <c r="AK72" s="525">
        <f>+'_DATA STT PAGOS_'!G70</f>
        <v>0</v>
      </c>
      <c r="AL72" s="525">
        <f>+'_DATA STT PAGOS_'!J70</f>
        <v>2473005.5690000001</v>
      </c>
      <c r="AM72" s="525">
        <f>+DATA!Y68</f>
        <v>582775</v>
      </c>
      <c r="AN72" s="525">
        <f>+DATA!Z68</f>
        <v>308073</v>
      </c>
      <c r="AO72" s="525">
        <f>+DATA!AA68</f>
        <v>419457</v>
      </c>
      <c r="AP72" s="525">
        <f>+DATA!AB68</f>
        <v>306223</v>
      </c>
      <c r="AQ72" s="525">
        <f>+DATA!AC68</f>
        <v>1616528</v>
      </c>
      <c r="AR72" s="525">
        <f>+DATA!AD68</f>
        <v>166496</v>
      </c>
      <c r="AS72" s="525">
        <f>+DATA!AE68</f>
        <v>70016</v>
      </c>
      <c r="AT72" s="525">
        <f>+DATA!AF68</f>
        <v>94413.146999999997</v>
      </c>
      <c r="AU72" s="525">
        <f>+DATA!AG68</f>
        <v>66409</v>
      </c>
      <c r="AV72" s="525">
        <f>+DATA!AH68</f>
        <v>397334.147</v>
      </c>
    </row>
    <row r="73" spans="1:48" x14ac:dyDescent="0.25">
      <c r="A73" s="527">
        <v>5603</v>
      </c>
      <c r="B73" s="527">
        <v>5403</v>
      </c>
      <c r="C73" s="527" t="s">
        <v>101</v>
      </c>
      <c r="D73" s="771">
        <f t="shared" ref="D73:D136" si="20">ROUND(1/COUNTA($A$9:$A$354),DEC)</f>
        <v>2.8901734103999998E-3</v>
      </c>
      <c r="E73" s="771">
        <f t="shared" ref="E73:E136" si="21">ROUND(D73*$E$7,DEC)</f>
        <v>7.2254335259999995E-4</v>
      </c>
      <c r="F73" s="525">
        <f>+DATA!D69</f>
        <v>27065</v>
      </c>
      <c r="G73" s="772">
        <f>+DATA!E69</f>
        <v>7.4217624086270806E-2</v>
      </c>
      <c r="H73" s="525">
        <f t="shared" si="12"/>
        <v>2009</v>
      </c>
      <c r="I73" s="771">
        <f t="shared" ref="I73:I136" si="22">ROUND(H73/$H$7,DEC)</f>
        <v>1.5384968832E-3</v>
      </c>
      <c r="J73" s="771">
        <f t="shared" ref="J73:J136" si="23">ROUND(I73*$J$7,DEC)</f>
        <v>1.5384968829999999E-4</v>
      </c>
      <c r="K73" s="525">
        <f>+DATA!G69</f>
        <v>11066</v>
      </c>
      <c r="L73" s="525">
        <f>+DATA!H69</f>
        <v>13287</v>
      </c>
      <c r="M73" s="525">
        <f>+DATA!I69</f>
        <v>243410476796</v>
      </c>
      <c r="N73" s="525">
        <f>+DATA!J69</f>
        <v>391212212992</v>
      </c>
      <c r="O73" s="773">
        <f t="shared" si="13"/>
        <v>0.7198554496697438</v>
      </c>
      <c r="P73" s="774" t="str">
        <f t="shared" si="14"/>
        <v>SI</v>
      </c>
      <c r="Q73" s="771">
        <f t="shared" ref="Q73:Q136" si="24">IF(K73=0,0,ROUND((K73/$K$6)*(K73/L73),DEC))</f>
        <v>1.6879417639E-3</v>
      </c>
      <c r="R73" s="771">
        <f t="shared" ref="R73:R136" si="25">ROUND(Q73/$Q$7,DEC)</f>
        <v>2.4199924301999999E-3</v>
      </c>
      <c r="S73" s="771">
        <f t="shared" ref="S73:S136" si="26">ROUND(R73*$S$7,DEC)</f>
        <v>7.2599772910000003E-4</v>
      </c>
      <c r="T73" s="525">
        <f>+DATA!K69</f>
        <v>0</v>
      </c>
      <c r="U73" s="525">
        <f>+DATA!L69</f>
        <v>0</v>
      </c>
      <c r="V73" s="525">
        <f>+DATA!M69</f>
        <v>2207228</v>
      </c>
      <c r="W73" s="526">
        <f t="shared" ref="W73:W136" si="27">+V73</f>
        <v>2207228</v>
      </c>
      <c r="X73" s="526">
        <f t="shared" si="15"/>
        <v>2207228</v>
      </c>
      <c r="Y73" s="526">
        <f t="shared" si="16"/>
        <v>2207228</v>
      </c>
      <c r="Z73" s="525">
        <f>+DATA!F69</f>
        <v>1456886.0159293332</v>
      </c>
      <c r="AA73" s="525">
        <f>IF(P73="SI",ROUND(Z73/DIV_Pf,PARAMETROS!$L$8),0)</f>
        <v>121407</v>
      </c>
      <c r="AB73" s="526">
        <f t="shared" si="17"/>
        <v>148472</v>
      </c>
      <c r="AC73" s="775">
        <f t="shared" si="18"/>
        <v>14.87</v>
      </c>
      <c r="AD73" s="525">
        <f>IF(AC73&lt;$AC$6,ROUND(($AC$6-AC73)*AB73,PARAMETROS!$L$8),0)</f>
        <v>13310515</v>
      </c>
      <c r="AE73" s="771">
        <f t="shared" ref="AE73:AE136" si="28">ROUND(AD73/$AD$7,DEC)</f>
        <v>1.2775698284100001E-2</v>
      </c>
      <c r="AF73" s="771">
        <f t="shared" ref="AF73:AF136" si="29">ROUND(AE73*$AF$7,DEC)</f>
        <v>4.4714943994000004E-3</v>
      </c>
      <c r="AG73" s="771">
        <f t="shared" si="19"/>
        <v>6.0738851694000003E-3</v>
      </c>
      <c r="AH73" s="525">
        <f>+DATA!Q69</f>
        <v>11236571.761</v>
      </c>
      <c r="AI73" s="525">
        <f>+DATA!R69</f>
        <v>936380.98008333333</v>
      </c>
      <c r="AJ73" s="525">
        <f>+DATA!S69</f>
        <v>739741</v>
      </c>
      <c r="AK73" s="525">
        <f>+'_DATA STT PAGOS_'!G71</f>
        <v>0</v>
      </c>
      <c r="AL73" s="525">
        <f>+'_DATA STT PAGOS_'!J71</f>
        <v>15242571.33</v>
      </c>
      <c r="AM73" s="525">
        <f>+DATA!Y69</f>
        <v>64430</v>
      </c>
      <c r="AN73" s="525">
        <f>+DATA!Z69</f>
        <v>47508</v>
      </c>
      <c r="AO73" s="525">
        <f>+DATA!AA69</f>
        <v>52355</v>
      </c>
      <c r="AP73" s="525">
        <f>+DATA!AB69</f>
        <v>49786</v>
      </c>
      <c r="AQ73" s="525">
        <f>+DATA!AC69</f>
        <v>214079</v>
      </c>
      <c r="AR73" s="525">
        <f>+DATA!AD69</f>
        <v>14253</v>
      </c>
      <c r="AS73" s="525">
        <f>+DATA!AE69</f>
        <v>7615</v>
      </c>
      <c r="AT73" s="525">
        <f>+DATA!AF69</f>
        <v>9604.67</v>
      </c>
      <c r="AU73" s="525">
        <f>+DATA!AG69</f>
        <v>7902</v>
      </c>
      <c r="AV73" s="525">
        <f>+DATA!AH69</f>
        <v>39374.67</v>
      </c>
    </row>
    <row r="74" spans="1:48" x14ac:dyDescent="0.25">
      <c r="A74" s="527">
        <v>5604</v>
      </c>
      <c r="B74" s="527">
        <v>5405</v>
      </c>
      <c r="C74" s="527" t="s">
        <v>103</v>
      </c>
      <c r="D74" s="771">
        <f t="shared" si="20"/>
        <v>2.8901734103999998E-3</v>
      </c>
      <c r="E74" s="771">
        <f t="shared" si="21"/>
        <v>7.2254335259999995E-4</v>
      </c>
      <c r="F74" s="525">
        <f>+DATA!D70</f>
        <v>18840</v>
      </c>
      <c r="G74" s="772">
        <f>+DATA!E70</f>
        <v>8.9556034656926742E-2</v>
      </c>
      <c r="H74" s="525">
        <f t="shared" ref="H74:H137" si="30">ROUND(F74*G74,0)</f>
        <v>1687</v>
      </c>
      <c r="I74" s="771">
        <f t="shared" si="22"/>
        <v>1.2919085325999999E-3</v>
      </c>
      <c r="J74" s="771">
        <f t="shared" si="23"/>
        <v>1.291908533E-4</v>
      </c>
      <c r="K74" s="525">
        <f>+DATA!G70</f>
        <v>11940</v>
      </c>
      <c r="L74" s="525">
        <f>+DATA!H70</f>
        <v>17430</v>
      </c>
      <c r="M74" s="525">
        <f>+DATA!I70</f>
        <v>430466431775</v>
      </c>
      <c r="N74" s="525">
        <f>+DATA!J70</f>
        <v>845135206250</v>
      </c>
      <c r="O74" s="773">
        <f t="shared" ref="O74:O137" si="31">IF(AND(L74=0,N74=0),0,GEOMEAN((K74/L74),(M74/N74)))</f>
        <v>0.59069054346288474</v>
      </c>
      <c r="P74" s="774" t="str">
        <f t="shared" ref="P74:P137" si="32">IF(O74&gt;$N$3,"SI","NO")</f>
        <v>SI</v>
      </c>
      <c r="Q74" s="771">
        <f t="shared" si="24"/>
        <v>1.4980086757E-3</v>
      </c>
      <c r="R74" s="771">
        <f t="shared" si="25"/>
        <v>2.1476864504999999E-3</v>
      </c>
      <c r="S74" s="771">
        <f t="shared" si="26"/>
        <v>6.4430593519999998E-4</v>
      </c>
      <c r="T74" s="525">
        <f>+DATA!K70</f>
        <v>0</v>
      </c>
      <c r="U74" s="525">
        <f>+DATA!L70</f>
        <v>0</v>
      </c>
      <c r="V74" s="525">
        <f>+DATA!M70</f>
        <v>3469805</v>
      </c>
      <c r="W74" s="526">
        <f t="shared" si="27"/>
        <v>3469805</v>
      </c>
      <c r="X74" s="526">
        <f t="shared" ref="X74:X137" si="33">+T74+V74</f>
        <v>3469805</v>
      </c>
      <c r="Y74" s="526">
        <f t="shared" ref="Y74:Y137" si="34">+V74+T74</f>
        <v>3469805</v>
      </c>
      <c r="Z74" s="525">
        <f>+DATA!F70</f>
        <v>2767573.0570041891</v>
      </c>
      <c r="AA74" s="525">
        <f>IF(P74="SI",ROUND(Z74/DIV_Pf,PARAMETROS!$L$8),0)</f>
        <v>230631</v>
      </c>
      <c r="AB74" s="526">
        <f t="shared" ref="AB74:AB137" si="35">+F74+AA74</f>
        <v>249471</v>
      </c>
      <c r="AC74" s="775">
        <f t="shared" ref="AC74:AC137" si="36">IFERROR(ROUND(Y74/AB74,2),0)</f>
        <v>13.91</v>
      </c>
      <c r="AD74" s="525">
        <f>IF(AC74&lt;$AC$6,ROUND(($AC$6-AC74)*AB74,PARAMETROS!$L$8),0)</f>
        <v>22604567</v>
      </c>
      <c r="AE74" s="771">
        <f t="shared" si="28"/>
        <v>2.1696315118799998E-2</v>
      </c>
      <c r="AF74" s="771">
        <f t="shared" si="29"/>
        <v>7.5937102916000003E-3</v>
      </c>
      <c r="AG74" s="771">
        <f t="shared" ref="AG74:AG137" si="37">+E74+J74+S74+AF74</f>
        <v>9.0897504326999997E-3</v>
      </c>
      <c r="AH74" s="525">
        <f>+DATA!Q70</f>
        <v>15640618.529999999</v>
      </c>
      <c r="AI74" s="525">
        <f>+DATA!R70</f>
        <v>1303384.8774999999</v>
      </c>
      <c r="AJ74" s="525">
        <f>+DATA!S70</f>
        <v>1029674</v>
      </c>
      <c r="AK74" s="525">
        <f>+'_DATA STT PAGOS_'!G72</f>
        <v>0</v>
      </c>
      <c r="AL74" s="525">
        <f>+'_DATA STT PAGOS_'!J72</f>
        <v>21220256.642999999</v>
      </c>
      <c r="AM74" s="525">
        <f>+DATA!Y70</f>
        <v>184915</v>
      </c>
      <c r="AN74" s="525">
        <f>+DATA!Z70</f>
        <v>121539</v>
      </c>
      <c r="AO74" s="525">
        <f>+DATA!AA70</f>
        <v>138653</v>
      </c>
      <c r="AP74" s="525">
        <f>+DATA!AB70</f>
        <v>109930</v>
      </c>
      <c r="AQ74" s="525">
        <f>+DATA!AC70</f>
        <v>555037</v>
      </c>
      <c r="AR74" s="525">
        <f>+DATA!AD70</f>
        <v>52829</v>
      </c>
      <c r="AS74" s="525">
        <f>+DATA!AE70</f>
        <v>26431</v>
      </c>
      <c r="AT74" s="525">
        <f>+DATA!AF70</f>
        <v>30395.723999999998</v>
      </c>
      <c r="AU74" s="525">
        <f>+DATA!AG70</f>
        <v>23347</v>
      </c>
      <c r="AV74" s="525">
        <f>+DATA!AH70</f>
        <v>133002.72399999999</v>
      </c>
    </row>
    <row r="75" spans="1:48" x14ac:dyDescent="0.25">
      <c r="A75" s="527">
        <v>5605</v>
      </c>
      <c r="B75" s="527">
        <v>5404</v>
      </c>
      <c r="C75" s="527" t="s">
        <v>102</v>
      </c>
      <c r="D75" s="771">
        <f t="shared" si="20"/>
        <v>2.8901734103999998E-3</v>
      </c>
      <c r="E75" s="771">
        <f t="shared" si="21"/>
        <v>7.2254335259999995E-4</v>
      </c>
      <c r="F75" s="525">
        <f>+DATA!D71</f>
        <v>15196</v>
      </c>
      <c r="G75" s="772">
        <f>+DATA!E71</f>
        <v>3.3090255825937651E-2</v>
      </c>
      <c r="H75" s="525">
        <f t="shared" si="30"/>
        <v>503</v>
      </c>
      <c r="I75" s="771">
        <f t="shared" si="22"/>
        <v>3.851985725E-4</v>
      </c>
      <c r="J75" s="771">
        <f t="shared" si="23"/>
        <v>3.8519857300000001E-5</v>
      </c>
      <c r="K75" s="525">
        <f>+DATA!G71</f>
        <v>12965</v>
      </c>
      <c r="L75" s="525">
        <f>+DATA!H71</f>
        <v>17167</v>
      </c>
      <c r="M75" s="525">
        <f>+DATA!I71</f>
        <v>380017524686</v>
      </c>
      <c r="N75" s="525">
        <f>+DATA!J71</f>
        <v>646323747809</v>
      </c>
      <c r="O75" s="773">
        <f t="shared" si="31"/>
        <v>0.66637057654676246</v>
      </c>
      <c r="P75" s="774" t="str">
        <f t="shared" si="32"/>
        <v>SI</v>
      </c>
      <c r="Q75" s="771">
        <f t="shared" si="24"/>
        <v>1.7933030915000001E-3</v>
      </c>
      <c r="R75" s="771">
        <f t="shared" si="25"/>
        <v>2.5710483614999999E-3</v>
      </c>
      <c r="S75" s="771">
        <f t="shared" si="26"/>
        <v>7.7131450849999997E-4</v>
      </c>
      <c r="T75" s="525">
        <f>+DATA!K71</f>
        <v>0</v>
      </c>
      <c r="U75" s="525">
        <f>+DATA!L71</f>
        <v>0</v>
      </c>
      <c r="V75" s="525">
        <f>+DATA!M71</f>
        <v>2724821</v>
      </c>
      <c r="W75" s="526">
        <f t="shared" si="27"/>
        <v>2724821</v>
      </c>
      <c r="X75" s="526">
        <f t="shared" si="33"/>
        <v>2724821</v>
      </c>
      <c r="Y75" s="526">
        <f t="shared" si="34"/>
        <v>2724821</v>
      </c>
      <c r="Z75" s="525">
        <f>+DATA!F71</f>
        <v>3125597.6530338274</v>
      </c>
      <c r="AA75" s="525">
        <f>IF(P75="SI",ROUND(Z75/DIV_Pf,PARAMETROS!$L$8),0)</f>
        <v>260466</v>
      </c>
      <c r="AB75" s="526">
        <f t="shared" si="35"/>
        <v>275662</v>
      </c>
      <c r="AC75" s="775">
        <f t="shared" si="36"/>
        <v>9.8800000000000008</v>
      </c>
      <c r="AD75" s="525">
        <f>IF(AC75&lt;$AC$6,ROUND(($AC$6-AC75)*AB75,PARAMETROS!$L$8),0)</f>
        <v>26088652</v>
      </c>
      <c r="AE75" s="771">
        <f t="shared" si="28"/>
        <v>2.5040409525100001E-2</v>
      </c>
      <c r="AF75" s="771">
        <f t="shared" si="29"/>
        <v>8.7641433338000001E-3</v>
      </c>
      <c r="AG75" s="771">
        <f t="shared" si="37"/>
        <v>1.0296521052200001E-2</v>
      </c>
      <c r="AH75" s="525">
        <f>+DATA!Q71</f>
        <v>15993531.819</v>
      </c>
      <c r="AI75" s="525">
        <f>+DATA!R71</f>
        <v>1332794.31825</v>
      </c>
      <c r="AJ75" s="525">
        <f>+DATA!S71</f>
        <v>1052908</v>
      </c>
      <c r="AK75" s="525">
        <f>+'_DATA STT PAGOS_'!G73</f>
        <v>0</v>
      </c>
      <c r="AL75" s="525">
        <f>+'_DATA STT PAGOS_'!J73</f>
        <v>21688459.668000001</v>
      </c>
      <c r="AM75" s="525">
        <f>+DATA!Y71</f>
        <v>70711</v>
      </c>
      <c r="AN75" s="525">
        <f>+DATA!Z71</f>
        <v>54267</v>
      </c>
      <c r="AO75" s="525">
        <f>+DATA!AA71</f>
        <v>63880</v>
      </c>
      <c r="AP75" s="525">
        <f>+DATA!AB71</f>
        <v>53393</v>
      </c>
      <c r="AQ75" s="525">
        <f>+DATA!AC71</f>
        <v>242251</v>
      </c>
      <c r="AR75" s="525">
        <f>+DATA!AD71</f>
        <v>15549</v>
      </c>
      <c r="AS75" s="525">
        <f>+DATA!AE71</f>
        <v>6242</v>
      </c>
      <c r="AT75" s="525">
        <f>+DATA!AF71</f>
        <v>8705.8289999999997</v>
      </c>
      <c r="AU75" s="525">
        <f>+DATA!AG71</f>
        <v>6969</v>
      </c>
      <c r="AV75" s="525">
        <f>+DATA!AH71</f>
        <v>37465.828999999998</v>
      </c>
    </row>
    <row r="76" spans="1:48" x14ac:dyDescent="0.25">
      <c r="A76" s="527">
        <v>5606</v>
      </c>
      <c r="B76" s="527">
        <v>5402</v>
      </c>
      <c r="C76" s="527" t="s">
        <v>100</v>
      </c>
      <c r="D76" s="771">
        <f t="shared" si="20"/>
        <v>2.8901734103999998E-3</v>
      </c>
      <c r="E76" s="771">
        <f t="shared" si="21"/>
        <v>7.2254335259999995E-4</v>
      </c>
      <c r="F76" s="525">
        <f>+DATA!D72</f>
        <v>12609</v>
      </c>
      <c r="G76" s="772">
        <f>+DATA!E72</f>
        <v>5.9781776607428609E-2</v>
      </c>
      <c r="H76" s="525">
        <f t="shared" si="30"/>
        <v>754</v>
      </c>
      <c r="I76" s="771">
        <f t="shared" si="22"/>
        <v>5.7741495769999998E-4</v>
      </c>
      <c r="J76" s="771">
        <f t="shared" si="23"/>
        <v>5.7741495800000002E-5</v>
      </c>
      <c r="K76" s="525">
        <f>+DATA!G72</f>
        <v>6558</v>
      </c>
      <c r="L76" s="525">
        <f>+DATA!H72</f>
        <v>15252</v>
      </c>
      <c r="M76" s="525">
        <f>+DATA!I72</f>
        <v>273009454655</v>
      </c>
      <c r="N76" s="525">
        <f>+DATA!J72</f>
        <v>1202949982191</v>
      </c>
      <c r="O76" s="773">
        <f t="shared" si="31"/>
        <v>0.31238298215095284</v>
      </c>
      <c r="P76" s="774" t="str">
        <f t="shared" si="32"/>
        <v>NO</v>
      </c>
      <c r="Q76" s="771">
        <f t="shared" si="24"/>
        <v>5.1643906970000005E-4</v>
      </c>
      <c r="R76" s="771">
        <f t="shared" si="25"/>
        <v>7.4041573359999999E-4</v>
      </c>
      <c r="S76" s="771">
        <f t="shared" si="26"/>
        <v>2.221247201E-4</v>
      </c>
      <c r="T76" s="525">
        <f>+DATA!K72</f>
        <v>0</v>
      </c>
      <c r="U76" s="525">
        <f>+DATA!L72</f>
        <v>0</v>
      </c>
      <c r="V76" s="525">
        <f>+DATA!M72</f>
        <v>17563428</v>
      </c>
      <c r="W76" s="526">
        <f t="shared" si="27"/>
        <v>17563428</v>
      </c>
      <c r="X76" s="526">
        <f t="shared" si="33"/>
        <v>17563428</v>
      </c>
      <c r="Y76" s="526">
        <f t="shared" si="34"/>
        <v>17563428</v>
      </c>
      <c r="Z76" s="525">
        <f>+DATA!F72</f>
        <v>937732.06569183327</v>
      </c>
      <c r="AA76" s="525">
        <f>IF(P76="SI",ROUND(Z76/DIV_Pf,PARAMETROS!$L$8),0)</f>
        <v>0</v>
      </c>
      <c r="AB76" s="526">
        <f t="shared" si="35"/>
        <v>12609</v>
      </c>
      <c r="AC76" s="775">
        <f t="shared" si="36"/>
        <v>1392.93</v>
      </c>
      <c r="AD76" s="525">
        <f>IF(AC76&lt;$AC$6,ROUND(($AC$6-AC76)*AB76,PARAMETROS!$L$8),0)</f>
        <v>0</v>
      </c>
      <c r="AE76" s="771">
        <f t="shared" si="28"/>
        <v>0</v>
      </c>
      <c r="AF76" s="771">
        <f t="shared" si="29"/>
        <v>0</v>
      </c>
      <c r="AG76" s="771">
        <f t="shared" si="37"/>
        <v>1.0024095685E-3</v>
      </c>
      <c r="AH76" s="525">
        <f>+DATA!Q72</f>
        <v>1914113.497</v>
      </c>
      <c r="AI76" s="525">
        <f>+DATA!R72</f>
        <v>159509.45808333333</v>
      </c>
      <c r="AJ76" s="525">
        <f>+DATA!S72</f>
        <v>126012</v>
      </c>
      <c r="AK76" s="525">
        <f>+'_DATA STT PAGOS_'!G74</f>
        <v>0</v>
      </c>
      <c r="AL76" s="525">
        <f>+'_DATA STT PAGOS_'!J74</f>
        <v>2597872.92</v>
      </c>
      <c r="AM76" s="525">
        <f>+DATA!Y72</f>
        <v>441087</v>
      </c>
      <c r="AN76" s="525">
        <f>+DATA!Z72</f>
        <v>236904</v>
      </c>
      <c r="AO76" s="525">
        <f>+DATA!AA72</f>
        <v>308008</v>
      </c>
      <c r="AP76" s="525">
        <f>+DATA!AB72</f>
        <v>226396</v>
      </c>
      <c r="AQ76" s="525">
        <f>+DATA!AC72</f>
        <v>1212395</v>
      </c>
      <c r="AR76" s="525">
        <f>+DATA!AD72</f>
        <v>94782</v>
      </c>
      <c r="AS76" s="525">
        <f>+DATA!AE72</f>
        <v>49708</v>
      </c>
      <c r="AT76" s="525">
        <f>+DATA!AF72</f>
        <v>62177.010999999999</v>
      </c>
      <c r="AU76" s="525">
        <f>+DATA!AG72</f>
        <v>45560</v>
      </c>
      <c r="AV76" s="525">
        <f>+DATA!AH72</f>
        <v>252227.011</v>
      </c>
    </row>
    <row r="77" spans="1:48" x14ac:dyDescent="0.25">
      <c r="A77" s="527">
        <v>5701</v>
      </c>
      <c r="B77" s="527">
        <v>5601</v>
      </c>
      <c r="C77" s="527" t="s">
        <v>111</v>
      </c>
      <c r="D77" s="771">
        <f t="shared" si="20"/>
        <v>2.8901734103999998E-3</v>
      </c>
      <c r="E77" s="771">
        <f t="shared" si="21"/>
        <v>7.2254335259999995E-4</v>
      </c>
      <c r="F77" s="525">
        <f>+DATA!D73</f>
        <v>86838</v>
      </c>
      <c r="G77" s="772">
        <f>+DATA!E73</f>
        <v>7.0200091599420145E-2</v>
      </c>
      <c r="H77" s="525">
        <f t="shared" si="30"/>
        <v>6096</v>
      </c>
      <c r="I77" s="771">
        <f t="shared" si="22"/>
        <v>4.6683310103999998E-3</v>
      </c>
      <c r="J77" s="771">
        <f t="shared" si="23"/>
        <v>4.6683310100000002E-4</v>
      </c>
      <c r="K77" s="525">
        <f>+DATA!G73</f>
        <v>25772</v>
      </c>
      <c r="L77" s="525">
        <f>+DATA!H73</f>
        <v>32065</v>
      </c>
      <c r="M77" s="525">
        <f>+DATA!I73</f>
        <v>787392531140</v>
      </c>
      <c r="N77" s="525">
        <f>+DATA!J73</f>
        <v>1516552364327</v>
      </c>
      <c r="O77" s="773">
        <f t="shared" si="31"/>
        <v>0.64598938172430242</v>
      </c>
      <c r="P77" s="774" t="str">
        <f t="shared" si="32"/>
        <v>SI</v>
      </c>
      <c r="Q77" s="771">
        <f t="shared" si="24"/>
        <v>3.7937443637000002E-3</v>
      </c>
      <c r="R77" s="771">
        <f t="shared" si="25"/>
        <v>5.4390695453E-3</v>
      </c>
      <c r="S77" s="771">
        <f t="shared" si="26"/>
        <v>1.6317208636E-3</v>
      </c>
      <c r="T77" s="525">
        <f>+DATA!K73</f>
        <v>0</v>
      </c>
      <c r="U77" s="525">
        <f>+DATA!L73</f>
        <v>0</v>
      </c>
      <c r="V77" s="525">
        <f>+DATA!M73</f>
        <v>6795136</v>
      </c>
      <c r="W77" s="526">
        <f t="shared" si="27"/>
        <v>6795136</v>
      </c>
      <c r="X77" s="526">
        <f t="shared" si="33"/>
        <v>6795136</v>
      </c>
      <c r="Y77" s="526">
        <f t="shared" si="34"/>
        <v>6795136</v>
      </c>
      <c r="Z77" s="525">
        <f>+DATA!F73</f>
        <v>324527.14736467245</v>
      </c>
      <c r="AA77" s="525">
        <f>IF(P77="SI",ROUND(Z77/DIV_Pf,PARAMETROS!$L$8),0)</f>
        <v>27044</v>
      </c>
      <c r="AB77" s="526">
        <f t="shared" si="35"/>
        <v>113882</v>
      </c>
      <c r="AC77" s="775">
        <f t="shared" si="36"/>
        <v>59.67</v>
      </c>
      <c r="AD77" s="525">
        <f>IF(AC77&lt;$AC$6,ROUND(($AC$6-AC77)*AB77,PARAMETROS!$L$8),0)</f>
        <v>5107608</v>
      </c>
      <c r="AE77" s="771">
        <f t="shared" si="28"/>
        <v>4.9023842248999997E-3</v>
      </c>
      <c r="AF77" s="771">
        <f t="shared" si="29"/>
        <v>1.7158344787000001E-3</v>
      </c>
      <c r="AG77" s="771">
        <f t="shared" si="37"/>
        <v>4.5369317958999997E-3</v>
      </c>
      <c r="AH77" s="525">
        <f>+DATA!Q73</f>
        <v>8967904.1119999997</v>
      </c>
      <c r="AI77" s="525">
        <f>+DATA!R73</f>
        <v>747325.34266666661</v>
      </c>
      <c r="AJ77" s="525">
        <f>+DATA!S73</f>
        <v>590387</v>
      </c>
      <c r="AK77" s="525">
        <f>+'_DATA STT PAGOS_'!G75</f>
        <v>0</v>
      </c>
      <c r="AL77" s="525">
        <f>+'_DATA STT PAGOS_'!J75</f>
        <v>12169651.806</v>
      </c>
      <c r="AM77" s="525">
        <f>+DATA!Y73</f>
        <v>297282</v>
      </c>
      <c r="AN77" s="525">
        <f>+DATA!Z73</f>
        <v>223372</v>
      </c>
      <c r="AO77" s="525">
        <f>+DATA!AA73</f>
        <v>242978</v>
      </c>
      <c r="AP77" s="525">
        <f>+DATA!AB73</f>
        <v>208525</v>
      </c>
      <c r="AQ77" s="525">
        <f>+DATA!AC73</f>
        <v>972157</v>
      </c>
      <c r="AR77" s="525">
        <f>+DATA!AD73</f>
        <v>24950</v>
      </c>
      <c r="AS77" s="525">
        <f>+DATA!AE73</f>
        <v>13140</v>
      </c>
      <c r="AT77" s="525">
        <f>+DATA!AF73</f>
        <v>15517.422</v>
      </c>
      <c r="AU77" s="525">
        <f>+DATA!AG73</f>
        <v>11206</v>
      </c>
      <c r="AV77" s="525">
        <f>+DATA!AH73</f>
        <v>64813.421999999999</v>
      </c>
    </row>
    <row r="78" spans="1:48" x14ac:dyDescent="0.25">
      <c r="A78" s="527">
        <v>5702</v>
      </c>
      <c r="B78" s="527">
        <v>5603</v>
      </c>
      <c r="C78" s="527" t="s">
        <v>113</v>
      </c>
      <c r="D78" s="771">
        <f t="shared" si="20"/>
        <v>2.8901734103999998E-3</v>
      </c>
      <c r="E78" s="771">
        <f t="shared" si="21"/>
        <v>7.2254335259999995E-4</v>
      </c>
      <c r="F78" s="525">
        <f>+DATA!D74</f>
        <v>15714</v>
      </c>
      <c r="G78" s="772">
        <f>+DATA!E74</f>
        <v>0.1204219901044855</v>
      </c>
      <c r="H78" s="525">
        <f t="shared" si="30"/>
        <v>1892</v>
      </c>
      <c r="I78" s="771">
        <f t="shared" si="22"/>
        <v>1.4488980104E-3</v>
      </c>
      <c r="J78" s="771">
        <f t="shared" si="23"/>
        <v>1.4488980100000001E-4</v>
      </c>
      <c r="K78" s="525">
        <f>+DATA!G74</f>
        <v>4949</v>
      </c>
      <c r="L78" s="525">
        <f>+DATA!H74</f>
        <v>6477</v>
      </c>
      <c r="M78" s="525">
        <f>+DATA!I74</f>
        <v>84938834790</v>
      </c>
      <c r="N78" s="525">
        <f>+DATA!J74</f>
        <v>248157482563</v>
      </c>
      <c r="O78" s="773">
        <f t="shared" si="31"/>
        <v>0.51140060851725022</v>
      </c>
      <c r="P78" s="774" t="str">
        <f t="shared" si="32"/>
        <v>SI</v>
      </c>
      <c r="Q78" s="771">
        <f t="shared" si="24"/>
        <v>6.9257063360000004E-4</v>
      </c>
      <c r="R78" s="771">
        <f t="shared" si="25"/>
        <v>9.9293454699999999E-4</v>
      </c>
      <c r="S78" s="771">
        <f t="shared" si="26"/>
        <v>2.9788036409999997E-4</v>
      </c>
      <c r="T78" s="525">
        <f>+DATA!K74</f>
        <v>0</v>
      </c>
      <c r="U78" s="525">
        <f>+DATA!L74</f>
        <v>0</v>
      </c>
      <c r="V78" s="525">
        <f>+DATA!M74</f>
        <v>1881281</v>
      </c>
      <c r="W78" s="526">
        <f t="shared" si="27"/>
        <v>1881281</v>
      </c>
      <c r="X78" s="526">
        <f t="shared" si="33"/>
        <v>1881281</v>
      </c>
      <c r="Y78" s="526">
        <f t="shared" si="34"/>
        <v>1881281</v>
      </c>
      <c r="Z78" s="525">
        <f>+DATA!F74</f>
        <v>85286.103211084701</v>
      </c>
      <c r="AA78" s="525">
        <f>IF(P78="SI",ROUND(Z78/DIV_Pf,PARAMETROS!$L$8),0)</f>
        <v>7107</v>
      </c>
      <c r="AB78" s="526">
        <f t="shared" si="35"/>
        <v>22821</v>
      </c>
      <c r="AC78" s="775">
        <f t="shared" si="36"/>
        <v>82.44</v>
      </c>
      <c r="AD78" s="525">
        <f>IF(AC78&lt;$AC$6,ROUND(($AC$6-AC78)*AB78,PARAMETROS!$L$8),0)</f>
        <v>503888</v>
      </c>
      <c r="AE78" s="771">
        <f t="shared" si="28"/>
        <v>4.836417717E-4</v>
      </c>
      <c r="AF78" s="771">
        <f t="shared" si="29"/>
        <v>1.6927462009999999E-4</v>
      </c>
      <c r="AG78" s="771">
        <f t="shared" si="37"/>
        <v>1.3345881378E-3</v>
      </c>
      <c r="AH78" s="525">
        <f>+DATA!Q74</f>
        <v>2616538.6949999998</v>
      </c>
      <c r="AI78" s="525">
        <f>+DATA!R74</f>
        <v>218044.89124999999</v>
      </c>
      <c r="AJ78" s="525">
        <f>+DATA!S74</f>
        <v>172255</v>
      </c>
      <c r="AK78" s="525">
        <f>+'_DATA STT PAGOS_'!G76</f>
        <v>0</v>
      </c>
      <c r="AL78" s="525">
        <f>+'_DATA STT PAGOS_'!J76</f>
        <v>3554628.4339999994</v>
      </c>
      <c r="AM78" s="525">
        <f>+DATA!Y74</f>
        <v>51678</v>
      </c>
      <c r="AN78" s="525">
        <f>+DATA!Z74</f>
        <v>33109</v>
      </c>
      <c r="AO78" s="525">
        <f>+DATA!AA74</f>
        <v>43067</v>
      </c>
      <c r="AP78" s="525">
        <f>+DATA!AB74</f>
        <v>29294</v>
      </c>
      <c r="AQ78" s="525">
        <f>+DATA!AC74</f>
        <v>157148</v>
      </c>
      <c r="AR78" s="525">
        <f>+DATA!AD74</f>
        <v>531</v>
      </c>
      <c r="AS78" s="525">
        <f>+DATA!AE74</f>
        <v>353</v>
      </c>
      <c r="AT78" s="525">
        <f>+DATA!AF74</f>
        <v>239.215</v>
      </c>
      <c r="AU78" s="525">
        <f>+DATA!AG74</f>
        <v>242</v>
      </c>
      <c r="AV78" s="525">
        <f>+DATA!AH74</f>
        <v>1365.2149999999999</v>
      </c>
    </row>
    <row r="79" spans="1:48" x14ac:dyDescent="0.25">
      <c r="A79" s="527">
        <v>5703</v>
      </c>
      <c r="B79" s="527">
        <v>5606</v>
      </c>
      <c r="C79" s="527" t="s">
        <v>0</v>
      </c>
      <c r="D79" s="771">
        <f t="shared" si="20"/>
        <v>2.8901734103999998E-3</v>
      </c>
      <c r="E79" s="771">
        <f t="shared" si="21"/>
        <v>7.2254335259999995E-4</v>
      </c>
      <c r="F79" s="525">
        <f>+DATA!D75</f>
        <v>27286</v>
      </c>
      <c r="G79" s="772">
        <f>+DATA!E75</f>
        <v>9.1859048888949135E-2</v>
      </c>
      <c r="H79" s="525">
        <f t="shared" si="30"/>
        <v>2506</v>
      </c>
      <c r="I79" s="771">
        <f t="shared" si="22"/>
        <v>1.9191006417E-3</v>
      </c>
      <c r="J79" s="771">
        <f t="shared" si="23"/>
        <v>1.919100642E-4</v>
      </c>
      <c r="K79" s="525">
        <f>+DATA!G75</f>
        <v>7946</v>
      </c>
      <c r="L79" s="525">
        <f>+DATA!H75</f>
        <v>10199</v>
      </c>
      <c r="M79" s="525">
        <f>+DATA!I75</f>
        <v>159367870585</v>
      </c>
      <c r="N79" s="525">
        <f>+DATA!J75</f>
        <v>344497818192</v>
      </c>
      <c r="O79" s="773">
        <f t="shared" si="31"/>
        <v>0.60034739637438184</v>
      </c>
      <c r="P79" s="774" t="str">
        <f t="shared" si="32"/>
        <v>SI</v>
      </c>
      <c r="Q79" s="771">
        <f t="shared" si="24"/>
        <v>1.1338160273000001E-3</v>
      </c>
      <c r="R79" s="771">
        <f t="shared" si="25"/>
        <v>1.6255455383E-3</v>
      </c>
      <c r="S79" s="771">
        <f t="shared" si="26"/>
        <v>4.8766366150000001E-4</v>
      </c>
      <c r="T79" s="525">
        <f>+DATA!K75</f>
        <v>0</v>
      </c>
      <c r="U79" s="525">
        <f>+DATA!L75</f>
        <v>0</v>
      </c>
      <c r="V79" s="525">
        <f>+DATA!M75</f>
        <v>2221509</v>
      </c>
      <c r="W79" s="526">
        <f t="shared" si="27"/>
        <v>2221509</v>
      </c>
      <c r="X79" s="526">
        <f t="shared" si="33"/>
        <v>2221509</v>
      </c>
      <c r="Y79" s="526">
        <f t="shared" si="34"/>
        <v>2221509</v>
      </c>
      <c r="Z79" s="525">
        <f>+DATA!F75</f>
        <v>320148.1389750744</v>
      </c>
      <c r="AA79" s="525">
        <f>IF(P79="SI",ROUND(Z79/DIV_Pf,PARAMETROS!$L$8),0)</f>
        <v>26679</v>
      </c>
      <c r="AB79" s="526">
        <f t="shared" si="35"/>
        <v>53965</v>
      </c>
      <c r="AC79" s="775">
        <f t="shared" si="36"/>
        <v>41.17</v>
      </c>
      <c r="AD79" s="525">
        <f>IF(AC79&lt;$AC$6,ROUND(($AC$6-AC79)*AB79,PARAMETROS!$L$8),0)</f>
        <v>3418683</v>
      </c>
      <c r="AE79" s="771">
        <f t="shared" si="28"/>
        <v>3.2813202597000001E-3</v>
      </c>
      <c r="AF79" s="771">
        <f t="shared" si="29"/>
        <v>1.1484620909E-3</v>
      </c>
      <c r="AG79" s="771">
        <f t="shared" si="37"/>
        <v>2.5505791692000002E-3</v>
      </c>
      <c r="AH79" s="525">
        <f>+DATA!Q75</f>
        <v>3990872.463</v>
      </c>
      <c r="AI79" s="525">
        <f>+DATA!R75</f>
        <v>332572.70525</v>
      </c>
      <c r="AJ79" s="525">
        <f>+DATA!S75</f>
        <v>262732</v>
      </c>
      <c r="AK79" s="525">
        <f>+'_DATA STT PAGOS_'!G77</f>
        <v>0</v>
      </c>
      <c r="AL79" s="525">
        <f>+'_DATA STT PAGOS_'!J77</f>
        <v>5416366.8399999999</v>
      </c>
      <c r="AM79" s="525">
        <f>+DATA!Y75</f>
        <v>70111</v>
      </c>
      <c r="AN79" s="525">
        <f>+DATA!Z75</f>
        <v>48588</v>
      </c>
      <c r="AO79" s="525">
        <f>+DATA!AA75</f>
        <v>58292</v>
      </c>
      <c r="AP79" s="525">
        <f>+DATA!AB75</f>
        <v>49417</v>
      </c>
      <c r="AQ79" s="525">
        <f>+DATA!AC75</f>
        <v>226408</v>
      </c>
      <c r="AR79" s="525">
        <f>+DATA!AD75</f>
        <v>960</v>
      </c>
      <c r="AS79" s="525">
        <f>+DATA!AE75</f>
        <v>448</v>
      </c>
      <c r="AT79" s="525">
        <f>+DATA!AF75</f>
        <v>637.31700000000001</v>
      </c>
      <c r="AU79" s="525">
        <f>+DATA!AG75</f>
        <v>453</v>
      </c>
      <c r="AV79" s="525">
        <f>+DATA!AH75</f>
        <v>2498.317</v>
      </c>
    </row>
    <row r="80" spans="1:48" x14ac:dyDescent="0.25">
      <c r="A80" s="527">
        <v>5704</v>
      </c>
      <c r="B80" s="527">
        <v>5602</v>
      </c>
      <c r="C80" s="527" t="s">
        <v>112</v>
      </c>
      <c r="D80" s="771">
        <f t="shared" si="20"/>
        <v>2.8901734103999998E-3</v>
      </c>
      <c r="E80" s="771">
        <f t="shared" si="21"/>
        <v>7.2254335259999995E-4</v>
      </c>
      <c r="F80" s="525">
        <f>+DATA!D76</f>
        <v>7841</v>
      </c>
      <c r="G80" s="772">
        <f>+DATA!E76</f>
        <v>9.4899308833768473E-2</v>
      </c>
      <c r="H80" s="525">
        <f t="shared" si="30"/>
        <v>744</v>
      </c>
      <c r="I80" s="771">
        <f t="shared" si="22"/>
        <v>5.6975693430000003E-4</v>
      </c>
      <c r="J80" s="771">
        <f t="shared" si="23"/>
        <v>5.6975693399999998E-5</v>
      </c>
      <c r="K80" s="525">
        <f>+DATA!G76</f>
        <v>2001</v>
      </c>
      <c r="L80" s="525">
        <f>+DATA!H76</f>
        <v>2962</v>
      </c>
      <c r="M80" s="525">
        <f>+DATA!I76</f>
        <v>46264199001</v>
      </c>
      <c r="N80" s="525">
        <f>+DATA!J76</f>
        <v>210015428334</v>
      </c>
      <c r="O80" s="773">
        <f t="shared" si="31"/>
        <v>0.38576954668431873</v>
      </c>
      <c r="P80" s="774" t="str">
        <f t="shared" si="32"/>
        <v>NO</v>
      </c>
      <c r="Q80" s="771">
        <f t="shared" si="24"/>
        <v>2.4757807690000002E-4</v>
      </c>
      <c r="R80" s="771">
        <f t="shared" si="25"/>
        <v>3.549512695E-4</v>
      </c>
      <c r="S80" s="771">
        <f t="shared" si="26"/>
        <v>1.064853809E-4</v>
      </c>
      <c r="T80" s="525">
        <f>+DATA!K76</f>
        <v>0</v>
      </c>
      <c r="U80" s="525">
        <f>+DATA!L76</f>
        <v>0</v>
      </c>
      <c r="V80" s="525">
        <f>+DATA!M76</f>
        <v>1456728</v>
      </c>
      <c r="W80" s="526">
        <f t="shared" si="27"/>
        <v>1456728</v>
      </c>
      <c r="X80" s="526">
        <f t="shared" si="33"/>
        <v>1456728</v>
      </c>
      <c r="Y80" s="526">
        <f t="shared" si="34"/>
        <v>1456728</v>
      </c>
      <c r="Z80" s="525">
        <f>+DATA!F76</f>
        <v>138921.42095954673</v>
      </c>
      <c r="AA80" s="525">
        <f>IF(P80="SI",ROUND(Z80/DIV_Pf,PARAMETROS!$L$8),0)</f>
        <v>0</v>
      </c>
      <c r="AB80" s="526">
        <f t="shared" si="35"/>
        <v>7841</v>
      </c>
      <c r="AC80" s="775">
        <f t="shared" si="36"/>
        <v>185.78</v>
      </c>
      <c r="AD80" s="525">
        <f>IF(AC80&lt;$AC$6,ROUND(($AC$6-AC80)*AB80,PARAMETROS!$L$8),0)</f>
        <v>0</v>
      </c>
      <c r="AE80" s="771">
        <f t="shared" si="28"/>
        <v>0</v>
      </c>
      <c r="AF80" s="771">
        <f t="shared" si="29"/>
        <v>0</v>
      </c>
      <c r="AG80" s="771">
        <f t="shared" si="37"/>
        <v>8.8600442689999997E-4</v>
      </c>
      <c r="AH80" s="525">
        <f>+DATA!Q76</f>
        <v>1660206.398</v>
      </c>
      <c r="AI80" s="525">
        <f>+DATA!R76</f>
        <v>138350.53316666666</v>
      </c>
      <c r="AJ80" s="525">
        <f>+DATA!S76</f>
        <v>109297</v>
      </c>
      <c r="AK80" s="525">
        <f>+'_DATA STT PAGOS_'!G78</f>
        <v>0</v>
      </c>
      <c r="AL80" s="525">
        <f>+'_DATA STT PAGOS_'!J78</f>
        <v>2253954.3939999999</v>
      </c>
      <c r="AM80" s="525">
        <f>+DATA!Y76</f>
        <v>57172</v>
      </c>
      <c r="AN80" s="525">
        <f>+DATA!Z76</f>
        <v>40276</v>
      </c>
      <c r="AO80" s="525">
        <f>+DATA!AA76</f>
        <v>46164</v>
      </c>
      <c r="AP80" s="525">
        <f>+DATA!AB76</f>
        <v>29404</v>
      </c>
      <c r="AQ80" s="525">
        <f>+DATA!AC76</f>
        <v>173016</v>
      </c>
      <c r="AR80" s="525">
        <f>+DATA!AD76</f>
        <v>328</v>
      </c>
      <c r="AS80" s="525">
        <f>+DATA!AE76</f>
        <v>157</v>
      </c>
      <c r="AT80" s="525">
        <f>+DATA!AF76</f>
        <v>225.75399999999999</v>
      </c>
      <c r="AU80" s="525">
        <f>+DATA!AG76</f>
        <v>144</v>
      </c>
      <c r="AV80" s="525">
        <f>+DATA!AH76</f>
        <v>854.75400000000002</v>
      </c>
    </row>
    <row r="81" spans="1:48" x14ac:dyDescent="0.25">
      <c r="A81" s="527">
        <v>5705</v>
      </c>
      <c r="B81" s="527">
        <v>5604</v>
      </c>
      <c r="C81" s="527" t="s">
        <v>114</v>
      </c>
      <c r="D81" s="771">
        <f t="shared" si="20"/>
        <v>2.8901734103999998E-3</v>
      </c>
      <c r="E81" s="771">
        <f t="shared" si="21"/>
        <v>7.2254335259999995E-4</v>
      </c>
      <c r="F81" s="525">
        <f>+DATA!D77</f>
        <v>18023</v>
      </c>
      <c r="G81" s="772">
        <f>+DATA!E77</f>
        <v>0.10026670029428</v>
      </c>
      <c r="H81" s="525">
        <f t="shared" si="30"/>
        <v>1807</v>
      </c>
      <c r="I81" s="771">
        <f t="shared" si="22"/>
        <v>1.3838048123E-3</v>
      </c>
      <c r="J81" s="771">
        <f t="shared" si="23"/>
        <v>1.383804812E-4</v>
      </c>
      <c r="K81" s="525">
        <f>+DATA!G77</f>
        <v>6477</v>
      </c>
      <c r="L81" s="525">
        <f>+DATA!H77</f>
        <v>7960</v>
      </c>
      <c r="M81" s="525">
        <f>+DATA!I77</f>
        <v>135380685802</v>
      </c>
      <c r="N81" s="525">
        <f>+DATA!J77</f>
        <v>280232161467</v>
      </c>
      <c r="O81" s="773">
        <f t="shared" si="31"/>
        <v>0.62697436066148993</v>
      </c>
      <c r="P81" s="774" t="str">
        <f t="shared" si="32"/>
        <v>SI</v>
      </c>
      <c r="Q81" s="771">
        <f t="shared" si="24"/>
        <v>9.6524550640000005E-4</v>
      </c>
      <c r="R81" s="771">
        <f t="shared" si="25"/>
        <v>1.3838669488999999E-3</v>
      </c>
      <c r="S81" s="771">
        <f t="shared" si="26"/>
        <v>4.1516008469999997E-4</v>
      </c>
      <c r="T81" s="525">
        <f>+DATA!K77</f>
        <v>0</v>
      </c>
      <c r="U81" s="525">
        <f>+DATA!L77</f>
        <v>0</v>
      </c>
      <c r="V81" s="525">
        <f>+DATA!M77</f>
        <v>1379015</v>
      </c>
      <c r="W81" s="526">
        <f t="shared" si="27"/>
        <v>1379015</v>
      </c>
      <c r="X81" s="526">
        <f t="shared" si="33"/>
        <v>1379015</v>
      </c>
      <c r="Y81" s="526">
        <f t="shared" si="34"/>
        <v>1379015</v>
      </c>
      <c r="Z81" s="525">
        <f>+DATA!F77</f>
        <v>131730.15198319469</v>
      </c>
      <c r="AA81" s="525">
        <f>IF(P81="SI",ROUND(Z81/DIV_Pf,PARAMETROS!$L$8),0)</f>
        <v>10978</v>
      </c>
      <c r="AB81" s="526">
        <f t="shared" si="35"/>
        <v>29001</v>
      </c>
      <c r="AC81" s="775">
        <f t="shared" si="36"/>
        <v>47.55</v>
      </c>
      <c r="AD81" s="525">
        <f>IF(AC81&lt;$AC$6,ROUND(($AC$6-AC81)*AB81,PARAMETROS!$L$8),0)</f>
        <v>1652187</v>
      </c>
      <c r="AE81" s="771">
        <f t="shared" si="28"/>
        <v>1.5858020986E-3</v>
      </c>
      <c r="AF81" s="771">
        <f t="shared" si="29"/>
        <v>5.5503073449999997E-4</v>
      </c>
      <c r="AG81" s="771">
        <f t="shared" si="37"/>
        <v>1.831114653E-3</v>
      </c>
      <c r="AH81" s="525">
        <f>+DATA!Q77</f>
        <v>3399071.9810000001</v>
      </c>
      <c r="AI81" s="525">
        <f>+DATA!R77</f>
        <v>283255.9984166667</v>
      </c>
      <c r="AJ81" s="525">
        <f>+DATA!S77</f>
        <v>223772</v>
      </c>
      <c r="AK81" s="525">
        <f>+'_DATA STT PAGOS_'!G79</f>
        <v>0</v>
      </c>
      <c r="AL81" s="525">
        <f>+'_DATA STT PAGOS_'!J79</f>
        <v>4613688.2479999997</v>
      </c>
      <c r="AM81" s="525">
        <f>+DATA!Y77</f>
        <v>27352</v>
      </c>
      <c r="AN81" s="525">
        <f>+DATA!Z77</f>
        <v>14255</v>
      </c>
      <c r="AO81" s="525">
        <f>+DATA!AA77</f>
        <v>24980</v>
      </c>
      <c r="AP81" s="525">
        <f>+DATA!AB77</f>
        <v>21682</v>
      </c>
      <c r="AQ81" s="525">
        <f>+DATA!AC77</f>
        <v>88269</v>
      </c>
      <c r="AR81" s="525">
        <f>+DATA!AD77</f>
        <v>538</v>
      </c>
      <c r="AS81" s="525">
        <f>+DATA!AE77</f>
        <v>298</v>
      </c>
      <c r="AT81" s="525">
        <f>+DATA!AF77</f>
        <v>377.024</v>
      </c>
      <c r="AU81" s="525">
        <f>+DATA!AG77</f>
        <v>261</v>
      </c>
      <c r="AV81" s="525">
        <f>+DATA!AH77</f>
        <v>1474.0239999999999</v>
      </c>
    </row>
    <row r="82" spans="1:48" x14ac:dyDescent="0.25">
      <c r="A82" s="527">
        <v>5706</v>
      </c>
      <c r="B82" s="527">
        <v>5605</v>
      </c>
      <c r="C82" s="527" t="s">
        <v>382</v>
      </c>
      <c r="D82" s="771">
        <f t="shared" si="20"/>
        <v>2.8901734103999998E-3</v>
      </c>
      <c r="E82" s="771">
        <f t="shared" si="21"/>
        <v>7.2254335259999995E-4</v>
      </c>
      <c r="F82" s="525">
        <f>+DATA!D78</f>
        <v>16962</v>
      </c>
      <c r="G82" s="772">
        <f>+DATA!E78</f>
        <v>8.9002955796483346E-2</v>
      </c>
      <c r="H82" s="525">
        <f t="shared" si="30"/>
        <v>1510</v>
      </c>
      <c r="I82" s="771">
        <f t="shared" si="22"/>
        <v>1.1563615199999999E-3</v>
      </c>
      <c r="J82" s="771">
        <f t="shared" si="23"/>
        <v>1.15636152E-4</v>
      </c>
      <c r="K82" s="525">
        <f>+DATA!G78</f>
        <v>5538</v>
      </c>
      <c r="L82" s="525">
        <f>+DATA!H78</f>
        <v>6695</v>
      </c>
      <c r="M82" s="525">
        <f>+DATA!I78</f>
        <v>95725130573</v>
      </c>
      <c r="N82" s="525">
        <f>+DATA!J78</f>
        <v>251869388108</v>
      </c>
      <c r="O82" s="773">
        <f t="shared" si="31"/>
        <v>0.56069473133086334</v>
      </c>
      <c r="P82" s="774" t="str">
        <f t="shared" si="32"/>
        <v>SI</v>
      </c>
      <c r="Q82" s="771">
        <f t="shared" si="24"/>
        <v>8.3899308920000004E-4</v>
      </c>
      <c r="R82" s="771">
        <f t="shared" si="25"/>
        <v>1.2028595821999999E-3</v>
      </c>
      <c r="S82" s="771">
        <f t="shared" si="26"/>
        <v>3.608578747E-4</v>
      </c>
      <c r="T82" s="525">
        <f>+DATA!K78</f>
        <v>0</v>
      </c>
      <c r="U82" s="525">
        <f>+DATA!L78</f>
        <v>0</v>
      </c>
      <c r="V82" s="525">
        <f>+DATA!M78</f>
        <v>1825928</v>
      </c>
      <c r="W82" s="526">
        <f t="shared" si="27"/>
        <v>1825928</v>
      </c>
      <c r="X82" s="526">
        <f t="shared" si="33"/>
        <v>1825928</v>
      </c>
      <c r="Y82" s="526">
        <f t="shared" si="34"/>
        <v>1825928</v>
      </c>
      <c r="Z82" s="525">
        <f>+DATA!F78</f>
        <v>123269.22290468978</v>
      </c>
      <c r="AA82" s="525">
        <f>IF(P82="SI",ROUND(Z82/DIV_Pf,PARAMETROS!$L$8),0)</f>
        <v>10272</v>
      </c>
      <c r="AB82" s="526">
        <f t="shared" si="35"/>
        <v>27234</v>
      </c>
      <c r="AC82" s="775">
        <f t="shared" si="36"/>
        <v>67.05</v>
      </c>
      <c r="AD82" s="525">
        <f>IF(AC82&lt;$AC$6,ROUND(($AC$6-AC82)*AB82,PARAMETROS!$L$8),0)</f>
        <v>1020458</v>
      </c>
      <c r="AE82" s="771">
        <f t="shared" si="28"/>
        <v>9.7945598040000007E-4</v>
      </c>
      <c r="AF82" s="771">
        <f t="shared" si="29"/>
        <v>3.4280959310000001E-4</v>
      </c>
      <c r="AG82" s="771">
        <f t="shared" si="37"/>
        <v>1.5418469723999999E-3</v>
      </c>
      <c r="AH82" s="525">
        <f>+DATA!Q78</f>
        <v>2728331.7069999999</v>
      </c>
      <c r="AI82" s="525">
        <f>+DATA!R78</f>
        <v>227360.97558333332</v>
      </c>
      <c r="AJ82" s="525">
        <f>+DATA!S78</f>
        <v>179615</v>
      </c>
      <c r="AK82" s="525">
        <f>+'_DATA STT PAGOS_'!G80</f>
        <v>0</v>
      </c>
      <c r="AL82" s="525">
        <f>+'_DATA STT PAGOS_'!J80</f>
        <v>3702652.4040000001</v>
      </c>
      <c r="AM82" s="525">
        <f>+DATA!Y78</f>
        <v>41858</v>
      </c>
      <c r="AN82" s="525">
        <f>+DATA!Z78</f>
        <v>30809</v>
      </c>
      <c r="AO82" s="525">
        <f>+DATA!AA78</f>
        <v>35218</v>
      </c>
      <c r="AP82" s="525">
        <f>+DATA!AB78</f>
        <v>33350</v>
      </c>
      <c r="AQ82" s="525">
        <f>+DATA!AC78</f>
        <v>141235</v>
      </c>
      <c r="AR82" s="525">
        <f>+DATA!AD78</f>
        <v>328</v>
      </c>
      <c r="AS82" s="525">
        <f>+DATA!AE78</f>
        <v>591</v>
      </c>
      <c r="AT82" s="525">
        <f>+DATA!AF78</f>
        <v>304.99799999999999</v>
      </c>
      <c r="AU82" s="525">
        <f>+DATA!AG78</f>
        <v>270</v>
      </c>
      <c r="AV82" s="525">
        <f>+DATA!AH78</f>
        <v>1493.998</v>
      </c>
    </row>
    <row r="83" spans="1:48" x14ac:dyDescent="0.25">
      <c r="A83" s="527">
        <v>5801</v>
      </c>
      <c r="B83" s="527">
        <v>5304</v>
      </c>
      <c r="C83" s="527" t="s">
        <v>383</v>
      </c>
      <c r="D83" s="771">
        <f t="shared" si="20"/>
        <v>2.8901734103999998E-3</v>
      </c>
      <c r="E83" s="771">
        <f t="shared" si="21"/>
        <v>7.2254335259999995E-4</v>
      </c>
      <c r="F83" s="525">
        <f>+DATA!D79</f>
        <v>173591</v>
      </c>
      <c r="G83" s="772">
        <f>+DATA!E79</f>
        <v>5.5474518530662313E-2</v>
      </c>
      <c r="H83" s="525">
        <f t="shared" si="30"/>
        <v>9630</v>
      </c>
      <c r="I83" s="771">
        <f t="shared" si="22"/>
        <v>7.3746764485000003E-3</v>
      </c>
      <c r="J83" s="771">
        <f t="shared" si="23"/>
        <v>7.3746764490000005E-4</v>
      </c>
      <c r="K83" s="525">
        <f>+DATA!G79</f>
        <v>47735</v>
      </c>
      <c r="L83" s="525">
        <f>+DATA!H79</f>
        <v>68295</v>
      </c>
      <c r="M83" s="525">
        <f>+DATA!I79</f>
        <v>1688005580400</v>
      </c>
      <c r="N83" s="525">
        <f>+DATA!J79</f>
        <v>3288973663472</v>
      </c>
      <c r="O83" s="773">
        <f t="shared" si="31"/>
        <v>0.59893645788758454</v>
      </c>
      <c r="P83" s="774" t="str">
        <f t="shared" si="32"/>
        <v>SI</v>
      </c>
      <c r="Q83" s="771">
        <f t="shared" si="24"/>
        <v>6.1106584029000004E-3</v>
      </c>
      <c r="R83" s="771">
        <f t="shared" si="25"/>
        <v>8.7608159207000005E-3</v>
      </c>
      <c r="S83" s="771">
        <f t="shared" si="26"/>
        <v>2.6282447762000002E-3</v>
      </c>
      <c r="T83" s="525">
        <f>+DATA!K79</f>
        <v>0</v>
      </c>
      <c r="U83" s="525">
        <f>+DATA!L79</f>
        <v>0</v>
      </c>
      <c r="V83" s="525">
        <f>+DATA!M79</f>
        <v>12449839</v>
      </c>
      <c r="W83" s="526">
        <f t="shared" si="27"/>
        <v>12449839</v>
      </c>
      <c r="X83" s="526">
        <f t="shared" si="33"/>
        <v>12449839</v>
      </c>
      <c r="Y83" s="526">
        <f t="shared" si="34"/>
        <v>12449839</v>
      </c>
      <c r="Z83" s="525">
        <f>+DATA!F79</f>
        <v>921063.52712892205</v>
      </c>
      <c r="AA83" s="525">
        <f>IF(P83="SI",ROUND(Z83/DIV_Pf,PARAMETROS!$L$8),0)</f>
        <v>76755</v>
      </c>
      <c r="AB83" s="526">
        <f t="shared" si="35"/>
        <v>250346</v>
      </c>
      <c r="AC83" s="775">
        <f t="shared" si="36"/>
        <v>49.73</v>
      </c>
      <c r="AD83" s="525">
        <f>IF(AC83&lt;$AC$6,ROUND(($AC$6-AC83)*AB83,PARAMETROS!$L$8),0)</f>
        <v>13716457</v>
      </c>
      <c r="AE83" s="771">
        <f t="shared" si="28"/>
        <v>1.31653295277E-2</v>
      </c>
      <c r="AF83" s="771">
        <f t="shared" si="29"/>
        <v>4.6078653347000004E-3</v>
      </c>
      <c r="AG83" s="771">
        <f t="shared" si="37"/>
        <v>8.6961211084000019E-3</v>
      </c>
      <c r="AH83" s="525">
        <f>+DATA!Q79</f>
        <v>15719065.389</v>
      </c>
      <c r="AI83" s="525">
        <f>+DATA!R79</f>
        <v>1309922.1157500001</v>
      </c>
      <c r="AJ83" s="525">
        <f>+DATA!S79</f>
        <v>1034838</v>
      </c>
      <c r="AK83" s="525">
        <f>+'_DATA STT PAGOS_'!G81</f>
        <v>0</v>
      </c>
      <c r="AL83" s="525">
        <f>+'_DATA STT PAGOS_'!J81</f>
        <v>21329710.710000001</v>
      </c>
      <c r="AM83" s="525">
        <f>+DATA!Y79</f>
        <v>618837</v>
      </c>
      <c r="AN83" s="525">
        <f>+DATA!Z79</f>
        <v>443887</v>
      </c>
      <c r="AO83" s="525">
        <f>+DATA!AA79</f>
        <v>507774</v>
      </c>
      <c r="AP83" s="525">
        <f>+DATA!AB79</f>
        <v>438981</v>
      </c>
      <c r="AQ83" s="525">
        <f>+DATA!AC79</f>
        <v>2009479</v>
      </c>
      <c r="AR83" s="525">
        <f>+DATA!AD79</f>
        <v>112978</v>
      </c>
      <c r="AS83" s="525">
        <f>+DATA!AE79</f>
        <v>50189</v>
      </c>
      <c r="AT83" s="525">
        <f>+DATA!AF79</f>
        <v>65692.554000000004</v>
      </c>
      <c r="AU83" s="525">
        <f>+DATA!AG79</f>
        <v>47650</v>
      </c>
      <c r="AV83" s="525">
        <f>+DATA!AH79</f>
        <v>276509.554</v>
      </c>
    </row>
    <row r="84" spans="1:48" x14ac:dyDescent="0.25">
      <c r="A84" s="527">
        <v>5802</v>
      </c>
      <c r="B84" s="527">
        <v>5506</v>
      </c>
      <c r="C84" s="527" t="s">
        <v>110</v>
      </c>
      <c r="D84" s="771">
        <f t="shared" si="20"/>
        <v>2.8901734103999998E-3</v>
      </c>
      <c r="E84" s="771">
        <f t="shared" si="21"/>
        <v>7.2254335259999995E-4</v>
      </c>
      <c r="F84" s="525">
        <f>+DATA!D80</f>
        <v>51697</v>
      </c>
      <c r="G84" s="772">
        <f>+DATA!E80</f>
        <v>6.8772582552954598E-2</v>
      </c>
      <c r="H84" s="525">
        <f t="shared" si="30"/>
        <v>3555</v>
      </c>
      <c r="I84" s="771">
        <f t="shared" si="22"/>
        <v>2.7224272870999999E-3</v>
      </c>
      <c r="J84" s="771">
        <f t="shared" si="23"/>
        <v>2.7224272869999999E-4</v>
      </c>
      <c r="K84" s="525">
        <f>+DATA!G80</f>
        <v>16455</v>
      </c>
      <c r="L84" s="525">
        <f>+DATA!H80</f>
        <v>25479</v>
      </c>
      <c r="M84" s="525">
        <f>+DATA!I80</f>
        <v>521291892210</v>
      </c>
      <c r="N84" s="525">
        <f>+DATA!J80</f>
        <v>1100357382675</v>
      </c>
      <c r="O84" s="773">
        <f t="shared" si="31"/>
        <v>0.55313527844126686</v>
      </c>
      <c r="P84" s="774" t="str">
        <f t="shared" si="32"/>
        <v>SI</v>
      </c>
      <c r="Q84" s="771">
        <f t="shared" si="24"/>
        <v>1.9463299094999999E-3</v>
      </c>
      <c r="R84" s="771">
        <f t="shared" si="25"/>
        <v>2.7904420331999998E-3</v>
      </c>
      <c r="S84" s="771">
        <f t="shared" si="26"/>
        <v>8.3713261000000004E-4</v>
      </c>
      <c r="T84" s="525">
        <f>+DATA!K80</f>
        <v>0</v>
      </c>
      <c r="U84" s="525">
        <f>+DATA!L80</f>
        <v>0</v>
      </c>
      <c r="V84" s="525">
        <f>+DATA!M80</f>
        <v>4232929</v>
      </c>
      <c r="W84" s="526">
        <f t="shared" si="27"/>
        <v>4232929</v>
      </c>
      <c r="X84" s="526">
        <f t="shared" si="33"/>
        <v>4232929</v>
      </c>
      <c r="Y84" s="526">
        <f t="shared" si="34"/>
        <v>4232929</v>
      </c>
      <c r="Z84" s="525">
        <f>+DATA!F80</f>
        <v>287473.79640666529</v>
      </c>
      <c r="AA84" s="525">
        <f>IF(P84="SI",ROUND(Z84/DIV_Pf,PARAMETROS!$L$8),0)</f>
        <v>23956</v>
      </c>
      <c r="AB84" s="526">
        <f t="shared" si="35"/>
        <v>75653</v>
      </c>
      <c r="AC84" s="775">
        <f t="shared" si="36"/>
        <v>55.95</v>
      </c>
      <c r="AD84" s="525">
        <f>IF(AC84&lt;$AC$6,ROUND(($AC$6-AC84)*AB84,PARAMETROS!$L$8),0)</f>
        <v>3674466</v>
      </c>
      <c r="AE84" s="771">
        <f t="shared" si="28"/>
        <v>3.5268258945E-3</v>
      </c>
      <c r="AF84" s="771">
        <f t="shared" si="29"/>
        <v>1.2343890631000001E-3</v>
      </c>
      <c r="AG84" s="771">
        <f t="shared" si="37"/>
        <v>3.0663077543999998E-3</v>
      </c>
      <c r="AH84" s="525">
        <f>+DATA!Q80</f>
        <v>5892515.4500000002</v>
      </c>
      <c r="AI84" s="525">
        <f>+DATA!R80</f>
        <v>491042.95416666666</v>
      </c>
      <c r="AJ84" s="525">
        <f>+DATA!S80</f>
        <v>387924</v>
      </c>
      <c r="AK84" s="525">
        <f>+'_DATA STT PAGOS_'!G82</f>
        <v>0</v>
      </c>
      <c r="AL84" s="525">
        <f>+'_DATA STT PAGOS_'!J82</f>
        <v>7996278.7750000004</v>
      </c>
      <c r="AM84" s="525">
        <f>+DATA!Y80</f>
        <v>247881</v>
      </c>
      <c r="AN84" s="525">
        <f>+DATA!Z80</f>
        <v>155642</v>
      </c>
      <c r="AO84" s="525">
        <f>+DATA!AA80</f>
        <v>176691</v>
      </c>
      <c r="AP84" s="525">
        <f>+DATA!AB80</f>
        <v>133085</v>
      </c>
      <c r="AQ84" s="525">
        <f>+DATA!AC80</f>
        <v>713299</v>
      </c>
      <c r="AR84" s="525">
        <f>+DATA!AD80</f>
        <v>16333</v>
      </c>
      <c r="AS84" s="525">
        <f>+DATA!AE80</f>
        <v>7967</v>
      </c>
      <c r="AT84" s="525">
        <f>+DATA!AF80</f>
        <v>9813.1260000000002</v>
      </c>
      <c r="AU84" s="525">
        <f>+DATA!AG80</f>
        <v>7601</v>
      </c>
      <c r="AV84" s="525">
        <f>+DATA!AH80</f>
        <v>41714.126000000004</v>
      </c>
    </row>
    <row r="85" spans="1:48" x14ac:dyDescent="0.25">
      <c r="A85" s="527">
        <v>5803</v>
      </c>
      <c r="B85" s="527">
        <v>5507</v>
      </c>
      <c r="C85" s="527" t="s">
        <v>384</v>
      </c>
      <c r="D85" s="771">
        <f t="shared" si="20"/>
        <v>2.8901734103999998E-3</v>
      </c>
      <c r="E85" s="771">
        <f t="shared" si="21"/>
        <v>7.2254335259999995E-4</v>
      </c>
      <c r="F85" s="525">
        <f>+DATA!D81</f>
        <v>20247</v>
      </c>
      <c r="G85" s="772">
        <f>+DATA!E81</f>
        <v>7.4966975831422145E-2</v>
      </c>
      <c r="H85" s="525">
        <f t="shared" si="30"/>
        <v>1518</v>
      </c>
      <c r="I85" s="771">
        <f t="shared" si="22"/>
        <v>1.1624879386E-3</v>
      </c>
      <c r="J85" s="771">
        <f t="shared" si="23"/>
        <v>1.162487939E-4</v>
      </c>
      <c r="K85" s="525">
        <f>+DATA!G81</f>
        <v>5829</v>
      </c>
      <c r="L85" s="525">
        <f>+DATA!H81</f>
        <v>10110</v>
      </c>
      <c r="M85" s="525">
        <f>+DATA!I81</f>
        <v>143815455120</v>
      </c>
      <c r="N85" s="525">
        <f>+DATA!J81</f>
        <v>575699687411</v>
      </c>
      <c r="O85" s="773">
        <f t="shared" si="31"/>
        <v>0.37951262951877851</v>
      </c>
      <c r="P85" s="774" t="str">
        <f t="shared" si="32"/>
        <v>NO</v>
      </c>
      <c r="Q85" s="771">
        <f t="shared" si="24"/>
        <v>6.1551695030000002E-4</v>
      </c>
      <c r="R85" s="771">
        <f t="shared" si="25"/>
        <v>8.8246312300000005E-4</v>
      </c>
      <c r="S85" s="771">
        <f t="shared" si="26"/>
        <v>2.647389369E-4</v>
      </c>
      <c r="T85" s="525">
        <f>+DATA!K81</f>
        <v>0</v>
      </c>
      <c r="U85" s="525">
        <f>+DATA!L81</f>
        <v>0</v>
      </c>
      <c r="V85" s="525">
        <f>+DATA!M81</f>
        <v>2425150</v>
      </c>
      <c r="W85" s="526">
        <f t="shared" si="27"/>
        <v>2425150</v>
      </c>
      <c r="X85" s="526">
        <f t="shared" si="33"/>
        <v>2425150</v>
      </c>
      <c r="Y85" s="526">
        <f t="shared" si="34"/>
        <v>2425150</v>
      </c>
      <c r="Z85" s="525">
        <f>+DATA!F81</f>
        <v>990274.35868633282</v>
      </c>
      <c r="AA85" s="525">
        <f>IF(P85="SI",ROUND(Z85/DIV_Pf,PARAMETROS!$L$8),0)</f>
        <v>0</v>
      </c>
      <c r="AB85" s="526">
        <f t="shared" si="35"/>
        <v>20247</v>
      </c>
      <c r="AC85" s="775">
        <f t="shared" si="36"/>
        <v>119.78</v>
      </c>
      <c r="AD85" s="525">
        <f>IF(AC85&lt;$AC$6,ROUND(($AC$6-AC85)*AB85,PARAMETROS!$L$8),0)</f>
        <v>0</v>
      </c>
      <c r="AE85" s="771">
        <f t="shared" si="28"/>
        <v>0</v>
      </c>
      <c r="AF85" s="771">
        <f t="shared" si="29"/>
        <v>0</v>
      </c>
      <c r="AG85" s="771">
        <f t="shared" si="37"/>
        <v>1.1035310834000001E-3</v>
      </c>
      <c r="AH85" s="525">
        <f>+DATA!Q81</f>
        <v>2362523.798</v>
      </c>
      <c r="AI85" s="525">
        <f>+DATA!R81</f>
        <v>196876.98316666667</v>
      </c>
      <c r="AJ85" s="525">
        <f>+DATA!S81</f>
        <v>155533</v>
      </c>
      <c r="AK85" s="525">
        <f>+'_DATA STT PAGOS_'!G83</f>
        <v>0</v>
      </c>
      <c r="AL85" s="525">
        <f>+'_DATA STT PAGOS_'!J83</f>
        <v>3205999.0470000003</v>
      </c>
      <c r="AM85" s="525">
        <f>+DATA!Y81</f>
        <v>190775</v>
      </c>
      <c r="AN85" s="525">
        <f>+DATA!Z81</f>
        <v>124086</v>
      </c>
      <c r="AO85" s="525">
        <f>+DATA!AA81</f>
        <v>160469</v>
      </c>
      <c r="AP85" s="525">
        <f>+DATA!AB81</f>
        <v>123040</v>
      </c>
      <c r="AQ85" s="525">
        <f>+DATA!AC81</f>
        <v>598370</v>
      </c>
      <c r="AR85" s="525">
        <f>+DATA!AD81</f>
        <v>14806</v>
      </c>
      <c r="AS85" s="525">
        <f>+DATA!AE81</f>
        <v>6991</v>
      </c>
      <c r="AT85" s="525">
        <f>+DATA!AF81</f>
        <v>9939.3989999999994</v>
      </c>
      <c r="AU85" s="525">
        <f>+DATA!AG81</f>
        <v>6906</v>
      </c>
      <c r="AV85" s="525">
        <f>+DATA!AH81</f>
        <v>38642.398999999998</v>
      </c>
    </row>
    <row r="86" spans="1:48" x14ac:dyDescent="0.25">
      <c r="A86" s="527">
        <v>5804</v>
      </c>
      <c r="B86" s="527">
        <v>5303</v>
      </c>
      <c r="C86" s="527" t="s">
        <v>96</v>
      </c>
      <c r="D86" s="771">
        <f t="shared" si="20"/>
        <v>2.8901734103999998E-3</v>
      </c>
      <c r="E86" s="771">
        <f t="shared" si="21"/>
        <v>7.2254335259999995E-4</v>
      </c>
      <c r="F86" s="525">
        <f>+DATA!D82</f>
        <v>147418</v>
      </c>
      <c r="G86" s="772">
        <f>+DATA!E82</f>
        <v>4.4426123224117632E-2</v>
      </c>
      <c r="H86" s="525">
        <f t="shared" si="30"/>
        <v>6549</v>
      </c>
      <c r="I86" s="771">
        <f t="shared" si="22"/>
        <v>5.0152394663999997E-3</v>
      </c>
      <c r="J86" s="771">
        <f t="shared" si="23"/>
        <v>5.0152394660000002E-4</v>
      </c>
      <c r="K86" s="525">
        <f>+DATA!G82</f>
        <v>41888</v>
      </c>
      <c r="L86" s="525">
        <f>+DATA!H82</f>
        <v>54652</v>
      </c>
      <c r="M86" s="525">
        <f>+DATA!I82</f>
        <v>1490263299508</v>
      </c>
      <c r="N86" s="525">
        <f>+DATA!J82</f>
        <v>2594857305791</v>
      </c>
      <c r="O86" s="773">
        <f t="shared" si="31"/>
        <v>0.66346275153340672</v>
      </c>
      <c r="P86" s="774" t="str">
        <f t="shared" si="32"/>
        <v>SI</v>
      </c>
      <c r="Q86" s="771">
        <f t="shared" si="24"/>
        <v>5.8799854603000003E-3</v>
      </c>
      <c r="R86" s="771">
        <f t="shared" si="25"/>
        <v>8.4301014453000006E-3</v>
      </c>
      <c r="S86" s="771">
        <f t="shared" si="26"/>
        <v>2.5290304335999999E-3</v>
      </c>
      <c r="T86" s="525">
        <f>+DATA!K82</f>
        <v>0</v>
      </c>
      <c r="U86" s="525">
        <f>+DATA!L82</f>
        <v>0</v>
      </c>
      <c r="V86" s="525">
        <f>+DATA!M82</f>
        <v>8770518</v>
      </c>
      <c r="W86" s="526">
        <f t="shared" si="27"/>
        <v>8770518</v>
      </c>
      <c r="X86" s="526">
        <f t="shared" si="33"/>
        <v>8770518</v>
      </c>
      <c r="Y86" s="526">
        <f t="shared" si="34"/>
        <v>8770518</v>
      </c>
      <c r="Z86" s="525">
        <f>+DATA!F82</f>
        <v>432786.45262137032</v>
      </c>
      <c r="AA86" s="525">
        <f>IF(P86="SI",ROUND(Z86/DIV_Pf,PARAMETROS!$L$8),0)</f>
        <v>36066</v>
      </c>
      <c r="AB86" s="526">
        <f t="shared" si="35"/>
        <v>183484</v>
      </c>
      <c r="AC86" s="775">
        <f t="shared" si="36"/>
        <v>47.8</v>
      </c>
      <c r="AD86" s="525">
        <f>IF(AC86&lt;$AC$6,ROUND(($AC$6-AC86)*AB86,PARAMETROS!$L$8),0)</f>
        <v>10407212</v>
      </c>
      <c r="AE86" s="771">
        <f t="shared" si="28"/>
        <v>9.9890500473E-3</v>
      </c>
      <c r="AF86" s="771">
        <f t="shared" si="29"/>
        <v>3.4961675165999999E-3</v>
      </c>
      <c r="AG86" s="771">
        <f t="shared" si="37"/>
        <v>7.2492652494000002E-3</v>
      </c>
      <c r="AH86" s="525">
        <f>+DATA!Q82</f>
        <v>14619187.832</v>
      </c>
      <c r="AI86" s="525">
        <f>+DATA!R82</f>
        <v>1218265.6526666668</v>
      </c>
      <c r="AJ86" s="525">
        <f>+DATA!S82</f>
        <v>962430</v>
      </c>
      <c r="AK86" s="525">
        <f>+'_DATA STT PAGOS_'!G84</f>
        <v>0</v>
      </c>
      <c r="AL86" s="525">
        <f>+'_DATA STT PAGOS_'!J84</f>
        <v>19838573.588</v>
      </c>
      <c r="AM86" s="525">
        <f>+DATA!Y82</f>
        <v>317209</v>
      </c>
      <c r="AN86" s="525">
        <f>+DATA!Z82</f>
        <v>203972</v>
      </c>
      <c r="AO86" s="525">
        <f>+DATA!AA82</f>
        <v>253608</v>
      </c>
      <c r="AP86" s="525">
        <f>+DATA!AB82</f>
        <v>203254</v>
      </c>
      <c r="AQ86" s="525">
        <f>+DATA!AC82</f>
        <v>978043</v>
      </c>
      <c r="AR86" s="525">
        <f>+DATA!AD82</f>
        <v>90828</v>
      </c>
      <c r="AS86" s="525">
        <f>+DATA!AE82</f>
        <v>35973</v>
      </c>
      <c r="AT86" s="525">
        <f>+DATA!AF82</f>
        <v>56251.8</v>
      </c>
      <c r="AU86" s="525">
        <f>+DATA!AG82</f>
        <v>37737</v>
      </c>
      <c r="AV86" s="525">
        <f>+DATA!AH82</f>
        <v>220789.8</v>
      </c>
    </row>
    <row r="87" spans="1:48" x14ac:dyDescent="0.25">
      <c r="A87" s="527">
        <v>6101</v>
      </c>
      <c r="B87" s="527">
        <v>6101</v>
      </c>
      <c r="C87" s="527" t="s">
        <v>119</v>
      </c>
      <c r="D87" s="771">
        <f t="shared" si="20"/>
        <v>2.8901734103999998E-3</v>
      </c>
      <c r="E87" s="771">
        <f t="shared" si="21"/>
        <v>7.2254335259999995E-4</v>
      </c>
      <c r="F87" s="525">
        <f>+DATA!D83</f>
        <v>274407</v>
      </c>
      <c r="G87" s="772">
        <f>+DATA!E83</f>
        <v>6.3314789896825791E-2</v>
      </c>
      <c r="H87" s="525">
        <f t="shared" si="30"/>
        <v>17374</v>
      </c>
      <c r="I87" s="771">
        <f t="shared" si="22"/>
        <v>1.3305049700599999E-2</v>
      </c>
      <c r="J87" s="771">
        <f t="shared" si="23"/>
        <v>1.3305049701E-3</v>
      </c>
      <c r="K87" s="525">
        <f>+DATA!G83</f>
        <v>82843</v>
      </c>
      <c r="L87" s="525">
        <f>+DATA!H83</f>
        <v>108296</v>
      </c>
      <c r="M87" s="525">
        <f>+DATA!I83</f>
        <v>3235975499772</v>
      </c>
      <c r="N87" s="525">
        <f>+DATA!J83</f>
        <v>6218618808531</v>
      </c>
      <c r="O87" s="773">
        <f t="shared" si="31"/>
        <v>0.63092443176742175</v>
      </c>
      <c r="P87" s="774" t="str">
        <f t="shared" si="32"/>
        <v>SI</v>
      </c>
      <c r="Q87" s="771">
        <f t="shared" si="24"/>
        <v>1.1606526878500001E-2</v>
      </c>
      <c r="R87" s="771">
        <f t="shared" si="25"/>
        <v>1.6640211047199999E-2</v>
      </c>
      <c r="S87" s="771">
        <f t="shared" si="26"/>
        <v>4.9920633141999999E-3</v>
      </c>
      <c r="T87" s="525">
        <f>+DATA!K83</f>
        <v>0</v>
      </c>
      <c r="U87" s="525">
        <f>+DATA!L83</f>
        <v>0</v>
      </c>
      <c r="V87" s="525">
        <f>+DATA!M83</f>
        <v>28899132</v>
      </c>
      <c r="W87" s="526">
        <f t="shared" si="27"/>
        <v>28899132</v>
      </c>
      <c r="X87" s="526">
        <f t="shared" si="33"/>
        <v>28899132</v>
      </c>
      <c r="Y87" s="526">
        <f t="shared" si="34"/>
        <v>28899132</v>
      </c>
      <c r="Z87" s="525">
        <f>+DATA!F83</f>
        <v>1508684.2760636574</v>
      </c>
      <c r="AA87" s="525">
        <f>IF(P87="SI",ROUND(Z87/DIV_Pf,PARAMETROS!$L$8),0)</f>
        <v>125724</v>
      </c>
      <c r="AB87" s="526">
        <f t="shared" si="35"/>
        <v>400131</v>
      </c>
      <c r="AC87" s="775">
        <f t="shared" si="36"/>
        <v>72.22</v>
      </c>
      <c r="AD87" s="525">
        <f>IF(AC87&lt;$AC$6,ROUND(($AC$6-AC87)*AB87,PARAMETROS!$L$8),0)</f>
        <v>12924231</v>
      </c>
      <c r="AE87" s="771">
        <f t="shared" si="28"/>
        <v>1.2404935181699999E-2</v>
      </c>
      <c r="AF87" s="771">
        <f t="shared" si="29"/>
        <v>4.3417273136000002E-3</v>
      </c>
      <c r="AG87" s="771">
        <f t="shared" si="37"/>
        <v>1.13868389505E-2</v>
      </c>
      <c r="AH87" s="525">
        <f>+DATA!Q83</f>
        <v>20215962.734000001</v>
      </c>
      <c r="AI87" s="525">
        <f>+DATA!R83</f>
        <v>1684663.5611666667</v>
      </c>
      <c r="AJ87" s="525">
        <f>+DATA!S83</f>
        <v>1330884</v>
      </c>
      <c r="AK87" s="525">
        <f>+'_DATA STT PAGOS_'!G85</f>
        <v>0</v>
      </c>
      <c r="AL87" s="525">
        <f>+'_DATA STT PAGOS_'!J85</f>
        <v>27443923.140000001</v>
      </c>
      <c r="AM87" s="525">
        <f>+DATA!Y83</f>
        <v>1421995</v>
      </c>
      <c r="AN87" s="525">
        <f>+DATA!Z83</f>
        <v>1120368</v>
      </c>
      <c r="AO87" s="525">
        <f>+DATA!AA83</f>
        <v>1237778</v>
      </c>
      <c r="AP87" s="525">
        <f>+DATA!AB83</f>
        <v>1061889</v>
      </c>
      <c r="AQ87" s="525">
        <f>+DATA!AC83</f>
        <v>4842030</v>
      </c>
      <c r="AR87" s="525">
        <f>+DATA!AD83</f>
        <v>122933</v>
      </c>
      <c r="AS87" s="525">
        <f>+DATA!AE83</f>
        <v>57370</v>
      </c>
      <c r="AT87" s="525">
        <f>+DATA!AF83</f>
        <v>80433.432000000001</v>
      </c>
      <c r="AU87" s="525">
        <f>+DATA!AG83</f>
        <v>54861</v>
      </c>
      <c r="AV87" s="525">
        <f>+DATA!AH83</f>
        <v>315597.43200000003</v>
      </c>
    </row>
    <row r="88" spans="1:48" x14ac:dyDescent="0.25">
      <c r="A88" s="527">
        <v>6102</v>
      </c>
      <c r="B88" s="527">
        <v>6107</v>
      </c>
      <c r="C88" s="527" t="s">
        <v>124</v>
      </c>
      <c r="D88" s="771">
        <f t="shared" si="20"/>
        <v>2.8901734103999998E-3</v>
      </c>
      <c r="E88" s="771">
        <f t="shared" si="21"/>
        <v>7.2254335259999995E-4</v>
      </c>
      <c r="F88" s="525">
        <f>+DATA!D84</f>
        <v>14627</v>
      </c>
      <c r="G88" s="772">
        <f>+DATA!E84</f>
        <v>5.5485426125954709E-2</v>
      </c>
      <c r="H88" s="525">
        <f t="shared" si="30"/>
        <v>812</v>
      </c>
      <c r="I88" s="771">
        <f t="shared" si="22"/>
        <v>6.2183149289999999E-4</v>
      </c>
      <c r="J88" s="771">
        <f t="shared" si="23"/>
        <v>6.21831493E-5</v>
      </c>
      <c r="K88" s="525">
        <f>+DATA!G84</f>
        <v>3563</v>
      </c>
      <c r="L88" s="525">
        <f>+DATA!H84</f>
        <v>5183</v>
      </c>
      <c r="M88" s="525">
        <f>+DATA!I84</f>
        <v>64510962848</v>
      </c>
      <c r="N88" s="525">
        <f>+DATA!J84</f>
        <v>294404738167</v>
      </c>
      <c r="O88" s="773">
        <f t="shared" si="31"/>
        <v>0.38811611106066118</v>
      </c>
      <c r="P88" s="774" t="str">
        <f t="shared" si="32"/>
        <v>NO</v>
      </c>
      <c r="Q88" s="771">
        <f t="shared" si="24"/>
        <v>4.4859403860000001E-4</v>
      </c>
      <c r="R88" s="771">
        <f t="shared" si="25"/>
        <v>6.4314670139999997E-4</v>
      </c>
      <c r="S88" s="771">
        <f t="shared" si="26"/>
        <v>1.9294401039999999E-4</v>
      </c>
      <c r="T88" s="525">
        <f>+DATA!K84</f>
        <v>0</v>
      </c>
      <c r="U88" s="525">
        <f>+DATA!L84</f>
        <v>0</v>
      </c>
      <c r="V88" s="525">
        <f>+DATA!M84</f>
        <v>1461512</v>
      </c>
      <c r="W88" s="526">
        <f t="shared" si="27"/>
        <v>1461512</v>
      </c>
      <c r="X88" s="526">
        <f t="shared" si="33"/>
        <v>1461512</v>
      </c>
      <c r="Y88" s="526">
        <f t="shared" si="34"/>
        <v>1461512</v>
      </c>
      <c r="Z88" s="525">
        <f>+DATA!F84</f>
        <v>107107.93835446837</v>
      </c>
      <c r="AA88" s="525">
        <f>IF(P88="SI",ROUND(Z88/DIV_Pf,PARAMETROS!$L$8),0)</f>
        <v>0</v>
      </c>
      <c r="AB88" s="526">
        <f t="shared" si="35"/>
        <v>14627</v>
      </c>
      <c r="AC88" s="775">
        <f t="shared" si="36"/>
        <v>99.92</v>
      </c>
      <c r="AD88" s="525">
        <f>IF(AC88&lt;$AC$6,ROUND(($AC$6-AC88)*AB88,PARAMETROS!$L$8),0)</f>
        <v>67284</v>
      </c>
      <c r="AE88" s="771">
        <f t="shared" si="28"/>
        <v>6.4580527800000003E-5</v>
      </c>
      <c r="AF88" s="771">
        <f t="shared" si="29"/>
        <v>2.2603184700000002E-5</v>
      </c>
      <c r="AG88" s="771">
        <f t="shared" si="37"/>
        <v>1.0002736970000001E-3</v>
      </c>
      <c r="AH88" s="525">
        <f>+DATA!Q84</f>
        <v>2110206.6540000001</v>
      </c>
      <c r="AI88" s="525">
        <f>+DATA!R84</f>
        <v>175850.5545</v>
      </c>
      <c r="AJ88" s="525">
        <f>+DATA!S84</f>
        <v>138922</v>
      </c>
      <c r="AK88" s="525">
        <f>+'_DATA STT PAGOS_'!G86</f>
        <v>0</v>
      </c>
      <c r="AL88" s="525">
        <f>+'_DATA STT PAGOS_'!J86</f>
        <v>2863598.8829999999</v>
      </c>
      <c r="AM88" s="525">
        <f>+DATA!Y84</f>
        <v>82756</v>
      </c>
      <c r="AN88" s="525">
        <f>+DATA!Z84</f>
        <v>53020</v>
      </c>
      <c r="AO88" s="525">
        <f>+DATA!AA84</f>
        <v>59905</v>
      </c>
      <c r="AP88" s="525">
        <f>+DATA!AB84</f>
        <v>63935</v>
      </c>
      <c r="AQ88" s="525">
        <f>+DATA!AC84</f>
        <v>259616</v>
      </c>
      <c r="AR88" s="525">
        <f>+DATA!AD84</f>
        <v>834</v>
      </c>
      <c r="AS88" s="525">
        <f>+DATA!AE84</f>
        <v>526</v>
      </c>
      <c r="AT88" s="525">
        <f>+DATA!AF84</f>
        <v>427.79700000000003</v>
      </c>
      <c r="AU88" s="525">
        <f>+DATA!AG84</f>
        <v>382</v>
      </c>
      <c r="AV88" s="525">
        <f>+DATA!AH84</f>
        <v>2169.797</v>
      </c>
    </row>
    <row r="89" spans="1:48" x14ac:dyDescent="0.25">
      <c r="A89" s="527">
        <v>6103</v>
      </c>
      <c r="B89" s="527">
        <v>6116</v>
      </c>
      <c r="C89" s="527" t="s">
        <v>131</v>
      </c>
      <c r="D89" s="771">
        <f t="shared" si="20"/>
        <v>2.8901734103999998E-3</v>
      </c>
      <c r="E89" s="771">
        <f t="shared" si="21"/>
        <v>7.2254335259999995E-4</v>
      </c>
      <c r="F89" s="525">
        <f>+DATA!D85</f>
        <v>8024</v>
      </c>
      <c r="G89" s="772">
        <f>+DATA!E85</f>
        <v>9.8218825694775219E-2</v>
      </c>
      <c r="H89" s="525">
        <f t="shared" si="30"/>
        <v>788</v>
      </c>
      <c r="I89" s="771">
        <f t="shared" si="22"/>
        <v>6.0345223690000003E-4</v>
      </c>
      <c r="J89" s="771">
        <f t="shared" si="23"/>
        <v>6.0345223699999997E-5</v>
      </c>
      <c r="K89" s="525">
        <f>+DATA!G85</f>
        <v>3179</v>
      </c>
      <c r="L89" s="525">
        <f>+DATA!H85</f>
        <v>4369</v>
      </c>
      <c r="M89" s="525">
        <f>+DATA!I85</f>
        <v>55648148158</v>
      </c>
      <c r="N89" s="525">
        <f>+DATA!J85</f>
        <v>130568642870</v>
      </c>
      <c r="O89" s="773">
        <f t="shared" si="31"/>
        <v>0.55687812034029571</v>
      </c>
      <c r="P89" s="774" t="str">
        <f t="shared" si="32"/>
        <v>SI</v>
      </c>
      <c r="Q89" s="771">
        <f t="shared" si="24"/>
        <v>4.2364498840000001E-4</v>
      </c>
      <c r="R89" s="771">
        <f t="shared" si="25"/>
        <v>6.073773912E-4</v>
      </c>
      <c r="S89" s="771">
        <f t="shared" si="26"/>
        <v>1.8221321739999999E-4</v>
      </c>
      <c r="T89" s="525">
        <f>+DATA!K85</f>
        <v>0</v>
      </c>
      <c r="U89" s="525">
        <f>+DATA!L85</f>
        <v>0</v>
      </c>
      <c r="V89" s="525">
        <f>+DATA!M85</f>
        <v>769599</v>
      </c>
      <c r="W89" s="526">
        <f t="shared" si="27"/>
        <v>769599</v>
      </c>
      <c r="X89" s="526">
        <f t="shared" si="33"/>
        <v>769599</v>
      </c>
      <c r="Y89" s="526">
        <f t="shared" si="34"/>
        <v>769599</v>
      </c>
      <c r="Z89" s="525">
        <f>+DATA!F85</f>
        <v>55765.678731737877</v>
      </c>
      <c r="AA89" s="525">
        <f>IF(P89="SI",ROUND(Z89/DIV_Pf,PARAMETROS!$L$8),0)</f>
        <v>4647</v>
      </c>
      <c r="AB89" s="526">
        <f t="shared" si="35"/>
        <v>12671</v>
      </c>
      <c r="AC89" s="775">
        <f t="shared" si="36"/>
        <v>60.74</v>
      </c>
      <c r="AD89" s="525">
        <f>IF(AC89&lt;$AC$6,ROUND(($AC$6-AC89)*AB89,PARAMETROS!$L$8),0)</f>
        <v>554736</v>
      </c>
      <c r="AE89" s="771">
        <f t="shared" si="28"/>
        <v>5.3244669819999999E-4</v>
      </c>
      <c r="AF89" s="771">
        <f t="shared" si="29"/>
        <v>1.8635634439999999E-4</v>
      </c>
      <c r="AG89" s="771">
        <f t="shared" si="37"/>
        <v>1.1514581380999999E-3</v>
      </c>
      <c r="AH89" s="525">
        <f>+DATA!Q85</f>
        <v>2139955.301</v>
      </c>
      <c r="AI89" s="525">
        <f>+DATA!R85</f>
        <v>178329.60841666666</v>
      </c>
      <c r="AJ89" s="525">
        <f>+DATA!S85</f>
        <v>140880</v>
      </c>
      <c r="AK89" s="525">
        <f>+'_DATA STT PAGOS_'!G87</f>
        <v>0</v>
      </c>
      <c r="AL89" s="525">
        <f>+'_DATA STT PAGOS_'!J87</f>
        <v>2904019.5079999999</v>
      </c>
      <c r="AM89" s="525">
        <f>+DATA!Y85</f>
        <v>21315</v>
      </c>
      <c r="AN89" s="525">
        <f>+DATA!Z85</f>
        <v>8829</v>
      </c>
      <c r="AO89" s="525">
        <f>+DATA!AA85</f>
        <v>14156</v>
      </c>
      <c r="AP89" s="525">
        <f>+DATA!AB85</f>
        <v>12324</v>
      </c>
      <c r="AQ89" s="525">
        <f>+DATA!AC85</f>
        <v>56624</v>
      </c>
      <c r="AR89" s="525">
        <f>+DATA!AD85</f>
        <v>504</v>
      </c>
      <c r="AS89" s="525">
        <f>+DATA!AE85</f>
        <v>165</v>
      </c>
      <c r="AT89" s="525">
        <f>+DATA!AF85</f>
        <v>257.95</v>
      </c>
      <c r="AU89" s="525">
        <f>+DATA!AG85</f>
        <v>178</v>
      </c>
      <c r="AV89" s="525">
        <f>+DATA!AH85</f>
        <v>1104.95</v>
      </c>
    </row>
    <row r="90" spans="1:48" x14ac:dyDescent="0.25">
      <c r="A90" s="527">
        <v>6104</v>
      </c>
      <c r="B90" s="527">
        <v>6106</v>
      </c>
      <c r="C90" s="527" t="s">
        <v>123</v>
      </c>
      <c r="D90" s="771">
        <f t="shared" si="20"/>
        <v>2.8901734103999998E-3</v>
      </c>
      <c r="E90" s="771">
        <f t="shared" si="21"/>
        <v>7.2254335259999995E-4</v>
      </c>
      <c r="F90" s="525">
        <f>+DATA!D86</f>
        <v>22143</v>
      </c>
      <c r="G90" s="772">
        <f>+DATA!E86</f>
        <v>0.1002123568807099</v>
      </c>
      <c r="H90" s="525">
        <f t="shared" si="30"/>
        <v>2219</v>
      </c>
      <c r="I90" s="771">
        <f t="shared" si="22"/>
        <v>1.6993153727000001E-3</v>
      </c>
      <c r="J90" s="771">
        <f t="shared" si="23"/>
        <v>1.6993153729999999E-4</v>
      </c>
      <c r="K90" s="525">
        <f>+DATA!G86</f>
        <v>8234</v>
      </c>
      <c r="L90" s="525">
        <f>+DATA!H86</f>
        <v>9925</v>
      </c>
      <c r="M90" s="525">
        <f>+DATA!I86</f>
        <v>148056292973</v>
      </c>
      <c r="N90" s="525">
        <f>+DATA!J86</f>
        <v>306639738527</v>
      </c>
      <c r="O90" s="773">
        <f t="shared" si="31"/>
        <v>0.63290626010176532</v>
      </c>
      <c r="P90" s="774" t="str">
        <f t="shared" si="32"/>
        <v>SI</v>
      </c>
      <c r="Q90" s="771">
        <f t="shared" si="24"/>
        <v>1.2511064757000001E-3</v>
      </c>
      <c r="R90" s="771">
        <f t="shared" si="25"/>
        <v>1.7937041818000001E-3</v>
      </c>
      <c r="S90" s="771">
        <f t="shared" si="26"/>
        <v>5.3811125450000004E-4</v>
      </c>
      <c r="T90" s="525">
        <f>+DATA!K86</f>
        <v>0</v>
      </c>
      <c r="U90" s="525">
        <f>+DATA!L86</f>
        <v>0</v>
      </c>
      <c r="V90" s="525">
        <f>+DATA!M86</f>
        <v>1294862</v>
      </c>
      <c r="W90" s="526">
        <f t="shared" si="27"/>
        <v>1294862</v>
      </c>
      <c r="X90" s="526">
        <f t="shared" si="33"/>
        <v>1294862</v>
      </c>
      <c r="Y90" s="526">
        <f t="shared" si="34"/>
        <v>1294862</v>
      </c>
      <c r="Z90" s="525">
        <f>+DATA!F86</f>
        <v>133067.1266790815</v>
      </c>
      <c r="AA90" s="525">
        <f>IF(P90="SI",ROUND(Z90/DIV_Pf,PARAMETROS!$L$8),0)</f>
        <v>11089</v>
      </c>
      <c r="AB90" s="526">
        <f t="shared" si="35"/>
        <v>33232</v>
      </c>
      <c r="AC90" s="775">
        <f t="shared" si="36"/>
        <v>38.96</v>
      </c>
      <c r="AD90" s="525">
        <f>IF(AC90&lt;$AC$6,ROUND(($AC$6-AC90)*AB90,PARAMETROS!$L$8),0)</f>
        <v>2178690</v>
      </c>
      <c r="AE90" s="771">
        <f t="shared" si="28"/>
        <v>2.0911501993000001E-3</v>
      </c>
      <c r="AF90" s="771">
        <f t="shared" si="29"/>
        <v>7.3190256980000003E-4</v>
      </c>
      <c r="AG90" s="771">
        <f t="shared" si="37"/>
        <v>2.1624887142000001E-3</v>
      </c>
      <c r="AH90" s="525">
        <f>+DATA!Q86</f>
        <v>3970631.861</v>
      </c>
      <c r="AI90" s="525">
        <f>+DATA!R86</f>
        <v>330885.98841666669</v>
      </c>
      <c r="AJ90" s="525">
        <f>+DATA!S86</f>
        <v>261400</v>
      </c>
      <c r="AK90" s="525">
        <f>+'_DATA STT PAGOS_'!G88</f>
        <v>0</v>
      </c>
      <c r="AL90" s="525">
        <f>+'_DATA STT PAGOS_'!J88</f>
        <v>5390967.7390000001</v>
      </c>
      <c r="AM90" s="525">
        <f>+DATA!Y86</f>
        <v>38532</v>
      </c>
      <c r="AN90" s="525">
        <f>+DATA!Z86</f>
        <v>24338</v>
      </c>
      <c r="AO90" s="525">
        <f>+DATA!AA86</f>
        <v>28251</v>
      </c>
      <c r="AP90" s="525">
        <f>+DATA!AB86</f>
        <v>23337</v>
      </c>
      <c r="AQ90" s="525">
        <f>+DATA!AC86</f>
        <v>114458</v>
      </c>
      <c r="AR90" s="525">
        <f>+DATA!AD86</f>
        <v>753</v>
      </c>
      <c r="AS90" s="525">
        <f>+DATA!AE86</f>
        <v>363</v>
      </c>
      <c r="AT90" s="525">
        <f>+DATA!AF86</f>
        <v>450.29500000000002</v>
      </c>
      <c r="AU90" s="525">
        <f>+DATA!AG86</f>
        <v>528</v>
      </c>
      <c r="AV90" s="525">
        <f>+DATA!AH86</f>
        <v>2094.2950000000001</v>
      </c>
    </row>
    <row r="91" spans="1:48" x14ac:dyDescent="0.25">
      <c r="A91" s="527">
        <v>6105</v>
      </c>
      <c r="B91" s="527">
        <v>6105</v>
      </c>
      <c r="C91" s="527" t="s">
        <v>122</v>
      </c>
      <c r="D91" s="771">
        <f t="shared" si="20"/>
        <v>2.8901734103999998E-3</v>
      </c>
      <c r="E91" s="771">
        <f t="shared" si="21"/>
        <v>7.2254335259999995E-4</v>
      </c>
      <c r="F91" s="525">
        <f>+DATA!D87</f>
        <v>23647</v>
      </c>
      <c r="G91" s="772">
        <f>+DATA!E87</f>
        <v>9.0615467517776771E-2</v>
      </c>
      <c r="H91" s="525">
        <f t="shared" si="30"/>
        <v>2143</v>
      </c>
      <c r="I91" s="771">
        <f t="shared" si="22"/>
        <v>1.6411143956E-3</v>
      </c>
      <c r="J91" s="771">
        <f t="shared" si="23"/>
        <v>1.641114396E-4</v>
      </c>
      <c r="K91" s="525">
        <f>+DATA!G87</f>
        <v>7158</v>
      </c>
      <c r="L91" s="525">
        <f>+DATA!H87</f>
        <v>8804</v>
      </c>
      <c r="M91" s="525">
        <f>+DATA!I87</f>
        <v>139951965547</v>
      </c>
      <c r="N91" s="525">
        <f>+DATA!J87</f>
        <v>322174063551</v>
      </c>
      <c r="O91" s="773">
        <f t="shared" si="31"/>
        <v>0.5942922185469427</v>
      </c>
      <c r="P91" s="774" t="str">
        <f t="shared" si="32"/>
        <v>SI</v>
      </c>
      <c r="Q91" s="771">
        <f t="shared" si="24"/>
        <v>1.0658753444E-3</v>
      </c>
      <c r="R91" s="771">
        <f t="shared" si="25"/>
        <v>1.5281393708000001E-3</v>
      </c>
      <c r="S91" s="771">
        <f t="shared" si="26"/>
        <v>4.5844181119999999E-4</v>
      </c>
      <c r="T91" s="525">
        <f>+DATA!K87</f>
        <v>0</v>
      </c>
      <c r="U91" s="525">
        <f>+DATA!L87</f>
        <v>0</v>
      </c>
      <c r="V91" s="525">
        <f>+DATA!M87</f>
        <v>2035246</v>
      </c>
      <c r="W91" s="526">
        <f t="shared" si="27"/>
        <v>2035246</v>
      </c>
      <c r="X91" s="526">
        <f t="shared" si="33"/>
        <v>2035246</v>
      </c>
      <c r="Y91" s="526">
        <f t="shared" si="34"/>
        <v>2035246</v>
      </c>
      <c r="Z91" s="525">
        <f>+DATA!F87</f>
        <v>148532.76299235938</v>
      </c>
      <c r="AA91" s="525">
        <f>IF(P91="SI",ROUND(Z91/DIV_Pf,PARAMETROS!$L$8),0)</f>
        <v>12378</v>
      </c>
      <c r="AB91" s="526">
        <f t="shared" si="35"/>
        <v>36025</v>
      </c>
      <c r="AC91" s="775">
        <f t="shared" si="36"/>
        <v>56.5</v>
      </c>
      <c r="AD91" s="525">
        <f>IF(AC91&lt;$AC$6,ROUND(($AC$6-AC91)*AB91,PARAMETROS!$L$8),0)</f>
        <v>1729921</v>
      </c>
      <c r="AE91" s="771">
        <f t="shared" si="28"/>
        <v>1.6604127452E-3</v>
      </c>
      <c r="AF91" s="771">
        <f t="shared" si="29"/>
        <v>5.8114446079999996E-4</v>
      </c>
      <c r="AG91" s="771">
        <f t="shared" si="37"/>
        <v>1.9262410641999999E-3</v>
      </c>
      <c r="AH91" s="525">
        <f>+DATA!Q87</f>
        <v>3385011.3689999999</v>
      </c>
      <c r="AI91" s="525">
        <f>+DATA!R87</f>
        <v>282084.28074999998</v>
      </c>
      <c r="AJ91" s="525">
        <f>+DATA!S87</f>
        <v>222847</v>
      </c>
      <c r="AK91" s="525">
        <f>+'_DATA STT PAGOS_'!G89</f>
        <v>0</v>
      </c>
      <c r="AL91" s="525">
        <f>+'_DATA STT PAGOS_'!J89</f>
        <v>4597074.193</v>
      </c>
      <c r="AM91" s="525">
        <f>+DATA!Y87</f>
        <v>74902</v>
      </c>
      <c r="AN91" s="525">
        <f>+DATA!Z87</f>
        <v>67793</v>
      </c>
      <c r="AO91" s="525">
        <f>+DATA!AA87</f>
        <v>74918</v>
      </c>
      <c r="AP91" s="525">
        <f>+DATA!AB87</f>
        <v>62772</v>
      </c>
      <c r="AQ91" s="525">
        <f>+DATA!AC87</f>
        <v>280385</v>
      </c>
      <c r="AR91" s="525">
        <f>+DATA!AD87</f>
        <v>2816</v>
      </c>
      <c r="AS91" s="525">
        <f>+DATA!AE87</f>
        <v>2384</v>
      </c>
      <c r="AT91" s="525">
        <f>+DATA!AF87</f>
        <v>2391.877</v>
      </c>
      <c r="AU91" s="525">
        <f>+DATA!AG87</f>
        <v>1298</v>
      </c>
      <c r="AV91" s="525">
        <f>+DATA!AH87</f>
        <v>8889.8770000000004</v>
      </c>
    </row>
    <row r="92" spans="1:48" x14ac:dyDescent="0.25">
      <c r="A92" s="527">
        <v>6106</v>
      </c>
      <c r="B92" s="527">
        <v>6103</v>
      </c>
      <c r="C92" s="527" t="s">
        <v>120</v>
      </c>
      <c r="D92" s="771">
        <f t="shared" si="20"/>
        <v>2.8901734103999998E-3</v>
      </c>
      <c r="E92" s="771">
        <f t="shared" si="21"/>
        <v>7.2254335259999995E-4</v>
      </c>
      <c r="F92" s="525">
        <f>+DATA!D88</f>
        <v>38185</v>
      </c>
      <c r="G92" s="772">
        <f>+DATA!E88</f>
        <v>5.272534982380029E-2</v>
      </c>
      <c r="H92" s="525">
        <f t="shared" si="30"/>
        <v>2013</v>
      </c>
      <c r="I92" s="771">
        <f t="shared" si="22"/>
        <v>1.5415600925E-3</v>
      </c>
      <c r="J92" s="771">
        <f t="shared" si="23"/>
        <v>1.541560093E-4</v>
      </c>
      <c r="K92" s="525">
        <f>+DATA!G88</f>
        <v>10223</v>
      </c>
      <c r="L92" s="525">
        <f>+DATA!H88</f>
        <v>12618</v>
      </c>
      <c r="M92" s="525">
        <f>+DATA!I88</f>
        <v>262357990589</v>
      </c>
      <c r="N92" s="525">
        <f>+DATA!J88</f>
        <v>582588935242</v>
      </c>
      <c r="O92" s="773">
        <f t="shared" si="31"/>
        <v>0.60403200530414081</v>
      </c>
      <c r="P92" s="774" t="str">
        <f t="shared" si="32"/>
        <v>SI</v>
      </c>
      <c r="Q92" s="771">
        <f t="shared" si="24"/>
        <v>1.5169429943999999E-3</v>
      </c>
      <c r="R92" s="771">
        <f t="shared" si="25"/>
        <v>2.1748324747E-3</v>
      </c>
      <c r="S92" s="771">
        <f t="shared" si="26"/>
        <v>6.5244974240000002E-4</v>
      </c>
      <c r="T92" s="525">
        <f>+DATA!K88</f>
        <v>0</v>
      </c>
      <c r="U92" s="525">
        <f>+DATA!L88</f>
        <v>0</v>
      </c>
      <c r="V92" s="525">
        <f>+DATA!M88</f>
        <v>2254649</v>
      </c>
      <c r="W92" s="526">
        <f t="shared" si="27"/>
        <v>2254649</v>
      </c>
      <c r="X92" s="526">
        <f t="shared" si="33"/>
        <v>2254649</v>
      </c>
      <c r="Y92" s="526">
        <f t="shared" si="34"/>
        <v>2254649</v>
      </c>
      <c r="Z92" s="525">
        <f>+DATA!F88</f>
        <v>168107.51816083808</v>
      </c>
      <c r="AA92" s="525">
        <f>IF(P92="SI",ROUND(Z92/DIV_Pf,PARAMETROS!$L$8),0)</f>
        <v>14009</v>
      </c>
      <c r="AB92" s="526">
        <f t="shared" si="35"/>
        <v>52194</v>
      </c>
      <c r="AC92" s="775">
        <f t="shared" si="36"/>
        <v>43.2</v>
      </c>
      <c r="AD92" s="525">
        <f>IF(AC92&lt;$AC$6,ROUND(($AC$6-AC92)*AB92,PARAMETROS!$L$8),0)</f>
        <v>3200536</v>
      </c>
      <c r="AE92" s="771">
        <f t="shared" si="28"/>
        <v>3.0719384098000001E-3</v>
      </c>
      <c r="AF92" s="771">
        <f t="shared" si="29"/>
        <v>1.0751784434000001E-3</v>
      </c>
      <c r="AG92" s="771">
        <f t="shared" si="37"/>
        <v>2.6043275477E-3</v>
      </c>
      <c r="AH92" s="525">
        <f>+DATA!Q88</f>
        <v>4580929.4780000001</v>
      </c>
      <c r="AI92" s="525">
        <f>+DATA!R88</f>
        <v>381744.12316666666</v>
      </c>
      <c r="AJ92" s="525">
        <f>+DATA!S88</f>
        <v>301578</v>
      </c>
      <c r="AK92" s="525">
        <f>+'_DATA STT PAGOS_'!G90</f>
        <v>0</v>
      </c>
      <c r="AL92" s="525">
        <f>+'_DATA STT PAGOS_'!J90</f>
        <v>6213573.0130000003</v>
      </c>
      <c r="AM92" s="525">
        <f>+DATA!Y88</f>
        <v>134205</v>
      </c>
      <c r="AN92" s="525">
        <f>+DATA!Z88</f>
        <v>79537</v>
      </c>
      <c r="AO92" s="525">
        <f>+DATA!AA88</f>
        <v>88937</v>
      </c>
      <c r="AP92" s="525">
        <f>+DATA!AB88</f>
        <v>93543</v>
      </c>
      <c r="AQ92" s="525">
        <f>+DATA!AC88</f>
        <v>396222</v>
      </c>
      <c r="AR92" s="525">
        <f>+DATA!AD88</f>
        <v>0</v>
      </c>
      <c r="AS92" s="525">
        <f>+DATA!AE88</f>
        <v>0</v>
      </c>
      <c r="AT92" s="525">
        <f>+DATA!AF88</f>
        <v>0</v>
      </c>
      <c r="AU92" s="525">
        <f>+DATA!AG88</f>
        <v>0</v>
      </c>
      <c r="AV92" s="525">
        <f>+DATA!AH88</f>
        <v>0</v>
      </c>
    </row>
    <row r="93" spans="1:48" x14ac:dyDescent="0.25">
      <c r="A93" s="527">
        <v>6107</v>
      </c>
      <c r="B93" s="527">
        <v>6109</v>
      </c>
      <c r="C93" s="527" t="s">
        <v>126</v>
      </c>
      <c r="D93" s="771">
        <f t="shared" si="20"/>
        <v>2.8901734103999998E-3</v>
      </c>
      <c r="E93" s="771">
        <f t="shared" si="21"/>
        <v>7.2254335259999995E-4</v>
      </c>
      <c r="F93" s="525">
        <f>+DATA!D89</f>
        <v>27749</v>
      </c>
      <c r="G93" s="772">
        <f>+DATA!E89</f>
        <v>7.577006188229371E-2</v>
      </c>
      <c r="H93" s="525">
        <f t="shared" si="30"/>
        <v>2103</v>
      </c>
      <c r="I93" s="771">
        <f t="shared" si="22"/>
        <v>1.6104823023E-3</v>
      </c>
      <c r="J93" s="771">
        <f t="shared" si="23"/>
        <v>1.6104823019999999E-4</v>
      </c>
      <c r="K93" s="525">
        <f>+DATA!G89</f>
        <v>9063</v>
      </c>
      <c r="L93" s="525">
        <f>+DATA!H89</f>
        <v>15359</v>
      </c>
      <c r="M93" s="525">
        <f>+DATA!I89</f>
        <v>222584997865</v>
      </c>
      <c r="N93" s="525">
        <f>+DATA!J89</f>
        <v>977089483289</v>
      </c>
      <c r="O93" s="773">
        <f t="shared" si="31"/>
        <v>0.36663615965524038</v>
      </c>
      <c r="P93" s="774" t="str">
        <f t="shared" si="32"/>
        <v>NO</v>
      </c>
      <c r="Q93" s="771">
        <f t="shared" si="24"/>
        <v>9.7945408460000001E-4</v>
      </c>
      <c r="R93" s="771">
        <f t="shared" si="25"/>
        <v>1.404237706E-3</v>
      </c>
      <c r="S93" s="771">
        <f t="shared" si="26"/>
        <v>4.2127131180000002E-4</v>
      </c>
      <c r="T93" s="525">
        <f>+DATA!K89</f>
        <v>0</v>
      </c>
      <c r="U93" s="525">
        <f>+DATA!L89</f>
        <v>0</v>
      </c>
      <c r="V93" s="525">
        <f>+DATA!M89</f>
        <v>5441723</v>
      </c>
      <c r="W93" s="526">
        <f t="shared" si="27"/>
        <v>5441723</v>
      </c>
      <c r="X93" s="526">
        <f t="shared" si="33"/>
        <v>5441723</v>
      </c>
      <c r="Y93" s="526">
        <f t="shared" si="34"/>
        <v>5441723</v>
      </c>
      <c r="Z93" s="525">
        <f>+DATA!F89</f>
        <v>989049.14620708441</v>
      </c>
      <c r="AA93" s="525">
        <f>IF(P93="SI",ROUND(Z93/DIV_Pf,PARAMETROS!$L$8),0)</f>
        <v>0</v>
      </c>
      <c r="AB93" s="526">
        <f t="shared" si="35"/>
        <v>27749</v>
      </c>
      <c r="AC93" s="775">
        <f t="shared" si="36"/>
        <v>196.11</v>
      </c>
      <c r="AD93" s="525">
        <f>IF(AC93&lt;$AC$6,ROUND(($AC$6-AC93)*AB93,PARAMETROS!$L$8),0)</f>
        <v>0</v>
      </c>
      <c r="AE93" s="771">
        <f t="shared" si="28"/>
        <v>0</v>
      </c>
      <c r="AF93" s="771">
        <f t="shared" si="29"/>
        <v>0</v>
      </c>
      <c r="AG93" s="771">
        <f t="shared" si="37"/>
        <v>1.3048628945999999E-3</v>
      </c>
      <c r="AH93" s="525">
        <f>+DATA!Q89</f>
        <v>2437841.4029999999</v>
      </c>
      <c r="AI93" s="525">
        <f>+DATA!R89</f>
        <v>203153.45024999999</v>
      </c>
      <c r="AJ93" s="525">
        <f>+DATA!S89</f>
        <v>160491</v>
      </c>
      <c r="AK93" s="525">
        <f>+'_DATA STT PAGOS_'!G91</f>
        <v>0</v>
      </c>
      <c r="AL93" s="525">
        <f>+'_DATA STT PAGOS_'!J91</f>
        <v>3309113.3889999995</v>
      </c>
      <c r="AM93" s="525">
        <f>+DATA!Y89</f>
        <v>242457</v>
      </c>
      <c r="AN93" s="525">
        <f>+DATA!Z89</f>
        <v>173282</v>
      </c>
      <c r="AO93" s="525">
        <f>+DATA!AA89</f>
        <v>190847</v>
      </c>
      <c r="AP93" s="525">
        <f>+DATA!AB89</f>
        <v>159127</v>
      </c>
      <c r="AQ93" s="525">
        <f>+DATA!AC89</f>
        <v>765713</v>
      </c>
      <c r="AR93" s="525">
        <f>+DATA!AD89</f>
        <v>23784</v>
      </c>
      <c r="AS93" s="525">
        <f>+DATA!AE89</f>
        <v>12946</v>
      </c>
      <c r="AT93" s="525">
        <f>+DATA!AF89</f>
        <v>16405.169000000002</v>
      </c>
      <c r="AU93" s="525">
        <f>+DATA!AG89</f>
        <v>11833</v>
      </c>
      <c r="AV93" s="525">
        <f>+DATA!AH89</f>
        <v>64968.169000000002</v>
      </c>
    </row>
    <row r="94" spans="1:48" x14ac:dyDescent="0.25">
      <c r="A94" s="527">
        <v>6108</v>
      </c>
      <c r="B94" s="527">
        <v>6102</v>
      </c>
      <c r="C94" s="527" t="s">
        <v>385</v>
      </c>
      <c r="D94" s="771">
        <f t="shared" si="20"/>
        <v>2.8901734103999998E-3</v>
      </c>
      <c r="E94" s="771">
        <f t="shared" si="21"/>
        <v>7.2254335259999995E-4</v>
      </c>
      <c r="F94" s="525">
        <f>+DATA!D90</f>
        <v>64751</v>
      </c>
      <c r="G94" s="772">
        <f>+DATA!E90</f>
        <v>3.0424030078365551E-2</v>
      </c>
      <c r="H94" s="525">
        <f t="shared" si="30"/>
        <v>1970</v>
      </c>
      <c r="I94" s="771">
        <f t="shared" si="22"/>
        <v>1.5086305923E-3</v>
      </c>
      <c r="J94" s="771">
        <f t="shared" si="23"/>
        <v>1.5086305919999999E-4</v>
      </c>
      <c r="K94" s="525">
        <f>+DATA!G90</f>
        <v>12053</v>
      </c>
      <c r="L94" s="525">
        <f>+DATA!H90</f>
        <v>24096</v>
      </c>
      <c r="M94" s="525">
        <f>+DATA!I90</f>
        <v>437254862123</v>
      </c>
      <c r="N94" s="525">
        <f>+DATA!J90</f>
        <v>1993658045028</v>
      </c>
      <c r="O94" s="773">
        <f t="shared" si="31"/>
        <v>0.33122040961868321</v>
      </c>
      <c r="P94" s="774" t="str">
        <f t="shared" si="32"/>
        <v>NO</v>
      </c>
      <c r="Q94" s="771">
        <f t="shared" si="24"/>
        <v>1.1042017236E-3</v>
      </c>
      <c r="R94" s="771">
        <f t="shared" si="25"/>
        <v>1.5830876809E-3</v>
      </c>
      <c r="S94" s="771">
        <f t="shared" si="26"/>
        <v>4.7492630429999999E-4</v>
      </c>
      <c r="T94" s="525">
        <f>+DATA!K90</f>
        <v>0</v>
      </c>
      <c r="U94" s="525">
        <f>+DATA!L90</f>
        <v>0</v>
      </c>
      <c r="V94" s="525">
        <f>+DATA!M90</f>
        <v>9017577</v>
      </c>
      <c r="W94" s="526">
        <f t="shared" si="27"/>
        <v>9017577</v>
      </c>
      <c r="X94" s="526">
        <f t="shared" si="33"/>
        <v>9017577</v>
      </c>
      <c r="Y94" s="526">
        <f t="shared" si="34"/>
        <v>9017577</v>
      </c>
      <c r="Z94" s="525">
        <f>+DATA!F90</f>
        <v>517714.07197852043</v>
      </c>
      <c r="AA94" s="525">
        <f>IF(P94="SI",ROUND(Z94/DIV_Pf,PARAMETROS!$L$8),0)</f>
        <v>0</v>
      </c>
      <c r="AB94" s="526">
        <f t="shared" si="35"/>
        <v>64751</v>
      </c>
      <c r="AC94" s="775">
        <f t="shared" si="36"/>
        <v>139.27000000000001</v>
      </c>
      <c r="AD94" s="525">
        <f>IF(AC94&lt;$AC$6,ROUND(($AC$6-AC94)*AB94,PARAMETROS!$L$8),0)</f>
        <v>0</v>
      </c>
      <c r="AE94" s="771">
        <f t="shared" si="28"/>
        <v>0</v>
      </c>
      <c r="AF94" s="771">
        <f t="shared" si="29"/>
        <v>0</v>
      </c>
      <c r="AG94" s="771">
        <f t="shared" si="37"/>
        <v>1.3483327160999999E-3</v>
      </c>
      <c r="AH94" s="525">
        <f>+DATA!Q90</f>
        <v>2571054.068</v>
      </c>
      <c r="AI94" s="525">
        <f>+DATA!R90</f>
        <v>214254.50566666666</v>
      </c>
      <c r="AJ94" s="525">
        <f>+DATA!S90</f>
        <v>169261</v>
      </c>
      <c r="AK94" s="525">
        <f>+'_DATA STT PAGOS_'!G92</f>
        <v>0</v>
      </c>
      <c r="AL94" s="525">
        <f>+'_DATA STT PAGOS_'!J92</f>
        <v>3484787.068</v>
      </c>
      <c r="AM94" s="525">
        <f>+DATA!Y90</f>
        <v>553430</v>
      </c>
      <c r="AN94" s="525">
        <f>+DATA!Z90</f>
        <v>385454</v>
      </c>
      <c r="AO94" s="525">
        <f>+DATA!AA90</f>
        <v>444936</v>
      </c>
      <c r="AP94" s="525">
        <f>+DATA!AB90</f>
        <v>375188</v>
      </c>
      <c r="AQ94" s="525">
        <f>+DATA!AC90</f>
        <v>1759008</v>
      </c>
      <c r="AR94" s="525">
        <f>+DATA!AD90</f>
        <v>76391</v>
      </c>
      <c r="AS94" s="525">
        <f>+DATA!AE90</f>
        <v>34525</v>
      </c>
      <c r="AT94" s="525">
        <f>+DATA!AF90</f>
        <v>45232.642999999996</v>
      </c>
      <c r="AU94" s="525">
        <f>+DATA!AG90</f>
        <v>33141</v>
      </c>
      <c r="AV94" s="525">
        <f>+DATA!AH90</f>
        <v>189289.64299999998</v>
      </c>
    </row>
    <row r="95" spans="1:48" x14ac:dyDescent="0.25">
      <c r="A95" s="527">
        <v>6109</v>
      </c>
      <c r="B95" s="527">
        <v>6115</v>
      </c>
      <c r="C95" s="527" t="s">
        <v>130</v>
      </c>
      <c r="D95" s="771">
        <f t="shared" si="20"/>
        <v>2.8901734103999998E-3</v>
      </c>
      <c r="E95" s="771">
        <f t="shared" si="21"/>
        <v>7.2254335259999995E-4</v>
      </c>
      <c r="F95" s="525">
        <f>+DATA!D91</f>
        <v>14300</v>
      </c>
      <c r="G95" s="772">
        <f>+DATA!E91</f>
        <v>9.7922458854994843E-2</v>
      </c>
      <c r="H95" s="525">
        <f t="shared" si="30"/>
        <v>1400</v>
      </c>
      <c r="I95" s="771">
        <f t="shared" si="22"/>
        <v>1.0721232634999999E-3</v>
      </c>
      <c r="J95" s="771">
        <f t="shared" si="23"/>
        <v>1.0721232639999999E-4</v>
      </c>
      <c r="K95" s="525">
        <f>+DATA!G91</f>
        <v>5211</v>
      </c>
      <c r="L95" s="525">
        <f>+DATA!H91</f>
        <v>6715</v>
      </c>
      <c r="M95" s="525">
        <f>+DATA!I91</f>
        <v>94741671227</v>
      </c>
      <c r="N95" s="525">
        <f>+DATA!J91</f>
        <v>261657612054</v>
      </c>
      <c r="O95" s="773">
        <f t="shared" si="31"/>
        <v>0.53007993092902894</v>
      </c>
      <c r="P95" s="774" t="str">
        <f t="shared" si="32"/>
        <v>SI</v>
      </c>
      <c r="Q95" s="771">
        <f t="shared" si="24"/>
        <v>7.4062640480000003E-4</v>
      </c>
      <c r="R95" s="771">
        <f t="shared" si="25"/>
        <v>1.0618318306999999E-3</v>
      </c>
      <c r="S95" s="771">
        <f t="shared" si="26"/>
        <v>3.1854954919999999E-4</v>
      </c>
      <c r="T95" s="525">
        <f>+DATA!K91</f>
        <v>0</v>
      </c>
      <c r="U95" s="525">
        <f>+DATA!L91</f>
        <v>0</v>
      </c>
      <c r="V95" s="525">
        <f>+DATA!M91</f>
        <v>1406581</v>
      </c>
      <c r="W95" s="526">
        <f t="shared" si="27"/>
        <v>1406581</v>
      </c>
      <c r="X95" s="526">
        <f t="shared" si="33"/>
        <v>1406581</v>
      </c>
      <c r="Y95" s="526">
        <f t="shared" si="34"/>
        <v>1406581</v>
      </c>
      <c r="Z95" s="525">
        <f>+DATA!F91</f>
        <v>151021.88707705523</v>
      </c>
      <c r="AA95" s="525">
        <f>IF(P95="SI",ROUND(Z95/DIV_Pf,PARAMETROS!$L$8),0)</f>
        <v>12585</v>
      </c>
      <c r="AB95" s="526">
        <f t="shared" si="35"/>
        <v>26885</v>
      </c>
      <c r="AC95" s="775">
        <f t="shared" si="36"/>
        <v>52.32</v>
      </c>
      <c r="AD95" s="525">
        <f>IF(AC95&lt;$AC$6,ROUND(($AC$6-AC95)*AB95,PARAMETROS!$L$8),0)</f>
        <v>1403397</v>
      </c>
      <c r="AE95" s="771">
        <f t="shared" si="28"/>
        <v>1.347008485E-3</v>
      </c>
      <c r="AF95" s="771">
        <f t="shared" si="29"/>
        <v>4.7145296979999999E-4</v>
      </c>
      <c r="AG95" s="771">
        <f t="shared" si="37"/>
        <v>1.6197581979999999E-3</v>
      </c>
      <c r="AH95" s="525">
        <f>+DATA!Q91</f>
        <v>2940844.4739999999</v>
      </c>
      <c r="AI95" s="525">
        <f>+DATA!R91</f>
        <v>245070.37283333333</v>
      </c>
      <c r="AJ95" s="525">
        <f>+DATA!S91</f>
        <v>193606</v>
      </c>
      <c r="AK95" s="525">
        <f>+'_DATA STT PAGOS_'!G93</f>
        <v>0</v>
      </c>
      <c r="AL95" s="525">
        <f>+'_DATA STT PAGOS_'!J93</f>
        <v>3992191.9249999998</v>
      </c>
      <c r="AM95" s="525">
        <f>+DATA!Y91</f>
        <v>45960</v>
      </c>
      <c r="AN95" s="525">
        <f>+DATA!Z91</f>
        <v>39771</v>
      </c>
      <c r="AO95" s="525">
        <f>+DATA!AA91</f>
        <v>30797</v>
      </c>
      <c r="AP95" s="525">
        <f>+DATA!AB91</f>
        <v>30986</v>
      </c>
      <c r="AQ95" s="525">
        <f>+DATA!AC91</f>
        <v>147514</v>
      </c>
      <c r="AR95" s="525">
        <f>+DATA!AD91</f>
        <v>1114</v>
      </c>
      <c r="AS95" s="525">
        <f>+DATA!AE91</f>
        <v>489</v>
      </c>
      <c r="AT95" s="525">
        <f>+DATA!AF91</f>
        <v>692.83100000000002</v>
      </c>
      <c r="AU95" s="525">
        <f>+DATA!AG91</f>
        <v>388</v>
      </c>
      <c r="AV95" s="525">
        <f>+DATA!AH91</f>
        <v>2683.8310000000001</v>
      </c>
    </row>
    <row r="96" spans="1:48" x14ac:dyDescent="0.25">
      <c r="A96" s="527">
        <v>6110</v>
      </c>
      <c r="B96" s="527">
        <v>6104</v>
      </c>
      <c r="C96" s="527" t="s">
        <v>121</v>
      </c>
      <c r="D96" s="771">
        <f t="shared" si="20"/>
        <v>2.8901734103999998E-3</v>
      </c>
      <c r="E96" s="771">
        <f t="shared" si="21"/>
        <v>7.2254335259999995E-4</v>
      </c>
      <c r="F96" s="525">
        <f>+DATA!D92</f>
        <v>28552</v>
      </c>
      <c r="G96" s="772">
        <f>+DATA!E92</f>
        <v>7.3143987189589199E-2</v>
      </c>
      <c r="H96" s="525">
        <f t="shared" si="30"/>
        <v>2088</v>
      </c>
      <c r="I96" s="771">
        <f t="shared" si="22"/>
        <v>1.5989952673E-3</v>
      </c>
      <c r="J96" s="771">
        <f t="shared" si="23"/>
        <v>1.5989952669999999E-4</v>
      </c>
      <c r="K96" s="525">
        <f>+DATA!G92</f>
        <v>7340</v>
      </c>
      <c r="L96" s="525">
        <f>+DATA!H92</f>
        <v>10696</v>
      </c>
      <c r="M96" s="525">
        <f>+DATA!I92</f>
        <v>163443600634</v>
      </c>
      <c r="N96" s="525">
        <f>+DATA!J92</f>
        <v>620435799143</v>
      </c>
      <c r="O96" s="773">
        <f t="shared" si="31"/>
        <v>0.42518004061741754</v>
      </c>
      <c r="P96" s="774" t="str">
        <f t="shared" si="32"/>
        <v>NO</v>
      </c>
      <c r="Q96" s="771">
        <f t="shared" si="24"/>
        <v>9.22515746E-4</v>
      </c>
      <c r="R96" s="771">
        <f t="shared" si="25"/>
        <v>1.3226055364000001E-3</v>
      </c>
      <c r="S96" s="771">
        <f t="shared" si="26"/>
        <v>3.967816609E-4</v>
      </c>
      <c r="T96" s="525">
        <f>+DATA!K92</f>
        <v>0</v>
      </c>
      <c r="U96" s="525">
        <f>+DATA!L92</f>
        <v>0</v>
      </c>
      <c r="V96" s="525">
        <f>+DATA!M92</f>
        <v>15221392</v>
      </c>
      <c r="W96" s="526">
        <f t="shared" si="27"/>
        <v>15221392</v>
      </c>
      <c r="X96" s="526">
        <f t="shared" si="33"/>
        <v>15221392</v>
      </c>
      <c r="Y96" s="526">
        <f t="shared" si="34"/>
        <v>15221392</v>
      </c>
      <c r="Z96" s="525">
        <f>+DATA!F92</f>
        <v>675083.41869365633</v>
      </c>
      <c r="AA96" s="525">
        <f>IF(P96="SI",ROUND(Z96/DIV_Pf,PARAMETROS!$L$8),0)</f>
        <v>0</v>
      </c>
      <c r="AB96" s="526">
        <f t="shared" si="35"/>
        <v>28552</v>
      </c>
      <c r="AC96" s="775">
        <f t="shared" si="36"/>
        <v>533.11</v>
      </c>
      <c r="AD96" s="525">
        <f>IF(AC96&lt;$AC$6,ROUND(($AC$6-AC96)*AB96,PARAMETROS!$L$8),0)</f>
        <v>0</v>
      </c>
      <c r="AE96" s="771">
        <f t="shared" si="28"/>
        <v>0</v>
      </c>
      <c r="AF96" s="771">
        <f t="shared" si="29"/>
        <v>0</v>
      </c>
      <c r="AG96" s="771">
        <f t="shared" si="37"/>
        <v>1.2792245402E-3</v>
      </c>
      <c r="AH96" s="525">
        <f>+DATA!Q92</f>
        <v>2462365.79</v>
      </c>
      <c r="AI96" s="525">
        <f>+DATA!R92</f>
        <v>205197.14916666667</v>
      </c>
      <c r="AJ96" s="525">
        <f>+DATA!S92</f>
        <v>162106</v>
      </c>
      <c r="AK96" s="525">
        <f>+'_DATA STT PAGOS_'!G94</f>
        <v>0</v>
      </c>
      <c r="AL96" s="525">
        <f>+'_DATA STT PAGOS_'!J94</f>
        <v>3340700.585</v>
      </c>
      <c r="AM96" s="525">
        <f>+DATA!Y92</f>
        <v>184511</v>
      </c>
      <c r="AN96" s="525">
        <f>+DATA!Z92</f>
        <v>149206</v>
      </c>
      <c r="AO96" s="525">
        <f>+DATA!AA92</f>
        <v>160855</v>
      </c>
      <c r="AP96" s="525">
        <f>+DATA!AB92</f>
        <v>152100</v>
      </c>
      <c r="AQ96" s="525">
        <f>+DATA!AC92</f>
        <v>646672</v>
      </c>
      <c r="AR96" s="525">
        <f>+DATA!AD92</f>
        <v>0</v>
      </c>
      <c r="AS96" s="525">
        <f>+DATA!AE92</f>
        <v>0</v>
      </c>
      <c r="AT96" s="525">
        <f>+DATA!AF92</f>
        <v>0</v>
      </c>
      <c r="AU96" s="525">
        <f>+DATA!AG92</f>
        <v>0</v>
      </c>
      <c r="AV96" s="525">
        <f>+DATA!AH92</f>
        <v>0</v>
      </c>
    </row>
    <row r="97" spans="1:48" x14ac:dyDescent="0.25">
      <c r="A97" s="527">
        <v>6111</v>
      </c>
      <c r="B97" s="527">
        <v>6114</v>
      </c>
      <c r="C97" s="527" t="s">
        <v>129</v>
      </c>
      <c r="D97" s="771">
        <f t="shared" si="20"/>
        <v>2.8901734103999998E-3</v>
      </c>
      <c r="E97" s="771">
        <f t="shared" si="21"/>
        <v>7.2254335259999995E-4</v>
      </c>
      <c r="F97" s="525">
        <f>+DATA!D93</f>
        <v>15007</v>
      </c>
      <c r="G97" s="772">
        <f>+DATA!E93</f>
        <v>7.9633655473524023E-2</v>
      </c>
      <c r="H97" s="525">
        <f t="shared" si="30"/>
        <v>1195</v>
      </c>
      <c r="I97" s="771">
        <f t="shared" si="22"/>
        <v>9.1513378570000001E-4</v>
      </c>
      <c r="J97" s="771">
        <f t="shared" si="23"/>
        <v>9.15133786E-5</v>
      </c>
      <c r="K97" s="525">
        <f>+DATA!G93</f>
        <v>3022</v>
      </c>
      <c r="L97" s="525">
        <f>+DATA!H93</f>
        <v>4756</v>
      </c>
      <c r="M97" s="525">
        <f>+DATA!I93</f>
        <v>70576210803</v>
      </c>
      <c r="N97" s="525">
        <f>+DATA!J93</f>
        <v>264233663589</v>
      </c>
      <c r="O97" s="773">
        <f t="shared" si="31"/>
        <v>0.41196602654199427</v>
      </c>
      <c r="P97" s="774" t="str">
        <f t="shared" si="32"/>
        <v>NO</v>
      </c>
      <c r="Q97" s="771">
        <f t="shared" si="24"/>
        <v>3.5168199640000001E-4</v>
      </c>
      <c r="R97" s="771">
        <f t="shared" si="25"/>
        <v>5.0420446210000004E-4</v>
      </c>
      <c r="S97" s="771">
        <f t="shared" si="26"/>
        <v>1.5126133860000001E-4</v>
      </c>
      <c r="T97" s="525">
        <f>+DATA!K93</f>
        <v>0</v>
      </c>
      <c r="U97" s="525">
        <f>+DATA!L93</f>
        <v>0</v>
      </c>
      <c r="V97" s="525">
        <f>+DATA!M93</f>
        <v>2095848</v>
      </c>
      <c r="W97" s="526">
        <f t="shared" si="27"/>
        <v>2095848</v>
      </c>
      <c r="X97" s="526">
        <f t="shared" si="33"/>
        <v>2095848</v>
      </c>
      <c r="Y97" s="526">
        <f t="shared" si="34"/>
        <v>2095848</v>
      </c>
      <c r="Z97" s="525">
        <f>+DATA!F93</f>
        <v>77077.427797465862</v>
      </c>
      <c r="AA97" s="525">
        <f>IF(P97="SI",ROUND(Z97/DIV_Pf,PARAMETROS!$L$8),0)</f>
        <v>0</v>
      </c>
      <c r="AB97" s="526">
        <f t="shared" si="35"/>
        <v>15007</v>
      </c>
      <c r="AC97" s="775">
        <f t="shared" si="36"/>
        <v>139.66</v>
      </c>
      <c r="AD97" s="525">
        <f>IF(AC97&lt;$AC$6,ROUND(($AC$6-AC97)*AB97,PARAMETROS!$L$8),0)</f>
        <v>0</v>
      </c>
      <c r="AE97" s="771">
        <f t="shared" si="28"/>
        <v>0</v>
      </c>
      <c r="AF97" s="771">
        <f t="shared" si="29"/>
        <v>0</v>
      </c>
      <c r="AG97" s="771">
        <f t="shared" si="37"/>
        <v>9.6531806979999993E-4</v>
      </c>
      <c r="AH97" s="525">
        <f>+DATA!Q93</f>
        <v>1874918.639</v>
      </c>
      <c r="AI97" s="525">
        <f>+DATA!R93</f>
        <v>156243.21991666665</v>
      </c>
      <c r="AJ97" s="525">
        <f>+DATA!S93</f>
        <v>123432</v>
      </c>
      <c r="AK97" s="525">
        <f>+'_DATA STT PAGOS_'!G95</f>
        <v>0</v>
      </c>
      <c r="AL97" s="525">
        <f>+'_DATA STT PAGOS_'!J95</f>
        <v>2545227.8160000001</v>
      </c>
      <c r="AM97" s="525">
        <f>+DATA!Y93</f>
        <v>76784</v>
      </c>
      <c r="AN97" s="525">
        <f>+DATA!Z93</f>
        <v>41353</v>
      </c>
      <c r="AO97" s="525">
        <f>+DATA!AA93</f>
        <v>61401</v>
      </c>
      <c r="AP97" s="525">
        <f>+DATA!AB93</f>
        <v>54052</v>
      </c>
      <c r="AQ97" s="525">
        <f>+DATA!AC93</f>
        <v>233590</v>
      </c>
      <c r="AR97" s="525">
        <f>+DATA!AD93</f>
        <v>0</v>
      </c>
      <c r="AS97" s="525">
        <f>+DATA!AE93</f>
        <v>0</v>
      </c>
      <c r="AT97" s="525">
        <f>+DATA!AF93</f>
        <v>0</v>
      </c>
      <c r="AU97" s="525">
        <f>+DATA!AG93</f>
        <v>0</v>
      </c>
      <c r="AV97" s="525">
        <f>+DATA!AH93</f>
        <v>0</v>
      </c>
    </row>
    <row r="98" spans="1:48" x14ac:dyDescent="0.25">
      <c r="A98" s="527">
        <v>6112</v>
      </c>
      <c r="B98" s="527">
        <v>6108</v>
      </c>
      <c r="C98" s="527" t="s">
        <v>125</v>
      </c>
      <c r="D98" s="771">
        <f t="shared" si="20"/>
        <v>2.8901734103999998E-3</v>
      </c>
      <c r="E98" s="771">
        <f t="shared" si="21"/>
        <v>7.2254335259999995E-4</v>
      </c>
      <c r="F98" s="525">
        <f>+DATA!D94</f>
        <v>15028</v>
      </c>
      <c r="G98" s="772">
        <f>+DATA!E94</f>
        <v>7.718469751227644E-2</v>
      </c>
      <c r="H98" s="525">
        <f t="shared" si="30"/>
        <v>1160</v>
      </c>
      <c r="I98" s="771">
        <f t="shared" si="22"/>
        <v>8.8833070409999998E-4</v>
      </c>
      <c r="J98" s="771">
        <f t="shared" si="23"/>
        <v>8.8833070400000006E-5</v>
      </c>
      <c r="K98" s="525">
        <f>+DATA!G94</f>
        <v>4350</v>
      </c>
      <c r="L98" s="525">
        <f>+DATA!H94</f>
        <v>5475</v>
      </c>
      <c r="M98" s="525">
        <f>+DATA!I94</f>
        <v>86254705677</v>
      </c>
      <c r="N98" s="525">
        <f>+DATA!J94</f>
        <v>246817169620</v>
      </c>
      <c r="O98" s="773">
        <f t="shared" si="31"/>
        <v>0.5269340723932312</v>
      </c>
      <c r="P98" s="774" t="str">
        <f t="shared" si="32"/>
        <v>SI</v>
      </c>
      <c r="Q98" s="771">
        <f t="shared" si="24"/>
        <v>6.3299087950000001E-4</v>
      </c>
      <c r="R98" s="771">
        <f t="shared" si="25"/>
        <v>9.0751539510000004E-4</v>
      </c>
      <c r="S98" s="771">
        <f t="shared" si="26"/>
        <v>2.7225461850000001E-4</v>
      </c>
      <c r="T98" s="525">
        <f>+DATA!K94</f>
        <v>0</v>
      </c>
      <c r="U98" s="525">
        <f>+DATA!L94</f>
        <v>0</v>
      </c>
      <c r="V98" s="525">
        <f>+DATA!M94</f>
        <v>1053133</v>
      </c>
      <c r="W98" s="526">
        <f t="shared" si="27"/>
        <v>1053133</v>
      </c>
      <c r="X98" s="526">
        <f t="shared" si="33"/>
        <v>1053133</v>
      </c>
      <c r="Y98" s="526">
        <f t="shared" si="34"/>
        <v>1053133</v>
      </c>
      <c r="Z98" s="525">
        <f>+DATA!F94</f>
        <v>112168.77207946985</v>
      </c>
      <c r="AA98" s="525">
        <f>IF(P98="SI",ROUND(Z98/DIV_Pf,PARAMETROS!$L$8),0)</f>
        <v>9347</v>
      </c>
      <c r="AB98" s="526">
        <f t="shared" si="35"/>
        <v>24375</v>
      </c>
      <c r="AC98" s="775">
        <f t="shared" si="36"/>
        <v>43.21</v>
      </c>
      <c r="AD98" s="525">
        <f>IF(AC98&lt;$AC$6,ROUND(($AC$6-AC98)*AB98,PARAMETROS!$L$8),0)</f>
        <v>1494431</v>
      </c>
      <c r="AE98" s="771">
        <f t="shared" si="28"/>
        <v>1.4343847373999999E-3</v>
      </c>
      <c r="AF98" s="771">
        <f t="shared" si="29"/>
        <v>5.020346581E-4</v>
      </c>
      <c r="AG98" s="771">
        <f t="shared" si="37"/>
        <v>1.5856656995999999E-3</v>
      </c>
      <c r="AH98" s="525">
        <f>+DATA!Q94</f>
        <v>2639795.6039999998</v>
      </c>
      <c r="AI98" s="525">
        <f>+DATA!R94</f>
        <v>219982.96699999998</v>
      </c>
      <c r="AJ98" s="525">
        <f>+DATA!S94</f>
        <v>173787</v>
      </c>
      <c r="AK98" s="525">
        <f>+'_DATA STT PAGOS_'!G96</f>
        <v>0</v>
      </c>
      <c r="AL98" s="525">
        <f>+'_DATA STT PAGOS_'!J96</f>
        <v>3582954.0889999997</v>
      </c>
      <c r="AM98" s="525">
        <f>+DATA!Y94</f>
        <v>54108</v>
      </c>
      <c r="AN98" s="525">
        <f>+DATA!Z94</f>
        <v>34335</v>
      </c>
      <c r="AO98" s="525">
        <f>+DATA!AA94</f>
        <v>37199</v>
      </c>
      <c r="AP98" s="525">
        <f>+DATA!AB94</f>
        <v>37276</v>
      </c>
      <c r="AQ98" s="525">
        <f>+DATA!AC94</f>
        <v>162918</v>
      </c>
      <c r="AR98" s="525">
        <f>+DATA!AD94</f>
        <v>1205</v>
      </c>
      <c r="AS98" s="525">
        <f>+DATA!AE94</f>
        <v>704</v>
      </c>
      <c r="AT98" s="525">
        <f>+DATA!AF94</f>
        <v>893.197</v>
      </c>
      <c r="AU98" s="525">
        <f>+DATA!AG94</f>
        <v>1006</v>
      </c>
      <c r="AV98" s="525">
        <f>+DATA!AH94</f>
        <v>3808.1970000000001</v>
      </c>
    </row>
    <row r="99" spans="1:48" x14ac:dyDescent="0.25">
      <c r="A99" s="527">
        <v>6113</v>
      </c>
      <c r="B99" s="527">
        <v>6111</v>
      </c>
      <c r="C99" s="527" t="s">
        <v>127</v>
      </c>
      <c r="D99" s="771">
        <f t="shared" si="20"/>
        <v>2.8901734103999998E-3</v>
      </c>
      <c r="E99" s="771">
        <f t="shared" si="21"/>
        <v>7.2254335259999995E-4</v>
      </c>
      <c r="F99" s="525">
        <f>+DATA!D95</f>
        <v>21074</v>
      </c>
      <c r="G99" s="772">
        <f>+DATA!E95</f>
        <v>0.1092073031580498</v>
      </c>
      <c r="H99" s="525">
        <f t="shared" si="30"/>
        <v>2301</v>
      </c>
      <c r="I99" s="771">
        <f t="shared" si="22"/>
        <v>1.7621111638999999E-3</v>
      </c>
      <c r="J99" s="771">
        <f t="shared" si="23"/>
        <v>1.762111164E-4</v>
      </c>
      <c r="K99" s="525">
        <f>+DATA!G95</f>
        <v>7716</v>
      </c>
      <c r="L99" s="525">
        <f>+DATA!H95</f>
        <v>10288</v>
      </c>
      <c r="M99" s="525">
        <f>+DATA!I95</f>
        <v>146695069205</v>
      </c>
      <c r="N99" s="525">
        <f>+DATA!J95</f>
        <v>401850855369</v>
      </c>
      <c r="O99" s="773">
        <f t="shared" si="31"/>
        <v>0.52324602927807162</v>
      </c>
      <c r="P99" s="774" t="str">
        <f t="shared" si="32"/>
        <v>SI</v>
      </c>
      <c r="Q99" s="771">
        <f t="shared" si="24"/>
        <v>1.0598796276000001E-3</v>
      </c>
      <c r="R99" s="771">
        <f t="shared" si="25"/>
        <v>1.5195433460000001E-3</v>
      </c>
      <c r="S99" s="771">
        <f t="shared" si="26"/>
        <v>4.5586300380000001E-4</v>
      </c>
      <c r="T99" s="525">
        <f>+DATA!K95</f>
        <v>0</v>
      </c>
      <c r="U99" s="525">
        <f>+DATA!L95</f>
        <v>0</v>
      </c>
      <c r="V99" s="525">
        <f>+DATA!M95</f>
        <v>1721510</v>
      </c>
      <c r="W99" s="526">
        <f t="shared" si="27"/>
        <v>1721510</v>
      </c>
      <c r="X99" s="526">
        <f t="shared" si="33"/>
        <v>1721510</v>
      </c>
      <c r="Y99" s="526">
        <f t="shared" si="34"/>
        <v>1721510</v>
      </c>
      <c r="Z99" s="525">
        <f>+DATA!F95</f>
        <v>252082.14651526927</v>
      </c>
      <c r="AA99" s="525">
        <f>IF(P99="SI",ROUND(Z99/DIV_Pf,PARAMETROS!$L$8),0)</f>
        <v>21007</v>
      </c>
      <c r="AB99" s="526">
        <f t="shared" si="35"/>
        <v>42081</v>
      </c>
      <c r="AC99" s="775">
        <f t="shared" si="36"/>
        <v>40.909999999999997</v>
      </c>
      <c r="AD99" s="525">
        <f>IF(AC99&lt;$AC$6,ROUND(($AC$6-AC99)*AB99,PARAMETROS!$L$8),0)</f>
        <v>2676772</v>
      </c>
      <c r="AE99" s="771">
        <f t="shared" si="28"/>
        <v>2.5692192560999999E-3</v>
      </c>
      <c r="AF99" s="771">
        <f t="shared" si="29"/>
        <v>8.9922673959999999E-4</v>
      </c>
      <c r="AG99" s="771">
        <f t="shared" si="37"/>
        <v>2.2538442124E-3</v>
      </c>
      <c r="AH99" s="525">
        <f>+DATA!Q95</f>
        <v>3659238.2140000002</v>
      </c>
      <c r="AI99" s="525">
        <f>+DATA!R95</f>
        <v>304936.51783333335</v>
      </c>
      <c r="AJ99" s="525">
        <f>+DATA!S95</f>
        <v>240900</v>
      </c>
      <c r="AK99" s="525">
        <f>+'_DATA STT PAGOS_'!G97</f>
        <v>0</v>
      </c>
      <c r="AL99" s="525">
        <f>+'_DATA STT PAGOS_'!J97</f>
        <v>4967663.58</v>
      </c>
      <c r="AM99" s="525">
        <f>+DATA!Y95</f>
        <v>68156</v>
      </c>
      <c r="AN99" s="525">
        <f>+DATA!Z95</f>
        <v>44047</v>
      </c>
      <c r="AO99" s="525">
        <f>+DATA!AA95</f>
        <v>46436</v>
      </c>
      <c r="AP99" s="525">
        <f>+DATA!AB95</f>
        <v>40112</v>
      </c>
      <c r="AQ99" s="525">
        <f>+DATA!AC95</f>
        <v>198751</v>
      </c>
      <c r="AR99" s="525">
        <f>+DATA!AD95</f>
        <v>2837</v>
      </c>
      <c r="AS99" s="525">
        <f>+DATA!AE95</f>
        <v>1766</v>
      </c>
      <c r="AT99" s="525">
        <f>+DATA!AF95</f>
        <v>2467.6709999999998</v>
      </c>
      <c r="AU99" s="525">
        <f>+DATA!AG95</f>
        <v>1630</v>
      </c>
      <c r="AV99" s="525">
        <f>+DATA!AH95</f>
        <v>8700.6710000000003</v>
      </c>
    </row>
    <row r="100" spans="1:48" x14ac:dyDescent="0.25">
      <c r="A100" s="527">
        <v>6114</v>
      </c>
      <c r="B100" s="527">
        <v>6117</v>
      </c>
      <c r="C100" s="527" t="s">
        <v>132</v>
      </c>
      <c r="D100" s="771">
        <f t="shared" si="20"/>
        <v>2.8901734103999998E-3</v>
      </c>
      <c r="E100" s="771">
        <f t="shared" si="21"/>
        <v>7.2254335259999995E-4</v>
      </c>
      <c r="F100" s="525">
        <f>+DATA!D96</f>
        <v>14288</v>
      </c>
      <c r="G100" s="772">
        <f>+DATA!E96</f>
        <v>9.0363154259129164E-2</v>
      </c>
      <c r="H100" s="525">
        <f t="shared" si="30"/>
        <v>1291</v>
      </c>
      <c r="I100" s="771">
        <f t="shared" si="22"/>
        <v>9.8865080950000001E-4</v>
      </c>
      <c r="J100" s="771">
        <f t="shared" si="23"/>
        <v>9.8865080999999998E-5</v>
      </c>
      <c r="K100" s="525">
        <f>+DATA!G96</f>
        <v>4843</v>
      </c>
      <c r="L100" s="525">
        <f>+DATA!H96</f>
        <v>6177</v>
      </c>
      <c r="M100" s="525">
        <f>+DATA!I96</f>
        <v>93683449455</v>
      </c>
      <c r="N100" s="525">
        <f>+DATA!J96</f>
        <v>233697018616</v>
      </c>
      <c r="O100" s="773">
        <f t="shared" si="31"/>
        <v>0.56062606383924996</v>
      </c>
      <c r="P100" s="774" t="str">
        <f t="shared" si="32"/>
        <v>SI</v>
      </c>
      <c r="Q100" s="771">
        <f t="shared" si="24"/>
        <v>6.9543156470000002E-4</v>
      </c>
      <c r="R100" s="771">
        <f t="shared" si="25"/>
        <v>9.9703624750000007E-4</v>
      </c>
      <c r="S100" s="771">
        <f t="shared" si="26"/>
        <v>2.9911087430000002E-4</v>
      </c>
      <c r="T100" s="525">
        <f>+DATA!K96</f>
        <v>0</v>
      </c>
      <c r="U100" s="525">
        <f>+DATA!L96</f>
        <v>0</v>
      </c>
      <c r="V100" s="525">
        <f>+DATA!M96</f>
        <v>1422715</v>
      </c>
      <c r="W100" s="526">
        <f t="shared" si="27"/>
        <v>1422715</v>
      </c>
      <c r="X100" s="526">
        <f t="shared" si="33"/>
        <v>1422715</v>
      </c>
      <c r="Y100" s="526">
        <f t="shared" si="34"/>
        <v>1422715</v>
      </c>
      <c r="Z100" s="525">
        <f>+DATA!F96</f>
        <v>77488.024569784669</v>
      </c>
      <c r="AA100" s="525">
        <f>IF(P100="SI",ROUND(Z100/DIV_Pf,PARAMETROS!$L$8),0)</f>
        <v>6457</v>
      </c>
      <c r="AB100" s="526">
        <f t="shared" si="35"/>
        <v>20745</v>
      </c>
      <c r="AC100" s="775">
        <f t="shared" si="36"/>
        <v>68.58</v>
      </c>
      <c r="AD100" s="525">
        <f>IF(AC100&lt;$AC$6,ROUND(($AC$6-AC100)*AB100,PARAMETROS!$L$8),0)</f>
        <v>745575</v>
      </c>
      <c r="AE100" s="771">
        <f t="shared" si="28"/>
        <v>7.15617784E-4</v>
      </c>
      <c r="AF100" s="771">
        <f t="shared" si="29"/>
        <v>2.5046622440000002E-4</v>
      </c>
      <c r="AG100" s="771">
        <f t="shared" si="37"/>
        <v>1.3709855323E-3</v>
      </c>
      <c r="AH100" s="525">
        <f>+DATA!Q96</f>
        <v>2611202.088</v>
      </c>
      <c r="AI100" s="525">
        <f>+DATA!R96</f>
        <v>217600.174</v>
      </c>
      <c r="AJ100" s="525">
        <f>+DATA!S96</f>
        <v>171904</v>
      </c>
      <c r="AK100" s="525">
        <f>+'_DATA STT PAGOS_'!G98</f>
        <v>0</v>
      </c>
      <c r="AL100" s="525">
        <f>+'_DATA STT PAGOS_'!J98</f>
        <v>3543673.557</v>
      </c>
      <c r="AM100" s="525">
        <f>+DATA!Y96</f>
        <v>49798</v>
      </c>
      <c r="AN100" s="525">
        <f>+DATA!Z96</f>
        <v>25396</v>
      </c>
      <c r="AO100" s="525">
        <f>+DATA!AA96</f>
        <v>32279</v>
      </c>
      <c r="AP100" s="525">
        <f>+DATA!AB96</f>
        <v>25850</v>
      </c>
      <c r="AQ100" s="525">
        <f>+DATA!AC96</f>
        <v>133323</v>
      </c>
      <c r="AR100" s="525">
        <f>+DATA!AD96</f>
        <v>1111</v>
      </c>
      <c r="AS100" s="525">
        <f>+DATA!AE96</f>
        <v>900</v>
      </c>
      <c r="AT100" s="525">
        <f>+DATA!AF96</f>
        <v>656.3</v>
      </c>
      <c r="AU100" s="525">
        <f>+DATA!AG96</f>
        <v>518</v>
      </c>
      <c r="AV100" s="525">
        <f>+DATA!AH96</f>
        <v>3185.3</v>
      </c>
    </row>
    <row r="101" spans="1:48" x14ac:dyDescent="0.25">
      <c r="A101" s="527">
        <v>6115</v>
      </c>
      <c r="B101" s="527">
        <v>6112</v>
      </c>
      <c r="C101" s="527" t="s">
        <v>128</v>
      </c>
      <c r="D101" s="771">
        <f t="shared" si="20"/>
        <v>2.8901734103999998E-3</v>
      </c>
      <c r="E101" s="771">
        <f t="shared" si="21"/>
        <v>7.2254335259999995E-4</v>
      </c>
      <c r="F101" s="525">
        <f>+DATA!D97</f>
        <v>65786</v>
      </c>
      <c r="G101" s="772">
        <f>+DATA!E97</f>
        <v>5.4330685554874338E-2</v>
      </c>
      <c r="H101" s="525">
        <f t="shared" si="30"/>
        <v>3574</v>
      </c>
      <c r="I101" s="771">
        <f t="shared" si="22"/>
        <v>2.7369775314000002E-3</v>
      </c>
      <c r="J101" s="771">
        <f t="shared" si="23"/>
        <v>2.736977531E-4</v>
      </c>
      <c r="K101" s="525">
        <f>+DATA!G97</f>
        <v>21760</v>
      </c>
      <c r="L101" s="525">
        <f>+DATA!H97</f>
        <v>25773</v>
      </c>
      <c r="M101" s="525">
        <f>+DATA!I97</f>
        <v>618534854224</v>
      </c>
      <c r="N101" s="525">
        <f>+DATA!J97</f>
        <v>1368171600193</v>
      </c>
      <c r="O101" s="773">
        <f t="shared" si="31"/>
        <v>0.61781544540260447</v>
      </c>
      <c r="P101" s="774" t="str">
        <f t="shared" si="32"/>
        <v>SI</v>
      </c>
      <c r="Q101" s="771">
        <f t="shared" si="24"/>
        <v>3.3647737744E-3</v>
      </c>
      <c r="R101" s="771">
        <f t="shared" si="25"/>
        <v>4.8240568706000003E-3</v>
      </c>
      <c r="S101" s="771">
        <f t="shared" si="26"/>
        <v>1.4472170611999999E-3</v>
      </c>
      <c r="T101" s="525">
        <f>+DATA!K97</f>
        <v>0</v>
      </c>
      <c r="U101" s="525">
        <f>+DATA!L97</f>
        <v>0</v>
      </c>
      <c r="V101" s="525">
        <f>+DATA!M97</f>
        <v>6155098</v>
      </c>
      <c r="W101" s="526">
        <f t="shared" si="27"/>
        <v>6155098</v>
      </c>
      <c r="X101" s="526">
        <f t="shared" si="33"/>
        <v>6155098</v>
      </c>
      <c r="Y101" s="526">
        <f t="shared" si="34"/>
        <v>6155098</v>
      </c>
      <c r="Z101" s="525">
        <f>+DATA!F97</f>
        <v>472335.35930887703</v>
      </c>
      <c r="AA101" s="525">
        <f>IF(P101="SI",ROUND(Z101/DIV_Pf,PARAMETROS!$L$8),0)</f>
        <v>39361</v>
      </c>
      <c r="AB101" s="526">
        <f t="shared" si="35"/>
        <v>105147</v>
      </c>
      <c r="AC101" s="775">
        <f t="shared" si="36"/>
        <v>58.54</v>
      </c>
      <c r="AD101" s="525">
        <f>IF(AC101&lt;$AC$6,ROUND(($AC$6-AC101)*AB101,PARAMETROS!$L$8),0)</f>
        <v>4834659</v>
      </c>
      <c r="AE101" s="771">
        <f t="shared" si="28"/>
        <v>4.6404023203000001E-3</v>
      </c>
      <c r="AF101" s="771">
        <f t="shared" si="29"/>
        <v>1.6241408120999999E-3</v>
      </c>
      <c r="AG101" s="771">
        <f t="shared" si="37"/>
        <v>4.0675989789999995E-3</v>
      </c>
      <c r="AH101" s="525">
        <f>+DATA!Q97</f>
        <v>7455548.3109999998</v>
      </c>
      <c r="AI101" s="525">
        <f>+DATA!R97</f>
        <v>621295.69258333335</v>
      </c>
      <c r="AJ101" s="525">
        <f>+DATA!S97</f>
        <v>490824</v>
      </c>
      <c r="AK101" s="525">
        <f>+'_DATA STT PAGOS_'!G99</f>
        <v>0</v>
      </c>
      <c r="AL101" s="525">
        <f>+'_DATA STT PAGOS_'!J99</f>
        <v>10113103.675000001</v>
      </c>
      <c r="AM101" s="525">
        <f>+DATA!Y97</f>
        <v>305994</v>
      </c>
      <c r="AN101" s="525">
        <f>+DATA!Z97</f>
        <v>179981</v>
      </c>
      <c r="AO101" s="525">
        <f>+DATA!AA97</f>
        <v>272806</v>
      </c>
      <c r="AP101" s="525">
        <f>+DATA!AB97</f>
        <v>227552</v>
      </c>
      <c r="AQ101" s="525">
        <f>+DATA!AC97</f>
        <v>986333</v>
      </c>
      <c r="AR101" s="525">
        <f>+DATA!AD97</f>
        <v>3623</v>
      </c>
      <c r="AS101" s="525">
        <f>+DATA!AE97</f>
        <v>1664</v>
      </c>
      <c r="AT101" s="525">
        <f>+DATA!AF97</f>
        <v>2267.4690000000001</v>
      </c>
      <c r="AU101" s="525">
        <f>+DATA!AG97</f>
        <v>1904</v>
      </c>
      <c r="AV101" s="525">
        <f>+DATA!AH97</f>
        <v>9458.469000000001</v>
      </c>
    </row>
    <row r="102" spans="1:48" x14ac:dyDescent="0.25">
      <c r="A102" s="527">
        <v>6116</v>
      </c>
      <c r="B102" s="527">
        <v>6113</v>
      </c>
      <c r="C102" s="527" t="s">
        <v>499</v>
      </c>
      <c r="D102" s="771">
        <f t="shared" si="20"/>
        <v>2.8901734103999998E-3</v>
      </c>
      <c r="E102" s="771">
        <f t="shared" si="21"/>
        <v>7.2254335259999995E-4</v>
      </c>
      <c r="F102" s="525">
        <f>+DATA!D98</f>
        <v>31724</v>
      </c>
      <c r="G102" s="772">
        <f>+DATA!E98</f>
        <v>2.9791232299741021E-2</v>
      </c>
      <c r="H102" s="525">
        <f t="shared" si="30"/>
        <v>945</v>
      </c>
      <c r="I102" s="771">
        <f t="shared" si="22"/>
        <v>7.236832029E-4</v>
      </c>
      <c r="J102" s="771">
        <f t="shared" si="23"/>
        <v>7.2368320300000006E-5</v>
      </c>
      <c r="K102" s="525">
        <f>+DATA!G98</f>
        <v>7339</v>
      </c>
      <c r="L102" s="525">
        <f>+DATA!H98</f>
        <v>11195</v>
      </c>
      <c r="M102" s="525">
        <f>+DATA!I98</f>
        <v>203077061262</v>
      </c>
      <c r="N102" s="525">
        <f>+DATA!J98</f>
        <v>945024701373</v>
      </c>
      <c r="O102" s="773">
        <f t="shared" si="31"/>
        <v>0.37533170333508198</v>
      </c>
      <c r="P102" s="774" t="str">
        <f t="shared" si="32"/>
        <v>NO</v>
      </c>
      <c r="Q102" s="771">
        <f t="shared" si="24"/>
        <v>8.8115587180000003E-4</v>
      </c>
      <c r="R102" s="771">
        <f t="shared" si="25"/>
        <v>1.2633081219E-3</v>
      </c>
      <c r="S102" s="771">
        <f t="shared" si="26"/>
        <v>3.789924366E-4</v>
      </c>
      <c r="T102" s="525">
        <f>+DATA!K98</f>
        <v>0</v>
      </c>
      <c r="U102" s="525">
        <f>+DATA!L98</f>
        <v>0</v>
      </c>
      <c r="V102" s="525">
        <f>+DATA!M98</f>
        <v>5868811</v>
      </c>
      <c r="W102" s="526">
        <f t="shared" si="27"/>
        <v>5868811</v>
      </c>
      <c r="X102" s="526">
        <f t="shared" si="33"/>
        <v>5868811</v>
      </c>
      <c r="Y102" s="526">
        <f t="shared" si="34"/>
        <v>5868811</v>
      </c>
      <c r="Z102" s="525">
        <f>+DATA!F98</f>
        <v>260303.6379261855</v>
      </c>
      <c r="AA102" s="525">
        <f>IF(P102="SI",ROUND(Z102/DIV_Pf,PARAMETROS!$L$8),0)</f>
        <v>0</v>
      </c>
      <c r="AB102" s="526">
        <f t="shared" si="35"/>
        <v>31724</v>
      </c>
      <c r="AC102" s="775">
        <f t="shared" si="36"/>
        <v>185</v>
      </c>
      <c r="AD102" s="525">
        <f>IF(AC102&lt;$AC$6,ROUND(($AC$6-AC102)*AB102,PARAMETROS!$L$8),0)</f>
        <v>0</v>
      </c>
      <c r="AE102" s="771">
        <f t="shared" si="28"/>
        <v>0</v>
      </c>
      <c r="AF102" s="771">
        <f t="shared" si="29"/>
        <v>0</v>
      </c>
      <c r="AG102" s="771">
        <f t="shared" si="37"/>
        <v>1.1739041094999999E-3</v>
      </c>
      <c r="AH102" s="525">
        <f>+DATA!Q98</f>
        <v>2277542.835</v>
      </c>
      <c r="AI102" s="525">
        <f>+DATA!R98</f>
        <v>189795.23624999999</v>
      </c>
      <c r="AJ102" s="525">
        <f>+DATA!S98</f>
        <v>149938</v>
      </c>
      <c r="AK102" s="525">
        <f>+'_DATA STT PAGOS_'!G100</f>
        <v>0</v>
      </c>
      <c r="AL102" s="525">
        <f>+'_DATA STT PAGOS_'!J100</f>
        <v>3084993.6210000003</v>
      </c>
      <c r="AM102" s="525">
        <f>+DATA!Y98</f>
        <v>307237</v>
      </c>
      <c r="AN102" s="525">
        <f>+DATA!Z98</f>
        <v>218357</v>
      </c>
      <c r="AO102" s="525">
        <f>+DATA!AA98</f>
        <v>241117</v>
      </c>
      <c r="AP102" s="525">
        <f>+DATA!AB98</f>
        <v>242474</v>
      </c>
      <c r="AQ102" s="525">
        <f>+DATA!AC98</f>
        <v>1009185</v>
      </c>
      <c r="AR102" s="525">
        <f>+DATA!AD98</f>
        <v>10297</v>
      </c>
      <c r="AS102" s="525">
        <f>+DATA!AE98</f>
        <v>6774</v>
      </c>
      <c r="AT102" s="525">
        <f>+DATA!AF98</f>
        <v>8603.3619999999992</v>
      </c>
      <c r="AU102" s="525">
        <f>+DATA!AG98</f>
        <v>7630</v>
      </c>
      <c r="AV102" s="525">
        <f>+DATA!AH98</f>
        <v>33304.362000000001</v>
      </c>
    </row>
    <row r="103" spans="1:48" x14ac:dyDescent="0.25">
      <c r="A103" s="527">
        <v>6117</v>
      </c>
      <c r="B103" s="527">
        <v>6110</v>
      </c>
      <c r="C103" s="527" t="s">
        <v>316</v>
      </c>
      <c r="D103" s="771">
        <f t="shared" si="20"/>
        <v>2.8901734103999998E-3</v>
      </c>
      <c r="E103" s="771">
        <f t="shared" si="21"/>
        <v>7.2254335259999995E-4</v>
      </c>
      <c r="F103" s="525">
        <f>+DATA!D99</f>
        <v>52289</v>
      </c>
      <c r="G103" s="772">
        <f>+DATA!E99</f>
        <v>9.1985702540799727E-2</v>
      </c>
      <c r="H103" s="525">
        <f t="shared" si="30"/>
        <v>4810</v>
      </c>
      <c r="I103" s="771">
        <f t="shared" si="22"/>
        <v>3.6835092125999998E-3</v>
      </c>
      <c r="J103" s="771">
        <f t="shared" si="23"/>
        <v>3.6835092129999998E-4</v>
      </c>
      <c r="K103" s="525">
        <f>+DATA!G99</f>
        <v>16799</v>
      </c>
      <c r="L103" s="525">
        <f>+DATA!H99</f>
        <v>22012</v>
      </c>
      <c r="M103" s="525">
        <f>+DATA!I99</f>
        <v>472880142597</v>
      </c>
      <c r="N103" s="525">
        <f>+DATA!J99</f>
        <v>1157578562298</v>
      </c>
      <c r="O103" s="773">
        <f t="shared" si="31"/>
        <v>0.55835738417859304</v>
      </c>
      <c r="P103" s="774" t="str">
        <f t="shared" si="32"/>
        <v>SI</v>
      </c>
      <c r="Q103" s="771">
        <f t="shared" si="24"/>
        <v>2.3480666388000001E-3</v>
      </c>
      <c r="R103" s="771">
        <f t="shared" si="25"/>
        <v>3.3664096788999999E-3</v>
      </c>
      <c r="S103" s="771">
        <f t="shared" si="26"/>
        <v>1.0099229036999999E-3</v>
      </c>
      <c r="T103" s="525">
        <f>+DATA!K99</f>
        <v>0</v>
      </c>
      <c r="U103" s="525">
        <f>+DATA!L99</f>
        <v>0</v>
      </c>
      <c r="V103" s="525">
        <f>+DATA!M99</f>
        <v>4449991</v>
      </c>
      <c r="W103" s="526">
        <f t="shared" si="27"/>
        <v>4449991</v>
      </c>
      <c r="X103" s="526">
        <f t="shared" si="33"/>
        <v>4449991</v>
      </c>
      <c r="Y103" s="526">
        <f t="shared" si="34"/>
        <v>4449991</v>
      </c>
      <c r="Z103" s="525">
        <f>+DATA!F99</f>
        <v>467382.56820011156</v>
      </c>
      <c r="AA103" s="525">
        <f>IF(P103="SI",ROUND(Z103/DIV_Pf,PARAMETROS!$L$8),0)</f>
        <v>38949</v>
      </c>
      <c r="AB103" s="526">
        <f t="shared" si="35"/>
        <v>91238</v>
      </c>
      <c r="AC103" s="775">
        <f t="shared" si="36"/>
        <v>48.77</v>
      </c>
      <c r="AD103" s="525">
        <f>IF(AC103&lt;$AC$6,ROUND(($AC$6-AC103)*AB103,PARAMETROS!$L$8),0)</f>
        <v>5086519</v>
      </c>
      <c r="AE103" s="771">
        <f t="shared" si="28"/>
        <v>4.8821425813000002E-3</v>
      </c>
      <c r="AF103" s="771">
        <f t="shared" si="29"/>
        <v>1.7087499034999999E-3</v>
      </c>
      <c r="AG103" s="771">
        <f t="shared" si="37"/>
        <v>3.8095670810999998E-3</v>
      </c>
      <c r="AH103" s="525">
        <f>+DATA!Q99</f>
        <v>7096556.1689999998</v>
      </c>
      <c r="AI103" s="525">
        <f>+DATA!R99</f>
        <v>591379.68074999994</v>
      </c>
      <c r="AJ103" s="525">
        <f>+DATA!S99</f>
        <v>467190</v>
      </c>
      <c r="AK103" s="525">
        <f>+'_DATA STT PAGOS_'!G101</f>
        <v>0</v>
      </c>
      <c r="AL103" s="525">
        <f>+'_DATA STT PAGOS_'!J101</f>
        <v>9639361.6850000005</v>
      </c>
      <c r="AM103" s="525">
        <f>+DATA!Y99</f>
        <v>218953</v>
      </c>
      <c r="AN103" s="525">
        <f>+DATA!Z99</f>
        <v>148065</v>
      </c>
      <c r="AO103" s="525">
        <f>+DATA!AA99</f>
        <v>167856</v>
      </c>
      <c r="AP103" s="525">
        <f>+DATA!AB99</f>
        <v>139326</v>
      </c>
      <c r="AQ103" s="525">
        <f>+DATA!AC99</f>
        <v>674200</v>
      </c>
      <c r="AR103" s="525">
        <f>+DATA!AD99</f>
        <v>18789</v>
      </c>
      <c r="AS103" s="525">
        <f>+DATA!AE99</f>
        <v>8976</v>
      </c>
      <c r="AT103" s="525">
        <f>+DATA!AF99</f>
        <v>14152.141</v>
      </c>
      <c r="AU103" s="525">
        <f>+DATA!AG99</f>
        <v>9310</v>
      </c>
      <c r="AV103" s="525">
        <f>+DATA!AH99</f>
        <v>51227.141000000003</v>
      </c>
    </row>
    <row r="104" spans="1:48" x14ac:dyDescent="0.25">
      <c r="A104" s="527">
        <v>6201</v>
      </c>
      <c r="B104" s="527">
        <v>6301</v>
      </c>
      <c r="C104" s="527" t="s">
        <v>142</v>
      </c>
      <c r="D104" s="771">
        <f t="shared" si="20"/>
        <v>2.8901734103999998E-3</v>
      </c>
      <c r="E104" s="771">
        <f t="shared" si="21"/>
        <v>7.2254335259999995E-4</v>
      </c>
      <c r="F104" s="525">
        <f>+DATA!D100</f>
        <v>18804</v>
      </c>
      <c r="G104" s="772">
        <f>+DATA!E100</f>
        <v>6.8724151951301826E-2</v>
      </c>
      <c r="H104" s="525">
        <f t="shared" si="30"/>
        <v>1292</v>
      </c>
      <c r="I104" s="771">
        <f t="shared" si="22"/>
        <v>9.8941661180000011E-4</v>
      </c>
      <c r="J104" s="771">
        <f t="shared" si="23"/>
        <v>9.8941661199999998E-5</v>
      </c>
      <c r="K104" s="525">
        <f>+DATA!G100</f>
        <v>10595</v>
      </c>
      <c r="L104" s="525">
        <f>+DATA!H100</f>
        <v>19058</v>
      </c>
      <c r="M104" s="525">
        <f>+DATA!I100</f>
        <v>276209181412</v>
      </c>
      <c r="N104" s="525">
        <f>+DATA!J100</f>
        <v>792391296051</v>
      </c>
      <c r="O104" s="773">
        <f t="shared" si="31"/>
        <v>0.44021113773279075</v>
      </c>
      <c r="P104" s="774" t="str">
        <f t="shared" si="32"/>
        <v>NO</v>
      </c>
      <c r="Q104" s="771">
        <f t="shared" si="24"/>
        <v>1.0787670219999999E-3</v>
      </c>
      <c r="R104" s="771">
        <f t="shared" si="25"/>
        <v>1.5466220949999999E-3</v>
      </c>
      <c r="S104" s="771">
        <f t="shared" si="26"/>
        <v>4.6398662849999998E-4</v>
      </c>
      <c r="T104" s="525">
        <f>+DATA!K100</f>
        <v>0</v>
      </c>
      <c r="U104" s="525">
        <f>+DATA!L100</f>
        <v>0</v>
      </c>
      <c r="V104" s="525">
        <f>+DATA!M100</f>
        <v>4139521</v>
      </c>
      <c r="W104" s="526">
        <f t="shared" si="27"/>
        <v>4139521</v>
      </c>
      <c r="X104" s="526">
        <f t="shared" si="33"/>
        <v>4139521</v>
      </c>
      <c r="Y104" s="526">
        <f t="shared" si="34"/>
        <v>4139521</v>
      </c>
      <c r="Z104" s="525">
        <f>+DATA!F100</f>
        <v>2304220.3979394156</v>
      </c>
      <c r="AA104" s="525">
        <f>IF(P104="SI",ROUND(Z104/DIV_Pf,PARAMETROS!$L$8),0)</f>
        <v>0</v>
      </c>
      <c r="AB104" s="526">
        <f t="shared" si="35"/>
        <v>18804</v>
      </c>
      <c r="AC104" s="775">
        <f t="shared" si="36"/>
        <v>220.14</v>
      </c>
      <c r="AD104" s="525">
        <f>IF(AC104&lt;$AC$6,ROUND(($AC$6-AC104)*AB104,PARAMETROS!$L$8),0)</f>
        <v>0</v>
      </c>
      <c r="AE104" s="771">
        <f t="shared" si="28"/>
        <v>0</v>
      </c>
      <c r="AF104" s="771">
        <f t="shared" si="29"/>
        <v>0</v>
      </c>
      <c r="AG104" s="771">
        <f t="shared" si="37"/>
        <v>1.2854716422999999E-3</v>
      </c>
      <c r="AH104" s="525">
        <f>+DATA!Q100</f>
        <v>9089639.523</v>
      </c>
      <c r="AI104" s="525">
        <f>+DATA!R100</f>
        <v>757469.96025</v>
      </c>
      <c r="AJ104" s="525">
        <f>+DATA!S100</f>
        <v>598401</v>
      </c>
      <c r="AK104" s="525">
        <f>+'_DATA STT PAGOS_'!G102</f>
        <v>0</v>
      </c>
      <c r="AL104" s="525">
        <f>+'_DATA STT PAGOS_'!J102</f>
        <v>12334849.558999998</v>
      </c>
      <c r="AM104" s="525">
        <f>+DATA!Y100</f>
        <v>278786</v>
      </c>
      <c r="AN104" s="525">
        <f>+DATA!Z100</f>
        <v>135175</v>
      </c>
      <c r="AO104" s="525">
        <f>+DATA!AA100</f>
        <v>182618</v>
      </c>
      <c r="AP104" s="525">
        <f>+DATA!AB100</f>
        <v>163675</v>
      </c>
      <c r="AQ104" s="525">
        <f>+DATA!AC100</f>
        <v>760254</v>
      </c>
      <c r="AR104" s="525">
        <f>+DATA!AD100</f>
        <v>24622</v>
      </c>
      <c r="AS104" s="525">
        <f>+DATA!AE100</f>
        <v>10726</v>
      </c>
      <c r="AT104" s="525">
        <f>+DATA!AF100</f>
        <v>15610.062</v>
      </c>
      <c r="AU104" s="525">
        <f>+DATA!AG100</f>
        <v>12339</v>
      </c>
      <c r="AV104" s="525">
        <f>+DATA!AH100</f>
        <v>63297.061999999998</v>
      </c>
    </row>
    <row r="105" spans="1:48" x14ac:dyDescent="0.25">
      <c r="A105" s="527">
        <v>6202</v>
      </c>
      <c r="B105" s="527">
        <v>6304</v>
      </c>
      <c r="C105" s="527" t="s">
        <v>145</v>
      </c>
      <c r="D105" s="771">
        <f t="shared" si="20"/>
        <v>2.8901734103999998E-3</v>
      </c>
      <c r="E105" s="771">
        <f t="shared" si="21"/>
        <v>7.2254335259999995E-4</v>
      </c>
      <c r="F105" s="525">
        <f>+DATA!D101</f>
        <v>3098</v>
      </c>
      <c r="G105" s="772">
        <f>+DATA!E101</f>
        <v>9.7283685469863657E-2</v>
      </c>
      <c r="H105" s="525">
        <f t="shared" si="30"/>
        <v>301</v>
      </c>
      <c r="I105" s="771">
        <f t="shared" si="22"/>
        <v>2.3050650169999999E-4</v>
      </c>
      <c r="J105" s="771">
        <f t="shared" si="23"/>
        <v>2.3050650199999999E-5</v>
      </c>
      <c r="K105" s="525">
        <f>+DATA!G101</f>
        <v>2038</v>
      </c>
      <c r="L105" s="525">
        <f>+DATA!H101</f>
        <v>5849</v>
      </c>
      <c r="M105" s="525">
        <f>+DATA!I101</f>
        <v>34750079448</v>
      </c>
      <c r="N105" s="525">
        <f>+DATA!J101</f>
        <v>181118732561</v>
      </c>
      <c r="O105" s="773">
        <f t="shared" si="31"/>
        <v>0.25855771132953381</v>
      </c>
      <c r="P105" s="774" t="str">
        <f t="shared" si="32"/>
        <v>NO</v>
      </c>
      <c r="Q105" s="771">
        <f t="shared" si="24"/>
        <v>1.3005582250000001E-4</v>
      </c>
      <c r="R105" s="771">
        <f t="shared" si="25"/>
        <v>1.864602871E-4</v>
      </c>
      <c r="S105" s="771">
        <f t="shared" si="26"/>
        <v>5.5938086099999999E-5</v>
      </c>
      <c r="T105" s="525">
        <f>+DATA!K101</f>
        <v>0</v>
      </c>
      <c r="U105" s="525">
        <f>+DATA!L101</f>
        <v>0</v>
      </c>
      <c r="V105" s="525">
        <f>+DATA!M101</f>
        <v>1938792</v>
      </c>
      <c r="W105" s="526">
        <f t="shared" si="27"/>
        <v>1938792</v>
      </c>
      <c r="X105" s="526">
        <f t="shared" si="33"/>
        <v>1938792</v>
      </c>
      <c r="Y105" s="526">
        <f t="shared" si="34"/>
        <v>1938792</v>
      </c>
      <c r="Z105" s="525">
        <f>+DATA!F101</f>
        <v>202847.8670752655</v>
      </c>
      <c r="AA105" s="525">
        <f>IF(P105="SI",ROUND(Z105/DIV_Pf,PARAMETROS!$L$8),0)</f>
        <v>0</v>
      </c>
      <c r="AB105" s="526">
        <f t="shared" si="35"/>
        <v>3098</v>
      </c>
      <c r="AC105" s="775">
        <f t="shared" si="36"/>
        <v>625.82000000000005</v>
      </c>
      <c r="AD105" s="525">
        <f>IF(AC105&lt;$AC$6,ROUND(($AC$6-AC105)*AB105,PARAMETROS!$L$8),0)</f>
        <v>0</v>
      </c>
      <c r="AE105" s="771">
        <f t="shared" si="28"/>
        <v>0</v>
      </c>
      <c r="AF105" s="771">
        <f t="shared" si="29"/>
        <v>0</v>
      </c>
      <c r="AG105" s="771">
        <f t="shared" si="37"/>
        <v>8.0153208889999997E-4</v>
      </c>
      <c r="AH105" s="525">
        <f>+DATA!Q101</f>
        <v>1512075.94</v>
      </c>
      <c r="AI105" s="525">
        <f>+DATA!R101</f>
        <v>126006.32833333332</v>
      </c>
      <c r="AJ105" s="525">
        <f>+DATA!S101</f>
        <v>99545</v>
      </c>
      <c r="AK105" s="525">
        <f>+'_DATA STT PAGOS_'!G103</f>
        <v>0</v>
      </c>
      <c r="AL105" s="525">
        <f>+'_DATA STT PAGOS_'!J103</f>
        <v>2052578.4039999999</v>
      </c>
      <c r="AM105" s="525">
        <f>+DATA!Y101</f>
        <v>51972</v>
      </c>
      <c r="AN105" s="525">
        <f>+DATA!Z101</f>
        <v>30626</v>
      </c>
      <c r="AO105" s="525">
        <f>+DATA!AA101</f>
        <v>43351</v>
      </c>
      <c r="AP105" s="525">
        <f>+DATA!AB101</f>
        <v>35447</v>
      </c>
      <c r="AQ105" s="525">
        <f>+DATA!AC101</f>
        <v>161396</v>
      </c>
      <c r="AR105" s="525">
        <f>+DATA!AD101</f>
        <v>16047</v>
      </c>
      <c r="AS105" s="525">
        <f>+DATA!AE101</f>
        <v>8813</v>
      </c>
      <c r="AT105" s="525">
        <f>+DATA!AF101</f>
        <v>11915.153</v>
      </c>
      <c r="AU105" s="525">
        <f>+DATA!AG101</f>
        <v>8078</v>
      </c>
      <c r="AV105" s="525">
        <f>+DATA!AH101</f>
        <v>44853.152999999998</v>
      </c>
    </row>
    <row r="106" spans="1:48" x14ac:dyDescent="0.25">
      <c r="A106" s="527">
        <v>6203</v>
      </c>
      <c r="B106" s="527">
        <v>6303</v>
      </c>
      <c r="C106" s="527" t="s">
        <v>144</v>
      </c>
      <c r="D106" s="771">
        <f t="shared" si="20"/>
        <v>2.8901734103999998E-3</v>
      </c>
      <c r="E106" s="771">
        <f t="shared" si="21"/>
        <v>7.2254335259999995E-4</v>
      </c>
      <c r="F106" s="525">
        <f>+DATA!D102</f>
        <v>6949</v>
      </c>
      <c r="G106" s="772">
        <f>+DATA!E102</f>
        <v>9.3722331906525666E-2</v>
      </c>
      <c r="H106" s="525">
        <f t="shared" si="30"/>
        <v>651</v>
      </c>
      <c r="I106" s="771">
        <f t="shared" si="22"/>
        <v>4.9853731749999999E-4</v>
      </c>
      <c r="J106" s="771">
        <f t="shared" si="23"/>
        <v>4.9853731799999998E-5</v>
      </c>
      <c r="K106" s="525">
        <f>+DATA!G102</f>
        <v>3409</v>
      </c>
      <c r="L106" s="525">
        <f>+DATA!H102</f>
        <v>11138</v>
      </c>
      <c r="M106" s="525">
        <f>+DATA!I102</f>
        <v>54017137933</v>
      </c>
      <c r="N106" s="525">
        <f>+DATA!J102</f>
        <v>328124359863</v>
      </c>
      <c r="O106" s="773">
        <f t="shared" si="31"/>
        <v>0.22446903623096101</v>
      </c>
      <c r="P106" s="774" t="str">
        <f t="shared" si="32"/>
        <v>NO</v>
      </c>
      <c r="Q106" s="771">
        <f t="shared" si="24"/>
        <v>1.910952319E-4</v>
      </c>
      <c r="R106" s="771">
        <f t="shared" si="25"/>
        <v>2.7397213849999997E-4</v>
      </c>
      <c r="S106" s="771">
        <f t="shared" si="26"/>
        <v>8.2191641600000003E-5</v>
      </c>
      <c r="T106" s="525">
        <f>+DATA!K102</f>
        <v>0</v>
      </c>
      <c r="U106" s="525">
        <f>+DATA!L102</f>
        <v>0</v>
      </c>
      <c r="V106" s="525">
        <f>+DATA!M102</f>
        <v>1755022</v>
      </c>
      <c r="W106" s="526">
        <f t="shared" si="27"/>
        <v>1755022</v>
      </c>
      <c r="X106" s="526">
        <f t="shared" si="33"/>
        <v>1755022</v>
      </c>
      <c r="Y106" s="526">
        <f t="shared" si="34"/>
        <v>1755022</v>
      </c>
      <c r="Z106" s="525">
        <f>+DATA!F102</f>
        <v>307899.28438185231</v>
      </c>
      <c r="AA106" s="525">
        <f>IF(P106="SI",ROUND(Z106/DIV_Pf,PARAMETROS!$L$8),0)</f>
        <v>0</v>
      </c>
      <c r="AB106" s="526">
        <f t="shared" si="35"/>
        <v>6949</v>
      </c>
      <c r="AC106" s="775">
        <f t="shared" si="36"/>
        <v>252.56</v>
      </c>
      <c r="AD106" s="525">
        <f>IF(AC106&lt;$AC$6,ROUND(($AC$6-AC106)*AB106,PARAMETROS!$L$8),0)</f>
        <v>0</v>
      </c>
      <c r="AE106" s="771">
        <f t="shared" si="28"/>
        <v>0</v>
      </c>
      <c r="AF106" s="771">
        <f t="shared" si="29"/>
        <v>0</v>
      </c>
      <c r="AG106" s="771">
        <f t="shared" si="37"/>
        <v>8.5458872600000001E-4</v>
      </c>
      <c r="AH106" s="525">
        <f>+DATA!Q102</f>
        <v>1625307.1170000001</v>
      </c>
      <c r="AI106" s="525">
        <f>+DATA!R102</f>
        <v>135442.25975</v>
      </c>
      <c r="AJ106" s="525">
        <f>+DATA!S102</f>
        <v>106999</v>
      </c>
      <c r="AK106" s="525">
        <f>+'_DATA STT PAGOS_'!G104</f>
        <v>0</v>
      </c>
      <c r="AL106" s="525">
        <f>+'_DATA STT PAGOS_'!J104</f>
        <v>2206136.0970000001</v>
      </c>
      <c r="AM106" s="525">
        <f>+DATA!Y102</f>
        <v>115642</v>
      </c>
      <c r="AN106" s="525">
        <f>+DATA!Z102</f>
        <v>66396</v>
      </c>
      <c r="AO106" s="525">
        <f>+DATA!AA102</f>
        <v>75920</v>
      </c>
      <c r="AP106" s="525">
        <f>+DATA!AB102</f>
        <v>59318</v>
      </c>
      <c r="AQ106" s="525">
        <f>+DATA!AC102</f>
        <v>317276</v>
      </c>
      <c r="AR106" s="525">
        <f>+DATA!AD102</f>
        <v>2226</v>
      </c>
      <c r="AS106" s="525">
        <f>+DATA!AE102</f>
        <v>2504</v>
      </c>
      <c r="AT106" s="525">
        <f>+DATA!AF102</f>
        <v>1420.2380000000001</v>
      </c>
      <c r="AU106" s="525">
        <f>+DATA!AG102</f>
        <v>773</v>
      </c>
      <c r="AV106" s="525">
        <f>+DATA!AH102</f>
        <v>6923.2380000000003</v>
      </c>
    </row>
    <row r="107" spans="1:48" x14ac:dyDescent="0.25">
      <c r="A107" s="527">
        <v>6204</v>
      </c>
      <c r="B107" s="527">
        <v>6305</v>
      </c>
      <c r="C107" s="527" t="s">
        <v>29</v>
      </c>
      <c r="D107" s="771">
        <f t="shared" si="20"/>
        <v>2.8901734103999998E-3</v>
      </c>
      <c r="E107" s="771">
        <f t="shared" si="21"/>
        <v>7.2254335259999995E-4</v>
      </c>
      <c r="F107" s="525">
        <f>+DATA!D103</f>
        <v>7715</v>
      </c>
      <c r="G107" s="772">
        <f>+DATA!E103</f>
        <v>9.1528079315654876E-2</v>
      </c>
      <c r="H107" s="525">
        <f t="shared" si="30"/>
        <v>706</v>
      </c>
      <c r="I107" s="771">
        <f t="shared" si="22"/>
        <v>5.4065644580000003E-4</v>
      </c>
      <c r="J107" s="771">
        <f t="shared" si="23"/>
        <v>5.4065644600000003E-5</v>
      </c>
      <c r="K107" s="525">
        <f>+DATA!G103</f>
        <v>3808</v>
      </c>
      <c r="L107" s="525">
        <f>+DATA!H103</f>
        <v>8710</v>
      </c>
      <c r="M107" s="525">
        <f>+DATA!I103</f>
        <v>51536560985</v>
      </c>
      <c r="N107" s="525">
        <f>+DATA!J103</f>
        <v>222465850711</v>
      </c>
      <c r="O107" s="773">
        <f t="shared" si="31"/>
        <v>0.31824781635270699</v>
      </c>
      <c r="P107" s="774" t="str">
        <f t="shared" si="32"/>
        <v>NO</v>
      </c>
      <c r="Q107" s="771">
        <f t="shared" si="24"/>
        <v>3.049149978E-4</v>
      </c>
      <c r="R107" s="771">
        <f t="shared" si="25"/>
        <v>4.3715488430000002E-4</v>
      </c>
      <c r="S107" s="771">
        <f t="shared" si="26"/>
        <v>1.3114646530000001E-4</v>
      </c>
      <c r="T107" s="525">
        <f>+DATA!K103</f>
        <v>0</v>
      </c>
      <c r="U107" s="525">
        <f>+DATA!L103</f>
        <v>0</v>
      </c>
      <c r="V107" s="525">
        <f>+DATA!M103</f>
        <v>3667983</v>
      </c>
      <c r="W107" s="526">
        <f t="shared" si="27"/>
        <v>3667983</v>
      </c>
      <c r="X107" s="526">
        <f t="shared" si="33"/>
        <v>3667983</v>
      </c>
      <c r="Y107" s="526">
        <f t="shared" si="34"/>
        <v>3667983</v>
      </c>
      <c r="Z107" s="525">
        <f>+DATA!F103</f>
        <v>270528.50551131956</v>
      </c>
      <c r="AA107" s="525">
        <f>IF(P107="SI",ROUND(Z107/DIV_Pf,PARAMETROS!$L$8),0)</f>
        <v>0</v>
      </c>
      <c r="AB107" s="526">
        <f t="shared" si="35"/>
        <v>7715</v>
      </c>
      <c r="AC107" s="775">
        <f t="shared" si="36"/>
        <v>475.44</v>
      </c>
      <c r="AD107" s="525">
        <f>IF(AC107&lt;$AC$6,ROUND(($AC$6-AC107)*AB107,PARAMETROS!$L$8),0)</f>
        <v>0</v>
      </c>
      <c r="AE107" s="771">
        <f t="shared" si="28"/>
        <v>0</v>
      </c>
      <c r="AF107" s="771">
        <f t="shared" si="29"/>
        <v>0</v>
      </c>
      <c r="AG107" s="771">
        <f t="shared" si="37"/>
        <v>9.0775546249999989E-4</v>
      </c>
      <c r="AH107" s="525">
        <f>+DATA!Q103</f>
        <v>1728028.4990000001</v>
      </c>
      <c r="AI107" s="525">
        <f>+DATA!R103</f>
        <v>144002.37491666668</v>
      </c>
      <c r="AJ107" s="525">
        <f>+DATA!S103</f>
        <v>113762</v>
      </c>
      <c r="AK107" s="525">
        <f>+'_DATA STT PAGOS_'!G105</f>
        <v>0</v>
      </c>
      <c r="AL107" s="525">
        <f>+'_DATA STT PAGOS_'!J105</f>
        <v>2345834.4920000001</v>
      </c>
      <c r="AM107" s="525">
        <f>+DATA!Y103</f>
        <v>46234</v>
      </c>
      <c r="AN107" s="525">
        <f>+DATA!Z103</f>
        <v>31992</v>
      </c>
      <c r="AO107" s="525">
        <f>+DATA!AA103</f>
        <v>36833</v>
      </c>
      <c r="AP107" s="525">
        <f>+DATA!AB103</f>
        <v>32305</v>
      </c>
      <c r="AQ107" s="525">
        <f>+DATA!AC103</f>
        <v>147364</v>
      </c>
      <c r="AR107" s="525">
        <f>+DATA!AD103</f>
        <v>959</v>
      </c>
      <c r="AS107" s="525">
        <f>+DATA!AE103</f>
        <v>424</v>
      </c>
      <c r="AT107" s="525">
        <f>+DATA!AF103</f>
        <v>509.83699999999999</v>
      </c>
      <c r="AU107" s="525">
        <f>+DATA!AG103</f>
        <v>466</v>
      </c>
      <c r="AV107" s="525">
        <f>+DATA!AH103</f>
        <v>2358.837</v>
      </c>
    </row>
    <row r="108" spans="1:48" x14ac:dyDescent="0.25">
      <c r="A108" s="527">
        <v>6205</v>
      </c>
      <c r="B108" s="527">
        <v>6302</v>
      </c>
      <c r="C108" s="527" t="s">
        <v>143</v>
      </c>
      <c r="D108" s="771">
        <f t="shared" si="20"/>
        <v>2.8901734103999998E-3</v>
      </c>
      <c r="E108" s="771">
        <f t="shared" si="21"/>
        <v>7.2254335259999995E-4</v>
      </c>
      <c r="F108" s="525">
        <f>+DATA!D104</f>
        <v>7135</v>
      </c>
      <c r="G108" s="772">
        <f>+DATA!E104</f>
        <v>0.12313941376562371</v>
      </c>
      <c r="H108" s="525">
        <f t="shared" si="30"/>
        <v>879</v>
      </c>
      <c r="I108" s="771">
        <f t="shared" si="22"/>
        <v>6.73140249E-4</v>
      </c>
      <c r="J108" s="771">
        <f t="shared" si="23"/>
        <v>6.7314024900000003E-5</v>
      </c>
      <c r="K108" s="525">
        <f>+DATA!G104</f>
        <v>5459</v>
      </c>
      <c r="L108" s="525">
        <f>+DATA!H104</f>
        <v>9473</v>
      </c>
      <c r="M108" s="525">
        <f>+DATA!I104</f>
        <v>81751140665.999985</v>
      </c>
      <c r="N108" s="525">
        <f>+DATA!J104</f>
        <v>230033662797</v>
      </c>
      <c r="O108" s="773">
        <f t="shared" si="31"/>
        <v>0.45254731410211124</v>
      </c>
      <c r="P108" s="774" t="str">
        <f t="shared" si="32"/>
        <v>NO</v>
      </c>
      <c r="Q108" s="771">
        <f t="shared" si="24"/>
        <v>5.7615815510000002E-4</v>
      </c>
      <c r="R108" s="771">
        <f t="shared" si="25"/>
        <v>8.2603464389999996E-4</v>
      </c>
      <c r="S108" s="771">
        <f t="shared" si="26"/>
        <v>2.4781039320000001E-4</v>
      </c>
      <c r="T108" s="525">
        <f>+DATA!K104</f>
        <v>0</v>
      </c>
      <c r="U108" s="525">
        <f>+DATA!L104</f>
        <v>0</v>
      </c>
      <c r="V108" s="525">
        <f>+DATA!M104</f>
        <v>857395</v>
      </c>
      <c r="W108" s="526">
        <f t="shared" si="27"/>
        <v>857395</v>
      </c>
      <c r="X108" s="526">
        <f t="shared" si="33"/>
        <v>857395</v>
      </c>
      <c r="Y108" s="526">
        <f t="shared" si="34"/>
        <v>857395</v>
      </c>
      <c r="Z108" s="525">
        <f>+DATA!F104</f>
        <v>804220.29155137111</v>
      </c>
      <c r="AA108" s="525">
        <f>IF(P108="SI",ROUND(Z108/DIV_Pf,PARAMETROS!$L$8),0)</f>
        <v>0</v>
      </c>
      <c r="AB108" s="526">
        <f t="shared" si="35"/>
        <v>7135</v>
      </c>
      <c r="AC108" s="775">
        <f t="shared" si="36"/>
        <v>120.17</v>
      </c>
      <c r="AD108" s="525">
        <f>IF(AC108&lt;$AC$6,ROUND(($AC$6-AC108)*AB108,PARAMETROS!$L$8),0)</f>
        <v>0</v>
      </c>
      <c r="AE108" s="771">
        <f t="shared" si="28"/>
        <v>0</v>
      </c>
      <c r="AF108" s="771">
        <f t="shared" si="29"/>
        <v>0</v>
      </c>
      <c r="AG108" s="771">
        <f t="shared" si="37"/>
        <v>1.0376677706999998E-3</v>
      </c>
      <c r="AH108" s="525">
        <f>+DATA!Q104</f>
        <v>5347109.6239999998</v>
      </c>
      <c r="AI108" s="525">
        <f>+DATA!R104</f>
        <v>445592.46866666665</v>
      </c>
      <c r="AJ108" s="525">
        <f>+DATA!S104</f>
        <v>352018</v>
      </c>
      <c r="AK108" s="525">
        <f>+'_DATA STT PAGOS_'!G106</f>
        <v>0</v>
      </c>
      <c r="AL108" s="525">
        <f>+'_DATA STT PAGOS_'!J106</f>
        <v>7256150.5420000004</v>
      </c>
      <c r="AM108" s="525">
        <f>+DATA!Y104</f>
        <v>58710</v>
      </c>
      <c r="AN108" s="525">
        <f>+DATA!Z104</f>
        <v>28810</v>
      </c>
      <c r="AO108" s="525">
        <f>+DATA!AA104</f>
        <v>35619</v>
      </c>
      <c r="AP108" s="525">
        <f>+DATA!AB104</f>
        <v>26234</v>
      </c>
      <c r="AQ108" s="525">
        <f>+DATA!AC104</f>
        <v>149373</v>
      </c>
      <c r="AR108" s="525">
        <f>+DATA!AD104</f>
        <v>4823</v>
      </c>
      <c r="AS108" s="525">
        <f>+DATA!AE104</f>
        <v>1755</v>
      </c>
      <c r="AT108" s="525">
        <f>+DATA!AF104</f>
        <v>2726.056</v>
      </c>
      <c r="AU108" s="525">
        <f>+DATA!AG104</f>
        <v>2011</v>
      </c>
      <c r="AV108" s="525">
        <f>+DATA!AH104</f>
        <v>11315.056</v>
      </c>
    </row>
    <row r="109" spans="1:48" x14ac:dyDescent="0.25">
      <c r="A109" s="527">
        <v>6206</v>
      </c>
      <c r="B109" s="527">
        <v>6306</v>
      </c>
      <c r="C109" s="527" t="s">
        <v>146</v>
      </c>
      <c r="D109" s="771">
        <f t="shared" si="20"/>
        <v>2.8901734103999998E-3</v>
      </c>
      <c r="E109" s="771">
        <f t="shared" si="21"/>
        <v>7.2254335259999995E-4</v>
      </c>
      <c r="F109" s="525">
        <f>+DATA!D105</f>
        <v>6259</v>
      </c>
      <c r="G109" s="772">
        <f>+DATA!E105</f>
        <v>0.1493725761650852</v>
      </c>
      <c r="H109" s="525">
        <f t="shared" si="30"/>
        <v>935</v>
      </c>
      <c r="I109" s="771">
        <f t="shared" si="22"/>
        <v>7.1602517960000004E-4</v>
      </c>
      <c r="J109" s="771">
        <f t="shared" si="23"/>
        <v>7.1602518E-5</v>
      </c>
      <c r="K109" s="525">
        <f>+DATA!G105</f>
        <v>5041</v>
      </c>
      <c r="L109" s="525">
        <f>+DATA!H105</f>
        <v>12100</v>
      </c>
      <c r="M109" s="525">
        <f>+DATA!I105</f>
        <v>57216524818</v>
      </c>
      <c r="N109" s="525">
        <f>+DATA!J105</f>
        <v>163411771229</v>
      </c>
      <c r="O109" s="773">
        <f t="shared" si="31"/>
        <v>0.38193084442629277</v>
      </c>
      <c r="P109" s="774" t="str">
        <f t="shared" si="32"/>
        <v>NO</v>
      </c>
      <c r="Q109" s="771">
        <f t="shared" si="24"/>
        <v>3.8463702480000001E-4</v>
      </c>
      <c r="R109" s="771">
        <f t="shared" si="25"/>
        <v>5.5145189740000002E-4</v>
      </c>
      <c r="S109" s="771">
        <f t="shared" si="26"/>
        <v>1.654355692E-4</v>
      </c>
      <c r="T109" s="525">
        <f>+DATA!K105</f>
        <v>0</v>
      </c>
      <c r="U109" s="525">
        <f>+DATA!L105</f>
        <v>0</v>
      </c>
      <c r="V109" s="525">
        <f>+DATA!M105</f>
        <v>616292</v>
      </c>
      <c r="W109" s="526">
        <f t="shared" si="27"/>
        <v>616292</v>
      </c>
      <c r="X109" s="526">
        <f t="shared" si="33"/>
        <v>616292</v>
      </c>
      <c r="Y109" s="526">
        <f t="shared" si="34"/>
        <v>616292</v>
      </c>
      <c r="Z109" s="525">
        <f>+DATA!F105</f>
        <v>338078.86567789095</v>
      </c>
      <c r="AA109" s="525">
        <f>IF(P109="SI",ROUND(Z109/DIV_Pf,PARAMETROS!$L$8),0)</f>
        <v>0</v>
      </c>
      <c r="AB109" s="526">
        <f t="shared" si="35"/>
        <v>6259</v>
      </c>
      <c r="AC109" s="775">
        <f t="shared" si="36"/>
        <v>98.46</v>
      </c>
      <c r="AD109" s="525">
        <f>IF(AC109&lt;$AC$6,ROUND(($AC$6-AC109)*AB109,PARAMETROS!$L$8),0)</f>
        <v>37930</v>
      </c>
      <c r="AE109" s="771">
        <f t="shared" si="28"/>
        <v>3.6405972E-5</v>
      </c>
      <c r="AF109" s="771">
        <f t="shared" si="29"/>
        <v>1.27420902E-5</v>
      </c>
      <c r="AG109" s="771">
        <f t="shared" si="37"/>
        <v>9.7232352999999992E-4</v>
      </c>
      <c r="AH109" s="525">
        <f>+DATA!Q105</f>
        <v>2880727.4</v>
      </c>
      <c r="AI109" s="525">
        <f>+DATA!R105</f>
        <v>240060.61666666667</v>
      </c>
      <c r="AJ109" s="525">
        <f>+DATA!S105</f>
        <v>189648</v>
      </c>
      <c r="AK109" s="525">
        <f>+'_DATA STT PAGOS_'!G107</f>
        <v>0</v>
      </c>
      <c r="AL109" s="525">
        <f>+'_DATA STT PAGOS_'!J107</f>
        <v>3909213.2359999996</v>
      </c>
      <c r="AM109" s="525">
        <f>+DATA!Y105</f>
        <v>42166</v>
      </c>
      <c r="AN109" s="525">
        <f>+DATA!Z105</f>
        <v>17569</v>
      </c>
      <c r="AO109" s="525">
        <f>+DATA!AA105</f>
        <v>22903</v>
      </c>
      <c r="AP109" s="525">
        <f>+DATA!AB105</f>
        <v>17747</v>
      </c>
      <c r="AQ109" s="525">
        <f>+DATA!AC105</f>
        <v>100385</v>
      </c>
      <c r="AR109" s="525">
        <f>+DATA!AD105</f>
        <v>1925</v>
      </c>
      <c r="AS109" s="525">
        <f>+DATA!AE105</f>
        <v>604</v>
      </c>
      <c r="AT109" s="525">
        <f>+DATA!AF105</f>
        <v>952.54499999999996</v>
      </c>
      <c r="AU109" s="525">
        <f>+DATA!AG105</f>
        <v>560</v>
      </c>
      <c r="AV109" s="525">
        <f>+DATA!AH105</f>
        <v>4041.5450000000001</v>
      </c>
    </row>
    <row r="110" spans="1:48" x14ac:dyDescent="0.25">
      <c r="A110" s="527">
        <v>6301</v>
      </c>
      <c r="B110" s="527">
        <v>6201</v>
      </c>
      <c r="C110" s="527" t="s">
        <v>133</v>
      </c>
      <c r="D110" s="771">
        <f t="shared" si="20"/>
        <v>2.8901734103999998E-3</v>
      </c>
      <c r="E110" s="771">
        <f t="shared" si="21"/>
        <v>7.2254335259999995E-4</v>
      </c>
      <c r="F110" s="525">
        <f>+DATA!D106</f>
        <v>81117</v>
      </c>
      <c r="G110" s="772">
        <f>+DATA!E106</f>
        <v>6.8084432905669331E-2</v>
      </c>
      <c r="H110" s="525">
        <f t="shared" si="30"/>
        <v>5523</v>
      </c>
      <c r="I110" s="771">
        <f t="shared" si="22"/>
        <v>4.2295262746999997E-3</v>
      </c>
      <c r="J110" s="771">
        <f t="shared" si="23"/>
        <v>4.2295262750000003E-4</v>
      </c>
      <c r="K110" s="525">
        <f>+DATA!G106</f>
        <v>26380</v>
      </c>
      <c r="L110" s="525">
        <f>+DATA!H106</f>
        <v>34431</v>
      </c>
      <c r="M110" s="525">
        <f>+DATA!I106</f>
        <v>834802451473</v>
      </c>
      <c r="N110" s="525">
        <f>+DATA!J106</f>
        <v>2011058053029</v>
      </c>
      <c r="O110" s="773">
        <f t="shared" si="31"/>
        <v>0.56395198748031139</v>
      </c>
      <c r="P110" s="774" t="str">
        <f t="shared" si="32"/>
        <v>SI</v>
      </c>
      <c r="Q110" s="771">
        <f t="shared" si="24"/>
        <v>3.7017152502999999E-3</v>
      </c>
      <c r="R110" s="771">
        <f t="shared" si="25"/>
        <v>5.3071279330000002E-3</v>
      </c>
      <c r="S110" s="771">
        <f t="shared" si="26"/>
        <v>1.5921383799E-3</v>
      </c>
      <c r="T110" s="525">
        <f>+DATA!K106</f>
        <v>0</v>
      </c>
      <c r="U110" s="525">
        <f>+DATA!L106</f>
        <v>0</v>
      </c>
      <c r="V110" s="525">
        <f>+DATA!M106</f>
        <v>10567254</v>
      </c>
      <c r="W110" s="526">
        <f t="shared" si="27"/>
        <v>10567254</v>
      </c>
      <c r="X110" s="526">
        <f t="shared" si="33"/>
        <v>10567254</v>
      </c>
      <c r="Y110" s="526">
        <f t="shared" si="34"/>
        <v>10567254</v>
      </c>
      <c r="Z110" s="525">
        <f>+DATA!F106</f>
        <v>680006.82023777417</v>
      </c>
      <c r="AA110" s="525">
        <f>IF(P110="SI",ROUND(Z110/DIV_Pf,PARAMETROS!$L$8),0)</f>
        <v>56667</v>
      </c>
      <c r="AB110" s="526">
        <f t="shared" si="35"/>
        <v>137784</v>
      </c>
      <c r="AC110" s="775">
        <f t="shared" si="36"/>
        <v>76.69</v>
      </c>
      <c r="AD110" s="525">
        <f>IF(AC110&lt;$AC$6,ROUND(($AC$6-AC110)*AB110,PARAMETROS!$L$8),0)</f>
        <v>3834529</v>
      </c>
      <c r="AE110" s="771">
        <f t="shared" si="28"/>
        <v>3.6804575605E-3</v>
      </c>
      <c r="AF110" s="771">
        <f t="shared" si="29"/>
        <v>1.2881601462E-3</v>
      </c>
      <c r="AG110" s="771">
        <f t="shared" si="37"/>
        <v>4.0257945061999995E-3</v>
      </c>
      <c r="AH110" s="525">
        <f>+DATA!Q106</f>
        <v>7413542.2510000002</v>
      </c>
      <c r="AI110" s="525">
        <f>+DATA!R106</f>
        <v>617795.18758333335</v>
      </c>
      <c r="AJ110" s="525">
        <f>+DATA!S106</f>
        <v>488058</v>
      </c>
      <c r="AK110" s="525">
        <f>+'_DATA STT PAGOS_'!G108</f>
        <v>0</v>
      </c>
      <c r="AL110" s="525">
        <f>+'_DATA STT PAGOS_'!J108</f>
        <v>10064127.697000001</v>
      </c>
      <c r="AM110" s="525">
        <f>+DATA!Y106</f>
        <v>536257</v>
      </c>
      <c r="AN110" s="525">
        <f>+DATA!Z106</f>
        <v>405788</v>
      </c>
      <c r="AO110" s="525">
        <f>+DATA!AA106</f>
        <v>452204</v>
      </c>
      <c r="AP110" s="525">
        <f>+DATA!AB106</f>
        <v>388546</v>
      </c>
      <c r="AQ110" s="525">
        <f>+DATA!AC106</f>
        <v>1782795</v>
      </c>
      <c r="AR110" s="525">
        <f>+DATA!AD106</f>
        <v>34493</v>
      </c>
      <c r="AS110" s="525">
        <f>+DATA!AE106</f>
        <v>18254</v>
      </c>
      <c r="AT110" s="525">
        <f>+DATA!AF106</f>
        <v>24195.530999999999</v>
      </c>
      <c r="AU110" s="525">
        <f>+DATA!AG106</f>
        <v>17682</v>
      </c>
      <c r="AV110" s="525">
        <f>+DATA!AH106</f>
        <v>94624.531000000003</v>
      </c>
    </row>
    <row r="111" spans="1:48" x14ac:dyDescent="0.25">
      <c r="A111" s="527">
        <v>6302</v>
      </c>
      <c r="B111" s="527">
        <v>6209</v>
      </c>
      <c r="C111" s="527" t="s">
        <v>386</v>
      </c>
      <c r="D111" s="771">
        <f t="shared" si="20"/>
        <v>2.8901734103999998E-3</v>
      </c>
      <c r="E111" s="771">
        <f t="shared" si="21"/>
        <v>7.2254335259999995E-4</v>
      </c>
      <c r="F111" s="525">
        <f>+DATA!D107</f>
        <v>16148</v>
      </c>
      <c r="G111" s="772">
        <f>+DATA!E107</f>
        <v>8.8650564388402422E-2</v>
      </c>
      <c r="H111" s="525">
        <f t="shared" si="30"/>
        <v>1432</v>
      </c>
      <c r="I111" s="771">
        <f t="shared" si="22"/>
        <v>1.0966289380999999E-3</v>
      </c>
      <c r="J111" s="771">
        <f t="shared" si="23"/>
        <v>1.096628938E-4</v>
      </c>
      <c r="K111" s="525">
        <f>+DATA!G107</f>
        <v>6697</v>
      </c>
      <c r="L111" s="525">
        <f>+DATA!H107</f>
        <v>9407</v>
      </c>
      <c r="M111" s="525">
        <f>+DATA!I107</f>
        <v>108524154193</v>
      </c>
      <c r="N111" s="525">
        <f>+DATA!J107</f>
        <v>350279800599</v>
      </c>
      <c r="O111" s="773">
        <f t="shared" si="31"/>
        <v>0.46964557571214105</v>
      </c>
      <c r="P111" s="774" t="str">
        <f t="shared" si="32"/>
        <v>SI</v>
      </c>
      <c r="Q111" s="771">
        <f t="shared" si="24"/>
        <v>8.7319756499999995E-4</v>
      </c>
      <c r="R111" s="771">
        <f t="shared" si="25"/>
        <v>1.2518983429999999E-3</v>
      </c>
      <c r="S111" s="771">
        <f t="shared" si="26"/>
        <v>3.7556950289999999E-4</v>
      </c>
      <c r="T111" s="525">
        <f>+DATA!K107</f>
        <v>0</v>
      </c>
      <c r="U111" s="525">
        <f>+DATA!L107</f>
        <v>0</v>
      </c>
      <c r="V111" s="525">
        <f>+DATA!M107</f>
        <v>1024249</v>
      </c>
      <c r="W111" s="526">
        <f t="shared" si="27"/>
        <v>1024249</v>
      </c>
      <c r="X111" s="526">
        <f t="shared" si="33"/>
        <v>1024249</v>
      </c>
      <c r="Y111" s="526">
        <f t="shared" si="34"/>
        <v>1024249</v>
      </c>
      <c r="Z111" s="525">
        <f>+DATA!F107</f>
        <v>140416.12083313463</v>
      </c>
      <c r="AA111" s="525">
        <f>IF(P111="SI",ROUND(Z111/DIV_Pf,PARAMETROS!$L$8),0)</f>
        <v>11701</v>
      </c>
      <c r="AB111" s="526">
        <f t="shared" si="35"/>
        <v>27849</v>
      </c>
      <c r="AC111" s="775">
        <f t="shared" si="36"/>
        <v>36.78</v>
      </c>
      <c r="AD111" s="525">
        <f>IF(AC111&lt;$AC$6,ROUND(($AC$6-AC111)*AB111,PARAMETROS!$L$8),0)</f>
        <v>1886491</v>
      </c>
      <c r="AE111" s="771">
        <f t="shared" si="28"/>
        <v>1.8106917599999999E-3</v>
      </c>
      <c r="AF111" s="771">
        <f t="shared" si="29"/>
        <v>6.3374211600000004E-4</v>
      </c>
      <c r="AG111" s="771">
        <f t="shared" si="37"/>
        <v>1.8415178653E-3</v>
      </c>
      <c r="AH111" s="525">
        <f>+DATA!Q107</f>
        <v>3167179.4739999999</v>
      </c>
      <c r="AI111" s="525">
        <f>+DATA!R107</f>
        <v>263931.62283333333</v>
      </c>
      <c r="AJ111" s="525">
        <f>+DATA!S107</f>
        <v>208506</v>
      </c>
      <c r="AK111" s="525">
        <f>+'_DATA STT PAGOS_'!G109</f>
        <v>0</v>
      </c>
      <c r="AL111" s="525">
        <f>+'_DATA STT PAGOS_'!J109</f>
        <v>4297661.9950000001</v>
      </c>
      <c r="AM111" s="525">
        <f>+DATA!Y107</f>
        <v>61225</v>
      </c>
      <c r="AN111" s="525">
        <f>+DATA!Z107</f>
        <v>38254</v>
      </c>
      <c r="AO111" s="525">
        <f>+DATA!AA107</f>
        <v>42310</v>
      </c>
      <c r="AP111" s="525">
        <f>+DATA!AB107</f>
        <v>33494</v>
      </c>
      <c r="AQ111" s="525">
        <f>+DATA!AC107</f>
        <v>175283</v>
      </c>
      <c r="AR111" s="525">
        <f>+DATA!AD107</f>
        <v>1285</v>
      </c>
      <c r="AS111" s="525">
        <f>+DATA!AE107</f>
        <v>424</v>
      </c>
      <c r="AT111" s="525">
        <f>+DATA!AF107</f>
        <v>692.60400000000004</v>
      </c>
      <c r="AU111" s="525">
        <f>+DATA!AG107</f>
        <v>1094</v>
      </c>
      <c r="AV111" s="525">
        <f>+DATA!AH107</f>
        <v>3495.6040000000003</v>
      </c>
    </row>
    <row r="112" spans="1:48" x14ac:dyDescent="0.25">
      <c r="A112" s="527">
        <v>6303</v>
      </c>
      <c r="B112" s="527">
        <v>6202</v>
      </c>
      <c r="C112" s="527" t="s">
        <v>134</v>
      </c>
      <c r="D112" s="771">
        <f t="shared" si="20"/>
        <v>2.8901734103999998E-3</v>
      </c>
      <c r="E112" s="771">
        <f t="shared" si="21"/>
        <v>7.2254335259999995E-4</v>
      </c>
      <c r="F112" s="525">
        <f>+DATA!D108</f>
        <v>38451</v>
      </c>
      <c r="G112" s="772">
        <f>+DATA!E108</f>
        <v>8.5254408626254788E-2</v>
      </c>
      <c r="H112" s="525">
        <f t="shared" si="30"/>
        <v>3278</v>
      </c>
      <c r="I112" s="771">
        <f t="shared" si="22"/>
        <v>2.5103000414000002E-3</v>
      </c>
      <c r="J112" s="771">
        <f t="shared" si="23"/>
        <v>2.5103000409999998E-4</v>
      </c>
      <c r="K112" s="525">
        <f>+DATA!G108</f>
        <v>12033</v>
      </c>
      <c r="L112" s="525">
        <f>+DATA!H108</f>
        <v>16916</v>
      </c>
      <c r="M112" s="525">
        <f>+DATA!I108</f>
        <v>293014149580</v>
      </c>
      <c r="N112" s="525">
        <f>+DATA!J108</f>
        <v>804887087345</v>
      </c>
      <c r="O112" s="773">
        <f t="shared" si="31"/>
        <v>0.50887947727593119</v>
      </c>
      <c r="P112" s="774" t="str">
        <f t="shared" si="32"/>
        <v>SI</v>
      </c>
      <c r="Q112" s="771">
        <f t="shared" si="24"/>
        <v>1.5676648438E-3</v>
      </c>
      <c r="R112" s="771">
        <f t="shared" si="25"/>
        <v>2.2475520993999998E-3</v>
      </c>
      <c r="S112" s="771">
        <f t="shared" si="26"/>
        <v>6.7426562979999998E-4</v>
      </c>
      <c r="T112" s="525">
        <f>+DATA!K108</f>
        <v>0</v>
      </c>
      <c r="U112" s="525">
        <f>+DATA!L108</f>
        <v>0</v>
      </c>
      <c r="V112" s="525">
        <f>+DATA!M108</f>
        <v>3078140</v>
      </c>
      <c r="W112" s="526">
        <f t="shared" si="27"/>
        <v>3078140</v>
      </c>
      <c r="X112" s="526">
        <f t="shared" si="33"/>
        <v>3078140</v>
      </c>
      <c r="Y112" s="526">
        <f t="shared" si="34"/>
        <v>3078140</v>
      </c>
      <c r="Z112" s="525">
        <f>+DATA!F108</f>
        <v>456279.38510296482</v>
      </c>
      <c r="AA112" s="525">
        <f>IF(P112="SI",ROUND(Z112/DIV_Pf,PARAMETROS!$L$8),0)</f>
        <v>38023</v>
      </c>
      <c r="AB112" s="526">
        <f t="shared" si="35"/>
        <v>76474</v>
      </c>
      <c r="AC112" s="775">
        <f t="shared" si="36"/>
        <v>40.25</v>
      </c>
      <c r="AD112" s="525">
        <f>IF(AC112&lt;$AC$6,ROUND(($AC$6-AC112)*AB112,PARAMETROS!$L$8),0)</f>
        <v>4914984</v>
      </c>
      <c r="AE112" s="771">
        <f t="shared" si="28"/>
        <v>4.7174998604000004E-3</v>
      </c>
      <c r="AF112" s="771">
        <f t="shared" si="29"/>
        <v>1.6511249511000001E-3</v>
      </c>
      <c r="AG112" s="771">
        <f t="shared" si="37"/>
        <v>3.2989639376000001E-3</v>
      </c>
      <c r="AH112" s="525">
        <f>+DATA!Q108</f>
        <v>5815353.6840000004</v>
      </c>
      <c r="AI112" s="525">
        <f>+DATA!R108</f>
        <v>484612.80700000003</v>
      </c>
      <c r="AJ112" s="525">
        <f>+DATA!S108</f>
        <v>382844</v>
      </c>
      <c r="AK112" s="525">
        <f>+'_DATA STT PAGOS_'!G110</f>
        <v>0</v>
      </c>
      <c r="AL112" s="525">
        <f>+'_DATA STT PAGOS_'!J110</f>
        <v>7893098.1910000006</v>
      </c>
      <c r="AM112" s="525">
        <f>+DATA!Y108</f>
        <v>153474</v>
      </c>
      <c r="AN112" s="525">
        <f>+DATA!Z108</f>
        <v>124600</v>
      </c>
      <c r="AO112" s="525">
        <f>+DATA!AA108</f>
        <v>120471</v>
      </c>
      <c r="AP112" s="525">
        <f>+DATA!AB108</f>
        <v>104108</v>
      </c>
      <c r="AQ112" s="525">
        <f>+DATA!AC108</f>
        <v>502653</v>
      </c>
      <c r="AR112" s="525">
        <f>+DATA!AD108</f>
        <v>1627</v>
      </c>
      <c r="AS112" s="525">
        <f>+DATA!AE108</f>
        <v>966</v>
      </c>
      <c r="AT112" s="525">
        <f>+DATA!AF108</f>
        <v>1650.0039999999999</v>
      </c>
      <c r="AU112" s="525">
        <f>+DATA!AG108</f>
        <v>962</v>
      </c>
      <c r="AV112" s="525">
        <f>+DATA!AH108</f>
        <v>5205.0039999999999</v>
      </c>
    </row>
    <row r="113" spans="1:48" x14ac:dyDescent="0.25">
      <c r="A113" s="527">
        <v>6304</v>
      </c>
      <c r="B113" s="527">
        <v>6206</v>
      </c>
      <c r="C113" s="527" t="s">
        <v>138</v>
      </c>
      <c r="D113" s="771">
        <f t="shared" si="20"/>
        <v>2.8901734103999998E-3</v>
      </c>
      <c r="E113" s="771">
        <f t="shared" si="21"/>
        <v>7.2254335259999995E-4</v>
      </c>
      <c r="F113" s="525">
        <f>+DATA!D109</f>
        <v>7454</v>
      </c>
      <c r="G113" s="772">
        <f>+DATA!E109</f>
        <v>0.1145996711178917</v>
      </c>
      <c r="H113" s="525">
        <f t="shared" si="30"/>
        <v>854</v>
      </c>
      <c r="I113" s="771">
        <f t="shared" si="22"/>
        <v>6.5399519080000003E-4</v>
      </c>
      <c r="J113" s="771">
        <f t="shared" si="23"/>
        <v>6.5399519100000007E-5</v>
      </c>
      <c r="K113" s="525">
        <f>+DATA!G109</f>
        <v>3999</v>
      </c>
      <c r="L113" s="525">
        <f>+DATA!H109</f>
        <v>6348</v>
      </c>
      <c r="M113" s="525">
        <f>+DATA!I109</f>
        <v>52781452448</v>
      </c>
      <c r="N113" s="525">
        <f>+DATA!J109</f>
        <v>189964693122</v>
      </c>
      <c r="O113" s="773">
        <f t="shared" si="31"/>
        <v>0.4183708971185674</v>
      </c>
      <c r="P113" s="774" t="str">
        <f t="shared" si="32"/>
        <v>NO</v>
      </c>
      <c r="Q113" s="771">
        <f t="shared" si="24"/>
        <v>4.613908231E-4</v>
      </c>
      <c r="R113" s="771">
        <f t="shared" si="25"/>
        <v>6.6149337799999998E-4</v>
      </c>
      <c r="S113" s="771">
        <f t="shared" si="26"/>
        <v>1.9844801339999999E-4</v>
      </c>
      <c r="T113" s="525">
        <f>+DATA!K109</f>
        <v>0</v>
      </c>
      <c r="U113" s="525">
        <f>+DATA!L109</f>
        <v>0</v>
      </c>
      <c r="V113" s="525">
        <f>+DATA!M109</f>
        <v>909421</v>
      </c>
      <c r="W113" s="526">
        <f t="shared" si="27"/>
        <v>909421</v>
      </c>
      <c r="X113" s="526">
        <f t="shared" si="33"/>
        <v>909421</v>
      </c>
      <c r="Y113" s="526">
        <f t="shared" si="34"/>
        <v>909421</v>
      </c>
      <c r="Z113" s="525">
        <f>+DATA!F109</f>
        <v>176742.59759271212</v>
      </c>
      <c r="AA113" s="525">
        <f>IF(P113="SI",ROUND(Z113/DIV_Pf,PARAMETROS!$L$8),0)</f>
        <v>0</v>
      </c>
      <c r="AB113" s="526">
        <f t="shared" si="35"/>
        <v>7454</v>
      </c>
      <c r="AC113" s="775">
        <f t="shared" si="36"/>
        <v>122</v>
      </c>
      <c r="AD113" s="525">
        <f>IF(AC113&lt;$AC$6,ROUND(($AC$6-AC113)*AB113,PARAMETROS!$L$8),0)</f>
        <v>0</v>
      </c>
      <c r="AE113" s="771">
        <f t="shared" si="28"/>
        <v>0</v>
      </c>
      <c r="AF113" s="771">
        <f t="shared" si="29"/>
        <v>0</v>
      </c>
      <c r="AG113" s="771">
        <f t="shared" si="37"/>
        <v>9.8639088509999999E-4</v>
      </c>
      <c r="AH113" s="525">
        <f>+DATA!Q109</f>
        <v>1863535.862</v>
      </c>
      <c r="AI113" s="525">
        <f>+DATA!R109</f>
        <v>155294.65516666666</v>
      </c>
      <c r="AJ113" s="525">
        <f>+DATA!S109</f>
        <v>122683</v>
      </c>
      <c r="AK113" s="525">
        <f>+'_DATA STT PAGOS_'!G111</f>
        <v>0</v>
      </c>
      <c r="AL113" s="525">
        <f>+'_DATA STT PAGOS_'!J111</f>
        <v>2529708.2179999999</v>
      </c>
      <c r="AM113" s="525">
        <f>+DATA!Y109</f>
        <v>32727</v>
      </c>
      <c r="AN113" s="525">
        <f>+DATA!Z109</f>
        <v>17472</v>
      </c>
      <c r="AO113" s="525">
        <f>+DATA!AA109</f>
        <v>22697</v>
      </c>
      <c r="AP113" s="525">
        <f>+DATA!AB109</f>
        <v>23945</v>
      </c>
      <c r="AQ113" s="525">
        <f>+DATA!AC109</f>
        <v>96841</v>
      </c>
      <c r="AR113" s="525">
        <f>+DATA!AD109</f>
        <v>229</v>
      </c>
      <c r="AS113" s="525">
        <f>+DATA!AE109</f>
        <v>98</v>
      </c>
      <c r="AT113" s="525">
        <f>+DATA!AF109</f>
        <v>286.827</v>
      </c>
      <c r="AU113" s="525">
        <f>+DATA!AG109</f>
        <v>201</v>
      </c>
      <c r="AV113" s="525">
        <f>+DATA!AH109</f>
        <v>814.827</v>
      </c>
    </row>
    <row r="114" spans="1:48" x14ac:dyDescent="0.25">
      <c r="A114" s="527">
        <v>6305</v>
      </c>
      <c r="B114" s="527">
        <v>6203</v>
      </c>
      <c r="C114" s="527" t="s">
        <v>135</v>
      </c>
      <c r="D114" s="771">
        <f t="shared" si="20"/>
        <v>2.8901734103999998E-3</v>
      </c>
      <c r="E114" s="771">
        <f t="shared" si="21"/>
        <v>7.2254335259999995E-4</v>
      </c>
      <c r="F114" s="525">
        <f>+DATA!D110</f>
        <v>19725</v>
      </c>
      <c r="G114" s="772">
        <f>+DATA!E110</f>
        <v>8.9111872032271972E-2</v>
      </c>
      <c r="H114" s="525">
        <f t="shared" si="30"/>
        <v>1758</v>
      </c>
      <c r="I114" s="771">
        <f t="shared" si="22"/>
        <v>1.3462804981000001E-3</v>
      </c>
      <c r="J114" s="771">
        <f t="shared" si="23"/>
        <v>1.3462804980000001E-4</v>
      </c>
      <c r="K114" s="525">
        <f>+DATA!G110</f>
        <v>6417</v>
      </c>
      <c r="L114" s="525">
        <f>+DATA!H110</f>
        <v>8154</v>
      </c>
      <c r="M114" s="525">
        <f>+DATA!I110</f>
        <v>111116716128</v>
      </c>
      <c r="N114" s="525">
        <f>+DATA!J110</f>
        <v>272004523415</v>
      </c>
      <c r="O114" s="773">
        <f t="shared" si="31"/>
        <v>0.56699901173283629</v>
      </c>
      <c r="P114" s="774" t="str">
        <f t="shared" si="32"/>
        <v>SI</v>
      </c>
      <c r="Q114" s="771">
        <f t="shared" si="24"/>
        <v>9.2490352269999996E-4</v>
      </c>
      <c r="R114" s="771">
        <f t="shared" si="25"/>
        <v>1.3260288782000001E-3</v>
      </c>
      <c r="S114" s="771">
        <f t="shared" si="26"/>
        <v>3.9780866349999999E-4</v>
      </c>
      <c r="T114" s="525">
        <f>+DATA!K110</f>
        <v>0</v>
      </c>
      <c r="U114" s="525">
        <f>+DATA!L110</f>
        <v>0</v>
      </c>
      <c r="V114" s="525">
        <f>+DATA!M110</f>
        <v>2120466</v>
      </c>
      <c r="W114" s="526">
        <f t="shared" si="27"/>
        <v>2120466</v>
      </c>
      <c r="X114" s="526">
        <f t="shared" si="33"/>
        <v>2120466</v>
      </c>
      <c r="Y114" s="526">
        <f t="shared" si="34"/>
        <v>2120466</v>
      </c>
      <c r="Z114" s="525">
        <f>+DATA!F110</f>
        <v>154960.03667581201</v>
      </c>
      <c r="AA114" s="525">
        <f>IF(P114="SI",ROUND(Z114/DIV_Pf,PARAMETROS!$L$8),0)</f>
        <v>12913</v>
      </c>
      <c r="AB114" s="526">
        <f t="shared" si="35"/>
        <v>32638</v>
      </c>
      <c r="AC114" s="775">
        <f t="shared" si="36"/>
        <v>64.97</v>
      </c>
      <c r="AD114" s="525">
        <f>IF(AC114&lt;$AC$6,ROUND(($AC$6-AC114)*AB114,PARAMETROS!$L$8),0)</f>
        <v>1290833</v>
      </c>
      <c r="AE114" s="771">
        <f t="shared" si="28"/>
        <v>1.2389673084000001E-3</v>
      </c>
      <c r="AF114" s="771">
        <f t="shared" si="29"/>
        <v>4.3363855789999999E-4</v>
      </c>
      <c r="AG114" s="771">
        <f t="shared" si="37"/>
        <v>1.6886186238E-3</v>
      </c>
      <c r="AH114" s="525">
        <f>+DATA!Q110</f>
        <v>3021540.5809999998</v>
      </c>
      <c r="AI114" s="525">
        <f>+DATA!R110</f>
        <v>251795.04841666666</v>
      </c>
      <c r="AJ114" s="525">
        <f>+DATA!S110</f>
        <v>198918</v>
      </c>
      <c r="AK114" s="525">
        <f>+'_DATA STT PAGOS_'!G112</f>
        <v>0</v>
      </c>
      <c r="AL114" s="525">
        <f>+'_DATA STT PAGOS_'!J112</f>
        <v>4100878.8909999998</v>
      </c>
      <c r="AM114" s="525">
        <f>+DATA!Y110</f>
        <v>46372</v>
      </c>
      <c r="AN114" s="525">
        <f>+DATA!Z110</f>
        <v>33830</v>
      </c>
      <c r="AO114" s="525">
        <f>+DATA!AA110</f>
        <v>34828</v>
      </c>
      <c r="AP114" s="525">
        <f>+DATA!AB110</f>
        <v>45145</v>
      </c>
      <c r="AQ114" s="525">
        <f>+DATA!AC110</f>
        <v>160175</v>
      </c>
      <c r="AR114" s="525">
        <f>+DATA!AD110</f>
        <v>522</v>
      </c>
      <c r="AS114" s="525">
        <f>+DATA!AE110</f>
        <v>272</v>
      </c>
      <c r="AT114" s="525">
        <f>+DATA!AF110</f>
        <v>433.83800000000002</v>
      </c>
      <c r="AU114" s="525">
        <f>+DATA!AG110</f>
        <v>259</v>
      </c>
      <c r="AV114" s="525">
        <f>+DATA!AH110</f>
        <v>1486.838</v>
      </c>
    </row>
    <row r="115" spans="1:48" x14ac:dyDescent="0.25">
      <c r="A115" s="527">
        <v>6306</v>
      </c>
      <c r="B115" s="527">
        <v>6207</v>
      </c>
      <c r="C115" s="527" t="s">
        <v>139</v>
      </c>
      <c r="D115" s="771">
        <f t="shared" si="20"/>
        <v>2.8901734103999998E-3</v>
      </c>
      <c r="E115" s="771">
        <f t="shared" si="21"/>
        <v>7.2254335259999995E-4</v>
      </c>
      <c r="F115" s="525">
        <f>+DATA!D111</f>
        <v>13597</v>
      </c>
      <c r="G115" s="772">
        <f>+DATA!E111</f>
        <v>8.1198087588398138E-2</v>
      </c>
      <c r="H115" s="525">
        <f t="shared" si="30"/>
        <v>1104</v>
      </c>
      <c r="I115" s="771">
        <f t="shared" si="22"/>
        <v>8.4544577349999995E-4</v>
      </c>
      <c r="J115" s="771">
        <f t="shared" si="23"/>
        <v>8.45445774E-5</v>
      </c>
      <c r="K115" s="525">
        <f>+DATA!G111</f>
        <v>4442</v>
      </c>
      <c r="L115" s="525">
        <f>+DATA!H111</f>
        <v>6943</v>
      </c>
      <c r="M115" s="525">
        <f>+DATA!I111</f>
        <v>93439645679</v>
      </c>
      <c r="N115" s="525">
        <f>+DATA!J111</f>
        <v>348565958444</v>
      </c>
      <c r="O115" s="773">
        <f t="shared" si="31"/>
        <v>0.41413201024619178</v>
      </c>
      <c r="P115" s="774" t="str">
        <f t="shared" si="32"/>
        <v>NO</v>
      </c>
      <c r="Q115" s="771">
        <f t="shared" si="24"/>
        <v>5.2049073739999997E-4</v>
      </c>
      <c r="R115" s="771">
        <f t="shared" si="25"/>
        <v>7.4622458629999995E-4</v>
      </c>
      <c r="S115" s="771">
        <f t="shared" si="26"/>
        <v>2.238673759E-4</v>
      </c>
      <c r="T115" s="525">
        <f>+DATA!K111</f>
        <v>0</v>
      </c>
      <c r="U115" s="525">
        <f>+DATA!L111</f>
        <v>0</v>
      </c>
      <c r="V115" s="525">
        <f>+DATA!M111</f>
        <v>2001231</v>
      </c>
      <c r="W115" s="526">
        <f t="shared" si="27"/>
        <v>2001231</v>
      </c>
      <c r="X115" s="526">
        <f t="shared" si="33"/>
        <v>2001231</v>
      </c>
      <c r="Y115" s="526">
        <f t="shared" si="34"/>
        <v>2001231</v>
      </c>
      <c r="Z115" s="525">
        <f>+DATA!F111</f>
        <v>133862.87962332228</v>
      </c>
      <c r="AA115" s="525">
        <f>IF(P115="SI",ROUND(Z115/DIV_Pf,PARAMETROS!$L$8),0)</f>
        <v>0</v>
      </c>
      <c r="AB115" s="526">
        <f t="shared" si="35"/>
        <v>13597</v>
      </c>
      <c r="AC115" s="775">
        <f t="shared" si="36"/>
        <v>147.18</v>
      </c>
      <c r="AD115" s="525">
        <f>IF(AC115&lt;$AC$6,ROUND(($AC$6-AC115)*AB115,PARAMETROS!$L$8),0)</f>
        <v>0</v>
      </c>
      <c r="AE115" s="771">
        <f t="shared" si="28"/>
        <v>0</v>
      </c>
      <c r="AF115" s="771">
        <f t="shared" si="29"/>
        <v>0</v>
      </c>
      <c r="AG115" s="771">
        <f t="shared" si="37"/>
        <v>1.0309553058999998E-3</v>
      </c>
      <c r="AH115" s="525">
        <f>+DATA!Q111</f>
        <v>1932980.6839999999</v>
      </c>
      <c r="AI115" s="525">
        <f>+DATA!R111</f>
        <v>161081.72366666666</v>
      </c>
      <c r="AJ115" s="525">
        <f>+DATA!S111</f>
        <v>127255</v>
      </c>
      <c r="AK115" s="525">
        <f>+'_DATA STT PAGOS_'!G113</f>
        <v>0</v>
      </c>
      <c r="AL115" s="525">
        <f>+'_DATA STT PAGOS_'!J113</f>
        <v>2624282.352</v>
      </c>
      <c r="AM115" s="525">
        <f>+DATA!Y111</f>
        <v>72367</v>
      </c>
      <c r="AN115" s="525">
        <f>+DATA!Z111</f>
        <v>47883</v>
      </c>
      <c r="AO115" s="525">
        <f>+DATA!AA111</f>
        <v>62849</v>
      </c>
      <c r="AP115" s="525">
        <f>+DATA!AB111</f>
        <v>51463</v>
      </c>
      <c r="AQ115" s="525">
        <f>+DATA!AC111</f>
        <v>234562</v>
      </c>
      <c r="AR115" s="525">
        <f>+DATA!AD111</f>
        <v>307</v>
      </c>
      <c r="AS115" s="525">
        <f>+DATA!AE111</f>
        <v>130</v>
      </c>
      <c r="AT115" s="525">
        <f>+DATA!AF111</f>
        <v>167.61199999999999</v>
      </c>
      <c r="AU115" s="525">
        <f>+DATA!AG111</f>
        <v>112</v>
      </c>
      <c r="AV115" s="525">
        <f>+DATA!AH111</f>
        <v>716.61199999999997</v>
      </c>
    </row>
    <row r="116" spans="1:48" x14ac:dyDescent="0.25">
      <c r="A116" s="527">
        <v>6307</v>
      </c>
      <c r="B116" s="527">
        <v>6208</v>
      </c>
      <c r="C116" s="527" t="s">
        <v>140</v>
      </c>
      <c r="D116" s="771">
        <f t="shared" si="20"/>
        <v>2.8901734103999998E-3</v>
      </c>
      <c r="E116" s="771">
        <f t="shared" si="21"/>
        <v>7.2254335259999995E-4</v>
      </c>
      <c r="F116" s="525">
        <f>+DATA!D112</f>
        <v>12174</v>
      </c>
      <c r="G116" s="772">
        <f>+DATA!E112</f>
        <v>7.1815022430094327E-2</v>
      </c>
      <c r="H116" s="525">
        <f t="shared" si="30"/>
        <v>874</v>
      </c>
      <c r="I116" s="771">
        <f t="shared" si="22"/>
        <v>6.6931123739999996E-4</v>
      </c>
      <c r="J116" s="771">
        <f t="shared" si="23"/>
        <v>6.6931123700000004E-5</v>
      </c>
      <c r="K116" s="525">
        <f>+DATA!G112</f>
        <v>4314</v>
      </c>
      <c r="L116" s="525">
        <f>+DATA!H112</f>
        <v>7130</v>
      </c>
      <c r="M116" s="525">
        <f>+DATA!I112</f>
        <v>83535224397</v>
      </c>
      <c r="N116" s="525">
        <f>+DATA!J112</f>
        <v>267547711448</v>
      </c>
      <c r="O116" s="773">
        <f t="shared" si="31"/>
        <v>0.43463981484402864</v>
      </c>
      <c r="P116" s="774" t="str">
        <f t="shared" si="32"/>
        <v>NO</v>
      </c>
      <c r="Q116" s="771">
        <f t="shared" si="24"/>
        <v>4.7805054070000001E-4</v>
      </c>
      <c r="R116" s="771">
        <f t="shared" si="25"/>
        <v>6.8537831960000005E-4</v>
      </c>
      <c r="S116" s="771">
        <f t="shared" si="26"/>
        <v>2.0561349589999999E-4</v>
      </c>
      <c r="T116" s="525">
        <f>+DATA!K112</f>
        <v>0</v>
      </c>
      <c r="U116" s="525">
        <f>+DATA!L112</f>
        <v>0</v>
      </c>
      <c r="V116" s="525">
        <f>+DATA!M112</f>
        <v>1667128</v>
      </c>
      <c r="W116" s="526">
        <f t="shared" si="27"/>
        <v>1667128</v>
      </c>
      <c r="X116" s="526">
        <f t="shared" si="33"/>
        <v>1667128</v>
      </c>
      <c r="Y116" s="526">
        <f t="shared" si="34"/>
        <v>1667128</v>
      </c>
      <c r="Z116" s="525">
        <f>+DATA!F112</f>
        <v>157749.1613310712</v>
      </c>
      <c r="AA116" s="525">
        <f>IF(P116="SI",ROUND(Z116/DIV_Pf,PARAMETROS!$L$8),0)</f>
        <v>0</v>
      </c>
      <c r="AB116" s="526">
        <f t="shared" si="35"/>
        <v>12174</v>
      </c>
      <c r="AC116" s="775">
        <f t="shared" si="36"/>
        <v>136.94</v>
      </c>
      <c r="AD116" s="525">
        <f>IF(AC116&lt;$AC$6,ROUND(($AC$6-AC116)*AB116,PARAMETROS!$L$8),0)</f>
        <v>0</v>
      </c>
      <c r="AE116" s="771">
        <f t="shared" si="28"/>
        <v>0</v>
      </c>
      <c r="AF116" s="771">
        <f t="shared" si="29"/>
        <v>0</v>
      </c>
      <c r="AG116" s="771">
        <f t="shared" si="37"/>
        <v>9.9508797219999994E-4</v>
      </c>
      <c r="AH116" s="525">
        <f>+DATA!Q112</f>
        <v>1983049.8759999999</v>
      </c>
      <c r="AI116" s="525">
        <f>+DATA!R112</f>
        <v>165254.15633333332</v>
      </c>
      <c r="AJ116" s="525">
        <f>+DATA!S112</f>
        <v>130551</v>
      </c>
      <c r="AK116" s="525">
        <f>+'_DATA STT PAGOS_'!G114</f>
        <v>0</v>
      </c>
      <c r="AL116" s="525">
        <f>+'_DATA STT PAGOS_'!J114</f>
        <v>2691227.3939999999</v>
      </c>
      <c r="AM116" s="525">
        <f>+DATA!Y112</f>
        <v>44838</v>
      </c>
      <c r="AN116" s="525">
        <f>+DATA!Z112</f>
        <v>27549</v>
      </c>
      <c r="AO116" s="525">
        <f>+DATA!AA112</f>
        <v>40759</v>
      </c>
      <c r="AP116" s="525">
        <f>+DATA!AB112</f>
        <v>32132</v>
      </c>
      <c r="AQ116" s="525">
        <f>+DATA!AC112</f>
        <v>145278</v>
      </c>
      <c r="AR116" s="525">
        <f>+DATA!AD112</f>
        <v>766</v>
      </c>
      <c r="AS116" s="525">
        <f>+DATA!AE112</f>
        <v>362</v>
      </c>
      <c r="AT116" s="525">
        <f>+DATA!AF112</f>
        <v>835.85</v>
      </c>
      <c r="AU116" s="525">
        <f>+DATA!AG112</f>
        <v>506</v>
      </c>
      <c r="AV116" s="525">
        <f>+DATA!AH112</f>
        <v>2469.85</v>
      </c>
    </row>
    <row r="117" spans="1:48" x14ac:dyDescent="0.25">
      <c r="A117" s="527">
        <v>6308</v>
      </c>
      <c r="B117" s="527">
        <v>6204</v>
      </c>
      <c r="C117" s="527" t="s">
        <v>136</v>
      </c>
      <c r="D117" s="771">
        <f t="shared" si="20"/>
        <v>2.8901734103999998E-3</v>
      </c>
      <c r="E117" s="771">
        <f t="shared" si="21"/>
        <v>7.2254335259999995E-4</v>
      </c>
      <c r="F117" s="525">
        <f>+DATA!D113</f>
        <v>9281</v>
      </c>
      <c r="G117" s="772">
        <f>+DATA!E113</f>
        <v>9.5939497713638161E-2</v>
      </c>
      <c r="H117" s="525">
        <f t="shared" si="30"/>
        <v>890</v>
      </c>
      <c r="I117" s="771">
        <f t="shared" si="22"/>
        <v>6.8156407470000005E-4</v>
      </c>
      <c r="J117" s="771">
        <f t="shared" si="23"/>
        <v>6.8156407500000001E-5</v>
      </c>
      <c r="K117" s="525">
        <f>+DATA!G113</f>
        <v>2991</v>
      </c>
      <c r="L117" s="525">
        <f>+DATA!H113</f>
        <v>4448</v>
      </c>
      <c r="M117" s="525">
        <f>+DATA!I113</f>
        <v>61670745992</v>
      </c>
      <c r="N117" s="525">
        <f>+DATA!J113</f>
        <v>183564854861</v>
      </c>
      <c r="O117" s="773">
        <f t="shared" si="31"/>
        <v>0.47530310403538301</v>
      </c>
      <c r="P117" s="774" t="str">
        <f t="shared" si="32"/>
        <v>SI</v>
      </c>
      <c r="Q117" s="771">
        <f t="shared" si="24"/>
        <v>3.6835885100000001E-4</v>
      </c>
      <c r="R117" s="771">
        <f t="shared" si="25"/>
        <v>5.2811397290000001E-4</v>
      </c>
      <c r="S117" s="771">
        <f t="shared" si="26"/>
        <v>1.5843419190000001E-4</v>
      </c>
      <c r="T117" s="525">
        <f>+DATA!K113</f>
        <v>0</v>
      </c>
      <c r="U117" s="525">
        <f>+DATA!L113</f>
        <v>0</v>
      </c>
      <c r="V117" s="525">
        <f>+DATA!M113</f>
        <v>920333</v>
      </c>
      <c r="W117" s="526">
        <f t="shared" si="27"/>
        <v>920333</v>
      </c>
      <c r="X117" s="526">
        <f t="shared" si="33"/>
        <v>920333</v>
      </c>
      <c r="Y117" s="526">
        <f t="shared" si="34"/>
        <v>920333</v>
      </c>
      <c r="Z117" s="525">
        <f>+DATA!F113</f>
        <v>86211.8694234266</v>
      </c>
      <c r="AA117" s="525">
        <f>IF(P117="SI",ROUND(Z117/DIV_Pf,PARAMETROS!$L$8),0)</f>
        <v>7184</v>
      </c>
      <c r="AB117" s="526">
        <f t="shared" si="35"/>
        <v>16465</v>
      </c>
      <c r="AC117" s="775">
        <f t="shared" si="36"/>
        <v>55.9</v>
      </c>
      <c r="AD117" s="525">
        <f>IF(AC117&lt;$AC$6,ROUND(($AC$6-AC117)*AB117,PARAMETROS!$L$8),0)</f>
        <v>800528</v>
      </c>
      <c r="AE117" s="771">
        <f t="shared" si="28"/>
        <v>7.6836277150000003E-4</v>
      </c>
      <c r="AF117" s="771">
        <f t="shared" si="29"/>
        <v>2.6892696999999998E-4</v>
      </c>
      <c r="AG117" s="771">
        <f t="shared" si="37"/>
        <v>1.2180609219999998E-3</v>
      </c>
      <c r="AH117" s="525">
        <f>+DATA!Q113</f>
        <v>2122457.4470000002</v>
      </c>
      <c r="AI117" s="525">
        <f>+DATA!R113</f>
        <v>176871.45391666668</v>
      </c>
      <c r="AJ117" s="525">
        <f>+DATA!S113</f>
        <v>139728</v>
      </c>
      <c r="AK117" s="525">
        <f>+'_DATA STT PAGOS_'!G115</f>
        <v>0</v>
      </c>
      <c r="AL117" s="525">
        <f>+'_DATA STT PAGOS_'!J115</f>
        <v>2880280.781</v>
      </c>
      <c r="AM117" s="525">
        <f>+DATA!Y113</f>
        <v>39611</v>
      </c>
      <c r="AN117" s="525">
        <f>+DATA!Z113</f>
        <v>21715</v>
      </c>
      <c r="AO117" s="525">
        <f>+DATA!AA113</f>
        <v>26900</v>
      </c>
      <c r="AP117" s="525">
        <f>+DATA!AB113</f>
        <v>19271</v>
      </c>
      <c r="AQ117" s="525">
        <f>+DATA!AC113</f>
        <v>107497</v>
      </c>
      <c r="AR117" s="525">
        <f>+DATA!AD113</f>
        <v>623</v>
      </c>
      <c r="AS117" s="525">
        <f>+DATA!AE113</f>
        <v>409</v>
      </c>
      <c r="AT117" s="525">
        <f>+DATA!AF113</f>
        <v>304.154</v>
      </c>
      <c r="AU117" s="525">
        <f>+DATA!AG113</f>
        <v>515</v>
      </c>
      <c r="AV117" s="525">
        <f>+DATA!AH113</f>
        <v>1851.154</v>
      </c>
    </row>
    <row r="118" spans="1:48" x14ac:dyDescent="0.25">
      <c r="A118" s="527">
        <v>6309</v>
      </c>
      <c r="B118" s="527">
        <v>6214</v>
      </c>
      <c r="C118" s="527" t="s">
        <v>141</v>
      </c>
      <c r="D118" s="771">
        <f t="shared" si="20"/>
        <v>2.8901734103999998E-3</v>
      </c>
      <c r="E118" s="771">
        <f t="shared" si="21"/>
        <v>7.2254335259999995E-4</v>
      </c>
      <c r="F118" s="525">
        <f>+DATA!D114</f>
        <v>3516</v>
      </c>
      <c r="G118" s="772">
        <f>+DATA!E114</f>
        <v>0.1236410123484773</v>
      </c>
      <c r="H118" s="525">
        <f t="shared" si="30"/>
        <v>435</v>
      </c>
      <c r="I118" s="771">
        <f t="shared" si="22"/>
        <v>3.3312401400000002E-4</v>
      </c>
      <c r="J118" s="771">
        <f t="shared" si="23"/>
        <v>3.3312401399999999E-5</v>
      </c>
      <c r="K118" s="525">
        <f>+DATA!G114</f>
        <v>2130</v>
      </c>
      <c r="L118" s="525">
        <f>+DATA!H114</f>
        <v>4798</v>
      </c>
      <c r="M118" s="525">
        <f>+DATA!I114</f>
        <v>29125947210</v>
      </c>
      <c r="N118" s="525">
        <f>+DATA!J114</f>
        <v>141502267503</v>
      </c>
      <c r="O118" s="773">
        <f t="shared" si="31"/>
        <v>0.30228598291204251</v>
      </c>
      <c r="P118" s="774" t="str">
        <f t="shared" si="32"/>
        <v>NO</v>
      </c>
      <c r="Q118" s="771">
        <f t="shared" si="24"/>
        <v>1.731817107E-4</v>
      </c>
      <c r="R118" s="771">
        <f t="shared" si="25"/>
        <v>2.4828962579999999E-4</v>
      </c>
      <c r="S118" s="771">
        <f t="shared" si="26"/>
        <v>7.4486887700000006E-5</v>
      </c>
      <c r="T118" s="525">
        <f>+DATA!K114</f>
        <v>0</v>
      </c>
      <c r="U118" s="525">
        <f>+DATA!L114</f>
        <v>0</v>
      </c>
      <c r="V118" s="525">
        <f>+DATA!M114</f>
        <v>622086</v>
      </c>
      <c r="W118" s="526">
        <f t="shared" si="27"/>
        <v>622086</v>
      </c>
      <c r="X118" s="526">
        <f t="shared" si="33"/>
        <v>622086</v>
      </c>
      <c r="Y118" s="526">
        <f t="shared" si="34"/>
        <v>622086</v>
      </c>
      <c r="Z118" s="525">
        <f>+DATA!F114</f>
        <v>125155.79988077616</v>
      </c>
      <c r="AA118" s="525">
        <f>IF(P118="SI",ROUND(Z118/DIV_Pf,PARAMETROS!$L$8),0)</f>
        <v>0</v>
      </c>
      <c r="AB118" s="526">
        <f t="shared" si="35"/>
        <v>3516</v>
      </c>
      <c r="AC118" s="775">
        <f t="shared" si="36"/>
        <v>176.93</v>
      </c>
      <c r="AD118" s="525">
        <f>IF(AC118&lt;$AC$6,ROUND(($AC$6-AC118)*AB118,PARAMETROS!$L$8),0)</f>
        <v>0</v>
      </c>
      <c r="AE118" s="771">
        <f t="shared" si="28"/>
        <v>0</v>
      </c>
      <c r="AF118" s="771">
        <f t="shared" si="29"/>
        <v>0</v>
      </c>
      <c r="AG118" s="771">
        <f t="shared" si="37"/>
        <v>8.3034264169999997E-4</v>
      </c>
      <c r="AH118" s="525">
        <f>+DATA!Q114</f>
        <v>1577663.023</v>
      </c>
      <c r="AI118" s="525">
        <f>+DATA!R114</f>
        <v>131471.91858333335</v>
      </c>
      <c r="AJ118" s="525">
        <f>+DATA!S114</f>
        <v>103863</v>
      </c>
      <c r="AK118" s="525">
        <f>+'_DATA STT PAGOS_'!G116</f>
        <v>0</v>
      </c>
      <c r="AL118" s="525">
        <f>+'_DATA STT PAGOS_'!J116</f>
        <v>2141591.088</v>
      </c>
      <c r="AM118" s="525">
        <f>+DATA!Y114</f>
        <v>30040</v>
      </c>
      <c r="AN118" s="525">
        <f>+DATA!Z114</f>
        <v>17502</v>
      </c>
      <c r="AO118" s="525">
        <f>+DATA!AA114</f>
        <v>19026</v>
      </c>
      <c r="AP118" s="525">
        <f>+DATA!AB114</f>
        <v>18611</v>
      </c>
      <c r="AQ118" s="525">
        <f>+DATA!AC114</f>
        <v>85179</v>
      </c>
      <c r="AR118" s="525">
        <f>+DATA!AD114</f>
        <v>389</v>
      </c>
      <c r="AS118" s="525">
        <f>+DATA!AE114</f>
        <v>152</v>
      </c>
      <c r="AT118" s="525">
        <f>+DATA!AF114</f>
        <v>312.89299999999997</v>
      </c>
      <c r="AU118" s="525">
        <f>+DATA!AG114</f>
        <v>135</v>
      </c>
      <c r="AV118" s="525">
        <f>+DATA!AH114</f>
        <v>988.89300000000003</v>
      </c>
    </row>
    <row r="119" spans="1:48" x14ac:dyDescent="0.25">
      <c r="A119" s="527">
        <v>6310</v>
      </c>
      <c r="B119" s="527">
        <v>6205</v>
      </c>
      <c r="C119" s="527" t="s">
        <v>137</v>
      </c>
      <c r="D119" s="771">
        <f t="shared" si="20"/>
        <v>2.8901734103999998E-3</v>
      </c>
      <c r="E119" s="771">
        <f t="shared" si="21"/>
        <v>7.2254335259999995E-4</v>
      </c>
      <c r="F119" s="525">
        <f>+DATA!D115</f>
        <v>42582</v>
      </c>
      <c r="G119" s="772">
        <f>+DATA!E115</f>
        <v>6.7019593799579363E-2</v>
      </c>
      <c r="H119" s="525">
        <f t="shared" si="30"/>
        <v>2854</v>
      </c>
      <c r="I119" s="771">
        <f t="shared" si="22"/>
        <v>2.1855998529999999E-3</v>
      </c>
      <c r="J119" s="771">
        <f t="shared" si="23"/>
        <v>2.1855998529999999E-4</v>
      </c>
      <c r="K119" s="525">
        <f>+DATA!G115</f>
        <v>14314</v>
      </c>
      <c r="L119" s="525">
        <f>+DATA!H115</f>
        <v>20064</v>
      </c>
      <c r="M119" s="525">
        <f>+DATA!I115</f>
        <v>410441707813</v>
      </c>
      <c r="N119" s="525">
        <f>+DATA!J115</f>
        <v>974061477340</v>
      </c>
      <c r="O119" s="773">
        <f t="shared" si="31"/>
        <v>0.54828240091016001</v>
      </c>
      <c r="P119" s="774" t="str">
        <f t="shared" si="32"/>
        <v>SI</v>
      </c>
      <c r="Q119" s="771">
        <f t="shared" si="24"/>
        <v>1.8702840437000001E-3</v>
      </c>
      <c r="R119" s="771">
        <f t="shared" si="25"/>
        <v>2.6814155114E-3</v>
      </c>
      <c r="S119" s="771">
        <f t="shared" si="26"/>
        <v>8.0442465339999999E-4</v>
      </c>
      <c r="T119" s="525">
        <f>+DATA!K115</f>
        <v>0</v>
      </c>
      <c r="U119" s="525">
        <f>+DATA!L115</f>
        <v>0</v>
      </c>
      <c r="V119" s="525">
        <f>+DATA!M115</f>
        <v>6341179</v>
      </c>
      <c r="W119" s="526">
        <f t="shared" si="27"/>
        <v>6341179</v>
      </c>
      <c r="X119" s="526">
        <f t="shared" si="33"/>
        <v>6341179</v>
      </c>
      <c r="Y119" s="526">
        <f t="shared" si="34"/>
        <v>6341179</v>
      </c>
      <c r="Z119" s="525">
        <f>+DATA!F115</f>
        <v>449505.39779739431</v>
      </c>
      <c r="AA119" s="525">
        <f>IF(P119="SI",ROUND(Z119/DIV_Pf,PARAMETROS!$L$8),0)</f>
        <v>37459</v>
      </c>
      <c r="AB119" s="526">
        <f t="shared" si="35"/>
        <v>80041</v>
      </c>
      <c r="AC119" s="775">
        <f t="shared" si="36"/>
        <v>79.22</v>
      </c>
      <c r="AD119" s="525">
        <f>IF(AC119&lt;$AC$6,ROUND(($AC$6-AC119)*AB119,PARAMETROS!$L$8),0)</f>
        <v>2025037</v>
      </c>
      <c r="AE119" s="771">
        <f t="shared" si="28"/>
        <v>1.9436709793999999E-3</v>
      </c>
      <c r="AF119" s="771">
        <f t="shared" si="29"/>
        <v>6.802848428E-4</v>
      </c>
      <c r="AG119" s="771">
        <f t="shared" si="37"/>
        <v>2.4258128340999999E-3</v>
      </c>
      <c r="AH119" s="525">
        <f>+DATA!Q115</f>
        <v>4564055.8490000004</v>
      </c>
      <c r="AI119" s="525">
        <f>+DATA!R115</f>
        <v>380337.9874166667</v>
      </c>
      <c r="AJ119" s="525">
        <f>+DATA!S115</f>
        <v>300467</v>
      </c>
      <c r="AK119" s="525">
        <f>+'_DATA STT PAGOS_'!G117</f>
        <v>0</v>
      </c>
      <c r="AL119" s="525">
        <f>+'_DATA STT PAGOS_'!J117</f>
        <v>6195913.8899999997</v>
      </c>
      <c r="AM119" s="525">
        <f>+DATA!Y115</f>
        <v>216493</v>
      </c>
      <c r="AN119" s="525">
        <f>+DATA!Z115</f>
        <v>157938</v>
      </c>
      <c r="AO119" s="525">
        <f>+DATA!AA115</f>
        <v>200340</v>
      </c>
      <c r="AP119" s="525">
        <f>+DATA!AB115</f>
        <v>150185</v>
      </c>
      <c r="AQ119" s="525">
        <f>+DATA!AC115</f>
        <v>724956</v>
      </c>
      <c r="AR119" s="525">
        <f>+DATA!AD115</f>
        <v>14683</v>
      </c>
      <c r="AS119" s="525">
        <f>+DATA!AE115</f>
        <v>6772</v>
      </c>
      <c r="AT119" s="525">
        <f>+DATA!AF115</f>
        <v>9085.6419999999998</v>
      </c>
      <c r="AU119" s="525">
        <f>+DATA!AG115</f>
        <v>6065</v>
      </c>
      <c r="AV119" s="525">
        <f>+DATA!AH115</f>
        <v>36605.642</v>
      </c>
    </row>
    <row r="120" spans="1:48" x14ac:dyDescent="0.25">
      <c r="A120" s="527">
        <v>7101</v>
      </c>
      <c r="B120" s="527">
        <v>7201</v>
      </c>
      <c r="C120" s="527" t="s">
        <v>152</v>
      </c>
      <c r="D120" s="771">
        <f t="shared" si="20"/>
        <v>2.8901734103999998E-3</v>
      </c>
      <c r="E120" s="771">
        <f t="shared" si="21"/>
        <v>7.2254335259999995E-4</v>
      </c>
      <c r="F120" s="525">
        <f>+DATA!D116</f>
        <v>242344</v>
      </c>
      <c r="G120" s="772">
        <f>+DATA!E116</f>
        <v>5.7270196777768463E-2</v>
      </c>
      <c r="H120" s="525">
        <f t="shared" si="30"/>
        <v>13879</v>
      </c>
      <c r="I120" s="771">
        <f t="shared" si="22"/>
        <v>1.06285705534E-2</v>
      </c>
      <c r="J120" s="771">
        <f t="shared" si="23"/>
        <v>1.0628570553E-3</v>
      </c>
      <c r="K120" s="525">
        <f>+DATA!G116</f>
        <v>82514</v>
      </c>
      <c r="L120" s="525">
        <f>+DATA!H116</f>
        <v>113915</v>
      </c>
      <c r="M120" s="525">
        <f>+DATA!I116</f>
        <v>3076567806331</v>
      </c>
      <c r="N120" s="525">
        <f>+DATA!J116</f>
        <v>6043840861435</v>
      </c>
      <c r="O120" s="773">
        <f t="shared" si="31"/>
        <v>0.60722563605490498</v>
      </c>
      <c r="P120" s="774" t="str">
        <f t="shared" si="32"/>
        <v>SI</v>
      </c>
      <c r="Q120" s="771">
        <f t="shared" si="24"/>
        <v>1.09465541338E-2</v>
      </c>
      <c r="R120" s="771">
        <f t="shared" si="25"/>
        <v>1.5694011906700001E-2</v>
      </c>
      <c r="S120" s="771">
        <f t="shared" si="26"/>
        <v>4.7082035719999997E-3</v>
      </c>
      <c r="T120" s="525">
        <f>+DATA!K116</f>
        <v>0</v>
      </c>
      <c r="U120" s="525">
        <f>+DATA!L116</f>
        <v>0</v>
      </c>
      <c r="V120" s="525">
        <f>+DATA!M116</f>
        <v>26741864</v>
      </c>
      <c r="W120" s="526">
        <f t="shared" si="27"/>
        <v>26741864</v>
      </c>
      <c r="X120" s="526">
        <f t="shared" si="33"/>
        <v>26741864</v>
      </c>
      <c r="Y120" s="526">
        <f t="shared" si="34"/>
        <v>26741864</v>
      </c>
      <c r="Z120" s="525">
        <f>+DATA!F116</f>
        <v>1516185.3637022686</v>
      </c>
      <c r="AA120" s="525">
        <f>IF(P120="SI",ROUND(Z120/DIV_Pf,PARAMETROS!$L$8),0)</f>
        <v>126349</v>
      </c>
      <c r="AB120" s="526">
        <f t="shared" si="35"/>
        <v>368693</v>
      </c>
      <c r="AC120" s="775">
        <f t="shared" si="36"/>
        <v>72.53</v>
      </c>
      <c r="AD120" s="525">
        <f>IF(AC120&lt;$AC$6,ROUND(($AC$6-AC120)*AB120,PARAMETROS!$L$8),0)</f>
        <v>11794489</v>
      </c>
      <c r="AE120" s="771">
        <f t="shared" si="28"/>
        <v>1.13205862342E-2</v>
      </c>
      <c r="AF120" s="771">
        <f t="shared" si="29"/>
        <v>3.962205182E-3</v>
      </c>
      <c r="AG120" s="771">
        <f t="shared" si="37"/>
        <v>1.04558091619E-2</v>
      </c>
      <c r="AH120" s="525">
        <f>+DATA!Q116</f>
        <v>18778200.829</v>
      </c>
      <c r="AI120" s="525">
        <f>+DATA!R116</f>
        <v>1564850.0690833332</v>
      </c>
      <c r="AJ120" s="525">
        <f>+DATA!S116</f>
        <v>1236232</v>
      </c>
      <c r="AK120" s="525">
        <f>+'_DATA STT PAGOS_'!G118</f>
        <v>0</v>
      </c>
      <c r="AL120" s="525">
        <f>+'_DATA STT PAGOS_'!J118</f>
        <v>25470210.201000001</v>
      </c>
      <c r="AM120" s="525">
        <f>+DATA!Y116</f>
        <v>1542233</v>
      </c>
      <c r="AN120" s="525">
        <f>+DATA!Z116</f>
        <v>1067280</v>
      </c>
      <c r="AO120" s="525">
        <f>+DATA!AA116</f>
        <v>1228775</v>
      </c>
      <c r="AP120" s="525">
        <f>+DATA!AB116</f>
        <v>888625</v>
      </c>
      <c r="AQ120" s="525">
        <f>+DATA!AC116</f>
        <v>4726913</v>
      </c>
      <c r="AR120" s="525">
        <f>+DATA!AD116</f>
        <v>90648</v>
      </c>
      <c r="AS120" s="525">
        <f>+DATA!AE116</f>
        <v>39767</v>
      </c>
      <c r="AT120" s="525">
        <f>+DATA!AF116</f>
        <v>53494.889000000003</v>
      </c>
      <c r="AU120" s="525">
        <f>+DATA!AG116</f>
        <v>37521</v>
      </c>
      <c r="AV120" s="525">
        <f>+DATA!AH116</f>
        <v>221430.889</v>
      </c>
    </row>
    <row r="121" spans="1:48" x14ac:dyDescent="0.25">
      <c r="A121" s="527">
        <v>7102</v>
      </c>
      <c r="B121" s="527">
        <v>7208</v>
      </c>
      <c r="C121" s="527" t="s">
        <v>387</v>
      </c>
      <c r="D121" s="771">
        <f t="shared" si="20"/>
        <v>2.8901734103999998E-3</v>
      </c>
      <c r="E121" s="771">
        <f t="shared" si="21"/>
        <v>7.2254335259999995E-4</v>
      </c>
      <c r="F121" s="525">
        <f>+DATA!D117</f>
        <v>50646</v>
      </c>
      <c r="G121" s="772">
        <f>+DATA!E117</f>
        <v>0.1081072542788957</v>
      </c>
      <c r="H121" s="525">
        <f t="shared" si="30"/>
        <v>5475</v>
      </c>
      <c r="I121" s="771">
        <f t="shared" si="22"/>
        <v>4.1927677628000003E-3</v>
      </c>
      <c r="J121" s="771">
        <f t="shared" si="23"/>
        <v>4.1927677629999998E-4</v>
      </c>
      <c r="K121" s="525">
        <f>+DATA!G117</f>
        <v>21854</v>
      </c>
      <c r="L121" s="525">
        <f>+DATA!H117</f>
        <v>25665</v>
      </c>
      <c r="M121" s="525">
        <f>+DATA!I117</f>
        <v>530642929213</v>
      </c>
      <c r="N121" s="525">
        <f>+DATA!J117</f>
        <v>1028919233588</v>
      </c>
      <c r="O121" s="773">
        <f t="shared" si="31"/>
        <v>0.66268231864048455</v>
      </c>
      <c r="P121" s="774" t="str">
        <f t="shared" si="32"/>
        <v>SI</v>
      </c>
      <c r="Q121" s="771">
        <f t="shared" si="24"/>
        <v>3.4081890044000002E-3</v>
      </c>
      <c r="R121" s="771">
        <f t="shared" si="25"/>
        <v>4.8863010370000003E-3</v>
      </c>
      <c r="S121" s="771">
        <f t="shared" si="26"/>
        <v>1.4658903111E-3</v>
      </c>
      <c r="T121" s="525">
        <f>+DATA!K117</f>
        <v>0</v>
      </c>
      <c r="U121" s="525">
        <f>+DATA!L117</f>
        <v>0</v>
      </c>
      <c r="V121" s="525">
        <f>+DATA!M117</f>
        <v>4703763</v>
      </c>
      <c r="W121" s="526">
        <f t="shared" si="27"/>
        <v>4703763</v>
      </c>
      <c r="X121" s="526">
        <f t="shared" si="33"/>
        <v>4703763</v>
      </c>
      <c r="Y121" s="526">
        <f t="shared" si="34"/>
        <v>4703763</v>
      </c>
      <c r="Z121" s="525">
        <f>+DATA!F117</f>
        <v>887016.63250973483</v>
      </c>
      <c r="AA121" s="525">
        <f>IF(P121="SI",ROUND(Z121/DIV_Pf,PARAMETROS!$L$8),0)</f>
        <v>73918</v>
      </c>
      <c r="AB121" s="526">
        <f t="shared" si="35"/>
        <v>124564</v>
      </c>
      <c r="AC121" s="775">
        <f t="shared" si="36"/>
        <v>37.76</v>
      </c>
      <c r="AD121" s="525">
        <f>IF(AC121&lt;$AC$6,ROUND(($AC$6-AC121)*AB121,PARAMETROS!$L$8),0)</f>
        <v>8315893</v>
      </c>
      <c r="AE121" s="771">
        <f t="shared" si="28"/>
        <v>7.9817602798000001E-3</v>
      </c>
      <c r="AF121" s="771">
        <f t="shared" si="29"/>
        <v>2.7936160978999998E-3</v>
      </c>
      <c r="AG121" s="771">
        <f t="shared" si="37"/>
        <v>5.4013265379000003E-3</v>
      </c>
      <c r="AH121" s="525">
        <f>+DATA!Q117</f>
        <v>9660023.4550000001</v>
      </c>
      <c r="AI121" s="525">
        <f>+DATA!R117</f>
        <v>805001.95458333334</v>
      </c>
      <c r="AJ121" s="525">
        <f>+DATA!S117</f>
        <v>635952</v>
      </c>
      <c r="AK121" s="525">
        <f>+'_DATA STT PAGOS_'!G119</f>
        <v>0</v>
      </c>
      <c r="AL121" s="525">
        <f>+'_DATA STT PAGOS_'!J119</f>
        <v>13118675.991999999</v>
      </c>
      <c r="AM121" s="525">
        <f>+DATA!Y117</f>
        <v>211913</v>
      </c>
      <c r="AN121" s="525">
        <f>+DATA!Z117</f>
        <v>166219</v>
      </c>
      <c r="AO121" s="525">
        <f>+DATA!AA117</f>
        <v>196590</v>
      </c>
      <c r="AP121" s="525">
        <f>+DATA!AB117</f>
        <v>106357</v>
      </c>
      <c r="AQ121" s="525">
        <f>+DATA!AC117</f>
        <v>681079</v>
      </c>
      <c r="AR121" s="525">
        <f>+DATA!AD117</f>
        <v>9017</v>
      </c>
      <c r="AS121" s="525">
        <f>+DATA!AE117</f>
        <v>5202</v>
      </c>
      <c r="AT121" s="525">
        <f>+DATA!AF117</f>
        <v>6950.5839999999998</v>
      </c>
      <c r="AU121" s="525">
        <f>+DATA!AG117</f>
        <v>4751</v>
      </c>
      <c r="AV121" s="525">
        <f>+DATA!AH117</f>
        <v>25920.583999999999</v>
      </c>
    </row>
    <row r="122" spans="1:48" x14ac:dyDescent="0.25">
      <c r="A122" s="527">
        <v>7103</v>
      </c>
      <c r="B122" s="527">
        <v>7207</v>
      </c>
      <c r="C122" s="527" t="s">
        <v>157</v>
      </c>
      <c r="D122" s="771">
        <f t="shared" si="20"/>
        <v>2.8901734103999998E-3</v>
      </c>
      <c r="E122" s="771">
        <f t="shared" si="21"/>
        <v>7.2254335259999995E-4</v>
      </c>
      <c r="F122" s="525">
        <f>+DATA!D118</f>
        <v>9136</v>
      </c>
      <c r="G122" s="772">
        <f>+DATA!E118</f>
        <v>0.1409961701302721</v>
      </c>
      <c r="H122" s="525">
        <f t="shared" si="30"/>
        <v>1288</v>
      </c>
      <c r="I122" s="771">
        <f t="shared" si="22"/>
        <v>9.8635340250000005E-4</v>
      </c>
      <c r="J122" s="771">
        <f t="shared" si="23"/>
        <v>9.8635340300000005E-5</v>
      </c>
      <c r="K122" s="525">
        <f>+DATA!G118</f>
        <v>9786</v>
      </c>
      <c r="L122" s="525">
        <f>+DATA!H118</f>
        <v>11422</v>
      </c>
      <c r="M122" s="525">
        <f>+DATA!I118</f>
        <v>124573930045</v>
      </c>
      <c r="N122" s="525">
        <f>+DATA!J118</f>
        <v>250796426459</v>
      </c>
      <c r="O122" s="773">
        <f t="shared" si="31"/>
        <v>0.65235566580336513</v>
      </c>
      <c r="P122" s="774" t="str">
        <f t="shared" si="32"/>
        <v>SI</v>
      </c>
      <c r="Q122" s="771">
        <f t="shared" si="24"/>
        <v>1.5355760472000001E-3</v>
      </c>
      <c r="R122" s="771">
        <f t="shared" si="25"/>
        <v>2.2015465755999999E-3</v>
      </c>
      <c r="S122" s="771">
        <f t="shared" si="26"/>
        <v>6.604639727E-4</v>
      </c>
      <c r="T122" s="525">
        <f>+DATA!K118</f>
        <v>0</v>
      </c>
      <c r="U122" s="525">
        <f>+DATA!L118</f>
        <v>0</v>
      </c>
      <c r="V122" s="525">
        <f>+DATA!M118</f>
        <v>879258</v>
      </c>
      <c r="W122" s="526">
        <f t="shared" si="27"/>
        <v>879258</v>
      </c>
      <c r="X122" s="526">
        <f t="shared" si="33"/>
        <v>879258</v>
      </c>
      <c r="Y122" s="526">
        <f t="shared" si="34"/>
        <v>879258</v>
      </c>
      <c r="Z122" s="525">
        <f>+DATA!F118</f>
        <v>237832.63501773868</v>
      </c>
      <c r="AA122" s="525">
        <f>IF(P122="SI",ROUND(Z122/DIV_Pf,PARAMETROS!$L$8),0)</f>
        <v>19819</v>
      </c>
      <c r="AB122" s="526">
        <f t="shared" si="35"/>
        <v>28955</v>
      </c>
      <c r="AC122" s="775">
        <f t="shared" si="36"/>
        <v>30.37</v>
      </c>
      <c r="AD122" s="525">
        <f>IF(AC122&lt;$AC$6,ROUND(($AC$6-AC122)*AB122,PARAMETROS!$L$8),0)</f>
        <v>2147013</v>
      </c>
      <c r="AE122" s="771">
        <f t="shared" si="28"/>
        <v>2.0607459817E-3</v>
      </c>
      <c r="AF122" s="771">
        <f t="shared" si="29"/>
        <v>7.2126109359999999E-4</v>
      </c>
      <c r="AG122" s="771">
        <f t="shared" si="37"/>
        <v>2.2029037592000002E-3</v>
      </c>
      <c r="AH122" s="525">
        <f>+DATA!Q118</f>
        <v>3556133.57</v>
      </c>
      <c r="AI122" s="525">
        <f>+DATA!R118</f>
        <v>296344.46416666667</v>
      </c>
      <c r="AJ122" s="525">
        <f>+DATA!S118</f>
        <v>234112</v>
      </c>
      <c r="AK122" s="525">
        <f>+'_DATA STT PAGOS_'!G120</f>
        <v>0</v>
      </c>
      <c r="AL122" s="525">
        <f>+'_DATA STT PAGOS_'!J120</f>
        <v>4826605.5010000002</v>
      </c>
      <c r="AM122" s="525">
        <f>+DATA!Y118</f>
        <v>32489</v>
      </c>
      <c r="AN122" s="525">
        <f>+DATA!Z118</f>
        <v>20951</v>
      </c>
      <c r="AO122" s="525">
        <f>+DATA!AA118</f>
        <v>22393</v>
      </c>
      <c r="AP122" s="525">
        <f>+DATA!AB118</f>
        <v>12348</v>
      </c>
      <c r="AQ122" s="525">
        <f>+DATA!AC118</f>
        <v>88181</v>
      </c>
      <c r="AR122" s="525">
        <f>+DATA!AD118</f>
        <v>1658</v>
      </c>
      <c r="AS122" s="525">
        <f>+DATA!AE118</f>
        <v>701</v>
      </c>
      <c r="AT122" s="525">
        <f>+DATA!AF118</f>
        <v>1193.527</v>
      </c>
      <c r="AU122" s="525">
        <f>+DATA!AG118</f>
        <v>1136</v>
      </c>
      <c r="AV122" s="525">
        <f>+DATA!AH118</f>
        <v>4688.527</v>
      </c>
    </row>
    <row r="123" spans="1:48" x14ac:dyDescent="0.25">
      <c r="A123" s="527">
        <v>7104</v>
      </c>
      <c r="B123" s="527">
        <v>7209</v>
      </c>
      <c r="C123" s="527" t="s">
        <v>158</v>
      </c>
      <c r="D123" s="771">
        <f t="shared" si="20"/>
        <v>2.8901734103999998E-3</v>
      </c>
      <c r="E123" s="771">
        <f t="shared" si="21"/>
        <v>7.2254335259999995E-4</v>
      </c>
      <c r="F123" s="525">
        <f>+DATA!D119</f>
        <v>4176</v>
      </c>
      <c r="G123" s="772">
        <f>+DATA!E119</f>
        <v>0.1258615159951405</v>
      </c>
      <c r="H123" s="525">
        <f t="shared" si="30"/>
        <v>526</v>
      </c>
      <c r="I123" s="771">
        <f t="shared" si="22"/>
        <v>4.0281202620000002E-4</v>
      </c>
      <c r="J123" s="771">
        <f t="shared" si="23"/>
        <v>4.0281202599999998E-5</v>
      </c>
      <c r="K123" s="525">
        <f>+DATA!G119</f>
        <v>5940</v>
      </c>
      <c r="L123" s="525">
        <f>+DATA!H119</f>
        <v>6497</v>
      </c>
      <c r="M123" s="525">
        <f>+DATA!I119</f>
        <v>49632835218</v>
      </c>
      <c r="N123" s="525">
        <f>+DATA!J119</f>
        <v>109933959646</v>
      </c>
      <c r="O123" s="773">
        <f t="shared" si="31"/>
        <v>0.64247376158247771</v>
      </c>
      <c r="P123" s="774" t="str">
        <f t="shared" si="32"/>
        <v>SI</v>
      </c>
      <c r="Q123" s="771">
        <f t="shared" si="24"/>
        <v>9.9463350640000003E-4</v>
      </c>
      <c r="R123" s="771">
        <f t="shared" si="25"/>
        <v>1.4260003560000001E-3</v>
      </c>
      <c r="S123" s="771">
        <f t="shared" si="26"/>
        <v>4.2780010679999999E-4</v>
      </c>
      <c r="T123" s="525">
        <f>+DATA!K119</f>
        <v>0</v>
      </c>
      <c r="U123" s="525">
        <f>+DATA!L119</f>
        <v>0</v>
      </c>
      <c r="V123" s="525">
        <f>+DATA!M119</f>
        <v>375912</v>
      </c>
      <c r="W123" s="526">
        <f t="shared" si="27"/>
        <v>375912</v>
      </c>
      <c r="X123" s="526">
        <f t="shared" si="33"/>
        <v>375912</v>
      </c>
      <c r="Y123" s="526">
        <f t="shared" si="34"/>
        <v>375912</v>
      </c>
      <c r="Z123" s="525">
        <f>+DATA!F119</f>
        <v>80748.768088131837</v>
      </c>
      <c r="AA123" s="525">
        <f>IF(P123="SI",ROUND(Z123/DIV_Pf,PARAMETROS!$L$8),0)</f>
        <v>6729</v>
      </c>
      <c r="AB123" s="526">
        <f t="shared" si="35"/>
        <v>10905</v>
      </c>
      <c r="AC123" s="775">
        <f t="shared" si="36"/>
        <v>34.47</v>
      </c>
      <c r="AD123" s="525">
        <f>IF(AC123&lt;$AC$6,ROUND(($AC$6-AC123)*AB123,PARAMETROS!$L$8),0)</f>
        <v>763895</v>
      </c>
      <c r="AE123" s="771">
        <f t="shared" si="28"/>
        <v>7.332016861E-4</v>
      </c>
      <c r="AF123" s="771">
        <f t="shared" si="29"/>
        <v>2.566205901E-4</v>
      </c>
      <c r="AG123" s="771">
        <f t="shared" si="37"/>
        <v>1.4472452520999999E-3</v>
      </c>
      <c r="AH123" s="525">
        <f>+DATA!Q119</f>
        <v>2516440.2119999998</v>
      </c>
      <c r="AI123" s="525">
        <f>+DATA!R119</f>
        <v>209703.351</v>
      </c>
      <c r="AJ123" s="525">
        <f>+DATA!S119</f>
        <v>165666</v>
      </c>
      <c r="AK123" s="525">
        <f>+'_DATA STT PAGOS_'!G121</f>
        <v>0</v>
      </c>
      <c r="AL123" s="525">
        <f>+'_DATA STT PAGOS_'!J121</f>
        <v>3414387.8169999998</v>
      </c>
      <c r="AM123" s="525">
        <f>+DATA!Y119</f>
        <v>11668</v>
      </c>
      <c r="AN123" s="525">
        <f>+DATA!Z119</f>
        <v>9529</v>
      </c>
      <c r="AO123" s="525">
        <f>+DATA!AA119</f>
        <v>9542</v>
      </c>
      <c r="AP123" s="525">
        <f>+DATA!AB119</f>
        <v>5033</v>
      </c>
      <c r="AQ123" s="525">
        <f>+DATA!AC119</f>
        <v>35772</v>
      </c>
      <c r="AR123" s="525">
        <f>+DATA!AD119</f>
        <v>0</v>
      </c>
      <c r="AS123" s="525">
        <f>+DATA!AE119</f>
        <v>0</v>
      </c>
      <c r="AT123" s="525">
        <f>+DATA!AF119</f>
        <v>0</v>
      </c>
      <c r="AU123" s="525">
        <f>+DATA!AG119</f>
        <v>0</v>
      </c>
      <c r="AV123" s="525">
        <f>+DATA!AH119</f>
        <v>0</v>
      </c>
    </row>
    <row r="124" spans="1:48" x14ac:dyDescent="0.25">
      <c r="A124" s="527">
        <v>7105</v>
      </c>
      <c r="B124" s="527">
        <v>7206</v>
      </c>
      <c r="C124" s="527" t="s">
        <v>156</v>
      </c>
      <c r="D124" s="771">
        <f t="shared" si="20"/>
        <v>2.8901734103999998E-3</v>
      </c>
      <c r="E124" s="771">
        <f t="shared" si="21"/>
        <v>7.2254335259999995E-4</v>
      </c>
      <c r="F124" s="525">
        <f>+DATA!D120</f>
        <v>68975</v>
      </c>
      <c r="G124" s="772">
        <f>+DATA!E120</f>
        <v>9.0724960365216586E-2</v>
      </c>
      <c r="H124" s="525">
        <f t="shared" si="30"/>
        <v>6258</v>
      </c>
      <c r="I124" s="771">
        <f t="shared" si="22"/>
        <v>4.7923909880000001E-3</v>
      </c>
      <c r="J124" s="771">
        <f t="shared" si="23"/>
        <v>4.7923909879999998E-4</v>
      </c>
      <c r="K124" s="525">
        <f>+DATA!G120</f>
        <v>21651</v>
      </c>
      <c r="L124" s="525">
        <f>+DATA!H120</f>
        <v>24689</v>
      </c>
      <c r="M124" s="525">
        <f>+DATA!I120</f>
        <v>478509153824</v>
      </c>
      <c r="N124" s="525">
        <f>+DATA!J120</f>
        <v>758536673684</v>
      </c>
      <c r="O124" s="773">
        <f t="shared" si="31"/>
        <v>0.74377925961018043</v>
      </c>
      <c r="P124" s="774" t="str">
        <f t="shared" si="32"/>
        <v>SI</v>
      </c>
      <c r="Q124" s="771">
        <f t="shared" si="24"/>
        <v>3.4774066671E-3</v>
      </c>
      <c r="R124" s="771">
        <f t="shared" si="25"/>
        <v>4.9855380031999996E-3</v>
      </c>
      <c r="S124" s="771">
        <f t="shared" si="26"/>
        <v>1.495661401E-3</v>
      </c>
      <c r="T124" s="525">
        <f>+DATA!K120</f>
        <v>0</v>
      </c>
      <c r="U124" s="525">
        <f>+DATA!L120</f>
        <v>0</v>
      </c>
      <c r="V124" s="525">
        <f>+DATA!M120</f>
        <v>3268397</v>
      </c>
      <c r="W124" s="526">
        <f t="shared" si="27"/>
        <v>3268397</v>
      </c>
      <c r="X124" s="526">
        <f t="shared" si="33"/>
        <v>3268397</v>
      </c>
      <c r="Y124" s="526">
        <f t="shared" si="34"/>
        <v>3268397</v>
      </c>
      <c r="Z124" s="525">
        <f>+DATA!F120</f>
        <v>280246.12072477152</v>
      </c>
      <c r="AA124" s="525">
        <f>IF(P124="SI",ROUND(Z124/DIV_Pf,PARAMETROS!$L$8),0)</f>
        <v>23354</v>
      </c>
      <c r="AB124" s="526">
        <f t="shared" si="35"/>
        <v>92329</v>
      </c>
      <c r="AC124" s="775">
        <f t="shared" si="36"/>
        <v>35.4</v>
      </c>
      <c r="AD124" s="525">
        <f>IF(AC124&lt;$AC$6,ROUND(($AC$6-AC124)*AB124,PARAMETROS!$L$8),0)</f>
        <v>6381780</v>
      </c>
      <c r="AE124" s="771">
        <f t="shared" si="28"/>
        <v>6.1253599726E-3</v>
      </c>
      <c r="AF124" s="771">
        <f t="shared" si="29"/>
        <v>2.1438759903999998E-3</v>
      </c>
      <c r="AG124" s="771">
        <f t="shared" si="37"/>
        <v>4.8413198428000001E-3</v>
      </c>
      <c r="AH124" s="525">
        <f>+DATA!Q120</f>
        <v>8427092.9230000004</v>
      </c>
      <c r="AI124" s="525">
        <f>+DATA!R120</f>
        <v>702257.74358333333</v>
      </c>
      <c r="AJ124" s="525">
        <f>+DATA!S120</f>
        <v>554784</v>
      </c>
      <c r="AK124" s="525">
        <f>+'_DATA STT PAGOS_'!G122</f>
        <v>0</v>
      </c>
      <c r="AL124" s="525">
        <f>+'_DATA STT PAGOS_'!J122</f>
        <v>11438556.956</v>
      </c>
      <c r="AM124" s="525">
        <f>+DATA!Y120</f>
        <v>100577</v>
      </c>
      <c r="AN124" s="525">
        <f>+DATA!Z120</f>
        <v>71398</v>
      </c>
      <c r="AO124" s="525">
        <f>+DATA!AA120</f>
        <v>118746</v>
      </c>
      <c r="AP124" s="525">
        <f>+DATA!AB120</f>
        <v>77332</v>
      </c>
      <c r="AQ124" s="525">
        <f>+DATA!AC120</f>
        <v>368053</v>
      </c>
      <c r="AR124" s="525">
        <f>+DATA!AD120</f>
        <v>1699</v>
      </c>
      <c r="AS124" s="525">
        <f>+DATA!AE120</f>
        <v>840</v>
      </c>
      <c r="AT124" s="525">
        <f>+DATA!AF120</f>
        <v>787.50400000000002</v>
      </c>
      <c r="AU124" s="525">
        <f>+DATA!AG120</f>
        <v>561</v>
      </c>
      <c r="AV124" s="525">
        <f>+DATA!AH120</f>
        <v>3887.5039999999999</v>
      </c>
    </row>
    <row r="125" spans="1:48" x14ac:dyDescent="0.25">
      <c r="A125" s="527">
        <v>7106</v>
      </c>
      <c r="B125" s="527">
        <v>7203</v>
      </c>
      <c r="C125" s="527" t="s">
        <v>154</v>
      </c>
      <c r="D125" s="771">
        <f t="shared" si="20"/>
        <v>2.8901734103999998E-3</v>
      </c>
      <c r="E125" s="771">
        <f t="shared" si="21"/>
        <v>7.2254335259999995E-4</v>
      </c>
      <c r="F125" s="525">
        <f>+DATA!D121</f>
        <v>9407</v>
      </c>
      <c r="G125" s="772">
        <f>+DATA!E121</f>
        <v>0.11779844501492109</v>
      </c>
      <c r="H125" s="525">
        <f t="shared" si="30"/>
        <v>1108</v>
      </c>
      <c r="I125" s="771">
        <f t="shared" si="22"/>
        <v>8.4850898289999999E-4</v>
      </c>
      <c r="J125" s="771">
        <f t="shared" si="23"/>
        <v>8.4850898299999994E-5</v>
      </c>
      <c r="K125" s="525">
        <f>+DATA!G121</f>
        <v>4119</v>
      </c>
      <c r="L125" s="525">
        <f>+DATA!H121</f>
        <v>6152</v>
      </c>
      <c r="M125" s="525">
        <f>+DATA!I121</f>
        <v>58979911412</v>
      </c>
      <c r="N125" s="525">
        <f>+DATA!J121</f>
        <v>243776728653</v>
      </c>
      <c r="O125" s="773">
        <f t="shared" si="31"/>
        <v>0.40247941043879065</v>
      </c>
      <c r="P125" s="774" t="str">
        <f t="shared" si="32"/>
        <v>NO</v>
      </c>
      <c r="Q125" s="771">
        <f t="shared" si="24"/>
        <v>5.0509180149999999E-4</v>
      </c>
      <c r="R125" s="771">
        <f t="shared" si="25"/>
        <v>7.2414722020000002E-4</v>
      </c>
      <c r="S125" s="771">
        <f t="shared" si="26"/>
        <v>2.172441661E-4</v>
      </c>
      <c r="T125" s="525">
        <f>+DATA!K121</f>
        <v>0</v>
      </c>
      <c r="U125" s="525">
        <f>+DATA!L121</f>
        <v>0</v>
      </c>
      <c r="V125" s="525">
        <f>+DATA!M121</f>
        <v>7345579</v>
      </c>
      <c r="W125" s="526">
        <f t="shared" si="27"/>
        <v>7345579</v>
      </c>
      <c r="X125" s="526">
        <f t="shared" si="33"/>
        <v>7345579</v>
      </c>
      <c r="Y125" s="526">
        <f t="shared" si="34"/>
        <v>7345579</v>
      </c>
      <c r="Z125" s="525">
        <f>+DATA!F121</f>
        <v>93197.309783112447</v>
      </c>
      <c r="AA125" s="525">
        <f>IF(P125="SI",ROUND(Z125/DIV_Pf,PARAMETROS!$L$8),0)</f>
        <v>0</v>
      </c>
      <c r="AB125" s="526">
        <f t="shared" si="35"/>
        <v>9407</v>
      </c>
      <c r="AC125" s="775">
        <f t="shared" si="36"/>
        <v>780.86</v>
      </c>
      <c r="AD125" s="525">
        <f>IF(AC125&lt;$AC$6,ROUND(($AC$6-AC125)*AB125,PARAMETROS!$L$8),0)</f>
        <v>0</v>
      </c>
      <c r="AE125" s="771">
        <f t="shared" si="28"/>
        <v>0</v>
      </c>
      <c r="AF125" s="771">
        <f t="shared" si="29"/>
        <v>0</v>
      </c>
      <c r="AG125" s="771">
        <f t="shared" si="37"/>
        <v>1.0246384169999999E-3</v>
      </c>
      <c r="AH125" s="525">
        <f>+DATA!Q121</f>
        <v>1938212.0430000001</v>
      </c>
      <c r="AI125" s="525">
        <f>+DATA!R121</f>
        <v>161517.67025</v>
      </c>
      <c r="AJ125" s="525">
        <f>+DATA!S121</f>
        <v>127599</v>
      </c>
      <c r="AK125" s="525">
        <f>+'_DATA STT PAGOS_'!G123</f>
        <v>0</v>
      </c>
      <c r="AL125" s="525">
        <f>+'_DATA STT PAGOS_'!J123</f>
        <v>2631492.8450000002</v>
      </c>
      <c r="AM125" s="525">
        <f>+DATA!Y121</f>
        <v>46902</v>
      </c>
      <c r="AN125" s="525">
        <f>+DATA!Z121</f>
        <v>27965</v>
      </c>
      <c r="AO125" s="525">
        <f>+DATA!AA121</f>
        <v>32628</v>
      </c>
      <c r="AP125" s="525">
        <f>+DATA!AB121</f>
        <v>22542</v>
      </c>
      <c r="AQ125" s="525">
        <f>+DATA!AC121</f>
        <v>130037</v>
      </c>
      <c r="AR125" s="525">
        <f>+DATA!AD121</f>
        <v>64</v>
      </c>
      <c r="AS125" s="525">
        <f>+DATA!AE121</f>
        <v>0</v>
      </c>
      <c r="AT125" s="525">
        <f>+DATA!AF121</f>
        <v>0</v>
      </c>
      <c r="AU125" s="525">
        <f>+DATA!AG121</f>
        <v>0</v>
      </c>
      <c r="AV125" s="525">
        <f>+DATA!AH121</f>
        <v>64</v>
      </c>
    </row>
    <row r="126" spans="1:48" x14ac:dyDescent="0.25">
      <c r="A126" s="527">
        <v>7107</v>
      </c>
      <c r="B126" s="527">
        <v>7205</v>
      </c>
      <c r="C126" s="527" t="s">
        <v>155</v>
      </c>
      <c r="D126" s="771">
        <f t="shared" si="20"/>
        <v>2.8901734103999998E-3</v>
      </c>
      <c r="E126" s="771">
        <f t="shared" si="21"/>
        <v>7.2254335259999995E-4</v>
      </c>
      <c r="F126" s="525">
        <f>+DATA!D122</f>
        <v>8626</v>
      </c>
      <c r="G126" s="772">
        <f>+DATA!E122</f>
        <v>0.1168547056300677</v>
      </c>
      <c r="H126" s="525">
        <f t="shared" si="30"/>
        <v>1008</v>
      </c>
      <c r="I126" s="771">
        <f t="shared" si="22"/>
        <v>7.7192874980000004E-4</v>
      </c>
      <c r="J126" s="771">
        <f t="shared" si="23"/>
        <v>7.7192875000000002E-5</v>
      </c>
      <c r="K126" s="525">
        <f>+DATA!G122</f>
        <v>4856</v>
      </c>
      <c r="L126" s="525">
        <f>+DATA!H122</f>
        <v>6785</v>
      </c>
      <c r="M126" s="525">
        <f>+DATA!I122</f>
        <v>64541887588</v>
      </c>
      <c r="N126" s="525">
        <f>+DATA!J122</f>
        <v>265783243325</v>
      </c>
      <c r="O126" s="773">
        <f t="shared" si="31"/>
        <v>0.41688996946022239</v>
      </c>
      <c r="P126" s="774" t="str">
        <f t="shared" si="32"/>
        <v>NO</v>
      </c>
      <c r="Q126" s="771">
        <f t="shared" si="24"/>
        <v>6.3651781929999999E-4</v>
      </c>
      <c r="R126" s="771">
        <f t="shared" si="25"/>
        <v>9.1257194850000005E-4</v>
      </c>
      <c r="S126" s="771">
        <f t="shared" si="26"/>
        <v>2.7377158459999999E-4</v>
      </c>
      <c r="T126" s="525">
        <f>+DATA!K122</f>
        <v>0</v>
      </c>
      <c r="U126" s="525">
        <f>+DATA!L122</f>
        <v>0</v>
      </c>
      <c r="V126" s="525">
        <f>+DATA!M122</f>
        <v>1433212</v>
      </c>
      <c r="W126" s="526">
        <f t="shared" si="27"/>
        <v>1433212</v>
      </c>
      <c r="X126" s="526">
        <f t="shared" si="33"/>
        <v>1433212</v>
      </c>
      <c r="Y126" s="526">
        <f t="shared" si="34"/>
        <v>1433212</v>
      </c>
      <c r="Z126" s="525">
        <f>+DATA!F122</f>
        <v>92186.364195350747</v>
      </c>
      <c r="AA126" s="525">
        <f>IF(P126="SI",ROUND(Z126/DIV_Pf,PARAMETROS!$L$8),0)</f>
        <v>0</v>
      </c>
      <c r="AB126" s="526">
        <f t="shared" si="35"/>
        <v>8626</v>
      </c>
      <c r="AC126" s="775">
        <f t="shared" si="36"/>
        <v>166.15</v>
      </c>
      <c r="AD126" s="525">
        <f>IF(AC126&lt;$AC$6,ROUND(($AC$6-AC126)*AB126,PARAMETROS!$L$8),0)</f>
        <v>0</v>
      </c>
      <c r="AE126" s="771">
        <f t="shared" si="28"/>
        <v>0</v>
      </c>
      <c r="AF126" s="771">
        <f t="shared" si="29"/>
        <v>0</v>
      </c>
      <c r="AG126" s="771">
        <f t="shared" si="37"/>
        <v>1.0735078122E-3</v>
      </c>
      <c r="AH126" s="525">
        <f>+DATA!Q122</f>
        <v>2011173.2209999999</v>
      </c>
      <c r="AI126" s="525">
        <f>+DATA!R122</f>
        <v>167597.76841666666</v>
      </c>
      <c r="AJ126" s="525">
        <f>+DATA!S122</f>
        <v>132402</v>
      </c>
      <c r="AK126" s="525">
        <f>+'_DATA STT PAGOS_'!G124</f>
        <v>0</v>
      </c>
      <c r="AL126" s="525">
        <f>+'_DATA STT PAGOS_'!J124</f>
        <v>2730778.4010000001</v>
      </c>
      <c r="AM126" s="525">
        <f>+DATA!Y122</f>
        <v>53123</v>
      </c>
      <c r="AN126" s="525">
        <f>+DATA!Z122</f>
        <v>35736</v>
      </c>
      <c r="AO126" s="525">
        <f>+DATA!AA122</f>
        <v>39750</v>
      </c>
      <c r="AP126" s="525">
        <f>+DATA!AB122</f>
        <v>37128</v>
      </c>
      <c r="AQ126" s="525">
        <f>+DATA!AC122</f>
        <v>165737</v>
      </c>
      <c r="AR126" s="525">
        <f>+DATA!AD122</f>
        <v>286</v>
      </c>
      <c r="AS126" s="525">
        <f>+DATA!AE122</f>
        <v>227</v>
      </c>
      <c r="AT126" s="525">
        <f>+DATA!AF122</f>
        <v>230.041</v>
      </c>
      <c r="AU126" s="525">
        <f>+DATA!AG122</f>
        <v>142</v>
      </c>
      <c r="AV126" s="525">
        <f>+DATA!AH122</f>
        <v>885.04099999999994</v>
      </c>
    </row>
    <row r="127" spans="1:48" x14ac:dyDescent="0.25">
      <c r="A127" s="527">
        <v>7108</v>
      </c>
      <c r="B127" s="527">
        <v>7204</v>
      </c>
      <c r="C127" s="527" t="s">
        <v>388</v>
      </c>
      <c r="D127" s="771">
        <f t="shared" si="20"/>
        <v>2.8901734103999998E-3</v>
      </c>
      <c r="E127" s="771">
        <f t="shared" si="21"/>
        <v>7.2254335259999995E-4</v>
      </c>
      <c r="F127" s="525">
        <f>+DATA!D123</f>
        <v>15129</v>
      </c>
      <c r="G127" s="772">
        <f>+DATA!E123</f>
        <v>9.4034421118778799E-2</v>
      </c>
      <c r="H127" s="525">
        <f t="shared" si="30"/>
        <v>1423</v>
      </c>
      <c r="I127" s="771">
        <f t="shared" si="22"/>
        <v>1.0897367171999999E-3</v>
      </c>
      <c r="J127" s="771">
        <f t="shared" si="23"/>
        <v>1.089736717E-4</v>
      </c>
      <c r="K127" s="525">
        <f>+DATA!G123</f>
        <v>5758</v>
      </c>
      <c r="L127" s="525">
        <f>+DATA!H123</f>
        <v>7972</v>
      </c>
      <c r="M127" s="525">
        <f>+DATA!I123</f>
        <v>82991052969</v>
      </c>
      <c r="N127" s="525">
        <f>+DATA!J123</f>
        <v>356628621984</v>
      </c>
      <c r="O127" s="773">
        <f t="shared" si="31"/>
        <v>0.40997721879333116</v>
      </c>
      <c r="P127" s="774" t="str">
        <f t="shared" si="32"/>
        <v>NO</v>
      </c>
      <c r="Q127" s="771">
        <f t="shared" si="24"/>
        <v>7.6169147189999997E-4</v>
      </c>
      <c r="R127" s="771">
        <f t="shared" si="25"/>
        <v>1.0920326966000001E-3</v>
      </c>
      <c r="S127" s="771">
        <f t="shared" si="26"/>
        <v>3.2760980899999999E-4</v>
      </c>
      <c r="T127" s="525">
        <f>+DATA!K123</f>
        <v>0</v>
      </c>
      <c r="U127" s="525">
        <f>+DATA!L123</f>
        <v>0</v>
      </c>
      <c r="V127" s="525">
        <f>+DATA!M123</f>
        <v>3584070</v>
      </c>
      <c r="W127" s="526">
        <f t="shared" si="27"/>
        <v>3584070</v>
      </c>
      <c r="X127" s="526">
        <f t="shared" si="33"/>
        <v>3584070</v>
      </c>
      <c r="Y127" s="526">
        <f t="shared" si="34"/>
        <v>3584070</v>
      </c>
      <c r="Z127" s="525">
        <f>+DATA!F123</f>
        <v>316005.17324063223</v>
      </c>
      <c r="AA127" s="525">
        <f>IF(P127="SI",ROUND(Z127/DIV_Pf,PARAMETROS!$L$8),0)</f>
        <v>0</v>
      </c>
      <c r="AB127" s="526">
        <f t="shared" si="35"/>
        <v>15129</v>
      </c>
      <c r="AC127" s="775">
        <f t="shared" si="36"/>
        <v>236.9</v>
      </c>
      <c r="AD127" s="525">
        <f>IF(AC127&lt;$AC$6,ROUND(($AC$6-AC127)*AB127,PARAMETROS!$L$8),0)</f>
        <v>0</v>
      </c>
      <c r="AE127" s="771">
        <f t="shared" si="28"/>
        <v>0</v>
      </c>
      <c r="AF127" s="771">
        <f t="shared" si="29"/>
        <v>0</v>
      </c>
      <c r="AG127" s="771">
        <f t="shared" si="37"/>
        <v>1.1591268333000001E-3</v>
      </c>
      <c r="AH127" s="525">
        <f>+DATA!Q123</f>
        <v>2175840.1159999999</v>
      </c>
      <c r="AI127" s="525">
        <f>+DATA!R123</f>
        <v>181320.00966666665</v>
      </c>
      <c r="AJ127" s="525">
        <f>+DATA!S123</f>
        <v>143243</v>
      </c>
      <c r="AK127" s="525">
        <f>+'_DATA STT PAGOS_'!G125</f>
        <v>0</v>
      </c>
      <c r="AL127" s="525">
        <f>+'_DATA STT PAGOS_'!J125</f>
        <v>2953748.8969999999</v>
      </c>
      <c r="AM127" s="525">
        <f>+DATA!Y123</f>
        <v>73050</v>
      </c>
      <c r="AN127" s="525">
        <f>+DATA!Z123</f>
        <v>46306</v>
      </c>
      <c r="AO127" s="525">
        <f>+DATA!AA123</f>
        <v>54108</v>
      </c>
      <c r="AP127" s="525">
        <f>+DATA!AB123</f>
        <v>47478</v>
      </c>
      <c r="AQ127" s="525">
        <f>+DATA!AC123</f>
        <v>220942</v>
      </c>
      <c r="AR127" s="525">
        <f>+DATA!AD123</f>
        <v>62</v>
      </c>
      <c r="AS127" s="525">
        <f>+DATA!AE123</f>
        <v>0</v>
      </c>
      <c r="AT127" s="525">
        <f>+DATA!AF123</f>
        <v>0</v>
      </c>
      <c r="AU127" s="525">
        <f>+DATA!AG123</f>
        <v>55</v>
      </c>
      <c r="AV127" s="525">
        <f>+DATA!AH123</f>
        <v>117</v>
      </c>
    </row>
    <row r="128" spans="1:48" x14ac:dyDescent="0.25">
      <c r="A128" s="527">
        <v>7109</v>
      </c>
      <c r="B128" s="527">
        <v>7202</v>
      </c>
      <c r="C128" s="527" t="s">
        <v>153</v>
      </c>
      <c r="D128" s="771">
        <f t="shared" si="20"/>
        <v>2.8901734103999998E-3</v>
      </c>
      <c r="E128" s="771">
        <f t="shared" si="21"/>
        <v>7.2254335259999995E-4</v>
      </c>
      <c r="F128" s="525">
        <f>+DATA!D124</f>
        <v>47999</v>
      </c>
      <c r="G128" s="772">
        <f>+DATA!E124</f>
        <v>0.10529142433779549</v>
      </c>
      <c r="H128" s="525">
        <f t="shared" si="30"/>
        <v>5054</v>
      </c>
      <c r="I128" s="771">
        <f t="shared" si="22"/>
        <v>3.8703649814000002E-3</v>
      </c>
      <c r="J128" s="771">
        <f t="shared" si="23"/>
        <v>3.8703649809999999E-4</v>
      </c>
      <c r="K128" s="525">
        <f>+DATA!G124</f>
        <v>20986</v>
      </c>
      <c r="L128" s="525">
        <f>+DATA!H124</f>
        <v>27616</v>
      </c>
      <c r="M128" s="525">
        <f>+DATA!I124</f>
        <v>380505966584</v>
      </c>
      <c r="N128" s="525">
        <f>+DATA!J124</f>
        <v>1047630528838</v>
      </c>
      <c r="O128" s="773">
        <f t="shared" si="31"/>
        <v>0.52536496788388054</v>
      </c>
      <c r="P128" s="774" t="str">
        <f t="shared" si="32"/>
        <v>SI</v>
      </c>
      <c r="Q128" s="771">
        <f t="shared" si="24"/>
        <v>2.9207986896999999E-3</v>
      </c>
      <c r="R128" s="771">
        <f t="shared" si="25"/>
        <v>4.1875323369E-3</v>
      </c>
      <c r="S128" s="771">
        <f t="shared" si="26"/>
        <v>1.2562597010999999E-3</v>
      </c>
      <c r="T128" s="525">
        <f>+DATA!K124</f>
        <v>0</v>
      </c>
      <c r="U128" s="525">
        <f>+DATA!L124</f>
        <v>0</v>
      </c>
      <c r="V128" s="525">
        <f>+DATA!M124</f>
        <v>3660344</v>
      </c>
      <c r="W128" s="526">
        <f t="shared" si="27"/>
        <v>3660344</v>
      </c>
      <c r="X128" s="526">
        <f t="shared" si="33"/>
        <v>3660344</v>
      </c>
      <c r="Y128" s="526">
        <f t="shared" si="34"/>
        <v>3660344</v>
      </c>
      <c r="Z128" s="525">
        <f>+DATA!F124</f>
        <v>526441.28166101268</v>
      </c>
      <c r="AA128" s="525">
        <f>IF(P128="SI",ROUND(Z128/DIV_Pf,PARAMETROS!$L$8),0)</f>
        <v>43870</v>
      </c>
      <c r="AB128" s="526">
        <f t="shared" si="35"/>
        <v>91869</v>
      </c>
      <c r="AC128" s="775">
        <f t="shared" si="36"/>
        <v>39.840000000000003</v>
      </c>
      <c r="AD128" s="525">
        <f>IF(AC128&lt;$AC$6,ROUND(($AC$6-AC128)*AB128,PARAMETROS!$L$8),0)</f>
        <v>5942087</v>
      </c>
      <c r="AE128" s="771">
        <f t="shared" si="28"/>
        <v>5.7033338446999997E-3</v>
      </c>
      <c r="AF128" s="771">
        <f t="shared" si="29"/>
        <v>1.9961668455999999E-3</v>
      </c>
      <c r="AG128" s="771">
        <f t="shared" si="37"/>
        <v>4.3620063973999999E-3</v>
      </c>
      <c r="AH128" s="525">
        <f>+DATA!Q124</f>
        <v>7864176.4139999999</v>
      </c>
      <c r="AI128" s="525">
        <f>+DATA!R124</f>
        <v>655348.03449999995</v>
      </c>
      <c r="AJ128" s="525">
        <f>+DATA!S124</f>
        <v>517725</v>
      </c>
      <c r="AK128" s="525">
        <f>+'_DATA STT PAGOS_'!G126</f>
        <v>0</v>
      </c>
      <c r="AL128" s="525">
        <f>+'_DATA STT PAGOS_'!J126</f>
        <v>10673583.765000001</v>
      </c>
      <c r="AM128" s="525">
        <f>+DATA!Y124</f>
        <v>174852</v>
      </c>
      <c r="AN128" s="525">
        <f>+DATA!Z124</f>
        <v>103284</v>
      </c>
      <c r="AO128" s="525">
        <f>+DATA!AA124</f>
        <v>129208</v>
      </c>
      <c r="AP128" s="525">
        <f>+DATA!AB124</f>
        <v>94190</v>
      </c>
      <c r="AQ128" s="525">
        <f>+DATA!AC124</f>
        <v>501534</v>
      </c>
      <c r="AR128" s="525">
        <f>+DATA!AD124</f>
        <v>1726</v>
      </c>
      <c r="AS128" s="525">
        <f>+DATA!AE124</f>
        <v>1131</v>
      </c>
      <c r="AT128" s="525">
        <f>+DATA!AF124</f>
        <v>1404.0830000000001</v>
      </c>
      <c r="AU128" s="525">
        <f>+DATA!AG124</f>
        <v>897</v>
      </c>
      <c r="AV128" s="525">
        <f>+DATA!AH124</f>
        <v>5158.0830000000005</v>
      </c>
    </row>
    <row r="129" spans="1:48" x14ac:dyDescent="0.25">
      <c r="A129" s="527">
        <v>7110</v>
      </c>
      <c r="B129" s="527">
        <v>7210</v>
      </c>
      <c r="C129" s="527" t="s">
        <v>159</v>
      </c>
      <c r="D129" s="771">
        <f t="shared" si="20"/>
        <v>2.8901734103999998E-3</v>
      </c>
      <c r="E129" s="771">
        <f t="shared" si="21"/>
        <v>7.2254335259999995E-4</v>
      </c>
      <c r="F129" s="525">
        <f>+DATA!D125</f>
        <v>10399</v>
      </c>
      <c r="G129" s="772">
        <f>+DATA!E125</f>
        <v>0.1126402723092326</v>
      </c>
      <c r="H129" s="525">
        <f t="shared" si="30"/>
        <v>1171</v>
      </c>
      <c r="I129" s="771">
        <f t="shared" si="22"/>
        <v>8.9675452970000005E-4</v>
      </c>
      <c r="J129" s="771">
        <f t="shared" si="23"/>
        <v>8.9675453000000004E-5</v>
      </c>
      <c r="K129" s="525">
        <f>+DATA!G125</f>
        <v>4731</v>
      </c>
      <c r="L129" s="525">
        <f>+DATA!H125</f>
        <v>5965</v>
      </c>
      <c r="M129" s="525">
        <f>+DATA!I125</f>
        <v>72661417250</v>
      </c>
      <c r="N129" s="525">
        <f>+DATA!J125</f>
        <v>207846343363</v>
      </c>
      <c r="O129" s="773">
        <f t="shared" si="31"/>
        <v>0.52656499908819965</v>
      </c>
      <c r="P129" s="774" t="str">
        <f t="shared" si="32"/>
        <v>SI</v>
      </c>
      <c r="Q129" s="771">
        <f t="shared" si="24"/>
        <v>6.8722430410000002E-4</v>
      </c>
      <c r="R129" s="771">
        <f t="shared" si="25"/>
        <v>9.8526954499999998E-4</v>
      </c>
      <c r="S129" s="771">
        <f t="shared" si="26"/>
        <v>2.955808635E-4</v>
      </c>
      <c r="T129" s="525">
        <f>+DATA!K125</f>
        <v>0</v>
      </c>
      <c r="U129" s="525">
        <f>+DATA!L125</f>
        <v>0</v>
      </c>
      <c r="V129" s="525">
        <f>+DATA!M125</f>
        <v>1313650</v>
      </c>
      <c r="W129" s="526">
        <f t="shared" si="27"/>
        <v>1313650</v>
      </c>
      <c r="X129" s="526">
        <f t="shared" si="33"/>
        <v>1313650</v>
      </c>
      <c r="Y129" s="526">
        <f t="shared" si="34"/>
        <v>1313650</v>
      </c>
      <c r="Z129" s="525">
        <f>+DATA!F125</f>
        <v>164803.82345514631</v>
      </c>
      <c r="AA129" s="525">
        <f>IF(P129="SI",ROUND(Z129/DIV_Pf,PARAMETROS!$L$8),0)</f>
        <v>13734</v>
      </c>
      <c r="AB129" s="526">
        <f t="shared" si="35"/>
        <v>24133</v>
      </c>
      <c r="AC129" s="775">
        <f t="shared" si="36"/>
        <v>54.43</v>
      </c>
      <c r="AD129" s="525">
        <f>IF(AC129&lt;$AC$6,ROUND(($AC$6-AC129)*AB129,PARAMETROS!$L$8),0)</f>
        <v>1208822</v>
      </c>
      <c r="AE129" s="771">
        <f t="shared" si="28"/>
        <v>1.1602515117999999E-3</v>
      </c>
      <c r="AF129" s="771">
        <f t="shared" si="29"/>
        <v>4.060880291E-4</v>
      </c>
      <c r="AG129" s="771">
        <f t="shared" si="37"/>
        <v>1.5138876982E-3</v>
      </c>
      <c r="AH129" s="525">
        <f>+DATA!Q125</f>
        <v>2503051.85</v>
      </c>
      <c r="AI129" s="525">
        <f>+DATA!R125</f>
        <v>208587.65416666667</v>
      </c>
      <c r="AJ129" s="525">
        <f>+DATA!S125</f>
        <v>164784</v>
      </c>
      <c r="AK129" s="525">
        <f>+'_DATA STT PAGOS_'!G127</f>
        <v>0</v>
      </c>
      <c r="AL129" s="525">
        <f>+'_DATA STT PAGOS_'!J127</f>
        <v>3397092.4180000005</v>
      </c>
      <c r="AM129" s="525">
        <f>+DATA!Y125</f>
        <v>34599</v>
      </c>
      <c r="AN129" s="525">
        <f>+DATA!Z125</f>
        <v>25207</v>
      </c>
      <c r="AO129" s="525">
        <f>+DATA!AA125</f>
        <v>25159</v>
      </c>
      <c r="AP129" s="525">
        <f>+DATA!AB125</f>
        <v>26757</v>
      </c>
      <c r="AQ129" s="525">
        <f>+DATA!AC125</f>
        <v>111722</v>
      </c>
      <c r="AR129" s="525">
        <f>+DATA!AD125</f>
        <v>66</v>
      </c>
      <c r="AS129" s="525">
        <f>+DATA!AE125</f>
        <v>0</v>
      </c>
      <c r="AT129" s="525">
        <f>+DATA!AF125</f>
        <v>0</v>
      </c>
      <c r="AU129" s="525">
        <f>+DATA!AG125</f>
        <v>65</v>
      </c>
      <c r="AV129" s="525">
        <f>+DATA!AH125</f>
        <v>131</v>
      </c>
    </row>
    <row r="130" spans="1:48" x14ac:dyDescent="0.25">
      <c r="A130" s="527">
        <v>7201</v>
      </c>
      <c r="B130" s="527">
        <v>7401</v>
      </c>
      <c r="C130" s="527" t="s">
        <v>166</v>
      </c>
      <c r="D130" s="771">
        <f t="shared" si="20"/>
        <v>2.8901734103999998E-3</v>
      </c>
      <c r="E130" s="771">
        <f t="shared" si="21"/>
        <v>7.2254335259999995E-4</v>
      </c>
      <c r="F130" s="525">
        <f>+DATA!D126</f>
        <v>44446</v>
      </c>
      <c r="G130" s="772">
        <f>+DATA!E126</f>
        <v>0.1157221024864185</v>
      </c>
      <c r="H130" s="525">
        <f t="shared" si="30"/>
        <v>5143</v>
      </c>
      <c r="I130" s="771">
        <f t="shared" si="22"/>
        <v>3.9385213889000003E-3</v>
      </c>
      <c r="J130" s="771">
        <f t="shared" si="23"/>
        <v>3.9385213889999999E-4</v>
      </c>
      <c r="K130" s="525">
        <f>+DATA!G126</f>
        <v>26718</v>
      </c>
      <c r="L130" s="525">
        <f>+DATA!H126</f>
        <v>35043</v>
      </c>
      <c r="M130" s="525">
        <f>+DATA!I126</f>
        <v>469814090386</v>
      </c>
      <c r="N130" s="525">
        <f>+DATA!J126</f>
        <v>938950960917</v>
      </c>
      <c r="O130" s="773">
        <f t="shared" si="31"/>
        <v>0.61765064166395489</v>
      </c>
      <c r="P130" s="774" t="str">
        <f t="shared" si="32"/>
        <v>SI</v>
      </c>
      <c r="Q130" s="771">
        <f t="shared" si="24"/>
        <v>3.7308662022E-3</v>
      </c>
      <c r="R130" s="771">
        <f t="shared" si="25"/>
        <v>5.3489214855999999E-3</v>
      </c>
      <c r="S130" s="771">
        <f t="shared" si="26"/>
        <v>1.6046764457000001E-3</v>
      </c>
      <c r="T130" s="525">
        <f>+DATA!K126</f>
        <v>0</v>
      </c>
      <c r="U130" s="525">
        <f>+DATA!L126</f>
        <v>0</v>
      </c>
      <c r="V130" s="525">
        <f>+DATA!M126</f>
        <v>3461761</v>
      </c>
      <c r="W130" s="526">
        <f t="shared" si="27"/>
        <v>3461761</v>
      </c>
      <c r="X130" s="526">
        <f t="shared" si="33"/>
        <v>3461761</v>
      </c>
      <c r="Y130" s="526">
        <f t="shared" si="34"/>
        <v>3461761</v>
      </c>
      <c r="Z130" s="525">
        <f>+DATA!F126</f>
        <v>535895.34592480608</v>
      </c>
      <c r="AA130" s="525">
        <f>IF(P130="SI",ROUND(Z130/DIV_Pf,PARAMETROS!$L$8),0)</f>
        <v>44658</v>
      </c>
      <c r="AB130" s="526">
        <f t="shared" si="35"/>
        <v>89104</v>
      </c>
      <c r="AC130" s="775">
        <f t="shared" si="36"/>
        <v>38.85</v>
      </c>
      <c r="AD130" s="525">
        <f>IF(AC130&lt;$AC$6,ROUND(($AC$6-AC130)*AB130,PARAMETROS!$L$8),0)</f>
        <v>5851460</v>
      </c>
      <c r="AE130" s="771">
        <f t="shared" si="28"/>
        <v>5.6163482391000004E-3</v>
      </c>
      <c r="AF130" s="771">
        <f t="shared" si="29"/>
        <v>1.9657218837E-3</v>
      </c>
      <c r="AG130" s="771">
        <f t="shared" si="37"/>
        <v>4.6867938209000006E-3</v>
      </c>
      <c r="AH130" s="525">
        <f>+DATA!Q126</f>
        <v>8353027.3890000004</v>
      </c>
      <c r="AI130" s="525">
        <f>+DATA!R126</f>
        <v>696085.61575</v>
      </c>
      <c r="AJ130" s="525">
        <f>+DATA!S126</f>
        <v>549908</v>
      </c>
      <c r="AK130" s="525">
        <f>+'_DATA STT PAGOS_'!G128</f>
        <v>0</v>
      </c>
      <c r="AL130" s="525">
        <f>+'_DATA STT PAGOS_'!J128</f>
        <v>11340846.133000001</v>
      </c>
      <c r="AM130" s="525">
        <f>+DATA!Y126</f>
        <v>144199</v>
      </c>
      <c r="AN130" s="525">
        <f>+DATA!Z126</f>
        <v>99163</v>
      </c>
      <c r="AO130" s="525">
        <f>+DATA!AA126</f>
        <v>110939</v>
      </c>
      <c r="AP130" s="525">
        <f>+DATA!AB126</f>
        <v>81816</v>
      </c>
      <c r="AQ130" s="525">
        <f>+DATA!AC126</f>
        <v>436117</v>
      </c>
      <c r="AR130" s="525">
        <f>+DATA!AD126</f>
        <v>9885</v>
      </c>
      <c r="AS130" s="525">
        <f>+DATA!AE126</f>
        <v>5755</v>
      </c>
      <c r="AT130" s="525">
        <f>+DATA!AF126</f>
        <v>7004.6469999999999</v>
      </c>
      <c r="AU130" s="525">
        <f>+DATA!AG126</f>
        <v>4798</v>
      </c>
      <c r="AV130" s="525">
        <f>+DATA!AH126</f>
        <v>27442.647000000001</v>
      </c>
    </row>
    <row r="131" spans="1:48" x14ac:dyDescent="0.25">
      <c r="A131" s="527">
        <v>7202</v>
      </c>
      <c r="B131" s="527">
        <v>7403</v>
      </c>
      <c r="C131" s="527" t="s">
        <v>168</v>
      </c>
      <c r="D131" s="771">
        <f t="shared" si="20"/>
        <v>2.8901734103999998E-3</v>
      </c>
      <c r="E131" s="771">
        <f t="shared" si="21"/>
        <v>7.2254335259999995E-4</v>
      </c>
      <c r="F131" s="525">
        <f>+DATA!D127</f>
        <v>9256</v>
      </c>
      <c r="G131" s="772">
        <f>+DATA!E127</f>
        <v>0.14315558367829151</v>
      </c>
      <c r="H131" s="525">
        <f t="shared" si="30"/>
        <v>1325</v>
      </c>
      <c r="I131" s="771">
        <f t="shared" si="22"/>
        <v>1.0146880887E-3</v>
      </c>
      <c r="J131" s="771">
        <f t="shared" si="23"/>
        <v>1.014688089E-4</v>
      </c>
      <c r="K131" s="525">
        <f>+DATA!G127</f>
        <v>6825</v>
      </c>
      <c r="L131" s="525">
        <f>+DATA!H127</f>
        <v>8256</v>
      </c>
      <c r="M131" s="525">
        <f>+DATA!I127</f>
        <v>97636485872</v>
      </c>
      <c r="N131" s="525">
        <f>+DATA!J127</f>
        <v>179070448680</v>
      </c>
      <c r="O131" s="773">
        <f t="shared" si="31"/>
        <v>0.67136793435391529</v>
      </c>
      <c r="P131" s="774" t="str">
        <f t="shared" si="32"/>
        <v>SI</v>
      </c>
      <c r="Q131" s="771">
        <f t="shared" si="24"/>
        <v>1.0333291697999999E-3</v>
      </c>
      <c r="R131" s="771">
        <f t="shared" si="25"/>
        <v>1.4814781068000001E-3</v>
      </c>
      <c r="S131" s="771">
        <f t="shared" si="26"/>
        <v>4.44443432E-4</v>
      </c>
      <c r="T131" s="525">
        <f>+DATA!K127</f>
        <v>0</v>
      </c>
      <c r="U131" s="525">
        <f>+DATA!L127</f>
        <v>0</v>
      </c>
      <c r="V131" s="525">
        <f>+DATA!M127</f>
        <v>696396</v>
      </c>
      <c r="W131" s="526">
        <f t="shared" si="27"/>
        <v>696396</v>
      </c>
      <c r="X131" s="526">
        <f t="shared" si="33"/>
        <v>696396</v>
      </c>
      <c r="Y131" s="526">
        <f t="shared" si="34"/>
        <v>696396</v>
      </c>
      <c r="Z131" s="525">
        <f>+DATA!F127</f>
        <v>220700.20127025479</v>
      </c>
      <c r="AA131" s="525">
        <f>IF(P131="SI",ROUND(Z131/DIV_Pf,PARAMETROS!$L$8),0)</f>
        <v>18392</v>
      </c>
      <c r="AB131" s="526">
        <f t="shared" si="35"/>
        <v>27648</v>
      </c>
      <c r="AC131" s="775">
        <f t="shared" si="36"/>
        <v>25.19</v>
      </c>
      <c r="AD131" s="525">
        <f>IF(AC131&lt;$AC$6,ROUND(($AC$6-AC131)*AB131,PARAMETROS!$L$8),0)</f>
        <v>2193316</v>
      </c>
      <c r="AE131" s="771">
        <f t="shared" si="28"/>
        <v>2.1051885263000001E-3</v>
      </c>
      <c r="AF131" s="771">
        <f t="shared" si="29"/>
        <v>7.3681598419999997E-4</v>
      </c>
      <c r="AG131" s="771">
        <f t="shared" si="37"/>
        <v>2.0052715777000001E-3</v>
      </c>
      <c r="AH131" s="525">
        <f>+DATA!Q127</f>
        <v>3270492.7560000001</v>
      </c>
      <c r="AI131" s="525">
        <f>+DATA!R127</f>
        <v>272541.06300000002</v>
      </c>
      <c r="AJ131" s="525">
        <f>+DATA!S127</f>
        <v>215307</v>
      </c>
      <c r="AK131" s="525">
        <f>+'_DATA STT PAGOS_'!G129</f>
        <v>0</v>
      </c>
      <c r="AL131" s="525">
        <f>+'_DATA STT PAGOS_'!J129</f>
        <v>4438929.1940000001</v>
      </c>
      <c r="AM131" s="525">
        <f>+DATA!Y127</f>
        <v>18184</v>
      </c>
      <c r="AN131" s="525">
        <f>+DATA!Z127</f>
        <v>11161</v>
      </c>
      <c r="AO131" s="525">
        <f>+DATA!AA127</f>
        <v>16183</v>
      </c>
      <c r="AP131" s="525">
        <f>+DATA!AB127</f>
        <v>6856</v>
      </c>
      <c r="AQ131" s="525">
        <f>+DATA!AC127</f>
        <v>52384</v>
      </c>
      <c r="AR131" s="525">
        <f>+DATA!AD127</f>
        <v>0</v>
      </c>
      <c r="AS131" s="525">
        <f>+DATA!AE127</f>
        <v>0</v>
      </c>
      <c r="AT131" s="525">
        <f>+DATA!AF127</f>
        <v>0</v>
      </c>
      <c r="AU131" s="525">
        <f>+DATA!AG127</f>
        <v>0</v>
      </c>
      <c r="AV131" s="525">
        <f>+DATA!AH127</f>
        <v>0</v>
      </c>
    </row>
    <row r="132" spans="1:48" x14ac:dyDescent="0.25">
      <c r="A132" s="527">
        <v>7203</v>
      </c>
      <c r="B132" s="527">
        <v>7402</v>
      </c>
      <c r="C132" s="527" t="s">
        <v>167</v>
      </c>
      <c r="D132" s="771">
        <f t="shared" si="20"/>
        <v>2.8901734103999998E-3</v>
      </c>
      <c r="E132" s="771">
        <f t="shared" si="21"/>
        <v>7.2254335259999995E-4</v>
      </c>
      <c r="F132" s="525">
        <f>+DATA!D128</f>
        <v>8444</v>
      </c>
      <c r="G132" s="772">
        <f>+DATA!E128</f>
        <v>0.12788688657403871</v>
      </c>
      <c r="H132" s="525">
        <f t="shared" si="30"/>
        <v>1080</v>
      </c>
      <c r="I132" s="771">
        <f t="shared" si="22"/>
        <v>8.2706651759999997E-4</v>
      </c>
      <c r="J132" s="771">
        <f t="shared" si="23"/>
        <v>8.2706651800000004E-5</v>
      </c>
      <c r="K132" s="525">
        <f>+DATA!G128</f>
        <v>9292</v>
      </c>
      <c r="L132" s="525">
        <f>+DATA!H128</f>
        <v>12930</v>
      </c>
      <c r="M132" s="525">
        <f>+DATA!I128</f>
        <v>138503894284</v>
      </c>
      <c r="N132" s="525">
        <f>+DATA!J128</f>
        <v>263940079009</v>
      </c>
      <c r="O132" s="773">
        <f t="shared" si="31"/>
        <v>0.61409231037726075</v>
      </c>
      <c r="P132" s="774" t="str">
        <f t="shared" si="32"/>
        <v>SI</v>
      </c>
      <c r="Q132" s="771">
        <f t="shared" si="24"/>
        <v>1.2229900943999999E-3</v>
      </c>
      <c r="R132" s="771">
        <f t="shared" si="25"/>
        <v>1.7533938871E-3</v>
      </c>
      <c r="S132" s="771">
        <f t="shared" si="26"/>
        <v>5.2601816610000002E-4</v>
      </c>
      <c r="T132" s="525">
        <f>+DATA!K128</f>
        <v>0</v>
      </c>
      <c r="U132" s="525">
        <f>+DATA!L128</f>
        <v>0</v>
      </c>
      <c r="V132" s="525">
        <f>+DATA!M128</f>
        <v>1056585</v>
      </c>
      <c r="W132" s="526">
        <f t="shared" si="27"/>
        <v>1056585</v>
      </c>
      <c r="X132" s="526">
        <f t="shared" si="33"/>
        <v>1056585</v>
      </c>
      <c r="Y132" s="526">
        <f t="shared" si="34"/>
        <v>1056585</v>
      </c>
      <c r="Z132" s="525">
        <f>+DATA!F128</f>
        <v>775583.11399224517</v>
      </c>
      <c r="AA132" s="525">
        <f>IF(P132="SI",ROUND(Z132/DIV_Pf,PARAMETROS!$L$8),0)</f>
        <v>64632</v>
      </c>
      <c r="AB132" s="526">
        <f t="shared" si="35"/>
        <v>73076</v>
      </c>
      <c r="AC132" s="775">
        <f t="shared" si="36"/>
        <v>14.46</v>
      </c>
      <c r="AD132" s="525">
        <f>IF(AC132&lt;$AC$6,ROUND(($AC$6-AC132)*AB132,PARAMETROS!$L$8),0)</f>
        <v>6581225</v>
      </c>
      <c r="AE132" s="771">
        <f t="shared" si="28"/>
        <v>6.3167912690999996E-3</v>
      </c>
      <c r="AF132" s="771">
        <f t="shared" si="29"/>
        <v>2.2108769441999999E-3</v>
      </c>
      <c r="AG132" s="771">
        <f t="shared" si="37"/>
        <v>3.5421451146999999E-3</v>
      </c>
      <c r="AH132" s="525">
        <f>+DATA!Q128</f>
        <v>6877682.7910000002</v>
      </c>
      <c r="AI132" s="525">
        <f>+DATA!R128</f>
        <v>573140.23258333339</v>
      </c>
      <c r="AJ132" s="525">
        <f>+DATA!S128</f>
        <v>452781</v>
      </c>
      <c r="AK132" s="525">
        <f>+'_DATA STT PAGOS_'!G130</f>
        <v>0</v>
      </c>
      <c r="AL132" s="525">
        <f>+'_DATA STT PAGOS_'!J130</f>
        <v>9333862.682</v>
      </c>
      <c r="AM132" s="525">
        <f>+DATA!Y128</f>
        <v>51785</v>
      </c>
      <c r="AN132" s="525">
        <f>+DATA!Z128</f>
        <v>27389</v>
      </c>
      <c r="AO132" s="525">
        <f>+DATA!AA128</f>
        <v>33892</v>
      </c>
      <c r="AP132" s="525">
        <f>+DATA!AB128</f>
        <v>22481</v>
      </c>
      <c r="AQ132" s="525">
        <f>+DATA!AC128</f>
        <v>135547</v>
      </c>
      <c r="AR132" s="525">
        <f>+DATA!AD128</f>
        <v>0</v>
      </c>
      <c r="AS132" s="525">
        <f>+DATA!AE128</f>
        <v>0</v>
      </c>
      <c r="AT132" s="525">
        <f>+DATA!AF128</f>
        <v>0</v>
      </c>
      <c r="AU132" s="525">
        <f>+DATA!AG128</f>
        <v>0</v>
      </c>
      <c r="AV132" s="525">
        <f>+DATA!AH128</f>
        <v>0</v>
      </c>
    </row>
    <row r="133" spans="1:48" x14ac:dyDescent="0.25">
      <c r="A133" s="527">
        <v>7301</v>
      </c>
      <c r="B133" s="527">
        <v>7101</v>
      </c>
      <c r="C133" s="527" t="s">
        <v>389</v>
      </c>
      <c r="D133" s="771">
        <f t="shared" si="20"/>
        <v>2.8901734103999998E-3</v>
      </c>
      <c r="E133" s="771">
        <f t="shared" si="21"/>
        <v>7.2254335259999995E-4</v>
      </c>
      <c r="F133" s="525">
        <f>+DATA!D129</f>
        <v>171589</v>
      </c>
      <c r="G133" s="772">
        <f>+DATA!E129</f>
        <v>7.2734496396528125E-2</v>
      </c>
      <c r="H133" s="525">
        <f t="shared" si="30"/>
        <v>12480</v>
      </c>
      <c r="I133" s="771">
        <f t="shared" si="22"/>
        <v>9.5572130921999995E-3</v>
      </c>
      <c r="J133" s="771">
        <f t="shared" si="23"/>
        <v>9.557213092E-4</v>
      </c>
      <c r="K133" s="525">
        <f>+DATA!G129</f>
        <v>55144</v>
      </c>
      <c r="L133" s="525">
        <f>+DATA!H129</f>
        <v>71731</v>
      </c>
      <c r="M133" s="525">
        <f>+DATA!I129</f>
        <v>1655486627006</v>
      </c>
      <c r="N133" s="525">
        <f>+DATA!J129</f>
        <v>3769914925382</v>
      </c>
      <c r="O133" s="773">
        <f t="shared" si="31"/>
        <v>0.58102223636885675</v>
      </c>
      <c r="P133" s="774" t="str">
        <f t="shared" si="32"/>
        <v>SI</v>
      </c>
      <c r="Q133" s="771">
        <f t="shared" si="24"/>
        <v>7.7641283775000004E-3</v>
      </c>
      <c r="R133" s="771">
        <f t="shared" si="25"/>
        <v>1.11313863442E-2</v>
      </c>
      <c r="S133" s="771">
        <f t="shared" si="26"/>
        <v>3.3394159033E-3</v>
      </c>
      <c r="T133" s="525">
        <f>+DATA!K129</f>
        <v>0</v>
      </c>
      <c r="U133" s="525">
        <f>+DATA!L129</f>
        <v>0</v>
      </c>
      <c r="V133" s="525">
        <f>+DATA!M129</f>
        <v>19368212</v>
      </c>
      <c r="W133" s="526">
        <f t="shared" si="27"/>
        <v>19368212</v>
      </c>
      <c r="X133" s="526">
        <f t="shared" si="33"/>
        <v>19368212</v>
      </c>
      <c r="Y133" s="526">
        <f t="shared" si="34"/>
        <v>19368212</v>
      </c>
      <c r="Z133" s="525">
        <f>+DATA!F129</f>
        <v>1045946.6603299978</v>
      </c>
      <c r="AA133" s="525">
        <f>IF(P133="SI",ROUND(Z133/DIV_Pf,PARAMETROS!$L$8),0)</f>
        <v>87162</v>
      </c>
      <c r="AB133" s="526">
        <f t="shared" si="35"/>
        <v>258751</v>
      </c>
      <c r="AC133" s="775">
        <f t="shared" si="36"/>
        <v>74.849999999999994</v>
      </c>
      <c r="AD133" s="525">
        <f>IF(AC133&lt;$AC$6,ROUND(($AC$6-AC133)*AB133,PARAMETROS!$L$8),0)</f>
        <v>7677142</v>
      </c>
      <c r="AE133" s="771">
        <f t="shared" si="28"/>
        <v>7.3686743056999996E-3</v>
      </c>
      <c r="AF133" s="771">
        <f t="shared" si="29"/>
        <v>2.5790360069999998E-3</v>
      </c>
      <c r="AG133" s="771">
        <f t="shared" si="37"/>
        <v>7.5967165720999992E-3</v>
      </c>
      <c r="AH133" s="525">
        <f>+DATA!Q129</f>
        <v>14015689.614</v>
      </c>
      <c r="AI133" s="525">
        <f>+DATA!R129</f>
        <v>1167974.1344999999</v>
      </c>
      <c r="AJ133" s="525">
        <f>+DATA!S129</f>
        <v>922700</v>
      </c>
      <c r="AK133" s="525">
        <f>+'_DATA STT PAGOS_'!G131</f>
        <v>0</v>
      </c>
      <c r="AL133" s="525">
        <f>+'_DATA STT PAGOS_'!J131</f>
        <v>19027009.155000001</v>
      </c>
      <c r="AM133" s="525">
        <f>+DATA!Y129</f>
        <v>1026161</v>
      </c>
      <c r="AN133" s="525">
        <f>+DATA!Z129</f>
        <v>790134</v>
      </c>
      <c r="AO133" s="525">
        <f>+DATA!AA129</f>
        <v>893501</v>
      </c>
      <c r="AP133" s="525">
        <f>+DATA!AB129</f>
        <v>733324</v>
      </c>
      <c r="AQ133" s="525">
        <f>+DATA!AC129</f>
        <v>3443120</v>
      </c>
      <c r="AR133" s="525">
        <f>+DATA!AD129</f>
        <v>72105</v>
      </c>
      <c r="AS133" s="525">
        <f>+DATA!AE129</f>
        <v>39049</v>
      </c>
      <c r="AT133" s="525">
        <f>+DATA!AF129</f>
        <v>50661.525999999998</v>
      </c>
      <c r="AU133" s="525">
        <f>+DATA!AG129</f>
        <v>36802</v>
      </c>
      <c r="AV133" s="525">
        <f>+DATA!AH129</f>
        <v>198617.52600000001</v>
      </c>
    </row>
    <row r="134" spans="1:48" x14ac:dyDescent="0.25">
      <c r="A134" s="527">
        <v>7302</v>
      </c>
      <c r="B134" s="527">
        <v>7107</v>
      </c>
      <c r="C134" s="527" t="s">
        <v>390</v>
      </c>
      <c r="D134" s="771">
        <f t="shared" si="20"/>
        <v>2.8901734103999998E-3</v>
      </c>
      <c r="E134" s="771">
        <f t="shared" si="21"/>
        <v>7.2254335259999995E-4</v>
      </c>
      <c r="F134" s="525">
        <f>+DATA!D130</f>
        <v>10225</v>
      </c>
      <c r="G134" s="772">
        <f>+DATA!E130</f>
        <v>9.2095340671287829E-2</v>
      </c>
      <c r="H134" s="525">
        <f t="shared" si="30"/>
        <v>942</v>
      </c>
      <c r="I134" s="771">
        <f t="shared" si="22"/>
        <v>7.2138579590000005E-4</v>
      </c>
      <c r="J134" s="771">
        <f t="shared" si="23"/>
        <v>7.21385796E-5</v>
      </c>
      <c r="K134" s="525">
        <f>+DATA!G130</f>
        <v>6009</v>
      </c>
      <c r="L134" s="525">
        <f>+DATA!H130</f>
        <v>8533</v>
      </c>
      <c r="M134" s="525">
        <f>+DATA!I130</f>
        <v>87211836264</v>
      </c>
      <c r="N134" s="525">
        <f>+DATA!J130</f>
        <v>226910084176</v>
      </c>
      <c r="O134" s="773">
        <f t="shared" si="31"/>
        <v>0.52024875083716871</v>
      </c>
      <c r="P134" s="774" t="str">
        <f t="shared" si="32"/>
        <v>SI</v>
      </c>
      <c r="Q134" s="771">
        <f t="shared" si="24"/>
        <v>7.7500717729999996E-4</v>
      </c>
      <c r="R134" s="771">
        <f t="shared" si="25"/>
        <v>1.1111233471000001E-3</v>
      </c>
      <c r="S134" s="771">
        <f t="shared" si="26"/>
        <v>3.3333700410000003E-4</v>
      </c>
      <c r="T134" s="525">
        <f>+DATA!K130</f>
        <v>0</v>
      </c>
      <c r="U134" s="525">
        <f>+DATA!L130</f>
        <v>0</v>
      </c>
      <c r="V134" s="525">
        <f>+DATA!M130</f>
        <v>1233193</v>
      </c>
      <c r="W134" s="526">
        <f t="shared" si="27"/>
        <v>1233193</v>
      </c>
      <c r="X134" s="526">
        <f t="shared" si="33"/>
        <v>1233193</v>
      </c>
      <c r="Y134" s="526">
        <f t="shared" si="34"/>
        <v>1233193</v>
      </c>
      <c r="Z134" s="525">
        <f>+DATA!F130</f>
        <v>183499.06827220673</v>
      </c>
      <c r="AA134" s="525">
        <f>IF(P134="SI",ROUND(Z134/DIV_Pf,PARAMETROS!$L$8),0)</f>
        <v>15292</v>
      </c>
      <c r="AB134" s="526">
        <f t="shared" si="35"/>
        <v>25517</v>
      </c>
      <c r="AC134" s="775">
        <f t="shared" si="36"/>
        <v>48.33</v>
      </c>
      <c r="AD134" s="525">
        <f>IF(AC134&lt;$AC$6,ROUND(($AC$6-AC134)*AB134,PARAMETROS!$L$8),0)</f>
        <v>1433800</v>
      </c>
      <c r="AE134" s="771">
        <f t="shared" si="28"/>
        <v>1.376189892E-3</v>
      </c>
      <c r="AF134" s="771">
        <f t="shared" si="29"/>
        <v>4.8166646220000001E-4</v>
      </c>
      <c r="AG134" s="771">
        <f t="shared" si="37"/>
        <v>1.6096853984999999E-3</v>
      </c>
      <c r="AH134" s="525">
        <f>+DATA!Q130</f>
        <v>2566815.4190000002</v>
      </c>
      <c r="AI134" s="525">
        <f>+DATA!R130</f>
        <v>213901.28491666669</v>
      </c>
      <c r="AJ134" s="525">
        <f>+DATA!S130</f>
        <v>168982</v>
      </c>
      <c r="AK134" s="525">
        <f>+'_DATA STT PAGOS_'!G132</f>
        <v>0</v>
      </c>
      <c r="AL134" s="525">
        <f>+'_DATA STT PAGOS_'!J132</f>
        <v>3482455.8380000005</v>
      </c>
      <c r="AM134" s="525">
        <f>+DATA!Y130</f>
        <v>36031</v>
      </c>
      <c r="AN134" s="525">
        <f>+DATA!Z130</f>
        <v>29260</v>
      </c>
      <c r="AO134" s="525">
        <f>+DATA!AA130</f>
        <v>31369</v>
      </c>
      <c r="AP134" s="525">
        <f>+DATA!AB130</f>
        <v>27121</v>
      </c>
      <c r="AQ134" s="525">
        <f>+DATA!AC130</f>
        <v>123781</v>
      </c>
      <c r="AR134" s="525">
        <f>+DATA!AD130</f>
        <v>1239</v>
      </c>
      <c r="AS134" s="525">
        <f>+DATA!AE130</f>
        <v>1165</v>
      </c>
      <c r="AT134" s="525">
        <f>+DATA!AF130</f>
        <v>1028.692</v>
      </c>
      <c r="AU134" s="525">
        <f>+DATA!AG130</f>
        <v>804</v>
      </c>
      <c r="AV134" s="525">
        <f>+DATA!AH130</f>
        <v>4236.692</v>
      </c>
    </row>
    <row r="135" spans="1:48" x14ac:dyDescent="0.25">
      <c r="A135" s="527">
        <v>7303</v>
      </c>
      <c r="B135" s="527">
        <v>7105</v>
      </c>
      <c r="C135" s="527" t="s">
        <v>391</v>
      </c>
      <c r="D135" s="771">
        <f t="shared" si="20"/>
        <v>2.8901734103999998E-3</v>
      </c>
      <c r="E135" s="771">
        <f t="shared" si="21"/>
        <v>7.2254335259999995E-4</v>
      </c>
      <c r="F135" s="525">
        <f>+DATA!D131</f>
        <v>6986</v>
      </c>
      <c r="G135" s="772">
        <f>+DATA!E131</f>
        <v>7.3529089128023015E-2</v>
      </c>
      <c r="H135" s="525">
        <f t="shared" si="30"/>
        <v>514</v>
      </c>
      <c r="I135" s="771">
        <f t="shared" si="22"/>
        <v>3.9362239819999998E-4</v>
      </c>
      <c r="J135" s="771">
        <f t="shared" si="23"/>
        <v>3.93622398E-5</v>
      </c>
      <c r="K135" s="525">
        <f>+DATA!G131</f>
        <v>3985</v>
      </c>
      <c r="L135" s="525">
        <f>+DATA!H131</f>
        <v>5871</v>
      </c>
      <c r="M135" s="525">
        <f>+DATA!I131</f>
        <v>68866068191</v>
      </c>
      <c r="N135" s="525">
        <f>+DATA!J131</f>
        <v>168323079925</v>
      </c>
      <c r="O135" s="773">
        <f t="shared" si="31"/>
        <v>0.52697368919436327</v>
      </c>
      <c r="P135" s="774" t="str">
        <f t="shared" si="32"/>
        <v>SI</v>
      </c>
      <c r="Q135" s="771">
        <f t="shared" si="24"/>
        <v>4.9539045349999999E-4</v>
      </c>
      <c r="R135" s="771">
        <f t="shared" si="25"/>
        <v>7.1023845319999996E-4</v>
      </c>
      <c r="S135" s="771">
        <f t="shared" si="26"/>
        <v>2.1307153600000001E-4</v>
      </c>
      <c r="T135" s="525">
        <f>+DATA!K131</f>
        <v>0</v>
      </c>
      <c r="U135" s="525">
        <f>+DATA!L131</f>
        <v>0</v>
      </c>
      <c r="V135" s="525">
        <f>+DATA!M131</f>
        <v>1125209</v>
      </c>
      <c r="W135" s="526">
        <f t="shared" si="27"/>
        <v>1125209</v>
      </c>
      <c r="X135" s="526">
        <f t="shared" si="33"/>
        <v>1125209</v>
      </c>
      <c r="Y135" s="526">
        <f t="shared" si="34"/>
        <v>1125209</v>
      </c>
      <c r="Z135" s="525">
        <f>+DATA!F131</f>
        <v>630434.29125069978</v>
      </c>
      <c r="AA135" s="525">
        <f>IF(P135="SI",ROUND(Z135/DIV_Pf,PARAMETROS!$L$8),0)</f>
        <v>52536</v>
      </c>
      <c r="AB135" s="526">
        <f t="shared" si="35"/>
        <v>59522</v>
      </c>
      <c r="AC135" s="775">
        <f t="shared" si="36"/>
        <v>18.899999999999999</v>
      </c>
      <c r="AD135" s="525">
        <f>IF(AC135&lt;$AC$6,ROUND(($AC$6-AC135)*AB135,PARAMETROS!$L$8),0)</f>
        <v>5096274</v>
      </c>
      <c r="AE135" s="771">
        <f t="shared" si="28"/>
        <v>4.8915056252000003E-3</v>
      </c>
      <c r="AF135" s="771">
        <f t="shared" si="29"/>
        <v>1.7120269688E-3</v>
      </c>
      <c r="AG135" s="771">
        <f t="shared" si="37"/>
        <v>2.6870040972E-3</v>
      </c>
      <c r="AH135" s="525">
        <f>+DATA!Q131</f>
        <v>4491494.0829999996</v>
      </c>
      <c r="AI135" s="525">
        <f>+DATA!R131</f>
        <v>374291.17358333332</v>
      </c>
      <c r="AJ135" s="525">
        <f>+DATA!S131</f>
        <v>295690</v>
      </c>
      <c r="AK135" s="525">
        <f>+'_DATA STT PAGOS_'!G133</f>
        <v>0</v>
      </c>
      <c r="AL135" s="525">
        <f>+'_DATA STT PAGOS_'!J133</f>
        <v>6093110.7259999998</v>
      </c>
      <c r="AM135" s="525">
        <f>+DATA!Y131</f>
        <v>40234</v>
      </c>
      <c r="AN135" s="525">
        <f>+DATA!Z131</f>
        <v>25486</v>
      </c>
      <c r="AO135" s="525">
        <f>+DATA!AA131</f>
        <v>25834</v>
      </c>
      <c r="AP135" s="525">
        <f>+DATA!AB131</f>
        <v>13432</v>
      </c>
      <c r="AQ135" s="525">
        <f>+DATA!AC131</f>
        <v>104986</v>
      </c>
      <c r="AR135" s="525">
        <f>+DATA!AD131</f>
        <v>2283</v>
      </c>
      <c r="AS135" s="525">
        <f>+DATA!AE131</f>
        <v>893</v>
      </c>
      <c r="AT135" s="525">
        <f>+DATA!AF131</f>
        <v>2067.902</v>
      </c>
      <c r="AU135" s="525">
        <f>+DATA!AG131</f>
        <v>1069</v>
      </c>
      <c r="AV135" s="525">
        <f>+DATA!AH131</f>
        <v>6312.902</v>
      </c>
    </row>
    <row r="136" spans="1:48" x14ac:dyDescent="0.25">
      <c r="A136" s="527">
        <v>7304</v>
      </c>
      <c r="B136" s="527">
        <v>7108</v>
      </c>
      <c r="C136" s="527" t="s">
        <v>150</v>
      </c>
      <c r="D136" s="771">
        <f t="shared" si="20"/>
        <v>2.8901734103999998E-3</v>
      </c>
      <c r="E136" s="771">
        <f t="shared" si="21"/>
        <v>7.2254335259999995E-4</v>
      </c>
      <c r="F136" s="525">
        <f>+DATA!D132</f>
        <v>52088</v>
      </c>
      <c r="G136" s="772">
        <f>+DATA!E132</f>
        <v>7.8718858790246787E-2</v>
      </c>
      <c r="H136" s="525">
        <f t="shared" si="30"/>
        <v>4100</v>
      </c>
      <c r="I136" s="771">
        <f t="shared" si="22"/>
        <v>3.1397895575000002E-3</v>
      </c>
      <c r="J136" s="771">
        <f t="shared" si="23"/>
        <v>3.1397895579999999E-4</v>
      </c>
      <c r="K136" s="525">
        <f>+DATA!G132</f>
        <v>17780</v>
      </c>
      <c r="L136" s="525">
        <f>+DATA!H132</f>
        <v>21351</v>
      </c>
      <c r="M136" s="525">
        <f>+DATA!I132</f>
        <v>370457430543</v>
      </c>
      <c r="N136" s="525">
        <f>+DATA!J132</f>
        <v>926971403901</v>
      </c>
      <c r="O136" s="773">
        <f t="shared" si="31"/>
        <v>0.57688965981419782</v>
      </c>
      <c r="P136" s="774" t="str">
        <f t="shared" si="32"/>
        <v>SI</v>
      </c>
      <c r="Q136" s="771">
        <f t="shared" si="24"/>
        <v>2.7117419202000001E-3</v>
      </c>
      <c r="R136" s="771">
        <f t="shared" si="25"/>
        <v>3.8878088450000001E-3</v>
      </c>
      <c r="S136" s="771">
        <f t="shared" si="26"/>
        <v>1.1663426535000001E-3</v>
      </c>
      <c r="T136" s="525">
        <f>+DATA!K132</f>
        <v>0</v>
      </c>
      <c r="U136" s="525">
        <f>+DATA!L132</f>
        <v>0</v>
      </c>
      <c r="V136" s="525">
        <f>+DATA!M132</f>
        <v>4145168</v>
      </c>
      <c r="W136" s="526">
        <f t="shared" si="27"/>
        <v>4145168</v>
      </c>
      <c r="X136" s="526">
        <f t="shared" si="33"/>
        <v>4145168</v>
      </c>
      <c r="Y136" s="526">
        <f t="shared" si="34"/>
        <v>4145168</v>
      </c>
      <c r="Z136" s="525">
        <f>+DATA!F132</f>
        <v>479682.23498901352</v>
      </c>
      <c r="AA136" s="525">
        <f>IF(P136="SI",ROUND(Z136/DIV_Pf,PARAMETROS!$L$8),0)</f>
        <v>39974</v>
      </c>
      <c r="AB136" s="526">
        <f t="shared" si="35"/>
        <v>92062</v>
      </c>
      <c r="AC136" s="775">
        <f t="shared" si="36"/>
        <v>45.03</v>
      </c>
      <c r="AD136" s="525">
        <f>IF(AC136&lt;$AC$6,ROUND(($AC$6-AC136)*AB136,PARAMETROS!$L$8),0)</f>
        <v>5476768</v>
      </c>
      <c r="AE136" s="771">
        <f t="shared" si="28"/>
        <v>5.2567113699000002E-3</v>
      </c>
      <c r="AF136" s="771">
        <f t="shared" si="29"/>
        <v>1.8398489795E-3</v>
      </c>
      <c r="AG136" s="771">
        <f t="shared" si="37"/>
        <v>4.0427139414000004E-3</v>
      </c>
      <c r="AH136" s="525">
        <f>+DATA!Q132</f>
        <v>7838370.1229999997</v>
      </c>
      <c r="AI136" s="525">
        <f>+DATA!R132</f>
        <v>653197.51024999993</v>
      </c>
      <c r="AJ136" s="525">
        <f>+DATA!S132</f>
        <v>516026</v>
      </c>
      <c r="AK136" s="525">
        <f>+'_DATA STT PAGOS_'!G134</f>
        <v>0</v>
      </c>
      <c r="AL136" s="525">
        <f>+'_DATA STT PAGOS_'!J134</f>
        <v>10636629.773</v>
      </c>
      <c r="AM136" s="525">
        <f>+DATA!Y132</f>
        <v>259535</v>
      </c>
      <c r="AN136" s="525">
        <f>+DATA!Z132</f>
        <v>161756</v>
      </c>
      <c r="AO136" s="525">
        <f>+DATA!AA132</f>
        <v>195282</v>
      </c>
      <c r="AP136" s="525">
        <f>+DATA!AB132</f>
        <v>156233</v>
      </c>
      <c r="AQ136" s="525">
        <f>+DATA!AC132</f>
        <v>772806</v>
      </c>
      <c r="AR136" s="525">
        <f>+DATA!AD132</f>
        <v>3133</v>
      </c>
      <c r="AS136" s="525">
        <f>+DATA!AE132</f>
        <v>1391</v>
      </c>
      <c r="AT136" s="525">
        <f>+DATA!AF132</f>
        <v>1836.2739999999999</v>
      </c>
      <c r="AU136" s="525">
        <f>+DATA!AG132</f>
        <v>1616</v>
      </c>
      <c r="AV136" s="525">
        <f>+DATA!AH132</f>
        <v>7976.2739999999994</v>
      </c>
    </row>
    <row r="137" spans="1:48" x14ac:dyDescent="0.25">
      <c r="A137" s="527">
        <v>7305</v>
      </c>
      <c r="B137" s="527">
        <v>7104</v>
      </c>
      <c r="C137" s="527" t="s">
        <v>149</v>
      </c>
      <c r="D137" s="771">
        <f t="shared" ref="D137:D200" si="38">ROUND(1/COUNTA($A$9:$A$354),DEC)</f>
        <v>2.8901734103999998E-3</v>
      </c>
      <c r="E137" s="771">
        <f t="shared" ref="E137:E200" si="39">ROUND(D137*$E$7,DEC)</f>
        <v>7.2254335259999995E-4</v>
      </c>
      <c r="F137" s="525">
        <f>+DATA!D133</f>
        <v>11753</v>
      </c>
      <c r="G137" s="772">
        <f>+DATA!E133</f>
        <v>0.10469407758338831</v>
      </c>
      <c r="H137" s="525">
        <f t="shared" si="30"/>
        <v>1230</v>
      </c>
      <c r="I137" s="771">
        <f t="shared" ref="I137:I200" si="40">ROUND(H137/$H$7,DEC)</f>
        <v>9.4193686730000004E-4</v>
      </c>
      <c r="J137" s="771">
        <f t="shared" ref="J137:J200" si="41">ROUND(I137*$J$7,DEC)</f>
        <v>9.4193686700000002E-5</v>
      </c>
      <c r="K137" s="525">
        <f>+DATA!G133</f>
        <v>4763</v>
      </c>
      <c r="L137" s="525">
        <f>+DATA!H133</f>
        <v>6061</v>
      </c>
      <c r="M137" s="525">
        <f>+DATA!I133</f>
        <v>71192178144</v>
      </c>
      <c r="N137" s="525">
        <f>+DATA!J133</f>
        <v>217154171880</v>
      </c>
      <c r="O137" s="773">
        <f t="shared" si="31"/>
        <v>0.50757497320073253</v>
      </c>
      <c r="P137" s="774" t="str">
        <f t="shared" si="32"/>
        <v>SI</v>
      </c>
      <c r="Q137" s="771">
        <f t="shared" ref="Q137:Q200" si="42">IF(K137=0,0,ROUND((K137/$K$6)*(K137/L137),DEC))</f>
        <v>6.8551970209999999E-4</v>
      </c>
      <c r="R137" s="771">
        <f t="shared" ref="R137:R200" si="43">ROUND(Q137/$Q$7,DEC)</f>
        <v>9.8282566689999996E-4</v>
      </c>
      <c r="S137" s="771">
        <f t="shared" ref="S137:S200" si="44">ROUND(R137*$S$7,DEC)</f>
        <v>2.9484770009999999E-4</v>
      </c>
      <c r="T137" s="525">
        <f>+DATA!K133</f>
        <v>0</v>
      </c>
      <c r="U137" s="525">
        <f>+DATA!L133</f>
        <v>0</v>
      </c>
      <c r="V137" s="525">
        <f>+DATA!M133</f>
        <v>1199154</v>
      </c>
      <c r="W137" s="526">
        <f t="shared" ref="W137:W200" si="45">+V137</f>
        <v>1199154</v>
      </c>
      <c r="X137" s="526">
        <f t="shared" si="33"/>
        <v>1199154</v>
      </c>
      <c r="Y137" s="526">
        <f t="shared" si="34"/>
        <v>1199154</v>
      </c>
      <c r="Z137" s="525">
        <f>+DATA!F133</f>
        <v>79406.657599270082</v>
      </c>
      <c r="AA137" s="525">
        <f>IF(P137="SI",ROUND(Z137/DIV_Pf,PARAMETROS!$L$8),0)</f>
        <v>6617</v>
      </c>
      <c r="AB137" s="526">
        <f t="shared" si="35"/>
        <v>18370</v>
      </c>
      <c r="AC137" s="775">
        <f t="shared" si="36"/>
        <v>65.28</v>
      </c>
      <c r="AD137" s="525">
        <f>IF(AC137&lt;$AC$6,ROUND(($AC$6-AC137)*AB137,PARAMETROS!$L$8),0)</f>
        <v>720839</v>
      </c>
      <c r="AE137" s="771">
        <f t="shared" ref="AE137:AE200" si="46">ROUND(AD137/$AD$7,DEC)</f>
        <v>6.9187567690000003E-4</v>
      </c>
      <c r="AF137" s="771">
        <f t="shared" ref="AF137:AF200" si="47">ROUND(AE137*$AF$7,DEC)</f>
        <v>2.4215648689999999E-4</v>
      </c>
      <c r="AG137" s="771">
        <f t="shared" si="37"/>
        <v>1.3537412263000001E-3</v>
      </c>
      <c r="AH137" s="525">
        <f>+DATA!Q133</f>
        <v>2363701.8139999998</v>
      </c>
      <c r="AI137" s="525">
        <f>+DATA!R133</f>
        <v>196975.15116666665</v>
      </c>
      <c r="AJ137" s="525">
        <f>+DATA!S133</f>
        <v>155610</v>
      </c>
      <c r="AK137" s="525">
        <f>+'_DATA STT PAGOS_'!G135</f>
        <v>0</v>
      </c>
      <c r="AL137" s="525">
        <f>+'_DATA STT PAGOS_'!J135</f>
        <v>3208070.4869999997</v>
      </c>
      <c r="AM137" s="525">
        <f>+DATA!Y133</f>
        <v>34011</v>
      </c>
      <c r="AN137" s="525">
        <f>+DATA!Z133</f>
        <v>24431</v>
      </c>
      <c r="AO137" s="525">
        <f>+DATA!AA133</f>
        <v>28558</v>
      </c>
      <c r="AP137" s="525">
        <f>+DATA!AB133</f>
        <v>20191</v>
      </c>
      <c r="AQ137" s="525">
        <f>+DATA!AC133</f>
        <v>107191</v>
      </c>
      <c r="AR137" s="525">
        <f>+DATA!AD133</f>
        <v>256</v>
      </c>
      <c r="AS137" s="525">
        <f>+DATA!AE133</f>
        <v>100</v>
      </c>
      <c r="AT137" s="525">
        <f>+DATA!AF133</f>
        <v>214.19</v>
      </c>
      <c r="AU137" s="525">
        <f>+DATA!AG133</f>
        <v>64</v>
      </c>
      <c r="AV137" s="525">
        <f>+DATA!AH133</f>
        <v>634.19000000000005</v>
      </c>
    </row>
    <row r="138" spans="1:48" x14ac:dyDescent="0.25">
      <c r="A138" s="527">
        <v>7306</v>
      </c>
      <c r="B138" s="527">
        <v>7103</v>
      </c>
      <c r="C138" s="527" t="s">
        <v>148</v>
      </c>
      <c r="D138" s="771">
        <f t="shared" si="38"/>
        <v>2.8901734103999998E-3</v>
      </c>
      <c r="E138" s="771">
        <f t="shared" si="39"/>
        <v>7.2254335259999995E-4</v>
      </c>
      <c r="F138" s="525">
        <f>+DATA!D134</f>
        <v>16925</v>
      </c>
      <c r="G138" s="772">
        <f>+DATA!E134</f>
        <v>7.6502783400543367E-2</v>
      </c>
      <c r="H138" s="525">
        <f t="shared" ref="H138:H201" si="48">ROUND(F138*G138,0)</f>
        <v>1295</v>
      </c>
      <c r="I138" s="771">
        <f t="shared" si="40"/>
        <v>9.9171401880000006E-4</v>
      </c>
      <c r="J138" s="771">
        <f t="shared" si="41"/>
        <v>9.9171401900000004E-5</v>
      </c>
      <c r="K138" s="525">
        <f>+DATA!G134</f>
        <v>6008</v>
      </c>
      <c r="L138" s="525">
        <f>+DATA!H134</f>
        <v>8064</v>
      </c>
      <c r="M138" s="525">
        <f>+DATA!I134</f>
        <v>114654620357</v>
      </c>
      <c r="N138" s="525">
        <f>+DATA!J134</f>
        <v>443813461876</v>
      </c>
      <c r="O138" s="773">
        <f t="shared" ref="O138:O201" si="49">IF(AND(L138=0,N138=0),0,GEOMEAN((K138/L138),(M138/N138)))</f>
        <v>0.43871779176701942</v>
      </c>
      <c r="P138" s="774" t="str">
        <f t="shared" ref="P138:P201" si="50">IF(O138&gt;$N$3,"SI","NO")</f>
        <v>NO</v>
      </c>
      <c r="Q138" s="771">
        <f t="shared" si="42"/>
        <v>8.1980845110000001E-4</v>
      </c>
      <c r="R138" s="771">
        <f t="shared" si="43"/>
        <v>1.1753546765000001E-3</v>
      </c>
      <c r="S138" s="771">
        <f t="shared" si="44"/>
        <v>3.5260640300000001E-4</v>
      </c>
      <c r="T138" s="525">
        <f>+DATA!K134</f>
        <v>0</v>
      </c>
      <c r="U138" s="525">
        <f>+DATA!L134</f>
        <v>0</v>
      </c>
      <c r="V138" s="525">
        <f>+DATA!M134</f>
        <v>3019388</v>
      </c>
      <c r="W138" s="526">
        <f t="shared" si="45"/>
        <v>3019388</v>
      </c>
      <c r="X138" s="526">
        <f t="shared" ref="X138:X201" si="51">+T138+V138</f>
        <v>3019388</v>
      </c>
      <c r="Y138" s="526">
        <f t="shared" ref="Y138:Y201" si="52">+V138+T138</f>
        <v>3019388</v>
      </c>
      <c r="Z138" s="525">
        <f>+DATA!F134</f>
        <v>189596.86273689801</v>
      </c>
      <c r="AA138" s="525">
        <f>IF(P138="SI",ROUND(Z138/DIV_Pf,PARAMETROS!$L$8),0)</f>
        <v>0</v>
      </c>
      <c r="AB138" s="526">
        <f t="shared" ref="AB138:AB201" si="53">+F138+AA138</f>
        <v>16925</v>
      </c>
      <c r="AC138" s="775">
        <f t="shared" ref="AC138:AC201" si="54">IFERROR(ROUND(Y138/AB138,2),0)</f>
        <v>178.4</v>
      </c>
      <c r="AD138" s="525">
        <f>IF(AC138&lt;$AC$6,ROUND(($AC$6-AC138)*AB138,PARAMETROS!$L$8),0)</f>
        <v>0</v>
      </c>
      <c r="AE138" s="771">
        <f t="shared" si="46"/>
        <v>0</v>
      </c>
      <c r="AF138" s="771">
        <f t="shared" si="47"/>
        <v>0</v>
      </c>
      <c r="AG138" s="771">
        <f t="shared" ref="AG138:AG201" si="55">+E138+J138+S138+AF138</f>
        <v>1.1743211574999999E-3</v>
      </c>
      <c r="AH138" s="525">
        <f>+DATA!Q134</f>
        <v>2202763.443</v>
      </c>
      <c r="AI138" s="525">
        <f>+DATA!R134</f>
        <v>183563.62025000001</v>
      </c>
      <c r="AJ138" s="525">
        <f>+DATA!S134</f>
        <v>145015</v>
      </c>
      <c r="AK138" s="525">
        <f>+'_DATA STT PAGOS_'!G136</f>
        <v>0</v>
      </c>
      <c r="AL138" s="525">
        <f>+'_DATA STT PAGOS_'!J136</f>
        <v>2989233.0829999996</v>
      </c>
      <c r="AM138" s="525">
        <f>+DATA!Y134</f>
        <v>138468</v>
      </c>
      <c r="AN138" s="525">
        <f>+DATA!Z134</f>
        <v>115014</v>
      </c>
      <c r="AO138" s="525">
        <f>+DATA!AA134</f>
        <v>113209</v>
      </c>
      <c r="AP138" s="525">
        <f>+DATA!AB134</f>
        <v>99234</v>
      </c>
      <c r="AQ138" s="525">
        <f>+DATA!AC134</f>
        <v>465925</v>
      </c>
      <c r="AR138" s="525">
        <f>+DATA!AD134</f>
        <v>1151</v>
      </c>
      <c r="AS138" s="525">
        <f>+DATA!AE134</f>
        <v>595</v>
      </c>
      <c r="AT138" s="525">
        <f>+DATA!AF134</f>
        <v>874.31700000000001</v>
      </c>
      <c r="AU138" s="525">
        <f>+DATA!AG134</f>
        <v>789</v>
      </c>
      <c r="AV138" s="525">
        <f>+DATA!AH134</f>
        <v>3409.317</v>
      </c>
    </row>
    <row r="139" spans="1:48" x14ac:dyDescent="0.25">
      <c r="A139" s="527">
        <v>7307</v>
      </c>
      <c r="B139" s="527">
        <v>7109</v>
      </c>
      <c r="C139" s="527" t="s">
        <v>151</v>
      </c>
      <c r="D139" s="771">
        <f t="shared" si="38"/>
        <v>2.8901734103999998E-3</v>
      </c>
      <c r="E139" s="771">
        <f t="shared" si="39"/>
        <v>7.2254335259999995E-4</v>
      </c>
      <c r="F139" s="525">
        <f>+DATA!D135</f>
        <v>19754</v>
      </c>
      <c r="G139" s="772">
        <f>+DATA!E135</f>
        <v>8.7606056446404068E-2</v>
      </c>
      <c r="H139" s="525">
        <f t="shared" si="48"/>
        <v>1731</v>
      </c>
      <c r="I139" s="771">
        <f t="shared" si="40"/>
        <v>1.3256038351000001E-3</v>
      </c>
      <c r="J139" s="771">
        <f t="shared" si="41"/>
        <v>1.325603835E-4</v>
      </c>
      <c r="K139" s="525">
        <f>+DATA!G135</f>
        <v>6522</v>
      </c>
      <c r="L139" s="525">
        <f>+DATA!H135</f>
        <v>8750</v>
      </c>
      <c r="M139" s="525">
        <f>+DATA!I135</f>
        <v>127309325603</v>
      </c>
      <c r="N139" s="525">
        <f>+DATA!J135</f>
        <v>483369335309</v>
      </c>
      <c r="O139" s="773">
        <f t="shared" si="49"/>
        <v>0.44307467922224797</v>
      </c>
      <c r="P139" s="774" t="str">
        <f t="shared" si="50"/>
        <v>NO</v>
      </c>
      <c r="Q139" s="771">
        <f t="shared" si="42"/>
        <v>8.9034146130000005E-4</v>
      </c>
      <c r="R139" s="771">
        <f t="shared" si="43"/>
        <v>1.2764774489000001E-3</v>
      </c>
      <c r="S139" s="771">
        <f t="shared" si="44"/>
        <v>3.829432347E-4</v>
      </c>
      <c r="T139" s="525">
        <f>+DATA!K135</f>
        <v>0</v>
      </c>
      <c r="U139" s="525">
        <f>+DATA!L135</f>
        <v>0</v>
      </c>
      <c r="V139" s="525">
        <f>+DATA!M135</f>
        <v>4489891</v>
      </c>
      <c r="W139" s="526">
        <f t="shared" si="45"/>
        <v>4489891</v>
      </c>
      <c r="X139" s="526">
        <f t="shared" si="51"/>
        <v>4489891</v>
      </c>
      <c r="Y139" s="526">
        <f t="shared" si="52"/>
        <v>4489891</v>
      </c>
      <c r="Z139" s="525">
        <f>+DATA!F135</f>
        <v>213157.14218011088</v>
      </c>
      <c r="AA139" s="525">
        <f>IF(P139="SI",ROUND(Z139/DIV_Pf,PARAMETROS!$L$8),0)</f>
        <v>0</v>
      </c>
      <c r="AB139" s="526">
        <f t="shared" si="53"/>
        <v>19754</v>
      </c>
      <c r="AC139" s="775">
        <f t="shared" si="54"/>
        <v>227.29</v>
      </c>
      <c r="AD139" s="525">
        <f>IF(AC139&lt;$AC$6,ROUND(($AC$6-AC139)*AB139,PARAMETROS!$L$8),0)</f>
        <v>0</v>
      </c>
      <c r="AE139" s="771">
        <f t="shared" si="46"/>
        <v>0</v>
      </c>
      <c r="AF139" s="771">
        <f t="shared" si="47"/>
        <v>0</v>
      </c>
      <c r="AG139" s="771">
        <f t="shared" si="55"/>
        <v>1.2380469707999999E-3</v>
      </c>
      <c r="AH139" s="525">
        <f>+DATA!Q135</f>
        <v>2413078.6179999998</v>
      </c>
      <c r="AI139" s="525">
        <f>+DATA!R135</f>
        <v>201089.88483333332</v>
      </c>
      <c r="AJ139" s="525">
        <f>+DATA!S135</f>
        <v>158861</v>
      </c>
      <c r="AK139" s="525">
        <f>+'_DATA STT PAGOS_'!G137</f>
        <v>0</v>
      </c>
      <c r="AL139" s="525">
        <f>+'_DATA STT PAGOS_'!J137</f>
        <v>3276572.9689999996</v>
      </c>
      <c r="AM139" s="525">
        <f>+DATA!Y135</f>
        <v>111465</v>
      </c>
      <c r="AN139" s="525">
        <f>+DATA!Z135</f>
        <v>95333</v>
      </c>
      <c r="AO139" s="525">
        <f>+DATA!AA135</f>
        <v>93680</v>
      </c>
      <c r="AP139" s="525">
        <f>+DATA!AB135</f>
        <v>79756</v>
      </c>
      <c r="AQ139" s="525">
        <f>+DATA!AC135</f>
        <v>380234</v>
      </c>
      <c r="AR139" s="525">
        <f>+DATA!AD135</f>
        <v>0</v>
      </c>
      <c r="AS139" s="525">
        <f>+DATA!AE135</f>
        <v>0</v>
      </c>
      <c r="AT139" s="525">
        <f>+DATA!AF135</f>
        <v>0</v>
      </c>
      <c r="AU139" s="525">
        <f>+DATA!AG135</f>
        <v>0</v>
      </c>
      <c r="AV139" s="525">
        <f>+DATA!AH135</f>
        <v>0</v>
      </c>
    </row>
    <row r="140" spans="1:48" x14ac:dyDescent="0.25">
      <c r="A140" s="527">
        <v>7308</v>
      </c>
      <c r="B140" s="527">
        <v>7102</v>
      </c>
      <c r="C140" s="527" t="s">
        <v>147</v>
      </c>
      <c r="D140" s="771">
        <f t="shared" si="38"/>
        <v>2.8901734103999998E-3</v>
      </c>
      <c r="E140" s="771">
        <f t="shared" si="39"/>
        <v>7.2254335259999995E-4</v>
      </c>
      <c r="F140" s="525">
        <f>+DATA!D136</f>
        <v>31885</v>
      </c>
      <c r="G140" s="772">
        <f>+DATA!E136</f>
        <v>7.5390641766713895E-2</v>
      </c>
      <c r="H140" s="525">
        <f t="shared" si="48"/>
        <v>2404</v>
      </c>
      <c r="I140" s="771">
        <f t="shared" si="40"/>
        <v>1.840988804E-3</v>
      </c>
      <c r="J140" s="771">
        <f t="shared" si="41"/>
        <v>1.840988804E-4</v>
      </c>
      <c r="K140" s="525">
        <f>+DATA!G136</f>
        <v>10859</v>
      </c>
      <c r="L140" s="525">
        <f>+DATA!H136</f>
        <v>15271</v>
      </c>
      <c r="M140" s="525">
        <f>+DATA!I136</f>
        <v>186050964579</v>
      </c>
      <c r="N140" s="525">
        <f>+DATA!J136</f>
        <v>784740070768</v>
      </c>
      <c r="O140" s="773">
        <f t="shared" si="49"/>
        <v>0.41059553874091204</v>
      </c>
      <c r="P140" s="774" t="str">
        <f t="shared" si="50"/>
        <v>NO</v>
      </c>
      <c r="Q140" s="771">
        <f t="shared" si="42"/>
        <v>1.4142143873999999E-3</v>
      </c>
      <c r="R140" s="771">
        <f t="shared" si="43"/>
        <v>2.0275510597E-3</v>
      </c>
      <c r="S140" s="771">
        <f t="shared" si="44"/>
        <v>6.0826531790000003E-4</v>
      </c>
      <c r="T140" s="525">
        <f>+DATA!K136</f>
        <v>0</v>
      </c>
      <c r="U140" s="525">
        <f>+DATA!L136</f>
        <v>0</v>
      </c>
      <c r="V140" s="525">
        <f>+DATA!M136</f>
        <v>3748220</v>
      </c>
      <c r="W140" s="526">
        <f t="shared" si="45"/>
        <v>3748220</v>
      </c>
      <c r="X140" s="526">
        <f t="shared" si="51"/>
        <v>3748220</v>
      </c>
      <c r="Y140" s="526">
        <f t="shared" si="52"/>
        <v>3748220</v>
      </c>
      <c r="Z140" s="525">
        <f>+DATA!F136</f>
        <v>340965.89502766909</v>
      </c>
      <c r="AA140" s="525">
        <f>IF(P140="SI",ROUND(Z140/DIV_Pf,PARAMETROS!$L$8),0)</f>
        <v>0</v>
      </c>
      <c r="AB140" s="526">
        <f t="shared" si="53"/>
        <v>31885</v>
      </c>
      <c r="AC140" s="775">
        <f t="shared" si="54"/>
        <v>117.55</v>
      </c>
      <c r="AD140" s="525">
        <f>IF(AC140&lt;$AC$6,ROUND(($AC$6-AC140)*AB140,PARAMETROS!$L$8),0)</f>
        <v>0</v>
      </c>
      <c r="AE140" s="771">
        <f t="shared" si="46"/>
        <v>0</v>
      </c>
      <c r="AF140" s="771">
        <f t="shared" si="47"/>
        <v>0</v>
      </c>
      <c r="AG140" s="771">
        <f t="shared" si="55"/>
        <v>1.5149075508999999E-3</v>
      </c>
      <c r="AH140" s="525">
        <f>+DATA!Q136</f>
        <v>3200238.679</v>
      </c>
      <c r="AI140" s="525">
        <f>+DATA!R136</f>
        <v>266686.55658333335</v>
      </c>
      <c r="AJ140" s="525">
        <f>+DATA!S136</f>
        <v>210682</v>
      </c>
      <c r="AK140" s="525">
        <f>+'_DATA STT PAGOS_'!G138</f>
        <v>0</v>
      </c>
      <c r="AL140" s="525">
        <f>+'_DATA STT PAGOS_'!J138</f>
        <v>4342797.3770000003</v>
      </c>
      <c r="AM140" s="525">
        <f>+DATA!Y136</f>
        <v>279751</v>
      </c>
      <c r="AN140" s="525">
        <f>+DATA!Z136</f>
        <v>277858</v>
      </c>
      <c r="AO140" s="525">
        <f>+DATA!AA136</f>
        <v>207402</v>
      </c>
      <c r="AP140" s="525">
        <f>+DATA!AB136</f>
        <v>148178</v>
      </c>
      <c r="AQ140" s="525">
        <f>+DATA!AC136</f>
        <v>913189</v>
      </c>
      <c r="AR140" s="525">
        <f>+DATA!AD136</f>
        <v>446</v>
      </c>
      <c r="AS140" s="525">
        <f>+DATA!AE136</f>
        <v>152</v>
      </c>
      <c r="AT140" s="525">
        <f>+DATA!AF136</f>
        <v>339.47699999999998</v>
      </c>
      <c r="AU140" s="525">
        <f>+DATA!AG136</f>
        <v>211</v>
      </c>
      <c r="AV140" s="525">
        <f>+DATA!AH136</f>
        <v>1148.4769999999999</v>
      </c>
    </row>
    <row r="141" spans="1:48" x14ac:dyDescent="0.25">
      <c r="A141" s="527">
        <v>7309</v>
      </c>
      <c r="B141" s="527">
        <v>7106</v>
      </c>
      <c r="C141" s="527" t="s">
        <v>392</v>
      </c>
      <c r="D141" s="771">
        <f t="shared" si="38"/>
        <v>2.8901734103999998E-3</v>
      </c>
      <c r="E141" s="771">
        <f t="shared" si="39"/>
        <v>7.2254335259999995E-4</v>
      </c>
      <c r="F141" s="525">
        <f>+DATA!D137</f>
        <v>4311</v>
      </c>
      <c r="G141" s="772">
        <f>+DATA!E137</f>
        <v>8.7216742405051353E-2</v>
      </c>
      <c r="H141" s="525">
        <f t="shared" si="48"/>
        <v>376</v>
      </c>
      <c r="I141" s="771">
        <f t="shared" si="40"/>
        <v>2.8794167650000001E-4</v>
      </c>
      <c r="J141" s="771">
        <f t="shared" si="41"/>
        <v>2.8794167700000001E-5</v>
      </c>
      <c r="K141" s="525">
        <f>+DATA!G137</f>
        <v>3307</v>
      </c>
      <c r="L141" s="525">
        <f>+DATA!H137</f>
        <v>7050</v>
      </c>
      <c r="M141" s="525">
        <f>+DATA!I137</f>
        <v>63383073522</v>
      </c>
      <c r="N141" s="525">
        <f>+DATA!J137</f>
        <v>363582982406</v>
      </c>
      <c r="O141" s="773">
        <f t="shared" si="49"/>
        <v>0.28596139861202852</v>
      </c>
      <c r="P141" s="774" t="str">
        <f t="shared" si="50"/>
        <v>NO</v>
      </c>
      <c r="Q141" s="771">
        <f t="shared" si="42"/>
        <v>2.8410726209999998E-4</v>
      </c>
      <c r="R141" s="771">
        <f t="shared" si="43"/>
        <v>4.0732295290000001E-4</v>
      </c>
      <c r="S141" s="771">
        <f t="shared" si="44"/>
        <v>1.2219688590000001E-4</v>
      </c>
      <c r="T141" s="525">
        <f>+DATA!K137</f>
        <v>0</v>
      </c>
      <c r="U141" s="525">
        <f>+DATA!L137</f>
        <v>0</v>
      </c>
      <c r="V141" s="525">
        <f>+DATA!M137</f>
        <v>2825227</v>
      </c>
      <c r="W141" s="526">
        <f t="shared" si="45"/>
        <v>2825227</v>
      </c>
      <c r="X141" s="526">
        <f t="shared" si="51"/>
        <v>2825227</v>
      </c>
      <c r="Y141" s="526">
        <f t="shared" si="52"/>
        <v>2825227</v>
      </c>
      <c r="Z141" s="525">
        <f>+DATA!F137</f>
        <v>420380.89190190984</v>
      </c>
      <c r="AA141" s="525">
        <f>IF(P141="SI",ROUND(Z141/DIV_Pf,PARAMETROS!$L$8),0)</f>
        <v>0</v>
      </c>
      <c r="AB141" s="526">
        <f t="shared" si="53"/>
        <v>4311</v>
      </c>
      <c r="AC141" s="775">
        <f t="shared" si="54"/>
        <v>655.35</v>
      </c>
      <c r="AD141" s="525">
        <f>IF(AC141&lt;$AC$6,ROUND(($AC$6-AC141)*AB141,PARAMETROS!$L$8),0)</f>
        <v>0</v>
      </c>
      <c r="AE141" s="771">
        <f t="shared" si="46"/>
        <v>0</v>
      </c>
      <c r="AF141" s="771">
        <f t="shared" si="47"/>
        <v>0</v>
      </c>
      <c r="AG141" s="771">
        <f t="shared" si="55"/>
        <v>8.7353440619999999E-4</v>
      </c>
      <c r="AH141" s="525">
        <f>+DATA!Q137</f>
        <v>1680472.2849999999</v>
      </c>
      <c r="AI141" s="525">
        <f>+DATA!R137</f>
        <v>140039.35708333334</v>
      </c>
      <c r="AJ141" s="525">
        <f>+DATA!S137</f>
        <v>110631</v>
      </c>
      <c r="AK141" s="525">
        <f>+'_DATA STT PAGOS_'!G139</f>
        <v>0</v>
      </c>
      <c r="AL141" s="525">
        <f>+'_DATA STT PAGOS_'!J139</f>
        <v>2280336.4720000001</v>
      </c>
      <c r="AM141" s="525">
        <f>+DATA!Y137</f>
        <v>146248</v>
      </c>
      <c r="AN141" s="525">
        <f>+DATA!Z137</f>
        <v>81671</v>
      </c>
      <c r="AO141" s="525">
        <f>+DATA!AA137</f>
        <v>97428</v>
      </c>
      <c r="AP141" s="525">
        <f>+DATA!AB137</f>
        <v>85451</v>
      </c>
      <c r="AQ141" s="525">
        <f>+DATA!AC137</f>
        <v>410798</v>
      </c>
      <c r="AR141" s="525">
        <f>+DATA!AD137</f>
        <v>19384</v>
      </c>
      <c r="AS141" s="525">
        <f>+DATA!AE137</f>
        <v>9432</v>
      </c>
      <c r="AT141" s="525">
        <f>+DATA!AF137</f>
        <v>13031.557000000001</v>
      </c>
      <c r="AU141" s="525">
        <f>+DATA!AG137</f>
        <v>10068</v>
      </c>
      <c r="AV141" s="525">
        <f>+DATA!AH137</f>
        <v>51915.557000000001</v>
      </c>
    </row>
    <row r="142" spans="1:48" x14ac:dyDescent="0.25">
      <c r="A142" s="527">
        <v>7401</v>
      </c>
      <c r="B142" s="527">
        <v>7301</v>
      </c>
      <c r="C142" s="527" t="s">
        <v>160</v>
      </c>
      <c r="D142" s="771">
        <f t="shared" si="38"/>
        <v>2.8901734103999998E-3</v>
      </c>
      <c r="E142" s="771">
        <f t="shared" si="39"/>
        <v>7.2254335259999995E-4</v>
      </c>
      <c r="F142" s="525">
        <f>+DATA!D138</f>
        <v>103958</v>
      </c>
      <c r="G142" s="772">
        <f>+DATA!E138</f>
        <v>8.8591955216916943E-2</v>
      </c>
      <c r="H142" s="525">
        <f t="shared" si="48"/>
        <v>9210</v>
      </c>
      <c r="I142" s="771">
        <f t="shared" si="40"/>
        <v>7.0530394695000002E-3</v>
      </c>
      <c r="J142" s="771">
        <f t="shared" si="41"/>
        <v>7.0530394700000002E-4</v>
      </c>
      <c r="K142" s="525">
        <f>+DATA!G138</f>
        <v>39071</v>
      </c>
      <c r="L142" s="525">
        <f>+DATA!H138</f>
        <v>49576</v>
      </c>
      <c r="M142" s="525">
        <f>+DATA!I138</f>
        <v>1050650304516</v>
      </c>
      <c r="N142" s="525">
        <f>+DATA!J138</f>
        <v>2031521843010</v>
      </c>
      <c r="O142" s="773">
        <f t="shared" si="49"/>
        <v>0.63842497642197837</v>
      </c>
      <c r="P142" s="774" t="str">
        <f t="shared" si="50"/>
        <v>SI</v>
      </c>
      <c r="Q142" s="771">
        <f t="shared" si="42"/>
        <v>5.6395004121000004E-3</v>
      </c>
      <c r="R142" s="771">
        <f t="shared" si="43"/>
        <v>8.0853194103999992E-3</v>
      </c>
      <c r="S142" s="771">
        <f t="shared" si="44"/>
        <v>2.4255958231000001E-3</v>
      </c>
      <c r="T142" s="525">
        <f>+DATA!K138</f>
        <v>0</v>
      </c>
      <c r="U142" s="525">
        <f>+DATA!L138</f>
        <v>0</v>
      </c>
      <c r="V142" s="525">
        <f>+DATA!M138</f>
        <v>7861559</v>
      </c>
      <c r="W142" s="526">
        <f t="shared" si="45"/>
        <v>7861559</v>
      </c>
      <c r="X142" s="526">
        <f t="shared" si="51"/>
        <v>7861559</v>
      </c>
      <c r="Y142" s="526">
        <f t="shared" si="52"/>
        <v>7861559</v>
      </c>
      <c r="Z142" s="525">
        <f>+DATA!F138</f>
        <v>957465.70672298991</v>
      </c>
      <c r="AA142" s="525">
        <f>IF(P142="SI",ROUND(Z142/DIV_Pf,PARAMETROS!$L$8),0)</f>
        <v>79789</v>
      </c>
      <c r="AB142" s="526">
        <f t="shared" si="53"/>
        <v>183747</v>
      </c>
      <c r="AC142" s="775">
        <f t="shared" si="54"/>
        <v>42.78</v>
      </c>
      <c r="AD142" s="525">
        <f>IF(AC142&lt;$AC$6,ROUND(($AC$6-AC142)*AB142,PARAMETROS!$L$8),0)</f>
        <v>11344540</v>
      </c>
      <c r="AE142" s="771">
        <f t="shared" si="46"/>
        <v>1.08887161925E-2</v>
      </c>
      <c r="AF142" s="771">
        <f t="shared" si="47"/>
        <v>3.8110506674000001E-3</v>
      </c>
      <c r="AG142" s="771">
        <f t="shared" si="55"/>
        <v>7.6644937901000007E-3</v>
      </c>
      <c r="AH142" s="525">
        <f>+DATA!Q138</f>
        <v>13678623.699999999</v>
      </c>
      <c r="AI142" s="525">
        <f>+DATA!R138</f>
        <v>1139885.3083333333</v>
      </c>
      <c r="AJ142" s="525">
        <f>+DATA!S138</f>
        <v>900509</v>
      </c>
      <c r="AK142" s="525">
        <f>+'_DATA STT PAGOS_'!G140</f>
        <v>0</v>
      </c>
      <c r="AL142" s="525">
        <f>+'_DATA STT PAGOS_'!J140</f>
        <v>18570239.379000001</v>
      </c>
      <c r="AM142" s="525">
        <f>+DATA!Y138</f>
        <v>433308</v>
      </c>
      <c r="AN142" s="525">
        <f>+DATA!Z138</f>
        <v>298217</v>
      </c>
      <c r="AO142" s="525">
        <f>+DATA!AA138</f>
        <v>339501</v>
      </c>
      <c r="AP142" s="525">
        <f>+DATA!AB138</f>
        <v>284761</v>
      </c>
      <c r="AQ142" s="525">
        <f>+DATA!AC138</f>
        <v>1355787</v>
      </c>
      <c r="AR142" s="525">
        <f>+DATA!AD138</f>
        <v>20223</v>
      </c>
      <c r="AS142" s="525">
        <f>+DATA!AE138</f>
        <v>8695</v>
      </c>
      <c r="AT142" s="525">
        <f>+DATA!AF138</f>
        <v>11140.669</v>
      </c>
      <c r="AU142" s="525">
        <f>+DATA!AG138</f>
        <v>7532</v>
      </c>
      <c r="AV142" s="525">
        <f>+DATA!AH138</f>
        <v>47590.669000000002</v>
      </c>
    </row>
    <row r="143" spans="1:48" x14ac:dyDescent="0.25">
      <c r="A143" s="527">
        <v>7402</v>
      </c>
      <c r="B143" s="527">
        <v>7303</v>
      </c>
      <c r="C143" s="527" t="s">
        <v>393</v>
      </c>
      <c r="D143" s="771">
        <f t="shared" si="38"/>
        <v>2.8901734103999998E-3</v>
      </c>
      <c r="E143" s="771">
        <f t="shared" si="39"/>
        <v>7.2254335259999995E-4</v>
      </c>
      <c r="F143" s="525">
        <f>+DATA!D139</f>
        <v>23479</v>
      </c>
      <c r="G143" s="772">
        <f>+DATA!E139</f>
        <v>0.1181205973029969</v>
      </c>
      <c r="H143" s="525">
        <f t="shared" si="48"/>
        <v>2773</v>
      </c>
      <c r="I143" s="771">
        <f t="shared" si="40"/>
        <v>2.1235698641E-3</v>
      </c>
      <c r="J143" s="771">
        <f t="shared" si="41"/>
        <v>2.1235698640000001E-4</v>
      </c>
      <c r="K143" s="525">
        <f>+DATA!G139</f>
        <v>9995</v>
      </c>
      <c r="L143" s="525">
        <f>+DATA!H139</f>
        <v>13903</v>
      </c>
      <c r="M143" s="525">
        <f>+DATA!I139</f>
        <v>167179131674</v>
      </c>
      <c r="N143" s="525">
        <f>+DATA!J139</f>
        <v>524570217813</v>
      </c>
      <c r="O143" s="773">
        <f t="shared" si="49"/>
        <v>0.4786591391076665</v>
      </c>
      <c r="P143" s="774" t="str">
        <f t="shared" si="50"/>
        <v>SI</v>
      </c>
      <c r="Q143" s="771">
        <f t="shared" si="42"/>
        <v>1.3160128692E-3</v>
      </c>
      <c r="R143" s="771">
        <f t="shared" si="43"/>
        <v>1.8867601061E-3</v>
      </c>
      <c r="S143" s="771">
        <f t="shared" si="44"/>
        <v>5.6602803180000002E-4</v>
      </c>
      <c r="T143" s="525">
        <f>+DATA!K139</f>
        <v>0</v>
      </c>
      <c r="U143" s="525">
        <f>+DATA!L139</f>
        <v>0</v>
      </c>
      <c r="V143" s="525">
        <f>+DATA!M139</f>
        <v>6754026</v>
      </c>
      <c r="W143" s="526">
        <f t="shared" si="45"/>
        <v>6754026</v>
      </c>
      <c r="X143" s="526">
        <f t="shared" si="51"/>
        <v>6754026</v>
      </c>
      <c r="Y143" s="526">
        <f t="shared" si="52"/>
        <v>6754026</v>
      </c>
      <c r="Z143" s="525">
        <f>+DATA!F139</f>
        <v>374705.60475972574</v>
      </c>
      <c r="AA143" s="525">
        <f>IF(P143="SI",ROUND(Z143/DIV_Pf,PARAMETROS!$L$8),0)</f>
        <v>31225</v>
      </c>
      <c r="AB143" s="526">
        <f t="shared" si="53"/>
        <v>54704</v>
      </c>
      <c r="AC143" s="775">
        <f t="shared" si="54"/>
        <v>123.46</v>
      </c>
      <c r="AD143" s="525">
        <f>IF(AC143&lt;$AC$6,ROUND(($AC$6-AC143)*AB143,PARAMETROS!$L$8),0)</f>
        <v>0</v>
      </c>
      <c r="AE143" s="771">
        <f t="shared" si="46"/>
        <v>0</v>
      </c>
      <c r="AF143" s="771">
        <f t="shared" si="47"/>
        <v>0</v>
      </c>
      <c r="AG143" s="771">
        <f t="shared" si="55"/>
        <v>1.5009283708E-3</v>
      </c>
      <c r="AH143" s="525">
        <f>+DATA!Q139</f>
        <v>3566821.63</v>
      </c>
      <c r="AI143" s="525">
        <f>+DATA!R139</f>
        <v>297235.1358333333</v>
      </c>
      <c r="AJ143" s="525">
        <f>+DATA!S139</f>
        <v>234816</v>
      </c>
      <c r="AK143" s="525">
        <f>+'_DATA STT PAGOS_'!G141</f>
        <v>0</v>
      </c>
      <c r="AL143" s="525">
        <f>+'_DATA STT PAGOS_'!J141</f>
        <v>4840258.8590000002</v>
      </c>
      <c r="AM143" s="525">
        <f>+DATA!Y139</f>
        <v>105732</v>
      </c>
      <c r="AN143" s="525">
        <f>+DATA!Z139</f>
        <v>27039</v>
      </c>
      <c r="AO143" s="525">
        <f>+DATA!AA139</f>
        <v>75791</v>
      </c>
      <c r="AP143" s="525">
        <f>+DATA!AB139</f>
        <v>65294</v>
      </c>
      <c r="AQ143" s="525">
        <f>+DATA!AC139</f>
        <v>273856</v>
      </c>
      <c r="AR143" s="525">
        <f>+DATA!AD139</f>
        <v>6209</v>
      </c>
      <c r="AS143" s="525">
        <f>+DATA!AE139</f>
        <v>2901</v>
      </c>
      <c r="AT143" s="525">
        <f>+DATA!AF139</f>
        <v>4010.5839999999998</v>
      </c>
      <c r="AU143" s="525">
        <f>+DATA!AG139</f>
        <v>3235</v>
      </c>
      <c r="AV143" s="525">
        <f>+DATA!AH139</f>
        <v>16355.583999999999</v>
      </c>
    </row>
    <row r="144" spans="1:48" x14ac:dyDescent="0.25">
      <c r="A144" s="527">
        <v>7403</v>
      </c>
      <c r="B144" s="527">
        <v>7304</v>
      </c>
      <c r="C144" s="527" t="s">
        <v>394</v>
      </c>
      <c r="D144" s="771">
        <f t="shared" si="38"/>
        <v>2.8901734103999998E-3</v>
      </c>
      <c r="E144" s="771">
        <f t="shared" si="39"/>
        <v>7.2254335259999995E-4</v>
      </c>
      <c r="F144" s="525">
        <f>+DATA!D140</f>
        <v>33666</v>
      </c>
      <c r="G144" s="772">
        <f>+DATA!E140</f>
        <v>0.11610555102847631</v>
      </c>
      <c r="H144" s="525">
        <f t="shared" si="48"/>
        <v>3909</v>
      </c>
      <c r="I144" s="771">
        <f t="shared" si="40"/>
        <v>2.9935213123E-3</v>
      </c>
      <c r="J144" s="771">
        <f t="shared" si="41"/>
        <v>2.9935213119999999E-4</v>
      </c>
      <c r="K144" s="525">
        <f>+DATA!G140</f>
        <v>15640</v>
      </c>
      <c r="L144" s="525">
        <f>+DATA!H140</f>
        <v>20852</v>
      </c>
      <c r="M144" s="525">
        <f>+DATA!I140</f>
        <v>236917468106</v>
      </c>
      <c r="N144" s="525">
        <f>+DATA!J140</f>
        <v>637096190026</v>
      </c>
      <c r="O144" s="773">
        <f t="shared" si="49"/>
        <v>0.52812965430097503</v>
      </c>
      <c r="P144" s="774" t="str">
        <f t="shared" si="50"/>
        <v>SI</v>
      </c>
      <c r="Q144" s="771">
        <f t="shared" si="42"/>
        <v>2.1484677712E-3</v>
      </c>
      <c r="R144" s="771">
        <f t="shared" si="43"/>
        <v>3.0802459266999998E-3</v>
      </c>
      <c r="S144" s="771">
        <f t="shared" si="44"/>
        <v>9.2407377800000001E-4</v>
      </c>
      <c r="T144" s="525">
        <f>+DATA!K140</f>
        <v>0</v>
      </c>
      <c r="U144" s="525">
        <f>+DATA!L140</f>
        <v>0</v>
      </c>
      <c r="V144" s="525">
        <f>+DATA!M140</f>
        <v>1720544</v>
      </c>
      <c r="W144" s="526">
        <f t="shared" si="45"/>
        <v>1720544</v>
      </c>
      <c r="X144" s="526">
        <f t="shared" si="51"/>
        <v>1720544</v>
      </c>
      <c r="Y144" s="526">
        <f t="shared" si="52"/>
        <v>1720544</v>
      </c>
      <c r="Z144" s="525">
        <f>+DATA!F140</f>
        <v>462797.681875807</v>
      </c>
      <c r="AA144" s="525">
        <f>IF(P144="SI",ROUND(Z144/DIV_Pf,PARAMETROS!$L$8),0)</f>
        <v>38566</v>
      </c>
      <c r="AB144" s="526">
        <f t="shared" si="53"/>
        <v>72232</v>
      </c>
      <c r="AC144" s="775">
        <f t="shared" si="54"/>
        <v>23.82</v>
      </c>
      <c r="AD144" s="525">
        <f>IF(AC144&lt;$AC$6,ROUND(($AC$6-AC144)*AB144,PARAMETROS!$L$8),0)</f>
        <v>5829122</v>
      </c>
      <c r="AE144" s="771">
        <f t="shared" si="46"/>
        <v>5.5949077802999996E-3</v>
      </c>
      <c r="AF144" s="771">
        <f t="shared" si="47"/>
        <v>1.9582177231E-3</v>
      </c>
      <c r="AG144" s="771">
        <f t="shared" si="55"/>
        <v>3.9041869848999997E-3</v>
      </c>
      <c r="AH144" s="525">
        <f>+DATA!Q140</f>
        <v>6682673.8600000003</v>
      </c>
      <c r="AI144" s="525">
        <f>+DATA!R140</f>
        <v>556889.4883333334</v>
      </c>
      <c r="AJ144" s="525">
        <f>+DATA!S140</f>
        <v>439943</v>
      </c>
      <c r="AK144" s="525">
        <f>+'_DATA STT PAGOS_'!G142</f>
        <v>0</v>
      </c>
      <c r="AL144" s="525">
        <f>+'_DATA STT PAGOS_'!J142</f>
        <v>9068126.807</v>
      </c>
      <c r="AM144" s="525">
        <f>+DATA!Y140</f>
        <v>86439</v>
      </c>
      <c r="AN144" s="525">
        <f>+DATA!Z140</f>
        <v>52749</v>
      </c>
      <c r="AO144" s="525">
        <f>+DATA!AA140</f>
        <v>69652</v>
      </c>
      <c r="AP144" s="525">
        <f>+DATA!AB140</f>
        <v>50093</v>
      </c>
      <c r="AQ144" s="525">
        <f>+DATA!AC140</f>
        <v>258933</v>
      </c>
      <c r="AR144" s="525">
        <f>+DATA!AD140</f>
        <v>215</v>
      </c>
      <c r="AS144" s="525">
        <f>+DATA!AE140</f>
        <v>90</v>
      </c>
      <c r="AT144" s="525">
        <f>+DATA!AF140</f>
        <v>107.03400000000001</v>
      </c>
      <c r="AU144" s="525">
        <f>+DATA!AG140</f>
        <v>200</v>
      </c>
      <c r="AV144" s="525">
        <f>+DATA!AH140</f>
        <v>612.03399999999999</v>
      </c>
    </row>
    <row r="145" spans="1:48" x14ac:dyDescent="0.25">
      <c r="A145" s="527">
        <v>7404</v>
      </c>
      <c r="B145" s="527">
        <v>7305</v>
      </c>
      <c r="C145" s="527" t="s">
        <v>162</v>
      </c>
      <c r="D145" s="771">
        <f t="shared" si="38"/>
        <v>2.8901734103999998E-3</v>
      </c>
      <c r="E145" s="771">
        <f t="shared" si="39"/>
        <v>7.2254335259999995E-4</v>
      </c>
      <c r="F145" s="525">
        <f>+DATA!D141</f>
        <v>45583</v>
      </c>
      <c r="G145" s="772">
        <f>+DATA!E141</f>
        <v>9.2774064727636135E-2</v>
      </c>
      <c r="H145" s="525">
        <f t="shared" si="48"/>
        <v>4229</v>
      </c>
      <c r="I145" s="771">
        <f t="shared" si="40"/>
        <v>3.2385780582000001E-3</v>
      </c>
      <c r="J145" s="771">
        <f t="shared" si="41"/>
        <v>3.2385780580000001E-4</v>
      </c>
      <c r="K145" s="525">
        <f>+DATA!G141</f>
        <v>22358</v>
      </c>
      <c r="L145" s="525">
        <f>+DATA!H141</f>
        <v>29127</v>
      </c>
      <c r="M145" s="525">
        <f>+DATA!I141</f>
        <v>394363459942</v>
      </c>
      <c r="N145" s="525">
        <f>+DATA!J141</f>
        <v>934714569395</v>
      </c>
      <c r="O145" s="773">
        <f t="shared" si="49"/>
        <v>0.56908537672510395</v>
      </c>
      <c r="P145" s="774" t="str">
        <f t="shared" si="50"/>
        <v>SI</v>
      </c>
      <c r="Q145" s="771">
        <f t="shared" si="42"/>
        <v>3.1432086424000001E-3</v>
      </c>
      <c r="R145" s="771">
        <f t="shared" si="43"/>
        <v>4.5064002111000001E-3</v>
      </c>
      <c r="S145" s="771">
        <f t="shared" si="44"/>
        <v>1.3519200633E-3</v>
      </c>
      <c r="T145" s="525">
        <f>+DATA!K141</f>
        <v>0</v>
      </c>
      <c r="U145" s="525">
        <f>+DATA!L141</f>
        <v>0</v>
      </c>
      <c r="V145" s="525">
        <f>+DATA!M141</f>
        <v>3732335</v>
      </c>
      <c r="W145" s="526">
        <f t="shared" si="45"/>
        <v>3732335</v>
      </c>
      <c r="X145" s="526">
        <f t="shared" si="51"/>
        <v>3732335</v>
      </c>
      <c r="Y145" s="526">
        <f t="shared" si="52"/>
        <v>3732335</v>
      </c>
      <c r="Z145" s="525">
        <f>+DATA!F141</f>
        <v>658923.16271024279</v>
      </c>
      <c r="AA145" s="525">
        <f>IF(P145="SI",ROUND(Z145/DIV_Pf,PARAMETROS!$L$8),0)</f>
        <v>54910</v>
      </c>
      <c r="AB145" s="526">
        <f t="shared" si="53"/>
        <v>100493</v>
      </c>
      <c r="AC145" s="775">
        <f t="shared" si="54"/>
        <v>37.14</v>
      </c>
      <c r="AD145" s="525">
        <f>IF(AC145&lt;$AC$6,ROUND(($AC$6-AC145)*AB145,PARAMETROS!$L$8),0)</f>
        <v>6771218</v>
      </c>
      <c r="AE145" s="771">
        <f t="shared" si="46"/>
        <v>6.4991503472000001E-3</v>
      </c>
      <c r="AF145" s="771">
        <f t="shared" si="47"/>
        <v>2.2747026214999999E-3</v>
      </c>
      <c r="AG145" s="771">
        <f t="shared" si="55"/>
        <v>4.6730238431999995E-3</v>
      </c>
      <c r="AH145" s="525">
        <f>+DATA!Q141</f>
        <v>7944968.0460000001</v>
      </c>
      <c r="AI145" s="525">
        <f>+DATA!R141</f>
        <v>662080.67050000001</v>
      </c>
      <c r="AJ145" s="525">
        <f>+DATA!S141</f>
        <v>523044</v>
      </c>
      <c r="AK145" s="525">
        <f>+'_DATA STT PAGOS_'!G143</f>
        <v>0</v>
      </c>
      <c r="AL145" s="525">
        <f>+'_DATA STT PAGOS_'!J143</f>
        <v>10779907.026000001</v>
      </c>
      <c r="AM145" s="525">
        <f>+DATA!Y141</f>
        <v>174439</v>
      </c>
      <c r="AN145" s="525">
        <f>+DATA!Z141</f>
        <v>119514</v>
      </c>
      <c r="AO145" s="525">
        <f>+DATA!AA141</f>
        <v>135987</v>
      </c>
      <c r="AP145" s="525">
        <f>+DATA!AB141</f>
        <v>104329</v>
      </c>
      <c r="AQ145" s="525">
        <f>+DATA!AC141</f>
        <v>534269</v>
      </c>
      <c r="AR145" s="525">
        <f>+DATA!AD141</f>
        <v>7234</v>
      </c>
      <c r="AS145" s="525">
        <f>+DATA!AE141</f>
        <v>2584</v>
      </c>
      <c r="AT145" s="525">
        <f>+DATA!AF141</f>
        <v>3797.172</v>
      </c>
      <c r="AU145" s="525">
        <f>+DATA!AG141</f>
        <v>2876</v>
      </c>
      <c r="AV145" s="525">
        <f>+DATA!AH141</f>
        <v>16491.171999999999</v>
      </c>
    </row>
    <row r="146" spans="1:48" x14ac:dyDescent="0.25">
      <c r="A146" s="527">
        <v>7405</v>
      </c>
      <c r="B146" s="527">
        <v>7306</v>
      </c>
      <c r="C146" s="527" t="s">
        <v>163</v>
      </c>
      <c r="D146" s="771">
        <f t="shared" si="38"/>
        <v>2.8901734103999998E-3</v>
      </c>
      <c r="E146" s="771">
        <f t="shared" si="39"/>
        <v>7.2254335259999995E-4</v>
      </c>
      <c r="F146" s="525">
        <f>+DATA!D142</f>
        <v>21492</v>
      </c>
      <c r="G146" s="772">
        <f>+DATA!E142</f>
        <v>0.1218370057800926</v>
      </c>
      <c r="H146" s="525">
        <f t="shared" si="48"/>
        <v>2619</v>
      </c>
      <c r="I146" s="771">
        <f t="shared" si="40"/>
        <v>2.0056363052000001E-3</v>
      </c>
      <c r="J146" s="771">
        <f t="shared" si="41"/>
        <v>2.0056363050000001E-4</v>
      </c>
      <c r="K146" s="525">
        <f>+DATA!G142</f>
        <v>12178</v>
      </c>
      <c r="L146" s="525">
        <f>+DATA!H142</f>
        <v>16427</v>
      </c>
      <c r="M146" s="525">
        <f>+DATA!I142</f>
        <v>178238848832</v>
      </c>
      <c r="N146" s="525">
        <f>+DATA!J142</f>
        <v>538175814907</v>
      </c>
      <c r="O146" s="773">
        <f t="shared" si="49"/>
        <v>0.4955048982790286</v>
      </c>
      <c r="P146" s="774" t="str">
        <f t="shared" si="50"/>
        <v>SI</v>
      </c>
      <c r="Q146" s="771">
        <f t="shared" si="42"/>
        <v>1.6534716172E-3</v>
      </c>
      <c r="R146" s="771">
        <f t="shared" si="43"/>
        <v>2.3705727785000002E-3</v>
      </c>
      <c r="S146" s="771">
        <f t="shared" si="44"/>
        <v>7.1117183360000003E-4</v>
      </c>
      <c r="T146" s="525">
        <f>+DATA!K142</f>
        <v>0</v>
      </c>
      <c r="U146" s="525">
        <f>+DATA!L142</f>
        <v>0</v>
      </c>
      <c r="V146" s="525">
        <f>+DATA!M142</f>
        <v>1599709</v>
      </c>
      <c r="W146" s="526">
        <f t="shared" si="45"/>
        <v>1599709</v>
      </c>
      <c r="X146" s="526">
        <f t="shared" si="51"/>
        <v>1599709</v>
      </c>
      <c r="Y146" s="526">
        <f t="shared" si="52"/>
        <v>1599709</v>
      </c>
      <c r="Z146" s="525">
        <f>+DATA!F142</f>
        <v>324922.91810648108</v>
      </c>
      <c r="AA146" s="525">
        <f>IF(P146="SI",ROUND(Z146/DIV_Pf,PARAMETROS!$L$8),0)</f>
        <v>27077</v>
      </c>
      <c r="AB146" s="526">
        <f t="shared" si="53"/>
        <v>48569</v>
      </c>
      <c r="AC146" s="775">
        <f t="shared" si="54"/>
        <v>32.94</v>
      </c>
      <c r="AD146" s="525">
        <f>IF(AC146&lt;$AC$6,ROUND(($AC$6-AC146)*AB146,PARAMETROS!$L$8),0)</f>
        <v>3476569</v>
      </c>
      <c r="AE146" s="771">
        <f t="shared" si="46"/>
        <v>3.3368803993000002E-3</v>
      </c>
      <c r="AF146" s="771">
        <f t="shared" si="47"/>
        <v>1.1679081398E-3</v>
      </c>
      <c r="AG146" s="771">
        <f t="shared" si="55"/>
        <v>2.8021869564999998E-3</v>
      </c>
      <c r="AH146" s="525">
        <f>+DATA!Q142</f>
        <v>4477633.7170000002</v>
      </c>
      <c r="AI146" s="525">
        <f>+DATA!R142</f>
        <v>373136.14308333333</v>
      </c>
      <c r="AJ146" s="525">
        <f>+DATA!S142</f>
        <v>294778</v>
      </c>
      <c r="AK146" s="525">
        <f>+'_DATA STT PAGOS_'!G144</f>
        <v>0</v>
      </c>
      <c r="AL146" s="525">
        <f>+'_DATA STT PAGOS_'!J144</f>
        <v>6075462.1529999999</v>
      </c>
      <c r="AM146" s="525">
        <f>+DATA!Y142</f>
        <v>85354</v>
      </c>
      <c r="AN146" s="525">
        <f>+DATA!Z142</f>
        <v>53318</v>
      </c>
      <c r="AO146" s="525">
        <f>+DATA!AA142</f>
        <v>67907</v>
      </c>
      <c r="AP146" s="525">
        <f>+DATA!AB142</f>
        <v>54640</v>
      </c>
      <c r="AQ146" s="525">
        <f>+DATA!AC142</f>
        <v>261219</v>
      </c>
      <c r="AR146" s="525">
        <f>+DATA!AD142</f>
        <v>0</v>
      </c>
      <c r="AS146" s="525">
        <f>+DATA!AE142</f>
        <v>0</v>
      </c>
      <c r="AT146" s="525">
        <f>+DATA!AF142</f>
        <v>0</v>
      </c>
      <c r="AU146" s="525">
        <f>+DATA!AG142</f>
        <v>0</v>
      </c>
      <c r="AV146" s="525">
        <f>+DATA!AH142</f>
        <v>0</v>
      </c>
    </row>
    <row r="147" spans="1:48" x14ac:dyDescent="0.25">
      <c r="A147" s="527">
        <v>7406</v>
      </c>
      <c r="B147" s="527">
        <v>7310</v>
      </c>
      <c r="C147" s="527" t="s">
        <v>165</v>
      </c>
      <c r="D147" s="771">
        <f t="shared" si="38"/>
        <v>2.8901734103999998E-3</v>
      </c>
      <c r="E147" s="771">
        <f t="shared" si="39"/>
        <v>7.2254335259999995E-4</v>
      </c>
      <c r="F147" s="525">
        <f>+DATA!D143</f>
        <v>51469</v>
      </c>
      <c r="G147" s="772">
        <f>+DATA!E143</f>
        <v>9.7050002743901381E-2</v>
      </c>
      <c r="H147" s="525">
        <f t="shared" si="48"/>
        <v>4995</v>
      </c>
      <c r="I147" s="771">
        <f t="shared" si="40"/>
        <v>3.8251826439E-3</v>
      </c>
      <c r="J147" s="771">
        <f t="shared" si="41"/>
        <v>3.8251826439999998E-4</v>
      </c>
      <c r="K147" s="525">
        <f>+DATA!G143</f>
        <v>23618</v>
      </c>
      <c r="L147" s="525">
        <f>+DATA!H143</f>
        <v>29270</v>
      </c>
      <c r="M147" s="525">
        <f>+DATA!I143</f>
        <v>428832540320</v>
      </c>
      <c r="N147" s="525">
        <f>+DATA!J143</f>
        <v>836705164338</v>
      </c>
      <c r="O147" s="773">
        <f t="shared" si="49"/>
        <v>0.64308420000634547</v>
      </c>
      <c r="P147" s="774" t="str">
        <f t="shared" si="50"/>
        <v>SI</v>
      </c>
      <c r="Q147" s="771">
        <f t="shared" si="42"/>
        <v>3.4903306917999999E-3</v>
      </c>
      <c r="R147" s="771">
        <f t="shared" si="43"/>
        <v>5.0040671032999997E-3</v>
      </c>
      <c r="S147" s="771">
        <f t="shared" si="44"/>
        <v>1.5012201310000001E-3</v>
      </c>
      <c r="T147" s="525">
        <f>+DATA!K143</f>
        <v>0</v>
      </c>
      <c r="U147" s="525">
        <f>+DATA!L143</f>
        <v>0</v>
      </c>
      <c r="V147" s="525">
        <f>+DATA!M143</f>
        <v>3710527</v>
      </c>
      <c r="W147" s="526">
        <f t="shared" si="45"/>
        <v>3710527</v>
      </c>
      <c r="X147" s="526">
        <f t="shared" si="51"/>
        <v>3710527</v>
      </c>
      <c r="Y147" s="526">
        <f t="shared" si="52"/>
        <v>3710527</v>
      </c>
      <c r="Z147" s="525">
        <f>+DATA!F143</f>
        <v>481800.09291172156</v>
      </c>
      <c r="AA147" s="525">
        <f>IF(P147="SI",ROUND(Z147/DIV_Pf,PARAMETROS!$L$8),0)</f>
        <v>40150</v>
      </c>
      <c r="AB147" s="526">
        <f t="shared" si="53"/>
        <v>91619</v>
      </c>
      <c r="AC147" s="775">
        <f t="shared" si="54"/>
        <v>40.5</v>
      </c>
      <c r="AD147" s="525">
        <f>IF(AC147&lt;$AC$6,ROUND(($AC$6-AC147)*AB147,PARAMETROS!$L$8),0)</f>
        <v>5865448</v>
      </c>
      <c r="AE147" s="771">
        <f t="shared" si="46"/>
        <v>5.6297742010000002E-3</v>
      </c>
      <c r="AF147" s="771">
        <f t="shared" si="47"/>
        <v>1.9704209704E-3</v>
      </c>
      <c r="AG147" s="771">
        <f t="shared" si="55"/>
        <v>4.5767027183999994E-3</v>
      </c>
      <c r="AH147" s="525">
        <f>+DATA!Q143</f>
        <v>8237742.5719999997</v>
      </c>
      <c r="AI147" s="525">
        <f>+DATA!R143</f>
        <v>686478.54766666668</v>
      </c>
      <c r="AJ147" s="525">
        <f>+DATA!S143</f>
        <v>542318</v>
      </c>
      <c r="AK147" s="525">
        <f>+'_DATA STT PAGOS_'!G145</f>
        <v>0</v>
      </c>
      <c r="AL147" s="525">
        <f>+'_DATA STT PAGOS_'!J145</f>
        <v>11181774.929000001</v>
      </c>
      <c r="AM147" s="525">
        <f>+DATA!Y143</f>
        <v>134428</v>
      </c>
      <c r="AN147" s="525">
        <f>+DATA!Z143</f>
        <v>113214</v>
      </c>
      <c r="AO147" s="525">
        <f>+DATA!AA143</f>
        <v>113435</v>
      </c>
      <c r="AP147" s="525">
        <f>+DATA!AB143</f>
        <v>106048</v>
      </c>
      <c r="AQ147" s="525">
        <f>+DATA!AC143</f>
        <v>467125</v>
      </c>
      <c r="AR147" s="525">
        <f>+DATA!AD143</f>
        <v>3230</v>
      </c>
      <c r="AS147" s="525">
        <f>+DATA!AE143</f>
        <v>3105</v>
      </c>
      <c r="AT147" s="525">
        <f>+DATA!AF143</f>
        <v>2665.7829999999999</v>
      </c>
      <c r="AU147" s="525">
        <f>+DATA!AG143</f>
        <v>1455</v>
      </c>
      <c r="AV147" s="525">
        <f>+DATA!AH143</f>
        <v>10455.782999999999</v>
      </c>
    </row>
    <row r="148" spans="1:48" x14ac:dyDescent="0.25">
      <c r="A148" s="527">
        <v>7407</v>
      </c>
      <c r="B148" s="527">
        <v>7309</v>
      </c>
      <c r="C148" s="527" t="s">
        <v>164</v>
      </c>
      <c r="D148" s="771">
        <f t="shared" si="38"/>
        <v>2.8901734103999998E-3</v>
      </c>
      <c r="E148" s="771">
        <f t="shared" si="39"/>
        <v>7.2254335259999995E-4</v>
      </c>
      <c r="F148" s="525">
        <f>+DATA!D144</f>
        <v>18036</v>
      </c>
      <c r="G148" s="772">
        <f>+DATA!E144</f>
        <v>9.7740612874893912E-2</v>
      </c>
      <c r="H148" s="525">
        <f t="shared" si="48"/>
        <v>1763</v>
      </c>
      <c r="I148" s="771">
        <f t="shared" si="40"/>
        <v>1.3501095097E-3</v>
      </c>
      <c r="J148" s="771">
        <f t="shared" si="41"/>
        <v>1.3501095099999999E-4</v>
      </c>
      <c r="K148" s="525">
        <f>+DATA!G144</f>
        <v>7869</v>
      </c>
      <c r="L148" s="525">
        <f>+DATA!H144</f>
        <v>9745</v>
      </c>
      <c r="M148" s="525">
        <f>+DATA!I144</f>
        <v>135689482302</v>
      </c>
      <c r="N148" s="525">
        <f>+DATA!J144</f>
        <v>323970060551</v>
      </c>
      <c r="O148" s="773">
        <f t="shared" si="49"/>
        <v>0.5815532741422984</v>
      </c>
      <c r="P148" s="774" t="str">
        <f t="shared" si="50"/>
        <v>SI</v>
      </c>
      <c r="Q148" s="771">
        <f t="shared" si="42"/>
        <v>1.1637516486999999E-3</v>
      </c>
      <c r="R148" s="771">
        <f t="shared" si="43"/>
        <v>1.6684640671E-3</v>
      </c>
      <c r="S148" s="771">
        <f t="shared" si="44"/>
        <v>5.0053922010000001E-4</v>
      </c>
      <c r="T148" s="525">
        <f>+DATA!K144</f>
        <v>0</v>
      </c>
      <c r="U148" s="525">
        <f>+DATA!L144</f>
        <v>0</v>
      </c>
      <c r="V148" s="525">
        <f>+DATA!M144</f>
        <v>1136804</v>
      </c>
      <c r="W148" s="526">
        <f t="shared" si="45"/>
        <v>1136804</v>
      </c>
      <c r="X148" s="526">
        <f t="shared" si="51"/>
        <v>1136804</v>
      </c>
      <c r="Y148" s="526">
        <f t="shared" si="52"/>
        <v>1136804</v>
      </c>
      <c r="Z148" s="525">
        <f>+DATA!F144</f>
        <v>212199.53820263076</v>
      </c>
      <c r="AA148" s="525">
        <f>IF(P148="SI",ROUND(Z148/DIV_Pf,PARAMETROS!$L$8),0)</f>
        <v>17683</v>
      </c>
      <c r="AB148" s="526">
        <f t="shared" si="53"/>
        <v>35719</v>
      </c>
      <c r="AC148" s="775">
        <f t="shared" si="54"/>
        <v>31.83</v>
      </c>
      <c r="AD148" s="525">
        <f>IF(AC148&lt;$AC$6,ROUND(($AC$6-AC148)*AB148,PARAMETROS!$L$8),0)</f>
        <v>2596414</v>
      </c>
      <c r="AE148" s="771">
        <f t="shared" si="46"/>
        <v>2.4920900419000002E-3</v>
      </c>
      <c r="AF148" s="771">
        <f t="shared" si="47"/>
        <v>8.7223151469999996E-4</v>
      </c>
      <c r="AG148" s="771">
        <f t="shared" si="55"/>
        <v>2.2303250383999998E-3</v>
      </c>
      <c r="AH148" s="525">
        <f>+DATA!Q144</f>
        <v>3739209.4870000002</v>
      </c>
      <c r="AI148" s="525">
        <f>+DATA!R144</f>
        <v>311600.79058333335</v>
      </c>
      <c r="AJ148" s="525">
        <f>+DATA!S144</f>
        <v>246165</v>
      </c>
      <c r="AK148" s="525">
        <f>+'_DATA STT PAGOS_'!G146</f>
        <v>0</v>
      </c>
      <c r="AL148" s="525">
        <f>+'_DATA STT PAGOS_'!J146</f>
        <v>5072423.6579999998</v>
      </c>
      <c r="AM148" s="525">
        <f>+DATA!Y144</f>
        <v>59661</v>
      </c>
      <c r="AN148" s="525">
        <f>+DATA!Z144</f>
        <v>28353</v>
      </c>
      <c r="AO148" s="525">
        <f>+DATA!AA144</f>
        <v>36290</v>
      </c>
      <c r="AP148" s="525">
        <f>+DATA!AB144</f>
        <v>27021</v>
      </c>
      <c r="AQ148" s="525">
        <f>+DATA!AC144</f>
        <v>151325</v>
      </c>
      <c r="AR148" s="525">
        <f>+DATA!AD144</f>
        <v>858</v>
      </c>
      <c r="AS148" s="525">
        <f>+DATA!AE144</f>
        <v>0</v>
      </c>
      <c r="AT148" s="525">
        <f>+DATA!AF144</f>
        <v>656.11599999999999</v>
      </c>
      <c r="AU148" s="525">
        <f>+DATA!AG144</f>
        <v>449</v>
      </c>
      <c r="AV148" s="525">
        <f>+DATA!AH144</f>
        <v>1963.116</v>
      </c>
    </row>
    <row r="149" spans="1:48" x14ac:dyDescent="0.25">
      <c r="A149" s="527">
        <v>7408</v>
      </c>
      <c r="B149" s="527">
        <v>7302</v>
      </c>
      <c r="C149" s="527" t="s">
        <v>161</v>
      </c>
      <c r="D149" s="771">
        <f t="shared" si="38"/>
        <v>2.8901734103999998E-3</v>
      </c>
      <c r="E149" s="771">
        <f t="shared" si="39"/>
        <v>7.2254335259999995E-4</v>
      </c>
      <c r="F149" s="525">
        <f>+DATA!D145</f>
        <v>19800</v>
      </c>
      <c r="G149" s="772">
        <f>+DATA!E145</f>
        <v>0.1156975900531806</v>
      </c>
      <c r="H149" s="525">
        <f t="shared" si="48"/>
        <v>2291</v>
      </c>
      <c r="I149" s="771">
        <f t="shared" si="40"/>
        <v>1.7544531406E-3</v>
      </c>
      <c r="J149" s="771">
        <f t="shared" si="41"/>
        <v>1.7544531410000001E-4</v>
      </c>
      <c r="K149" s="525">
        <f>+DATA!G145</f>
        <v>7613</v>
      </c>
      <c r="L149" s="525">
        <f>+DATA!H145</f>
        <v>10558</v>
      </c>
      <c r="M149" s="525">
        <f>+DATA!I145</f>
        <v>140522209206</v>
      </c>
      <c r="N149" s="525">
        <f>+DATA!J145</f>
        <v>419779345052</v>
      </c>
      <c r="O149" s="773">
        <f t="shared" si="49"/>
        <v>0.4913025720017648</v>
      </c>
      <c r="P149" s="774" t="str">
        <f t="shared" si="50"/>
        <v>SI</v>
      </c>
      <c r="Q149" s="771">
        <f t="shared" si="42"/>
        <v>1.0053865339E-3</v>
      </c>
      <c r="R149" s="771">
        <f t="shared" si="43"/>
        <v>1.4414169099E-3</v>
      </c>
      <c r="S149" s="771">
        <f t="shared" si="44"/>
        <v>4.3242507299999999E-4</v>
      </c>
      <c r="T149" s="525">
        <f>+DATA!K145</f>
        <v>0</v>
      </c>
      <c r="U149" s="525">
        <f>+DATA!L145</f>
        <v>0</v>
      </c>
      <c r="V149" s="525">
        <f>+DATA!M145</f>
        <v>1701031</v>
      </c>
      <c r="W149" s="526">
        <f t="shared" si="45"/>
        <v>1701031</v>
      </c>
      <c r="X149" s="526">
        <f t="shared" si="51"/>
        <v>1701031</v>
      </c>
      <c r="Y149" s="526">
        <f t="shared" si="52"/>
        <v>1701031</v>
      </c>
      <c r="Z149" s="525">
        <f>+DATA!F145</f>
        <v>191740.70607797711</v>
      </c>
      <c r="AA149" s="525">
        <f>IF(P149="SI",ROUND(Z149/DIV_Pf,PARAMETROS!$L$8),0)</f>
        <v>15978</v>
      </c>
      <c r="AB149" s="526">
        <f t="shared" si="53"/>
        <v>35778</v>
      </c>
      <c r="AC149" s="775">
        <f t="shared" si="54"/>
        <v>47.54</v>
      </c>
      <c r="AD149" s="525">
        <f>IF(AC149&lt;$AC$6,ROUND(($AC$6-AC149)*AB149,PARAMETROS!$L$8),0)</f>
        <v>2038630</v>
      </c>
      <c r="AE149" s="771">
        <f t="shared" si="46"/>
        <v>1.9567178123999999E-3</v>
      </c>
      <c r="AF149" s="771">
        <f t="shared" si="47"/>
        <v>6.8485123429999997E-4</v>
      </c>
      <c r="AG149" s="771">
        <f t="shared" si="55"/>
        <v>2.0152649739999997E-3</v>
      </c>
      <c r="AH149" s="525">
        <f>+DATA!Q145</f>
        <v>3345819.2680000002</v>
      </c>
      <c r="AI149" s="525">
        <f>+DATA!R145</f>
        <v>278818.27233333333</v>
      </c>
      <c r="AJ149" s="525">
        <f>+DATA!S145</f>
        <v>220266</v>
      </c>
      <c r="AK149" s="525">
        <f>+'_DATA STT PAGOS_'!G147</f>
        <v>0</v>
      </c>
      <c r="AL149" s="525">
        <f>+'_DATA STT PAGOS_'!J147</f>
        <v>4540206.3380000005</v>
      </c>
      <c r="AM149" s="525">
        <f>+DATA!Y145</f>
        <v>75114</v>
      </c>
      <c r="AN149" s="525">
        <f>+DATA!Z145</f>
        <v>61507</v>
      </c>
      <c r="AO149" s="525">
        <f>+DATA!AA145</f>
        <v>65623</v>
      </c>
      <c r="AP149" s="525">
        <f>+DATA!AB145</f>
        <v>55366</v>
      </c>
      <c r="AQ149" s="525">
        <f>+DATA!AC145</f>
        <v>257610</v>
      </c>
      <c r="AR149" s="525">
        <f>+DATA!AD145</f>
        <v>89</v>
      </c>
      <c r="AS149" s="525">
        <f>+DATA!AE145</f>
        <v>0</v>
      </c>
      <c r="AT149" s="525">
        <f>+DATA!AF145</f>
        <v>56.561</v>
      </c>
      <c r="AU149" s="525">
        <f>+DATA!AG145</f>
        <v>60</v>
      </c>
      <c r="AV149" s="525">
        <f>+DATA!AH145</f>
        <v>205.56100000000001</v>
      </c>
    </row>
    <row r="150" spans="1:48" x14ac:dyDescent="0.25">
      <c r="A150" s="527">
        <v>8101</v>
      </c>
      <c r="B150" s="527">
        <v>8201</v>
      </c>
      <c r="C150" s="527" t="s">
        <v>395</v>
      </c>
      <c r="D150" s="771">
        <f t="shared" si="38"/>
        <v>2.8901734103999998E-3</v>
      </c>
      <c r="E150" s="771">
        <f t="shared" si="39"/>
        <v>7.2254335259999995E-4</v>
      </c>
      <c r="F150" s="525">
        <f>+DATA!D146</f>
        <v>239776</v>
      </c>
      <c r="G150" s="772">
        <f>+DATA!E146</f>
        <v>5.4066772511736513E-2</v>
      </c>
      <c r="H150" s="525">
        <f t="shared" si="48"/>
        <v>12964</v>
      </c>
      <c r="I150" s="771">
        <f t="shared" si="40"/>
        <v>9.9278614203999992E-3</v>
      </c>
      <c r="J150" s="771">
        <f t="shared" si="41"/>
        <v>9.9278614199999993E-4</v>
      </c>
      <c r="K150" s="525">
        <f>+DATA!G146</f>
        <v>66768</v>
      </c>
      <c r="L150" s="525">
        <f>+DATA!H146</f>
        <v>132100</v>
      </c>
      <c r="M150" s="525">
        <f>+DATA!I146</f>
        <v>3527210024488.001</v>
      </c>
      <c r="N150" s="525">
        <f>+DATA!J146</f>
        <v>8669361607455.001</v>
      </c>
      <c r="O150" s="773">
        <f t="shared" si="49"/>
        <v>0.4534765937824019</v>
      </c>
      <c r="P150" s="774" t="str">
        <f t="shared" si="50"/>
        <v>NO</v>
      </c>
      <c r="Q150" s="771">
        <f t="shared" si="42"/>
        <v>6.1806902511000001E-3</v>
      </c>
      <c r="R150" s="771">
        <f t="shared" si="43"/>
        <v>8.8612201800000005E-3</v>
      </c>
      <c r="S150" s="771">
        <f t="shared" si="44"/>
        <v>2.6583660539999999E-3</v>
      </c>
      <c r="T150" s="525">
        <f>+DATA!K146</f>
        <v>0</v>
      </c>
      <c r="U150" s="525">
        <f>+DATA!L146</f>
        <v>0</v>
      </c>
      <c r="V150" s="525">
        <f>+DATA!M146</f>
        <v>41740940</v>
      </c>
      <c r="W150" s="526">
        <f t="shared" si="45"/>
        <v>41740940</v>
      </c>
      <c r="X150" s="526">
        <f t="shared" si="51"/>
        <v>41740940</v>
      </c>
      <c r="Y150" s="526">
        <f t="shared" si="52"/>
        <v>41740940</v>
      </c>
      <c r="Z150" s="525">
        <f>+DATA!F146</f>
        <v>2034443.7388179251</v>
      </c>
      <c r="AA150" s="525">
        <f>IF(P150="SI",ROUND(Z150/DIV_Pf,PARAMETROS!$L$8),0)</f>
        <v>0</v>
      </c>
      <c r="AB150" s="526">
        <f t="shared" si="53"/>
        <v>239776</v>
      </c>
      <c r="AC150" s="775">
        <f t="shared" si="54"/>
        <v>174.08</v>
      </c>
      <c r="AD150" s="525">
        <f>IF(AC150&lt;$AC$6,ROUND(($AC$6-AC150)*AB150,PARAMETROS!$L$8),0)</f>
        <v>0</v>
      </c>
      <c r="AE150" s="771">
        <f t="shared" si="46"/>
        <v>0</v>
      </c>
      <c r="AF150" s="771">
        <f t="shared" si="47"/>
        <v>0</v>
      </c>
      <c r="AG150" s="771">
        <f t="shared" si="55"/>
        <v>4.3736955486E-3</v>
      </c>
      <c r="AH150" s="525">
        <f>+DATA!Q146</f>
        <v>8138251.3880000003</v>
      </c>
      <c r="AI150" s="525">
        <f>+DATA!R146</f>
        <v>678187.61566666665</v>
      </c>
      <c r="AJ150" s="525">
        <f>+DATA!S146</f>
        <v>535768</v>
      </c>
      <c r="AK150" s="525">
        <f>+'_DATA STT PAGOS_'!G148</f>
        <v>0</v>
      </c>
      <c r="AL150" s="525">
        <f>+'_DATA STT PAGOS_'!J148</f>
        <v>11027436.349000001</v>
      </c>
      <c r="AM150" s="525">
        <f>+DATA!Y146</f>
        <v>2602022</v>
      </c>
      <c r="AN150" s="525">
        <f>+DATA!Z146</f>
        <v>1791648</v>
      </c>
      <c r="AO150" s="525">
        <f>+DATA!AA146</f>
        <v>2129706</v>
      </c>
      <c r="AP150" s="525">
        <f>+DATA!AB146</f>
        <v>1728037</v>
      </c>
      <c r="AQ150" s="525">
        <f>+DATA!AC146</f>
        <v>8251413</v>
      </c>
      <c r="AR150" s="525">
        <f>+DATA!AD146</f>
        <v>296816</v>
      </c>
      <c r="AS150" s="525">
        <f>+DATA!AE146</f>
        <v>126006</v>
      </c>
      <c r="AT150" s="525">
        <f>+DATA!AF146</f>
        <v>178992.995</v>
      </c>
      <c r="AU150" s="525">
        <f>+DATA!AG146</f>
        <v>115084</v>
      </c>
      <c r="AV150" s="525">
        <f>+DATA!AH146</f>
        <v>716898.995</v>
      </c>
    </row>
    <row r="151" spans="1:48" x14ac:dyDescent="0.25">
      <c r="A151" s="527">
        <v>8102</v>
      </c>
      <c r="B151" s="527">
        <v>8207</v>
      </c>
      <c r="C151" s="527" t="s">
        <v>187</v>
      </c>
      <c r="D151" s="771">
        <f t="shared" si="38"/>
        <v>2.8901734103999998E-3</v>
      </c>
      <c r="E151" s="771">
        <f t="shared" si="39"/>
        <v>7.2254335259999995E-4</v>
      </c>
      <c r="F151" s="525">
        <f>+DATA!D147</f>
        <v>128941</v>
      </c>
      <c r="G151" s="772">
        <f>+DATA!E147</f>
        <v>6.2774807485100656E-2</v>
      </c>
      <c r="H151" s="525">
        <f t="shared" si="48"/>
        <v>8094</v>
      </c>
      <c r="I151" s="771">
        <f t="shared" si="40"/>
        <v>6.1984040679000001E-3</v>
      </c>
      <c r="J151" s="771">
        <f t="shared" si="41"/>
        <v>6.1984040680000002E-4</v>
      </c>
      <c r="K151" s="525">
        <f>+DATA!G147</f>
        <v>43948</v>
      </c>
      <c r="L151" s="525">
        <f>+DATA!H147</f>
        <v>48572</v>
      </c>
      <c r="M151" s="525">
        <f>+DATA!I147</f>
        <v>1074730784049</v>
      </c>
      <c r="N151" s="525">
        <f>+DATA!J147</f>
        <v>2148877734909</v>
      </c>
      <c r="O151" s="773">
        <f t="shared" si="49"/>
        <v>0.67269864996846829</v>
      </c>
      <c r="P151" s="774" t="str">
        <f t="shared" si="50"/>
        <v>SI</v>
      </c>
      <c r="Q151" s="771">
        <f t="shared" si="42"/>
        <v>7.2827484163E-3</v>
      </c>
      <c r="R151" s="771">
        <f t="shared" si="43"/>
        <v>1.04412346535E-2</v>
      </c>
      <c r="S151" s="771">
        <f t="shared" si="44"/>
        <v>3.1323703960999998E-3</v>
      </c>
      <c r="T151" s="525">
        <f>+DATA!K147</f>
        <v>0</v>
      </c>
      <c r="U151" s="525">
        <f>+DATA!L147</f>
        <v>0</v>
      </c>
      <c r="V151" s="525">
        <f>+DATA!M147</f>
        <v>16714067</v>
      </c>
      <c r="W151" s="526">
        <f t="shared" si="45"/>
        <v>16714067</v>
      </c>
      <c r="X151" s="526">
        <f t="shared" si="51"/>
        <v>16714067</v>
      </c>
      <c r="Y151" s="526">
        <f t="shared" si="52"/>
        <v>16714067</v>
      </c>
      <c r="Z151" s="525">
        <f>+DATA!F147</f>
        <v>463237.51138266659</v>
      </c>
      <c r="AA151" s="525">
        <f>IF(P151="SI",ROUND(Z151/DIV_Pf,PARAMETROS!$L$8),0)</f>
        <v>38603</v>
      </c>
      <c r="AB151" s="526">
        <f t="shared" si="53"/>
        <v>167544</v>
      </c>
      <c r="AC151" s="775">
        <f t="shared" si="54"/>
        <v>99.76</v>
      </c>
      <c r="AD151" s="525">
        <f>IF(AC151&lt;$AC$6,ROUND(($AC$6-AC151)*AB151,PARAMETROS!$L$8),0)</f>
        <v>797509</v>
      </c>
      <c r="AE151" s="771">
        <f t="shared" si="46"/>
        <v>7.6546507500000003E-4</v>
      </c>
      <c r="AF151" s="771">
        <f t="shared" si="47"/>
        <v>2.6791277630000001E-4</v>
      </c>
      <c r="AG151" s="771">
        <f t="shared" si="55"/>
        <v>4.7426669317999996E-3</v>
      </c>
      <c r="AH151" s="525">
        <f>+DATA!Q147</f>
        <v>12981260.124</v>
      </c>
      <c r="AI151" s="525">
        <f>+DATA!R147</f>
        <v>1081771.6769999999</v>
      </c>
      <c r="AJ151" s="525">
        <f>+DATA!S147</f>
        <v>854600</v>
      </c>
      <c r="AK151" s="525">
        <f>+'_DATA STT PAGOS_'!G149</f>
        <v>0</v>
      </c>
      <c r="AL151" s="525">
        <f>+'_DATA STT PAGOS_'!J149</f>
        <v>17615868.076000001</v>
      </c>
      <c r="AM151" s="525">
        <f>+DATA!Y147</f>
        <v>704133</v>
      </c>
      <c r="AN151" s="525">
        <f>+DATA!Z147</f>
        <v>644441</v>
      </c>
      <c r="AO151" s="525">
        <f>+DATA!AA147</f>
        <v>638700</v>
      </c>
      <c r="AP151" s="525">
        <f>+DATA!AB147</f>
        <v>608376</v>
      </c>
      <c r="AQ151" s="525">
        <f>+DATA!AC147</f>
        <v>2595650</v>
      </c>
      <c r="AR151" s="525">
        <f>+DATA!AD147</f>
        <v>29691</v>
      </c>
      <c r="AS151" s="525">
        <f>+DATA!AE147</f>
        <v>20899</v>
      </c>
      <c r="AT151" s="525">
        <f>+DATA!AF147</f>
        <v>24405.51</v>
      </c>
      <c r="AU151" s="525">
        <f>+DATA!AG147</f>
        <v>21542</v>
      </c>
      <c r="AV151" s="525">
        <f>+DATA!AH147</f>
        <v>96537.51</v>
      </c>
    </row>
    <row r="152" spans="1:48" x14ac:dyDescent="0.25">
      <c r="A152" s="527">
        <v>8103</v>
      </c>
      <c r="B152" s="527">
        <v>8211</v>
      </c>
      <c r="C152" s="527" t="s">
        <v>191</v>
      </c>
      <c r="D152" s="771">
        <f t="shared" si="38"/>
        <v>2.8901734103999998E-3</v>
      </c>
      <c r="E152" s="771">
        <f t="shared" si="39"/>
        <v>7.2254335259999995E-4</v>
      </c>
      <c r="F152" s="525">
        <f>+DATA!D148</f>
        <v>91963</v>
      </c>
      <c r="G152" s="772">
        <f>+DATA!E148</f>
        <v>5.7106769821395592E-2</v>
      </c>
      <c r="H152" s="525">
        <f t="shared" si="48"/>
        <v>5252</v>
      </c>
      <c r="I152" s="771">
        <f t="shared" si="40"/>
        <v>4.0219938429000004E-3</v>
      </c>
      <c r="J152" s="771">
        <f t="shared" si="41"/>
        <v>4.0219938429999997E-4</v>
      </c>
      <c r="K152" s="525">
        <f>+DATA!G148</f>
        <v>23257</v>
      </c>
      <c r="L152" s="525">
        <f>+DATA!H148</f>
        <v>31206</v>
      </c>
      <c r="M152" s="525">
        <f>+DATA!I148</f>
        <v>763512296059</v>
      </c>
      <c r="N152" s="525">
        <f>+DATA!J148</f>
        <v>1621204095631</v>
      </c>
      <c r="O152" s="773">
        <f t="shared" si="49"/>
        <v>0.59244353692352059</v>
      </c>
      <c r="P152" s="774" t="str">
        <f t="shared" si="50"/>
        <v>SI</v>
      </c>
      <c r="Q152" s="771">
        <f t="shared" si="42"/>
        <v>3.1744781611000002E-3</v>
      </c>
      <c r="R152" s="771">
        <f t="shared" si="43"/>
        <v>4.5512311408000003E-3</v>
      </c>
      <c r="S152" s="771">
        <f t="shared" si="44"/>
        <v>1.3653693422000001E-3</v>
      </c>
      <c r="T152" s="525">
        <f>+DATA!K148</f>
        <v>0</v>
      </c>
      <c r="U152" s="525">
        <f>+DATA!L148</f>
        <v>0</v>
      </c>
      <c r="V152" s="525">
        <f>+DATA!M148</f>
        <v>8188859</v>
      </c>
      <c r="W152" s="526">
        <f t="shared" si="45"/>
        <v>8188859</v>
      </c>
      <c r="X152" s="526">
        <f t="shared" si="51"/>
        <v>8188859</v>
      </c>
      <c r="Y152" s="526">
        <f t="shared" si="52"/>
        <v>8188859</v>
      </c>
      <c r="Z152" s="525">
        <f>+DATA!F148</f>
        <v>289949.31019035302</v>
      </c>
      <c r="AA152" s="525">
        <f>IF(P152="SI",ROUND(Z152/DIV_Pf,PARAMETROS!$L$8),0)</f>
        <v>24162</v>
      </c>
      <c r="AB152" s="526">
        <f t="shared" si="53"/>
        <v>116125</v>
      </c>
      <c r="AC152" s="775">
        <f t="shared" si="54"/>
        <v>70.52</v>
      </c>
      <c r="AD152" s="525">
        <f>IF(AC152&lt;$AC$6,ROUND(($AC$6-AC152)*AB152,PARAMETROS!$L$8),0)</f>
        <v>3948250</v>
      </c>
      <c r="AE152" s="771">
        <f t="shared" si="46"/>
        <v>3.7896092487999999E-3</v>
      </c>
      <c r="AF152" s="771">
        <f t="shared" si="47"/>
        <v>1.3263632370999999E-3</v>
      </c>
      <c r="AG152" s="771">
        <f t="shared" si="55"/>
        <v>3.8164753161999999E-3</v>
      </c>
      <c r="AH152" s="525">
        <f>+DATA!Q148</f>
        <v>9289611.9739999995</v>
      </c>
      <c r="AI152" s="525">
        <f>+DATA!R148</f>
        <v>774134.33116666658</v>
      </c>
      <c r="AJ152" s="525">
        <f>+DATA!S148</f>
        <v>611566</v>
      </c>
      <c r="AK152" s="525">
        <f>+'_DATA STT PAGOS_'!G150</f>
        <v>0</v>
      </c>
      <c r="AL152" s="525">
        <f>+'_DATA STT PAGOS_'!J150</f>
        <v>12606216.755999999</v>
      </c>
      <c r="AM152" s="525">
        <f>+DATA!Y148</f>
        <v>359038</v>
      </c>
      <c r="AN152" s="525">
        <f>+DATA!Z148</f>
        <v>229411</v>
      </c>
      <c r="AO152" s="525">
        <f>+DATA!AA148</f>
        <v>264462</v>
      </c>
      <c r="AP152" s="525">
        <f>+DATA!AB148</f>
        <v>222993</v>
      </c>
      <c r="AQ152" s="525">
        <f>+DATA!AC148</f>
        <v>1075904</v>
      </c>
      <c r="AR152" s="525">
        <f>+DATA!AD148</f>
        <v>54429</v>
      </c>
      <c r="AS152" s="525">
        <f>+DATA!AE148</f>
        <v>27354</v>
      </c>
      <c r="AT152" s="525">
        <f>+DATA!AF148</f>
        <v>33568.438000000002</v>
      </c>
      <c r="AU152" s="525">
        <f>+DATA!AG148</f>
        <v>26134</v>
      </c>
      <c r="AV152" s="525">
        <f>+DATA!AH148</f>
        <v>141485.43799999999</v>
      </c>
    </row>
    <row r="153" spans="1:48" x14ac:dyDescent="0.25">
      <c r="A153" s="527">
        <v>8104</v>
      </c>
      <c r="B153" s="527">
        <v>8204</v>
      </c>
      <c r="C153" s="527" t="s">
        <v>185</v>
      </c>
      <c r="D153" s="771">
        <f t="shared" si="38"/>
        <v>2.8901734103999998E-3</v>
      </c>
      <c r="E153" s="771">
        <f t="shared" si="39"/>
        <v>7.2254335259999995E-4</v>
      </c>
      <c r="F153" s="525">
        <f>+DATA!D149</f>
        <v>11873</v>
      </c>
      <c r="G153" s="772">
        <f>+DATA!E149</f>
        <v>0.10778546277724239</v>
      </c>
      <c r="H153" s="525">
        <f t="shared" si="48"/>
        <v>1280</v>
      </c>
      <c r="I153" s="771">
        <f t="shared" si="40"/>
        <v>9.8022698380000007E-4</v>
      </c>
      <c r="J153" s="771">
        <f t="shared" si="41"/>
        <v>9.80226984E-5</v>
      </c>
      <c r="K153" s="525">
        <f>+DATA!G149</f>
        <v>7549</v>
      </c>
      <c r="L153" s="525">
        <f>+DATA!H149</f>
        <v>11244</v>
      </c>
      <c r="M153" s="525">
        <f>+DATA!I149</f>
        <v>104114475276</v>
      </c>
      <c r="N153" s="525">
        <f>+DATA!J149</f>
        <v>263457951659</v>
      </c>
      <c r="O153" s="773">
        <f t="shared" si="49"/>
        <v>0.51509127802206955</v>
      </c>
      <c r="P153" s="774" t="str">
        <f t="shared" si="50"/>
        <v>SI</v>
      </c>
      <c r="Q153" s="771">
        <f t="shared" si="42"/>
        <v>9.2824170279999995E-4</v>
      </c>
      <c r="R153" s="771">
        <f t="shared" si="43"/>
        <v>1.3308148077999999E-3</v>
      </c>
      <c r="S153" s="771">
        <f t="shared" si="44"/>
        <v>3.992444423E-4</v>
      </c>
      <c r="T153" s="525">
        <f>+DATA!K149</f>
        <v>0</v>
      </c>
      <c r="U153" s="525">
        <f>+DATA!L149</f>
        <v>0</v>
      </c>
      <c r="V153" s="525">
        <f>+DATA!M149</f>
        <v>750760</v>
      </c>
      <c r="W153" s="526">
        <f t="shared" si="45"/>
        <v>750760</v>
      </c>
      <c r="X153" s="526">
        <f t="shared" si="51"/>
        <v>750760</v>
      </c>
      <c r="Y153" s="526">
        <f t="shared" si="52"/>
        <v>750760</v>
      </c>
      <c r="Z153" s="525">
        <f>+DATA!F149</f>
        <v>225013.11457950054</v>
      </c>
      <c r="AA153" s="525">
        <f>IF(P153="SI",ROUND(Z153/DIV_Pf,PARAMETROS!$L$8),0)</f>
        <v>18751</v>
      </c>
      <c r="AB153" s="526">
        <f t="shared" si="53"/>
        <v>30624</v>
      </c>
      <c r="AC153" s="775">
        <f t="shared" si="54"/>
        <v>24.52</v>
      </c>
      <c r="AD153" s="525">
        <f>IF(AC153&lt;$AC$6,ROUND(($AC$6-AC153)*AB153,PARAMETROS!$L$8),0)</f>
        <v>2449920</v>
      </c>
      <c r="AE153" s="771">
        <f t="shared" si="46"/>
        <v>2.3514821733E-3</v>
      </c>
      <c r="AF153" s="771">
        <f t="shared" si="47"/>
        <v>8.2301876069999997E-4</v>
      </c>
      <c r="AG153" s="771">
        <f t="shared" si="55"/>
        <v>2.0428292539999998E-3</v>
      </c>
      <c r="AH153" s="525">
        <f>+DATA!Q149</f>
        <v>3298965.7820000001</v>
      </c>
      <c r="AI153" s="525">
        <f>+DATA!R149</f>
        <v>274913.8151666667</v>
      </c>
      <c r="AJ153" s="525">
        <f>+DATA!S149</f>
        <v>217182</v>
      </c>
      <c r="AK153" s="525">
        <f>+'_DATA STT PAGOS_'!G151</f>
        <v>0</v>
      </c>
      <c r="AL153" s="525">
        <f>+'_DATA STT PAGOS_'!J151</f>
        <v>4476772.3229999999</v>
      </c>
      <c r="AM153" s="525">
        <f>+DATA!Y149</f>
        <v>41639</v>
      </c>
      <c r="AN153" s="525">
        <f>+DATA!Z149</f>
        <v>23812</v>
      </c>
      <c r="AO153" s="525">
        <f>+DATA!AA149</f>
        <v>33778</v>
      </c>
      <c r="AP153" s="525">
        <f>+DATA!AB149</f>
        <v>15854</v>
      </c>
      <c r="AQ153" s="525">
        <f>+DATA!AC149</f>
        <v>115083</v>
      </c>
      <c r="AR153" s="525">
        <f>+DATA!AD149</f>
        <v>2732</v>
      </c>
      <c r="AS153" s="525">
        <f>+DATA!AE149</f>
        <v>800</v>
      </c>
      <c r="AT153" s="525">
        <f>+DATA!AF149</f>
        <v>1854.52</v>
      </c>
      <c r="AU153" s="525">
        <f>+DATA!AG149</f>
        <v>1165</v>
      </c>
      <c r="AV153" s="525">
        <f>+DATA!AH149</f>
        <v>6551.52</v>
      </c>
    </row>
    <row r="154" spans="1:48" x14ac:dyDescent="0.25">
      <c r="A154" s="527">
        <v>8105</v>
      </c>
      <c r="B154" s="527">
        <v>8203</v>
      </c>
      <c r="C154" s="527" t="s">
        <v>184</v>
      </c>
      <c r="D154" s="771">
        <f t="shared" si="38"/>
        <v>2.8901734103999998E-3</v>
      </c>
      <c r="E154" s="771">
        <f t="shared" si="39"/>
        <v>7.2254335259999995E-4</v>
      </c>
      <c r="F154" s="525">
        <f>+DATA!D150</f>
        <v>26746</v>
      </c>
      <c r="G154" s="772">
        <f>+DATA!E150</f>
        <v>0.1033807937198529</v>
      </c>
      <c r="H154" s="525">
        <f t="shared" si="48"/>
        <v>2765</v>
      </c>
      <c r="I154" s="771">
        <f t="shared" si="40"/>
        <v>2.1174434454999998E-3</v>
      </c>
      <c r="J154" s="771">
        <f t="shared" si="41"/>
        <v>2.1174434459999999E-4</v>
      </c>
      <c r="K154" s="525">
        <f>+DATA!G150</f>
        <v>10952</v>
      </c>
      <c r="L154" s="525">
        <f>+DATA!H150</f>
        <v>13734</v>
      </c>
      <c r="M154" s="525">
        <f>+DATA!I150</f>
        <v>190616442941</v>
      </c>
      <c r="N154" s="525">
        <f>+DATA!J150</f>
        <v>336878032052</v>
      </c>
      <c r="O154" s="773">
        <f t="shared" si="49"/>
        <v>0.67172580248161029</v>
      </c>
      <c r="P154" s="774" t="str">
        <f t="shared" si="50"/>
        <v>SI</v>
      </c>
      <c r="Q154" s="771">
        <f t="shared" si="42"/>
        <v>1.5995318392E-3</v>
      </c>
      <c r="R154" s="771">
        <f t="shared" si="43"/>
        <v>2.293239628E-3</v>
      </c>
      <c r="S154" s="771">
        <f t="shared" si="44"/>
        <v>6.8797188840000005E-4</v>
      </c>
      <c r="T154" s="525">
        <f>+DATA!K150</f>
        <v>0</v>
      </c>
      <c r="U154" s="525">
        <f>+DATA!L150</f>
        <v>0</v>
      </c>
      <c r="V154" s="525">
        <f>+DATA!M150</f>
        <v>1333343</v>
      </c>
      <c r="W154" s="526">
        <f t="shared" si="45"/>
        <v>1333343</v>
      </c>
      <c r="X154" s="526">
        <f t="shared" si="51"/>
        <v>1333343</v>
      </c>
      <c r="Y154" s="526">
        <f t="shared" si="52"/>
        <v>1333343</v>
      </c>
      <c r="Z154" s="525">
        <f>+DATA!F150</f>
        <v>219013.63829622773</v>
      </c>
      <c r="AA154" s="525">
        <f>IF(P154="SI",ROUND(Z154/DIV_Pf,PARAMETROS!$L$8),0)</f>
        <v>18251</v>
      </c>
      <c r="AB154" s="526">
        <f t="shared" si="53"/>
        <v>44997</v>
      </c>
      <c r="AC154" s="775">
        <f t="shared" si="54"/>
        <v>29.63</v>
      </c>
      <c r="AD154" s="525">
        <f>IF(AC154&lt;$AC$6,ROUND(($AC$6-AC154)*AB154,PARAMETROS!$L$8),0)</f>
        <v>3369825</v>
      </c>
      <c r="AE154" s="771">
        <f t="shared" si="46"/>
        <v>3.2344253750000002E-3</v>
      </c>
      <c r="AF154" s="771">
        <f t="shared" si="47"/>
        <v>1.1320488813000001E-3</v>
      </c>
      <c r="AG154" s="771">
        <f t="shared" si="55"/>
        <v>2.7543084669E-3</v>
      </c>
      <c r="AH154" s="525">
        <f>+DATA!Q150</f>
        <v>5029720.5729999999</v>
      </c>
      <c r="AI154" s="525">
        <f>+DATA!R150</f>
        <v>419143.38108333334</v>
      </c>
      <c r="AJ154" s="525">
        <f>+DATA!S150</f>
        <v>331123</v>
      </c>
      <c r="AK154" s="525">
        <f>+'_DATA STT PAGOS_'!G152</f>
        <v>0</v>
      </c>
      <c r="AL154" s="525">
        <f>+'_DATA STT PAGOS_'!J152</f>
        <v>6825252.3320000004</v>
      </c>
      <c r="AM154" s="525">
        <f>+DATA!Y150</f>
        <v>42088</v>
      </c>
      <c r="AN154" s="525">
        <f>+DATA!Z150</f>
        <v>28862</v>
      </c>
      <c r="AO154" s="525">
        <f>+DATA!AA150</f>
        <v>35918</v>
      </c>
      <c r="AP154" s="525">
        <f>+DATA!AB150</f>
        <v>23358</v>
      </c>
      <c r="AQ154" s="525">
        <f>+DATA!AC150</f>
        <v>130226</v>
      </c>
      <c r="AR154" s="525">
        <f>+DATA!AD150</f>
        <v>8565</v>
      </c>
      <c r="AS154" s="525">
        <f>+DATA!AE150</f>
        <v>4162</v>
      </c>
      <c r="AT154" s="525">
        <f>+DATA!AF150</f>
        <v>6111.7610000000004</v>
      </c>
      <c r="AU154" s="525">
        <f>+DATA!AG150</f>
        <v>4213</v>
      </c>
      <c r="AV154" s="525">
        <f>+DATA!AH150</f>
        <v>23051.760999999999</v>
      </c>
    </row>
    <row r="155" spans="1:48" x14ac:dyDescent="0.25">
      <c r="A155" s="527">
        <v>8106</v>
      </c>
      <c r="B155" s="527">
        <v>8208</v>
      </c>
      <c r="C155" s="527" t="s">
        <v>188</v>
      </c>
      <c r="D155" s="771">
        <f t="shared" si="38"/>
        <v>2.8901734103999998E-3</v>
      </c>
      <c r="E155" s="771">
        <f t="shared" si="39"/>
        <v>7.2254335259999995E-4</v>
      </c>
      <c r="F155" s="525">
        <f>+DATA!D151</f>
        <v>45407</v>
      </c>
      <c r="G155" s="772">
        <f>+DATA!E151</f>
        <v>8.4159150340831851E-2</v>
      </c>
      <c r="H155" s="525">
        <f t="shared" si="48"/>
        <v>3821</v>
      </c>
      <c r="I155" s="771">
        <f t="shared" si="40"/>
        <v>2.9261307071E-3</v>
      </c>
      <c r="J155" s="771">
        <f t="shared" si="41"/>
        <v>2.926130707E-4</v>
      </c>
      <c r="K155" s="525">
        <f>+DATA!G151</f>
        <v>12781</v>
      </c>
      <c r="L155" s="525">
        <f>+DATA!H151</f>
        <v>13520</v>
      </c>
      <c r="M155" s="525">
        <f>+DATA!I151</f>
        <v>205032838099</v>
      </c>
      <c r="N155" s="525">
        <f>+DATA!J151</f>
        <v>308991784557</v>
      </c>
      <c r="O155" s="773">
        <f t="shared" si="49"/>
        <v>0.79201301253972611</v>
      </c>
      <c r="P155" s="774" t="str">
        <f t="shared" si="50"/>
        <v>SI</v>
      </c>
      <c r="Q155" s="771">
        <f t="shared" si="42"/>
        <v>2.2128707088000001E-3</v>
      </c>
      <c r="R155" s="771">
        <f t="shared" si="43"/>
        <v>3.1725800491E-3</v>
      </c>
      <c r="S155" s="771">
        <f t="shared" si="44"/>
        <v>9.5177401469999996E-4</v>
      </c>
      <c r="T155" s="525">
        <f>+DATA!K151</f>
        <v>0</v>
      </c>
      <c r="U155" s="525">
        <f>+DATA!L151</f>
        <v>0</v>
      </c>
      <c r="V155" s="525">
        <f>+DATA!M151</f>
        <v>2435465</v>
      </c>
      <c r="W155" s="526">
        <f t="shared" si="45"/>
        <v>2435465</v>
      </c>
      <c r="X155" s="526">
        <f t="shared" si="51"/>
        <v>2435465</v>
      </c>
      <c r="Y155" s="526">
        <f t="shared" si="52"/>
        <v>2435465</v>
      </c>
      <c r="Z155" s="525">
        <f>+DATA!F151</f>
        <v>279879.63041327137</v>
      </c>
      <c r="AA155" s="525">
        <f>IF(P155="SI",ROUND(Z155/DIV_Pf,PARAMETROS!$L$8),0)</f>
        <v>23323</v>
      </c>
      <c r="AB155" s="526">
        <f t="shared" si="53"/>
        <v>68730</v>
      </c>
      <c r="AC155" s="775">
        <f t="shared" si="54"/>
        <v>35.44</v>
      </c>
      <c r="AD155" s="525">
        <f>IF(AC155&lt;$AC$6,ROUND(($AC$6-AC155)*AB155,PARAMETROS!$L$8),0)</f>
        <v>4747868</v>
      </c>
      <c r="AE155" s="771">
        <f t="shared" si="46"/>
        <v>4.5570985841E-3</v>
      </c>
      <c r="AF155" s="771">
        <f t="shared" si="47"/>
        <v>1.5949845044000001E-3</v>
      </c>
      <c r="AG155" s="771">
        <f t="shared" si="55"/>
        <v>3.5619149424000003E-3</v>
      </c>
      <c r="AH155" s="525">
        <f>+DATA!Q151</f>
        <v>8419412.023</v>
      </c>
      <c r="AI155" s="525">
        <f>+DATA!R151</f>
        <v>701617.66858333338</v>
      </c>
      <c r="AJ155" s="525">
        <f>+DATA!S151</f>
        <v>554278</v>
      </c>
      <c r="AK155" s="525">
        <f>+'_DATA STT PAGOS_'!G153</f>
        <v>0</v>
      </c>
      <c r="AL155" s="525">
        <f>+'_DATA STT PAGOS_'!J153</f>
        <v>11425335.445999999</v>
      </c>
      <c r="AM155" s="525">
        <f>+DATA!Y151</f>
        <v>56244</v>
      </c>
      <c r="AN155" s="525">
        <f>+DATA!Z151</f>
        <v>38939</v>
      </c>
      <c r="AO155" s="525">
        <f>+DATA!AA151</f>
        <v>44641</v>
      </c>
      <c r="AP155" s="525">
        <f>+DATA!AB151</f>
        <v>15930</v>
      </c>
      <c r="AQ155" s="525">
        <f>+DATA!AC151</f>
        <v>155754</v>
      </c>
      <c r="AR155" s="525">
        <f>+DATA!AD151</f>
        <v>2996</v>
      </c>
      <c r="AS155" s="525">
        <f>+DATA!AE151</f>
        <v>1574</v>
      </c>
      <c r="AT155" s="525">
        <f>+DATA!AF151</f>
        <v>1932.7570000000001</v>
      </c>
      <c r="AU155" s="525">
        <f>+DATA!AG151</f>
        <v>1426</v>
      </c>
      <c r="AV155" s="525">
        <f>+DATA!AH151</f>
        <v>7928.7569999999996</v>
      </c>
    </row>
    <row r="156" spans="1:48" x14ac:dyDescent="0.25">
      <c r="A156" s="527">
        <v>8107</v>
      </c>
      <c r="B156" s="527">
        <v>8202</v>
      </c>
      <c r="C156" s="527" t="s">
        <v>183</v>
      </c>
      <c r="D156" s="771">
        <f t="shared" si="38"/>
        <v>2.8901734103999998E-3</v>
      </c>
      <c r="E156" s="771">
        <f t="shared" si="39"/>
        <v>7.2254335259999995E-4</v>
      </c>
      <c r="F156" s="525">
        <f>+DATA!D152</f>
        <v>50189</v>
      </c>
      <c r="G156" s="772">
        <f>+DATA!E152</f>
        <v>6.0533136931933358E-2</v>
      </c>
      <c r="H156" s="525">
        <f t="shared" si="48"/>
        <v>3038</v>
      </c>
      <c r="I156" s="771">
        <f t="shared" si="40"/>
        <v>2.3265074819000002E-3</v>
      </c>
      <c r="J156" s="771">
        <f t="shared" si="41"/>
        <v>2.3265074819999999E-4</v>
      </c>
      <c r="K156" s="525">
        <f>+DATA!G152</f>
        <v>14307</v>
      </c>
      <c r="L156" s="525">
        <f>+DATA!H152</f>
        <v>16076</v>
      </c>
      <c r="M156" s="525">
        <f>+DATA!I152</f>
        <v>405227374914</v>
      </c>
      <c r="N156" s="525">
        <f>+DATA!J152</f>
        <v>708475798942</v>
      </c>
      <c r="O156" s="773">
        <f t="shared" si="49"/>
        <v>0.71346417044690968</v>
      </c>
      <c r="P156" s="774" t="str">
        <f t="shared" si="50"/>
        <v>SI</v>
      </c>
      <c r="Q156" s="771">
        <f t="shared" si="42"/>
        <v>2.3319660255000001E-3</v>
      </c>
      <c r="R156" s="771">
        <f t="shared" si="43"/>
        <v>3.3433263218999999E-3</v>
      </c>
      <c r="S156" s="771">
        <f t="shared" si="44"/>
        <v>1.0029978966E-3</v>
      </c>
      <c r="T156" s="525">
        <f>+DATA!K152</f>
        <v>0</v>
      </c>
      <c r="U156" s="525">
        <f>+DATA!L152</f>
        <v>0</v>
      </c>
      <c r="V156" s="525">
        <f>+DATA!M152</f>
        <v>4158623</v>
      </c>
      <c r="W156" s="526">
        <f t="shared" si="45"/>
        <v>4158623</v>
      </c>
      <c r="X156" s="526">
        <f t="shared" si="51"/>
        <v>4158623</v>
      </c>
      <c r="Y156" s="526">
        <f t="shared" si="52"/>
        <v>4158623</v>
      </c>
      <c r="Z156" s="525">
        <f>+DATA!F152</f>
        <v>382524.53426892951</v>
      </c>
      <c r="AA156" s="525">
        <f>IF(P156="SI",ROUND(Z156/DIV_Pf,PARAMETROS!$L$8),0)</f>
        <v>31877</v>
      </c>
      <c r="AB156" s="526">
        <f t="shared" si="53"/>
        <v>82066</v>
      </c>
      <c r="AC156" s="775">
        <f t="shared" si="54"/>
        <v>50.67</v>
      </c>
      <c r="AD156" s="525">
        <f>IF(AC156&lt;$AC$6,ROUND(($AC$6-AC156)*AB156,PARAMETROS!$L$8),0)</f>
        <v>4419254</v>
      </c>
      <c r="AE156" s="771">
        <f t="shared" si="46"/>
        <v>4.2416883001999998E-3</v>
      </c>
      <c r="AF156" s="771">
        <f t="shared" si="47"/>
        <v>1.4845909051E-3</v>
      </c>
      <c r="AG156" s="771">
        <f t="shared" si="55"/>
        <v>3.4427829025000002E-3</v>
      </c>
      <c r="AH156" s="525">
        <f>+DATA!Q152</f>
        <v>6274655.7970000003</v>
      </c>
      <c r="AI156" s="525">
        <f>+DATA!R152</f>
        <v>522887.98308333335</v>
      </c>
      <c r="AJ156" s="525">
        <f>+DATA!S152</f>
        <v>413082</v>
      </c>
      <c r="AK156" s="525">
        <f>+'_DATA STT PAGOS_'!G154</f>
        <v>0</v>
      </c>
      <c r="AL156" s="525">
        <f>+'_DATA STT PAGOS_'!J154</f>
        <v>8511589.2300000004</v>
      </c>
      <c r="AM156" s="525">
        <f>+DATA!Y152</f>
        <v>204519</v>
      </c>
      <c r="AN156" s="525">
        <f>+DATA!Z152</f>
        <v>187405</v>
      </c>
      <c r="AO156" s="525">
        <f>+DATA!AA152</f>
        <v>182042</v>
      </c>
      <c r="AP156" s="525">
        <f>+DATA!AB152</f>
        <v>171506</v>
      </c>
      <c r="AQ156" s="525">
        <f>+DATA!AC152</f>
        <v>745472</v>
      </c>
      <c r="AR156" s="525">
        <f>+DATA!AD152</f>
        <v>4629</v>
      </c>
      <c r="AS156" s="525">
        <f>+DATA!AE152</f>
        <v>2979</v>
      </c>
      <c r="AT156" s="525">
        <f>+DATA!AF152</f>
        <v>3262.2080000000001</v>
      </c>
      <c r="AU156" s="525">
        <f>+DATA!AG152</f>
        <v>2405</v>
      </c>
      <c r="AV156" s="525">
        <f>+DATA!AH152</f>
        <v>13275.208000000001</v>
      </c>
    </row>
    <row r="157" spans="1:48" x14ac:dyDescent="0.25">
      <c r="A157" s="527">
        <v>8108</v>
      </c>
      <c r="B157" s="527">
        <v>8210</v>
      </c>
      <c r="C157" s="527" t="s">
        <v>190</v>
      </c>
      <c r="D157" s="771">
        <f t="shared" si="38"/>
        <v>2.8901734103999998E-3</v>
      </c>
      <c r="E157" s="771">
        <f t="shared" si="39"/>
        <v>7.2254335259999995E-4</v>
      </c>
      <c r="F157" s="525">
        <f>+DATA!D153</f>
        <v>153516</v>
      </c>
      <c r="G157" s="772">
        <f>+DATA!E153</f>
        <v>5.4195912937074653E-2</v>
      </c>
      <c r="H157" s="525">
        <f t="shared" si="48"/>
        <v>8320</v>
      </c>
      <c r="I157" s="771">
        <f t="shared" si="40"/>
        <v>6.3714753947999997E-3</v>
      </c>
      <c r="J157" s="771">
        <f t="shared" si="41"/>
        <v>6.3714753950000003E-4</v>
      </c>
      <c r="K157" s="525">
        <f>+DATA!G153</f>
        <v>41289</v>
      </c>
      <c r="L157" s="525">
        <f>+DATA!H153</f>
        <v>65174</v>
      </c>
      <c r="M157" s="525">
        <f>+DATA!I153</f>
        <v>1552081431626</v>
      </c>
      <c r="N157" s="525">
        <f>+DATA!J153</f>
        <v>4053263539581</v>
      </c>
      <c r="O157" s="773">
        <f t="shared" si="49"/>
        <v>0.49253242267649999</v>
      </c>
      <c r="P157" s="774" t="str">
        <f t="shared" si="50"/>
        <v>SI</v>
      </c>
      <c r="Q157" s="771">
        <f t="shared" si="42"/>
        <v>4.7906827850999999E-3</v>
      </c>
      <c r="R157" s="771">
        <f t="shared" si="43"/>
        <v>6.8683744446999999E-3</v>
      </c>
      <c r="S157" s="771">
        <f t="shared" si="44"/>
        <v>2.0605123333999999E-3</v>
      </c>
      <c r="T157" s="525">
        <f>+DATA!K153</f>
        <v>0</v>
      </c>
      <c r="U157" s="525">
        <f>+DATA!L153</f>
        <v>0</v>
      </c>
      <c r="V157" s="525">
        <f>+DATA!M153</f>
        <v>17350185</v>
      </c>
      <c r="W157" s="526">
        <f t="shared" si="45"/>
        <v>17350185</v>
      </c>
      <c r="X157" s="526">
        <f t="shared" si="51"/>
        <v>17350185</v>
      </c>
      <c r="Y157" s="526">
        <f t="shared" si="52"/>
        <v>17350185</v>
      </c>
      <c r="Z157" s="525">
        <f>+DATA!F153</f>
        <v>660160.37958753784</v>
      </c>
      <c r="AA157" s="525">
        <f>IF(P157="SI",ROUND(Z157/DIV_Pf,PARAMETROS!$L$8),0)</f>
        <v>55013</v>
      </c>
      <c r="AB157" s="526">
        <f t="shared" si="53"/>
        <v>208529</v>
      </c>
      <c r="AC157" s="775">
        <f t="shared" si="54"/>
        <v>83.2</v>
      </c>
      <c r="AD157" s="525">
        <f>IF(AC157&lt;$AC$6,ROUND(($AC$6-AC157)*AB157,PARAMETROS!$L$8),0)</f>
        <v>4445838</v>
      </c>
      <c r="AE157" s="771">
        <f t="shared" si="46"/>
        <v>4.2672041545999996E-3</v>
      </c>
      <c r="AF157" s="771">
        <f t="shared" si="47"/>
        <v>1.4935214541E-3</v>
      </c>
      <c r="AG157" s="771">
        <f t="shared" si="55"/>
        <v>4.9137246795999999E-3</v>
      </c>
      <c r="AH157" s="525">
        <f>+DATA!Q153</f>
        <v>8786614.9480000008</v>
      </c>
      <c r="AI157" s="525">
        <f>+DATA!R153</f>
        <v>732217.9123333334</v>
      </c>
      <c r="AJ157" s="525">
        <f>+DATA!S153</f>
        <v>578452</v>
      </c>
      <c r="AK157" s="525">
        <f>+'_DATA STT PAGOS_'!G155</f>
        <v>0</v>
      </c>
      <c r="AL157" s="525">
        <f>+'_DATA STT PAGOS_'!J155</f>
        <v>11903690.157</v>
      </c>
      <c r="AM157" s="525">
        <f>+DATA!Y153</f>
        <v>1302836</v>
      </c>
      <c r="AN157" s="525">
        <f>+DATA!Z153</f>
        <v>949415</v>
      </c>
      <c r="AO157" s="525">
        <f>+DATA!AA153</f>
        <v>1150918</v>
      </c>
      <c r="AP157" s="525">
        <f>+DATA!AB153</f>
        <v>916536</v>
      </c>
      <c r="AQ157" s="525">
        <f>+DATA!AC153</f>
        <v>4319705</v>
      </c>
      <c r="AR157" s="525">
        <f>+DATA!AD153</f>
        <v>142314</v>
      </c>
      <c r="AS157" s="525">
        <f>+DATA!AE153</f>
        <v>65134</v>
      </c>
      <c r="AT157" s="525">
        <f>+DATA!AF153</f>
        <v>99915.736000000004</v>
      </c>
      <c r="AU157" s="525">
        <f>+DATA!AG153</f>
        <v>62663</v>
      </c>
      <c r="AV157" s="525">
        <f>+DATA!AH153</f>
        <v>370026.73600000003</v>
      </c>
    </row>
    <row r="158" spans="1:48" x14ac:dyDescent="0.25">
      <c r="A158" s="527">
        <v>8109</v>
      </c>
      <c r="B158" s="527">
        <v>8209</v>
      </c>
      <c r="C158" s="527" t="s">
        <v>189</v>
      </c>
      <c r="D158" s="771">
        <f t="shared" si="38"/>
        <v>2.8901734103999998E-3</v>
      </c>
      <c r="E158" s="771">
        <f t="shared" si="39"/>
        <v>7.2254335259999995E-4</v>
      </c>
      <c r="F158" s="525">
        <f>+DATA!D154</f>
        <v>14890</v>
      </c>
      <c r="G158" s="772">
        <f>+DATA!E154</f>
        <v>0.12804385687710171</v>
      </c>
      <c r="H158" s="525">
        <f t="shared" si="48"/>
        <v>1907</v>
      </c>
      <c r="I158" s="771">
        <f t="shared" si="40"/>
        <v>1.4603850454E-3</v>
      </c>
      <c r="J158" s="771">
        <f t="shared" si="41"/>
        <v>1.4603850449999999E-4</v>
      </c>
      <c r="K158" s="525">
        <f>+DATA!G154</f>
        <v>10266</v>
      </c>
      <c r="L158" s="525">
        <f>+DATA!H154</f>
        <v>12517</v>
      </c>
      <c r="M158" s="525">
        <f>+DATA!I154</f>
        <v>148817553981</v>
      </c>
      <c r="N158" s="525">
        <f>+DATA!J154</f>
        <v>341473385849</v>
      </c>
      <c r="O158" s="773">
        <f t="shared" si="49"/>
        <v>0.59785952737977088</v>
      </c>
      <c r="P158" s="774" t="str">
        <f t="shared" si="50"/>
        <v>SI</v>
      </c>
      <c r="Q158" s="771">
        <f t="shared" si="42"/>
        <v>1.5420744079000001E-3</v>
      </c>
      <c r="R158" s="771">
        <f t="shared" si="43"/>
        <v>2.2108632381000002E-3</v>
      </c>
      <c r="S158" s="771">
        <f t="shared" si="44"/>
        <v>6.6325897139999995E-4</v>
      </c>
      <c r="T158" s="525">
        <f>+DATA!K154</f>
        <v>0</v>
      </c>
      <c r="U158" s="525">
        <f>+DATA!L154</f>
        <v>0</v>
      </c>
      <c r="V158" s="525">
        <f>+DATA!M154</f>
        <v>1625727</v>
      </c>
      <c r="W158" s="526">
        <f t="shared" si="45"/>
        <v>1625727</v>
      </c>
      <c r="X158" s="526">
        <f t="shared" si="51"/>
        <v>1625727</v>
      </c>
      <c r="Y158" s="526">
        <f t="shared" si="52"/>
        <v>1625727</v>
      </c>
      <c r="Z158" s="525">
        <f>+DATA!F154</f>
        <v>234774.22011714615</v>
      </c>
      <c r="AA158" s="525">
        <f>IF(P158="SI",ROUND(Z158/DIV_Pf,PARAMETROS!$L$8),0)</f>
        <v>19565</v>
      </c>
      <c r="AB158" s="526">
        <f t="shared" si="53"/>
        <v>34455</v>
      </c>
      <c r="AC158" s="775">
        <f t="shared" si="54"/>
        <v>47.18</v>
      </c>
      <c r="AD158" s="525">
        <f>IF(AC158&lt;$AC$6,ROUND(($AC$6-AC158)*AB158,PARAMETROS!$L$8),0)</f>
        <v>1975650</v>
      </c>
      <c r="AE158" s="771">
        <f t="shared" si="46"/>
        <v>1.8962683499E-3</v>
      </c>
      <c r="AF158" s="771">
        <f t="shared" si="47"/>
        <v>6.6369392250000003E-4</v>
      </c>
      <c r="AG158" s="771">
        <f t="shared" si="55"/>
        <v>2.1955347509999999E-3</v>
      </c>
      <c r="AH158" s="525">
        <f>+DATA!Q154</f>
        <v>4077654.966</v>
      </c>
      <c r="AI158" s="525">
        <f>+DATA!R154</f>
        <v>339804.58049999998</v>
      </c>
      <c r="AJ158" s="525">
        <f>+DATA!S154</f>
        <v>268446</v>
      </c>
      <c r="AK158" s="525">
        <f>+'_DATA STT PAGOS_'!G156</f>
        <v>0</v>
      </c>
      <c r="AL158" s="525">
        <f>+'_DATA STT PAGOS_'!J156</f>
        <v>5536463.5829999996</v>
      </c>
      <c r="AM158" s="525">
        <f>+DATA!Y154</f>
        <v>51346</v>
      </c>
      <c r="AN158" s="525">
        <f>+DATA!Z154</f>
        <v>34350</v>
      </c>
      <c r="AO158" s="525">
        <f>+DATA!AA154</f>
        <v>41419</v>
      </c>
      <c r="AP158" s="525">
        <f>+DATA!AB154</f>
        <v>24619</v>
      </c>
      <c r="AQ158" s="525">
        <f>+DATA!AC154</f>
        <v>151734</v>
      </c>
      <c r="AR158" s="525">
        <f>+DATA!AD154</f>
        <v>5338</v>
      </c>
      <c r="AS158" s="525">
        <f>+DATA!AE154</f>
        <v>2988</v>
      </c>
      <c r="AT158" s="525">
        <f>+DATA!AF154</f>
        <v>2995.6610000000001</v>
      </c>
      <c r="AU158" s="525">
        <f>+DATA!AG154</f>
        <v>2976</v>
      </c>
      <c r="AV158" s="525">
        <f>+DATA!AH154</f>
        <v>14297.661</v>
      </c>
    </row>
    <row r="159" spans="1:48" x14ac:dyDescent="0.25">
      <c r="A159" s="527">
        <v>8110</v>
      </c>
      <c r="B159" s="527">
        <v>8206</v>
      </c>
      <c r="C159" s="527" t="s">
        <v>186</v>
      </c>
      <c r="D159" s="771">
        <f t="shared" si="38"/>
        <v>2.8901734103999998E-3</v>
      </c>
      <c r="E159" s="771">
        <f t="shared" si="39"/>
        <v>7.2254335259999995E-4</v>
      </c>
      <c r="F159" s="525">
        <f>+DATA!D155</f>
        <v>158167</v>
      </c>
      <c r="G159" s="772">
        <f>+DATA!E155</f>
        <v>5.0827431137150901E-2</v>
      </c>
      <c r="H159" s="525">
        <f t="shared" si="48"/>
        <v>8039</v>
      </c>
      <c r="I159" s="771">
        <f t="shared" si="40"/>
        <v>6.1562849396999998E-3</v>
      </c>
      <c r="J159" s="771">
        <f t="shared" si="41"/>
        <v>6.1562849399999999E-4</v>
      </c>
      <c r="K159" s="525">
        <f>+DATA!G155</f>
        <v>41618</v>
      </c>
      <c r="L159" s="525">
        <f>+DATA!H155</f>
        <v>49986</v>
      </c>
      <c r="M159" s="525">
        <f>+DATA!I155</f>
        <v>2316542791142</v>
      </c>
      <c r="N159" s="525">
        <f>+DATA!J155</f>
        <v>4709049336306</v>
      </c>
      <c r="O159" s="773">
        <f t="shared" si="49"/>
        <v>0.63998523371451366</v>
      </c>
      <c r="P159" s="774" t="str">
        <f t="shared" si="50"/>
        <v>SI</v>
      </c>
      <c r="Q159" s="771">
        <f t="shared" si="42"/>
        <v>6.3462487222999998E-3</v>
      </c>
      <c r="R159" s="771">
        <f t="shared" si="43"/>
        <v>9.0985804110999997E-3</v>
      </c>
      <c r="S159" s="771">
        <f t="shared" si="44"/>
        <v>2.7295741232999998E-3</v>
      </c>
      <c r="T159" s="525">
        <f>+DATA!K155</f>
        <v>0</v>
      </c>
      <c r="U159" s="525">
        <f>+DATA!L155</f>
        <v>0</v>
      </c>
      <c r="V159" s="525">
        <f>+DATA!M155</f>
        <v>26119904</v>
      </c>
      <c r="W159" s="526">
        <f t="shared" si="45"/>
        <v>26119904</v>
      </c>
      <c r="X159" s="526">
        <f t="shared" si="51"/>
        <v>26119904</v>
      </c>
      <c r="Y159" s="526">
        <f t="shared" si="52"/>
        <v>26119904</v>
      </c>
      <c r="Z159" s="525">
        <f>+DATA!F155</f>
        <v>1103602.8999710786</v>
      </c>
      <c r="AA159" s="525">
        <f>IF(P159="SI",ROUND(Z159/DIV_Pf,PARAMETROS!$L$8),0)</f>
        <v>91967</v>
      </c>
      <c r="AB159" s="526">
        <f t="shared" si="53"/>
        <v>250134</v>
      </c>
      <c r="AC159" s="775">
        <f t="shared" si="54"/>
        <v>104.42</v>
      </c>
      <c r="AD159" s="525">
        <f>IF(AC159&lt;$AC$6,ROUND(($AC$6-AC159)*AB159,PARAMETROS!$L$8),0)</f>
        <v>25013</v>
      </c>
      <c r="AE159" s="771">
        <f t="shared" si="46"/>
        <v>2.4007977200000002E-5</v>
      </c>
      <c r="AF159" s="771">
        <f t="shared" si="47"/>
        <v>8.402792E-6</v>
      </c>
      <c r="AG159" s="771">
        <f t="shared" si="55"/>
        <v>4.0761487618999996E-3</v>
      </c>
      <c r="AH159" s="525">
        <f>+DATA!Q155</f>
        <v>8230440.7429999998</v>
      </c>
      <c r="AI159" s="525">
        <f>+DATA!R155</f>
        <v>685870.06191666669</v>
      </c>
      <c r="AJ159" s="525">
        <f>+DATA!S155</f>
        <v>541837</v>
      </c>
      <c r="AK159" s="525">
        <f>+'_DATA STT PAGOS_'!G157</f>
        <v>0</v>
      </c>
      <c r="AL159" s="525">
        <f>+'_DATA STT PAGOS_'!J157</f>
        <v>11155197.868999999</v>
      </c>
      <c r="AM159" s="525">
        <f>+DATA!Y155</f>
        <v>1488123</v>
      </c>
      <c r="AN159" s="525">
        <f>+DATA!Z155</f>
        <v>1346321</v>
      </c>
      <c r="AO159" s="525">
        <f>+DATA!AA155</f>
        <v>1413287</v>
      </c>
      <c r="AP159" s="525">
        <f>+DATA!AB155</f>
        <v>1386652</v>
      </c>
      <c r="AQ159" s="525">
        <f>+DATA!AC155</f>
        <v>5634383</v>
      </c>
      <c r="AR159" s="525">
        <f>+DATA!AD155</f>
        <v>87248</v>
      </c>
      <c r="AS159" s="525">
        <f>+DATA!AE155</f>
        <v>44202</v>
      </c>
      <c r="AT159" s="525">
        <f>+DATA!AF155</f>
        <v>70140.434999999998</v>
      </c>
      <c r="AU159" s="525">
        <f>+DATA!AG155</f>
        <v>42559</v>
      </c>
      <c r="AV159" s="525">
        <f>+DATA!AH155</f>
        <v>244149.435</v>
      </c>
    </row>
    <row r="160" spans="1:48" x14ac:dyDescent="0.25">
      <c r="A160" s="527">
        <v>8111</v>
      </c>
      <c r="B160" s="527">
        <v>8205</v>
      </c>
      <c r="C160" s="527" t="s">
        <v>396</v>
      </c>
      <c r="D160" s="771">
        <f t="shared" si="38"/>
        <v>2.8901734103999998E-3</v>
      </c>
      <c r="E160" s="771">
        <f t="shared" si="39"/>
        <v>7.2254335259999995E-4</v>
      </c>
      <c r="F160" s="525">
        <f>+DATA!D156</f>
        <v>59150</v>
      </c>
      <c r="G160" s="772">
        <f>+DATA!E156</f>
        <v>7.9769407200724438E-2</v>
      </c>
      <c r="H160" s="525">
        <f t="shared" si="48"/>
        <v>4718</v>
      </c>
      <c r="I160" s="771">
        <f t="shared" si="40"/>
        <v>3.6130553981E-3</v>
      </c>
      <c r="J160" s="771">
        <f t="shared" si="41"/>
        <v>3.6130553980000003E-4</v>
      </c>
      <c r="K160" s="525">
        <f>+DATA!G156</f>
        <v>20906</v>
      </c>
      <c r="L160" s="525">
        <f>+DATA!H156</f>
        <v>27487</v>
      </c>
      <c r="M160" s="525">
        <f>+DATA!I156</f>
        <v>464854552770</v>
      </c>
      <c r="N160" s="525">
        <f>+DATA!J156</f>
        <v>958735160540</v>
      </c>
      <c r="O160" s="773">
        <f t="shared" si="49"/>
        <v>0.60726886996765628</v>
      </c>
      <c r="P160" s="774" t="str">
        <f t="shared" si="50"/>
        <v>SI</v>
      </c>
      <c r="Q160" s="771">
        <f t="shared" si="42"/>
        <v>2.9121759554999998E-3</v>
      </c>
      <c r="R160" s="771">
        <f t="shared" si="43"/>
        <v>4.1751699723000003E-3</v>
      </c>
      <c r="S160" s="771">
        <f t="shared" si="44"/>
        <v>1.2525509917E-3</v>
      </c>
      <c r="T160" s="525">
        <f>+DATA!K156</f>
        <v>0</v>
      </c>
      <c r="U160" s="525">
        <f>+DATA!L156</f>
        <v>0</v>
      </c>
      <c r="V160" s="525">
        <f>+DATA!M156</f>
        <v>3996907</v>
      </c>
      <c r="W160" s="526">
        <f t="shared" si="45"/>
        <v>3996907</v>
      </c>
      <c r="X160" s="526">
        <f t="shared" si="51"/>
        <v>3996907</v>
      </c>
      <c r="Y160" s="526">
        <f t="shared" si="52"/>
        <v>3996907</v>
      </c>
      <c r="Z160" s="525">
        <f>+DATA!F156</f>
        <v>1492411.0940745575</v>
      </c>
      <c r="AA160" s="525">
        <f>IF(P160="SI",ROUND(Z160/DIV_Pf,PARAMETROS!$L$8),0)</f>
        <v>124368</v>
      </c>
      <c r="AB160" s="526">
        <f t="shared" si="53"/>
        <v>183518</v>
      </c>
      <c r="AC160" s="775">
        <f t="shared" si="54"/>
        <v>21.78</v>
      </c>
      <c r="AD160" s="525">
        <f>IF(AC160&lt;$AC$6,ROUND(($AC$6-AC160)*AB160,PARAMETROS!$L$8),0)</f>
        <v>15184279</v>
      </c>
      <c r="AE160" s="771">
        <f t="shared" si="46"/>
        <v>1.45741744151E-2</v>
      </c>
      <c r="AF160" s="771">
        <f t="shared" si="47"/>
        <v>5.1009610453000001E-3</v>
      </c>
      <c r="AG160" s="771">
        <f t="shared" si="55"/>
        <v>7.4373609294000002E-3</v>
      </c>
      <c r="AH160" s="525">
        <f>+DATA!Q156</f>
        <v>12780587.033</v>
      </c>
      <c r="AI160" s="525">
        <f>+DATA!R156</f>
        <v>1065048.9194166667</v>
      </c>
      <c r="AJ160" s="525">
        <f>+DATA!S156</f>
        <v>841389</v>
      </c>
      <c r="AK160" s="525">
        <f>+'_DATA STT PAGOS_'!G158</f>
        <v>0</v>
      </c>
      <c r="AL160" s="525">
        <f>+'_DATA STT PAGOS_'!J158</f>
        <v>17341843.792999998</v>
      </c>
      <c r="AM160" s="525">
        <f>+DATA!Y156</f>
        <v>194080</v>
      </c>
      <c r="AN160" s="525">
        <f>+DATA!Z156</f>
        <v>143730</v>
      </c>
      <c r="AO160" s="525">
        <f>+DATA!AA156</f>
        <v>148909</v>
      </c>
      <c r="AP160" s="525">
        <f>+DATA!AB156</f>
        <v>143243</v>
      </c>
      <c r="AQ160" s="525">
        <f>+DATA!AC156</f>
        <v>629962</v>
      </c>
      <c r="AR160" s="525">
        <f>+DATA!AD156</f>
        <v>22804</v>
      </c>
      <c r="AS160" s="525">
        <f>+DATA!AE156</f>
        <v>11804</v>
      </c>
      <c r="AT160" s="525">
        <f>+DATA!AF156</f>
        <v>16116.630999999999</v>
      </c>
      <c r="AU160" s="525">
        <f>+DATA!AG156</f>
        <v>11845</v>
      </c>
      <c r="AV160" s="525">
        <f>+DATA!AH156</f>
        <v>62569.631000000001</v>
      </c>
    </row>
    <row r="161" spans="1:48" x14ac:dyDescent="0.25">
      <c r="A161" s="527">
        <v>8112</v>
      </c>
      <c r="B161" s="527">
        <v>8212</v>
      </c>
      <c r="C161" s="527" t="s">
        <v>397</v>
      </c>
      <c r="D161" s="771">
        <f t="shared" si="38"/>
        <v>2.8901734103999998E-3</v>
      </c>
      <c r="E161" s="771">
        <f t="shared" si="39"/>
        <v>7.2254335259999995E-4</v>
      </c>
      <c r="F161" s="525">
        <f>+DATA!D157</f>
        <v>98055</v>
      </c>
      <c r="G161" s="772">
        <f>+DATA!E157</f>
        <v>3.2155654446715427E-2</v>
      </c>
      <c r="H161" s="525">
        <f t="shared" si="48"/>
        <v>3153</v>
      </c>
      <c r="I161" s="771">
        <f t="shared" si="40"/>
        <v>2.4145747500000001E-3</v>
      </c>
      <c r="J161" s="771">
        <f t="shared" si="41"/>
        <v>2.4145747499999999E-4</v>
      </c>
      <c r="K161" s="525">
        <f>+DATA!G157</f>
        <v>30657</v>
      </c>
      <c r="L161" s="525">
        <f>+DATA!H157</f>
        <v>33083</v>
      </c>
      <c r="M161" s="525">
        <f>+DATA!I157</f>
        <v>833066929590</v>
      </c>
      <c r="N161" s="525">
        <f>+DATA!J157</f>
        <v>1634709231490</v>
      </c>
      <c r="O161" s="773">
        <f t="shared" si="49"/>
        <v>0.68719829635711183</v>
      </c>
      <c r="P161" s="774" t="str">
        <f t="shared" si="50"/>
        <v>SI</v>
      </c>
      <c r="Q161" s="771">
        <f t="shared" si="42"/>
        <v>5.2030438363999997E-3</v>
      </c>
      <c r="R161" s="771">
        <f t="shared" si="43"/>
        <v>7.4595741199999996E-3</v>
      </c>
      <c r="S161" s="771">
        <f t="shared" si="44"/>
        <v>2.237872236E-3</v>
      </c>
      <c r="T161" s="525">
        <f>+DATA!K157</f>
        <v>0</v>
      </c>
      <c r="U161" s="525">
        <f>+DATA!L157</f>
        <v>0</v>
      </c>
      <c r="V161" s="525">
        <f>+DATA!M157</f>
        <v>10818986</v>
      </c>
      <c r="W161" s="526">
        <f t="shared" si="45"/>
        <v>10818986</v>
      </c>
      <c r="X161" s="526">
        <f t="shared" si="51"/>
        <v>10818986</v>
      </c>
      <c r="Y161" s="526">
        <f t="shared" si="52"/>
        <v>10818986</v>
      </c>
      <c r="Z161" s="525">
        <f>+DATA!F157</f>
        <v>344481.39939684654</v>
      </c>
      <c r="AA161" s="525">
        <f>IF(P161="SI",ROUND(Z161/DIV_Pf,PARAMETROS!$L$8),0)</f>
        <v>28707</v>
      </c>
      <c r="AB161" s="526">
        <f t="shared" si="53"/>
        <v>126762</v>
      </c>
      <c r="AC161" s="775">
        <f t="shared" si="54"/>
        <v>85.35</v>
      </c>
      <c r="AD161" s="525">
        <f>IF(AC161&lt;$AC$6,ROUND(($AC$6-AC161)*AB161,PARAMETROS!$L$8),0)</f>
        <v>2430028</v>
      </c>
      <c r="AE161" s="771">
        <f t="shared" si="46"/>
        <v>2.3323894342E-3</v>
      </c>
      <c r="AF161" s="771">
        <f t="shared" si="47"/>
        <v>8.1633630199999996E-4</v>
      </c>
      <c r="AG161" s="771">
        <f t="shared" si="55"/>
        <v>4.0182093655999999E-3</v>
      </c>
      <c r="AH161" s="525">
        <f>+DATA!Q157</f>
        <v>8065220.2960000001</v>
      </c>
      <c r="AI161" s="525">
        <f>+DATA!R157</f>
        <v>672101.69133333338</v>
      </c>
      <c r="AJ161" s="525">
        <f>+DATA!S157</f>
        <v>530960</v>
      </c>
      <c r="AK161" s="525">
        <f>+'_DATA STT PAGOS_'!G159</f>
        <v>0</v>
      </c>
      <c r="AL161" s="525">
        <f>+'_DATA STT PAGOS_'!J159</f>
        <v>10944689.143999999</v>
      </c>
      <c r="AM161" s="525">
        <f>+DATA!Y157</f>
        <v>579654</v>
      </c>
      <c r="AN161" s="525">
        <f>+DATA!Z157</f>
        <v>541525</v>
      </c>
      <c r="AO161" s="525">
        <f>+DATA!AA157</f>
        <v>537366</v>
      </c>
      <c r="AP161" s="525">
        <f>+DATA!AB157</f>
        <v>452701</v>
      </c>
      <c r="AQ161" s="525">
        <f>+DATA!AC157</f>
        <v>2111246</v>
      </c>
      <c r="AR161" s="525">
        <f>+DATA!AD157</f>
        <v>14521</v>
      </c>
      <c r="AS161" s="525">
        <f>+DATA!AE157</f>
        <v>6126</v>
      </c>
      <c r="AT161" s="525">
        <f>+DATA!AF157</f>
        <v>10072.397999999999</v>
      </c>
      <c r="AU161" s="525">
        <f>+DATA!AG157</f>
        <v>6215</v>
      </c>
      <c r="AV161" s="525">
        <f>+DATA!AH157</f>
        <v>36934.398000000001</v>
      </c>
    </row>
    <row r="162" spans="1:48" x14ac:dyDescent="0.25">
      <c r="A162" s="527">
        <v>8201</v>
      </c>
      <c r="B162" s="527">
        <v>8303</v>
      </c>
      <c r="C162" s="527" t="s">
        <v>194</v>
      </c>
      <c r="D162" s="771">
        <f t="shared" si="38"/>
        <v>2.8901734103999998E-3</v>
      </c>
      <c r="E162" s="771">
        <f t="shared" si="39"/>
        <v>7.2254335259999995E-4</v>
      </c>
      <c r="F162" s="525">
        <f>+DATA!D158</f>
        <v>27152</v>
      </c>
      <c r="G162" s="772">
        <f>+DATA!E158</f>
        <v>0.10524611225739421</v>
      </c>
      <c r="H162" s="525">
        <f t="shared" si="48"/>
        <v>2858</v>
      </c>
      <c r="I162" s="771">
        <f t="shared" si="40"/>
        <v>2.1886630623000002E-3</v>
      </c>
      <c r="J162" s="771">
        <f t="shared" si="41"/>
        <v>2.1886630619999999E-4</v>
      </c>
      <c r="K162" s="525">
        <f>+DATA!G158</f>
        <v>9129</v>
      </c>
      <c r="L162" s="525">
        <f>+DATA!H158</f>
        <v>10688</v>
      </c>
      <c r="M162" s="525">
        <f>+DATA!I158</f>
        <v>204331023493</v>
      </c>
      <c r="N162" s="525">
        <f>+DATA!J158</f>
        <v>372049933584</v>
      </c>
      <c r="O162" s="773">
        <f t="shared" si="49"/>
        <v>0.68490434363043395</v>
      </c>
      <c r="P162" s="774" t="str">
        <f t="shared" si="50"/>
        <v>SI</v>
      </c>
      <c r="Q162" s="771">
        <f t="shared" si="42"/>
        <v>1.4280816248999999E-3</v>
      </c>
      <c r="R162" s="771">
        <f t="shared" si="43"/>
        <v>2.0474324386000001E-3</v>
      </c>
      <c r="S162" s="771">
        <f t="shared" si="44"/>
        <v>6.1422973159999997E-4</v>
      </c>
      <c r="T162" s="525">
        <f>+DATA!K158</f>
        <v>0</v>
      </c>
      <c r="U162" s="525">
        <f>+DATA!L158</f>
        <v>0</v>
      </c>
      <c r="V162" s="525">
        <f>+DATA!M158</f>
        <v>1081332</v>
      </c>
      <c r="W162" s="526">
        <f t="shared" si="45"/>
        <v>1081332</v>
      </c>
      <c r="X162" s="526">
        <f t="shared" si="51"/>
        <v>1081332</v>
      </c>
      <c r="Y162" s="526">
        <f t="shared" si="52"/>
        <v>1081332</v>
      </c>
      <c r="Z162" s="525">
        <f>+DATA!F158</f>
        <v>214584.69229508087</v>
      </c>
      <c r="AA162" s="525">
        <f>IF(P162="SI",ROUND(Z162/DIV_Pf,PARAMETROS!$L$8),0)</f>
        <v>17882</v>
      </c>
      <c r="AB162" s="526">
        <f t="shared" si="53"/>
        <v>45034</v>
      </c>
      <c r="AC162" s="775">
        <f t="shared" si="54"/>
        <v>24.01</v>
      </c>
      <c r="AD162" s="525">
        <f>IF(AC162&lt;$AC$6,ROUND(($AC$6-AC162)*AB162,PARAMETROS!$L$8),0)</f>
        <v>3625687</v>
      </c>
      <c r="AE162" s="771">
        <f t="shared" si="46"/>
        <v>3.4800068354999998E-3</v>
      </c>
      <c r="AF162" s="771">
        <f t="shared" si="47"/>
        <v>1.2180023924E-3</v>
      </c>
      <c r="AG162" s="771">
        <f t="shared" si="55"/>
        <v>2.7736417827999996E-3</v>
      </c>
      <c r="AH162" s="525">
        <f>+DATA!Q158</f>
        <v>5271918.1919999998</v>
      </c>
      <c r="AI162" s="525">
        <f>+DATA!R158</f>
        <v>439326.516</v>
      </c>
      <c r="AJ162" s="525">
        <f>+DATA!S158</f>
        <v>347068</v>
      </c>
      <c r="AK162" s="525">
        <f>+'_DATA STT PAGOS_'!G160</f>
        <v>0</v>
      </c>
      <c r="AL162" s="525">
        <f>+'_DATA STT PAGOS_'!J160</f>
        <v>7153835.1860000007</v>
      </c>
      <c r="AM162" s="525">
        <f>+DATA!Y158</f>
        <v>40247</v>
      </c>
      <c r="AN162" s="525">
        <f>+DATA!Z158</f>
        <v>34065</v>
      </c>
      <c r="AO162" s="525">
        <f>+DATA!AA158</f>
        <v>39759</v>
      </c>
      <c r="AP162" s="525">
        <f>+DATA!AB158</f>
        <v>20068</v>
      </c>
      <c r="AQ162" s="525">
        <f>+DATA!AC158</f>
        <v>134139</v>
      </c>
      <c r="AR162" s="525">
        <f>+DATA!AD158</f>
        <v>450</v>
      </c>
      <c r="AS162" s="525">
        <f>+DATA!AE158</f>
        <v>206</v>
      </c>
      <c r="AT162" s="525">
        <f>+DATA!AF158</f>
        <v>249.376</v>
      </c>
      <c r="AU162" s="525">
        <f>+DATA!AG158</f>
        <v>312</v>
      </c>
      <c r="AV162" s="525">
        <f>+DATA!AH158</f>
        <v>1217.376</v>
      </c>
    </row>
    <row r="163" spans="1:48" x14ac:dyDescent="0.25">
      <c r="A163" s="527">
        <v>8202</v>
      </c>
      <c r="B163" s="527">
        <v>8301</v>
      </c>
      <c r="C163" s="527" t="s">
        <v>192</v>
      </c>
      <c r="D163" s="771">
        <f t="shared" si="38"/>
        <v>2.8901734103999998E-3</v>
      </c>
      <c r="E163" s="771">
        <f t="shared" si="39"/>
        <v>7.2254335259999995E-4</v>
      </c>
      <c r="F163" s="525">
        <f>+DATA!D159</f>
        <v>38941</v>
      </c>
      <c r="G163" s="772">
        <f>+DATA!E159</f>
        <v>9.1963377789973752E-2</v>
      </c>
      <c r="H163" s="525">
        <f t="shared" si="48"/>
        <v>3581</v>
      </c>
      <c r="I163" s="771">
        <f t="shared" si="40"/>
        <v>2.7423381477000002E-3</v>
      </c>
      <c r="J163" s="771">
        <f t="shared" si="41"/>
        <v>2.7423381480000001E-4</v>
      </c>
      <c r="K163" s="525">
        <f>+DATA!G159</f>
        <v>14026</v>
      </c>
      <c r="L163" s="525">
        <f>+DATA!H159</f>
        <v>17023</v>
      </c>
      <c r="M163" s="525">
        <f>+DATA!I159</f>
        <v>247852919751</v>
      </c>
      <c r="N163" s="525">
        <f>+DATA!J159</f>
        <v>851303930139</v>
      </c>
      <c r="O163" s="773">
        <f t="shared" si="49"/>
        <v>0.48978284344177997</v>
      </c>
      <c r="P163" s="774" t="str">
        <f t="shared" si="50"/>
        <v>SI</v>
      </c>
      <c r="Q163" s="771">
        <f t="shared" si="42"/>
        <v>2.1165797270999999E-3</v>
      </c>
      <c r="R163" s="771">
        <f t="shared" si="43"/>
        <v>3.0345282206999998E-3</v>
      </c>
      <c r="S163" s="771">
        <f t="shared" si="44"/>
        <v>9.1035846620000005E-4</v>
      </c>
      <c r="T163" s="525">
        <f>+DATA!K159</f>
        <v>0</v>
      </c>
      <c r="U163" s="525">
        <f>+DATA!L159</f>
        <v>0</v>
      </c>
      <c r="V163" s="525">
        <f>+DATA!M159</f>
        <v>3730562</v>
      </c>
      <c r="W163" s="526">
        <f t="shared" si="45"/>
        <v>3730562</v>
      </c>
      <c r="X163" s="526">
        <f t="shared" si="51"/>
        <v>3730562</v>
      </c>
      <c r="Y163" s="526">
        <f t="shared" si="52"/>
        <v>3730562</v>
      </c>
      <c r="Z163" s="525">
        <f>+DATA!F159</f>
        <v>435790.57159643801</v>
      </c>
      <c r="AA163" s="525">
        <f>IF(P163="SI",ROUND(Z163/DIV_Pf,PARAMETROS!$L$8),0)</f>
        <v>36316</v>
      </c>
      <c r="AB163" s="526">
        <f t="shared" si="53"/>
        <v>75257</v>
      </c>
      <c r="AC163" s="775">
        <f t="shared" si="54"/>
        <v>49.57</v>
      </c>
      <c r="AD163" s="525">
        <f>IF(AC163&lt;$AC$6,ROUND(($AC$6-AC163)*AB163,PARAMETROS!$L$8),0)</f>
        <v>4135372</v>
      </c>
      <c r="AE163" s="771">
        <f t="shared" si="46"/>
        <v>3.9692126837E-3</v>
      </c>
      <c r="AF163" s="771">
        <f t="shared" si="47"/>
        <v>1.3892244392999999E-3</v>
      </c>
      <c r="AG163" s="771">
        <f t="shared" si="55"/>
        <v>3.2963600729000002E-3</v>
      </c>
      <c r="AH163" s="525">
        <f>+DATA!Q159</f>
        <v>7005561.0350000001</v>
      </c>
      <c r="AI163" s="525">
        <f>+DATA!R159</f>
        <v>583796.75291666668</v>
      </c>
      <c r="AJ163" s="525">
        <f>+DATA!S159</f>
        <v>461199</v>
      </c>
      <c r="AK163" s="525">
        <f>+'_DATA STT PAGOS_'!G161</f>
        <v>0</v>
      </c>
      <c r="AL163" s="525">
        <f>+'_DATA STT PAGOS_'!J161</f>
        <v>9506707.188000001</v>
      </c>
      <c r="AM163" s="525">
        <f>+DATA!Y159</f>
        <v>283929</v>
      </c>
      <c r="AN163" s="525">
        <f>+DATA!Z159</f>
        <v>200308</v>
      </c>
      <c r="AO163" s="525">
        <f>+DATA!AA159</f>
        <v>285137</v>
      </c>
      <c r="AP163" s="525">
        <f>+DATA!AB159</f>
        <v>34891</v>
      </c>
      <c r="AQ163" s="525">
        <f>+DATA!AC159</f>
        <v>804265</v>
      </c>
      <c r="AR163" s="525">
        <f>+DATA!AD159</f>
        <v>4533</v>
      </c>
      <c r="AS163" s="525">
        <f>+DATA!AE159</f>
        <v>2440</v>
      </c>
      <c r="AT163" s="525">
        <f>+DATA!AF159</f>
        <v>3643.41</v>
      </c>
      <c r="AU163" s="525">
        <f>+DATA!AG159</f>
        <v>1814</v>
      </c>
      <c r="AV163" s="525">
        <f>+DATA!AH159</f>
        <v>12430.41</v>
      </c>
    </row>
    <row r="164" spans="1:48" x14ac:dyDescent="0.25">
      <c r="A164" s="527">
        <v>8203</v>
      </c>
      <c r="B164" s="527">
        <v>8305</v>
      </c>
      <c r="C164" s="527" t="s">
        <v>195</v>
      </c>
      <c r="D164" s="771">
        <f t="shared" si="38"/>
        <v>2.8901734103999998E-3</v>
      </c>
      <c r="E164" s="771">
        <f t="shared" si="39"/>
        <v>7.2254335259999995E-4</v>
      </c>
      <c r="F164" s="525">
        <f>+DATA!D160</f>
        <v>37443</v>
      </c>
      <c r="G164" s="772">
        <f>+DATA!E160</f>
        <v>0.13273246367003461</v>
      </c>
      <c r="H164" s="525">
        <f t="shared" si="48"/>
        <v>4970</v>
      </c>
      <c r="I164" s="771">
        <f t="shared" si="40"/>
        <v>3.8060375855999999E-3</v>
      </c>
      <c r="J164" s="771">
        <f t="shared" si="41"/>
        <v>3.8060375860000001E-4</v>
      </c>
      <c r="K164" s="525">
        <f>+DATA!G160</f>
        <v>14054</v>
      </c>
      <c r="L164" s="525">
        <f>+DATA!H160</f>
        <v>16263</v>
      </c>
      <c r="M164" s="525">
        <f>+DATA!I160</f>
        <v>244159677390</v>
      </c>
      <c r="N164" s="525">
        <f>+DATA!J160</f>
        <v>460901632906</v>
      </c>
      <c r="O164" s="773">
        <f t="shared" si="49"/>
        <v>0.67660077582387623</v>
      </c>
      <c r="P164" s="774" t="str">
        <f t="shared" si="50"/>
        <v>SI</v>
      </c>
      <c r="Q164" s="771">
        <f t="shared" si="42"/>
        <v>2.2243457708000002E-3</v>
      </c>
      <c r="R164" s="771">
        <f t="shared" si="43"/>
        <v>3.1890317797999999E-3</v>
      </c>
      <c r="S164" s="771">
        <f t="shared" si="44"/>
        <v>9.5670953389999998E-4</v>
      </c>
      <c r="T164" s="525">
        <f>+DATA!K160</f>
        <v>0</v>
      </c>
      <c r="U164" s="525">
        <f>+DATA!L160</f>
        <v>0</v>
      </c>
      <c r="V164" s="525">
        <f>+DATA!M160</f>
        <v>1545931</v>
      </c>
      <c r="W164" s="526">
        <f t="shared" si="45"/>
        <v>1545931</v>
      </c>
      <c r="X164" s="526">
        <f t="shared" si="51"/>
        <v>1545931</v>
      </c>
      <c r="Y164" s="526">
        <f t="shared" si="52"/>
        <v>1545931</v>
      </c>
      <c r="Z164" s="525">
        <f>+DATA!F160</f>
        <v>375718.73567817587</v>
      </c>
      <c r="AA164" s="525">
        <f>IF(P164="SI",ROUND(Z164/DIV_Pf,PARAMETROS!$L$8),0)</f>
        <v>31310</v>
      </c>
      <c r="AB164" s="526">
        <f t="shared" si="53"/>
        <v>68753</v>
      </c>
      <c r="AC164" s="775">
        <f t="shared" si="54"/>
        <v>22.49</v>
      </c>
      <c r="AD164" s="525">
        <f>IF(AC164&lt;$AC$6,ROUND(($AC$6-AC164)*AB164,PARAMETROS!$L$8),0)</f>
        <v>5639809</v>
      </c>
      <c r="AE164" s="771">
        <f t="shared" si="46"/>
        <v>5.4132013797999999E-3</v>
      </c>
      <c r="AF164" s="771">
        <f t="shared" si="47"/>
        <v>1.8946204829E-3</v>
      </c>
      <c r="AG164" s="771">
        <f t="shared" si="55"/>
        <v>3.954477128E-3</v>
      </c>
      <c r="AH164" s="525">
        <f>+DATA!Q160</f>
        <v>7345175.4790000003</v>
      </c>
      <c r="AI164" s="525">
        <f>+DATA!R160</f>
        <v>612097.95658333332</v>
      </c>
      <c r="AJ164" s="525">
        <f>+DATA!S160</f>
        <v>483557</v>
      </c>
      <c r="AK164" s="525">
        <f>+'_DATA STT PAGOS_'!G162</f>
        <v>0</v>
      </c>
      <c r="AL164" s="525">
        <f>+'_DATA STT PAGOS_'!J162</f>
        <v>9970838.7630000003</v>
      </c>
      <c r="AM164" s="525">
        <f>+DATA!Y160</f>
        <v>55716</v>
      </c>
      <c r="AN164" s="525">
        <f>+DATA!Z160</f>
        <v>42322</v>
      </c>
      <c r="AO164" s="525">
        <f>+DATA!AA160</f>
        <v>46454</v>
      </c>
      <c r="AP164" s="525">
        <f>+DATA!AB160</f>
        <v>30555</v>
      </c>
      <c r="AQ164" s="525">
        <f>+DATA!AC160</f>
        <v>175047</v>
      </c>
      <c r="AR164" s="525">
        <f>+DATA!AD160</f>
        <v>1245</v>
      </c>
      <c r="AS164" s="525">
        <f>+DATA!AE160</f>
        <v>725</v>
      </c>
      <c r="AT164" s="525">
        <f>+DATA!AF160</f>
        <v>694.31500000000005</v>
      </c>
      <c r="AU164" s="525">
        <f>+DATA!AG160</f>
        <v>563</v>
      </c>
      <c r="AV164" s="525">
        <f>+DATA!AH160</f>
        <v>3227.3150000000001</v>
      </c>
    </row>
    <row r="165" spans="1:48" x14ac:dyDescent="0.25">
      <c r="A165" s="527">
        <v>8204</v>
      </c>
      <c r="B165" s="527">
        <v>8306</v>
      </c>
      <c r="C165" s="527" t="s">
        <v>196</v>
      </c>
      <c r="D165" s="771">
        <f t="shared" si="38"/>
        <v>2.8901734103999998E-3</v>
      </c>
      <c r="E165" s="771">
        <f t="shared" si="39"/>
        <v>7.2254335259999995E-4</v>
      </c>
      <c r="F165" s="525">
        <f>+DATA!D161</f>
        <v>6355</v>
      </c>
      <c r="G165" s="772">
        <f>+DATA!E161</f>
        <v>0.12293709623046969</v>
      </c>
      <c r="H165" s="525">
        <f t="shared" si="48"/>
        <v>781</v>
      </c>
      <c r="I165" s="771">
        <f t="shared" si="40"/>
        <v>5.9809162060000002E-4</v>
      </c>
      <c r="J165" s="771">
        <f t="shared" si="41"/>
        <v>5.9809162099999998E-5</v>
      </c>
      <c r="K165" s="525">
        <f>+DATA!G161</f>
        <v>3540</v>
      </c>
      <c r="L165" s="525">
        <f>+DATA!H161</f>
        <v>4666</v>
      </c>
      <c r="M165" s="525">
        <f>+DATA!I161</f>
        <v>62181537666</v>
      </c>
      <c r="N165" s="525">
        <f>+DATA!J161</f>
        <v>158135806860</v>
      </c>
      <c r="O165" s="773">
        <f t="shared" si="49"/>
        <v>0.54619143185541585</v>
      </c>
      <c r="P165" s="774" t="str">
        <f t="shared" si="50"/>
        <v>SI</v>
      </c>
      <c r="Q165" s="771">
        <f t="shared" si="42"/>
        <v>4.9188644150000005E-4</v>
      </c>
      <c r="R165" s="771">
        <f t="shared" si="43"/>
        <v>7.0521477130000001E-4</v>
      </c>
      <c r="S165" s="771">
        <f t="shared" si="44"/>
        <v>2.115644314E-4</v>
      </c>
      <c r="T165" s="525">
        <f>+DATA!K161</f>
        <v>0</v>
      </c>
      <c r="U165" s="525">
        <f>+DATA!L161</f>
        <v>0</v>
      </c>
      <c r="V165" s="525">
        <f>+DATA!M161</f>
        <v>382166</v>
      </c>
      <c r="W165" s="526">
        <f t="shared" si="45"/>
        <v>382166</v>
      </c>
      <c r="X165" s="526">
        <f t="shared" si="51"/>
        <v>382166</v>
      </c>
      <c r="Y165" s="526">
        <f t="shared" si="52"/>
        <v>382166</v>
      </c>
      <c r="Z165" s="525">
        <f>+DATA!F161</f>
        <v>194787.36323880454</v>
      </c>
      <c r="AA165" s="525">
        <f>IF(P165="SI",ROUND(Z165/DIV_Pf,PARAMETROS!$L$8),0)</f>
        <v>16232</v>
      </c>
      <c r="AB165" s="526">
        <f t="shared" si="53"/>
        <v>22587</v>
      </c>
      <c r="AC165" s="775">
        <f t="shared" si="54"/>
        <v>16.920000000000002</v>
      </c>
      <c r="AD165" s="525">
        <f>IF(AC165&lt;$AC$6,ROUND(($AC$6-AC165)*AB165,PARAMETROS!$L$8),0)</f>
        <v>1978621</v>
      </c>
      <c r="AE165" s="771">
        <f t="shared" si="46"/>
        <v>1.8991199749999999E-3</v>
      </c>
      <c r="AF165" s="771">
        <f t="shared" si="47"/>
        <v>6.6469199130000001E-4</v>
      </c>
      <c r="AG165" s="771">
        <f t="shared" si="55"/>
        <v>1.6586089373999999E-3</v>
      </c>
      <c r="AH165" s="525">
        <f>+DATA!Q161</f>
        <v>3409832.4440000001</v>
      </c>
      <c r="AI165" s="525">
        <f>+DATA!R161</f>
        <v>284152.7036666667</v>
      </c>
      <c r="AJ165" s="525">
        <f>+DATA!S161</f>
        <v>224481</v>
      </c>
      <c r="AK165" s="525">
        <f>+'_DATA STT PAGOS_'!G163</f>
        <v>0</v>
      </c>
      <c r="AL165" s="525">
        <f>+'_DATA STT PAGOS_'!J163</f>
        <v>4627220.9220000003</v>
      </c>
      <c r="AM165" s="525">
        <f>+DATA!Y161</f>
        <v>16409</v>
      </c>
      <c r="AN165" s="525">
        <f>+DATA!Z161</f>
        <v>10204</v>
      </c>
      <c r="AO165" s="525">
        <f>+DATA!AA161</f>
        <v>12186</v>
      </c>
      <c r="AP165" s="525">
        <f>+DATA!AB161</f>
        <v>11021</v>
      </c>
      <c r="AQ165" s="525">
        <f>+DATA!AC161</f>
        <v>49820</v>
      </c>
      <c r="AR165" s="525">
        <f>+DATA!AD161</f>
        <v>2049</v>
      </c>
      <c r="AS165" s="525">
        <f>+DATA!AE161</f>
        <v>683</v>
      </c>
      <c r="AT165" s="525">
        <f>+DATA!AF161</f>
        <v>874.59100000000001</v>
      </c>
      <c r="AU165" s="525">
        <f>+DATA!AG161</f>
        <v>1281</v>
      </c>
      <c r="AV165" s="525">
        <f>+DATA!AH161</f>
        <v>4887.5910000000003</v>
      </c>
    </row>
    <row r="166" spans="1:48" x14ac:dyDescent="0.25">
      <c r="A166" s="527">
        <v>8205</v>
      </c>
      <c r="B166" s="527">
        <v>8302</v>
      </c>
      <c r="C166" s="527" t="s">
        <v>193</v>
      </c>
      <c r="D166" s="771">
        <f t="shared" si="38"/>
        <v>2.8901734103999998E-3</v>
      </c>
      <c r="E166" s="771">
        <f t="shared" si="39"/>
        <v>7.2254335259999995E-4</v>
      </c>
      <c r="F166" s="525">
        <f>+DATA!D162</f>
        <v>33942</v>
      </c>
      <c r="G166" s="772">
        <f>+DATA!E162</f>
        <v>8.4836935618028492E-2</v>
      </c>
      <c r="H166" s="525">
        <f t="shared" si="48"/>
        <v>2880</v>
      </c>
      <c r="I166" s="771">
        <f t="shared" si="40"/>
        <v>2.2055107136000002E-3</v>
      </c>
      <c r="J166" s="771">
        <f t="shared" si="41"/>
        <v>2.2055107139999999E-4</v>
      </c>
      <c r="K166" s="525">
        <f>+DATA!G162</f>
        <v>10083</v>
      </c>
      <c r="L166" s="525">
        <f>+DATA!H162</f>
        <v>10961</v>
      </c>
      <c r="M166" s="525">
        <f>+DATA!I162</f>
        <v>139963682207</v>
      </c>
      <c r="N166" s="525">
        <f>+DATA!J162</f>
        <v>412464330586</v>
      </c>
      <c r="O166" s="773">
        <f t="shared" si="49"/>
        <v>0.55870720996699419</v>
      </c>
      <c r="P166" s="774" t="str">
        <f t="shared" si="50"/>
        <v>SI</v>
      </c>
      <c r="Q166" s="771">
        <f t="shared" si="42"/>
        <v>1.6987615350000001E-3</v>
      </c>
      <c r="R166" s="771">
        <f t="shared" si="43"/>
        <v>2.4355046740000001E-3</v>
      </c>
      <c r="S166" s="771">
        <f t="shared" si="44"/>
        <v>7.306514022E-4</v>
      </c>
      <c r="T166" s="525">
        <f>+DATA!K162</f>
        <v>0</v>
      </c>
      <c r="U166" s="525">
        <f>+DATA!L162</f>
        <v>0</v>
      </c>
      <c r="V166" s="525">
        <f>+DATA!M162</f>
        <v>2136173</v>
      </c>
      <c r="W166" s="526">
        <f t="shared" si="45"/>
        <v>2136173</v>
      </c>
      <c r="X166" s="526">
        <f t="shared" si="51"/>
        <v>2136173</v>
      </c>
      <c r="Y166" s="526">
        <f t="shared" si="52"/>
        <v>2136173</v>
      </c>
      <c r="Z166" s="525">
        <f>+DATA!F162</f>
        <v>275271.75260751951</v>
      </c>
      <c r="AA166" s="525">
        <f>IF(P166="SI",ROUND(Z166/DIV_Pf,PARAMETROS!$L$8),0)</f>
        <v>22939</v>
      </c>
      <c r="AB166" s="526">
        <f t="shared" si="53"/>
        <v>56881</v>
      </c>
      <c r="AC166" s="775">
        <f t="shared" si="54"/>
        <v>37.56</v>
      </c>
      <c r="AD166" s="525">
        <f>IF(AC166&lt;$AC$6,ROUND(($AC$6-AC166)*AB166,PARAMETROS!$L$8),0)</f>
        <v>3808752</v>
      </c>
      <c r="AE166" s="771">
        <f t="shared" si="46"/>
        <v>3.6557162807999998E-3</v>
      </c>
      <c r="AF166" s="771">
        <f t="shared" si="47"/>
        <v>1.2795006982999999E-3</v>
      </c>
      <c r="AG166" s="771">
        <f t="shared" si="55"/>
        <v>2.9532465244999995E-3</v>
      </c>
      <c r="AH166" s="525">
        <f>+DATA!Q162</f>
        <v>5574072.0460000001</v>
      </c>
      <c r="AI166" s="525">
        <f>+DATA!R162</f>
        <v>464506.00383333332</v>
      </c>
      <c r="AJ166" s="525">
        <f>+DATA!S162</f>
        <v>366960</v>
      </c>
      <c r="AK166" s="525">
        <f>+'_DATA STT PAGOS_'!G164</f>
        <v>0</v>
      </c>
      <c r="AL166" s="525">
        <f>+'_DATA STT PAGOS_'!J164</f>
        <v>7564569.165</v>
      </c>
      <c r="AM166" s="525">
        <f>+DATA!Y162</f>
        <v>77877</v>
      </c>
      <c r="AN166" s="525">
        <f>+DATA!Z162</f>
        <v>84406</v>
      </c>
      <c r="AO166" s="525">
        <f>+DATA!AA162</f>
        <v>83679</v>
      </c>
      <c r="AP166" s="525">
        <f>+DATA!AB162</f>
        <v>25388</v>
      </c>
      <c r="AQ166" s="525">
        <f>+DATA!AC162</f>
        <v>271350</v>
      </c>
      <c r="AR166" s="525">
        <f>+DATA!AD162</f>
        <v>822</v>
      </c>
      <c r="AS166" s="525">
        <f>+DATA!AE162</f>
        <v>1262</v>
      </c>
      <c r="AT166" s="525">
        <f>+DATA!AF162</f>
        <v>615.32600000000002</v>
      </c>
      <c r="AU166" s="525">
        <f>+DATA!AG162</f>
        <v>621</v>
      </c>
      <c r="AV166" s="525">
        <f>+DATA!AH162</f>
        <v>3320.326</v>
      </c>
    </row>
    <row r="167" spans="1:48" x14ac:dyDescent="0.25">
      <c r="A167" s="527">
        <v>8206</v>
      </c>
      <c r="B167" s="527">
        <v>8304</v>
      </c>
      <c r="C167" s="527" t="s">
        <v>30</v>
      </c>
      <c r="D167" s="771">
        <f t="shared" si="38"/>
        <v>2.8901734103999998E-3</v>
      </c>
      <c r="E167" s="771">
        <f t="shared" si="39"/>
        <v>7.2254335259999995E-4</v>
      </c>
      <c r="F167" s="525">
        <f>+DATA!D163</f>
        <v>22953</v>
      </c>
      <c r="G167" s="772">
        <f>+DATA!E163</f>
        <v>0.1110636110482628</v>
      </c>
      <c r="H167" s="525">
        <f t="shared" si="48"/>
        <v>2549</v>
      </c>
      <c r="I167" s="771">
        <f t="shared" si="40"/>
        <v>1.9520301420000001E-3</v>
      </c>
      <c r="J167" s="771">
        <f t="shared" si="41"/>
        <v>1.952030142E-4</v>
      </c>
      <c r="K167" s="525">
        <f>+DATA!G163</f>
        <v>7832</v>
      </c>
      <c r="L167" s="525">
        <f>+DATA!H163</f>
        <v>9362</v>
      </c>
      <c r="M167" s="525">
        <f>+DATA!I163</f>
        <v>127864814679</v>
      </c>
      <c r="N167" s="525">
        <f>+DATA!J163</f>
        <v>329525520040</v>
      </c>
      <c r="O167" s="773">
        <f t="shared" si="49"/>
        <v>0.56974827730957311</v>
      </c>
      <c r="P167" s="774" t="str">
        <f t="shared" si="50"/>
        <v>SI</v>
      </c>
      <c r="Q167" s="771">
        <f t="shared" si="42"/>
        <v>1.1999959572E-3</v>
      </c>
      <c r="R167" s="771">
        <f t="shared" si="43"/>
        <v>1.7204273244E-3</v>
      </c>
      <c r="S167" s="771">
        <f t="shared" si="44"/>
        <v>5.1612819730000004E-4</v>
      </c>
      <c r="T167" s="525">
        <f>+DATA!K163</f>
        <v>0</v>
      </c>
      <c r="U167" s="525">
        <f>+DATA!L163</f>
        <v>0</v>
      </c>
      <c r="V167" s="525">
        <f>+DATA!M163</f>
        <v>1095892</v>
      </c>
      <c r="W167" s="526">
        <f t="shared" si="45"/>
        <v>1095892</v>
      </c>
      <c r="X167" s="526">
        <f t="shared" si="51"/>
        <v>1095892</v>
      </c>
      <c r="Y167" s="526">
        <f t="shared" si="52"/>
        <v>1095892</v>
      </c>
      <c r="Z167" s="525">
        <f>+DATA!F163</f>
        <v>177523.90985480984</v>
      </c>
      <c r="AA167" s="525">
        <f>IF(P167="SI",ROUND(Z167/DIV_Pf,PARAMETROS!$L$8),0)</f>
        <v>14794</v>
      </c>
      <c r="AB167" s="526">
        <f t="shared" si="53"/>
        <v>37747</v>
      </c>
      <c r="AC167" s="775">
        <f t="shared" si="54"/>
        <v>29.03</v>
      </c>
      <c r="AD167" s="525">
        <f>IF(AC167&lt;$AC$6,ROUND(($AC$6-AC167)*AB167,PARAMETROS!$L$8),0)</f>
        <v>2849521</v>
      </c>
      <c r="AE167" s="771">
        <f t="shared" si="46"/>
        <v>2.7350271984000001E-3</v>
      </c>
      <c r="AF167" s="771">
        <f t="shared" si="47"/>
        <v>9.5725951940000002E-4</v>
      </c>
      <c r="AG167" s="771">
        <f t="shared" si="55"/>
        <v>2.3911340834999999E-3</v>
      </c>
      <c r="AH167" s="525">
        <f>+DATA!Q163</f>
        <v>4275563.6359999999</v>
      </c>
      <c r="AI167" s="525">
        <f>+DATA!R163</f>
        <v>356296.96966666664</v>
      </c>
      <c r="AJ167" s="525">
        <f>+DATA!S163</f>
        <v>281475</v>
      </c>
      <c r="AK167" s="525">
        <f>+'_DATA STT PAGOS_'!G165</f>
        <v>0</v>
      </c>
      <c r="AL167" s="525">
        <f>+'_DATA STT PAGOS_'!J165</f>
        <v>5802088.1219999995</v>
      </c>
      <c r="AM167" s="525">
        <f>+DATA!Y163</f>
        <v>45613</v>
      </c>
      <c r="AN167" s="525">
        <f>+DATA!Z163</f>
        <v>42521</v>
      </c>
      <c r="AO167" s="525">
        <f>+DATA!AA163</f>
        <v>50642</v>
      </c>
      <c r="AP167" s="525">
        <f>+DATA!AB163</f>
        <v>13528</v>
      </c>
      <c r="AQ167" s="525">
        <f>+DATA!AC163</f>
        <v>152304</v>
      </c>
      <c r="AR167" s="525">
        <f>+DATA!AD163</f>
        <v>0</v>
      </c>
      <c r="AS167" s="525">
        <f>+DATA!AE163</f>
        <v>0</v>
      </c>
      <c r="AT167" s="525">
        <f>+DATA!AF163</f>
        <v>0</v>
      </c>
      <c r="AU167" s="525">
        <f>+DATA!AG163</f>
        <v>0</v>
      </c>
      <c r="AV167" s="525">
        <f>+DATA!AH163</f>
        <v>0</v>
      </c>
    </row>
    <row r="168" spans="1:48" x14ac:dyDescent="0.25">
      <c r="A168" s="527">
        <v>8207</v>
      </c>
      <c r="B168" s="527">
        <v>8307</v>
      </c>
      <c r="C168" s="527" t="s">
        <v>31</v>
      </c>
      <c r="D168" s="771">
        <f t="shared" si="38"/>
        <v>2.8901734103999998E-3</v>
      </c>
      <c r="E168" s="771">
        <f t="shared" si="39"/>
        <v>7.2254335259999995E-4</v>
      </c>
      <c r="F168" s="525">
        <f>+DATA!D164</f>
        <v>11105</v>
      </c>
      <c r="G168" s="772">
        <f>+DATA!E164</f>
        <v>0.20081242989444059</v>
      </c>
      <c r="H168" s="525">
        <f t="shared" si="48"/>
        <v>2230</v>
      </c>
      <c r="I168" s="771">
        <f t="shared" si="40"/>
        <v>1.7077391984E-3</v>
      </c>
      <c r="J168" s="771">
        <f t="shared" si="41"/>
        <v>1.7077391980000001E-4</v>
      </c>
      <c r="K168" s="525">
        <f>+DATA!G164</f>
        <v>4797</v>
      </c>
      <c r="L168" s="525">
        <f>+DATA!H164</f>
        <v>5401</v>
      </c>
      <c r="M168" s="525">
        <f>+DATA!I164</f>
        <v>87007736820</v>
      </c>
      <c r="N168" s="525">
        <f>+DATA!J164</f>
        <v>156541641283</v>
      </c>
      <c r="O168" s="773">
        <f t="shared" si="49"/>
        <v>0.70260585612617088</v>
      </c>
      <c r="P168" s="774" t="str">
        <f t="shared" si="50"/>
        <v>SI</v>
      </c>
      <c r="Q168" s="771">
        <f t="shared" si="42"/>
        <v>7.8031206470000004E-4</v>
      </c>
      <c r="R168" s="771">
        <f t="shared" si="43"/>
        <v>1.1187289337E-3</v>
      </c>
      <c r="S168" s="771">
        <f t="shared" si="44"/>
        <v>3.3561868010000001E-4</v>
      </c>
      <c r="T168" s="525">
        <f>+DATA!K164</f>
        <v>0</v>
      </c>
      <c r="U168" s="525">
        <f>+DATA!L164</f>
        <v>0</v>
      </c>
      <c r="V168" s="525">
        <f>+DATA!M164</f>
        <v>524180</v>
      </c>
      <c r="W168" s="526">
        <f t="shared" si="45"/>
        <v>524180</v>
      </c>
      <c r="X168" s="526">
        <f t="shared" si="51"/>
        <v>524180</v>
      </c>
      <c r="Y168" s="526">
        <f t="shared" si="52"/>
        <v>524180</v>
      </c>
      <c r="Z168" s="525">
        <f>+DATA!F164</f>
        <v>224979.82797015502</v>
      </c>
      <c r="AA168" s="525">
        <f>IF(P168="SI",ROUND(Z168/DIV_Pf,PARAMETROS!$L$8),0)</f>
        <v>18748</v>
      </c>
      <c r="AB168" s="526">
        <f t="shared" si="53"/>
        <v>29853</v>
      </c>
      <c r="AC168" s="775">
        <f t="shared" si="54"/>
        <v>17.559999999999999</v>
      </c>
      <c r="AD168" s="525">
        <f>IF(AC168&lt;$AC$6,ROUND(($AC$6-AC168)*AB168,PARAMETROS!$L$8),0)</f>
        <v>2596017</v>
      </c>
      <c r="AE168" s="771">
        <f t="shared" si="46"/>
        <v>2.4917089933999999E-3</v>
      </c>
      <c r="AF168" s="771">
        <f t="shared" si="47"/>
        <v>8.7209814769999999E-4</v>
      </c>
      <c r="AG168" s="771">
        <f t="shared" si="55"/>
        <v>2.1010341002000001E-3</v>
      </c>
      <c r="AH168" s="525">
        <f>+DATA!Q164</f>
        <v>3569508.9929999998</v>
      </c>
      <c r="AI168" s="525">
        <f>+DATA!R164</f>
        <v>297459.08275</v>
      </c>
      <c r="AJ168" s="525">
        <f>+DATA!S164</f>
        <v>234993</v>
      </c>
      <c r="AK168" s="525">
        <f>+'_DATA STT PAGOS_'!G166</f>
        <v>0</v>
      </c>
      <c r="AL168" s="525">
        <f>+'_DATA STT PAGOS_'!J166</f>
        <v>4843905.6669999994</v>
      </c>
      <c r="AM168" s="525">
        <f>+DATA!Y164</f>
        <v>12392</v>
      </c>
      <c r="AN168" s="525">
        <f>+DATA!Z164</f>
        <v>9864</v>
      </c>
      <c r="AO168" s="525">
        <f>+DATA!AA164</f>
        <v>11079</v>
      </c>
      <c r="AP168" s="525">
        <f>+DATA!AB164</f>
        <v>12914</v>
      </c>
      <c r="AQ168" s="525">
        <f>+DATA!AC164</f>
        <v>46249</v>
      </c>
      <c r="AR168" s="525">
        <f>+DATA!AD164</f>
        <v>320</v>
      </c>
      <c r="AS168" s="525">
        <f>+DATA!AE164</f>
        <v>0</v>
      </c>
      <c r="AT168" s="525">
        <f>+DATA!AF164</f>
        <v>210.74</v>
      </c>
      <c r="AU168" s="525">
        <f>+DATA!AG164</f>
        <v>296</v>
      </c>
      <c r="AV168" s="525">
        <f>+DATA!AH164</f>
        <v>826.74</v>
      </c>
    </row>
    <row r="169" spans="1:48" x14ac:dyDescent="0.25">
      <c r="A169" s="527">
        <v>8301</v>
      </c>
      <c r="B169" s="527">
        <v>8401</v>
      </c>
      <c r="C169" s="527" t="s">
        <v>32</v>
      </c>
      <c r="D169" s="771">
        <f t="shared" si="38"/>
        <v>2.8901734103999998E-3</v>
      </c>
      <c r="E169" s="771">
        <f t="shared" si="39"/>
        <v>7.2254335259999995E-4</v>
      </c>
      <c r="F169" s="525">
        <f>+DATA!D165</f>
        <v>223751</v>
      </c>
      <c r="G169" s="772">
        <f>+DATA!E165</f>
        <v>8.4530322242590508E-2</v>
      </c>
      <c r="H169" s="525">
        <f t="shared" si="48"/>
        <v>18914</v>
      </c>
      <c r="I169" s="771">
        <f t="shared" si="40"/>
        <v>1.44843852905E-2</v>
      </c>
      <c r="J169" s="771">
        <f t="shared" si="41"/>
        <v>1.4484385290999999E-3</v>
      </c>
      <c r="K169" s="525">
        <f>+DATA!G165</f>
        <v>73464</v>
      </c>
      <c r="L169" s="525">
        <f>+DATA!H165</f>
        <v>101252</v>
      </c>
      <c r="M169" s="525">
        <f>+DATA!I165</f>
        <v>1861937801417</v>
      </c>
      <c r="N169" s="525">
        <f>+DATA!J165</f>
        <v>4615743594349</v>
      </c>
      <c r="O169" s="773">
        <f t="shared" si="49"/>
        <v>0.54099995274636092</v>
      </c>
      <c r="P169" s="774" t="str">
        <f t="shared" si="50"/>
        <v>SI</v>
      </c>
      <c r="Q169" s="771">
        <f t="shared" si="42"/>
        <v>9.7622200814999997E-3</v>
      </c>
      <c r="R169" s="771">
        <f t="shared" si="43"/>
        <v>1.39960389655E-2</v>
      </c>
      <c r="S169" s="771">
        <f t="shared" si="44"/>
        <v>4.1988116896999996E-3</v>
      </c>
      <c r="T169" s="525">
        <f>+DATA!K165</f>
        <v>0</v>
      </c>
      <c r="U169" s="525">
        <f>+DATA!L165</f>
        <v>0</v>
      </c>
      <c r="V169" s="525">
        <f>+DATA!M165</f>
        <v>23319793</v>
      </c>
      <c r="W169" s="526">
        <f t="shared" si="45"/>
        <v>23319793</v>
      </c>
      <c r="X169" s="526">
        <f t="shared" si="51"/>
        <v>23319793</v>
      </c>
      <c r="Y169" s="526">
        <f t="shared" si="52"/>
        <v>23319793</v>
      </c>
      <c r="Z169" s="525">
        <f>+DATA!F165</f>
        <v>2116584.1356246797</v>
      </c>
      <c r="AA169" s="525">
        <f>IF(P169="SI",ROUND(Z169/DIV_Pf,PARAMETROS!$L$8),0)</f>
        <v>176382</v>
      </c>
      <c r="AB169" s="526">
        <f t="shared" si="53"/>
        <v>400133</v>
      </c>
      <c r="AC169" s="775">
        <f t="shared" si="54"/>
        <v>58.28</v>
      </c>
      <c r="AD169" s="525">
        <f>IF(AC169&lt;$AC$6,ROUND(($AC$6-AC169)*AB169,PARAMETROS!$L$8),0)</f>
        <v>18502150</v>
      </c>
      <c r="AE169" s="771">
        <f t="shared" si="46"/>
        <v>1.7758733302699999E-2</v>
      </c>
      <c r="AF169" s="771">
        <f t="shared" si="47"/>
        <v>6.2155566558999998E-3</v>
      </c>
      <c r="AG169" s="771">
        <f t="shared" si="55"/>
        <v>1.25853502273E-2</v>
      </c>
      <c r="AH169" s="525">
        <f>+DATA!Q165</f>
        <v>22073516.274</v>
      </c>
      <c r="AI169" s="525">
        <f>+DATA!R165</f>
        <v>1839459.6895000001</v>
      </c>
      <c r="AJ169" s="525">
        <f>+DATA!S165</f>
        <v>1453173</v>
      </c>
      <c r="AK169" s="525">
        <f>+'_DATA STT PAGOS_'!G167</f>
        <v>0</v>
      </c>
      <c r="AL169" s="525">
        <f>+'_DATA STT PAGOS_'!J167</f>
        <v>29951667.398000002</v>
      </c>
      <c r="AM169" s="525">
        <f>+DATA!Y165</f>
        <v>1134892</v>
      </c>
      <c r="AN169" s="525">
        <f>+DATA!Z165</f>
        <v>832808</v>
      </c>
      <c r="AO169" s="525">
        <f>+DATA!AA165</f>
        <v>987327</v>
      </c>
      <c r="AP169" s="525">
        <f>+DATA!AB165</f>
        <v>815164</v>
      </c>
      <c r="AQ169" s="525">
        <f>+DATA!AC165</f>
        <v>3770191</v>
      </c>
      <c r="AR169" s="525">
        <f>+DATA!AD165</f>
        <v>65117</v>
      </c>
      <c r="AS169" s="525">
        <f>+DATA!AE165</f>
        <v>32979</v>
      </c>
      <c r="AT169" s="525">
        <f>+DATA!AF165</f>
        <v>43002.595000000001</v>
      </c>
      <c r="AU169" s="525">
        <f>+DATA!AG165</f>
        <v>30978</v>
      </c>
      <c r="AV169" s="525">
        <f>+DATA!AH165</f>
        <v>172076.595</v>
      </c>
    </row>
    <row r="170" spans="1:48" x14ac:dyDescent="0.25">
      <c r="A170" s="527">
        <v>8302</v>
      </c>
      <c r="B170" s="527">
        <v>8413</v>
      </c>
      <c r="C170" s="527" t="s">
        <v>206</v>
      </c>
      <c r="D170" s="771">
        <f t="shared" si="38"/>
        <v>2.8901734103999998E-3</v>
      </c>
      <c r="E170" s="771">
        <f t="shared" si="39"/>
        <v>7.2254335259999995E-4</v>
      </c>
      <c r="F170" s="525">
        <f>+DATA!D166</f>
        <v>4325</v>
      </c>
      <c r="G170" s="772">
        <f>+DATA!E166</f>
        <v>0.14451539562312429</v>
      </c>
      <c r="H170" s="525">
        <f t="shared" si="48"/>
        <v>625</v>
      </c>
      <c r="I170" s="771">
        <f t="shared" si="40"/>
        <v>4.7862645689999999E-4</v>
      </c>
      <c r="J170" s="771">
        <f t="shared" si="41"/>
        <v>4.7862645700000003E-5</v>
      </c>
      <c r="K170" s="525">
        <f>+DATA!G166</f>
        <v>2581</v>
      </c>
      <c r="L170" s="525">
        <f>+DATA!H166</f>
        <v>3604</v>
      </c>
      <c r="M170" s="525">
        <f>+DATA!I166</f>
        <v>49790345418</v>
      </c>
      <c r="N170" s="525">
        <f>+DATA!J166</f>
        <v>117068123980</v>
      </c>
      <c r="O170" s="773">
        <f t="shared" si="49"/>
        <v>0.55189295631070412</v>
      </c>
      <c r="P170" s="774" t="str">
        <f t="shared" si="50"/>
        <v>SI</v>
      </c>
      <c r="Q170" s="771">
        <f t="shared" si="42"/>
        <v>3.3852776099999997E-4</v>
      </c>
      <c r="R170" s="771">
        <f t="shared" si="43"/>
        <v>4.853453102E-4</v>
      </c>
      <c r="S170" s="771">
        <f t="shared" si="44"/>
        <v>1.456035931E-4</v>
      </c>
      <c r="T170" s="525">
        <f>+DATA!K166</f>
        <v>0</v>
      </c>
      <c r="U170" s="525">
        <f>+DATA!L166</f>
        <v>0</v>
      </c>
      <c r="V170" s="525">
        <f>+DATA!M166</f>
        <v>612549</v>
      </c>
      <c r="W170" s="526">
        <f t="shared" si="45"/>
        <v>612549</v>
      </c>
      <c r="X170" s="526">
        <f t="shared" si="51"/>
        <v>612549</v>
      </c>
      <c r="Y170" s="526">
        <f t="shared" si="52"/>
        <v>612549</v>
      </c>
      <c r="Z170" s="525">
        <f>+DATA!F166</f>
        <v>172494.0867272169</v>
      </c>
      <c r="AA170" s="525">
        <f>IF(P170="SI",ROUND(Z170/DIV_Pf,PARAMETROS!$L$8),0)</f>
        <v>14375</v>
      </c>
      <c r="AB170" s="526">
        <f t="shared" si="53"/>
        <v>18700</v>
      </c>
      <c r="AC170" s="775">
        <f t="shared" si="54"/>
        <v>32.76</v>
      </c>
      <c r="AD170" s="525">
        <f>IF(AC170&lt;$AC$6,ROUND(($AC$6-AC170)*AB170,PARAMETROS!$L$8),0)</f>
        <v>1341912</v>
      </c>
      <c r="AE170" s="771">
        <f t="shared" si="46"/>
        <v>1.2879939533E-3</v>
      </c>
      <c r="AF170" s="771">
        <f t="shared" si="47"/>
        <v>4.5079788370000002E-4</v>
      </c>
      <c r="AG170" s="771">
        <f t="shared" si="55"/>
        <v>1.3668074751E-3</v>
      </c>
      <c r="AH170" s="525">
        <f>+DATA!Q166</f>
        <v>3361477.7740000002</v>
      </c>
      <c r="AI170" s="525">
        <f>+DATA!R166</f>
        <v>280123.14783333335</v>
      </c>
      <c r="AJ170" s="525">
        <f>+DATA!S166</f>
        <v>221297</v>
      </c>
      <c r="AK170" s="525">
        <f>+'_DATA STT PAGOS_'!G168</f>
        <v>0</v>
      </c>
      <c r="AL170" s="525">
        <f>+'_DATA STT PAGOS_'!J168</f>
        <v>4561602.5260000005</v>
      </c>
      <c r="AM170" s="525">
        <f>+DATA!Y166</f>
        <v>15688</v>
      </c>
      <c r="AN170" s="525">
        <f>+DATA!Z166</f>
        <v>11543</v>
      </c>
      <c r="AO170" s="525">
        <f>+DATA!AA166</f>
        <v>13745</v>
      </c>
      <c r="AP170" s="525">
        <f>+DATA!AB166</f>
        <v>12425</v>
      </c>
      <c r="AQ170" s="525">
        <f>+DATA!AC166</f>
        <v>53401</v>
      </c>
      <c r="AR170" s="525">
        <f>+DATA!AD166</f>
        <v>787</v>
      </c>
      <c r="AS170" s="525">
        <f>+DATA!AE166</f>
        <v>292</v>
      </c>
      <c r="AT170" s="525">
        <f>+DATA!AF166</f>
        <v>458.90600000000001</v>
      </c>
      <c r="AU170" s="525">
        <f>+DATA!AG166</f>
        <v>313</v>
      </c>
      <c r="AV170" s="525">
        <f>+DATA!AH166</f>
        <v>1850.9059999999999</v>
      </c>
    </row>
    <row r="171" spans="1:48" x14ac:dyDescent="0.25">
      <c r="A171" s="527">
        <v>8303</v>
      </c>
      <c r="B171" s="527">
        <v>8410</v>
      </c>
      <c r="C171" s="527" t="s">
        <v>203</v>
      </c>
      <c r="D171" s="771">
        <f t="shared" si="38"/>
        <v>2.8901734103999998E-3</v>
      </c>
      <c r="E171" s="771">
        <f t="shared" si="39"/>
        <v>7.2254335259999995E-4</v>
      </c>
      <c r="F171" s="525">
        <f>+DATA!D167</f>
        <v>31102</v>
      </c>
      <c r="G171" s="772">
        <f>+DATA!E167</f>
        <v>0.1035195465766158</v>
      </c>
      <c r="H171" s="525">
        <f t="shared" si="48"/>
        <v>3220</v>
      </c>
      <c r="I171" s="771">
        <f t="shared" si="40"/>
        <v>2.4658835060999999E-3</v>
      </c>
      <c r="J171" s="771">
        <f t="shared" si="41"/>
        <v>2.4658835059999999E-4</v>
      </c>
      <c r="K171" s="525">
        <f>+DATA!G167</f>
        <v>12463</v>
      </c>
      <c r="L171" s="525">
        <f>+DATA!H167</f>
        <v>16348</v>
      </c>
      <c r="M171" s="525">
        <f>+DATA!I167</f>
        <v>191823517511</v>
      </c>
      <c r="N171" s="525">
        <f>+DATA!J167</f>
        <v>600722784408</v>
      </c>
      <c r="O171" s="773">
        <f t="shared" si="49"/>
        <v>0.49339285505482883</v>
      </c>
      <c r="P171" s="774" t="str">
        <f t="shared" si="50"/>
        <v>SI</v>
      </c>
      <c r="Q171" s="771">
        <f t="shared" si="42"/>
        <v>1.7401377281000001E-3</v>
      </c>
      <c r="R171" s="771">
        <f t="shared" si="43"/>
        <v>2.4948254848000001E-3</v>
      </c>
      <c r="S171" s="771">
        <f t="shared" si="44"/>
        <v>7.484476454E-4</v>
      </c>
      <c r="T171" s="525">
        <f>+DATA!K167</f>
        <v>0</v>
      </c>
      <c r="U171" s="525">
        <f>+DATA!L167</f>
        <v>0</v>
      </c>
      <c r="V171" s="525">
        <f>+DATA!M167</f>
        <v>2862167</v>
      </c>
      <c r="W171" s="526">
        <f t="shared" si="45"/>
        <v>2862167</v>
      </c>
      <c r="X171" s="526">
        <f t="shared" si="51"/>
        <v>2862167</v>
      </c>
      <c r="Y171" s="526">
        <f t="shared" si="52"/>
        <v>2862167</v>
      </c>
      <c r="Z171" s="525">
        <f>+DATA!F167</f>
        <v>639092.08449291857</v>
      </c>
      <c r="AA171" s="525">
        <f>IF(P171="SI",ROUND(Z171/DIV_Pf,PARAMETROS!$L$8),0)</f>
        <v>53258</v>
      </c>
      <c r="AB171" s="526">
        <f t="shared" si="53"/>
        <v>84360</v>
      </c>
      <c r="AC171" s="775">
        <f t="shared" si="54"/>
        <v>33.93</v>
      </c>
      <c r="AD171" s="525">
        <f>IF(AC171&lt;$AC$6,ROUND(($AC$6-AC171)*AB171,PARAMETROS!$L$8),0)</f>
        <v>5954972</v>
      </c>
      <c r="AE171" s="771">
        <f t="shared" si="46"/>
        <v>5.7157011251999998E-3</v>
      </c>
      <c r="AF171" s="771">
        <f t="shared" si="47"/>
        <v>2.0004953938000001E-3</v>
      </c>
      <c r="AG171" s="771">
        <f t="shared" si="55"/>
        <v>3.7180747424E-3</v>
      </c>
      <c r="AH171" s="525">
        <f>+DATA!Q167</f>
        <v>7366208.1189999999</v>
      </c>
      <c r="AI171" s="525">
        <f>+DATA!R167</f>
        <v>613850.67658333329</v>
      </c>
      <c r="AJ171" s="525">
        <f>+DATA!S167</f>
        <v>484942</v>
      </c>
      <c r="AK171" s="525">
        <f>+'_DATA STT PAGOS_'!G169</f>
        <v>0</v>
      </c>
      <c r="AL171" s="525">
        <f>+'_DATA STT PAGOS_'!J169</f>
        <v>9996113.5669999998</v>
      </c>
      <c r="AM171" s="525">
        <f>+DATA!Y167</f>
        <v>132968</v>
      </c>
      <c r="AN171" s="525">
        <f>+DATA!Z167</f>
        <v>110291</v>
      </c>
      <c r="AO171" s="525">
        <f>+DATA!AA167</f>
        <v>121221</v>
      </c>
      <c r="AP171" s="525">
        <f>+DATA!AB167</f>
        <v>122013</v>
      </c>
      <c r="AQ171" s="525">
        <f>+DATA!AC167</f>
        <v>486493</v>
      </c>
      <c r="AR171" s="525">
        <f>+DATA!AD167</f>
        <v>2436</v>
      </c>
      <c r="AS171" s="525">
        <f>+DATA!AE167</f>
        <v>712</v>
      </c>
      <c r="AT171" s="525">
        <f>+DATA!AF167</f>
        <v>1260.028</v>
      </c>
      <c r="AU171" s="525">
        <f>+DATA!AG167</f>
        <v>1475</v>
      </c>
      <c r="AV171" s="525">
        <f>+DATA!AH167</f>
        <v>5883.0280000000002</v>
      </c>
    </row>
    <row r="172" spans="1:48" x14ac:dyDescent="0.25">
      <c r="A172" s="527">
        <v>8304</v>
      </c>
      <c r="B172" s="527">
        <v>8403</v>
      </c>
      <c r="C172" s="527" t="s">
        <v>197</v>
      </c>
      <c r="D172" s="771">
        <f t="shared" si="38"/>
        <v>2.8901734103999998E-3</v>
      </c>
      <c r="E172" s="771">
        <f t="shared" si="39"/>
        <v>7.2254335259999995E-4</v>
      </c>
      <c r="F172" s="525">
        <f>+DATA!D168</f>
        <v>23921</v>
      </c>
      <c r="G172" s="772">
        <f>+DATA!E168</f>
        <v>0.1126259380668065</v>
      </c>
      <c r="H172" s="525">
        <f t="shared" si="48"/>
        <v>2694</v>
      </c>
      <c r="I172" s="771">
        <f t="shared" si="40"/>
        <v>2.0630714799999999E-3</v>
      </c>
      <c r="J172" s="771">
        <f t="shared" si="41"/>
        <v>2.0630714800000001E-4</v>
      </c>
      <c r="K172" s="525">
        <f>+DATA!G168</f>
        <v>10546</v>
      </c>
      <c r="L172" s="525">
        <f>+DATA!H168</f>
        <v>11912</v>
      </c>
      <c r="M172" s="525">
        <f>+DATA!I168</f>
        <v>142954255028</v>
      </c>
      <c r="N172" s="525">
        <f>+DATA!J168</f>
        <v>329896428137</v>
      </c>
      <c r="O172" s="773">
        <f t="shared" si="49"/>
        <v>0.61938584740389413</v>
      </c>
      <c r="P172" s="774" t="str">
        <f t="shared" si="50"/>
        <v>SI</v>
      </c>
      <c r="Q172" s="771">
        <f t="shared" si="42"/>
        <v>1.7099913414E-3</v>
      </c>
      <c r="R172" s="771">
        <f t="shared" si="43"/>
        <v>2.4516047829999999E-3</v>
      </c>
      <c r="S172" s="771">
        <f t="shared" si="44"/>
        <v>7.3548143489999998E-4</v>
      </c>
      <c r="T172" s="525">
        <f>+DATA!K168</f>
        <v>0</v>
      </c>
      <c r="U172" s="525">
        <f>+DATA!L168</f>
        <v>0</v>
      </c>
      <c r="V172" s="525">
        <f>+DATA!M168</f>
        <v>2410550</v>
      </c>
      <c r="W172" s="526">
        <f t="shared" si="45"/>
        <v>2410550</v>
      </c>
      <c r="X172" s="526">
        <f t="shared" si="51"/>
        <v>2410550</v>
      </c>
      <c r="Y172" s="526">
        <f t="shared" si="52"/>
        <v>2410550</v>
      </c>
      <c r="Z172" s="525">
        <f>+DATA!F168</f>
        <v>336689.26126602088</v>
      </c>
      <c r="AA172" s="525">
        <f>IF(P172="SI",ROUND(Z172/DIV_Pf,PARAMETROS!$L$8),0)</f>
        <v>28057</v>
      </c>
      <c r="AB172" s="526">
        <f t="shared" si="53"/>
        <v>51978</v>
      </c>
      <c r="AC172" s="775">
        <f t="shared" si="54"/>
        <v>46.38</v>
      </c>
      <c r="AD172" s="525">
        <f>IF(AC172&lt;$AC$6,ROUND(($AC$6-AC172)*AB172,PARAMETROS!$L$8),0)</f>
        <v>3022001</v>
      </c>
      <c r="AE172" s="771">
        <f t="shared" si="46"/>
        <v>2.9005769491000002E-3</v>
      </c>
      <c r="AF172" s="771">
        <f t="shared" si="47"/>
        <v>1.0152019322E-3</v>
      </c>
      <c r="AG172" s="771">
        <f t="shared" si="55"/>
        <v>2.6795338677E-3</v>
      </c>
      <c r="AH172" s="525">
        <f>+DATA!Q168</f>
        <v>4797427.2120000003</v>
      </c>
      <c r="AI172" s="525">
        <f>+DATA!R168</f>
        <v>399785.60100000002</v>
      </c>
      <c r="AJ172" s="525">
        <f>+DATA!S168</f>
        <v>315831</v>
      </c>
      <c r="AK172" s="525">
        <f>+'_DATA STT PAGOS_'!G170</f>
        <v>0</v>
      </c>
      <c r="AL172" s="525">
        <f>+'_DATA STT PAGOS_'!J170</f>
        <v>6513451.2690000003</v>
      </c>
      <c r="AM172" s="525">
        <f>+DATA!Y168</f>
        <v>70293</v>
      </c>
      <c r="AN172" s="525">
        <f>+DATA!Z168</f>
        <v>57182</v>
      </c>
      <c r="AO172" s="525">
        <f>+DATA!AA168</f>
        <v>62116</v>
      </c>
      <c r="AP172" s="525">
        <f>+DATA!AB168</f>
        <v>57782</v>
      </c>
      <c r="AQ172" s="525">
        <f>+DATA!AC168</f>
        <v>247373</v>
      </c>
      <c r="AR172" s="525">
        <f>+DATA!AD168</f>
        <v>1081</v>
      </c>
      <c r="AS172" s="525">
        <f>+DATA!AE168</f>
        <v>652</v>
      </c>
      <c r="AT172" s="525">
        <f>+DATA!AF168</f>
        <v>626.73099999999999</v>
      </c>
      <c r="AU172" s="525">
        <f>+DATA!AG168</f>
        <v>594</v>
      </c>
      <c r="AV172" s="525">
        <f>+DATA!AH168</f>
        <v>2953.7309999999998</v>
      </c>
    </row>
    <row r="173" spans="1:48" x14ac:dyDescent="0.25">
      <c r="A173" s="527">
        <v>8305</v>
      </c>
      <c r="B173" s="527">
        <v>8407</v>
      </c>
      <c r="C173" s="527" t="s">
        <v>398</v>
      </c>
      <c r="D173" s="771">
        <f t="shared" si="38"/>
        <v>2.8901734103999998E-3</v>
      </c>
      <c r="E173" s="771">
        <f t="shared" si="39"/>
        <v>7.2254335259999995E-4</v>
      </c>
      <c r="F173" s="525">
        <f>+DATA!D169</f>
        <v>31122</v>
      </c>
      <c r="G173" s="772">
        <f>+DATA!E169</f>
        <v>0.1216238491587788</v>
      </c>
      <c r="H173" s="525">
        <f t="shared" si="48"/>
        <v>3785</v>
      </c>
      <c r="I173" s="771">
        <f t="shared" si="40"/>
        <v>2.8985618231999999E-3</v>
      </c>
      <c r="J173" s="771">
        <f t="shared" si="41"/>
        <v>2.8985618229999998E-4</v>
      </c>
      <c r="K173" s="525">
        <f>+DATA!G169</f>
        <v>10318</v>
      </c>
      <c r="L173" s="525">
        <f>+DATA!H169</f>
        <v>12946</v>
      </c>
      <c r="M173" s="525">
        <f>+DATA!I169</f>
        <v>162589439015</v>
      </c>
      <c r="N173" s="525">
        <f>+DATA!J169</f>
        <v>861157154136</v>
      </c>
      <c r="O173" s="773">
        <f t="shared" si="49"/>
        <v>0.3879135230440855</v>
      </c>
      <c r="P173" s="774" t="str">
        <f t="shared" si="50"/>
        <v>NO</v>
      </c>
      <c r="Q173" s="771">
        <f t="shared" si="42"/>
        <v>1.5061162923E-3</v>
      </c>
      <c r="R173" s="771">
        <f t="shared" si="43"/>
        <v>2.1593102939E-3</v>
      </c>
      <c r="S173" s="771">
        <f t="shared" si="44"/>
        <v>6.4779308819999995E-4</v>
      </c>
      <c r="T173" s="525">
        <f>+DATA!K169</f>
        <v>0</v>
      </c>
      <c r="U173" s="525">
        <f>+DATA!L169</f>
        <v>0</v>
      </c>
      <c r="V173" s="525">
        <f>+DATA!M169</f>
        <v>2526858</v>
      </c>
      <c r="W173" s="526">
        <f t="shared" si="45"/>
        <v>2526858</v>
      </c>
      <c r="X173" s="526">
        <f t="shared" si="51"/>
        <v>2526858</v>
      </c>
      <c r="Y173" s="526">
        <f t="shared" si="52"/>
        <v>2526858</v>
      </c>
      <c r="Z173" s="525">
        <f>+DATA!F169</f>
        <v>278163.10153540078</v>
      </c>
      <c r="AA173" s="525">
        <f>IF(P173="SI",ROUND(Z173/DIV_Pf,PARAMETROS!$L$8),0)</f>
        <v>0</v>
      </c>
      <c r="AB173" s="526">
        <f t="shared" si="53"/>
        <v>31122</v>
      </c>
      <c r="AC173" s="775">
        <f t="shared" si="54"/>
        <v>81.19</v>
      </c>
      <c r="AD173" s="525">
        <f>IF(AC173&lt;$AC$6,ROUND(($AC$6-AC173)*AB173,PARAMETROS!$L$8),0)</f>
        <v>726076</v>
      </c>
      <c r="AE173" s="771">
        <f t="shared" si="46"/>
        <v>6.9690225410000005E-4</v>
      </c>
      <c r="AF173" s="771">
        <f t="shared" si="47"/>
        <v>2.439157889E-4</v>
      </c>
      <c r="AG173" s="771">
        <f t="shared" si="55"/>
        <v>1.9041084119999999E-3</v>
      </c>
      <c r="AH173" s="525">
        <f>+DATA!Q169</f>
        <v>4046976.179</v>
      </c>
      <c r="AI173" s="525">
        <f>+DATA!R169</f>
        <v>337248.01491666667</v>
      </c>
      <c r="AJ173" s="525">
        <f>+DATA!S169</f>
        <v>266426</v>
      </c>
      <c r="AK173" s="525">
        <f>+'_DATA STT PAGOS_'!G171</f>
        <v>0</v>
      </c>
      <c r="AL173" s="525">
        <f>+'_DATA STT PAGOS_'!J171</f>
        <v>5491839.6009999998</v>
      </c>
      <c r="AM173" s="525">
        <f>+DATA!Y169</f>
        <v>164914</v>
      </c>
      <c r="AN173" s="525">
        <f>+DATA!Z169</f>
        <v>156458</v>
      </c>
      <c r="AO173" s="525">
        <f>+DATA!AA169</f>
        <v>168296</v>
      </c>
      <c r="AP173" s="525">
        <f>+DATA!AB169</f>
        <v>152319</v>
      </c>
      <c r="AQ173" s="525">
        <f>+DATA!AC169</f>
        <v>641987</v>
      </c>
      <c r="AR173" s="525">
        <f>+DATA!AD169</f>
        <v>998</v>
      </c>
      <c r="AS173" s="525">
        <f>+DATA!AE169</f>
        <v>845</v>
      </c>
      <c r="AT173" s="525">
        <f>+DATA!AF169</f>
        <v>1612.3219999999999</v>
      </c>
      <c r="AU173" s="525">
        <f>+DATA!AG169</f>
        <v>1453</v>
      </c>
      <c r="AV173" s="525">
        <f>+DATA!AH169</f>
        <v>4908.3220000000001</v>
      </c>
    </row>
    <row r="174" spans="1:48" x14ac:dyDescent="0.25">
      <c r="A174" s="527">
        <v>8306</v>
      </c>
      <c r="B174" s="527">
        <v>8405</v>
      </c>
      <c r="C174" s="527" t="s">
        <v>199</v>
      </c>
      <c r="D174" s="771">
        <f t="shared" si="38"/>
        <v>2.8901734103999998E-3</v>
      </c>
      <c r="E174" s="771">
        <f t="shared" si="39"/>
        <v>7.2254335259999995E-4</v>
      </c>
      <c r="F174" s="525">
        <f>+DATA!D170</f>
        <v>28028</v>
      </c>
      <c r="G174" s="772">
        <f>+DATA!E170</f>
        <v>0.109726027871444</v>
      </c>
      <c r="H174" s="525">
        <f t="shared" si="48"/>
        <v>3075</v>
      </c>
      <c r="I174" s="771">
        <f t="shared" si="40"/>
        <v>2.3548421680999999E-3</v>
      </c>
      <c r="J174" s="771">
        <f t="shared" si="41"/>
        <v>2.3548421679999999E-4</v>
      </c>
      <c r="K174" s="525">
        <f>+DATA!G170</f>
        <v>11792</v>
      </c>
      <c r="L174" s="525">
        <f>+DATA!H170</f>
        <v>13846</v>
      </c>
      <c r="M174" s="525">
        <f>+DATA!I170</f>
        <v>181335561276</v>
      </c>
      <c r="N174" s="525">
        <f>+DATA!J170</f>
        <v>552528284324</v>
      </c>
      <c r="O174" s="773">
        <f t="shared" si="49"/>
        <v>0.52868355869158357</v>
      </c>
      <c r="P174" s="774" t="str">
        <f t="shared" si="50"/>
        <v>SI</v>
      </c>
      <c r="Q174" s="771">
        <f t="shared" si="42"/>
        <v>1.8393046799E-3</v>
      </c>
      <c r="R174" s="771">
        <f t="shared" si="43"/>
        <v>2.6370005751000002E-3</v>
      </c>
      <c r="S174" s="771">
        <f t="shared" si="44"/>
        <v>7.9110017249999995E-4</v>
      </c>
      <c r="T174" s="525">
        <f>+DATA!K170</f>
        <v>0</v>
      </c>
      <c r="U174" s="525">
        <f>+DATA!L170</f>
        <v>0</v>
      </c>
      <c r="V174" s="525">
        <f>+DATA!M170</f>
        <v>2880602</v>
      </c>
      <c r="W174" s="526">
        <f t="shared" si="45"/>
        <v>2880602</v>
      </c>
      <c r="X174" s="526">
        <f t="shared" si="51"/>
        <v>2880602</v>
      </c>
      <c r="Y174" s="526">
        <f t="shared" si="52"/>
        <v>2880602</v>
      </c>
      <c r="Z174" s="525">
        <f>+DATA!F170</f>
        <v>297938.9639939979</v>
      </c>
      <c r="AA174" s="525">
        <f>IF(P174="SI",ROUND(Z174/DIV_Pf,PARAMETROS!$L$8),0)</f>
        <v>24828</v>
      </c>
      <c r="AB174" s="526">
        <f t="shared" si="53"/>
        <v>52856</v>
      </c>
      <c r="AC174" s="775">
        <f t="shared" si="54"/>
        <v>54.5</v>
      </c>
      <c r="AD174" s="525">
        <f>IF(AC174&lt;$AC$6,ROUND(($AC$6-AC174)*AB174,PARAMETROS!$L$8),0)</f>
        <v>2643857</v>
      </c>
      <c r="AE174" s="771">
        <f t="shared" si="46"/>
        <v>2.5376267814000001E-3</v>
      </c>
      <c r="AF174" s="771">
        <f t="shared" si="47"/>
        <v>8.8816937349999998E-4</v>
      </c>
      <c r="AG174" s="771">
        <f t="shared" si="55"/>
        <v>2.6372971153999997E-3</v>
      </c>
      <c r="AH174" s="525">
        <f>+DATA!Q170</f>
        <v>4485738.7089999998</v>
      </c>
      <c r="AI174" s="525">
        <f>+DATA!R170</f>
        <v>373811.5590833333</v>
      </c>
      <c r="AJ174" s="525">
        <f>+DATA!S170</f>
        <v>295311</v>
      </c>
      <c r="AK174" s="525">
        <f>+'_DATA STT PAGOS_'!G172</f>
        <v>0</v>
      </c>
      <c r="AL174" s="525">
        <f>+'_DATA STT PAGOS_'!J172</f>
        <v>6088613.6359999999</v>
      </c>
      <c r="AM174" s="525">
        <f>+DATA!Y170</f>
        <v>183565</v>
      </c>
      <c r="AN174" s="525">
        <f>+DATA!Z170</f>
        <v>141737</v>
      </c>
      <c r="AO174" s="525">
        <f>+DATA!AA170</f>
        <v>150984</v>
      </c>
      <c r="AP174" s="525">
        <f>+DATA!AB170</f>
        <v>102578</v>
      </c>
      <c r="AQ174" s="525">
        <f>+DATA!AC170</f>
        <v>578864</v>
      </c>
      <c r="AR174" s="525">
        <f>+DATA!AD170</f>
        <v>2974</v>
      </c>
      <c r="AS174" s="525">
        <f>+DATA!AE170</f>
        <v>1693</v>
      </c>
      <c r="AT174" s="525">
        <f>+DATA!AF170</f>
        <v>2235.8850000000002</v>
      </c>
      <c r="AU174" s="525">
        <f>+DATA!AG170</f>
        <v>2291</v>
      </c>
      <c r="AV174" s="525">
        <f>+DATA!AH170</f>
        <v>9193.8850000000002</v>
      </c>
    </row>
    <row r="175" spans="1:48" x14ac:dyDescent="0.25">
      <c r="A175" s="527">
        <v>8307</v>
      </c>
      <c r="B175" s="527">
        <v>8406</v>
      </c>
      <c r="C175" s="527" t="s">
        <v>200</v>
      </c>
      <c r="D175" s="771">
        <f t="shared" si="38"/>
        <v>2.8901734103999998E-3</v>
      </c>
      <c r="E175" s="771">
        <f t="shared" si="39"/>
        <v>7.2254335259999995E-4</v>
      </c>
      <c r="F175" s="525">
        <f>+DATA!D171</f>
        <v>10574</v>
      </c>
      <c r="G175" s="772">
        <f>+DATA!E171</f>
        <v>9.9455475229837678E-2</v>
      </c>
      <c r="H175" s="525">
        <f t="shared" si="48"/>
        <v>1052</v>
      </c>
      <c r="I175" s="771">
        <f t="shared" si="40"/>
        <v>8.0562405229999995E-4</v>
      </c>
      <c r="J175" s="771">
        <f t="shared" si="41"/>
        <v>8.0562405199999997E-5</v>
      </c>
      <c r="K175" s="525">
        <f>+DATA!G171</f>
        <v>3847</v>
      </c>
      <c r="L175" s="525">
        <f>+DATA!H171</f>
        <v>4834</v>
      </c>
      <c r="M175" s="525">
        <f>+DATA!I171</f>
        <v>64940833921</v>
      </c>
      <c r="N175" s="525">
        <f>+DATA!J171</f>
        <v>194454585049</v>
      </c>
      <c r="O175" s="773">
        <f t="shared" si="49"/>
        <v>0.51553434907345563</v>
      </c>
      <c r="P175" s="774" t="str">
        <f t="shared" si="50"/>
        <v>SI</v>
      </c>
      <c r="Q175" s="771">
        <f t="shared" si="42"/>
        <v>5.6071321100000003E-4</v>
      </c>
      <c r="R175" s="771">
        <f t="shared" si="43"/>
        <v>8.0389131609999995E-4</v>
      </c>
      <c r="S175" s="771">
        <f t="shared" si="44"/>
        <v>2.4116739479999999E-4</v>
      </c>
      <c r="T175" s="525">
        <f>+DATA!K171</f>
        <v>0</v>
      </c>
      <c r="U175" s="525">
        <f>+DATA!L171</f>
        <v>0</v>
      </c>
      <c r="V175" s="525">
        <f>+DATA!M171</f>
        <v>941402</v>
      </c>
      <c r="W175" s="526">
        <f t="shared" si="45"/>
        <v>941402</v>
      </c>
      <c r="X175" s="526">
        <f t="shared" si="51"/>
        <v>941402</v>
      </c>
      <c r="Y175" s="526">
        <f t="shared" si="52"/>
        <v>941402</v>
      </c>
      <c r="Z175" s="525">
        <f>+DATA!F171</f>
        <v>106920.91795482142</v>
      </c>
      <c r="AA175" s="525">
        <f>IF(P175="SI",ROUND(Z175/DIV_Pf,PARAMETROS!$L$8),0)</f>
        <v>8910</v>
      </c>
      <c r="AB175" s="526">
        <f t="shared" si="53"/>
        <v>19484</v>
      </c>
      <c r="AC175" s="775">
        <f t="shared" si="54"/>
        <v>48.32</v>
      </c>
      <c r="AD175" s="525">
        <f>IF(AC175&lt;$AC$6,ROUND(($AC$6-AC175)*AB175,PARAMETROS!$L$8),0)</f>
        <v>1095001</v>
      </c>
      <c r="AE175" s="771">
        <f t="shared" si="46"/>
        <v>1.0510038414999999E-3</v>
      </c>
      <c r="AF175" s="771">
        <f t="shared" si="47"/>
        <v>3.6785134450000002E-4</v>
      </c>
      <c r="AG175" s="771">
        <f t="shared" si="55"/>
        <v>1.4121244970999999E-3</v>
      </c>
      <c r="AH175" s="525">
        <f>+DATA!Q171</f>
        <v>2470370.8020000001</v>
      </c>
      <c r="AI175" s="525">
        <f>+DATA!R171</f>
        <v>205864.2335</v>
      </c>
      <c r="AJ175" s="525">
        <f>+DATA!S171</f>
        <v>162633</v>
      </c>
      <c r="AK175" s="525">
        <f>+'_DATA STT PAGOS_'!G173</f>
        <v>0</v>
      </c>
      <c r="AL175" s="525">
        <f>+'_DATA STT PAGOS_'!J173</f>
        <v>3352083.1129999999</v>
      </c>
      <c r="AM175" s="525">
        <f>+DATA!Y171</f>
        <v>20750</v>
      </c>
      <c r="AN175" s="525">
        <f>+DATA!Z171</f>
        <v>18844</v>
      </c>
      <c r="AO175" s="525">
        <f>+DATA!AA171</f>
        <v>18779</v>
      </c>
      <c r="AP175" s="525">
        <f>+DATA!AB171</f>
        <v>16382</v>
      </c>
      <c r="AQ175" s="525">
        <f>+DATA!AC171</f>
        <v>74755</v>
      </c>
      <c r="AR175" s="525">
        <f>+DATA!AD171</f>
        <v>289</v>
      </c>
      <c r="AS175" s="525">
        <f>+DATA!AE171</f>
        <v>289</v>
      </c>
      <c r="AT175" s="525">
        <f>+DATA!AF171</f>
        <v>329.97199999999998</v>
      </c>
      <c r="AU175" s="525">
        <f>+DATA!AG171</f>
        <v>289</v>
      </c>
      <c r="AV175" s="525">
        <f>+DATA!AH171</f>
        <v>1196.972</v>
      </c>
    </row>
    <row r="176" spans="1:48" x14ac:dyDescent="0.25">
      <c r="A176" s="527">
        <v>8308</v>
      </c>
      <c r="B176" s="527">
        <v>8408</v>
      </c>
      <c r="C176" s="527" t="s">
        <v>201</v>
      </c>
      <c r="D176" s="771">
        <f t="shared" si="38"/>
        <v>2.8901734103999998E-3</v>
      </c>
      <c r="E176" s="771">
        <f t="shared" si="39"/>
        <v>7.2254335259999995E-4</v>
      </c>
      <c r="F176" s="525">
        <f>+DATA!D172</f>
        <v>4186</v>
      </c>
      <c r="G176" s="772">
        <f>+DATA!E172</f>
        <v>0.1302699543346095</v>
      </c>
      <c r="H176" s="525">
        <f t="shared" si="48"/>
        <v>545</v>
      </c>
      <c r="I176" s="771">
        <f t="shared" si="40"/>
        <v>4.1736227050000001E-4</v>
      </c>
      <c r="J176" s="771">
        <f t="shared" si="41"/>
        <v>4.1736227100000001E-5</v>
      </c>
      <c r="K176" s="525">
        <f>+DATA!G172</f>
        <v>2519</v>
      </c>
      <c r="L176" s="525">
        <f>+DATA!H172</f>
        <v>3531</v>
      </c>
      <c r="M176" s="525">
        <f>+DATA!I172</f>
        <v>37541050690</v>
      </c>
      <c r="N176" s="525">
        <f>+DATA!J172</f>
        <v>231249392248</v>
      </c>
      <c r="O176" s="773">
        <f t="shared" si="49"/>
        <v>0.34031268430885142</v>
      </c>
      <c r="P176" s="774" t="str">
        <f t="shared" si="50"/>
        <v>NO</v>
      </c>
      <c r="Q176" s="771">
        <f t="shared" si="42"/>
        <v>3.2912561190000001E-4</v>
      </c>
      <c r="R176" s="771">
        <f t="shared" si="43"/>
        <v>4.7186550300000002E-4</v>
      </c>
      <c r="S176" s="771">
        <f t="shared" si="44"/>
        <v>1.415596509E-4</v>
      </c>
      <c r="T176" s="525">
        <f>+DATA!K172</f>
        <v>0</v>
      </c>
      <c r="U176" s="525">
        <f>+DATA!L172</f>
        <v>0</v>
      </c>
      <c r="V176" s="525">
        <f>+DATA!M172</f>
        <v>715738</v>
      </c>
      <c r="W176" s="526">
        <f t="shared" si="45"/>
        <v>715738</v>
      </c>
      <c r="X176" s="526">
        <f t="shared" si="51"/>
        <v>715738</v>
      </c>
      <c r="Y176" s="526">
        <f t="shared" si="52"/>
        <v>715738</v>
      </c>
      <c r="Z176" s="525">
        <f>+DATA!F172</f>
        <v>114986.82786193388</v>
      </c>
      <c r="AA176" s="525">
        <f>IF(P176="SI",ROUND(Z176/DIV_Pf,PARAMETROS!$L$8),0)</f>
        <v>0</v>
      </c>
      <c r="AB176" s="526">
        <f t="shared" si="53"/>
        <v>4186</v>
      </c>
      <c r="AC176" s="775">
        <f t="shared" si="54"/>
        <v>170.98</v>
      </c>
      <c r="AD176" s="525">
        <f>IF(AC176&lt;$AC$6,ROUND(($AC$6-AC176)*AB176,PARAMETROS!$L$8),0)</f>
        <v>0</v>
      </c>
      <c r="AE176" s="771">
        <f t="shared" si="46"/>
        <v>0</v>
      </c>
      <c r="AF176" s="771">
        <f t="shared" si="47"/>
        <v>0</v>
      </c>
      <c r="AG176" s="771">
        <f t="shared" si="55"/>
        <v>9.058392305999999E-4</v>
      </c>
      <c r="AH176" s="525">
        <f>+DATA!Q172</f>
        <v>1730287.077</v>
      </c>
      <c r="AI176" s="525">
        <f>+DATA!R172</f>
        <v>144190.58975000001</v>
      </c>
      <c r="AJ176" s="525">
        <f>+DATA!S172</f>
        <v>113911</v>
      </c>
      <c r="AK176" s="525">
        <f>+'_DATA STT PAGOS_'!G174</f>
        <v>0</v>
      </c>
      <c r="AL176" s="525">
        <f>+'_DATA STT PAGOS_'!J174</f>
        <v>2348109.1690000002</v>
      </c>
      <c r="AM176" s="525">
        <f>+DATA!Y172</f>
        <v>30447</v>
      </c>
      <c r="AN176" s="525">
        <f>+DATA!Z172</f>
        <v>28163</v>
      </c>
      <c r="AO176" s="525">
        <f>+DATA!AA172</f>
        <v>33932</v>
      </c>
      <c r="AP176" s="525">
        <f>+DATA!AB172</f>
        <v>26969</v>
      </c>
      <c r="AQ176" s="525">
        <f>+DATA!AC172</f>
        <v>119511</v>
      </c>
      <c r="AR176" s="525">
        <f>+DATA!AD172</f>
        <v>1184</v>
      </c>
      <c r="AS176" s="525">
        <f>+DATA!AE172</f>
        <v>548</v>
      </c>
      <c r="AT176" s="525">
        <f>+DATA!AF172</f>
        <v>821.05600000000004</v>
      </c>
      <c r="AU176" s="525">
        <f>+DATA!AG172</f>
        <v>438</v>
      </c>
      <c r="AV176" s="525">
        <f>+DATA!AH172</f>
        <v>2991.056</v>
      </c>
    </row>
    <row r="177" spans="1:48" x14ac:dyDescent="0.25">
      <c r="A177" s="527">
        <v>8309</v>
      </c>
      <c r="B177" s="527">
        <v>8404</v>
      </c>
      <c r="C177" s="527" t="s">
        <v>198</v>
      </c>
      <c r="D177" s="771">
        <f t="shared" si="38"/>
        <v>2.8901734103999998E-3</v>
      </c>
      <c r="E177" s="771">
        <f t="shared" si="39"/>
        <v>7.2254335259999995E-4</v>
      </c>
      <c r="F177" s="525">
        <f>+DATA!D173</f>
        <v>9986</v>
      </c>
      <c r="G177" s="772">
        <f>+DATA!E173</f>
        <v>0.13482362931863021</v>
      </c>
      <c r="H177" s="525">
        <f t="shared" si="48"/>
        <v>1346</v>
      </c>
      <c r="I177" s="771">
        <f t="shared" si="40"/>
        <v>1.0307699377000001E-3</v>
      </c>
      <c r="J177" s="771">
        <f t="shared" si="41"/>
        <v>1.030769938E-4</v>
      </c>
      <c r="K177" s="525">
        <f>+DATA!G173</f>
        <v>5068</v>
      </c>
      <c r="L177" s="525">
        <f>+DATA!H173</f>
        <v>6377</v>
      </c>
      <c r="M177" s="525">
        <f>+DATA!I173</f>
        <v>85191906446</v>
      </c>
      <c r="N177" s="525">
        <f>+DATA!J173</f>
        <v>371923716190</v>
      </c>
      <c r="O177" s="773">
        <f t="shared" si="49"/>
        <v>0.42666039085519608</v>
      </c>
      <c r="P177" s="774" t="str">
        <f t="shared" si="50"/>
        <v>NO</v>
      </c>
      <c r="Q177" s="771">
        <f t="shared" si="42"/>
        <v>7.3766615429999996E-4</v>
      </c>
      <c r="R177" s="771">
        <f t="shared" si="43"/>
        <v>1.0575877364999999E-3</v>
      </c>
      <c r="S177" s="771">
        <f t="shared" si="44"/>
        <v>3.1727632099999998E-4</v>
      </c>
      <c r="T177" s="525">
        <f>+DATA!K173</f>
        <v>0</v>
      </c>
      <c r="U177" s="525">
        <f>+DATA!L173</f>
        <v>0</v>
      </c>
      <c r="V177" s="525">
        <f>+DATA!M173</f>
        <v>882639</v>
      </c>
      <c r="W177" s="526">
        <f t="shared" si="45"/>
        <v>882639</v>
      </c>
      <c r="X177" s="526">
        <f t="shared" si="51"/>
        <v>882639</v>
      </c>
      <c r="Y177" s="526">
        <f t="shared" si="52"/>
        <v>882639</v>
      </c>
      <c r="Z177" s="525">
        <f>+DATA!F173</f>
        <v>85391.384130054546</v>
      </c>
      <c r="AA177" s="525">
        <f>IF(P177="SI",ROUND(Z177/DIV_Pf,PARAMETROS!$L$8),0)</f>
        <v>0</v>
      </c>
      <c r="AB177" s="526">
        <f t="shared" si="53"/>
        <v>9986</v>
      </c>
      <c r="AC177" s="775">
        <f t="shared" si="54"/>
        <v>88.39</v>
      </c>
      <c r="AD177" s="525">
        <f>IF(AC177&lt;$AC$6,ROUND(($AC$6-AC177)*AB177,PARAMETROS!$L$8),0)</f>
        <v>161074</v>
      </c>
      <c r="AE177" s="771">
        <f t="shared" si="46"/>
        <v>1.5460204400000001E-4</v>
      </c>
      <c r="AF177" s="771">
        <f t="shared" si="47"/>
        <v>5.4110715399999998E-5</v>
      </c>
      <c r="AG177" s="771">
        <f t="shared" si="55"/>
        <v>1.1970073828E-3</v>
      </c>
      <c r="AH177" s="525">
        <f>+DATA!Q173</f>
        <v>2414465.4989999998</v>
      </c>
      <c r="AI177" s="525">
        <f>+DATA!R173</f>
        <v>201205.45825</v>
      </c>
      <c r="AJ177" s="525">
        <f>+DATA!S173</f>
        <v>158952</v>
      </c>
      <c r="AK177" s="525">
        <f>+'_DATA STT PAGOS_'!G175</f>
        <v>0</v>
      </c>
      <c r="AL177" s="525">
        <f>+'_DATA STT PAGOS_'!J175</f>
        <v>3277657.3369999998</v>
      </c>
      <c r="AM177" s="525">
        <f>+DATA!Y173</f>
        <v>61655</v>
      </c>
      <c r="AN177" s="525">
        <f>+DATA!Z173</f>
        <v>60767</v>
      </c>
      <c r="AO177" s="525">
        <f>+DATA!AA173</f>
        <v>64876</v>
      </c>
      <c r="AP177" s="525">
        <f>+DATA!AB173</f>
        <v>47296</v>
      </c>
      <c r="AQ177" s="525">
        <f>+DATA!AC173</f>
        <v>234594</v>
      </c>
      <c r="AR177" s="525">
        <f>+DATA!AD173</f>
        <v>121</v>
      </c>
      <c r="AS177" s="525">
        <f>+DATA!AE173</f>
        <v>132</v>
      </c>
      <c r="AT177" s="525">
        <f>+DATA!AF173</f>
        <v>105.51900000000001</v>
      </c>
      <c r="AU177" s="525">
        <f>+DATA!AG173</f>
        <v>100</v>
      </c>
      <c r="AV177" s="525">
        <f>+DATA!AH173</f>
        <v>458.51900000000001</v>
      </c>
    </row>
    <row r="178" spans="1:48" x14ac:dyDescent="0.25">
      <c r="A178" s="527">
        <v>8310</v>
      </c>
      <c r="B178" s="527">
        <v>8411</v>
      </c>
      <c r="C178" s="527" t="s">
        <v>204</v>
      </c>
      <c r="D178" s="771">
        <f t="shared" si="38"/>
        <v>2.8901734103999998E-3</v>
      </c>
      <c r="E178" s="771">
        <f t="shared" si="39"/>
        <v>7.2254335259999995E-4</v>
      </c>
      <c r="F178" s="525">
        <f>+DATA!D174</f>
        <v>3553</v>
      </c>
      <c r="G178" s="772">
        <f>+DATA!E174</f>
        <v>0.1097114228804065</v>
      </c>
      <c r="H178" s="525">
        <f t="shared" si="48"/>
        <v>390</v>
      </c>
      <c r="I178" s="771">
        <f t="shared" si="40"/>
        <v>2.9866290910000003E-4</v>
      </c>
      <c r="J178" s="771">
        <f t="shared" si="41"/>
        <v>2.9866290899999999E-5</v>
      </c>
      <c r="K178" s="525">
        <f>+DATA!G174</f>
        <v>2134</v>
      </c>
      <c r="L178" s="525">
        <f>+DATA!H174</f>
        <v>2452</v>
      </c>
      <c r="M178" s="525">
        <f>+DATA!I174</f>
        <v>28437368815</v>
      </c>
      <c r="N178" s="525">
        <f>+DATA!J174</f>
        <v>50255244416</v>
      </c>
      <c r="O178" s="773">
        <f t="shared" si="49"/>
        <v>0.701763837911902</v>
      </c>
      <c r="P178" s="774" t="str">
        <f t="shared" si="50"/>
        <v>SI</v>
      </c>
      <c r="Q178" s="771">
        <f t="shared" si="42"/>
        <v>3.4015074489999997E-4</v>
      </c>
      <c r="R178" s="771">
        <f t="shared" si="43"/>
        <v>4.8767217290000001E-4</v>
      </c>
      <c r="S178" s="771">
        <f t="shared" si="44"/>
        <v>1.4630165190000001E-4</v>
      </c>
      <c r="T178" s="525">
        <f>+DATA!K174</f>
        <v>0</v>
      </c>
      <c r="U178" s="525">
        <f>+DATA!L174</f>
        <v>0</v>
      </c>
      <c r="V178" s="525">
        <f>+DATA!M174</f>
        <v>274307</v>
      </c>
      <c r="W178" s="526">
        <f t="shared" si="45"/>
        <v>274307</v>
      </c>
      <c r="X178" s="526">
        <f t="shared" si="51"/>
        <v>274307</v>
      </c>
      <c r="Y178" s="526">
        <f t="shared" si="52"/>
        <v>274307</v>
      </c>
      <c r="Z178" s="525">
        <f>+DATA!F174</f>
        <v>40017.485722733545</v>
      </c>
      <c r="AA178" s="525">
        <f>IF(P178="SI",ROUND(Z178/DIV_Pf,PARAMETROS!$L$8),0)</f>
        <v>3335</v>
      </c>
      <c r="AB178" s="526">
        <f t="shared" si="53"/>
        <v>6888</v>
      </c>
      <c r="AC178" s="775">
        <f t="shared" si="54"/>
        <v>39.82</v>
      </c>
      <c r="AD178" s="525">
        <f>IF(AC178&lt;$AC$6,ROUND(($AC$6-AC178)*AB178,PARAMETROS!$L$8),0)</f>
        <v>445654</v>
      </c>
      <c r="AE178" s="771">
        <f t="shared" si="46"/>
        <v>4.277476148E-4</v>
      </c>
      <c r="AF178" s="771">
        <f t="shared" si="47"/>
        <v>1.497116652E-4</v>
      </c>
      <c r="AG178" s="771">
        <f t="shared" si="55"/>
        <v>1.0484229606E-3</v>
      </c>
      <c r="AH178" s="525">
        <f>+DATA!Q174</f>
        <v>2178400.5040000002</v>
      </c>
      <c r="AI178" s="525">
        <f>+DATA!R174</f>
        <v>181533.37533333336</v>
      </c>
      <c r="AJ178" s="525">
        <f>+DATA!S174</f>
        <v>143411</v>
      </c>
      <c r="AK178" s="525">
        <f>+'_DATA STT PAGOS_'!G176</f>
        <v>0</v>
      </c>
      <c r="AL178" s="525">
        <f>+'_DATA STT PAGOS_'!J176</f>
        <v>2956133.5700000003</v>
      </c>
      <c r="AM178" s="525">
        <f>+DATA!Y174</f>
        <v>4759</v>
      </c>
      <c r="AN178" s="525">
        <f>+DATA!Z174</f>
        <v>3258</v>
      </c>
      <c r="AO178" s="525">
        <f>+DATA!AA174</f>
        <v>3973</v>
      </c>
      <c r="AP178" s="525">
        <f>+DATA!AB174</f>
        <v>2780</v>
      </c>
      <c r="AQ178" s="525">
        <f>+DATA!AC174</f>
        <v>14770</v>
      </c>
      <c r="AR178" s="525">
        <f>+DATA!AD174</f>
        <v>368</v>
      </c>
      <c r="AS178" s="525">
        <f>+DATA!AE174</f>
        <v>308</v>
      </c>
      <c r="AT178" s="525">
        <f>+DATA!AF174</f>
        <v>177.619</v>
      </c>
      <c r="AU178" s="525">
        <f>+DATA!AG174</f>
        <v>347</v>
      </c>
      <c r="AV178" s="525">
        <f>+DATA!AH174</f>
        <v>1200.6190000000001</v>
      </c>
    </row>
    <row r="179" spans="1:48" x14ac:dyDescent="0.25">
      <c r="A179" s="527">
        <v>8311</v>
      </c>
      <c r="B179" s="527">
        <v>8402</v>
      </c>
      <c r="C179" s="527" t="s">
        <v>399</v>
      </c>
      <c r="D179" s="771">
        <f t="shared" si="38"/>
        <v>2.8901734103999998E-3</v>
      </c>
      <c r="E179" s="771">
        <f t="shared" si="39"/>
        <v>7.2254335259999995E-4</v>
      </c>
      <c r="F179" s="525">
        <f>+DATA!D175</f>
        <v>14671</v>
      </c>
      <c r="G179" s="772">
        <f>+DATA!E175</f>
        <v>0.14740648088545241</v>
      </c>
      <c r="H179" s="525">
        <f t="shared" si="48"/>
        <v>2163</v>
      </c>
      <c r="I179" s="771">
        <f t="shared" si="40"/>
        <v>1.6564304421999999E-3</v>
      </c>
      <c r="J179" s="771">
        <f t="shared" si="41"/>
        <v>1.6564304420000001E-4</v>
      </c>
      <c r="K179" s="525">
        <f>+DATA!G175</f>
        <v>6163</v>
      </c>
      <c r="L179" s="525">
        <f>+DATA!H175</f>
        <v>7863</v>
      </c>
      <c r="M179" s="525">
        <f>+DATA!I175</f>
        <v>94464259218</v>
      </c>
      <c r="N179" s="525">
        <f>+DATA!J175</f>
        <v>406329666082</v>
      </c>
      <c r="O179" s="773">
        <f t="shared" si="49"/>
        <v>0.42687079409999873</v>
      </c>
      <c r="P179" s="774" t="str">
        <f t="shared" si="50"/>
        <v>NO</v>
      </c>
      <c r="Q179" s="771">
        <f t="shared" si="42"/>
        <v>8.8470630410000003E-4</v>
      </c>
      <c r="R179" s="771">
        <f t="shared" si="43"/>
        <v>1.2683983562999999E-3</v>
      </c>
      <c r="S179" s="771">
        <f t="shared" si="44"/>
        <v>3.8051950690000001E-4</v>
      </c>
      <c r="T179" s="525">
        <f>+DATA!K175</f>
        <v>0</v>
      </c>
      <c r="U179" s="525">
        <f>+DATA!L175</f>
        <v>0</v>
      </c>
      <c r="V179" s="525">
        <f>+DATA!M175</f>
        <v>1333815</v>
      </c>
      <c r="W179" s="526">
        <f t="shared" si="45"/>
        <v>1333815</v>
      </c>
      <c r="X179" s="526">
        <f t="shared" si="51"/>
        <v>1333815</v>
      </c>
      <c r="Y179" s="526">
        <f t="shared" si="52"/>
        <v>1333815</v>
      </c>
      <c r="Z179" s="525">
        <f>+DATA!F175</f>
        <v>183232.43772753526</v>
      </c>
      <c r="AA179" s="525">
        <f>IF(P179="SI",ROUND(Z179/DIV_Pf,PARAMETROS!$L$8),0)</f>
        <v>0</v>
      </c>
      <c r="AB179" s="526">
        <f t="shared" si="53"/>
        <v>14671</v>
      </c>
      <c r="AC179" s="775">
        <f t="shared" si="54"/>
        <v>90.92</v>
      </c>
      <c r="AD179" s="525">
        <f>IF(AC179&lt;$AC$6,ROUND(($AC$6-AC179)*AB179,PARAMETROS!$L$8),0)</f>
        <v>199526</v>
      </c>
      <c r="AE179" s="771">
        <f t="shared" si="46"/>
        <v>1.9150904199999999E-4</v>
      </c>
      <c r="AF179" s="771">
        <f t="shared" si="47"/>
        <v>6.7028164699999999E-5</v>
      </c>
      <c r="AG179" s="771">
        <f t="shared" si="55"/>
        <v>1.3357340684E-3</v>
      </c>
      <c r="AH179" s="525">
        <f>+DATA!Q175</f>
        <v>2634948.3990000002</v>
      </c>
      <c r="AI179" s="525">
        <f>+DATA!R175</f>
        <v>219579.03325000001</v>
      </c>
      <c r="AJ179" s="525">
        <f>+DATA!S175</f>
        <v>173467</v>
      </c>
      <c r="AK179" s="525">
        <f>+'_DATA STT PAGOS_'!G177</f>
        <v>0</v>
      </c>
      <c r="AL179" s="525">
        <f>+'_DATA STT PAGOS_'!J177</f>
        <v>3577774.6529999999</v>
      </c>
      <c r="AM179" s="525">
        <f>+DATA!Y175</f>
        <v>66433</v>
      </c>
      <c r="AN179" s="525">
        <f>+DATA!Z175</f>
        <v>58935</v>
      </c>
      <c r="AO179" s="525">
        <f>+DATA!AA175</f>
        <v>62464</v>
      </c>
      <c r="AP179" s="525">
        <f>+DATA!AB175</f>
        <v>50922</v>
      </c>
      <c r="AQ179" s="525">
        <f>+DATA!AC175</f>
        <v>238754</v>
      </c>
      <c r="AR179" s="525">
        <f>+DATA!AD175</f>
        <v>475</v>
      </c>
      <c r="AS179" s="525">
        <f>+DATA!AE175</f>
        <v>319</v>
      </c>
      <c r="AT179" s="525">
        <f>+DATA!AF175</f>
        <v>377.108</v>
      </c>
      <c r="AU179" s="525">
        <f>+DATA!AG175</f>
        <v>335</v>
      </c>
      <c r="AV179" s="525">
        <f>+DATA!AH175</f>
        <v>1506.1079999999999</v>
      </c>
    </row>
    <row r="180" spans="1:48" x14ac:dyDescent="0.25">
      <c r="A180" s="527">
        <v>8312</v>
      </c>
      <c r="B180" s="527">
        <v>8412</v>
      </c>
      <c r="C180" s="527" t="s">
        <v>205</v>
      </c>
      <c r="D180" s="771">
        <f t="shared" si="38"/>
        <v>2.8901734103999998E-3</v>
      </c>
      <c r="E180" s="771">
        <f t="shared" si="39"/>
        <v>7.2254335259999995E-4</v>
      </c>
      <c r="F180" s="525">
        <f>+DATA!D176</f>
        <v>15428</v>
      </c>
      <c r="G180" s="772">
        <f>+DATA!E176</f>
        <v>0.10953767585671589</v>
      </c>
      <c r="H180" s="525">
        <f t="shared" si="48"/>
        <v>1690</v>
      </c>
      <c r="I180" s="771">
        <f t="shared" si="40"/>
        <v>1.2942059395999999E-3</v>
      </c>
      <c r="J180" s="771">
        <f t="shared" si="41"/>
        <v>1.29420594E-4</v>
      </c>
      <c r="K180" s="525">
        <f>+DATA!G176</f>
        <v>8258</v>
      </c>
      <c r="L180" s="525">
        <f>+DATA!H176</f>
        <v>10498</v>
      </c>
      <c r="M180" s="525">
        <f>+DATA!I176</f>
        <v>157659224107</v>
      </c>
      <c r="N180" s="525">
        <f>+DATA!J176</f>
        <v>422588881767</v>
      </c>
      <c r="O180" s="773">
        <f t="shared" si="49"/>
        <v>0.54173240434352388</v>
      </c>
      <c r="P180" s="774" t="str">
        <f t="shared" si="50"/>
        <v>SI</v>
      </c>
      <c r="Q180" s="771">
        <f t="shared" si="42"/>
        <v>1.1897240771000001E-3</v>
      </c>
      <c r="R180" s="771">
        <f t="shared" si="43"/>
        <v>1.7057005888E-3</v>
      </c>
      <c r="S180" s="771">
        <f t="shared" si="44"/>
        <v>5.117101766E-4</v>
      </c>
      <c r="T180" s="525">
        <f>+DATA!K176</f>
        <v>0</v>
      </c>
      <c r="U180" s="525">
        <f>+DATA!L176</f>
        <v>0</v>
      </c>
      <c r="V180" s="525">
        <f>+DATA!M176</f>
        <v>1537728</v>
      </c>
      <c r="W180" s="526">
        <f t="shared" si="45"/>
        <v>1537728</v>
      </c>
      <c r="X180" s="526">
        <f t="shared" si="51"/>
        <v>1537728</v>
      </c>
      <c r="Y180" s="526">
        <f t="shared" si="52"/>
        <v>1537728</v>
      </c>
      <c r="Z180" s="525">
        <f>+DATA!F176</f>
        <v>236855.66616922079</v>
      </c>
      <c r="AA180" s="525">
        <f>IF(P180="SI",ROUND(Z180/DIV_Pf,PARAMETROS!$L$8),0)</f>
        <v>19738</v>
      </c>
      <c r="AB180" s="526">
        <f t="shared" si="53"/>
        <v>35166</v>
      </c>
      <c r="AC180" s="775">
        <f t="shared" si="54"/>
        <v>43.73</v>
      </c>
      <c r="AD180" s="525">
        <f>IF(AC180&lt;$AC$6,ROUND(($AC$6-AC180)*AB180,PARAMETROS!$L$8),0)</f>
        <v>2137741</v>
      </c>
      <c r="AE180" s="771">
        <f t="shared" si="46"/>
        <v>2.0518465307999998E-3</v>
      </c>
      <c r="AF180" s="771">
        <f t="shared" si="47"/>
        <v>7.181462858E-4</v>
      </c>
      <c r="AG180" s="771">
        <f t="shared" si="55"/>
        <v>2.081820409E-3</v>
      </c>
      <c r="AH180" s="525">
        <f>+DATA!Q176</f>
        <v>3471860.03</v>
      </c>
      <c r="AI180" s="525">
        <f>+DATA!R176</f>
        <v>289321.66916666663</v>
      </c>
      <c r="AJ180" s="525">
        <f>+DATA!S176</f>
        <v>228564</v>
      </c>
      <c r="AK180" s="525">
        <f>+'_DATA STT PAGOS_'!G178</f>
        <v>0</v>
      </c>
      <c r="AL180" s="525">
        <f>+'_DATA STT PAGOS_'!J178</f>
        <v>4711206.0580000002</v>
      </c>
      <c r="AM180" s="525">
        <f>+DATA!Y176</f>
        <v>47446</v>
      </c>
      <c r="AN180" s="525">
        <f>+DATA!Z176</f>
        <v>39616</v>
      </c>
      <c r="AO180" s="525">
        <f>+DATA!AA176</f>
        <v>43340</v>
      </c>
      <c r="AP180" s="525">
        <f>+DATA!AB176</f>
        <v>40292</v>
      </c>
      <c r="AQ180" s="525">
        <f>+DATA!AC176</f>
        <v>170694</v>
      </c>
      <c r="AR180" s="525">
        <f>+DATA!AD176</f>
        <v>1794</v>
      </c>
      <c r="AS180" s="525">
        <f>+DATA!AE176</f>
        <v>1152</v>
      </c>
      <c r="AT180" s="525">
        <f>+DATA!AF176</f>
        <v>1499.723</v>
      </c>
      <c r="AU180" s="525">
        <f>+DATA!AG176</f>
        <v>1711</v>
      </c>
      <c r="AV180" s="525">
        <f>+DATA!AH176</f>
        <v>6156.723</v>
      </c>
    </row>
    <row r="181" spans="1:48" x14ac:dyDescent="0.25">
      <c r="A181" s="527">
        <v>8313</v>
      </c>
      <c r="B181" s="527">
        <v>8409</v>
      </c>
      <c r="C181" s="527" t="s">
        <v>202</v>
      </c>
      <c r="D181" s="771">
        <f t="shared" si="38"/>
        <v>2.8901734103999998E-3</v>
      </c>
      <c r="E181" s="771">
        <f t="shared" si="39"/>
        <v>7.2254335259999995E-4</v>
      </c>
      <c r="F181" s="525">
        <f>+DATA!D177</f>
        <v>22210</v>
      </c>
      <c r="G181" s="772">
        <f>+DATA!E177</f>
        <v>0.12559003045185191</v>
      </c>
      <c r="H181" s="525">
        <f t="shared" si="48"/>
        <v>2789</v>
      </c>
      <c r="I181" s="771">
        <f t="shared" si="40"/>
        <v>2.1358227014E-3</v>
      </c>
      <c r="J181" s="771">
        <f t="shared" si="41"/>
        <v>2.1358227010000001E-4</v>
      </c>
      <c r="K181" s="525">
        <f>+DATA!G177</f>
        <v>16260</v>
      </c>
      <c r="L181" s="525">
        <f>+DATA!H177</f>
        <v>20013</v>
      </c>
      <c r="M181" s="525">
        <f>+DATA!I177</f>
        <v>214670502525</v>
      </c>
      <c r="N181" s="525">
        <f>+DATA!J177</f>
        <v>420823222171</v>
      </c>
      <c r="O181" s="773">
        <f t="shared" si="49"/>
        <v>0.64378449184068609</v>
      </c>
      <c r="P181" s="774" t="str">
        <f t="shared" si="50"/>
        <v>SI</v>
      </c>
      <c r="Q181" s="771">
        <f t="shared" si="42"/>
        <v>2.4195352252000001E-3</v>
      </c>
      <c r="R181" s="771">
        <f t="shared" si="43"/>
        <v>3.4688737815000001E-3</v>
      </c>
      <c r="S181" s="771">
        <f t="shared" si="44"/>
        <v>1.0406621345E-3</v>
      </c>
      <c r="T181" s="525">
        <f>+DATA!K177</f>
        <v>0</v>
      </c>
      <c r="U181" s="525">
        <f>+DATA!L177</f>
        <v>0</v>
      </c>
      <c r="V181" s="525">
        <f>+DATA!M177</f>
        <v>1872520</v>
      </c>
      <c r="W181" s="526">
        <f t="shared" si="45"/>
        <v>1872520</v>
      </c>
      <c r="X181" s="526">
        <f t="shared" si="51"/>
        <v>1872520</v>
      </c>
      <c r="Y181" s="526">
        <f t="shared" si="52"/>
        <v>1872520</v>
      </c>
      <c r="Z181" s="525">
        <f>+DATA!F177</f>
        <v>757522.71198701859</v>
      </c>
      <c r="AA181" s="525">
        <f>IF(P181="SI",ROUND(Z181/DIV_Pf,PARAMETROS!$L$8),0)</f>
        <v>63127</v>
      </c>
      <c r="AB181" s="526">
        <f t="shared" si="53"/>
        <v>85337</v>
      </c>
      <c r="AC181" s="775">
        <f t="shared" si="54"/>
        <v>21.94</v>
      </c>
      <c r="AD181" s="525">
        <f>IF(AC181&lt;$AC$6,ROUND(($AC$6-AC181)*AB181,PARAMETROS!$L$8),0)</f>
        <v>7047129</v>
      </c>
      <c r="AE181" s="771">
        <f t="shared" si="46"/>
        <v>6.7639752386000002E-3</v>
      </c>
      <c r="AF181" s="771">
        <f t="shared" si="47"/>
        <v>2.3673913335000001E-3</v>
      </c>
      <c r="AG181" s="771">
        <f t="shared" si="55"/>
        <v>4.3441790906999997E-3</v>
      </c>
      <c r="AH181" s="525">
        <f>+DATA!Q177</f>
        <v>6808300.2350000003</v>
      </c>
      <c r="AI181" s="525">
        <f>+DATA!R177</f>
        <v>567358.35291666666</v>
      </c>
      <c r="AJ181" s="525">
        <f>+DATA!S177</f>
        <v>448213</v>
      </c>
      <c r="AK181" s="525">
        <f>+'_DATA STT PAGOS_'!G179</f>
        <v>0</v>
      </c>
      <c r="AL181" s="525">
        <f>+'_DATA STT PAGOS_'!J179</f>
        <v>9239145.5779999997</v>
      </c>
      <c r="AM181" s="525">
        <f>+DATA!Y177</f>
        <v>55106</v>
      </c>
      <c r="AN181" s="525">
        <f>+DATA!Z177</f>
        <v>37943</v>
      </c>
      <c r="AO181" s="525">
        <f>+DATA!AA177</f>
        <v>48495</v>
      </c>
      <c r="AP181" s="525">
        <f>+DATA!AB177</f>
        <v>36043</v>
      </c>
      <c r="AQ181" s="525">
        <f>+DATA!AC177</f>
        <v>177587</v>
      </c>
      <c r="AR181" s="525">
        <f>+DATA!AD177</f>
        <v>0</v>
      </c>
      <c r="AS181" s="525">
        <f>+DATA!AE177</f>
        <v>0</v>
      </c>
      <c r="AT181" s="525">
        <f>+DATA!AF177</f>
        <v>0</v>
      </c>
      <c r="AU181" s="525">
        <f>+DATA!AG177</f>
        <v>0</v>
      </c>
      <c r="AV181" s="525">
        <f>+DATA!AH177</f>
        <v>0</v>
      </c>
    </row>
    <row r="182" spans="1:48" x14ac:dyDescent="0.25">
      <c r="A182" s="527">
        <v>8314</v>
      </c>
      <c r="B182" s="527">
        <v>8414</v>
      </c>
      <c r="C182" s="527" t="s">
        <v>400</v>
      </c>
      <c r="D182" s="771">
        <f t="shared" si="38"/>
        <v>2.8901734103999998E-3</v>
      </c>
      <c r="E182" s="771">
        <f t="shared" si="39"/>
        <v>7.2254335259999995E-4</v>
      </c>
      <c r="F182" s="525">
        <f>+DATA!D178</f>
        <v>6804</v>
      </c>
      <c r="G182" s="772">
        <f>+DATA!E178</f>
        <v>0.22111198326961529</v>
      </c>
      <c r="H182" s="525">
        <f t="shared" si="48"/>
        <v>1504</v>
      </c>
      <c r="I182" s="771">
        <f t="shared" si="40"/>
        <v>1.151766706E-3</v>
      </c>
      <c r="J182" s="771">
        <f t="shared" si="41"/>
        <v>1.1517667060000001E-4</v>
      </c>
      <c r="K182" s="525">
        <f>+DATA!G178</f>
        <v>1369</v>
      </c>
      <c r="L182" s="525">
        <f>+DATA!H178</f>
        <v>1687</v>
      </c>
      <c r="M182" s="525">
        <f>+DATA!I178</f>
        <v>211334853275</v>
      </c>
      <c r="N182" s="525">
        <f>+DATA!J178</f>
        <v>308162791331</v>
      </c>
      <c r="O182" s="773">
        <f t="shared" si="49"/>
        <v>0.74600140679665428</v>
      </c>
      <c r="P182" s="774" t="str">
        <f t="shared" si="50"/>
        <v>SI</v>
      </c>
      <c r="Q182" s="771">
        <f t="shared" si="42"/>
        <v>2.0346741890000001E-4</v>
      </c>
      <c r="R182" s="771">
        <f t="shared" si="43"/>
        <v>2.9171007200000002E-4</v>
      </c>
      <c r="S182" s="771">
        <f t="shared" si="44"/>
        <v>8.7513021600000001E-5</v>
      </c>
      <c r="T182" s="525">
        <f>+DATA!K178</f>
        <v>0</v>
      </c>
      <c r="U182" s="525">
        <f>+DATA!L178</f>
        <v>0</v>
      </c>
      <c r="V182" s="525">
        <f>+DATA!M178</f>
        <v>671450</v>
      </c>
      <c r="W182" s="526">
        <f t="shared" si="45"/>
        <v>671450</v>
      </c>
      <c r="X182" s="526">
        <f t="shared" si="51"/>
        <v>671450</v>
      </c>
      <c r="Y182" s="526">
        <f t="shared" si="52"/>
        <v>671450</v>
      </c>
      <c r="Z182" s="525">
        <f>+DATA!F178</f>
        <v>84546.37058426255</v>
      </c>
      <c r="AA182" s="525">
        <f>IF(P182="SI",ROUND(Z182/DIV_Pf,PARAMETROS!$L$8),0)</f>
        <v>7046</v>
      </c>
      <c r="AB182" s="526">
        <f t="shared" si="53"/>
        <v>13850</v>
      </c>
      <c r="AC182" s="775">
        <f t="shared" si="54"/>
        <v>48.48</v>
      </c>
      <c r="AD182" s="525">
        <f>IF(AC182&lt;$AC$6,ROUND(($AC$6-AC182)*AB182,PARAMETROS!$L$8),0)</f>
        <v>776154</v>
      </c>
      <c r="AE182" s="771">
        <f t="shared" si="46"/>
        <v>7.4496811930000004E-4</v>
      </c>
      <c r="AF182" s="771">
        <f t="shared" si="47"/>
        <v>2.6073884179999998E-4</v>
      </c>
      <c r="AG182" s="771">
        <f t="shared" si="55"/>
        <v>1.1859718866000001E-3</v>
      </c>
      <c r="AH182" s="525">
        <f>+DATA!Q178</f>
        <v>2235463.6519999998</v>
      </c>
      <c r="AI182" s="525">
        <f>+DATA!R178</f>
        <v>186288.63766666665</v>
      </c>
      <c r="AJ182" s="525">
        <f>+DATA!S178</f>
        <v>147168</v>
      </c>
      <c r="AK182" s="525">
        <f>+'_DATA STT PAGOS_'!G180</f>
        <v>0</v>
      </c>
      <c r="AL182" s="525">
        <f>+'_DATA STT PAGOS_'!J180</f>
        <v>3035121.3329999996</v>
      </c>
      <c r="AM182" s="525">
        <f>+DATA!Y178</f>
        <v>18347</v>
      </c>
      <c r="AN182" s="525">
        <f>+DATA!Z178</f>
        <v>17369</v>
      </c>
      <c r="AO182" s="525">
        <f>+DATA!AA178</f>
        <v>20138</v>
      </c>
      <c r="AP182" s="525">
        <f>+DATA!AB178</f>
        <v>20450</v>
      </c>
      <c r="AQ182" s="525">
        <f>+DATA!AC178</f>
        <v>76304</v>
      </c>
      <c r="AR182" s="525">
        <f>+DATA!AD178</f>
        <v>0</v>
      </c>
      <c r="AS182" s="525">
        <f>+DATA!AE178</f>
        <v>0</v>
      </c>
      <c r="AT182" s="525">
        <f>+DATA!AF178</f>
        <v>0</v>
      </c>
      <c r="AU182" s="525">
        <f>+DATA!AG178</f>
        <v>0</v>
      </c>
      <c r="AV182" s="525">
        <f>+DATA!AH178</f>
        <v>0</v>
      </c>
    </row>
    <row r="183" spans="1:48" x14ac:dyDescent="0.25">
      <c r="A183" s="527">
        <v>9101</v>
      </c>
      <c r="B183" s="527">
        <v>9201</v>
      </c>
      <c r="C183" s="527" t="s">
        <v>215</v>
      </c>
      <c r="D183" s="771">
        <f t="shared" si="38"/>
        <v>2.8901734103999998E-3</v>
      </c>
      <c r="E183" s="771">
        <f t="shared" si="39"/>
        <v>7.2254335259999995E-4</v>
      </c>
      <c r="F183" s="525">
        <f>+DATA!D179</f>
        <v>309696</v>
      </c>
      <c r="G183" s="772">
        <f>+DATA!E179</f>
        <v>8.5873113468589557E-2</v>
      </c>
      <c r="H183" s="525">
        <f t="shared" si="48"/>
        <v>26595</v>
      </c>
      <c r="I183" s="771">
        <f t="shared" si="40"/>
        <v>2.0366512995700001E-2</v>
      </c>
      <c r="J183" s="771">
        <f t="shared" si="41"/>
        <v>2.0366512996000002E-3</v>
      </c>
      <c r="K183" s="525">
        <f>+DATA!G179</f>
        <v>89674</v>
      </c>
      <c r="L183" s="525">
        <f>+DATA!H179</f>
        <v>148319</v>
      </c>
      <c r="M183" s="525">
        <f>+DATA!I179</f>
        <v>3672868351169</v>
      </c>
      <c r="N183" s="525">
        <f>+DATA!J179</f>
        <v>9102497666965</v>
      </c>
      <c r="O183" s="773">
        <f t="shared" si="49"/>
        <v>0.49392074777930894</v>
      </c>
      <c r="P183" s="774" t="str">
        <f t="shared" si="50"/>
        <v>SI</v>
      </c>
      <c r="Q183" s="771">
        <f t="shared" si="42"/>
        <v>9.9297738612999994E-3</v>
      </c>
      <c r="R183" s="771">
        <f t="shared" si="43"/>
        <v>1.4236259859000001E-2</v>
      </c>
      <c r="S183" s="771">
        <f t="shared" si="44"/>
        <v>4.2708779577000002E-3</v>
      </c>
      <c r="T183" s="525">
        <f>+DATA!K179</f>
        <v>0</v>
      </c>
      <c r="U183" s="525">
        <f>+DATA!L179</f>
        <v>0</v>
      </c>
      <c r="V183" s="525">
        <f>+DATA!M179</f>
        <v>40728594</v>
      </c>
      <c r="W183" s="526">
        <f t="shared" si="45"/>
        <v>40728594</v>
      </c>
      <c r="X183" s="526">
        <f t="shared" si="51"/>
        <v>40728594</v>
      </c>
      <c r="Y183" s="526">
        <f t="shared" si="52"/>
        <v>40728594</v>
      </c>
      <c r="Z183" s="525">
        <f>+DATA!F179</f>
        <v>2501144.6118223332</v>
      </c>
      <c r="AA183" s="525">
        <f>IF(P183="SI",ROUND(Z183/DIV_Pf,PARAMETROS!$L$8),0)</f>
        <v>208429</v>
      </c>
      <c r="AB183" s="526">
        <f t="shared" si="53"/>
        <v>518125</v>
      </c>
      <c r="AC183" s="775">
        <f t="shared" si="54"/>
        <v>78.61</v>
      </c>
      <c r="AD183" s="525">
        <f>IF(AC183&lt;$AC$6,ROUND(($AC$6-AC183)*AB183,PARAMETROS!$L$8),0)</f>
        <v>13424619</v>
      </c>
      <c r="AE183" s="771">
        <f t="shared" si="46"/>
        <v>1.2885217583399999E-2</v>
      </c>
      <c r="AF183" s="771">
        <f t="shared" si="47"/>
        <v>4.5098261541999998E-3</v>
      </c>
      <c r="AG183" s="771">
        <f t="shared" si="55"/>
        <v>1.15398987641E-2</v>
      </c>
      <c r="AH183" s="525">
        <f>+DATA!Q179</f>
        <v>25821333.111000001</v>
      </c>
      <c r="AI183" s="525">
        <f>+DATA!R179</f>
        <v>2151777.7592500001</v>
      </c>
      <c r="AJ183" s="525">
        <f>+DATA!S179</f>
        <v>1699904</v>
      </c>
      <c r="AK183" s="525">
        <f>+'_DATA STT PAGOS_'!G181</f>
        <v>0</v>
      </c>
      <c r="AL183" s="525">
        <f>+'_DATA STT PAGOS_'!J181</f>
        <v>35040141.961000003</v>
      </c>
      <c r="AM183" s="525">
        <f>+DATA!Y179</f>
        <v>2537016</v>
      </c>
      <c r="AN183" s="525">
        <f>+DATA!Z179</f>
        <v>1865150</v>
      </c>
      <c r="AO183" s="525">
        <f>+DATA!AA179</f>
        <v>2215558</v>
      </c>
      <c r="AP183" s="525">
        <f>+DATA!AB179</f>
        <v>1681142</v>
      </c>
      <c r="AQ183" s="525">
        <f>+DATA!AC179</f>
        <v>8298866</v>
      </c>
      <c r="AR183" s="525">
        <f>+DATA!AD179</f>
        <v>432497</v>
      </c>
      <c r="AS183" s="525">
        <f>+DATA!AE179</f>
        <v>222601</v>
      </c>
      <c r="AT183" s="525">
        <f>+DATA!AF179</f>
        <v>298086.641</v>
      </c>
      <c r="AU183" s="525">
        <f>+DATA!AG179</f>
        <v>192422</v>
      </c>
      <c r="AV183" s="525">
        <f>+DATA!AH179</f>
        <v>1145606.6410000001</v>
      </c>
    </row>
    <row r="184" spans="1:48" x14ac:dyDescent="0.25">
      <c r="A184" s="527">
        <v>9102</v>
      </c>
      <c r="B184" s="527">
        <v>9209</v>
      </c>
      <c r="C184" s="527" t="s">
        <v>222</v>
      </c>
      <c r="D184" s="771">
        <f t="shared" si="38"/>
        <v>2.8901734103999998E-3</v>
      </c>
      <c r="E184" s="771">
        <f t="shared" si="39"/>
        <v>7.2254335259999995E-4</v>
      </c>
      <c r="F184" s="525">
        <f>+DATA!D180</f>
        <v>25515</v>
      </c>
      <c r="G184" s="772">
        <f>+DATA!E180</f>
        <v>0.17912621129294981</v>
      </c>
      <c r="H184" s="525">
        <f t="shared" si="48"/>
        <v>4570</v>
      </c>
      <c r="I184" s="771">
        <f t="shared" si="40"/>
        <v>3.4997166530999998E-3</v>
      </c>
      <c r="J184" s="771">
        <f t="shared" si="41"/>
        <v>3.4997166530000001E-4</v>
      </c>
      <c r="K184" s="525">
        <f>+DATA!G180</f>
        <v>14033</v>
      </c>
      <c r="L184" s="525">
        <f>+DATA!H180</f>
        <v>15635</v>
      </c>
      <c r="M184" s="525">
        <f>+DATA!I180</f>
        <v>225048834706</v>
      </c>
      <c r="N184" s="525">
        <f>+DATA!J180</f>
        <v>367480076224</v>
      </c>
      <c r="O184" s="773">
        <f t="shared" si="49"/>
        <v>0.74139184588860263</v>
      </c>
      <c r="P184" s="774" t="str">
        <f t="shared" si="50"/>
        <v>SI</v>
      </c>
      <c r="Q184" s="771">
        <f t="shared" si="42"/>
        <v>2.3067802632E-3</v>
      </c>
      <c r="R184" s="771">
        <f t="shared" si="43"/>
        <v>3.3072176389000001E-3</v>
      </c>
      <c r="S184" s="771">
        <f t="shared" si="44"/>
        <v>9.9216529170000002E-4</v>
      </c>
      <c r="T184" s="525">
        <f>+DATA!K180</f>
        <v>0</v>
      </c>
      <c r="U184" s="525">
        <f>+DATA!L180</f>
        <v>0</v>
      </c>
      <c r="V184" s="525">
        <f>+DATA!M180</f>
        <v>853469</v>
      </c>
      <c r="W184" s="526">
        <f t="shared" si="45"/>
        <v>853469</v>
      </c>
      <c r="X184" s="526">
        <f t="shared" si="51"/>
        <v>853469</v>
      </c>
      <c r="Y184" s="526">
        <f t="shared" si="52"/>
        <v>853469</v>
      </c>
      <c r="Z184" s="525">
        <f>+DATA!F180</f>
        <v>279854.95236141369</v>
      </c>
      <c r="AA184" s="525">
        <f>IF(P184="SI",ROUND(Z184/DIV_Pf,PARAMETROS!$L$8),0)</f>
        <v>23321</v>
      </c>
      <c r="AB184" s="526">
        <f t="shared" si="53"/>
        <v>48836</v>
      </c>
      <c r="AC184" s="775">
        <f t="shared" si="54"/>
        <v>17.48</v>
      </c>
      <c r="AD184" s="525">
        <f>IF(AC184&lt;$AC$6,ROUND(($AC$6-AC184)*AB184,PARAMETROS!$L$8),0)</f>
        <v>4250685</v>
      </c>
      <c r="AE184" s="771">
        <f t="shared" si="46"/>
        <v>4.0798924053999999E-3</v>
      </c>
      <c r="AF184" s="771">
        <f t="shared" si="47"/>
        <v>1.4279623418999999E-3</v>
      </c>
      <c r="AG184" s="771">
        <f t="shared" si="55"/>
        <v>3.4926426515000004E-3</v>
      </c>
      <c r="AH184" s="525">
        <f>+DATA!Q180</f>
        <v>6558403.801</v>
      </c>
      <c r="AI184" s="525">
        <f>+DATA!R180</f>
        <v>546533.65008333337</v>
      </c>
      <c r="AJ184" s="525">
        <f>+DATA!S180</f>
        <v>431762</v>
      </c>
      <c r="AK184" s="525">
        <f>+'_DATA STT PAGOS_'!G182</f>
        <v>0</v>
      </c>
      <c r="AL184" s="525">
        <f>+'_DATA STT PAGOS_'!J182</f>
        <v>8904532.2379999999</v>
      </c>
      <c r="AM184" s="525">
        <f>+DATA!Y180</f>
        <v>28024</v>
      </c>
      <c r="AN184" s="525">
        <f>+DATA!Z180</f>
        <v>20623</v>
      </c>
      <c r="AO184" s="525">
        <f>+DATA!AA180</f>
        <v>24996</v>
      </c>
      <c r="AP184" s="525">
        <f>+DATA!AB180</f>
        <v>18890</v>
      </c>
      <c r="AQ184" s="525">
        <f>+DATA!AC180</f>
        <v>92533</v>
      </c>
      <c r="AR184" s="525">
        <f>+DATA!AD180</f>
        <v>814</v>
      </c>
      <c r="AS184" s="525">
        <f>+DATA!AE180</f>
        <v>744</v>
      </c>
      <c r="AT184" s="525">
        <f>+DATA!AF180</f>
        <v>587.10199999999998</v>
      </c>
      <c r="AU184" s="525">
        <f>+DATA!AG180</f>
        <v>672</v>
      </c>
      <c r="AV184" s="525">
        <f>+DATA!AH180</f>
        <v>2817.1019999999999</v>
      </c>
    </row>
    <row r="185" spans="1:48" x14ac:dyDescent="0.25">
      <c r="A185" s="527">
        <v>9103</v>
      </c>
      <c r="B185" s="527">
        <v>9204</v>
      </c>
      <c r="C185" s="527" t="s">
        <v>217</v>
      </c>
      <c r="D185" s="771">
        <f t="shared" si="38"/>
        <v>2.8901734103999998E-3</v>
      </c>
      <c r="E185" s="771">
        <f t="shared" si="39"/>
        <v>7.2254335259999995E-4</v>
      </c>
      <c r="F185" s="525">
        <f>+DATA!D181</f>
        <v>18068</v>
      </c>
      <c r="G185" s="772">
        <f>+DATA!E181</f>
        <v>0.1480947838943408</v>
      </c>
      <c r="H185" s="525">
        <f t="shared" si="48"/>
        <v>2676</v>
      </c>
      <c r="I185" s="771">
        <f t="shared" si="40"/>
        <v>2.0492870380000002E-3</v>
      </c>
      <c r="J185" s="771">
        <f t="shared" si="41"/>
        <v>2.049287038E-4</v>
      </c>
      <c r="K185" s="525">
        <f>+DATA!G181</f>
        <v>9751</v>
      </c>
      <c r="L185" s="525">
        <f>+DATA!H181</f>
        <v>13829</v>
      </c>
      <c r="M185" s="525">
        <f>+DATA!I181</f>
        <v>222205688813</v>
      </c>
      <c r="N185" s="525">
        <f>+DATA!J181</f>
        <v>653246234260</v>
      </c>
      <c r="O185" s="773">
        <f t="shared" si="49"/>
        <v>0.48974309237495411</v>
      </c>
      <c r="P185" s="774" t="str">
        <f t="shared" si="50"/>
        <v>SI</v>
      </c>
      <c r="Q185" s="771">
        <f t="shared" si="42"/>
        <v>1.2592460532000001E-3</v>
      </c>
      <c r="R185" s="771">
        <f t="shared" si="43"/>
        <v>1.8053738474000001E-3</v>
      </c>
      <c r="S185" s="771">
        <f t="shared" si="44"/>
        <v>5.4161215420000001E-4</v>
      </c>
      <c r="T185" s="525">
        <f>+DATA!K181</f>
        <v>0</v>
      </c>
      <c r="U185" s="525">
        <f>+DATA!L181</f>
        <v>0</v>
      </c>
      <c r="V185" s="525">
        <f>+DATA!M181</f>
        <v>2016417</v>
      </c>
      <c r="W185" s="526">
        <f t="shared" si="45"/>
        <v>2016417</v>
      </c>
      <c r="X185" s="526">
        <f t="shared" si="51"/>
        <v>2016417</v>
      </c>
      <c r="Y185" s="526">
        <f t="shared" si="52"/>
        <v>2016417</v>
      </c>
      <c r="Z185" s="525">
        <f>+DATA!F181</f>
        <v>438066.0251181557</v>
      </c>
      <c r="AA185" s="525">
        <f>IF(P185="SI",ROUND(Z185/DIV_Pf,PARAMETROS!$L$8),0)</f>
        <v>36506</v>
      </c>
      <c r="AB185" s="526">
        <f t="shared" si="53"/>
        <v>54574</v>
      </c>
      <c r="AC185" s="775">
        <f t="shared" si="54"/>
        <v>36.950000000000003</v>
      </c>
      <c r="AD185" s="525">
        <f>IF(AC185&lt;$AC$6,ROUND(($AC$6-AC185)*AB185,PARAMETROS!$L$8),0)</f>
        <v>3687565</v>
      </c>
      <c r="AE185" s="771">
        <f t="shared" si="46"/>
        <v>3.5393985765000001E-3</v>
      </c>
      <c r="AF185" s="771">
        <f t="shared" si="47"/>
        <v>1.2387895017999999E-3</v>
      </c>
      <c r="AG185" s="771">
        <f t="shared" si="55"/>
        <v>2.7078737123999996E-3</v>
      </c>
      <c r="AH185" s="525">
        <f>+DATA!Q181</f>
        <v>4234723.5530000003</v>
      </c>
      <c r="AI185" s="525">
        <f>+DATA!R181</f>
        <v>352893.62941666669</v>
      </c>
      <c r="AJ185" s="525">
        <f>+DATA!S181</f>
        <v>278786</v>
      </c>
      <c r="AK185" s="525">
        <f>+'_DATA STT PAGOS_'!G183</f>
        <v>0</v>
      </c>
      <c r="AL185" s="525">
        <f>+'_DATA STT PAGOS_'!J183</f>
        <v>5746579.7480000006</v>
      </c>
      <c r="AM185" s="525">
        <f>+DATA!Y181</f>
        <v>136846</v>
      </c>
      <c r="AN185" s="525">
        <f>+DATA!Z181</f>
        <v>92418</v>
      </c>
      <c r="AO185" s="525">
        <f>+DATA!AA181</f>
        <v>105723</v>
      </c>
      <c r="AP185" s="525">
        <f>+DATA!AB181</f>
        <v>96786</v>
      </c>
      <c r="AQ185" s="525">
        <f>+DATA!AC181</f>
        <v>431773</v>
      </c>
      <c r="AR185" s="525">
        <f>+DATA!AD181</f>
        <v>1472</v>
      </c>
      <c r="AS185" s="525">
        <f>+DATA!AE181</f>
        <v>613</v>
      </c>
      <c r="AT185" s="525">
        <f>+DATA!AF181</f>
        <v>936.024</v>
      </c>
      <c r="AU185" s="525">
        <f>+DATA!AG181</f>
        <v>881</v>
      </c>
      <c r="AV185" s="525">
        <f>+DATA!AH181</f>
        <v>3902.0239999999999</v>
      </c>
    </row>
    <row r="186" spans="1:48" x14ac:dyDescent="0.25">
      <c r="A186" s="527">
        <v>9104</v>
      </c>
      <c r="B186" s="527">
        <v>9218</v>
      </c>
      <c r="C186" s="527" t="s">
        <v>228</v>
      </c>
      <c r="D186" s="771">
        <f t="shared" si="38"/>
        <v>2.8901734103999998E-3</v>
      </c>
      <c r="E186" s="771">
        <f t="shared" si="39"/>
        <v>7.2254335259999995E-4</v>
      </c>
      <c r="F186" s="525">
        <f>+DATA!D182</f>
        <v>7873</v>
      </c>
      <c r="G186" s="772">
        <f>+DATA!E182</f>
        <v>0.15219255672629961</v>
      </c>
      <c r="H186" s="525">
        <f t="shared" si="48"/>
        <v>1198</v>
      </c>
      <c r="I186" s="771">
        <f t="shared" si="40"/>
        <v>9.1743119269999996E-4</v>
      </c>
      <c r="J186" s="771">
        <f t="shared" si="41"/>
        <v>9.1743119300000006E-5</v>
      </c>
      <c r="K186" s="525">
        <f>+DATA!G182</f>
        <v>3342</v>
      </c>
      <c r="L186" s="525">
        <f>+DATA!H182</f>
        <v>5620</v>
      </c>
      <c r="M186" s="525">
        <f>+DATA!I182</f>
        <v>69724218748</v>
      </c>
      <c r="N186" s="525">
        <f>+DATA!J182</f>
        <v>142337949748</v>
      </c>
      <c r="O186" s="773">
        <f t="shared" si="49"/>
        <v>0.53971755019885026</v>
      </c>
      <c r="P186" s="774" t="str">
        <f t="shared" si="50"/>
        <v>SI</v>
      </c>
      <c r="Q186" s="771">
        <f t="shared" si="42"/>
        <v>3.6398177419999999E-4</v>
      </c>
      <c r="R186" s="771">
        <f t="shared" si="43"/>
        <v>5.21838583E-4</v>
      </c>
      <c r="S186" s="771">
        <f t="shared" si="44"/>
        <v>1.565515749E-4</v>
      </c>
      <c r="T186" s="525">
        <f>+DATA!K182</f>
        <v>0</v>
      </c>
      <c r="U186" s="525">
        <f>+DATA!L182</f>
        <v>0</v>
      </c>
      <c r="V186" s="525">
        <f>+DATA!M182</f>
        <v>363356</v>
      </c>
      <c r="W186" s="526">
        <f t="shared" si="45"/>
        <v>363356</v>
      </c>
      <c r="X186" s="526">
        <f t="shared" si="51"/>
        <v>363356</v>
      </c>
      <c r="Y186" s="526">
        <f t="shared" si="52"/>
        <v>363356</v>
      </c>
      <c r="Z186" s="525">
        <f>+DATA!F182</f>
        <v>83184.816671923152</v>
      </c>
      <c r="AA186" s="525">
        <f>IF(P186="SI",ROUND(Z186/DIV_Pf,PARAMETROS!$L$8),0)</f>
        <v>6932</v>
      </c>
      <c r="AB186" s="526">
        <f t="shared" si="53"/>
        <v>14805</v>
      </c>
      <c r="AC186" s="775">
        <f t="shared" si="54"/>
        <v>24.54</v>
      </c>
      <c r="AD186" s="525">
        <f>IF(AC186&lt;$AC$6,ROUND(($AC$6-AC186)*AB186,PARAMETROS!$L$8),0)</f>
        <v>1184104</v>
      </c>
      <c r="AE186" s="771">
        <f t="shared" si="46"/>
        <v>1.1365266813999999E-3</v>
      </c>
      <c r="AF186" s="771">
        <f t="shared" si="47"/>
        <v>3.9778433849999999E-4</v>
      </c>
      <c r="AG186" s="771">
        <f t="shared" si="55"/>
        <v>1.3686223852999999E-3</v>
      </c>
      <c r="AH186" s="525">
        <f>+DATA!Q182</f>
        <v>2499595.0580000002</v>
      </c>
      <c r="AI186" s="525">
        <f>+DATA!R182</f>
        <v>208299.58816666668</v>
      </c>
      <c r="AJ186" s="525">
        <f>+DATA!S182</f>
        <v>164557</v>
      </c>
      <c r="AK186" s="525">
        <f>+'_DATA STT PAGOS_'!G184</f>
        <v>0</v>
      </c>
      <c r="AL186" s="525">
        <f>+'_DATA STT PAGOS_'!J184</f>
        <v>3391526.2510000002</v>
      </c>
      <c r="AM186" s="525">
        <f>+DATA!Y182</f>
        <v>14389</v>
      </c>
      <c r="AN186" s="525">
        <f>+DATA!Z182</f>
        <v>7648</v>
      </c>
      <c r="AO186" s="525">
        <f>+DATA!AA182</f>
        <v>9682</v>
      </c>
      <c r="AP186" s="525">
        <f>+DATA!AB182</f>
        <v>6824</v>
      </c>
      <c r="AQ186" s="525">
        <f>+DATA!AC182</f>
        <v>38543</v>
      </c>
      <c r="AR186" s="525">
        <f>+DATA!AD182</f>
        <v>991</v>
      </c>
      <c r="AS186" s="525">
        <f>+DATA!AE182</f>
        <v>541</v>
      </c>
      <c r="AT186" s="525">
        <f>+DATA!AF182</f>
        <v>989.92</v>
      </c>
      <c r="AU186" s="525">
        <f>+DATA!AG182</f>
        <v>277</v>
      </c>
      <c r="AV186" s="525">
        <f>+DATA!AH182</f>
        <v>2798.92</v>
      </c>
    </row>
    <row r="187" spans="1:48" x14ac:dyDescent="0.25">
      <c r="A187" s="527">
        <v>9105</v>
      </c>
      <c r="B187" s="527">
        <v>9203</v>
      </c>
      <c r="C187" s="527" t="s">
        <v>216</v>
      </c>
      <c r="D187" s="771">
        <f t="shared" si="38"/>
        <v>2.8901734103999998E-3</v>
      </c>
      <c r="E187" s="771">
        <f t="shared" si="39"/>
        <v>7.2254335259999995E-4</v>
      </c>
      <c r="F187" s="525">
        <f>+DATA!D183</f>
        <v>25488</v>
      </c>
      <c r="G187" s="772">
        <f>+DATA!E183</f>
        <v>0.1441236436286287</v>
      </c>
      <c r="H187" s="525">
        <f t="shared" si="48"/>
        <v>3673</v>
      </c>
      <c r="I187" s="771">
        <f t="shared" si="40"/>
        <v>2.8127919621000002E-3</v>
      </c>
      <c r="J187" s="771">
        <f t="shared" si="41"/>
        <v>2.8127919619999999E-4</v>
      </c>
      <c r="K187" s="525">
        <f>+DATA!G183</f>
        <v>11680</v>
      </c>
      <c r="L187" s="525">
        <f>+DATA!H183</f>
        <v>14388</v>
      </c>
      <c r="M187" s="525">
        <f>+DATA!I183</f>
        <v>252493196002</v>
      </c>
      <c r="N187" s="525">
        <f>+DATA!J183</f>
        <v>585130575667</v>
      </c>
      <c r="O187" s="773">
        <f t="shared" si="49"/>
        <v>0.59186090019098436</v>
      </c>
      <c r="P187" s="774" t="str">
        <f t="shared" si="50"/>
        <v>SI</v>
      </c>
      <c r="Q187" s="771">
        <f t="shared" si="42"/>
        <v>1.7365541031000001E-3</v>
      </c>
      <c r="R187" s="771">
        <f t="shared" si="43"/>
        <v>2.4896876622000001E-3</v>
      </c>
      <c r="S187" s="771">
        <f t="shared" si="44"/>
        <v>7.4690629870000004E-4</v>
      </c>
      <c r="T187" s="525">
        <f>+DATA!K183</f>
        <v>0</v>
      </c>
      <c r="U187" s="525">
        <f>+DATA!L183</f>
        <v>0</v>
      </c>
      <c r="V187" s="525">
        <f>+DATA!M183</f>
        <v>1924617</v>
      </c>
      <c r="W187" s="526">
        <f t="shared" si="45"/>
        <v>1924617</v>
      </c>
      <c r="X187" s="526">
        <f t="shared" si="51"/>
        <v>1924617</v>
      </c>
      <c r="Y187" s="526">
        <f t="shared" si="52"/>
        <v>1924617</v>
      </c>
      <c r="Z187" s="525">
        <f>+DATA!F183</f>
        <v>255038.96670476484</v>
      </c>
      <c r="AA187" s="525">
        <f>IF(P187="SI",ROUND(Z187/DIV_Pf,PARAMETROS!$L$8),0)</f>
        <v>21253</v>
      </c>
      <c r="AB187" s="526">
        <f t="shared" si="53"/>
        <v>46741</v>
      </c>
      <c r="AC187" s="775">
        <f t="shared" si="54"/>
        <v>41.18</v>
      </c>
      <c r="AD187" s="525">
        <f>IF(AC187&lt;$AC$6,ROUND(($AC$6-AC187)*AB187,PARAMETROS!$L$8),0)</f>
        <v>2960575</v>
      </c>
      <c r="AE187" s="771">
        <f t="shared" si="46"/>
        <v>2.8416190468000002E-3</v>
      </c>
      <c r="AF187" s="771">
        <f t="shared" si="47"/>
        <v>9.9456666639999997E-4</v>
      </c>
      <c r="AG187" s="771">
        <f t="shared" si="55"/>
        <v>2.7452955138999998E-3</v>
      </c>
      <c r="AH187" s="525">
        <f>+DATA!Q183</f>
        <v>4946432.2539999997</v>
      </c>
      <c r="AI187" s="525">
        <f>+DATA!R183</f>
        <v>412202.68783333333</v>
      </c>
      <c r="AJ187" s="525">
        <f>+DATA!S183</f>
        <v>325640</v>
      </c>
      <c r="AK187" s="525">
        <f>+'_DATA STT PAGOS_'!G185</f>
        <v>0</v>
      </c>
      <c r="AL187" s="525">
        <f>+'_DATA STT PAGOS_'!J185</f>
        <v>6715666.9890000001</v>
      </c>
      <c r="AM187" s="525">
        <f>+DATA!Y183</f>
        <v>102318</v>
      </c>
      <c r="AN187" s="525">
        <f>+DATA!Z183</f>
        <v>81277</v>
      </c>
      <c r="AO187" s="525">
        <f>+DATA!AA183</f>
        <v>87132</v>
      </c>
      <c r="AP187" s="525">
        <f>+DATA!AB183</f>
        <v>67754</v>
      </c>
      <c r="AQ187" s="525">
        <f>+DATA!AC183</f>
        <v>338481</v>
      </c>
      <c r="AR187" s="525">
        <f>+DATA!AD183</f>
        <v>394</v>
      </c>
      <c r="AS187" s="525">
        <f>+DATA!AE183</f>
        <v>259</v>
      </c>
      <c r="AT187" s="525">
        <f>+DATA!AF183</f>
        <v>244.87700000000001</v>
      </c>
      <c r="AU187" s="525">
        <f>+DATA!AG183</f>
        <v>240</v>
      </c>
      <c r="AV187" s="525">
        <f>+DATA!AH183</f>
        <v>1137.877</v>
      </c>
    </row>
    <row r="188" spans="1:48" x14ac:dyDescent="0.25">
      <c r="A188" s="527">
        <v>9106</v>
      </c>
      <c r="B188" s="527">
        <v>9207</v>
      </c>
      <c r="C188" s="527" t="s">
        <v>220</v>
      </c>
      <c r="D188" s="771">
        <f t="shared" si="38"/>
        <v>2.8901734103999998E-3</v>
      </c>
      <c r="E188" s="771">
        <f t="shared" si="39"/>
        <v>7.2254335259999995E-4</v>
      </c>
      <c r="F188" s="525">
        <f>+DATA!D184</f>
        <v>12568</v>
      </c>
      <c r="G188" s="772">
        <f>+DATA!E184</f>
        <v>0.1675842073730385</v>
      </c>
      <c r="H188" s="525">
        <f t="shared" si="48"/>
        <v>2106</v>
      </c>
      <c r="I188" s="771">
        <f t="shared" si="40"/>
        <v>1.6127797093E-3</v>
      </c>
      <c r="J188" s="771">
        <f t="shared" si="41"/>
        <v>1.612779709E-4</v>
      </c>
      <c r="K188" s="525">
        <f>+DATA!G184</f>
        <v>7403</v>
      </c>
      <c r="L188" s="525">
        <f>+DATA!H184</f>
        <v>7942</v>
      </c>
      <c r="M188" s="525">
        <f>+DATA!I184</f>
        <v>108447039912</v>
      </c>
      <c r="N188" s="525">
        <f>+DATA!J184</f>
        <v>180910157985</v>
      </c>
      <c r="O188" s="773">
        <f t="shared" si="49"/>
        <v>0.747508797109939</v>
      </c>
      <c r="P188" s="774" t="str">
        <f t="shared" si="50"/>
        <v>SI</v>
      </c>
      <c r="Q188" s="771">
        <f t="shared" si="42"/>
        <v>1.2638300522999999E-3</v>
      </c>
      <c r="R188" s="771">
        <f t="shared" si="43"/>
        <v>1.8119459006000001E-3</v>
      </c>
      <c r="S188" s="771">
        <f t="shared" si="44"/>
        <v>5.4358377019999996E-4</v>
      </c>
      <c r="T188" s="525">
        <f>+DATA!K184</f>
        <v>0</v>
      </c>
      <c r="U188" s="525">
        <f>+DATA!L184</f>
        <v>0</v>
      </c>
      <c r="V188" s="525">
        <f>+DATA!M184</f>
        <v>600698</v>
      </c>
      <c r="W188" s="526">
        <f t="shared" si="45"/>
        <v>600698</v>
      </c>
      <c r="X188" s="526">
        <f t="shared" si="51"/>
        <v>600698</v>
      </c>
      <c r="Y188" s="526">
        <f t="shared" si="52"/>
        <v>600698</v>
      </c>
      <c r="Z188" s="525">
        <f>+DATA!F184</f>
        <v>80609.075922152479</v>
      </c>
      <c r="AA188" s="525">
        <f>IF(P188="SI",ROUND(Z188/DIV_Pf,PARAMETROS!$L$8),0)</f>
        <v>6717</v>
      </c>
      <c r="AB188" s="526">
        <f t="shared" si="53"/>
        <v>19285</v>
      </c>
      <c r="AC188" s="775">
        <f t="shared" si="54"/>
        <v>31.15</v>
      </c>
      <c r="AD188" s="525">
        <f>IF(AC188&lt;$AC$6,ROUND(($AC$6-AC188)*AB188,PARAMETROS!$L$8),0)</f>
        <v>1414940</v>
      </c>
      <c r="AE188" s="771">
        <f t="shared" si="46"/>
        <v>1.3580876871E-3</v>
      </c>
      <c r="AF188" s="771">
        <f t="shared" si="47"/>
        <v>4.753306905E-4</v>
      </c>
      <c r="AG188" s="771">
        <f t="shared" si="55"/>
        <v>1.9027357841999999E-3</v>
      </c>
      <c r="AH188" s="525">
        <f>+DATA!Q184</f>
        <v>3499945.0150000001</v>
      </c>
      <c r="AI188" s="525">
        <f>+DATA!R184</f>
        <v>291662.08458333334</v>
      </c>
      <c r="AJ188" s="525">
        <f>+DATA!S184</f>
        <v>230413</v>
      </c>
      <c r="AK188" s="525">
        <f>+'_DATA STT PAGOS_'!G186</f>
        <v>0</v>
      </c>
      <c r="AL188" s="525">
        <f>+'_DATA STT PAGOS_'!J186</f>
        <v>4750550.0720000006</v>
      </c>
      <c r="AM188" s="525">
        <f>+DATA!Y184</f>
        <v>14985</v>
      </c>
      <c r="AN188" s="525">
        <f>+DATA!Z184</f>
        <v>11850</v>
      </c>
      <c r="AO188" s="525">
        <f>+DATA!AA184</f>
        <v>11843</v>
      </c>
      <c r="AP188" s="525">
        <f>+DATA!AB184</f>
        <v>11887</v>
      </c>
      <c r="AQ188" s="525">
        <f>+DATA!AC184</f>
        <v>50565</v>
      </c>
      <c r="AR188" s="525">
        <f>+DATA!AD184</f>
        <v>1446</v>
      </c>
      <c r="AS188" s="525">
        <f>+DATA!AE184</f>
        <v>797</v>
      </c>
      <c r="AT188" s="525">
        <f>+DATA!AF184</f>
        <v>721.49199999999996</v>
      </c>
      <c r="AU188" s="525">
        <f>+DATA!AG184</f>
        <v>1431</v>
      </c>
      <c r="AV188" s="525">
        <f>+DATA!AH184</f>
        <v>4395.4920000000002</v>
      </c>
    </row>
    <row r="189" spans="1:48" x14ac:dyDescent="0.25">
      <c r="A189" s="527">
        <v>9107</v>
      </c>
      <c r="B189" s="527">
        <v>9212</v>
      </c>
      <c r="C189" s="527" t="s">
        <v>224</v>
      </c>
      <c r="D189" s="771">
        <f t="shared" si="38"/>
        <v>2.8901734103999998E-3</v>
      </c>
      <c r="E189" s="771">
        <f t="shared" si="39"/>
        <v>7.2254335259999995E-4</v>
      </c>
      <c r="F189" s="525">
        <f>+DATA!D185</f>
        <v>15076</v>
      </c>
      <c r="G189" s="772">
        <f>+DATA!E185</f>
        <v>0.12754527656973999</v>
      </c>
      <c r="H189" s="525">
        <f t="shared" si="48"/>
        <v>1923</v>
      </c>
      <c r="I189" s="771">
        <f t="shared" si="40"/>
        <v>1.4726378827000001E-3</v>
      </c>
      <c r="J189" s="771">
        <f t="shared" si="41"/>
        <v>1.472637883E-4</v>
      </c>
      <c r="K189" s="525">
        <f>+DATA!G185</f>
        <v>7308</v>
      </c>
      <c r="L189" s="525">
        <f>+DATA!H185</f>
        <v>9348</v>
      </c>
      <c r="M189" s="525">
        <f>+DATA!I185</f>
        <v>165902799791</v>
      </c>
      <c r="N189" s="525">
        <f>+DATA!J185</f>
        <v>359821396472</v>
      </c>
      <c r="O189" s="773">
        <f t="shared" si="49"/>
        <v>0.60037594434091568</v>
      </c>
      <c r="P189" s="774" t="str">
        <f t="shared" si="50"/>
        <v>SI</v>
      </c>
      <c r="Q189" s="771">
        <f t="shared" si="42"/>
        <v>1.0463607386E-3</v>
      </c>
      <c r="R189" s="771">
        <f t="shared" si="43"/>
        <v>1.5001613923000001E-3</v>
      </c>
      <c r="S189" s="771">
        <f t="shared" si="44"/>
        <v>4.5004841770000001E-4</v>
      </c>
      <c r="T189" s="525">
        <f>+DATA!K185</f>
        <v>0</v>
      </c>
      <c r="U189" s="525">
        <f>+DATA!L185</f>
        <v>0</v>
      </c>
      <c r="V189" s="525">
        <f>+DATA!M185</f>
        <v>1060795</v>
      </c>
      <c r="W189" s="526">
        <f t="shared" si="45"/>
        <v>1060795</v>
      </c>
      <c r="X189" s="526">
        <f t="shared" si="51"/>
        <v>1060795</v>
      </c>
      <c r="Y189" s="526">
        <f t="shared" si="52"/>
        <v>1060795</v>
      </c>
      <c r="Z189" s="525">
        <f>+DATA!F185</f>
        <v>220514.61548692032</v>
      </c>
      <c r="AA189" s="525">
        <f>IF(P189="SI",ROUND(Z189/DIV_Pf,PARAMETROS!$L$8),0)</f>
        <v>18376</v>
      </c>
      <c r="AB189" s="526">
        <f t="shared" si="53"/>
        <v>33452</v>
      </c>
      <c r="AC189" s="775">
        <f t="shared" si="54"/>
        <v>31.71</v>
      </c>
      <c r="AD189" s="525">
        <f>IF(AC189&lt;$AC$6,ROUND(($AC$6-AC189)*AB189,PARAMETROS!$L$8),0)</f>
        <v>2435640</v>
      </c>
      <c r="AE189" s="771">
        <f t="shared" si="46"/>
        <v>2.3377759439000001E-3</v>
      </c>
      <c r="AF189" s="771">
        <f t="shared" si="47"/>
        <v>8.1822158040000003E-4</v>
      </c>
      <c r="AG189" s="771">
        <f t="shared" si="55"/>
        <v>2.1380771390000003E-3</v>
      </c>
      <c r="AH189" s="525">
        <f>+DATA!Q185</f>
        <v>3840684.423</v>
      </c>
      <c r="AI189" s="525">
        <f>+DATA!R185</f>
        <v>320057.03525000002</v>
      </c>
      <c r="AJ189" s="525">
        <f>+DATA!S185</f>
        <v>252845</v>
      </c>
      <c r="AK189" s="525">
        <f>+'_DATA STT PAGOS_'!G187</f>
        <v>0</v>
      </c>
      <c r="AL189" s="525">
        <f>+'_DATA STT PAGOS_'!J187</f>
        <v>5211837.5049999999</v>
      </c>
      <c r="AM189" s="525">
        <f>+DATA!Y185</f>
        <v>49532</v>
      </c>
      <c r="AN189" s="525">
        <f>+DATA!Z185</f>
        <v>52460</v>
      </c>
      <c r="AO189" s="525">
        <f>+DATA!AA185</f>
        <v>46536</v>
      </c>
      <c r="AP189" s="525">
        <f>+DATA!AB185</f>
        <v>37785</v>
      </c>
      <c r="AQ189" s="525">
        <f>+DATA!AC185</f>
        <v>186313</v>
      </c>
      <c r="AR189" s="525">
        <f>+DATA!AD185</f>
        <v>706</v>
      </c>
      <c r="AS189" s="525">
        <f>+DATA!AE185</f>
        <v>718</v>
      </c>
      <c r="AT189" s="525">
        <f>+DATA!AF185</f>
        <v>890.63800000000003</v>
      </c>
      <c r="AU189" s="525">
        <f>+DATA!AG185</f>
        <v>1141</v>
      </c>
      <c r="AV189" s="525">
        <f>+DATA!AH185</f>
        <v>3455.6379999999999</v>
      </c>
    </row>
    <row r="190" spans="1:48" x14ac:dyDescent="0.25">
      <c r="A190" s="527">
        <v>9108</v>
      </c>
      <c r="B190" s="527">
        <v>9205</v>
      </c>
      <c r="C190" s="527" t="s">
        <v>218</v>
      </c>
      <c r="D190" s="771">
        <f t="shared" si="38"/>
        <v>2.8901734103999998E-3</v>
      </c>
      <c r="E190" s="771">
        <f t="shared" si="39"/>
        <v>7.2254335259999995E-4</v>
      </c>
      <c r="F190" s="525">
        <f>+DATA!D186</f>
        <v>41884</v>
      </c>
      <c r="G190" s="772">
        <f>+DATA!E186</f>
        <v>8.8133530560989923E-2</v>
      </c>
      <c r="H190" s="525">
        <f t="shared" si="48"/>
        <v>3691</v>
      </c>
      <c r="I190" s="771">
        <f t="shared" si="40"/>
        <v>2.8265764040999999E-3</v>
      </c>
      <c r="J190" s="771">
        <f t="shared" si="41"/>
        <v>2.8265764040000003E-4</v>
      </c>
      <c r="K190" s="525">
        <f>+DATA!G186</f>
        <v>17331</v>
      </c>
      <c r="L190" s="525">
        <f>+DATA!H186</f>
        <v>20857</v>
      </c>
      <c r="M190" s="525">
        <f>+DATA!I186</f>
        <v>436605194836</v>
      </c>
      <c r="N190" s="525">
        <f>+DATA!J186</f>
        <v>928775076081</v>
      </c>
      <c r="O190" s="773">
        <f t="shared" si="49"/>
        <v>0.624992871162936</v>
      </c>
      <c r="P190" s="774" t="str">
        <f t="shared" si="50"/>
        <v>SI</v>
      </c>
      <c r="Q190" s="771">
        <f t="shared" si="42"/>
        <v>2.6375364215000001E-3</v>
      </c>
      <c r="R190" s="771">
        <f t="shared" si="43"/>
        <v>3.7814208469E-3</v>
      </c>
      <c r="S190" s="771">
        <f t="shared" si="44"/>
        <v>1.1344262540999999E-3</v>
      </c>
      <c r="T190" s="525">
        <f>+DATA!K186</f>
        <v>0</v>
      </c>
      <c r="U190" s="525">
        <f>+DATA!L186</f>
        <v>0</v>
      </c>
      <c r="V190" s="525">
        <f>+DATA!M186</f>
        <v>5171342</v>
      </c>
      <c r="W190" s="526">
        <f t="shared" si="45"/>
        <v>5171342</v>
      </c>
      <c r="X190" s="526">
        <f t="shared" si="51"/>
        <v>5171342</v>
      </c>
      <c r="Y190" s="526">
        <f t="shared" si="52"/>
        <v>5171342</v>
      </c>
      <c r="Z190" s="525">
        <f>+DATA!F186</f>
        <v>401684.88394269033</v>
      </c>
      <c r="AA190" s="525">
        <f>IF(P190="SI",ROUND(Z190/DIV_Pf,PARAMETROS!$L$8),0)</f>
        <v>33474</v>
      </c>
      <c r="AB190" s="526">
        <f t="shared" si="53"/>
        <v>75358</v>
      </c>
      <c r="AC190" s="775">
        <f t="shared" si="54"/>
        <v>68.62</v>
      </c>
      <c r="AD190" s="525">
        <f>IF(AC190&lt;$AC$6,ROUND(($AC$6-AC190)*AB190,PARAMETROS!$L$8),0)</f>
        <v>2705352</v>
      </c>
      <c r="AE190" s="771">
        <f t="shared" si="46"/>
        <v>2.5966509113000001E-3</v>
      </c>
      <c r="AF190" s="771">
        <f t="shared" si="47"/>
        <v>9.0882781900000005E-4</v>
      </c>
      <c r="AG190" s="771">
        <f t="shared" si="55"/>
        <v>3.0484550660999999E-3</v>
      </c>
      <c r="AH190" s="525">
        <f>+DATA!Q186</f>
        <v>5038179.1359999999</v>
      </c>
      <c r="AI190" s="525">
        <f>+DATA!R186</f>
        <v>419848.26133333333</v>
      </c>
      <c r="AJ190" s="525">
        <f>+DATA!S186</f>
        <v>331680</v>
      </c>
      <c r="AK190" s="525">
        <f>+'_DATA STT PAGOS_'!G188</f>
        <v>0</v>
      </c>
      <c r="AL190" s="525">
        <f>+'_DATA STT PAGOS_'!J188</f>
        <v>6829749.6059999997</v>
      </c>
      <c r="AM190" s="525">
        <f>+DATA!Y186</f>
        <v>179009</v>
      </c>
      <c r="AN190" s="525">
        <f>+DATA!Z186</f>
        <v>125114</v>
      </c>
      <c r="AO190" s="525">
        <f>+DATA!AA186</f>
        <v>156146</v>
      </c>
      <c r="AP190" s="525">
        <f>+DATA!AB186</f>
        <v>127054</v>
      </c>
      <c r="AQ190" s="525">
        <f>+DATA!AC186</f>
        <v>587323</v>
      </c>
      <c r="AR190" s="525">
        <f>+DATA!AD186</f>
        <v>8320</v>
      </c>
      <c r="AS190" s="525">
        <f>+DATA!AE186</f>
        <v>4329</v>
      </c>
      <c r="AT190" s="525">
        <f>+DATA!AF186</f>
        <v>6313.4870000000001</v>
      </c>
      <c r="AU190" s="525">
        <f>+DATA!AG186</f>
        <v>3146</v>
      </c>
      <c r="AV190" s="525">
        <f>+DATA!AH186</f>
        <v>22108.487000000001</v>
      </c>
    </row>
    <row r="191" spans="1:48" x14ac:dyDescent="0.25">
      <c r="A191" s="527">
        <v>9109</v>
      </c>
      <c r="B191" s="527">
        <v>9214</v>
      </c>
      <c r="C191" s="527" t="s">
        <v>225</v>
      </c>
      <c r="D191" s="771">
        <f t="shared" si="38"/>
        <v>2.8901734103999998E-3</v>
      </c>
      <c r="E191" s="771">
        <f t="shared" si="39"/>
        <v>7.2254335259999995E-4</v>
      </c>
      <c r="F191" s="525">
        <f>+DATA!D187</f>
        <v>24785</v>
      </c>
      <c r="G191" s="772">
        <f>+DATA!E187</f>
        <v>0.1227706099754267</v>
      </c>
      <c r="H191" s="525">
        <f t="shared" si="48"/>
        <v>3043</v>
      </c>
      <c r="I191" s="771">
        <f t="shared" si="40"/>
        <v>2.3303364935000001E-3</v>
      </c>
      <c r="J191" s="771">
        <f t="shared" si="41"/>
        <v>2.330336494E-4</v>
      </c>
      <c r="K191" s="525">
        <f>+DATA!G187</f>
        <v>11694</v>
      </c>
      <c r="L191" s="525">
        <f>+DATA!H187</f>
        <v>15848</v>
      </c>
      <c r="M191" s="525">
        <f>+DATA!I187</f>
        <v>246964579312</v>
      </c>
      <c r="N191" s="525">
        <f>+DATA!J187</f>
        <v>498594022373</v>
      </c>
      <c r="O191" s="773">
        <f t="shared" si="49"/>
        <v>0.60455819764344854</v>
      </c>
      <c r="P191" s="774" t="str">
        <f t="shared" si="50"/>
        <v>SI</v>
      </c>
      <c r="Q191" s="771">
        <f t="shared" si="42"/>
        <v>1.5803554503000001E-3</v>
      </c>
      <c r="R191" s="771">
        <f t="shared" si="43"/>
        <v>2.2657465492000001E-3</v>
      </c>
      <c r="S191" s="771">
        <f t="shared" si="44"/>
        <v>6.7972396480000001E-4</v>
      </c>
      <c r="T191" s="525">
        <f>+DATA!K187</f>
        <v>0</v>
      </c>
      <c r="U191" s="525">
        <f>+DATA!L187</f>
        <v>0</v>
      </c>
      <c r="V191" s="525">
        <f>+DATA!M187</f>
        <v>1903986</v>
      </c>
      <c r="W191" s="526">
        <f t="shared" si="45"/>
        <v>1903986</v>
      </c>
      <c r="X191" s="526">
        <f t="shared" si="51"/>
        <v>1903986</v>
      </c>
      <c r="Y191" s="526">
        <f t="shared" si="52"/>
        <v>1903986</v>
      </c>
      <c r="Z191" s="525">
        <f>+DATA!F187</f>
        <v>392124.70244972873</v>
      </c>
      <c r="AA191" s="525">
        <f>IF(P191="SI",ROUND(Z191/DIV_Pf,PARAMETROS!$L$8),0)</f>
        <v>32677</v>
      </c>
      <c r="AB191" s="526">
        <f t="shared" si="53"/>
        <v>57462</v>
      </c>
      <c r="AC191" s="775">
        <f t="shared" si="54"/>
        <v>33.130000000000003</v>
      </c>
      <c r="AD191" s="525">
        <f>IF(AC191&lt;$AC$6,ROUND(($AC$6-AC191)*AB191,PARAMETROS!$L$8),0)</f>
        <v>4102212</v>
      </c>
      <c r="AE191" s="771">
        <f t="shared" si="46"/>
        <v>3.9373850530000001E-3</v>
      </c>
      <c r="AF191" s="771">
        <f t="shared" si="47"/>
        <v>1.3780847686E-3</v>
      </c>
      <c r="AG191" s="771">
        <f t="shared" si="55"/>
        <v>3.0133857353999999E-3</v>
      </c>
      <c r="AH191" s="525">
        <f>+DATA!Q187</f>
        <v>4980591.3770000003</v>
      </c>
      <c r="AI191" s="525">
        <f>+DATA!R187</f>
        <v>415049.28141666669</v>
      </c>
      <c r="AJ191" s="525">
        <f>+DATA!S187</f>
        <v>327889</v>
      </c>
      <c r="AK191" s="525">
        <f>+'_DATA STT PAGOS_'!G189</f>
        <v>0</v>
      </c>
      <c r="AL191" s="525">
        <f>+'_DATA STT PAGOS_'!J189</f>
        <v>6759271.5869999994</v>
      </c>
      <c r="AM191" s="525">
        <f>+DATA!Y187</f>
        <v>82209</v>
      </c>
      <c r="AN191" s="525">
        <f>+DATA!Z187</f>
        <v>42657</v>
      </c>
      <c r="AO191" s="525">
        <f>+DATA!AA187</f>
        <v>66410</v>
      </c>
      <c r="AP191" s="525">
        <f>+DATA!AB187</f>
        <v>49795</v>
      </c>
      <c r="AQ191" s="525">
        <f>+DATA!AC187</f>
        <v>241071</v>
      </c>
      <c r="AR191" s="525">
        <f>+DATA!AD187</f>
        <v>1564</v>
      </c>
      <c r="AS191" s="525">
        <f>+DATA!AE187</f>
        <v>852</v>
      </c>
      <c r="AT191" s="525">
        <f>+DATA!AF187</f>
        <v>1285.7470000000001</v>
      </c>
      <c r="AU191" s="525">
        <f>+DATA!AG187</f>
        <v>892</v>
      </c>
      <c r="AV191" s="525">
        <f>+DATA!AH187</f>
        <v>4593.7470000000003</v>
      </c>
    </row>
    <row r="192" spans="1:48" x14ac:dyDescent="0.25">
      <c r="A192" s="527">
        <v>9110</v>
      </c>
      <c r="B192" s="527">
        <v>9217</v>
      </c>
      <c r="C192" s="527" t="s">
        <v>227</v>
      </c>
      <c r="D192" s="771">
        <f t="shared" si="38"/>
        <v>2.8901734103999998E-3</v>
      </c>
      <c r="E192" s="771">
        <f t="shared" si="39"/>
        <v>7.2254335259999995E-4</v>
      </c>
      <c r="F192" s="525">
        <f>+DATA!D188</f>
        <v>6319</v>
      </c>
      <c r="G192" s="772">
        <f>+DATA!E188</f>
        <v>0.1566905777888791</v>
      </c>
      <c r="H192" s="525">
        <f t="shared" si="48"/>
        <v>990</v>
      </c>
      <c r="I192" s="771">
        <f t="shared" si="40"/>
        <v>7.5814430779999999E-4</v>
      </c>
      <c r="J192" s="771">
        <f t="shared" si="41"/>
        <v>7.5814430800000005E-5</v>
      </c>
      <c r="K192" s="525">
        <f>+DATA!G188</f>
        <v>3545</v>
      </c>
      <c r="L192" s="525">
        <f>+DATA!H188</f>
        <v>4666</v>
      </c>
      <c r="M192" s="525">
        <f>+DATA!I188</f>
        <v>86149228645</v>
      </c>
      <c r="N192" s="525">
        <f>+DATA!J188</f>
        <v>149284855015</v>
      </c>
      <c r="O192" s="773">
        <f t="shared" si="49"/>
        <v>0.66214571638771547</v>
      </c>
      <c r="P192" s="774" t="str">
        <f t="shared" si="50"/>
        <v>SI</v>
      </c>
      <c r="Q192" s="771">
        <f t="shared" si="42"/>
        <v>4.9327693250000003E-4</v>
      </c>
      <c r="R192" s="771">
        <f t="shared" si="43"/>
        <v>7.0720831019999999E-4</v>
      </c>
      <c r="S192" s="771">
        <f t="shared" si="44"/>
        <v>2.1216249309999999E-4</v>
      </c>
      <c r="T192" s="525">
        <f>+DATA!K188</f>
        <v>0</v>
      </c>
      <c r="U192" s="525">
        <f>+DATA!L188</f>
        <v>0</v>
      </c>
      <c r="V192" s="525">
        <f>+DATA!M188</f>
        <v>455765</v>
      </c>
      <c r="W192" s="526">
        <f t="shared" si="45"/>
        <v>455765</v>
      </c>
      <c r="X192" s="526">
        <f t="shared" si="51"/>
        <v>455765</v>
      </c>
      <c r="Y192" s="526">
        <f t="shared" si="52"/>
        <v>455765</v>
      </c>
      <c r="Z192" s="525">
        <f>+DATA!F188</f>
        <v>283468.5253519087</v>
      </c>
      <c r="AA192" s="525">
        <f>IF(P192="SI",ROUND(Z192/DIV_Pf,PARAMETROS!$L$8),0)</f>
        <v>23622</v>
      </c>
      <c r="AB192" s="526">
        <f t="shared" si="53"/>
        <v>29941</v>
      </c>
      <c r="AC192" s="775">
        <f t="shared" si="54"/>
        <v>15.22</v>
      </c>
      <c r="AD192" s="525">
        <f>IF(AC192&lt;$AC$6,ROUND(($AC$6-AC192)*AB192,PARAMETROS!$L$8),0)</f>
        <v>2673731</v>
      </c>
      <c r="AE192" s="771">
        <f t="shared" si="46"/>
        <v>2.5663004436000001E-3</v>
      </c>
      <c r="AF192" s="771">
        <f t="shared" si="47"/>
        <v>8.9820515529999998E-4</v>
      </c>
      <c r="AG192" s="771">
        <f t="shared" si="55"/>
        <v>1.9087254317999998E-3</v>
      </c>
      <c r="AH192" s="525">
        <f>+DATA!Q188</f>
        <v>3534537.125</v>
      </c>
      <c r="AI192" s="525">
        <f>+DATA!R188</f>
        <v>294544.76041666669</v>
      </c>
      <c r="AJ192" s="525">
        <f>+DATA!S188</f>
        <v>232690</v>
      </c>
      <c r="AK192" s="525">
        <f>+'_DATA STT PAGOS_'!G190</f>
        <v>0</v>
      </c>
      <c r="AL192" s="525">
        <f>+'_DATA STT PAGOS_'!J190</f>
        <v>4796848.4029999999</v>
      </c>
      <c r="AM192" s="525">
        <f>+DATA!Y188</f>
        <v>15786</v>
      </c>
      <c r="AN192" s="525">
        <f>+DATA!Z188</f>
        <v>13290</v>
      </c>
      <c r="AO192" s="525">
        <f>+DATA!AA188</f>
        <v>10472</v>
      </c>
      <c r="AP192" s="525">
        <f>+DATA!AB188</f>
        <v>9433</v>
      </c>
      <c r="AQ192" s="525">
        <f>+DATA!AC188</f>
        <v>48981</v>
      </c>
      <c r="AR192" s="525">
        <f>+DATA!AD188</f>
        <v>130</v>
      </c>
      <c r="AS192" s="525">
        <f>+DATA!AE188</f>
        <v>139</v>
      </c>
      <c r="AT192" s="525">
        <f>+DATA!AF188</f>
        <v>102.93899999999999</v>
      </c>
      <c r="AU192" s="525">
        <f>+DATA!AG188</f>
        <v>198</v>
      </c>
      <c r="AV192" s="525">
        <f>+DATA!AH188</f>
        <v>569.93899999999996</v>
      </c>
    </row>
    <row r="193" spans="1:48" x14ac:dyDescent="0.25">
      <c r="A193" s="527">
        <v>9111</v>
      </c>
      <c r="B193" s="527">
        <v>9208</v>
      </c>
      <c r="C193" s="527" t="s">
        <v>221</v>
      </c>
      <c r="D193" s="771">
        <f t="shared" si="38"/>
        <v>2.8901734103999998E-3</v>
      </c>
      <c r="E193" s="771">
        <f t="shared" si="39"/>
        <v>7.2254335259999995E-4</v>
      </c>
      <c r="F193" s="525">
        <f>+DATA!D189</f>
        <v>34151</v>
      </c>
      <c r="G193" s="772">
        <f>+DATA!E189</f>
        <v>0.1282838681912552</v>
      </c>
      <c r="H193" s="525">
        <f t="shared" si="48"/>
        <v>4381</v>
      </c>
      <c r="I193" s="771">
        <f t="shared" si="40"/>
        <v>3.3549800126000001E-3</v>
      </c>
      <c r="J193" s="771">
        <f t="shared" si="41"/>
        <v>3.3549800129999998E-4</v>
      </c>
      <c r="K193" s="525">
        <f>+DATA!G189</f>
        <v>17293</v>
      </c>
      <c r="L193" s="525">
        <f>+DATA!H189</f>
        <v>18714</v>
      </c>
      <c r="M193" s="525">
        <f>+DATA!I189</f>
        <v>322054184882</v>
      </c>
      <c r="N193" s="525">
        <f>+DATA!J189</f>
        <v>455107162175</v>
      </c>
      <c r="O193" s="773">
        <f t="shared" si="49"/>
        <v>0.80864796230867952</v>
      </c>
      <c r="P193" s="774" t="str">
        <f t="shared" si="50"/>
        <v>SI</v>
      </c>
      <c r="Q193" s="771">
        <f t="shared" si="42"/>
        <v>2.9266926702999998E-3</v>
      </c>
      <c r="R193" s="771">
        <f t="shared" si="43"/>
        <v>4.1959825031E-3</v>
      </c>
      <c r="S193" s="771">
        <f t="shared" si="44"/>
        <v>1.2587947509000001E-3</v>
      </c>
      <c r="T193" s="525">
        <f>+DATA!K189</f>
        <v>0</v>
      </c>
      <c r="U193" s="525">
        <f>+DATA!L189</f>
        <v>0</v>
      </c>
      <c r="V193" s="525">
        <f>+DATA!M189</f>
        <v>1509322</v>
      </c>
      <c r="W193" s="526">
        <f t="shared" si="45"/>
        <v>1509322</v>
      </c>
      <c r="X193" s="526">
        <f t="shared" si="51"/>
        <v>1509322</v>
      </c>
      <c r="Y193" s="526">
        <f t="shared" si="52"/>
        <v>1509322</v>
      </c>
      <c r="Z193" s="525">
        <f>+DATA!F189</f>
        <v>222233.24519935681</v>
      </c>
      <c r="AA193" s="525">
        <f>IF(P193="SI",ROUND(Z193/DIV_Pf,PARAMETROS!$L$8),0)</f>
        <v>18519</v>
      </c>
      <c r="AB193" s="526">
        <f t="shared" si="53"/>
        <v>52670</v>
      </c>
      <c r="AC193" s="775">
        <f t="shared" si="54"/>
        <v>28.66</v>
      </c>
      <c r="AD193" s="525">
        <f>IF(AC193&lt;$AC$6,ROUND(($AC$6-AC193)*AB193,PARAMETROS!$L$8),0)</f>
        <v>3995546</v>
      </c>
      <c r="AE193" s="771">
        <f t="shared" si="46"/>
        <v>3.8350048947000002E-3</v>
      </c>
      <c r="AF193" s="771">
        <f t="shared" si="47"/>
        <v>1.3422517131000001E-3</v>
      </c>
      <c r="AG193" s="771">
        <f t="shared" si="55"/>
        <v>3.6590878179000004E-3</v>
      </c>
      <c r="AH193" s="525">
        <f>+DATA!Q189</f>
        <v>6776929.9589999998</v>
      </c>
      <c r="AI193" s="525">
        <f>+DATA!R189</f>
        <v>564744.16324999998</v>
      </c>
      <c r="AJ193" s="525">
        <f>+DATA!S189</f>
        <v>446148</v>
      </c>
      <c r="AK193" s="525">
        <f>+'_DATA STT PAGOS_'!G191</f>
        <v>0</v>
      </c>
      <c r="AL193" s="525">
        <f>+'_DATA STT PAGOS_'!J191</f>
        <v>9196647.1229999997</v>
      </c>
      <c r="AM193" s="525">
        <f>+DATA!Y189</f>
        <v>45134</v>
      </c>
      <c r="AN193" s="525">
        <f>+DATA!Z189</f>
        <v>39354</v>
      </c>
      <c r="AO193" s="525">
        <f>+DATA!AA189</f>
        <v>38924</v>
      </c>
      <c r="AP193" s="525">
        <f>+DATA!AB189</f>
        <v>18477</v>
      </c>
      <c r="AQ193" s="525">
        <f>+DATA!AC189</f>
        <v>141889</v>
      </c>
      <c r="AR193" s="525">
        <f>+DATA!AD189</f>
        <v>1962</v>
      </c>
      <c r="AS193" s="525">
        <f>+DATA!AE189</f>
        <v>1217</v>
      </c>
      <c r="AT193" s="525">
        <f>+DATA!AF189</f>
        <v>1373.932</v>
      </c>
      <c r="AU193" s="525">
        <f>+DATA!AG189</f>
        <v>769</v>
      </c>
      <c r="AV193" s="525">
        <f>+DATA!AH189</f>
        <v>5321.9319999999998</v>
      </c>
    </row>
    <row r="194" spans="1:48" x14ac:dyDescent="0.25">
      <c r="A194" s="527">
        <v>9112</v>
      </c>
      <c r="B194" s="527">
        <v>9220</v>
      </c>
      <c r="C194" s="527" t="s">
        <v>230</v>
      </c>
      <c r="D194" s="771">
        <f t="shared" si="38"/>
        <v>2.8901734103999998E-3</v>
      </c>
      <c r="E194" s="771">
        <f t="shared" si="39"/>
        <v>7.2254335259999995E-4</v>
      </c>
      <c r="F194" s="525">
        <f>+DATA!D190</f>
        <v>85373</v>
      </c>
      <c r="G194" s="772">
        <f>+DATA!E190</f>
        <v>0.12702109904273229</v>
      </c>
      <c r="H194" s="525">
        <f t="shared" si="48"/>
        <v>10844</v>
      </c>
      <c r="I194" s="771">
        <f t="shared" si="40"/>
        <v>8.3043604785000003E-3</v>
      </c>
      <c r="J194" s="771">
        <f t="shared" si="41"/>
        <v>8.3043604789999998E-4</v>
      </c>
      <c r="K194" s="525">
        <f>+DATA!G190</f>
        <v>29886</v>
      </c>
      <c r="L194" s="525">
        <f>+DATA!H190</f>
        <v>31951</v>
      </c>
      <c r="M194" s="525">
        <f>+DATA!I190</f>
        <v>696513688005</v>
      </c>
      <c r="N194" s="525">
        <f>+DATA!J190</f>
        <v>960252387906</v>
      </c>
      <c r="O194" s="773">
        <f t="shared" si="49"/>
        <v>0.82369000930269953</v>
      </c>
      <c r="P194" s="774" t="str">
        <f t="shared" si="50"/>
        <v>SI</v>
      </c>
      <c r="Q194" s="771">
        <f t="shared" si="42"/>
        <v>5.1198140886999999E-3</v>
      </c>
      <c r="R194" s="771">
        <f t="shared" si="43"/>
        <v>7.3402481077999996E-3</v>
      </c>
      <c r="S194" s="771">
        <f t="shared" si="44"/>
        <v>2.2020744323000001E-3</v>
      </c>
      <c r="T194" s="525">
        <f>+DATA!K190</f>
        <v>0</v>
      </c>
      <c r="U194" s="525">
        <f>+DATA!L190</f>
        <v>0</v>
      </c>
      <c r="V194" s="525">
        <f>+DATA!M190</f>
        <v>4826076</v>
      </c>
      <c r="W194" s="526">
        <f t="shared" si="45"/>
        <v>4826076</v>
      </c>
      <c r="X194" s="526">
        <f t="shared" si="51"/>
        <v>4826076</v>
      </c>
      <c r="Y194" s="526">
        <f t="shared" si="52"/>
        <v>4826076</v>
      </c>
      <c r="Z194" s="525">
        <f>+DATA!F190</f>
        <v>415138.63037312008</v>
      </c>
      <c r="AA194" s="525">
        <f>IF(P194="SI",ROUND(Z194/DIV_Pf,PARAMETROS!$L$8),0)</f>
        <v>34595</v>
      </c>
      <c r="AB194" s="526">
        <f t="shared" si="53"/>
        <v>119968</v>
      </c>
      <c r="AC194" s="775">
        <f t="shared" si="54"/>
        <v>40.229999999999997</v>
      </c>
      <c r="AD194" s="525">
        <f>IF(AC194&lt;$AC$6,ROUND(($AC$6-AC194)*AB194,PARAMETROS!$L$8),0)</f>
        <v>7712743</v>
      </c>
      <c r="AE194" s="771">
        <f t="shared" si="46"/>
        <v>7.4028448569000002E-3</v>
      </c>
      <c r="AF194" s="771">
        <f t="shared" si="47"/>
        <v>2.5909956999E-3</v>
      </c>
      <c r="AG194" s="771">
        <f t="shared" si="55"/>
        <v>6.3460495326999999E-3</v>
      </c>
      <c r="AH194" s="525">
        <f>+DATA!Q190</f>
        <v>11360550.907</v>
      </c>
      <c r="AI194" s="525">
        <f>+DATA!R190</f>
        <v>946712.57558333327</v>
      </c>
      <c r="AJ194" s="525">
        <f>+DATA!S190</f>
        <v>747903</v>
      </c>
      <c r="AK194" s="525">
        <f>+'_DATA STT PAGOS_'!G192</f>
        <v>0</v>
      </c>
      <c r="AL194" s="525">
        <f>+'_DATA STT PAGOS_'!J192</f>
        <v>15419922.08</v>
      </c>
      <c r="AM194" s="525">
        <f>+DATA!Y190</f>
        <v>137649</v>
      </c>
      <c r="AN194" s="525">
        <f>+DATA!Z190</f>
        <v>106368</v>
      </c>
      <c r="AO194" s="525">
        <f>+DATA!AA190</f>
        <v>110837</v>
      </c>
      <c r="AP194" s="525">
        <f>+DATA!AB190</f>
        <v>106829</v>
      </c>
      <c r="AQ194" s="525">
        <f>+DATA!AC190</f>
        <v>461683</v>
      </c>
      <c r="AR194" s="525">
        <f>+DATA!AD190</f>
        <v>3653</v>
      </c>
      <c r="AS194" s="525">
        <f>+DATA!AE190</f>
        <v>1547</v>
      </c>
      <c r="AT194" s="525">
        <f>+DATA!AF190</f>
        <v>2284.3960000000002</v>
      </c>
      <c r="AU194" s="525">
        <f>+DATA!AG190</f>
        <v>1708</v>
      </c>
      <c r="AV194" s="525">
        <f>+DATA!AH190</f>
        <v>9192.3960000000006</v>
      </c>
    </row>
    <row r="195" spans="1:48" x14ac:dyDescent="0.25">
      <c r="A195" s="527">
        <v>9113</v>
      </c>
      <c r="B195" s="527">
        <v>9206</v>
      </c>
      <c r="C195" s="527" t="s">
        <v>219</v>
      </c>
      <c r="D195" s="771">
        <f t="shared" si="38"/>
        <v>2.8901734103999998E-3</v>
      </c>
      <c r="E195" s="771">
        <f t="shared" si="39"/>
        <v>7.2254335259999995E-4</v>
      </c>
      <c r="F195" s="525">
        <f>+DATA!D191</f>
        <v>7269</v>
      </c>
      <c r="G195" s="772">
        <f>+DATA!E191</f>
        <v>0.14141401499108711</v>
      </c>
      <c r="H195" s="525">
        <f t="shared" si="48"/>
        <v>1028</v>
      </c>
      <c r="I195" s="771">
        <f t="shared" si="40"/>
        <v>7.8724479639999997E-4</v>
      </c>
      <c r="J195" s="771">
        <f t="shared" si="41"/>
        <v>7.87244796E-5</v>
      </c>
      <c r="K195" s="525">
        <f>+DATA!G191</f>
        <v>3847</v>
      </c>
      <c r="L195" s="525">
        <f>+DATA!H191</f>
        <v>4645</v>
      </c>
      <c r="M195" s="525">
        <f>+DATA!I191</f>
        <v>89129492330</v>
      </c>
      <c r="N195" s="525">
        <f>+DATA!J191</f>
        <v>229132029796</v>
      </c>
      <c r="O195" s="773">
        <f t="shared" si="49"/>
        <v>0.56759171719983381</v>
      </c>
      <c r="P195" s="774" t="str">
        <f t="shared" si="50"/>
        <v>SI</v>
      </c>
      <c r="Q195" s="771">
        <f t="shared" si="42"/>
        <v>5.8352802189999998E-4</v>
      </c>
      <c r="R195" s="771">
        <f t="shared" si="43"/>
        <v>8.3660077970000005E-4</v>
      </c>
      <c r="S195" s="771">
        <f t="shared" si="44"/>
        <v>2.5098023389999999E-4</v>
      </c>
      <c r="T195" s="525">
        <f>+DATA!K191</f>
        <v>0</v>
      </c>
      <c r="U195" s="525">
        <f>+DATA!L191</f>
        <v>0</v>
      </c>
      <c r="V195" s="525">
        <f>+DATA!M191</f>
        <v>755343</v>
      </c>
      <c r="W195" s="526">
        <f t="shared" si="45"/>
        <v>755343</v>
      </c>
      <c r="X195" s="526">
        <f t="shared" si="51"/>
        <v>755343</v>
      </c>
      <c r="Y195" s="526">
        <f t="shared" si="52"/>
        <v>755343</v>
      </c>
      <c r="Z195" s="525">
        <f>+DATA!F191</f>
        <v>118666.78764253836</v>
      </c>
      <c r="AA195" s="525">
        <f>IF(P195="SI",ROUND(Z195/DIV_Pf,PARAMETROS!$L$8),0)</f>
        <v>9889</v>
      </c>
      <c r="AB195" s="526">
        <f t="shared" si="53"/>
        <v>17158</v>
      </c>
      <c r="AC195" s="775">
        <f t="shared" si="54"/>
        <v>44.02</v>
      </c>
      <c r="AD195" s="525">
        <f>IF(AC195&lt;$AC$6,ROUND(($AC$6-AC195)*AB195,PARAMETROS!$L$8),0)</f>
        <v>1038059</v>
      </c>
      <c r="AE195" s="771">
        <f t="shared" si="46"/>
        <v>9.9634977200000006E-4</v>
      </c>
      <c r="AF195" s="771">
        <f t="shared" si="47"/>
        <v>3.487224202E-4</v>
      </c>
      <c r="AG195" s="771">
        <f t="shared" si="55"/>
        <v>1.4009704862999999E-3</v>
      </c>
      <c r="AH195" s="525">
        <f>+DATA!Q191</f>
        <v>2485675.5079999999</v>
      </c>
      <c r="AI195" s="525">
        <f>+DATA!R191</f>
        <v>207139.62566666666</v>
      </c>
      <c r="AJ195" s="525">
        <f>+DATA!S191</f>
        <v>163640</v>
      </c>
      <c r="AK195" s="525">
        <f>+'_DATA STT PAGOS_'!G193</f>
        <v>0</v>
      </c>
      <c r="AL195" s="525">
        <f>+'_DATA STT PAGOS_'!J193</f>
        <v>3373856.6329999999</v>
      </c>
      <c r="AM195" s="525">
        <f>+DATA!Y191</f>
        <v>34072</v>
      </c>
      <c r="AN195" s="525">
        <f>+DATA!Z191</f>
        <v>28196</v>
      </c>
      <c r="AO195" s="525">
        <f>+DATA!AA191</f>
        <v>30531</v>
      </c>
      <c r="AP195" s="525">
        <f>+DATA!AB191</f>
        <v>22660</v>
      </c>
      <c r="AQ195" s="525">
        <f>+DATA!AC191</f>
        <v>115459</v>
      </c>
      <c r="AR195" s="525">
        <f>+DATA!AD191</f>
        <v>582</v>
      </c>
      <c r="AS195" s="525">
        <f>+DATA!AE191</f>
        <v>193</v>
      </c>
      <c r="AT195" s="525">
        <f>+DATA!AF191</f>
        <v>210.59</v>
      </c>
      <c r="AU195" s="525">
        <f>+DATA!AG191</f>
        <v>107</v>
      </c>
      <c r="AV195" s="525">
        <f>+DATA!AH191</f>
        <v>1092.5900000000001</v>
      </c>
    </row>
    <row r="196" spans="1:48" x14ac:dyDescent="0.25">
      <c r="A196" s="527">
        <v>9114</v>
      </c>
      <c r="B196" s="527">
        <v>9211</v>
      </c>
      <c r="C196" s="527" t="s">
        <v>407</v>
      </c>
      <c r="D196" s="771">
        <f t="shared" si="38"/>
        <v>2.8901734103999998E-3</v>
      </c>
      <c r="E196" s="771">
        <f t="shared" si="39"/>
        <v>7.2254335259999995E-4</v>
      </c>
      <c r="F196" s="525">
        <f>+DATA!D192</f>
        <v>26617</v>
      </c>
      <c r="G196" s="772">
        <f>+DATA!E192</f>
        <v>0.10675621439213059</v>
      </c>
      <c r="H196" s="525">
        <f t="shared" si="48"/>
        <v>2842</v>
      </c>
      <c r="I196" s="771">
        <f t="shared" si="40"/>
        <v>2.1764102250000001E-3</v>
      </c>
      <c r="J196" s="771">
        <f t="shared" si="41"/>
        <v>2.1764102249999999E-4</v>
      </c>
      <c r="K196" s="525">
        <f>+DATA!G192</f>
        <v>12180</v>
      </c>
      <c r="L196" s="525">
        <f>+DATA!H192</f>
        <v>15299</v>
      </c>
      <c r="M196" s="525">
        <f>+DATA!I192</f>
        <v>270377798198</v>
      </c>
      <c r="N196" s="525">
        <f>+DATA!J192</f>
        <v>486097632715</v>
      </c>
      <c r="O196" s="773">
        <f t="shared" si="49"/>
        <v>0.6654506940157181</v>
      </c>
      <c r="P196" s="774" t="str">
        <f t="shared" si="50"/>
        <v>SI</v>
      </c>
      <c r="Q196" s="771">
        <f t="shared" si="42"/>
        <v>1.7759657828E-3</v>
      </c>
      <c r="R196" s="771">
        <f t="shared" si="43"/>
        <v>2.5461919615E-3</v>
      </c>
      <c r="S196" s="771">
        <f t="shared" si="44"/>
        <v>7.6385758849999998E-4</v>
      </c>
      <c r="T196" s="525">
        <f>+DATA!K192</f>
        <v>0</v>
      </c>
      <c r="U196" s="525">
        <f>+DATA!L192</f>
        <v>0</v>
      </c>
      <c r="V196" s="525">
        <f>+DATA!M192</f>
        <v>1586090</v>
      </c>
      <c r="W196" s="526">
        <f t="shared" si="45"/>
        <v>1586090</v>
      </c>
      <c r="X196" s="526">
        <f t="shared" si="51"/>
        <v>1586090</v>
      </c>
      <c r="Y196" s="526">
        <f t="shared" si="52"/>
        <v>1586090</v>
      </c>
      <c r="Z196" s="525">
        <f>+DATA!F192</f>
        <v>332772.23917639389</v>
      </c>
      <c r="AA196" s="525">
        <f>IF(P196="SI",ROUND(Z196/DIV_Pf,PARAMETROS!$L$8),0)</f>
        <v>27731</v>
      </c>
      <c r="AB196" s="526">
        <f t="shared" si="53"/>
        <v>54348</v>
      </c>
      <c r="AC196" s="775">
        <f t="shared" si="54"/>
        <v>29.18</v>
      </c>
      <c r="AD196" s="525">
        <f>IF(AC196&lt;$AC$6,ROUND(($AC$6-AC196)*AB196,PARAMETROS!$L$8),0)</f>
        <v>4094578</v>
      </c>
      <c r="AE196" s="771">
        <f t="shared" si="46"/>
        <v>3.9300577873000002E-3</v>
      </c>
      <c r="AF196" s="771">
        <f t="shared" si="47"/>
        <v>1.3755202255999999E-3</v>
      </c>
      <c r="AG196" s="771">
        <f t="shared" si="55"/>
        <v>3.0795621891999999E-3</v>
      </c>
      <c r="AH196" s="525">
        <f>+DATA!Q192</f>
        <v>5606071.9469999997</v>
      </c>
      <c r="AI196" s="525">
        <f>+DATA!R192</f>
        <v>467172.66224999999</v>
      </c>
      <c r="AJ196" s="525">
        <f>+DATA!S192</f>
        <v>369066</v>
      </c>
      <c r="AK196" s="525">
        <f>+'_DATA STT PAGOS_'!G194</f>
        <v>0</v>
      </c>
      <c r="AL196" s="525">
        <f>+'_DATA STT PAGOS_'!J194</f>
        <v>7608089.0659999996</v>
      </c>
      <c r="AM196" s="525">
        <f>+DATA!Y192</f>
        <v>75480</v>
      </c>
      <c r="AN196" s="525">
        <f>+DATA!Z192</f>
        <v>33486</v>
      </c>
      <c r="AO196" s="525">
        <f>+DATA!AA192</f>
        <v>56343</v>
      </c>
      <c r="AP196" s="525">
        <f>+DATA!AB192</f>
        <v>26670</v>
      </c>
      <c r="AQ196" s="525">
        <f>+DATA!AC192</f>
        <v>191979</v>
      </c>
      <c r="AR196" s="525">
        <f>+DATA!AD192</f>
        <v>3631</v>
      </c>
      <c r="AS196" s="525">
        <f>+DATA!AE192</f>
        <v>2569</v>
      </c>
      <c r="AT196" s="525">
        <f>+DATA!AF192</f>
        <v>2176.5369999999998</v>
      </c>
      <c r="AU196" s="525">
        <f>+DATA!AG192</f>
        <v>1687</v>
      </c>
      <c r="AV196" s="525">
        <f>+DATA!AH192</f>
        <v>10063.537</v>
      </c>
    </row>
    <row r="197" spans="1:48" x14ac:dyDescent="0.25">
      <c r="A197" s="527">
        <v>9115</v>
      </c>
      <c r="B197" s="527">
        <v>9216</v>
      </c>
      <c r="C197" s="527" t="s">
        <v>408</v>
      </c>
      <c r="D197" s="771">
        <f t="shared" si="38"/>
        <v>2.8901734103999998E-3</v>
      </c>
      <c r="E197" s="771">
        <f t="shared" si="39"/>
        <v>7.2254335259999995E-4</v>
      </c>
      <c r="F197" s="525">
        <f>+DATA!D193</f>
        <v>30712</v>
      </c>
      <c r="G197" s="772">
        <f>+DATA!E193</f>
        <v>8.1563091938637908E-2</v>
      </c>
      <c r="H197" s="525">
        <f t="shared" si="48"/>
        <v>2505</v>
      </c>
      <c r="I197" s="771">
        <f t="shared" si="40"/>
        <v>1.9183348394000001E-3</v>
      </c>
      <c r="J197" s="771">
        <f t="shared" si="41"/>
        <v>1.9183348389999999E-4</v>
      </c>
      <c r="K197" s="525">
        <f>+DATA!G193</f>
        <v>11464</v>
      </c>
      <c r="L197" s="525">
        <f>+DATA!H193</f>
        <v>33733</v>
      </c>
      <c r="M197" s="525">
        <f>+DATA!I193</f>
        <v>476461025839</v>
      </c>
      <c r="N197" s="525">
        <f>+DATA!J193</f>
        <v>2216838181109</v>
      </c>
      <c r="O197" s="773">
        <f t="shared" si="49"/>
        <v>0.27026343973009376</v>
      </c>
      <c r="P197" s="774" t="str">
        <f t="shared" si="50"/>
        <v>NO</v>
      </c>
      <c r="Q197" s="771">
        <f t="shared" si="42"/>
        <v>7.1354349379999999E-4</v>
      </c>
      <c r="R197" s="771">
        <f t="shared" si="43"/>
        <v>1.0230032163999999E-3</v>
      </c>
      <c r="S197" s="771">
        <f t="shared" si="44"/>
        <v>3.0690096489999999E-4</v>
      </c>
      <c r="T197" s="525">
        <f>+DATA!K193</f>
        <v>0</v>
      </c>
      <c r="U197" s="525">
        <f>+DATA!L193</f>
        <v>0</v>
      </c>
      <c r="V197" s="525">
        <f>+DATA!M193</f>
        <v>14113540</v>
      </c>
      <c r="W197" s="526">
        <f t="shared" si="45"/>
        <v>14113540</v>
      </c>
      <c r="X197" s="526">
        <f t="shared" si="51"/>
        <v>14113540</v>
      </c>
      <c r="Y197" s="526">
        <f t="shared" si="52"/>
        <v>14113540</v>
      </c>
      <c r="Z197" s="525">
        <f>+DATA!F193</f>
        <v>3078506.2029317156</v>
      </c>
      <c r="AA197" s="525">
        <f>IF(P197="SI",ROUND(Z197/DIV_Pf,PARAMETROS!$L$8),0)</f>
        <v>0</v>
      </c>
      <c r="AB197" s="526">
        <f t="shared" si="53"/>
        <v>30712</v>
      </c>
      <c r="AC197" s="775">
        <f t="shared" si="54"/>
        <v>459.54</v>
      </c>
      <c r="AD197" s="525">
        <f>IF(AC197&lt;$AC$6,ROUND(($AC$6-AC197)*AB197,PARAMETROS!$L$8),0)</f>
        <v>0</v>
      </c>
      <c r="AE197" s="771">
        <f t="shared" si="46"/>
        <v>0</v>
      </c>
      <c r="AF197" s="771">
        <f t="shared" si="47"/>
        <v>0</v>
      </c>
      <c r="AG197" s="771">
        <f t="shared" si="55"/>
        <v>1.2212778014E-3</v>
      </c>
      <c r="AH197" s="525">
        <f>+DATA!Q193</f>
        <v>2311873.7999999998</v>
      </c>
      <c r="AI197" s="525">
        <f>+DATA!R193</f>
        <v>192656.15</v>
      </c>
      <c r="AJ197" s="525">
        <f>+DATA!S193</f>
        <v>152198</v>
      </c>
      <c r="AK197" s="525">
        <f>+'_DATA STT PAGOS_'!G195</f>
        <v>0</v>
      </c>
      <c r="AL197" s="525">
        <f>+'_DATA STT PAGOS_'!J195</f>
        <v>3135337.1339999996</v>
      </c>
      <c r="AM197" s="525">
        <f>+DATA!Y193</f>
        <v>707844</v>
      </c>
      <c r="AN197" s="525">
        <f>+DATA!Z193</f>
        <v>412564</v>
      </c>
      <c r="AO197" s="525">
        <f>+DATA!AA193</f>
        <v>524955</v>
      </c>
      <c r="AP197" s="525">
        <f>+DATA!AB193</f>
        <v>420824</v>
      </c>
      <c r="AQ197" s="525">
        <f>+DATA!AC193</f>
        <v>2066187</v>
      </c>
      <c r="AR197" s="525">
        <f>+DATA!AD193</f>
        <v>59177</v>
      </c>
      <c r="AS197" s="525">
        <f>+DATA!AE193</f>
        <v>28938</v>
      </c>
      <c r="AT197" s="525">
        <f>+DATA!AF193</f>
        <v>38070.167999999998</v>
      </c>
      <c r="AU197" s="525">
        <f>+DATA!AG193</f>
        <v>28605</v>
      </c>
      <c r="AV197" s="525">
        <f>+DATA!AH193</f>
        <v>154790.16800000001</v>
      </c>
    </row>
    <row r="198" spans="1:48" x14ac:dyDescent="0.25">
      <c r="A198" s="527">
        <v>9116</v>
      </c>
      <c r="B198" s="527">
        <v>9210</v>
      </c>
      <c r="C198" s="527" t="s">
        <v>223</v>
      </c>
      <c r="D198" s="771">
        <f t="shared" si="38"/>
        <v>2.8901734103999998E-3</v>
      </c>
      <c r="E198" s="771">
        <f t="shared" si="39"/>
        <v>7.2254335259999995E-4</v>
      </c>
      <c r="F198" s="525">
        <f>+DATA!D194</f>
        <v>12660</v>
      </c>
      <c r="G198" s="772">
        <f>+DATA!E194</f>
        <v>0.24277905073635811</v>
      </c>
      <c r="H198" s="525">
        <f t="shared" si="48"/>
        <v>3074</v>
      </c>
      <c r="I198" s="771">
        <f t="shared" si="40"/>
        <v>2.3540763658000002E-3</v>
      </c>
      <c r="J198" s="771">
        <f t="shared" si="41"/>
        <v>2.3540763659999999E-4</v>
      </c>
      <c r="K198" s="525">
        <f>+DATA!G194</f>
        <v>6892</v>
      </c>
      <c r="L198" s="525">
        <f>+DATA!H194</f>
        <v>7564</v>
      </c>
      <c r="M198" s="525">
        <f>+DATA!I194</f>
        <v>96436916760</v>
      </c>
      <c r="N198" s="525">
        <f>+DATA!J194</f>
        <v>127065689385</v>
      </c>
      <c r="O198" s="773">
        <f t="shared" si="49"/>
        <v>0.83158066724108293</v>
      </c>
      <c r="P198" s="774" t="str">
        <f t="shared" si="50"/>
        <v>SI</v>
      </c>
      <c r="Q198" s="771">
        <f t="shared" si="42"/>
        <v>1.15011715E-3</v>
      </c>
      <c r="R198" s="771">
        <f t="shared" si="43"/>
        <v>1.6489163644999999E-3</v>
      </c>
      <c r="S198" s="771">
        <f t="shared" si="44"/>
        <v>4.9467490940000003E-4</v>
      </c>
      <c r="T198" s="525">
        <f>+DATA!K194</f>
        <v>0</v>
      </c>
      <c r="U198" s="525">
        <f>+DATA!L194</f>
        <v>0</v>
      </c>
      <c r="V198" s="525">
        <f>+DATA!M194</f>
        <v>452772</v>
      </c>
      <c r="W198" s="526">
        <f t="shared" si="45"/>
        <v>452772</v>
      </c>
      <c r="X198" s="526">
        <f t="shared" si="51"/>
        <v>452772</v>
      </c>
      <c r="Y198" s="526">
        <f t="shared" si="52"/>
        <v>452772</v>
      </c>
      <c r="Z198" s="525">
        <f>+DATA!F194</f>
        <v>330341.94171650423</v>
      </c>
      <c r="AA198" s="525">
        <f>IF(P198="SI",ROUND(Z198/DIV_Pf,PARAMETROS!$L$8),0)</f>
        <v>27528</v>
      </c>
      <c r="AB198" s="526">
        <f t="shared" si="53"/>
        <v>40188</v>
      </c>
      <c r="AC198" s="775">
        <f t="shared" si="54"/>
        <v>11.27</v>
      </c>
      <c r="AD198" s="525">
        <f>IF(AC198&lt;$AC$6,ROUND(($AC$6-AC198)*AB198,PARAMETROS!$L$8),0)</f>
        <v>3747531</v>
      </c>
      <c r="AE198" s="771">
        <f t="shared" si="46"/>
        <v>3.5969551416000002E-3</v>
      </c>
      <c r="AF198" s="771">
        <f t="shared" si="47"/>
        <v>1.2589342995999999E-3</v>
      </c>
      <c r="AG198" s="771">
        <f t="shared" si="55"/>
        <v>2.7115601981999998E-3</v>
      </c>
      <c r="AH198" s="525">
        <f>+DATA!Q194</f>
        <v>4542957.1239999998</v>
      </c>
      <c r="AI198" s="525">
        <f>+DATA!R194</f>
        <v>378579.76033333334</v>
      </c>
      <c r="AJ198" s="525">
        <f>+DATA!S194</f>
        <v>299078</v>
      </c>
      <c r="AK198" s="525">
        <f>+'_DATA STT PAGOS_'!G196</f>
        <v>0</v>
      </c>
      <c r="AL198" s="525">
        <f>+'_DATA STT PAGOS_'!J196</f>
        <v>6170485.1609999994</v>
      </c>
      <c r="AM198" s="525">
        <f>+DATA!Y194</f>
        <v>8994</v>
      </c>
      <c r="AN198" s="525">
        <f>+DATA!Z194</f>
        <v>5160</v>
      </c>
      <c r="AO198" s="525">
        <f>+DATA!AA194</f>
        <v>4866</v>
      </c>
      <c r="AP198" s="525">
        <f>+DATA!AB194</f>
        <v>7098</v>
      </c>
      <c r="AQ198" s="525">
        <f>+DATA!AC194</f>
        <v>26118</v>
      </c>
      <c r="AR198" s="525">
        <f>+DATA!AD194</f>
        <v>103</v>
      </c>
      <c r="AS198" s="525">
        <f>+DATA!AE194</f>
        <v>70</v>
      </c>
      <c r="AT198" s="525">
        <f>+DATA!AF194</f>
        <v>60.418999999999997</v>
      </c>
      <c r="AU198" s="525">
        <f>+DATA!AG194</f>
        <v>170</v>
      </c>
      <c r="AV198" s="525">
        <f>+DATA!AH194</f>
        <v>403.41899999999998</v>
      </c>
    </row>
    <row r="199" spans="1:48" x14ac:dyDescent="0.25">
      <c r="A199" s="527">
        <v>9117</v>
      </c>
      <c r="B199" s="527">
        <v>9219</v>
      </c>
      <c r="C199" s="527" t="s">
        <v>229</v>
      </c>
      <c r="D199" s="771">
        <f t="shared" si="38"/>
        <v>2.8901734103999998E-3</v>
      </c>
      <c r="E199" s="771">
        <f t="shared" si="39"/>
        <v>7.2254335259999995E-4</v>
      </c>
      <c r="F199" s="525">
        <f>+DATA!D195</f>
        <v>15744</v>
      </c>
      <c r="G199" s="772">
        <f>+DATA!E195</f>
        <v>0.19933821012955941</v>
      </c>
      <c r="H199" s="525">
        <f t="shared" si="48"/>
        <v>3138</v>
      </c>
      <c r="I199" s="771">
        <f t="shared" si="40"/>
        <v>2.4030877150000001E-3</v>
      </c>
      <c r="J199" s="771">
        <f t="shared" si="41"/>
        <v>2.4030877150000001E-4</v>
      </c>
      <c r="K199" s="525">
        <f>+DATA!G195</f>
        <v>8966</v>
      </c>
      <c r="L199" s="525">
        <f>+DATA!H195</f>
        <v>10145</v>
      </c>
      <c r="M199" s="525">
        <f>+DATA!I195</f>
        <v>158321522685</v>
      </c>
      <c r="N199" s="525">
        <f>+DATA!J195</f>
        <v>252191726001</v>
      </c>
      <c r="O199" s="773">
        <f t="shared" si="49"/>
        <v>0.74486557575233514</v>
      </c>
      <c r="P199" s="774" t="str">
        <f t="shared" si="50"/>
        <v>SI</v>
      </c>
      <c r="Q199" s="771">
        <f t="shared" si="42"/>
        <v>1.4512708754E-3</v>
      </c>
      <c r="R199" s="771">
        <f t="shared" si="43"/>
        <v>2.0806787340999998E-3</v>
      </c>
      <c r="S199" s="771">
        <f t="shared" si="44"/>
        <v>6.2420362020000001E-4</v>
      </c>
      <c r="T199" s="525">
        <f>+DATA!K195</f>
        <v>0</v>
      </c>
      <c r="U199" s="525">
        <f>+DATA!L195</f>
        <v>0</v>
      </c>
      <c r="V199" s="525">
        <f>+DATA!M195</f>
        <v>554507</v>
      </c>
      <c r="W199" s="526">
        <f t="shared" si="45"/>
        <v>554507</v>
      </c>
      <c r="X199" s="526">
        <f t="shared" si="51"/>
        <v>554507</v>
      </c>
      <c r="Y199" s="526">
        <f t="shared" si="52"/>
        <v>554507</v>
      </c>
      <c r="Z199" s="525">
        <f>+DATA!F195</f>
        <v>242739.04994127265</v>
      </c>
      <c r="AA199" s="525">
        <f>IF(P199="SI",ROUND(Z199/DIV_Pf,PARAMETROS!$L$8),0)</f>
        <v>20228</v>
      </c>
      <c r="AB199" s="526">
        <f t="shared" si="53"/>
        <v>35972</v>
      </c>
      <c r="AC199" s="775">
        <f t="shared" si="54"/>
        <v>15.41</v>
      </c>
      <c r="AD199" s="525">
        <f>IF(AC199&lt;$AC$6,ROUND(($AC$6-AC199)*AB199,PARAMETROS!$L$8),0)</f>
        <v>3205465</v>
      </c>
      <c r="AE199" s="771">
        <f t="shared" si="46"/>
        <v>3.0766693624999998E-3</v>
      </c>
      <c r="AF199" s="771">
        <f t="shared" si="47"/>
        <v>1.0768342768999999E-3</v>
      </c>
      <c r="AG199" s="771">
        <f t="shared" si="55"/>
        <v>2.6638900212E-3</v>
      </c>
      <c r="AH199" s="525">
        <f>+DATA!Q195</f>
        <v>4465999.665</v>
      </c>
      <c r="AI199" s="525">
        <f>+DATA!R195</f>
        <v>372166.63874999998</v>
      </c>
      <c r="AJ199" s="525">
        <f>+DATA!S195</f>
        <v>294012</v>
      </c>
      <c r="AK199" s="525">
        <f>+'_DATA STT PAGOS_'!G197</f>
        <v>0</v>
      </c>
      <c r="AL199" s="525">
        <f>+'_DATA STT PAGOS_'!J197</f>
        <v>6064019.227</v>
      </c>
      <c r="AM199" s="525">
        <f>+DATA!Y195</f>
        <v>21641</v>
      </c>
      <c r="AN199" s="525">
        <f>+DATA!Z195</f>
        <v>12019</v>
      </c>
      <c r="AO199" s="525">
        <f>+DATA!AA195</f>
        <v>11584</v>
      </c>
      <c r="AP199" s="525">
        <f>+DATA!AB195</f>
        <v>11988</v>
      </c>
      <c r="AQ199" s="525">
        <f>+DATA!AC195</f>
        <v>57232</v>
      </c>
      <c r="AR199" s="525">
        <f>+DATA!AD195</f>
        <v>1367</v>
      </c>
      <c r="AS199" s="525">
        <f>+DATA!AE195</f>
        <v>1004</v>
      </c>
      <c r="AT199" s="525">
        <f>+DATA!AF195</f>
        <v>895.93799999999999</v>
      </c>
      <c r="AU199" s="525">
        <f>+DATA!AG195</f>
        <v>2066</v>
      </c>
      <c r="AV199" s="525">
        <f>+DATA!AH195</f>
        <v>5332.9380000000001</v>
      </c>
    </row>
    <row r="200" spans="1:48" x14ac:dyDescent="0.25">
      <c r="A200" s="527">
        <v>9118</v>
      </c>
      <c r="B200" s="527">
        <v>9213</v>
      </c>
      <c r="C200" s="527" t="s">
        <v>409</v>
      </c>
      <c r="D200" s="771">
        <f t="shared" si="38"/>
        <v>2.8901734103999998E-3</v>
      </c>
      <c r="E200" s="771">
        <f t="shared" si="39"/>
        <v>7.2254335259999995E-4</v>
      </c>
      <c r="F200" s="525">
        <f>+DATA!D196</f>
        <v>9937</v>
      </c>
      <c r="G200" s="772">
        <f>+DATA!E196</f>
        <v>0.16789131186823419</v>
      </c>
      <c r="H200" s="525">
        <f t="shared" si="48"/>
        <v>1668</v>
      </c>
      <c r="I200" s="771">
        <f t="shared" si="40"/>
        <v>1.2773582882999999E-3</v>
      </c>
      <c r="J200" s="771">
        <f t="shared" si="41"/>
        <v>1.2773582880000001E-4</v>
      </c>
      <c r="K200" s="525">
        <f>+DATA!G196</f>
        <v>5252</v>
      </c>
      <c r="L200" s="525">
        <f>+DATA!H196</f>
        <v>6214</v>
      </c>
      <c r="M200" s="525">
        <f>+DATA!I196</f>
        <v>92547092374</v>
      </c>
      <c r="N200" s="525">
        <f>+DATA!J196</f>
        <v>195955881747</v>
      </c>
      <c r="O200" s="773">
        <f t="shared" si="49"/>
        <v>0.63179905471599862</v>
      </c>
      <c r="P200" s="774" t="str">
        <f t="shared" si="50"/>
        <v>SI</v>
      </c>
      <c r="Q200" s="771">
        <f t="shared" si="42"/>
        <v>8.1298259509999995E-4</v>
      </c>
      <c r="R200" s="771">
        <f t="shared" si="43"/>
        <v>1.1655684859E-3</v>
      </c>
      <c r="S200" s="771">
        <f t="shared" si="44"/>
        <v>3.4967054579999998E-4</v>
      </c>
      <c r="T200" s="525">
        <f>+DATA!K196</f>
        <v>0</v>
      </c>
      <c r="U200" s="525">
        <f>+DATA!L196</f>
        <v>0</v>
      </c>
      <c r="V200" s="525">
        <f>+DATA!M196</f>
        <v>446405</v>
      </c>
      <c r="W200" s="526">
        <f t="shared" si="45"/>
        <v>446405</v>
      </c>
      <c r="X200" s="526">
        <f t="shared" si="51"/>
        <v>446405</v>
      </c>
      <c r="Y200" s="526">
        <f t="shared" si="52"/>
        <v>446405</v>
      </c>
      <c r="Z200" s="525">
        <f>+DATA!F196</f>
        <v>221789.38610186349</v>
      </c>
      <c r="AA200" s="525">
        <f>IF(P200="SI",ROUND(Z200/DIV_Pf,PARAMETROS!$L$8),0)</f>
        <v>18482</v>
      </c>
      <c r="AB200" s="526">
        <f t="shared" si="53"/>
        <v>28419</v>
      </c>
      <c r="AC200" s="775">
        <f t="shared" si="54"/>
        <v>15.71</v>
      </c>
      <c r="AD200" s="525">
        <f>IF(AC200&lt;$AC$6,ROUND(($AC$6-AC200)*AB200,PARAMETROS!$L$8),0)</f>
        <v>2523891</v>
      </c>
      <c r="AE200" s="771">
        <f t="shared" si="46"/>
        <v>2.4224810173000002E-3</v>
      </c>
      <c r="AF200" s="771">
        <f t="shared" si="47"/>
        <v>8.4786835609999996E-4</v>
      </c>
      <c r="AG200" s="771">
        <f t="shared" si="55"/>
        <v>2.0478180833E-3</v>
      </c>
      <c r="AH200" s="525">
        <f>+DATA!Q196</f>
        <v>3713001.0920000002</v>
      </c>
      <c r="AI200" s="525">
        <f>+DATA!R196</f>
        <v>309416.7576666667</v>
      </c>
      <c r="AJ200" s="525">
        <f>+DATA!S196</f>
        <v>244439</v>
      </c>
      <c r="AK200" s="525">
        <f>+'_DATA STT PAGOS_'!G198</f>
        <v>0</v>
      </c>
      <c r="AL200" s="525">
        <f>+'_DATA STT PAGOS_'!J198</f>
        <v>5040662.0310000004</v>
      </c>
      <c r="AM200" s="525">
        <f>+DATA!Y196</f>
        <v>25568</v>
      </c>
      <c r="AN200" s="525">
        <f>+DATA!Z196</f>
        <v>15210</v>
      </c>
      <c r="AO200" s="525">
        <f>+DATA!AA196</f>
        <v>15956</v>
      </c>
      <c r="AP200" s="525">
        <f>+DATA!AB196</f>
        <v>12471</v>
      </c>
      <c r="AQ200" s="525">
        <f>+DATA!AC196</f>
        <v>69205</v>
      </c>
      <c r="AR200" s="525">
        <f>+DATA!AD196</f>
        <v>182</v>
      </c>
      <c r="AS200" s="525">
        <f>+DATA!AE196</f>
        <v>92</v>
      </c>
      <c r="AT200" s="525">
        <f>+DATA!AF196</f>
        <v>96.838999999999999</v>
      </c>
      <c r="AU200" s="525">
        <f>+DATA!AG196</f>
        <v>75</v>
      </c>
      <c r="AV200" s="525">
        <f>+DATA!AH196</f>
        <v>445.839</v>
      </c>
    </row>
    <row r="201" spans="1:48" x14ac:dyDescent="0.25">
      <c r="A201" s="527">
        <v>9119</v>
      </c>
      <c r="B201" s="527">
        <v>9202</v>
      </c>
      <c r="C201" s="527" t="s">
        <v>410</v>
      </c>
      <c r="D201" s="771">
        <f t="shared" ref="D201:D264" si="56">ROUND(1/COUNTA($A$9:$A$354),DEC)</f>
        <v>2.8901734103999998E-3</v>
      </c>
      <c r="E201" s="771">
        <f t="shared" ref="E201:E264" si="57">ROUND(D201*$E$7,DEC)</f>
        <v>7.2254335259999995E-4</v>
      </c>
      <c r="F201" s="525">
        <f>+DATA!D197</f>
        <v>32742</v>
      </c>
      <c r="G201" s="772">
        <f>+DATA!E197</f>
        <v>0.11713757686918989</v>
      </c>
      <c r="H201" s="525">
        <f t="shared" si="48"/>
        <v>3835</v>
      </c>
      <c r="I201" s="771">
        <f t="shared" ref="I201:I264" si="58">ROUND(H201/$H$7,DEC)</f>
        <v>2.9368519397999998E-3</v>
      </c>
      <c r="J201" s="771">
        <f t="shared" ref="J201:J264" si="59">ROUND(I201*$J$7,DEC)</f>
        <v>2.93685194E-4</v>
      </c>
      <c r="K201" s="525">
        <f>+DATA!G197</f>
        <v>13663</v>
      </c>
      <c r="L201" s="525">
        <f>+DATA!H197</f>
        <v>17197</v>
      </c>
      <c r="M201" s="525">
        <f>+DATA!I197</f>
        <v>310842768150</v>
      </c>
      <c r="N201" s="525">
        <f>+DATA!J197</f>
        <v>744227606848</v>
      </c>
      <c r="O201" s="773">
        <f t="shared" si="49"/>
        <v>0.57605531028561108</v>
      </c>
      <c r="P201" s="774" t="str">
        <f t="shared" si="50"/>
        <v>SI</v>
      </c>
      <c r="Q201" s="771">
        <f t="shared" ref="Q201:Q264" si="60">IF(K201=0,0,ROUND((K201/$K$6)*(K201/L201),DEC))</f>
        <v>1.9881196030000002E-3</v>
      </c>
      <c r="R201" s="771">
        <f t="shared" ref="R201:R264" si="61">ROUND(Q201/$Q$7,DEC)</f>
        <v>2.8503556771999998E-3</v>
      </c>
      <c r="S201" s="771">
        <f t="shared" ref="S201:S264" si="62">ROUND(R201*$S$7,DEC)</f>
        <v>8.5510670319999997E-4</v>
      </c>
      <c r="T201" s="525">
        <f>+DATA!K197</f>
        <v>0</v>
      </c>
      <c r="U201" s="525">
        <f>+DATA!L197</f>
        <v>0</v>
      </c>
      <c r="V201" s="525">
        <f>+DATA!M197</f>
        <v>2377327</v>
      </c>
      <c r="W201" s="526">
        <f t="shared" ref="W201:W264" si="63">+V201</f>
        <v>2377327</v>
      </c>
      <c r="X201" s="526">
        <f t="shared" si="51"/>
        <v>2377327</v>
      </c>
      <c r="Y201" s="526">
        <f t="shared" si="52"/>
        <v>2377327</v>
      </c>
      <c r="Z201" s="525">
        <f>+DATA!F197</f>
        <v>437320.25371835468</v>
      </c>
      <c r="AA201" s="525">
        <f>IF(P201="SI",ROUND(Z201/DIV_Pf,PARAMETROS!$L$8),0)</f>
        <v>36443</v>
      </c>
      <c r="AB201" s="526">
        <f t="shared" si="53"/>
        <v>69185</v>
      </c>
      <c r="AC201" s="775">
        <f t="shared" si="54"/>
        <v>34.36</v>
      </c>
      <c r="AD201" s="525">
        <f>IF(AC201&lt;$AC$6,ROUND(($AC$6-AC201)*AB201,PARAMETROS!$L$8),0)</f>
        <v>4854020</v>
      </c>
      <c r="AE201" s="771">
        <f t="shared" ref="AE201:AE264" si="64">ROUND(AD201/$AD$7,DEC)</f>
        <v>4.6589853949999998E-3</v>
      </c>
      <c r="AF201" s="771">
        <f t="shared" ref="AF201:AF264" si="65">ROUND(AE201*$AF$7,DEC)</f>
        <v>1.6306448883000001E-3</v>
      </c>
      <c r="AG201" s="771">
        <f t="shared" si="55"/>
        <v>3.5019801381000002E-3</v>
      </c>
      <c r="AH201" s="525">
        <f>+DATA!Q197</f>
        <v>5807373.3430000003</v>
      </c>
      <c r="AI201" s="525">
        <f>+DATA!R197</f>
        <v>483947.77858333336</v>
      </c>
      <c r="AJ201" s="525">
        <f>+DATA!S197</f>
        <v>382319</v>
      </c>
      <c r="AK201" s="525">
        <f>+'_DATA STT PAGOS_'!G199</f>
        <v>0</v>
      </c>
      <c r="AL201" s="525">
        <f>+'_DATA STT PAGOS_'!J199</f>
        <v>7880602.0020000003</v>
      </c>
      <c r="AM201" s="525">
        <f>+DATA!Y197</f>
        <v>135376</v>
      </c>
      <c r="AN201" s="525">
        <f>+DATA!Z197</f>
        <v>90137</v>
      </c>
      <c r="AO201" s="525">
        <f>+DATA!AA197</f>
        <v>116279</v>
      </c>
      <c r="AP201" s="525">
        <f>+DATA!AB197</f>
        <v>91990</v>
      </c>
      <c r="AQ201" s="525">
        <f>+DATA!AC197</f>
        <v>433782</v>
      </c>
      <c r="AR201" s="525">
        <f>+DATA!AD197</f>
        <v>719</v>
      </c>
      <c r="AS201" s="525">
        <f>+DATA!AE197</f>
        <v>375</v>
      </c>
      <c r="AT201" s="525">
        <f>+DATA!AF197</f>
        <v>408.84899999999999</v>
      </c>
      <c r="AU201" s="525">
        <f>+DATA!AG197</f>
        <v>505</v>
      </c>
      <c r="AV201" s="525">
        <f>+DATA!AH197</f>
        <v>2007.8489999999999</v>
      </c>
    </row>
    <row r="202" spans="1:48" x14ac:dyDescent="0.25">
      <c r="A202" s="527">
        <v>9120</v>
      </c>
      <c r="B202" s="527">
        <v>9215</v>
      </c>
      <c r="C202" s="527" t="s">
        <v>226</v>
      </c>
      <c r="D202" s="771">
        <f t="shared" si="56"/>
        <v>2.8901734103999998E-3</v>
      </c>
      <c r="E202" s="771">
        <f t="shared" si="57"/>
        <v>7.2254335259999995E-4</v>
      </c>
      <c r="F202" s="525">
        <f>+DATA!D198</f>
        <v>60675</v>
      </c>
      <c r="G202" s="772">
        <f>+DATA!E198</f>
        <v>7.6743090158659266E-2</v>
      </c>
      <c r="H202" s="525">
        <f t="shared" ref="H202:H265" si="66">ROUND(F202*G202,0)</f>
        <v>4656</v>
      </c>
      <c r="I202" s="771">
        <f t="shared" si="58"/>
        <v>3.5655756536000002E-3</v>
      </c>
      <c r="J202" s="771">
        <f t="shared" si="59"/>
        <v>3.5655756540000001E-4</v>
      </c>
      <c r="K202" s="525">
        <f>+DATA!G198</f>
        <v>23629</v>
      </c>
      <c r="L202" s="525">
        <f>+DATA!H198</f>
        <v>43608</v>
      </c>
      <c r="M202" s="525">
        <f>+DATA!I198</f>
        <v>880409073485</v>
      </c>
      <c r="N202" s="525">
        <f>+DATA!J198</f>
        <v>2445072881068</v>
      </c>
      <c r="O202" s="773">
        <f t="shared" ref="O202:O265" si="67">IF(AND(L202=0,N202=0),0,GEOMEAN((K202/L202),(M202/N202)))</f>
        <v>0.44170868351762005</v>
      </c>
      <c r="P202" s="774" t="str">
        <f t="shared" ref="P202:P265" si="68">IF(O202&gt;$N$3,"SI","NO")</f>
        <v>NO</v>
      </c>
      <c r="Q202" s="771">
        <f t="shared" si="60"/>
        <v>2.3449175534999999E-3</v>
      </c>
      <c r="R202" s="771">
        <f t="shared" si="61"/>
        <v>3.3618948533999998E-3</v>
      </c>
      <c r="S202" s="771">
        <f t="shared" si="62"/>
        <v>1.008568456E-3</v>
      </c>
      <c r="T202" s="525">
        <f>+DATA!K198</f>
        <v>0</v>
      </c>
      <c r="U202" s="525">
        <f>+DATA!L198</f>
        <v>0</v>
      </c>
      <c r="V202" s="525">
        <f>+DATA!M198</f>
        <v>9862887</v>
      </c>
      <c r="W202" s="526">
        <f t="shared" si="63"/>
        <v>9862887</v>
      </c>
      <c r="X202" s="526">
        <f t="shared" ref="X202:X265" si="69">+T202+V202</f>
        <v>9862887</v>
      </c>
      <c r="Y202" s="526">
        <f t="shared" ref="Y202:Y265" si="70">+V202+T202</f>
        <v>9862887</v>
      </c>
      <c r="Z202" s="525">
        <f>+DATA!F198</f>
        <v>3298965.2121818443</v>
      </c>
      <c r="AA202" s="525">
        <f>IF(P202="SI",ROUND(Z202/DIV_Pf,PARAMETROS!$L$8),0)</f>
        <v>0</v>
      </c>
      <c r="AB202" s="526">
        <f t="shared" ref="AB202:AB265" si="71">+F202+AA202</f>
        <v>60675</v>
      </c>
      <c r="AC202" s="775">
        <f t="shared" ref="AC202:AC265" si="72">IFERROR(ROUND(Y202/AB202,2),0)</f>
        <v>162.55000000000001</v>
      </c>
      <c r="AD202" s="525">
        <f>IF(AC202&lt;$AC$6,ROUND(($AC$6-AC202)*AB202,PARAMETROS!$L$8),0)</f>
        <v>0</v>
      </c>
      <c r="AE202" s="771">
        <f t="shared" si="64"/>
        <v>0</v>
      </c>
      <c r="AF202" s="771">
        <f t="shared" si="65"/>
        <v>0</v>
      </c>
      <c r="AG202" s="771">
        <f t="shared" ref="AG202:AG265" si="73">+E202+J202+S202+AF202</f>
        <v>2.0876693739999997E-3</v>
      </c>
      <c r="AH202" s="525">
        <f>+DATA!Q198</f>
        <v>4610853.068</v>
      </c>
      <c r="AI202" s="525">
        <f>+DATA!R198</f>
        <v>384237.75566666666</v>
      </c>
      <c r="AJ202" s="525">
        <f>+DATA!S198</f>
        <v>303548</v>
      </c>
      <c r="AK202" s="525">
        <f>+'_DATA STT PAGOS_'!G200</f>
        <v>0</v>
      </c>
      <c r="AL202" s="525">
        <f>+'_DATA STT PAGOS_'!J200</f>
        <v>6257033.4950000001</v>
      </c>
      <c r="AM202" s="525">
        <f>+DATA!Y198</f>
        <v>713056</v>
      </c>
      <c r="AN202" s="525">
        <f>+DATA!Z198</f>
        <v>422575</v>
      </c>
      <c r="AO202" s="525">
        <f>+DATA!AA198</f>
        <v>535801</v>
      </c>
      <c r="AP202" s="525">
        <f>+DATA!AB198</f>
        <v>399194</v>
      </c>
      <c r="AQ202" s="525">
        <f>+DATA!AC198</f>
        <v>2070626</v>
      </c>
      <c r="AR202" s="525">
        <f>+DATA!AD198</f>
        <v>28463</v>
      </c>
      <c r="AS202" s="525">
        <f>+DATA!AE198</f>
        <v>14585</v>
      </c>
      <c r="AT202" s="525">
        <f>+DATA!AF198</f>
        <v>31398.83</v>
      </c>
      <c r="AU202" s="525">
        <f>+DATA!AG198</f>
        <v>21199</v>
      </c>
      <c r="AV202" s="525">
        <f>+DATA!AH198</f>
        <v>95645.83</v>
      </c>
    </row>
    <row r="203" spans="1:48" x14ac:dyDescent="0.25">
      <c r="A203" s="527">
        <v>9121</v>
      </c>
      <c r="B203" s="527">
        <v>9221</v>
      </c>
      <c r="C203" s="527" t="s">
        <v>231</v>
      </c>
      <c r="D203" s="771">
        <f t="shared" si="56"/>
        <v>2.8901734103999998E-3</v>
      </c>
      <c r="E203" s="771">
        <f t="shared" si="57"/>
        <v>7.2254335259999995E-4</v>
      </c>
      <c r="F203" s="525">
        <f>+DATA!D199</f>
        <v>12647</v>
      </c>
      <c r="G203" s="772">
        <f>+DATA!E199</f>
        <v>0.19687881322375811</v>
      </c>
      <c r="H203" s="525">
        <f t="shared" si="66"/>
        <v>2490</v>
      </c>
      <c r="I203" s="771">
        <f t="shared" si="58"/>
        <v>1.9068478044000001E-3</v>
      </c>
      <c r="J203" s="771">
        <f t="shared" si="59"/>
        <v>1.9068478040000001E-4</v>
      </c>
      <c r="K203" s="525">
        <f>+DATA!G199</f>
        <v>7149</v>
      </c>
      <c r="L203" s="525">
        <f>+DATA!H199</f>
        <v>7958</v>
      </c>
      <c r="M203" s="525">
        <f>+DATA!I199</f>
        <v>100025133566</v>
      </c>
      <c r="N203" s="525">
        <f>+DATA!J199</f>
        <v>142007032193</v>
      </c>
      <c r="O203" s="773">
        <f t="shared" si="67"/>
        <v>0.79546362595619757</v>
      </c>
      <c r="P203" s="774" t="str">
        <f t="shared" si="68"/>
        <v>SI</v>
      </c>
      <c r="Q203" s="771">
        <f t="shared" si="60"/>
        <v>1.1762231463E-3</v>
      </c>
      <c r="R203" s="771">
        <f t="shared" si="61"/>
        <v>1.6863443816999999E-3</v>
      </c>
      <c r="S203" s="771">
        <f t="shared" si="62"/>
        <v>5.0590331449999997E-4</v>
      </c>
      <c r="T203" s="525">
        <f>+DATA!K199</f>
        <v>0</v>
      </c>
      <c r="U203" s="525">
        <f>+DATA!L199</f>
        <v>0</v>
      </c>
      <c r="V203" s="525">
        <f>+DATA!M199</f>
        <v>592200</v>
      </c>
      <c r="W203" s="526">
        <f t="shared" si="63"/>
        <v>592200</v>
      </c>
      <c r="X203" s="526">
        <f t="shared" si="69"/>
        <v>592200</v>
      </c>
      <c r="Y203" s="526">
        <f t="shared" si="70"/>
        <v>592200</v>
      </c>
      <c r="Z203" s="525">
        <f>+DATA!F199</f>
        <v>100396.43786886477</v>
      </c>
      <c r="AA203" s="525">
        <f>IF(P203="SI",ROUND(Z203/DIV_Pf,PARAMETROS!$L$8),0)</f>
        <v>8366</v>
      </c>
      <c r="AB203" s="526">
        <f t="shared" si="71"/>
        <v>21013</v>
      </c>
      <c r="AC203" s="775">
        <f t="shared" si="72"/>
        <v>28.18</v>
      </c>
      <c r="AD203" s="525">
        <f>IF(AC203&lt;$AC$6,ROUND(($AC$6-AC203)*AB203,PARAMETROS!$L$8),0)</f>
        <v>1604132</v>
      </c>
      <c r="AE203" s="771">
        <f t="shared" si="64"/>
        <v>1.5396779493000001E-3</v>
      </c>
      <c r="AF203" s="771">
        <f t="shared" si="65"/>
        <v>5.3888728230000005E-4</v>
      </c>
      <c r="AG203" s="771">
        <f t="shared" si="73"/>
        <v>1.9580187297999997E-3</v>
      </c>
      <c r="AH203" s="525">
        <f>+DATA!Q199</f>
        <v>3500647.3160000001</v>
      </c>
      <c r="AI203" s="525">
        <f>+DATA!R199</f>
        <v>291720.60966666666</v>
      </c>
      <c r="AJ203" s="525">
        <f>+DATA!S199</f>
        <v>230459</v>
      </c>
      <c r="AK203" s="525">
        <f>+'_DATA STT PAGOS_'!G201</f>
        <v>0</v>
      </c>
      <c r="AL203" s="525">
        <f>+'_DATA STT PAGOS_'!J201</f>
        <v>4753009.7420000006</v>
      </c>
      <c r="AM203" s="525">
        <f>+DATA!Y199</f>
        <v>13685</v>
      </c>
      <c r="AN203" s="525">
        <f>+DATA!Z199</f>
        <v>6495</v>
      </c>
      <c r="AO203" s="525">
        <f>+DATA!AA199</f>
        <v>8994</v>
      </c>
      <c r="AP203" s="525">
        <f>+DATA!AB199</f>
        <v>7423</v>
      </c>
      <c r="AQ203" s="525">
        <f>+DATA!AC199</f>
        <v>36597</v>
      </c>
      <c r="AR203" s="525">
        <f>+DATA!AD199</f>
        <v>467</v>
      </c>
      <c r="AS203" s="525">
        <f>+DATA!AE199</f>
        <v>277</v>
      </c>
      <c r="AT203" s="525">
        <f>+DATA!AF199</f>
        <v>271.55</v>
      </c>
      <c r="AU203" s="525">
        <f>+DATA!AG199</f>
        <v>536</v>
      </c>
      <c r="AV203" s="525">
        <f>+DATA!AH199</f>
        <v>1551.55</v>
      </c>
    </row>
    <row r="204" spans="1:48" x14ac:dyDescent="0.25">
      <c r="A204" s="527">
        <v>9201</v>
      </c>
      <c r="B204" s="527">
        <v>9101</v>
      </c>
      <c r="C204" s="527" t="s">
        <v>207</v>
      </c>
      <c r="D204" s="771">
        <f t="shared" si="56"/>
        <v>2.8901734103999998E-3</v>
      </c>
      <c r="E204" s="771">
        <f t="shared" si="57"/>
        <v>7.2254335259999995E-4</v>
      </c>
      <c r="F204" s="525">
        <f>+DATA!D200</f>
        <v>56797</v>
      </c>
      <c r="G204" s="772">
        <f>+DATA!E200</f>
        <v>9.026620950091796E-2</v>
      </c>
      <c r="H204" s="525">
        <f t="shared" si="66"/>
        <v>5127</v>
      </c>
      <c r="I204" s="771">
        <f t="shared" si="58"/>
        <v>3.9262685516000002E-3</v>
      </c>
      <c r="J204" s="771">
        <f t="shared" si="59"/>
        <v>3.9262685519999999E-4</v>
      </c>
      <c r="K204" s="525">
        <f>+DATA!G200</f>
        <v>20921</v>
      </c>
      <c r="L204" s="525">
        <f>+DATA!H200</f>
        <v>25228</v>
      </c>
      <c r="M204" s="525">
        <f>+DATA!I200</f>
        <v>711436430532</v>
      </c>
      <c r="N204" s="525">
        <f>+DATA!J200</f>
        <v>1278281327775</v>
      </c>
      <c r="O204" s="773">
        <f t="shared" si="67"/>
        <v>0.67936729540699703</v>
      </c>
      <c r="P204" s="774" t="str">
        <f t="shared" si="68"/>
        <v>SI</v>
      </c>
      <c r="Q204" s="771">
        <f t="shared" si="60"/>
        <v>3.1774967770999999E-3</v>
      </c>
      <c r="R204" s="771">
        <f t="shared" si="61"/>
        <v>4.5555589132000003E-3</v>
      </c>
      <c r="S204" s="771">
        <f t="shared" si="62"/>
        <v>1.3666676739999999E-3</v>
      </c>
      <c r="T204" s="525">
        <f>+DATA!K200</f>
        <v>0</v>
      </c>
      <c r="U204" s="525">
        <f>+DATA!L200</f>
        <v>0</v>
      </c>
      <c r="V204" s="525">
        <f>+DATA!M200</f>
        <v>3823960</v>
      </c>
      <c r="W204" s="526">
        <f t="shared" si="63"/>
        <v>3823960</v>
      </c>
      <c r="X204" s="526">
        <f t="shared" si="69"/>
        <v>3823960</v>
      </c>
      <c r="Y204" s="526">
        <f t="shared" si="70"/>
        <v>3823960</v>
      </c>
      <c r="Z204" s="525">
        <f>+DATA!F200</f>
        <v>531729.38580659195</v>
      </c>
      <c r="AA204" s="525">
        <f>IF(P204="SI",ROUND(Z204/DIV_Pf,PARAMETROS!$L$8),0)</f>
        <v>44311</v>
      </c>
      <c r="AB204" s="526">
        <f t="shared" si="71"/>
        <v>101108</v>
      </c>
      <c r="AC204" s="775">
        <f t="shared" si="72"/>
        <v>37.82</v>
      </c>
      <c r="AD204" s="525">
        <f>IF(AC204&lt;$AC$6,ROUND(($AC$6-AC204)*AB204,PARAMETROS!$L$8),0)</f>
        <v>6743904</v>
      </c>
      <c r="AE204" s="771">
        <f t="shared" si="64"/>
        <v>6.4729338242000001E-3</v>
      </c>
      <c r="AF204" s="771">
        <f t="shared" si="65"/>
        <v>2.2655268384999998E-3</v>
      </c>
      <c r="AG204" s="771">
        <f t="shared" si="73"/>
        <v>4.7473647202999998E-3</v>
      </c>
      <c r="AH204" s="525">
        <f>+DATA!Q200</f>
        <v>9219539.4220000003</v>
      </c>
      <c r="AI204" s="525">
        <f>+DATA!R200</f>
        <v>768294.95183333335</v>
      </c>
      <c r="AJ204" s="525">
        <f>+DATA!S200</f>
        <v>606953</v>
      </c>
      <c r="AK204" s="525">
        <f>+'_DATA STT PAGOS_'!G202</f>
        <v>0</v>
      </c>
      <c r="AL204" s="525">
        <f>+'_DATA STT PAGOS_'!J202</f>
        <v>12510291.507000001</v>
      </c>
      <c r="AM204" s="525">
        <f>+DATA!Y200</f>
        <v>196946</v>
      </c>
      <c r="AN204" s="525">
        <f>+DATA!Z200</f>
        <v>146245</v>
      </c>
      <c r="AO204" s="525">
        <f>+DATA!AA200</f>
        <v>168520</v>
      </c>
      <c r="AP204" s="525">
        <f>+DATA!AB200</f>
        <v>133354</v>
      </c>
      <c r="AQ204" s="525">
        <f>+DATA!AC200</f>
        <v>645065</v>
      </c>
      <c r="AR204" s="525">
        <f>+DATA!AD200</f>
        <v>15465</v>
      </c>
      <c r="AS204" s="525">
        <f>+DATA!AE200</f>
        <v>7132</v>
      </c>
      <c r="AT204" s="525">
        <f>+DATA!AF200</f>
        <v>9943.33</v>
      </c>
      <c r="AU204" s="525">
        <f>+DATA!AG200</f>
        <v>6964</v>
      </c>
      <c r="AV204" s="525">
        <f>+DATA!AH200</f>
        <v>39504.33</v>
      </c>
    </row>
    <row r="205" spans="1:48" x14ac:dyDescent="0.25">
      <c r="A205" s="527">
        <v>9202</v>
      </c>
      <c r="B205" s="527">
        <v>9105</v>
      </c>
      <c r="C205" s="527" t="s">
        <v>210</v>
      </c>
      <c r="D205" s="771">
        <f t="shared" si="56"/>
        <v>2.8901734103999998E-3</v>
      </c>
      <c r="E205" s="771">
        <f t="shared" si="57"/>
        <v>7.2254335259999995E-4</v>
      </c>
      <c r="F205" s="525">
        <f>+DATA!D201</f>
        <v>26558</v>
      </c>
      <c r="G205" s="772">
        <f>+DATA!E201</f>
        <v>0.13138371751078659</v>
      </c>
      <c r="H205" s="525">
        <f t="shared" si="66"/>
        <v>3489</v>
      </c>
      <c r="I205" s="771">
        <f t="shared" si="58"/>
        <v>2.6718843331999999E-3</v>
      </c>
      <c r="J205" s="771">
        <f t="shared" si="59"/>
        <v>2.6718843330000001E-4</v>
      </c>
      <c r="K205" s="525">
        <f>+DATA!G201</f>
        <v>9637</v>
      </c>
      <c r="L205" s="525">
        <f>+DATA!H201</f>
        <v>11227</v>
      </c>
      <c r="M205" s="525">
        <f>+DATA!I201</f>
        <v>227812397363</v>
      </c>
      <c r="N205" s="525">
        <f>+DATA!J201</f>
        <v>705424564008</v>
      </c>
      <c r="O205" s="773">
        <f t="shared" si="67"/>
        <v>0.52650494698466166</v>
      </c>
      <c r="P205" s="774" t="str">
        <f t="shared" si="68"/>
        <v>SI</v>
      </c>
      <c r="Q205" s="771">
        <f t="shared" si="60"/>
        <v>1.5150363657E-3</v>
      </c>
      <c r="R205" s="771">
        <f t="shared" si="61"/>
        <v>2.172098952E-3</v>
      </c>
      <c r="S205" s="771">
        <f t="shared" si="62"/>
        <v>6.5162968559999998E-4</v>
      </c>
      <c r="T205" s="525">
        <f>+DATA!K201</f>
        <v>0</v>
      </c>
      <c r="U205" s="525">
        <f>+DATA!L201</f>
        <v>0</v>
      </c>
      <c r="V205" s="525">
        <f>+DATA!M201</f>
        <v>2836299</v>
      </c>
      <c r="W205" s="526">
        <f t="shared" si="63"/>
        <v>2836299</v>
      </c>
      <c r="X205" s="526">
        <f t="shared" si="69"/>
        <v>2836299</v>
      </c>
      <c r="Y205" s="526">
        <f t="shared" si="70"/>
        <v>2836299</v>
      </c>
      <c r="Z205" s="525">
        <f>+DATA!F201</f>
        <v>285025.8975427667</v>
      </c>
      <c r="AA205" s="525">
        <f>IF(P205="SI",ROUND(Z205/DIV_Pf,PARAMETROS!$L$8),0)</f>
        <v>23752</v>
      </c>
      <c r="AB205" s="526">
        <f t="shared" si="71"/>
        <v>50310</v>
      </c>
      <c r="AC205" s="775">
        <f t="shared" si="72"/>
        <v>56.38</v>
      </c>
      <c r="AD205" s="525">
        <f>IF(AC205&lt;$AC$6,ROUND(($AC$6-AC205)*AB205,PARAMETROS!$L$8),0)</f>
        <v>2421923</v>
      </c>
      <c r="AE205" s="771">
        <f t="shared" si="64"/>
        <v>2.3246100932000002E-3</v>
      </c>
      <c r="AF205" s="771">
        <f t="shared" si="65"/>
        <v>8.1361353260000005E-4</v>
      </c>
      <c r="AG205" s="771">
        <f t="shared" si="73"/>
        <v>2.4549750041000002E-3</v>
      </c>
      <c r="AH205" s="525">
        <f>+DATA!Q201</f>
        <v>4202428.1960000005</v>
      </c>
      <c r="AI205" s="525">
        <f>+DATA!R201</f>
        <v>350202.34966666671</v>
      </c>
      <c r="AJ205" s="525">
        <f>+DATA!S201</f>
        <v>276660</v>
      </c>
      <c r="AK205" s="525">
        <f>+'_DATA STT PAGOS_'!G203</f>
        <v>0</v>
      </c>
      <c r="AL205" s="525">
        <f>+'_DATA STT PAGOS_'!J203</f>
        <v>5703802.5120000001</v>
      </c>
      <c r="AM205" s="525">
        <f>+DATA!Y201</f>
        <v>139977</v>
      </c>
      <c r="AN205" s="525">
        <f>+DATA!Z201</f>
        <v>107534</v>
      </c>
      <c r="AO205" s="525">
        <f>+DATA!AA201</f>
        <v>121017</v>
      </c>
      <c r="AP205" s="525">
        <f>+DATA!AB201</f>
        <v>101720</v>
      </c>
      <c r="AQ205" s="525">
        <f>+DATA!AC201</f>
        <v>470248</v>
      </c>
      <c r="AR205" s="525">
        <f>+DATA!AD201</f>
        <v>2588</v>
      </c>
      <c r="AS205" s="525">
        <f>+DATA!AE201</f>
        <v>1056</v>
      </c>
      <c r="AT205" s="525">
        <f>+DATA!AF201</f>
        <v>1725.354</v>
      </c>
      <c r="AU205" s="525">
        <f>+DATA!AG201</f>
        <v>1106</v>
      </c>
      <c r="AV205" s="525">
        <f>+DATA!AH201</f>
        <v>6475.3540000000003</v>
      </c>
    </row>
    <row r="206" spans="1:48" x14ac:dyDescent="0.25">
      <c r="A206" s="527">
        <v>9203</v>
      </c>
      <c r="B206" s="527">
        <v>9110</v>
      </c>
      <c r="C206" s="527" t="s">
        <v>411</v>
      </c>
      <c r="D206" s="771">
        <f t="shared" si="56"/>
        <v>2.8901734103999998E-3</v>
      </c>
      <c r="E206" s="771">
        <f t="shared" si="57"/>
        <v>7.2254335259999995E-4</v>
      </c>
      <c r="F206" s="525">
        <f>+DATA!D202</f>
        <v>18211</v>
      </c>
      <c r="G206" s="772">
        <f>+DATA!E202</f>
        <v>0.1092938122360393</v>
      </c>
      <c r="H206" s="525">
        <f t="shared" si="66"/>
        <v>1990</v>
      </c>
      <c r="I206" s="771">
        <f t="shared" si="58"/>
        <v>1.5239466388999999E-3</v>
      </c>
      <c r="J206" s="771">
        <f t="shared" si="59"/>
        <v>1.523946639E-4</v>
      </c>
      <c r="K206" s="525">
        <f>+DATA!G202</f>
        <v>9068</v>
      </c>
      <c r="L206" s="525">
        <f>+DATA!H202</f>
        <v>13070</v>
      </c>
      <c r="M206" s="525">
        <f>+DATA!I202</f>
        <v>224908475550</v>
      </c>
      <c r="N206" s="525">
        <f>+DATA!J202</f>
        <v>560115833047</v>
      </c>
      <c r="O206" s="773">
        <f t="shared" si="67"/>
        <v>0.52781526733299156</v>
      </c>
      <c r="P206" s="774" t="str">
        <f t="shared" si="68"/>
        <v>SI</v>
      </c>
      <c r="Q206" s="771">
        <f t="shared" si="60"/>
        <v>1.1522600306E-3</v>
      </c>
      <c r="R206" s="771">
        <f t="shared" si="61"/>
        <v>1.6519886000999999E-3</v>
      </c>
      <c r="S206" s="771">
        <f t="shared" si="62"/>
        <v>4.9559658000000002E-4</v>
      </c>
      <c r="T206" s="525">
        <f>+DATA!K202</f>
        <v>0</v>
      </c>
      <c r="U206" s="525">
        <f>+DATA!L202</f>
        <v>0</v>
      </c>
      <c r="V206" s="525">
        <f>+DATA!M202</f>
        <v>1474600</v>
      </c>
      <c r="W206" s="526">
        <f t="shared" si="63"/>
        <v>1474600</v>
      </c>
      <c r="X206" s="526">
        <f t="shared" si="69"/>
        <v>1474600</v>
      </c>
      <c r="Y206" s="526">
        <f t="shared" si="70"/>
        <v>1474600</v>
      </c>
      <c r="Z206" s="525">
        <f>+DATA!F202</f>
        <v>757158.87302243826</v>
      </c>
      <c r="AA206" s="525">
        <f>IF(P206="SI",ROUND(Z206/DIV_Pf,PARAMETROS!$L$8),0)</f>
        <v>63097</v>
      </c>
      <c r="AB206" s="526">
        <f t="shared" si="71"/>
        <v>81308</v>
      </c>
      <c r="AC206" s="775">
        <f t="shared" si="72"/>
        <v>18.14</v>
      </c>
      <c r="AD206" s="525">
        <f>IF(AC206&lt;$AC$6,ROUND(($AC$6-AC206)*AB206,PARAMETROS!$L$8),0)</f>
        <v>7023385</v>
      </c>
      <c r="AE206" s="771">
        <f t="shared" si="64"/>
        <v>6.7411852728999997E-3</v>
      </c>
      <c r="AF206" s="771">
        <f t="shared" si="65"/>
        <v>2.3594148455000001E-3</v>
      </c>
      <c r="AG206" s="771">
        <f t="shared" si="73"/>
        <v>3.7299494420000002E-3</v>
      </c>
      <c r="AH206" s="525">
        <f>+DATA!Q202</f>
        <v>5690552.1500000004</v>
      </c>
      <c r="AI206" s="525">
        <f>+DATA!R202</f>
        <v>474212.6791666667</v>
      </c>
      <c r="AJ206" s="525">
        <f>+DATA!S202</f>
        <v>374628</v>
      </c>
      <c r="AK206" s="525">
        <f>+'_DATA STT PAGOS_'!G204</f>
        <v>0</v>
      </c>
      <c r="AL206" s="525">
        <f>+'_DATA STT PAGOS_'!J204</f>
        <v>7718090.3119999999</v>
      </c>
      <c r="AM206" s="525">
        <f>+DATA!Y202</f>
        <v>104687</v>
      </c>
      <c r="AN206" s="525">
        <f>+DATA!Z202</f>
        <v>60426</v>
      </c>
      <c r="AO206" s="525">
        <f>+DATA!AA202</f>
        <v>69503</v>
      </c>
      <c r="AP206" s="525">
        <f>+DATA!AB202</f>
        <v>48808</v>
      </c>
      <c r="AQ206" s="525">
        <f>+DATA!AC202</f>
        <v>283424</v>
      </c>
      <c r="AR206" s="525">
        <f>+DATA!AD202</f>
        <v>2457</v>
      </c>
      <c r="AS206" s="525">
        <f>+DATA!AE202</f>
        <v>1497</v>
      </c>
      <c r="AT206" s="525">
        <f>+DATA!AF202</f>
        <v>2067.84</v>
      </c>
      <c r="AU206" s="525">
        <f>+DATA!AG202</f>
        <v>1445</v>
      </c>
      <c r="AV206" s="525">
        <f>+DATA!AH202</f>
        <v>7466.84</v>
      </c>
    </row>
    <row r="207" spans="1:48" x14ac:dyDescent="0.25">
      <c r="A207" s="527">
        <v>9204</v>
      </c>
      <c r="B207" s="527">
        <v>9106</v>
      </c>
      <c r="C207" s="527" t="s">
        <v>211</v>
      </c>
      <c r="D207" s="771">
        <f t="shared" si="56"/>
        <v>2.8901734103999998E-3</v>
      </c>
      <c r="E207" s="771">
        <f t="shared" si="57"/>
        <v>7.2254335259999995E-4</v>
      </c>
      <c r="F207" s="525">
        <f>+DATA!D203</f>
        <v>8387</v>
      </c>
      <c r="G207" s="772">
        <f>+DATA!E203</f>
        <v>0.17848814418246911</v>
      </c>
      <c r="H207" s="525">
        <f t="shared" si="66"/>
        <v>1497</v>
      </c>
      <c r="I207" s="771">
        <f t="shared" si="58"/>
        <v>1.1464060897E-3</v>
      </c>
      <c r="J207" s="771">
        <f t="shared" si="59"/>
        <v>1.1464060900000001E-4</v>
      </c>
      <c r="K207" s="525">
        <f>+DATA!G203</f>
        <v>3782</v>
      </c>
      <c r="L207" s="525">
        <f>+DATA!H203</f>
        <v>4443</v>
      </c>
      <c r="M207" s="525">
        <f>+DATA!I203</f>
        <v>85409859590</v>
      </c>
      <c r="N207" s="525">
        <f>+DATA!J203</f>
        <v>224782715271</v>
      </c>
      <c r="O207" s="773">
        <f t="shared" si="67"/>
        <v>0.5687156155578712</v>
      </c>
      <c r="P207" s="774" t="str">
        <f t="shared" si="68"/>
        <v>SI</v>
      </c>
      <c r="Q207" s="771">
        <f t="shared" si="60"/>
        <v>5.8961672999999996E-4</v>
      </c>
      <c r="R207" s="771">
        <f t="shared" si="61"/>
        <v>8.4533012559999995E-4</v>
      </c>
      <c r="S207" s="771">
        <f t="shared" si="62"/>
        <v>2.5359903769999999E-4</v>
      </c>
      <c r="T207" s="525">
        <f>+DATA!K203</f>
        <v>0</v>
      </c>
      <c r="U207" s="525">
        <f>+DATA!L203</f>
        <v>0</v>
      </c>
      <c r="V207" s="525">
        <f>+DATA!M203</f>
        <v>439285</v>
      </c>
      <c r="W207" s="526">
        <f t="shared" si="63"/>
        <v>439285</v>
      </c>
      <c r="X207" s="526">
        <f t="shared" si="69"/>
        <v>439285</v>
      </c>
      <c r="Y207" s="526">
        <f t="shared" si="70"/>
        <v>439285</v>
      </c>
      <c r="Z207" s="525">
        <f>+DATA!F203</f>
        <v>132979.92733249912</v>
      </c>
      <c r="AA207" s="525">
        <f>IF(P207="SI",ROUND(Z207/DIV_Pf,PARAMETROS!$L$8),0)</f>
        <v>11082</v>
      </c>
      <c r="AB207" s="526">
        <f t="shared" si="71"/>
        <v>19469</v>
      </c>
      <c r="AC207" s="775">
        <f t="shared" si="72"/>
        <v>22.56</v>
      </c>
      <c r="AD207" s="525">
        <f>IF(AC207&lt;$AC$6,ROUND(($AC$6-AC207)*AB207,PARAMETROS!$L$8),0)</f>
        <v>1595679</v>
      </c>
      <c r="AE207" s="771">
        <f t="shared" si="64"/>
        <v>1.531564591E-3</v>
      </c>
      <c r="AF207" s="771">
        <f t="shared" si="65"/>
        <v>5.3604760689999998E-4</v>
      </c>
      <c r="AG207" s="771">
        <f t="shared" si="73"/>
        <v>1.6268306062E-3</v>
      </c>
      <c r="AH207" s="525">
        <f>+DATA!Q203</f>
        <v>2786213.892</v>
      </c>
      <c r="AI207" s="525">
        <f>+DATA!R203</f>
        <v>232184.49100000001</v>
      </c>
      <c r="AJ207" s="525">
        <f>+DATA!S203</f>
        <v>183426</v>
      </c>
      <c r="AK207" s="525">
        <f>+'_DATA STT PAGOS_'!G205</f>
        <v>0</v>
      </c>
      <c r="AL207" s="525">
        <f>+'_DATA STT PAGOS_'!J205</f>
        <v>3781884.4810000001</v>
      </c>
      <c r="AM207" s="525">
        <f>+DATA!Y203</f>
        <v>31435</v>
      </c>
      <c r="AN207" s="525">
        <f>+DATA!Z203</f>
        <v>28389</v>
      </c>
      <c r="AO207" s="525">
        <f>+DATA!AA203</f>
        <v>24558</v>
      </c>
      <c r="AP207" s="525">
        <f>+DATA!AB203</f>
        <v>16429</v>
      </c>
      <c r="AQ207" s="525">
        <f>+DATA!AC203</f>
        <v>100811</v>
      </c>
      <c r="AR207" s="525">
        <f>+DATA!AD203</f>
        <v>363</v>
      </c>
      <c r="AS207" s="525">
        <f>+DATA!AE203</f>
        <v>230</v>
      </c>
      <c r="AT207" s="525">
        <f>+DATA!AF203</f>
        <v>208.24299999999999</v>
      </c>
      <c r="AU207" s="525">
        <f>+DATA!AG203</f>
        <v>128</v>
      </c>
      <c r="AV207" s="525">
        <f>+DATA!AH203</f>
        <v>929.24299999999994</v>
      </c>
    </row>
    <row r="208" spans="1:48" x14ac:dyDescent="0.25">
      <c r="A208" s="527">
        <v>9205</v>
      </c>
      <c r="B208" s="527">
        <v>9111</v>
      </c>
      <c r="C208" s="527" t="s">
        <v>214</v>
      </c>
      <c r="D208" s="771">
        <f t="shared" si="56"/>
        <v>2.8901734103999998E-3</v>
      </c>
      <c r="E208" s="771">
        <f t="shared" si="57"/>
        <v>7.2254335259999995E-4</v>
      </c>
      <c r="F208" s="525">
        <f>+DATA!D204</f>
        <v>11109</v>
      </c>
      <c r="G208" s="772">
        <f>+DATA!E204</f>
        <v>0.18360516166500079</v>
      </c>
      <c r="H208" s="525">
        <f t="shared" si="66"/>
        <v>2040</v>
      </c>
      <c r="I208" s="771">
        <f t="shared" si="58"/>
        <v>1.5622367554E-3</v>
      </c>
      <c r="J208" s="771">
        <f t="shared" si="59"/>
        <v>1.562236755E-4</v>
      </c>
      <c r="K208" s="525">
        <f>+DATA!G204</f>
        <v>4934</v>
      </c>
      <c r="L208" s="525">
        <f>+DATA!H204</f>
        <v>7793</v>
      </c>
      <c r="M208" s="525">
        <f>+DATA!I204</f>
        <v>264147200200</v>
      </c>
      <c r="N208" s="525">
        <f>+DATA!J204</f>
        <v>400164551020</v>
      </c>
      <c r="O208" s="773">
        <f t="shared" si="67"/>
        <v>0.64647380725798298</v>
      </c>
      <c r="P208" s="774" t="str">
        <f t="shared" si="68"/>
        <v>SI</v>
      </c>
      <c r="Q208" s="771">
        <f t="shared" si="60"/>
        <v>5.7213257590000004E-4</v>
      </c>
      <c r="R208" s="771">
        <f t="shared" si="61"/>
        <v>8.2026319409999997E-4</v>
      </c>
      <c r="S208" s="771">
        <f t="shared" si="62"/>
        <v>2.4607895819999997E-4</v>
      </c>
      <c r="T208" s="525">
        <f>+DATA!K204</f>
        <v>0</v>
      </c>
      <c r="U208" s="525">
        <f>+DATA!L204</f>
        <v>0</v>
      </c>
      <c r="V208" s="525">
        <f>+DATA!M204</f>
        <v>557544</v>
      </c>
      <c r="W208" s="526">
        <f t="shared" si="63"/>
        <v>557544</v>
      </c>
      <c r="X208" s="526">
        <f t="shared" si="69"/>
        <v>557544</v>
      </c>
      <c r="Y208" s="526">
        <f t="shared" si="70"/>
        <v>557544</v>
      </c>
      <c r="Z208" s="525">
        <f>+DATA!F204</f>
        <v>279792.00816808065</v>
      </c>
      <c r="AA208" s="525">
        <f>IF(P208="SI",ROUND(Z208/DIV_Pf,PARAMETROS!$L$8),0)</f>
        <v>23316</v>
      </c>
      <c r="AB208" s="526">
        <f t="shared" si="71"/>
        <v>34425</v>
      </c>
      <c r="AC208" s="775">
        <f t="shared" si="72"/>
        <v>16.2</v>
      </c>
      <c r="AD208" s="525">
        <f>IF(AC208&lt;$AC$6,ROUND(($AC$6-AC208)*AB208,PARAMETROS!$L$8),0)</f>
        <v>3040416</v>
      </c>
      <c r="AE208" s="771">
        <f t="shared" si="64"/>
        <v>2.9182520340999998E-3</v>
      </c>
      <c r="AF208" s="771">
        <f t="shared" si="65"/>
        <v>1.0213882119E-3</v>
      </c>
      <c r="AG208" s="771">
        <f t="shared" si="73"/>
        <v>2.1462341981999997E-3</v>
      </c>
      <c r="AH208" s="525">
        <f>+DATA!Q204</f>
        <v>3927849.0929999999</v>
      </c>
      <c r="AI208" s="525">
        <f>+DATA!R204</f>
        <v>327320.75774999999</v>
      </c>
      <c r="AJ208" s="525">
        <f>+DATA!S204</f>
        <v>258583</v>
      </c>
      <c r="AK208" s="525">
        <f>+'_DATA STT PAGOS_'!G206</f>
        <v>0</v>
      </c>
      <c r="AL208" s="525">
        <f>+'_DATA STT PAGOS_'!J206</f>
        <v>5332079.7949999999</v>
      </c>
      <c r="AM208" s="525">
        <f>+DATA!Y204</f>
        <v>25134</v>
      </c>
      <c r="AN208" s="525">
        <f>+DATA!Z204</f>
        <v>20330</v>
      </c>
      <c r="AO208" s="525">
        <f>+DATA!AA204</f>
        <v>20807</v>
      </c>
      <c r="AP208" s="525">
        <f>+DATA!AB204</f>
        <v>15379</v>
      </c>
      <c r="AQ208" s="525">
        <f>+DATA!AC204</f>
        <v>81650</v>
      </c>
      <c r="AR208" s="525">
        <f>+DATA!AD204</f>
        <v>756</v>
      </c>
      <c r="AS208" s="525">
        <f>+DATA!AE204</f>
        <v>295</v>
      </c>
      <c r="AT208" s="525">
        <f>+DATA!AF204</f>
        <v>305.29300000000001</v>
      </c>
      <c r="AU208" s="525">
        <f>+DATA!AG204</f>
        <v>256</v>
      </c>
      <c r="AV208" s="525">
        <f>+DATA!AH204</f>
        <v>1612.2930000000001</v>
      </c>
    </row>
    <row r="209" spans="1:48" x14ac:dyDescent="0.25">
      <c r="A209" s="527">
        <v>9206</v>
      </c>
      <c r="B209" s="527">
        <v>9103</v>
      </c>
      <c r="C209" s="527" t="s">
        <v>208</v>
      </c>
      <c r="D209" s="771">
        <f t="shared" si="56"/>
        <v>2.8901734103999998E-3</v>
      </c>
      <c r="E209" s="771">
        <f t="shared" si="57"/>
        <v>7.2254335259999995E-4</v>
      </c>
      <c r="F209" s="525">
        <f>+DATA!D205</f>
        <v>7468</v>
      </c>
      <c r="G209" s="772">
        <f>+DATA!E205</f>
        <v>0.17356026366529281</v>
      </c>
      <c r="H209" s="525">
        <f t="shared" si="66"/>
        <v>1296</v>
      </c>
      <c r="I209" s="771">
        <f t="shared" si="58"/>
        <v>9.9247982109999995E-4</v>
      </c>
      <c r="J209" s="771">
        <f t="shared" si="59"/>
        <v>9.9247982100000005E-5</v>
      </c>
      <c r="K209" s="525">
        <f>+DATA!G205</f>
        <v>4485</v>
      </c>
      <c r="L209" s="525">
        <f>+DATA!H205</f>
        <v>5174</v>
      </c>
      <c r="M209" s="525">
        <f>+DATA!I205</f>
        <v>84249474323</v>
      </c>
      <c r="N209" s="525">
        <f>+DATA!J205</f>
        <v>215847902459</v>
      </c>
      <c r="O209" s="773">
        <f t="shared" si="67"/>
        <v>0.58167137909599653</v>
      </c>
      <c r="P209" s="774" t="str">
        <f t="shared" si="68"/>
        <v>SI</v>
      </c>
      <c r="Q209" s="771">
        <f t="shared" si="60"/>
        <v>7.1203531250000002E-4</v>
      </c>
      <c r="R209" s="771">
        <f t="shared" si="61"/>
        <v>1.0208409455E-3</v>
      </c>
      <c r="S209" s="771">
        <f t="shared" si="62"/>
        <v>3.0625228369999998E-4</v>
      </c>
      <c r="T209" s="525">
        <f>+DATA!K205</f>
        <v>0</v>
      </c>
      <c r="U209" s="525">
        <f>+DATA!L205</f>
        <v>0</v>
      </c>
      <c r="V209" s="525">
        <f>+DATA!M205</f>
        <v>663893</v>
      </c>
      <c r="W209" s="526">
        <f t="shared" si="63"/>
        <v>663893</v>
      </c>
      <c r="X209" s="526">
        <f t="shared" si="69"/>
        <v>663893</v>
      </c>
      <c r="Y209" s="526">
        <f t="shared" si="70"/>
        <v>663893</v>
      </c>
      <c r="Z209" s="525">
        <f>+DATA!F205</f>
        <v>89824.315502261714</v>
      </c>
      <c r="AA209" s="525">
        <f>IF(P209="SI",ROUND(Z209/DIV_Pf,PARAMETROS!$L$8),0)</f>
        <v>7485</v>
      </c>
      <c r="AB209" s="526">
        <f t="shared" si="71"/>
        <v>14953</v>
      </c>
      <c r="AC209" s="775">
        <f t="shared" si="72"/>
        <v>44.4</v>
      </c>
      <c r="AD209" s="525">
        <f>IF(AC209&lt;$AC$6,ROUND(($AC$6-AC209)*AB209,PARAMETROS!$L$8),0)</f>
        <v>898974</v>
      </c>
      <c r="AE209" s="771">
        <f t="shared" si="64"/>
        <v>8.6285320960000002E-4</v>
      </c>
      <c r="AF209" s="771">
        <f t="shared" si="65"/>
        <v>3.0199862340000002E-4</v>
      </c>
      <c r="AG209" s="771">
        <f t="shared" si="73"/>
        <v>1.4300422417999998E-3</v>
      </c>
      <c r="AH209" s="525">
        <f>+DATA!Q205</f>
        <v>2595866.156</v>
      </c>
      <c r="AI209" s="525">
        <f>+DATA!R205</f>
        <v>216322.17966666666</v>
      </c>
      <c r="AJ209" s="525">
        <f>+DATA!S205</f>
        <v>170895</v>
      </c>
      <c r="AK209" s="525">
        <f>+'_DATA STT PAGOS_'!G207</f>
        <v>0</v>
      </c>
      <c r="AL209" s="525">
        <f>+'_DATA STT PAGOS_'!J207</f>
        <v>3525305.3940000003</v>
      </c>
      <c r="AM209" s="525">
        <f>+DATA!Y205</f>
        <v>27600</v>
      </c>
      <c r="AN209" s="525">
        <f>+DATA!Z205</f>
        <v>19722</v>
      </c>
      <c r="AO209" s="525">
        <f>+DATA!AA205</f>
        <v>24620</v>
      </c>
      <c r="AP209" s="525">
        <f>+DATA!AB205</f>
        <v>17995</v>
      </c>
      <c r="AQ209" s="525">
        <f>+DATA!AC205</f>
        <v>89937</v>
      </c>
      <c r="AR209" s="525">
        <f>+DATA!AD205</f>
        <v>607</v>
      </c>
      <c r="AS209" s="525">
        <f>+DATA!AE205</f>
        <v>295</v>
      </c>
      <c r="AT209" s="525">
        <f>+DATA!AF205</f>
        <v>639.78599999999994</v>
      </c>
      <c r="AU209" s="525">
        <f>+DATA!AG205</f>
        <v>323</v>
      </c>
      <c r="AV209" s="525">
        <f>+DATA!AH205</f>
        <v>1864.7860000000001</v>
      </c>
    </row>
    <row r="210" spans="1:48" x14ac:dyDescent="0.25">
      <c r="A210" s="527">
        <v>9207</v>
      </c>
      <c r="B210" s="527">
        <v>9108</v>
      </c>
      <c r="C210" s="527" t="s">
        <v>212</v>
      </c>
      <c r="D210" s="771">
        <f t="shared" si="56"/>
        <v>2.8901734103999998E-3</v>
      </c>
      <c r="E210" s="771">
        <f t="shared" si="57"/>
        <v>7.2254335259999995E-4</v>
      </c>
      <c r="F210" s="525">
        <f>+DATA!D206</f>
        <v>9916</v>
      </c>
      <c r="G210" s="772">
        <f>+DATA!E206</f>
        <v>0.21468694681418671</v>
      </c>
      <c r="H210" s="525">
        <f t="shared" si="66"/>
        <v>2129</v>
      </c>
      <c r="I210" s="771">
        <f t="shared" si="58"/>
        <v>1.6303931629000001E-3</v>
      </c>
      <c r="J210" s="771">
        <f t="shared" si="59"/>
        <v>1.6303931629999999E-4</v>
      </c>
      <c r="K210" s="525">
        <f>+DATA!G206</f>
        <v>5386</v>
      </c>
      <c r="L210" s="525">
        <f>+DATA!H206</f>
        <v>6319</v>
      </c>
      <c r="M210" s="525">
        <f>+DATA!I206</f>
        <v>92582681260</v>
      </c>
      <c r="N210" s="525">
        <f>+DATA!J206</f>
        <v>182578228564</v>
      </c>
      <c r="O210" s="773">
        <f t="shared" si="67"/>
        <v>0.6574297900947248</v>
      </c>
      <c r="P210" s="774" t="str">
        <f t="shared" si="68"/>
        <v>SI</v>
      </c>
      <c r="Q210" s="771">
        <f t="shared" si="60"/>
        <v>8.4078974279999999E-4</v>
      </c>
      <c r="R210" s="771">
        <f t="shared" si="61"/>
        <v>1.2054354341E-3</v>
      </c>
      <c r="S210" s="771">
        <f t="shared" si="62"/>
        <v>3.6163063019999998E-4</v>
      </c>
      <c r="T210" s="525">
        <f>+DATA!K206</f>
        <v>0</v>
      </c>
      <c r="U210" s="525">
        <f>+DATA!L206</f>
        <v>0</v>
      </c>
      <c r="V210" s="525">
        <f>+DATA!M206</f>
        <v>473032</v>
      </c>
      <c r="W210" s="526">
        <f t="shared" si="63"/>
        <v>473032</v>
      </c>
      <c r="X210" s="526">
        <f t="shared" si="69"/>
        <v>473032</v>
      </c>
      <c r="Y210" s="526">
        <f t="shared" si="70"/>
        <v>473032</v>
      </c>
      <c r="Z210" s="525">
        <f>+DATA!F206</f>
        <v>117343.43263359694</v>
      </c>
      <c r="AA210" s="525">
        <f>IF(P210="SI",ROUND(Z210/DIV_Pf,PARAMETROS!$L$8),0)</f>
        <v>9779</v>
      </c>
      <c r="AB210" s="526">
        <f t="shared" si="71"/>
        <v>19695</v>
      </c>
      <c r="AC210" s="775">
        <f t="shared" si="72"/>
        <v>24.02</v>
      </c>
      <c r="AD210" s="525">
        <f>IF(AC210&lt;$AC$6,ROUND(($AC$6-AC210)*AB210,PARAMETROS!$L$8),0)</f>
        <v>1585448</v>
      </c>
      <c r="AE210" s="771">
        <f t="shared" si="64"/>
        <v>1.5217446728E-3</v>
      </c>
      <c r="AF210" s="771">
        <f t="shared" si="65"/>
        <v>5.3261063550000005E-4</v>
      </c>
      <c r="AG210" s="771">
        <f t="shared" si="73"/>
        <v>1.7798239346000001E-3</v>
      </c>
      <c r="AH210" s="525">
        <f>+DATA!Q206</f>
        <v>3082071.0720000002</v>
      </c>
      <c r="AI210" s="525">
        <f>+DATA!R206</f>
        <v>256839.25600000002</v>
      </c>
      <c r="AJ210" s="525">
        <f>+DATA!S206</f>
        <v>202903</v>
      </c>
      <c r="AK210" s="525">
        <f>+'_DATA STT PAGOS_'!G208</f>
        <v>0</v>
      </c>
      <c r="AL210" s="525">
        <f>+'_DATA STT PAGOS_'!J208</f>
        <v>4185930.6340000005</v>
      </c>
      <c r="AM210" s="525">
        <f>+DATA!Y206</f>
        <v>20051</v>
      </c>
      <c r="AN210" s="525">
        <f>+DATA!Z206</f>
        <v>15147</v>
      </c>
      <c r="AO210" s="525">
        <f>+DATA!AA206</f>
        <v>19033</v>
      </c>
      <c r="AP210" s="525">
        <f>+DATA!AB206</f>
        <v>12823</v>
      </c>
      <c r="AQ210" s="525">
        <f>+DATA!AC206</f>
        <v>67054</v>
      </c>
      <c r="AR210" s="525">
        <f>+DATA!AD206</f>
        <v>1035</v>
      </c>
      <c r="AS210" s="525">
        <f>+DATA!AE206</f>
        <v>553</v>
      </c>
      <c r="AT210" s="525">
        <f>+DATA!AF206</f>
        <v>762.37</v>
      </c>
      <c r="AU210" s="525">
        <f>+DATA!AG206</f>
        <v>543</v>
      </c>
      <c r="AV210" s="525">
        <f>+DATA!AH206</f>
        <v>2893.37</v>
      </c>
    </row>
    <row r="211" spans="1:48" x14ac:dyDescent="0.25">
      <c r="A211" s="527">
        <v>9208</v>
      </c>
      <c r="B211" s="527">
        <v>9102</v>
      </c>
      <c r="C211" s="527" t="s">
        <v>412</v>
      </c>
      <c r="D211" s="771">
        <f t="shared" si="56"/>
        <v>2.8901734103999998E-3</v>
      </c>
      <c r="E211" s="771">
        <f t="shared" si="57"/>
        <v>7.2254335259999995E-4</v>
      </c>
      <c r="F211" s="525">
        <f>+DATA!D207</f>
        <v>12103</v>
      </c>
      <c r="G211" s="772">
        <f>+DATA!E207</f>
        <v>0.1294895634365</v>
      </c>
      <c r="H211" s="525">
        <f t="shared" si="66"/>
        <v>1567</v>
      </c>
      <c r="I211" s="771">
        <f t="shared" si="58"/>
        <v>1.2000122528E-3</v>
      </c>
      <c r="J211" s="771">
        <f t="shared" si="59"/>
        <v>1.200012253E-4</v>
      </c>
      <c r="K211" s="525">
        <f>+DATA!G207</f>
        <v>6413</v>
      </c>
      <c r="L211" s="525">
        <f>+DATA!H207</f>
        <v>7143</v>
      </c>
      <c r="M211" s="525">
        <f>+DATA!I207</f>
        <v>113864364125</v>
      </c>
      <c r="N211" s="525">
        <f>+DATA!J207</f>
        <v>172309965619</v>
      </c>
      <c r="O211" s="773">
        <f t="shared" si="67"/>
        <v>0.77024521600625173</v>
      </c>
      <c r="P211" s="774" t="str">
        <f t="shared" si="68"/>
        <v>SI</v>
      </c>
      <c r="Q211" s="771">
        <f t="shared" si="60"/>
        <v>1.054495891E-3</v>
      </c>
      <c r="R211" s="771">
        <f t="shared" si="61"/>
        <v>1.5118247137000001E-3</v>
      </c>
      <c r="S211" s="771">
        <f t="shared" si="62"/>
        <v>4.535474141E-4</v>
      </c>
      <c r="T211" s="525">
        <f>+DATA!K207</f>
        <v>0</v>
      </c>
      <c r="U211" s="525">
        <f>+DATA!L207</f>
        <v>0</v>
      </c>
      <c r="V211" s="525">
        <f>+DATA!M207</f>
        <v>571836</v>
      </c>
      <c r="W211" s="526">
        <f t="shared" si="63"/>
        <v>571836</v>
      </c>
      <c r="X211" s="526">
        <f t="shared" si="69"/>
        <v>571836</v>
      </c>
      <c r="Y211" s="526">
        <f t="shared" si="70"/>
        <v>571836</v>
      </c>
      <c r="Z211" s="525">
        <f>+DATA!F207</f>
        <v>141625.21869679194</v>
      </c>
      <c r="AA211" s="525">
        <f>IF(P211="SI",ROUND(Z211/DIV_Pf,PARAMETROS!$L$8),0)</f>
        <v>11802</v>
      </c>
      <c r="AB211" s="526">
        <f t="shared" si="71"/>
        <v>23905</v>
      </c>
      <c r="AC211" s="775">
        <f t="shared" si="72"/>
        <v>23.92</v>
      </c>
      <c r="AD211" s="525">
        <f>IF(AC211&lt;$AC$6,ROUND(($AC$6-AC211)*AB211,PARAMETROS!$L$8),0)</f>
        <v>1926743</v>
      </c>
      <c r="AE211" s="771">
        <f t="shared" si="64"/>
        <v>1.8493264339E-3</v>
      </c>
      <c r="AF211" s="771">
        <f t="shared" si="65"/>
        <v>6.4726425190000003E-4</v>
      </c>
      <c r="AG211" s="771">
        <f t="shared" si="73"/>
        <v>1.9433562439000001E-3</v>
      </c>
      <c r="AH211" s="525">
        <f>+DATA!Q207</f>
        <v>3499176.9939999999</v>
      </c>
      <c r="AI211" s="525">
        <f>+DATA!R207</f>
        <v>291598.08283333335</v>
      </c>
      <c r="AJ211" s="525">
        <f>+DATA!S207</f>
        <v>230362</v>
      </c>
      <c r="AK211" s="525">
        <f>+'_DATA STT PAGOS_'!G209</f>
        <v>0</v>
      </c>
      <c r="AL211" s="525">
        <f>+'_DATA STT PAGOS_'!J209</f>
        <v>4747457.642</v>
      </c>
      <c r="AM211" s="525">
        <f>+DATA!Y207</f>
        <v>12603</v>
      </c>
      <c r="AN211" s="525">
        <f>+DATA!Z207</f>
        <v>8356</v>
      </c>
      <c r="AO211" s="525">
        <f>+DATA!AA207</f>
        <v>16244</v>
      </c>
      <c r="AP211" s="525">
        <f>+DATA!AB207</f>
        <v>5997</v>
      </c>
      <c r="AQ211" s="525">
        <f>+DATA!AC207</f>
        <v>43200</v>
      </c>
      <c r="AR211" s="525">
        <f>+DATA!AD207</f>
        <v>0</v>
      </c>
      <c r="AS211" s="525">
        <f>+DATA!AE207</f>
        <v>0</v>
      </c>
      <c r="AT211" s="525">
        <f>+DATA!AF207</f>
        <v>0</v>
      </c>
      <c r="AU211" s="525">
        <f>+DATA!AG207</f>
        <v>0</v>
      </c>
      <c r="AV211" s="525">
        <f>+DATA!AH207</f>
        <v>0</v>
      </c>
    </row>
    <row r="212" spans="1:48" x14ac:dyDescent="0.25">
      <c r="A212" s="527">
        <v>9209</v>
      </c>
      <c r="B212" s="527">
        <v>9104</v>
      </c>
      <c r="C212" s="527" t="s">
        <v>209</v>
      </c>
      <c r="D212" s="771">
        <f t="shared" si="56"/>
        <v>2.8901734103999998E-3</v>
      </c>
      <c r="E212" s="771">
        <f t="shared" si="57"/>
        <v>7.2254335259999995E-4</v>
      </c>
      <c r="F212" s="525">
        <f>+DATA!D208</f>
        <v>11002</v>
      </c>
      <c r="G212" s="772">
        <f>+DATA!E208</f>
        <v>0.1247576527893416</v>
      </c>
      <c r="H212" s="525">
        <f t="shared" si="66"/>
        <v>1373</v>
      </c>
      <c r="I212" s="771">
        <f t="shared" si="58"/>
        <v>1.0514466006E-3</v>
      </c>
      <c r="J212" s="771">
        <f t="shared" si="59"/>
        <v>1.0514466010000001E-4</v>
      </c>
      <c r="K212" s="525">
        <f>+DATA!G208</f>
        <v>4522</v>
      </c>
      <c r="L212" s="525">
        <f>+DATA!H208</f>
        <v>5191</v>
      </c>
      <c r="M212" s="525">
        <f>+DATA!I208</f>
        <v>68247286410</v>
      </c>
      <c r="N212" s="525">
        <f>+DATA!J208</f>
        <v>195593652999</v>
      </c>
      <c r="O212" s="773">
        <f t="shared" si="67"/>
        <v>0.55132169113336238</v>
      </c>
      <c r="P212" s="774" t="str">
        <f t="shared" si="68"/>
        <v>SI</v>
      </c>
      <c r="Q212" s="771">
        <f t="shared" si="60"/>
        <v>7.2146148149999998E-4</v>
      </c>
      <c r="R212" s="771">
        <f t="shared" si="61"/>
        <v>1.0343551899999999E-3</v>
      </c>
      <c r="S212" s="771">
        <f t="shared" si="62"/>
        <v>3.1030655699999999E-4</v>
      </c>
      <c r="T212" s="525">
        <f>+DATA!K208</f>
        <v>0</v>
      </c>
      <c r="U212" s="525">
        <f>+DATA!L208</f>
        <v>0</v>
      </c>
      <c r="V212" s="525">
        <f>+DATA!M208</f>
        <v>1171376</v>
      </c>
      <c r="W212" s="526">
        <f t="shared" si="63"/>
        <v>1171376</v>
      </c>
      <c r="X212" s="526">
        <f t="shared" si="69"/>
        <v>1171376</v>
      </c>
      <c r="Y212" s="526">
        <f t="shared" si="70"/>
        <v>1171376</v>
      </c>
      <c r="Z212" s="525">
        <f>+DATA!F208</f>
        <v>92672.668935320296</v>
      </c>
      <c r="AA212" s="525">
        <f>IF(P212="SI",ROUND(Z212/DIV_Pf,PARAMETROS!$L$8),0)</f>
        <v>7723</v>
      </c>
      <c r="AB212" s="526">
        <f t="shared" si="71"/>
        <v>18725</v>
      </c>
      <c r="AC212" s="775">
        <f t="shared" si="72"/>
        <v>62.56</v>
      </c>
      <c r="AD212" s="525">
        <f>IF(AC212&lt;$AC$6,ROUND(($AC$6-AC212)*AB212,PARAMETROS!$L$8),0)</f>
        <v>785701</v>
      </c>
      <c r="AE212" s="771">
        <f t="shared" si="64"/>
        <v>7.5413152059999997E-4</v>
      </c>
      <c r="AF212" s="771">
        <f t="shared" si="65"/>
        <v>2.6394603219999997E-4</v>
      </c>
      <c r="AG212" s="771">
        <f t="shared" si="73"/>
        <v>1.4019406018999999E-3</v>
      </c>
      <c r="AH212" s="525">
        <f>+DATA!Q208</f>
        <v>2530947.2379999999</v>
      </c>
      <c r="AI212" s="525">
        <f>+DATA!R208</f>
        <v>210912.26983333332</v>
      </c>
      <c r="AJ212" s="525">
        <f>+DATA!S208</f>
        <v>166621</v>
      </c>
      <c r="AK212" s="525">
        <f>+'_DATA STT PAGOS_'!G210</f>
        <v>0</v>
      </c>
      <c r="AL212" s="525">
        <f>+'_DATA STT PAGOS_'!J210</f>
        <v>3435098.2359999996</v>
      </c>
      <c r="AM212" s="525">
        <f>+DATA!Y208</f>
        <v>39341</v>
      </c>
      <c r="AN212" s="525">
        <f>+DATA!Z208</f>
        <v>31381</v>
      </c>
      <c r="AO212" s="525">
        <f>+DATA!AA208</f>
        <v>33158</v>
      </c>
      <c r="AP212" s="525">
        <f>+DATA!AB208</f>
        <v>22491</v>
      </c>
      <c r="AQ212" s="525">
        <f>+DATA!AC208</f>
        <v>126371</v>
      </c>
      <c r="AR212" s="525">
        <f>+DATA!AD208</f>
        <v>1006</v>
      </c>
      <c r="AS212" s="525">
        <f>+DATA!AE208</f>
        <v>892</v>
      </c>
      <c r="AT212" s="525">
        <f>+DATA!AF208</f>
        <v>746.06399999999996</v>
      </c>
      <c r="AU212" s="525">
        <f>+DATA!AG208</f>
        <v>412</v>
      </c>
      <c r="AV212" s="525">
        <f>+DATA!AH208</f>
        <v>3056.0639999999999</v>
      </c>
    </row>
    <row r="213" spans="1:48" x14ac:dyDescent="0.25">
      <c r="A213" s="527">
        <v>9210</v>
      </c>
      <c r="B213" s="527">
        <v>9107</v>
      </c>
      <c r="C213" s="527" t="s">
        <v>413</v>
      </c>
      <c r="D213" s="771">
        <f t="shared" si="56"/>
        <v>2.8901734103999998E-3</v>
      </c>
      <c r="E213" s="771">
        <f t="shared" si="57"/>
        <v>7.2254335259999995E-4</v>
      </c>
      <c r="F213" s="525">
        <f>+DATA!D209</f>
        <v>19260</v>
      </c>
      <c r="G213" s="772">
        <f>+DATA!E209</f>
        <v>0.14145551798520789</v>
      </c>
      <c r="H213" s="525">
        <f t="shared" si="66"/>
        <v>2724</v>
      </c>
      <c r="I213" s="771">
        <f t="shared" si="58"/>
        <v>2.0860455499E-3</v>
      </c>
      <c r="J213" s="771">
        <f t="shared" si="59"/>
        <v>2.0860455499999999E-4</v>
      </c>
      <c r="K213" s="525">
        <f>+DATA!G209</f>
        <v>7780</v>
      </c>
      <c r="L213" s="525">
        <f>+DATA!H209</f>
        <v>9440</v>
      </c>
      <c r="M213" s="525">
        <f>+DATA!I209</f>
        <v>240513076274</v>
      </c>
      <c r="N213" s="525">
        <f>+DATA!J209</f>
        <v>493859684986</v>
      </c>
      <c r="O213" s="773">
        <f t="shared" si="67"/>
        <v>0.63353609069715566</v>
      </c>
      <c r="P213" s="774" t="str">
        <f t="shared" si="68"/>
        <v>SI</v>
      </c>
      <c r="Q213" s="771">
        <f t="shared" si="60"/>
        <v>1.1743302868000001E-3</v>
      </c>
      <c r="R213" s="771">
        <f t="shared" si="61"/>
        <v>1.6836305999000001E-3</v>
      </c>
      <c r="S213" s="771">
        <f t="shared" si="62"/>
        <v>5.0508917999999995E-4</v>
      </c>
      <c r="T213" s="525">
        <f>+DATA!K209</f>
        <v>0</v>
      </c>
      <c r="U213" s="525">
        <f>+DATA!L209</f>
        <v>0</v>
      </c>
      <c r="V213" s="525">
        <f>+DATA!M209</f>
        <v>1451764</v>
      </c>
      <c r="W213" s="526">
        <f t="shared" si="63"/>
        <v>1451764</v>
      </c>
      <c r="X213" s="526">
        <f t="shared" si="69"/>
        <v>1451764</v>
      </c>
      <c r="Y213" s="526">
        <f t="shared" si="70"/>
        <v>1451764</v>
      </c>
      <c r="Z213" s="525">
        <f>+DATA!F209</f>
        <v>199286.95419610146</v>
      </c>
      <c r="AA213" s="525">
        <f>IF(P213="SI",ROUND(Z213/DIV_Pf,PARAMETROS!$L$8),0)</f>
        <v>16607</v>
      </c>
      <c r="AB213" s="526">
        <f t="shared" si="71"/>
        <v>35867</v>
      </c>
      <c r="AC213" s="775">
        <f t="shared" si="72"/>
        <v>40.479999999999997</v>
      </c>
      <c r="AD213" s="525">
        <f>IF(AC213&lt;$AC$6,ROUND(($AC$6-AC213)*AB213,PARAMETROS!$L$8),0)</f>
        <v>2296923</v>
      </c>
      <c r="AE213" s="771">
        <f t="shared" si="64"/>
        <v>2.2046325953E-3</v>
      </c>
      <c r="AF213" s="771">
        <f t="shared" si="65"/>
        <v>7.7162140840000002E-4</v>
      </c>
      <c r="AG213" s="771">
        <f t="shared" si="73"/>
        <v>2.2078584959999998E-3</v>
      </c>
      <c r="AH213" s="525">
        <f>+DATA!Q209</f>
        <v>4580370.8990000002</v>
      </c>
      <c r="AI213" s="525">
        <f>+DATA!R209</f>
        <v>381697.57491666666</v>
      </c>
      <c r="AJ213" s="525">
        <f>+DATA!S209</f>
        <v>301541</v>
      </c>
      <c r="AK213" s="525">
        <f>+'_DATA STT PAGOS_'!G211</f>
        <v>0</v>
      </c>
      <c r="AL213" s="525">
        <f>+'_DATA STT PAGOS_'!J211</f>
        <v>6215668.4840000002</v>
      </c>
      <c r="AM213" s="525">
        <f>+DATA!Y209</f>
        <v>78670</v>
      </c>
      <c r="AN213" s="525">
        <f>+DATA!Z209</f>
        <v>45372</v>
      </c>
      <c r="AO213" s="525">
        <f>+DATA!AA209</f>
        <v>64472</v>
      </c>
      <c r="AP213" s="525">
        <f>+DATA!AB209</f>
        <v>41364</v>
      </c>
      <c r="AQ213" s="525">
        <f>+DATA!AC209</f>
        <v>229878</v>
      </c>
      <c r="AR213" s="525">
        <f>+DATA!AD209</f>
        <v>2122</v>
      </c>
      <c r="AS213" s="525">
        <f>+DATA!AE209</f>
        <v>1024</v>
      </c>
      <c r="AT213" s="525">
        <f>+DATA!AF209</f>
        <v>1572.9970000000001</v>
      </c>
      <c r="AU213" s="525">
        <f>+DATA!AG209</f>
        <v>1329</v>
      </c>
      <c r="AV213" s="525">
        <f>+DATA!AH209</f>
        <v>6047.9970000000003</v>
      </c>
    </row>
    <row r="214" spans="1:48" x14ac:dyDescent="0.25">
      <c r="A214" s="527">
        <v>9211</v>
      </c>
      <c r="B214" s="527">
        <v>9109</v>
      </c>
      <c r="C214" s="527" t="s">
        <v>213</v>
      </c>
      <c r="D214" s="771">
        <f t="shared" si="56"/>
        <v>2.8901734103999998E-3</v>
      </c>
      <c r="E214" s="771">
        <f t="shared" si="57"/>
        <v>7.2254335259999995E-4</v>
      </c>
      <c r="F214" s="525">
        <f>+DATA!D210</f>
        <v>35554</v>
      </c>
      <c r="G214" s="772">
        <f>+DATA!E210</f>
        <v>0.14349751335414079</v>
      </c>
      <c r="H214" s="525">
        <f t="shared" si="66"/>
        <v>5102</v>
      </c>
      <c r="I214" s="771">
        <f t="shared" si="58"/>
        <v>3.9071234933E-3</v>
      </c>
      <c r="J214" s="771">
        <f t="shared" si="59"/>
        <v>3.9071234929999998E-4</v>
      </c>
      <c r="K214" s="525">
        <f>+DATA!G210</f>
        <v>13344</v>
      </c>
      <c r="L214" s="525">
        <f>+DATA!H210</f>
        <v>16576</v>
      </c>
      <c r="M214" s="525">
        <f>+DATA!I210</f>
        <v>424381255856</v>
      </c>
      <c r="N214" s="525">
        <f>+DATA!J210</f>
        <v>912862792463</v>
      </c>
      <c r="O214" s="773">
        <f t="shared" si="67"/>
        <v>0.61175635769942927</v>
      </c>
      <c r="P214" s="774" t="str">
        <f t="shared" si="68"/>
        <v>SI</v>
      </c>
      <c r="Q214" s="771">
        <f t="shared" si="60"/>
        <v>1.9674123380999998E-3</v>
      </c>
      <c r="R214" s="771">
        <f t="shared" si="61"/>
        <v>2.8206677901999998E-3</v>
      </c>
      <c r="S214" s="771">
        <f t="shared" si="62"/>
        <v>8.4620033710000001E-4</v>
      </c>
      <c r="T214" s="525">
        <f>+DATA!K210</f>
        <v>0</v>
      </c>
      <c r="U214" s="525">
        <f>+DATA!L210</f>
        <v>0</v>
      </c>
      <c r="V214" s="525">
        <f>+DATA!M210</f>
        <v>2872742</v>
      </c>
      <c r="W214" s="526">
        <f t="shared" si="63"/>
        <v>2872742</v>
      </c>
      <c r="X214" s="526">
        <f t="shared" si="69"/>
        <v>2872742</v>
      </c>
      <c r="Y214" s="526">
        <f t="shared" si="70"/>
        <v>2872742</v>
      </c>
      <c r="Z214" s="525">
        <f>+DATA!F210</f>
        <v>463556.2664191568</v>
      </c>
      <c r="AA214" s="525">
        <f>IF(P214="SI",ROUND(Z214/DIV_Pf,PARAMETROS!$L$8),0)</f>
        <v>38630</v>
      </c>
      <c r="AB214" s="526">
        <f t="shared" si="71"/>
        <v>74184</v>
      </c>
      <c r="AC214" s="775">
        <f t="shared" si="72"/>
        <v>38.72</v>
      </c>
      <c r="AD214" s="525">
        <f>IF(AC214&lt;$AC$6,ROUND(($AC$6-AC214)*AB214,PARAMETROS!$L$8),0)</f>
        <v>4881307</v>
      </c>
      <c r="AE214" s="771">
        <f t="shared" si="64"/>
        <v>4.6851760028999998E-3</v>
      </c>
      <c r="AF214" s="771">
        <f t="shared" si="65"/>
        <v>1.6398116009999999E-3</v>
      </c>
      <c r="AG214" s="771">
        <f t="shared" si="73"/>
        <v>3.5992676399999998E-3</v>
      </c>
      <c r="AH214" s="525">
        <f>+DATA!Q210</f>
        <v>6330582.1969999997</v>
      </c>
      <c r="AI214" s="525">
        <f>+DATA!R210</f>
        <v>527548.51641666668</v>
      </c>
      <c r="AJ214" s="525">
        <f>+DATA!S210</f>
        <v>416763</v>
      </c>
      <c r="AK214" s="525">
        <f>+'_DATA STT PAGOS_'!G212</f>
        <v>0</v>
      </c>
      <c r="AL214" s="525">
        <f>+'_DATA STT PAGOS_'!J212</f>
        <v>8595825.618999999</v>
      </c>
      <c r="AM214" s="525">
        <f>+DATA!Y210</f>
        <v>160381</v>
      </c>
      <c r="AN214" s="525">
        <f>+DATA!Z210</f>
        <v>96046</v>
      </c>
      <c r="AO214" s="525">
        <f>+DATA!AA210</f>
        <v>127855</v>
      </c>
      <c r="AP214" s="525">
        <f>+DATA!AB210</f>
        <v>95408</v>
      </c>
      <c r="AQ214" s="525">
        <f>+DATA!AC210</f>
        <v>479690</v>
      </c>
      <c r="AR214" s="525">
        <f>+DATA!AD210</f>
        <v>8448</v>
      </c>
      <c r="AS214" s="525">
        <f>+DATA!AE210</f>
        <v>3715</v>
      </c>
      <c r="AT214" s="525">
        <f>+DATA!AF210</f>
        <v>5652.0739999999996</v>
      </c>
      <c r="AU214" s="525">
        <f>+DATA!AG210</f>
        <v>2864</v>
      </c>
      <c r="AV214" s="525">
        <f>+DATA!AH210</f>
        <v>20679.074000000001</v>
      </c>
    </row>
    <row r="215" spans="1:48" x14ac:dyDescent="0.25">
      <c r="A215" s="527">
        <v>10101</v>
      </c>
      <c r="B215" s="527">
        <v>10301</v>
      </c>
      <c r="C215" s="527" t="s">
        <v>246</v>
      </c>
      <c r="D215" s="771">
        <f t="shared" si="56"/>
        <v>2.8901734103999998E-3</v>
      </c>
      <c r="E215" s="771">
        <f t="shared" si="57"/>
        <v>7.2254335259999995E-4</v>
      </c>
      <c r="F215" s="525">
        <f>+DATA!D211</f>
        <v>280955</v>
      </c>
      <c r="G215" s="772">
        <f>+DATA!E211</f>
        <v>6.4960752055396878E-2</v>
      </c>
      <c r="H215" s="525">
        <f t="shared" si="66"/>
        <v>18251</v>
      </c>
      <c r="I215" s="771">
        <f t="shared" si="58"/>
        <v>1.39766583449E-2</v>
      </c>
      <c r="J215" s="771">
        <f t="shared" si="59"/>
        <v>1.3976658344999999E-3</v>
      </c>
      <c r="K215" s="525">
        <f>+DATA!G211</f>
        <v>80030</v>
      </c>
      <c r="L215" s="525">
        <f>+DATA!H211</f>
        <v>118899</v>
      </c>
      <c r="M215" s="525">
        <f>+DATA!I211</f>
        <v>3214350763429</v>
      </c>
      <c r="N215" s="525">
        <f>+DATA!J211</f>
        <v>7226603596907</v>
      </c>
      <c r="O215" s="773">
        <f t="shared" si="67"/>
        <v>0.54716312911572196</v>
      </c>
      <c r="P215" s="774" t="str">
        <f t="shared" si="68"/>
        <v>SI</v>
      </c>
      <c r="Q215" s="771">
        <f t="shared" si="60"/>
        <v>9.8657588077999993E-3</v>
      </c>
      <c r="R215" s="771">
        <f t="shared" si="61"/>
        <v>1.4144481843800001E-2</v>
      </c>
      <c r="S215" s="771">
        <f t="shared" si="62"/>
        <v>4.2433445531000003E-3</v>
      </c>
      <c r="T215" s="525">
        <f>+DATA!K211</f>
        <v>0</v>
      </c>
      <c r="U215" s="525">
        <f>+DATA!L211</f>
        <v>0</v>
      </c>
      <c r="V215" s="525">
        <f>+DATA!M211</f>
        <v>42835968</v>
      </c>
      <c r="W215" s="526">
        <f t="shared" si="63"/>
        <v>42835968</v>
      </c>
      <c r="X215" s="526">
        <f t="shared" si="69"/>
        <v>42835968</v>
      </c>
      <c r="Y215" s="526">
        <f t="shared" si="70"/>
        <v>42835968</v>
      </c>
      <c r="Z215" s="525">
        <f>+DATA!F211</f>
        <v>2546047.6737546343</v>
      </c>
      <c r="AA215" s="525">
        <f>IF(P215="SI",ROUND(Z215/DIV_Pf,PARAMETROS!$L$8),0)</f>
        <v>212171</v>
      </c>
      <c r="AB215" s="526">
        <f t="shared" si="71"/>
        <v>493126</v>
      </c>
      <c r="AC215" s="775">
        <f t="shared" si="72"/>
        <v>86.87</v>
      </c>
      <c r="AD215" s="525">
        <f>IF(AC215&lt;$AC$6,ROUND(($AC$6-AC215)*AB215,PARAMETROS!$L$8),0)</f>
        <v>8703674</v>
      </c>
      <c r="AE215" s="771">
        <f t="shared" si="64"/>
        <v>8.3539602327000004E-3</v>
      </c>
      <c r="AF215" s="771">
        <f t="shared" si="65"/>
        <v>2.9238860814000001E-3</v>
      </c>
      <c r="AG215" s="771">
        <f t="shared" si="73"/>
        <v>9.2874398216000013E-3</v>
      </c>
      <c r="AH215" s="525">
        <f>+DATA!Q211</f>
        <v>19457428.452</v>
      </c>
      <c r="AI215" s="525">
        <f>+DATA!R211</f>
        <v>1621452.371</v>
      </c>
      <c r="AJ215" s="525">
        <f>+DATA!S211</f>
        <v>1280947</v>
      </c>
      <c r="AK215" s="525">
        <f>+'_DATA STT PAGOS_'!G213</f>
        <v>0</v>
      </c>
      <c r="AL215" s="525">
        <f>+'_DATA STT PAGOS_'!J213</f>
        <v>26404177.199000001</v>
      </c>
      <c r="AM215" s="525">
        <f>+DATA!Y211</f>
        <v>2010424</v>
      </c>
      <c r="AN215" s="525">
        <f>+DATA!Z211</f>
        <v>1535877</v>
      </c>
      <c r="AO215" s="525">
        <f>+DATA!AA211</f>
        <v>1742458</v>
      </c>
      <c r="AP215" s="525">
        <f>+DATA!AB211</f>
        <v>1580354</v>
      </c>
      <c r="AQ215" s="525">
        <f>+DATA!AC211</f>
        <v>6869113</v>
      </c>
      <c r="AR215" s="525">
        <f>+DATA!AD211</f>
        <v>237547</v>
      </c>
      <c r="AS215" s="525">
        <f>+DATA!AE211</f>
        <v>115813</v>
      </c>
      <c r="AT215" s="525">
        <f>+DATA!AF211</f>
        <v>156840.17600000001</v>
      </c>
      <c r="AU215" s="525">
        <f>+DATA!AG211</f>
        <v>120390</v>
      </c>
      <c r="AV215" s="525">
        <f>+DATA!AH211</f>
        <v>630590.17599999998</v>
      </c>
    </row>
    <row r="216" spans="1:48" x14ac:dyDescent="0.25">
      <c r="A216" s="527">
        <v>10102</v>
      </c>
      <c r="B216" s="527">
        <v>10309</v>
      </c>
      <c r="C216" s="527" t="s">
        <v>252</v>
      </c>
      <c r="D216" s="771">
        <f t="shared" si="56"/>
        <v>2.8901734103999998E-3</v>
      </c>
      <c r="E216" s="771">
        <f t="shared" si="57"/>
        <v>7.2254335259999995E-4</v>
      </c>
      <c r="F216" s="525">
        <f>+DATA!D212</f>
        <v>37626</v>
      </c>
      <c r="G216" s="772">
        <f>+DATA!E212</f>
        <v>8.510298443700641E-2</v>
      </c>
      <c r="H216" s="525">
        <f t="shared" si="66"/>
        <v>3202</v>
      </c>
      <c r="I216" s="771">
        <f t="shared" si="58"/>
        <v>2.4520990642E-3</v>
      </c>
      <c r="J216" s="771">
        <f t="shared" si="59"/>
        <v>2.4520990640000001E-4</v>
      </c>
      <c r="K216" s="525">
        <f>+DATA!G212</f>
        <v>11461</v>
      </c>
      <c r="L216" s="525">
        <f>+DATA!H212</f>
        <v>15664</v>
      </c>
      <c r="M216" s="525">
        <f>+DATA!I212</f>
        <v>151355766439</v>
      </c>
      <c r="N216" s="525">
        <f>+DATA!J212</f>
        <v>315003233367</v>
      </c>
      <c r="O216" s="773">
        <f t="shared" si="67"/>
        <v>0.59292791723583893</v>
      </c>
      <c r="P216" s="774" t="str">
        <f t="shared" si="68"/>
        <v>SI</v>
      </c>
      <c r="Q216" s="771">
        <f t="shared" si="60"/>
        <v>1.5358380138000001E-3</v>
      </c>
      <c r="R216" s="771">
        <f t="shared" si="61"/>
        <v>2.2019221557E-3</v>
      </c>
      <c r="S216" s="771">
        <f t="shared" si="62"/>
        <v>6.6057664670000004E-4</v>
      </c>
      <c r="T216" s="525">
        <f>+DATA!K212</f>
        <v>0</v>
      </c>
      <c r="U216" s="525">
        <f>+DATA!L212</f>
        <v>0</v>
      </c>
      <c r="V216" s="525">
        <f>+DATA!M212</f>
        <v>3939064</v>
      </c>
      <c r="W216" s="526">
        <f t="shared" si="63"/>
        <v>3939064</v>
      </c>
      <c r="X216" s="526">
        <f t="shared" si="69"/>
        <v>3939064</v>
      </c>
      <c r="Y216" s="526">
        <f t="shared" si="70"/>
        <v>3939064</v>
      </c>
      <c r="Z216" s="525">
        <f>+DATA!F212</f>
        <v>348436.79909697303</v>
      </c>
      <c r="AA216" s="525">
        <f>IF(P216="SI",ROUND(Z216/DIV_Pf,PARAMETROS!$L$8),0)</f>
        <v>29036</v>
      </c>
      <c r="AB216" s="526">
        <f t="shared" si="71"/>
        <v>66662</v>
      </c>
      <c r="AC216" s="775">
        <f t="shared" si="72"/>
        <v>59.09</v>
      </c>
      <c r="AD216" s="525">
        <f>IF(AC216&lt;$AC$6,ROUND(($AC$6-AC216)*AB216,PARAMETROS!$L$8),0)</f>
        <v>3028455</v>
      </c>
      <c r="AE216" s="771">
        <f t="shared" si="64"/>
        <v>2.9067716273E-3</v>
      </c>
      <c r="AF216" s="771">
        <f t="shared" si="65"/>
        <v>1.0173700696000001E-3</v>
      </c>
      <c r="AG216" s="771">
        <f t="shared" si="73"/>
        <v>2.6456999753000001E-3</v>
      </c>
      <c r="AH216" s="525">
        <f>+DATA!Q212</f>
        <v>4968660.3559999997</v>
      </c>
      <c r="AI216" s="525">
        <f>+DATA!R212</f>
        <v>414055.02966666664</v>
      </c>
      <c r="AJ216" s="525">
        <f>+DATA!S212</f>
        <v>327103</v>
      </c>
      <c r="AK216" s="525">
        <f>+'_DATA STT PAGOS_'!G214</f>
        <v>0</v>
      </c>
      <c r="AL216" s="525">
        <f>+'_DATA STT PAGOS_'!J214</f>
        <v>6745319.517</v>
      </c>
      <c r="AM216" s="525">
        <f>+DATA!Y212</f>
        <v>99765</v>
      </c>
      <c r="AN216" s="525">
        <f>+DATA!Z212</f>
        <v>55685</v>
      </c>
      <c r="AO216" s="525">
        <f>+DATA!AA212</f>
        <v>74035</v>
      </c>
      <c r="AP216" s="525">
        <f>+DATA!AB212</f>
        <v>66891</v>
      </c>
      <c r="AQ216" s="525">
        <f>+DATA!AC212</f>
        <v>296376</v>
      </c>
      <c r="AR216" s="525">
        <f>+DATA!AD212</f>
        <v>2314</v>
      </c>
      <c r="AS216" s="525">
        <f>+DATA!AE212</f>
        <v>1200</v>
      </c>
      <c r="AT216" s="525">
        <f>+DATA!AF212</f>
        <v>1648.1020000000001</v>
      </c>
      <c r="AU216" s="525">
        <f>+DATA!AG212</f>
        <v>1367</v>
      </c>
      <c r="AV216" s="525">
        <f>+DATA!AH212</f>
        <v>6529.1019999999999</v>
      </c>
    </row>
    <row r="217" spans="1:48" x14ac:dyDescent="0.25">
      <c r="A217" s="527">
        <v>10103</v>
      </c>
      <c r="B217" s="527">
        <v>10302</v>
      </c>
      <c r="C217" s="527" t="s">
        <v>414</v>
      </c>
      <c r="D217" s="771">
        <f t="shared" si="56"/>
        <v>2.8901734103999998E-3</v>
      </c>
      <c r="E217" s="771">
        <f t="shared" si="57"/>
        <v>7.2254335259999995E-4</v>
      </c>
      <c r="F217" s="525">
        <f>+DATA!D213</f>
        <v>3947</v>
      </c>
      <c r="G217" s="772">
        <f>+DATA!E213</f>
        <v>0.1079937247332228</v>
      </c>
      <c r="H217" s="525">
        <f t="shared" si="66"/>
        <v>426</v>
      </c>
      <c r="I217" s="771">
        <f t="shared" si="58"/>
        <v>3.2623179299999999E-4</v>
      </c>
      <c r="J217" s="771">
        <f t="shared" si="59"/>
        <v>3.26231793E-5</v>
      </c>
      <c r="K217" s="525">
        <f>+DATA!G213</f>
        <v>2414</v>
      </c>
      <c r="L217" s="525">
        <f>+DATA!H213</f>
        <v>5037</v>
      </c>
      <c r="M217" s="525">
        <f>+DATA!I213</f>
        <v>51498895505</v>
      </c>
      <c r="N217" s="525">
        <f>+DATA!J213</f>
        <v>232165780844</v>
      </c>
      <c r="O217" s="773">
        <f t="shared" si="67"/>
        <v>0.32604872808929203</v>
      </c>
      <c r="P217" s="774" t="str">
        <f t="shared" si="68"/>
        <v>NO</v>
      </c>
      <c r="Q217" s="771">
        <f t="shared" si="60"/>
        <v>2.118876492E-4</v>
      </c>
      <c r="R217" s="771">
        <f t="shared" si="61"/>
        <v>3.0378210790000002E-4</v>
      </c>
      <c r="S217" s="771">
        <f t="shared" si="62"/>
        <v>9.11346324E-5</v>
      </c>
      <c r="T217" s="525">
        <f>+DATA!K213</f>
        <v>0</v>
      </c>
      <c r="U217" s="525">
        <f>+DATA!L213</f>
        <v>0</v>
      </c>
      <c r="V217" s="525">
        <f>+DATA!M213</f>
        <v>621582</v>
      </c>
      <c r="W217" s="526">
        <f t="shared" si="63"/>
        <v>621582</v>
      </c>
      <c r="X217" s="526">
        <f t="shared" si="69"/>
        <v>621582</v>
      </c>
      <c r="Y217" s="526">
        <f t="shared" si="70"/>
        <v>621582</v>
      </c>
      <c r="Z217" s="525">
        <f>+DATA!F213</f>
        <v>211730.60542908439</v>
      </c>
      <c r="AA217" s="525">
        <f>IF(P217="SI",ROUND(Z217/DIV_Pf,PARAMETROS!$L$8),0)</f>
        <v>0</v>
      </c>
      <c r="AB217" s="526">
        <f t="shared" si="71"/>
        <v>3947</v>
      </c>
      <c r="AC217" s="775">
        <f t="shared" si="72"/>
        <v>157.47999999999999</v>
      </c>
      <c r="AD217" s="525">
        <f>IF(AC217&lt;$AC$6,ROUND(($AC$6-AC217)*AB217,PARAMETROS!$L$8),0)</f>
        <v>0</v>
      </c>
      <c r="AE217" s="771">
        <f t="shared" si="64"/>
        <v>0</v>
      </c>
      <c r="AF217" s="771">
        <f t="shared" si="65"/>
        <v>0</v>
      </c>
      <c r="AG217" s="771">
        <f t="shared" si="73"/>
        <v>8.4630116429999997E-4</v>
      </c>
      <c r="AH217" s="525">
        <f>+DATA!Q213</f>
        <v>1617705.503</v>
      </c>
      <c r="AI217" s="525">
        <f>+DATA!R213</f>
        <v>134808.79191666667</v>
      </c>
      <c r="AJ217" s="525">
        <f>+DATA!S213</f>
        <v>106499</v>
      </c>
      <c r="AK217" s="525">
        <f>+'_DATA STT PAGOS_'!G215</f>
        <v>0</v>
      </c>
      <c r="AL217" s="525">
        <f>+'_DATA STT PAGOS_'!J215</f>
        <v>2195215.764</v>
      </c>
      <c r="AM217" s="525">
        <f>+DATA!Y213</f>
        <v>39760</v>
      </c>
      <c r="AN217" s="525">
        <f>+DATA!Z213</f>
        <v>24865</v>
      </c>
      <c r="AO217" s="525">
        <f>+DATA!AA213</f>
        <v>26927</v>
      </c>
      <c r="AP217" s="525">
        <f>+DATA!AB213</f>
        <v>23475</v>
      </c>
      <c r="AQ217" s="525">
        <f>+DATA!AC213</f>
        <v>115027</v>
      </c>
      <c r="AR217" s="525">
        <f>+DATA!AD213</f>
        <v>0</v>
      </c>
      <c r="AS217" s="525">
        <f>+DATA!AE213</f>
        <v>0</v>
      </c>
      <c r="AT217" s="525">
        <f>+DATA!AF213</f>
        <v>0</v>
      </c>
      <c r="AU217" s="525">
        <f>+DATA!AG213</f>
        <v>0</v>
      </c>
      <c r="AV217" s="525">
        <f>+DATA!AH213</f>
        <v>0</v>
      </c>
    </row>
    <row r="218" spans="1:48" x14ac:dyDescent="0.25">
      <c r="A218" s="527">
        <v>10104</v>
      </c>
      <c r="B218" s="527">
        <v>10304</v>
      </c>
      <c r="C218" s="527" t="s">
        <v>248</v>
      </c>
      <c r="D218" s="771">
        <f t="shared" si="56"/>
        <v>2.8901734103999998E-3</v>
      </c>
      <c r="E218" s="771">
        <f t="shared" si="57"/>
        <v>7.2254335259999995E-4</v>
      </c>
      <c r="F218" s="525">
        <f>+DATA!D214</f>
        <v>12571</v>
      </c>
      <c r="G218" s="772">
        <f>+DATA!E214</f>
        <v>0.1120609040367706</v>
      </c>
      <c r="H218" s="525">
        <f t="shared" si="66"/>
        <v>1409</v>
      </c>
      <c r="I218" s="771">
        <f t="shared" si="58"/>
        <v>1.0790154845E-3</v>
      </c>
      <c r="J218" s="771">
        <f t="shared" si="59"/>
        <v>1.079015485E-4</v>
      </c>
      <c r="K218" s="525">
        <f>+DATA!G214</f>
        <v>5004</v>
      </c>
      <c r="L218" s="525">
        <f>+DATA!H214</f>
        <v>8008</v>
      </c>
      <c r="M218" s="525">
        <f>+DATA!I214</f>
        <v>112204677463</v>
      </c>
      <c r="N218" s="525">
        <f>+DATA!J214</f>
        <v>424398293101</v>
      </c>
      <c r="O218" s="773">
        <f t="shared" si="67"/>
        <v>0.40645763405384611</v>
      </c>
      <c r="P218" s="774" t="str">
        <f t="shared" si="68"/>
        <v>NO</v>
      </c>
      <c r="Q218" s="771">
        <f t="shared" si="60"/>
        <v>5.7268208790000003E-4</v>
      </c>
      <c r="R218" s="771">
        <f t="shared" si="61"/>
        <v>8.2105102629999999E-4</v>
      </c>
      <c r="S218" s="771">
        <f t="shared" si="62"/>
        <v>2.4631530790000003E-4</v>
      </c>
      <c r="T218" s="525">
        <f>+DATA!K214</f>
        <v>0</v>
      </c>
      <c r="U218" s="525">
        <f>+DATA!L214</f>
        <v>0</v>
      </c>
      <c r="V218" s="525">
        <f>+DATA!M214</f>
        <v>875323</v>
      </c>
      <c r="W218" s="526">
        <f t="shared" si="63"/>
        <v>875323</v>
      </c>
      <c r="X218" s="526">
        <f t="shared" si="69"/>
        <v>875323</v>
      </c>
      <c r="Y218" s="526">
        <f t="shared" si="70"/>
        <v>875323</v>
      </c>
      <c r="Z218" s="525">
        <f>+DATA!F214</f>
        <v>165522.98047157674</v>
      </c>
      <c r="AA218" s="525">
        <f>IF(P218="SI",ROUND(Z218/DIV_Pf,PARAMETROS!$L$8),0)</f>
        <v>0</v>
      </c>
      <c r="AB218" s="526">
        <f t="shared" si="71"/>
        <v>12571</v>
      </c>
      <c r="AC218" s="775">
        <f t="shared" si="72"/>
        <v>69.63</v>
      </c>
      <c r="AD218" s="525">
        <f>IF(AC218&lt;$AC$6,ROUND(($AC$6-AC218)*AB218,PARAMETROS!$L$8),0)</f>
        <v>438602</v>
      </c>
      <c r="AE218" s="771">
        <f t="shared" si="64"/>
        <v>4.2097896430000001E-4</v>
      </c>
      <c r="AF218" s="771">
        <f t="shared" si="65"/>
        <v>1.4734263749999999E-4</v>
      </c>
      <c r="AG218" s="771">
        <f t="shared" si="73"/>
        <v>1.2241028465E-3</v>
      </c>
      <c r="AH218" s="525">
        <f>+DATA!Q214</f>
        <v>2415341.7480000001</v>
      </c>
      <c r="AI218" s="525">
        <f>+DATA!R214</f>
        <v>201278.47900000002</v>
      </c>
      <c r="AJ218" s="525">
        <f>+DATA!S214</f>
        <v>159010</v>
      </c>
      <c r="AK218" s="525">
        <f>+'_DATA STT PAGOS_'!G216</f>
        <v>0</v>
      </c>
      <c r="AL218" s="525">
        <f>+'_DATA STT PAGOS_'!J216</f>
        <v>3277674.2190000005</v>
      </c>
      <c r="AM218" s="525">
        <f>+DATA!Y214</f>
        <v>70781</v>
      </c>
      <c r="AN218" s="525">
        <f>+DATA!Z214</f>
        <v>38738</v>
      </c>
      <c r="AO218" s="525">
        <f>+DATA!AA214</f>
        <v>53315</v>
      </c>
      <c r="AP218" s="525">
        <f>+DATA!AB214</f>
        <v>29425</v>
      </c>
      <c r="AQ218" s="525">
        <f>+DATA!AC214</f>
        <v>192259</v>
      </c>
      <c r="AR218" s="525">
        <f>+DATA!AD214</f>
        <v>1424</v>
      </c>
      <c r="AS218" s="525">
        <f>+DATA!AE214</f>
        <v>778</v>
      </c>
      <c r="AT218" s="525">
        <f>+DATA!AF214</f>
        <v>785.14700000000005</v>
      </c>
      <c r="AU218" s="525">
        <f>+DATA!AG214</f>
        <v>297</v>
      </c>
      <c r="AV218" s="525">
        <f>+DATA!AH214</f>
        <v>3284.1469999999999</v>
      </c>
    </row>
    <row r="219" spans="1:48" x14ac:dyDescent="0.25">
      <c r="A219" s="527">
        <v>10105</v>
      </c>
      <c r="B219" s="527">
        <v>10305</v>
      </c>
      <c r="C219" s="527" t="s">
        <v>249</v>
      </c>
      <c r="D219" s="771">
        <f t="shared" si="56"/>
        <v>2.8901734103999998E-3</v>
      </c>
      <c r="E219" s="771">
        <f t="shared" si="57"/>
        <v>7.2254335259999995E-4</v>
      </c>
      <c r="F219" s="525">
        <f>+DATA!D215</f>
        <v>20817</v>
      </c>
      <c r="G219" s="772">
        <f>+DATA!E215</f>
        <v>5.8362247635558452E-2</v>
      </c>
      <c r="H219" s="525">
        <f t="shared" si="66"/>
        <v>1215</v>
      </c>
      <c r="I219" s="771">
        <f t="shared" si="58"/>
        <v>9.3044983230000005E-4</v>
      </c>
      <c r="J219" s="771">
        <f t="shared" si="59"/>
        <v>9.3044983199999998E-5</v>
      </c>
      <c r="K219" s="525">
        <f>+DATA!G215</f>
        <v>6372</v>
      </c>
      <c r="L219" s="525">
        <f>+DATA!H215</f>
        <v>14291</v>
      </c>
      <c r="M219" s="525">
        <f>+DATA!I215</f>
        <v>192418609633</v>
      </c>
      <c r="N219" s="525">
        <f>+DATA!J215</f>
        <v>829551076038</v>
      </c>
      <c r="O219" s="773">
        <f t="shared" si="67"/>
        <v>0.32159444953711203</v>
      </c>
      <c r="P219" s="774" t="str">
        <f t="shared" si="68"/>
        <v>NO</v>
      </c>
      <c r="Q219" s="771">
        <f t="shared" si="60"/>
        <v>5.2034570849999995E-4</v>
      </c>
      <c r="R219" s="771">
        <f t="shared" si="61"/>
        <v>7.4601665919999999E-4</v>
      </c>
      <c r="S219" s="771">
        <f t="shared" si="62"/>
        <v>2.2380499779999999E-4</v>
      </c>
      <c r="T219" s="525">
        <f>+DATA!K215</f>
        <v>0</v>
      </c>
      <c r="U219" s="525">
        <f>+DATA!L215</f>
        <v>0</v>
      </c>
      <c r="V219" s="525">
        <f>+DATA!M215</f>
        <v>4305065</v>
      </c>
      <c r="W219" s="526">
        <f t="shared" si="63"/>
        <v>4305065</v>
      </c>
      <c r="X219" s="526">
        <f t="shared" si="69"/>
        <v>4305065</v>
      </c>
      <c r="Y219" s="526">
        <f t="shared" si="70"/>
        <v>4305065</v>
      </c>
      <c r="Z219" s="525">
        <f>+DATA!F215</f>
        <v>447579.5977122488</v>
      </c>
      <c r="AA219" s="525">
        <f>IF(P219="SI",ROUND(Z219/DIV_Pf,PARAMETROS!$L$8),0)</f>
        <v>0</v>
      </c>
      <c r="AB219" s="526">
        <f t="shared" si="71"/>
        <v>20817</v>
      </c>
      <c r="AC219" s="775">
        <f t="shared" si="72"/>
        <v>206.81</v>
      </c>
      <c r="AD219" s="525">
        <f>IF(AC219&lt;$AC$6,ROUND(($AC$6-AC219)*AB219,PARAMETROS!$L$8),0)</f>
        <v>0</v>
      </c>
      <c r="AE219" s="771">
        <f t="shared" si="64"/>
        <v>0</v>
      </c>
      <c r="AF219" s="771">
        <f t="shared" si="65"/>
        <v>0</v>
      </c>
      <c r="AG219" s="771">
        <f t="shared" si="73"/>
        <v>1.0393933335999998E-3</v>
      </c>
      <c r="AH219" s="525">
        <f>+DATA!Q215</f>
        <v>2053830.5179999999</v>
      </c>
      <c r="AI219" s="525">
        <f>+DATA!R215</f>
        <v>171152.54316666667</v>
      </c>
      <c r="AJ219" s="525">
        <f>+DATA!S215</f>
        <v>135211</v>
      </c>
      <c r="AK219" s="525">
        <f>+'_DATA STT PAGOS_'!G217</f>
        <v>0</v>
      </c>
      <c r="AL219" s="525">
        <f>+'_DATA STT PAGOS_'!J217</f>
        <v>2785358.7879999997</v>
      </c>
      <c r="AM219" s="525">
        <f>+DATA!Y215</f>
        <v>269781</v>
      </c>
      <c r="AN219" s="525">
        <f>+DATA!Z215</f>
        <v>163099</v>
      </c>
      <c r="AO219" s="525">
        <f>+DATA!AA215</f>
        <v>225595</v>
      </c>
      <c r="AP219" s="525">
        <f>+DATA!AB215</f>
        <v>172705</v>
      </c>
      <c r="AQ219" s="525">
        <f>+DATA!AC215</f>
        <v>831180</v>
      </c>
      <c r="AR219" s="525">
        <f>+DATA!AD215</f>
        <v>28288</v>
      </c>
      <c r="AS219" s="525">
        <f>+DATA!AE215</f>
        <v>11071</v>
      </c>
      <c r="AT219" s="525">
        <f>+DATA!AF215</f>
        <v>16056.998</v>
      </c>
      <c r="AU219" s="525">
        <f>+DATA!AG215</f>
        <v>11428</v>
      </c>
      <c r="AV219" s="525">
        <f>+DATA!AH215</f>
        <v>66843.997999999992</v>
      </c>
    </row>
    <row r="220" spans="1:48" x14ac:dyDescent="0.25">
      <c r="A220" s="527">
        <v>10106</v>
      </c>
      <c r="B220" s="527">
        <v>10308</v>
      </c>
      <c r="C220" s="527" t="s">
        <v>251</v>
      </c>
      <c r="D220" s="771">
        <f t="shared" si="56"/>
        <v>2.8901734103999998E-3</v>
      </c>
      <c r="E220" s="771">
        <f t="shared" si="57"/>
        <v>7.2254335259999995E-4</v>
      </c>
      <c r="F220" s="525">
        <f>+DATA!D216</f>
        <v>17832</v>
      </c>
      <c r="G220" s="772">
        <f>+DATA!E216</f>
        <v>0.11645885284523901</v>
      </c>
      <c r="H220" s="525">
        <f t="shared" si="66"/>
        <v>2077</v>
      </c>
      <c r="I220" s="771">
        <f t="shared" si="58"/>
        <v>1.5905714417E-3</v>
      </c>
      <c r="J220" s="771">
        <f t="shared" si="59"/>
        <v>1.590571442E-4</v>
      </c>
      <c r="K220" s="525">
        <f>+DATA!G216</f>
        <v>6876</v>
      </c>
      <c r="L220" s="525">
        <f>+DATA!H216</f>
        <v>12574</v>
      </c>
      <c r="M220" s="525">
        <f>+DATA!I216</f>
        <v>142630340370</v>
      </c>
      <c r="N220" s="525">
        <f>+DATA!J216</f>
        <v>490301946736</v>
      </c>
      <c r="O220" s="773">
        <f t="shared" si="67"/>
        <v>0.39884610616163835</v>
      </c>
      <c r="P220" s="774" t="str">
        <f t="shared" si="68"/>
        <v>NO</v>
      </c>
      <c r="Q220" s="771">
        <f t="shared" si="60"/>
        <v>6.8865442449999995E-4</v>
      </c>
      <c r="R220" s="771">
        <f t="shared" si="61"/>
        <v>9.8731990050000005E-4</v>
      </c>
      <c r="S220" s="771">
        <f t="shared" si="62"/>
        <v>2.961959702E-4</v>
      </c>
      <c r="T220" s="525">
        <f>+DATA!K216</f>
        <v>0</v>
      </c>
      <c r="U220" s="525">
        <f>+DATA!L216</f>
        <v>0</v>
      </c>
      <c r="V220" s="525">
        <f>+DATA!M216</f>
        <v>1398260</v>
      </c>
      <c r="W220" s="526">
        <f t="shared" si="63"/>
        <v>1398260</v>
      </c>
      <c r="X220" s="526">
        <f t="shared" si="69"/>
        <v>1398260</v>
      </c>
      <c r="Y220" s="526">
        <f t="shared" si="70"/>
        <v>1398260</v>
      </c>
      <c r="Z220" s="525">
        <f>+DATA!F216</f>
        <v>276630.21953802649</v>
      </c>
      <c r="AA220" s="525">
        <f>IF(P220="SI",ROUND(Z220/DIV_Pf,PARAMETROS!$L$8),0)</f>
        <v>0</v>
      </c>
      <c r="AB220" s="526">
        <f t="shared" si="71"/>
        <v>17832</v>
      </c>
      <c r="AC220" s="775">
        <f t="shared" si="72"/>
        <v>78.41</v>
      </c>
      <c r="AD220" s="525">
        <f>IF(AC220&lt;$AC$6,ROUND(($AC$6-AC220)*AB220,PARAMETROS!$L$8),0)</f>
        <v>465594</v>
      </c>
      <c r="AE220" s="771">
        <f t="shared" si="64"/>
        <v>4.4688642529999999E-4</v>
      </c>
      <c r="AF220" s="771">
        <f t="shared" si="65"/>
        <v>1.564102489E-4</v>
      </c>
      <c r="AG220" s="771">
        <f t="shared" si="73"/>
        <v>1.3342067159E-3</v>
      </c>
      <c r="AH220" s="525">
        <f>+DATA!Q216</f>
        <v>2888230.5619999999</v>
      </c>
      <c r="AI220" s="525">
        <f>+DATA!R216</f>
        <v>240685.88016666667</v>
      </c>
      <c r="AJ220" s="525">
        <f>+DATA!S216</f>
        <v>190142</v>
      </c>
      <c r="AK220" s="525">
        <f>+'_DATA STT PAGOS_'!G218</f>
        <v>0</v>
      </c>
      <c r="AL220" s="525">
        <f>+'_DATA STT PAGOS_'!J218</f>
        <v>3919395.1979999999</v>
      </c>
      <c r="AM220" s="525">
        <f>+DATA!Y216</f>
        <v>72562</v>
      </c>
      <c r="AN220" s="525">
        <f>+DATA!Z216</f>
        <v>41081</v>
      </c>
      <c r="AO220" s="525">
        <f>+DATA!AA216</f>
        <v>47504</v>
      </c>
      <c r="AP220" s="525">
        <f>+DATA!AB216</f>
        <v>37063</v>
      </c>
      <c r="AQ220" s="525">
        <f>+DATA!AC216</f>
        <v>198210</v>
      </c>
      <c r="AR220" s="525">
        <f>+DATA!AD216</f>
        <v>657</v>
      </c>
      <c r="AS220" s="525">
        <f>+DATA!AE216</f>
        <v>336</v>
      </c>
      <c r="AT220" s="525">
        <f>+DATA!AF216</f>
        <v>433.94499999999999</v>
      </c>
      <c r="AU220" s="525">
        <f>+DATA!AG216</f>
        <v>363</v>
      </c>
      <c r="AV220" s="525">
        <f>+DATA!AH216</f>
        <v>1789.9449999999999</v>
      </c>
    </row>
    <row r="221" spans="1:48" x14ac:dyDescent="0.25">
      <c r="A221" s="527">
        <v>10107</v>
      </c>
      <c r="B221" s="527">
        <v>10306</v>
      </c>
      <c r="C221" s="527" t="s">
        <v>250</v>
      </c>
      <c r="D221" s="771">
        <f t="shared" si="56"/>
        <v>2.8901734103999998E-3</v>
      </c>
      <c r="E221" s="771">
        <f t="shared" si="57"/>
        <v>7.2254335259999995E-4</v>
      </c>
      <c r="F221" s="525">
        <f>+DATA!D217</f>
        <v>18863</v>
      </c>
      <c r="G221" s="772">
        <f>+DATA!E217</f>
        <v>5.9169487402196283E-2</v>
      </c>
      <c r="H221" s="525">
        <f t="shared" si="66"/>
        <v>1116</v>
      </c>
      <c r="I221" s="771">
        <f t="shared" si="58"/>
        <v>8.5463540149999999E-4</v>
      </c>
      <c r="J221" s="771">
        <f t="shared" si="59"/>
        <v>8.5463540199999999E-5</v>
      </c>
      <c r="K221" s="525">
        <f>+DATA!G217</f>
        <v>4914</v>
      </c>
      <c r="L221" s="525">
        <f>+DATA!H217</f>
        <v>8527</v>
      </c>
      <c r="M221" s="525">
        <f>+DATA!I217</f>
        <v>130020412180</v>
      </c>
      <c r="N221" s="525">
        <f>+DATA!J217</f>
        <v>456312551946</v>
      </c>
      <c r="O221" s="773">
        <f t="shared" si="67"/>
        <v>0.40522292418978167</v>
      </c>
      <c r="P221" s="774" t="str">
        <f t="shared" si="68"/>
        <v>NO</v>
      </c>
      <c r="Q221" s="771">
        <f t="shared" si="60"/>
        <v>5.1865324970000004E-4</v>
      </c>
      <c r="R221" s="771">
        <f t="shared" si="61"/>
        <v>7.4359019069999998E-4</v>
      </c>
      <c r="S221" s="771">
        <f t="shared" si="62"/>
        <v>2.2307705719999999E-4</v>
      </c>
      <c r="T221" s="525">
        <f>+DATA!K217</f>
        <v>0</v>
      </c>
      <c r="U221" s="525">
        <f>+DATA!L217</f>
        <v>0</v>
      </c>
      <c r="V221" s="525">
        <f>+DATA!M217</f>
        <v>2450461</v>
      </c>
      <c r="W221" s="526">
        <f t="shared" si="63"/>
        <v>2450461</v>
      </c>
      <c r="X221" s="526">
        <f t="shared" si="69"/>
        <v>2450461</v>
      </c>
      <c r="Y221" s="526">
        <f t="shared" si="70"/>
        <v>2450461</v>
      </c>
      <c r="Z221" s="525">
        <f>+DATA!F217</f>
        <v>223255.15835196385</v>
      </c>
      <c r="AA221" s="525">
        <f>IF(P221="SI",ROUND(Z221/DIV_Pf,PARAMETROS!$L$8),0)</f>
        <v>0</v>
      </c>
      <c r="AB221" s="526">
        <f t="shared" si="71"/>
        <v>18863</v>
      </c>
      <c r="AC221" s="775">
        <f t="shared" si="72"/>
        <v>129.91</v>
      </c>
      <c r="AD221" s="525">
        <f>IF(AC221&lt;$AC$6,ROUND(($AC$6-AC221)*AB221,PARAMETROS!$L$8),0)</f>
        <v>0</v>
      </c>
      <c r="AE221" s="771">
        <f t="shared" si="64"/>
        <v>0</v>
      </c>
      <c r="AF221" s="771">
        <f t="shared" si="65"/>
        <v>0</v>
      </c>
      <c r="AG221" s="771">
        <f t="shared" si="73"/>
        <v>1.03108395E-3</v>
      </c>
      <c r="AH221" s="525">
        <f>+DATA!Q217</f>
        <v>2123576.1090000002</v>
      </c>
      <c r="AI221" s="525">
        <f>+DATA!R217</f>
        <v>176964.67575000002</v>
      </c>
      <c r="AJ221" s="525">
        <f>+DATA!S217</f>
        <v>139802</v>
      </c>
      <c r="AK221" s="525">
        <f>+'_DATA STT PAGOS_'!G219</f>
        <v>0</v>
      </c>
      <c r="AL221" s="525">
        <f>+'_DATA STT PAGOS_'!J219</f>
        <v>2881741.54</v>
      </c>
      <c r="AM221" s="525">
        <f>+DATA!Y217</f>
        <v>142058</v>
      </c>
      <c r="AN221" s="525">
        <f>+DATA!Z217</f>
        <v>62287</v>
      </c>
      <c r="AO221" s="525">
        <f>+DATA!AA217</f>
        <v>94397</v>
      </c>
      <c r="AP221" s="525">
        <f>+DATA!AB217</f>
        <v>76485</v>
      </c>
      <c r="AQ221" s="525">
        <f>+DATA!AC217</f>
        <v>375227</v>
      </c>
      <c r="AR221" s="525">
        <f>+DATA!AD217</f>
        <v>1804</v>
      </c>
      <c r="AS221" s="525">
        <f>+DATA!AE217</f>
        <v>716</v>
      </c>
      <c r="AT221" s="525">
        <f>+DATA!AF217</f>
        <v>720.94299999999998</v>
      </c>
      <c r="AU221" s="525">
        <f>+DATA!AG217</f>
        <v>666</v>
      </c>
      <c r="AV221" s="525">
        <f>+DATA!AH217</f>
        <v>3906.9430000000002</v>
      </c>
    </row>
    <row r="222" spans="1:48" x14ac:dyDescent="0.25">
      <c r="A222" s="527">
        <v>10108</v>
      </c>
      <c r="B222" s="527">
        <v>10307</v>
      </c>
      <c r="C222" s="527" t="s">
        <v>415</v>
      </c>
      <c r="D222" s="771">
        <f t="shared" si="56"/>
        <v>2.8901734103999998E-3</v>
      </c>
      <c r="E222" s="771">
        <f t="shared" si="57"/>
        <v>7.2254335259999995E-4</v>
      </c>
      <c r="F222" s="525">
        <f>+DATA!D218</f>
        <v>14735</v>
      </c>
      <c r="G222" s="772">
        <f>+DATA!E218</f>
        <v>0.1269646823510594</v>
      </c>
      <c r="H222" s="525">
        <f t="shared" si="66"/>
        <v>1871</v>
      </c>
      <c r="I222" s="771">
        <f t="shared" si="58"/>
        <v>1.4328161615E-3</v>
      </c>
      <c r="J222" s="771">
        <f t="shared" si="59"/>
        <v>1.432816162E-4</v>
      </c>
      <c r="K222" s="525">
        <f>+DATA!G218</f>
        <v>6325</v>
      </c>
      <c r="L222" s="525">
        <f>+DATA!H218</f>
        <v>11231</v>
      </c>
      <c r="M222" s="525">
        <f>+DATA!I218</f>
        <v>98473656225</v>
      </c>
      <c r="N222" s="525">
        <f>+DATA!J218</f>
        <v>240288839159</v>
      </c>
      <c r="O222" s="773">
        <f t="shared" si="67"/>
        <v>0.48041248260759217</v>
      </c>
      <c r="P222" s="774" t="str">
        <f t="shared" si="68"/>
        <v>SI</v>
      </c>
      <c r="Q222" s="771">
        <f t="shared" si="60"/>
        <v>6.523875952E-4</v>
      </c>
      <c r="R222" s="771">
        <f t="shared" si="61"/>
        <v>9.3532435520000002E-4</v>
      </c>
      <c r="S222" s="771">
        <f t="shared" si="62"/>
        <v>2.805973066E-4</v>
      </c>
      <c r="T222" s="525">
        <f>+DATA!K218</f>
        <v>0</v>
      </c>
      <c r="U222" s="525">
        <f>+DATA!L218</f>
        <v>0</v>
      </c>
      <c r="V222" s="525">
        <f>+DATA!M218</f>
        <v>1361435</v>
      </c>
      <c r="W222" s="526">
        <f t="shared" si="63"/>
        <v>1361435</v>
      </c>
      <c r="X222" s="526">
        <f t="shared" si="69"/>
        <v>1361435</v>
      </c>
      <c r="Y222" s="526">
        <f t="shared" si="70"/>
        <v>1361435</v>
      </c>
      <c r="Z222" s="525">
        <f>+DATA!F218</f>
        <v>286998.74106552126</v>
      </c>
      <c r="AA222" s="525">
        <f>IF(P222="SI",ROUND(Z222/DIV_Pf,PARAMETROS!$L$8),0)</f>
        <v>23917</v>
      </c>
      <c r="AB222" s="526">
        <f t="shared" si="71"/>
        <v>38652</v>
      </c>
      <c r="AC222" s="775">
        <f t="shared" si="72"/>
        <v>35.22</v>
      </c>
      <c r="AD222" s="525">
        <f>IF(AC222&lt;$AC$6,ROUND(($AC$6-AC222)*AB222,PARAMETROS!$L$8),0)</f>
        <v>2678584</v>
      </c>
      <c r="AE222" s="771">
        <f t="shared" si="64"/>
        <v>2.5709584499999999E-3</v>
      </c>
      <c r="AF222" s="771">
        <f t="shared" si="65"/>
        <v>8.9983545749999999E-4</v>
      </c>
      <c r="AG222" s="771">
        <f t="shared" si="73"/>
        <v>2.0462577328999999E-3</v>
      </c>
      <c r="AH222" s="525">
        <f>+DATA!Q218</f>
        <v>3307567.3149999999</v>
      </c>
      <c r="AI222" s="525">
        <f>+DATA!R218</f>
        <v>275630.60958333331</v>
      </c>
      <c r="AJ222" s="525">
        <f>+DATA!S218</f>
        <v>217748</v>
      </c>
      <c r="AK222" s="525">
        <f>+'_DATA STT PAGOS_'!G220</f>
        <v>0</v>
      </c>
      <c r="AL222" s="525">
        <f>+'_DATA STT PAGOS_'!J220</f>
        <v>4490931.5539999995</v>
      </c>
      <c r="AM222" s="525">
        <f>+DATA!Y218</f>
        <v>33638</v>
      </c>
      <c r="AN222" s="525">
        <f>+DATA!Z218</f>
        <v>14482</v>
      </c>
      <c r="AO222" s="525">
        <f>+DATA!AA218</f>
        <v>17487</v>
      </c>
      <c r="AP222" s="525">
        <f>+DATA!AB218</f>
        <v>14141</v>
      </c>
      <c r="AQ222" s="525">
        <f>+DATA!AC218</f>
        <v>79748</v>
      </c>
      <c r="AR222" s="525">
        <f>+DATA!AD218</f>
        <v>0</v>
      </c>
      <c r="AS222" s="525">
        <f>+DATA!AE218</f>
        <v>0</v>
      </c>
      <c r="AT222" s="525">
        <f>+DATA!AF218</f>
        <v>0</v>
      </c>
      <c r="AU222" s="525">
        <f>+DATA!AG218</f>
        <v>0</v>
      </c>
      <c r="AV222" s="525">
        <f>+DATA!AH218</f>
        <v>0</v>
      </c>
    </row>
    <row r="223" spans="1:48" x14ac:dyDescent="0.25">
      <c r="A223" s="527">
        <v>10109</v>
      </c>
      <c r="B223" s="527">
        <v>10303</v>
      </c>
      <c r="C223" s="527" t="s">
        <v>247</v>
      </c>
      <c r="D223" s="771">
        <f t="shared" si="56"/>
        <v>2.8901734103999998E-3</v>
      </c>
      <c r="E223" s="771">
        <f t="shared" si="57"/>
        <v>7.2254335259999995E-4</v>
      </c>
      <c r="F223" s="525">
        <f>+DATA!D219</f>
        <v>51316</v>
      </c>
      <c r="G223" s="772">
        <f>+DATA!E219</f>
        <v>2.1149840961607571E-2</v>
      </c>
      <c r="H223" s="525">
        <f t="shared" si="66"/>
        <v>1085</v>
      </c>
      <c r="I223" s="771">
        <f t="shared" si="58"/>
        <v>8.3089552920000002E-4</v>
      </c>
      <c r="J223" s="771">
        <f t="shared" si="59"/>
        <v>8.3089552899999998E-5</v>
      </c>
      <c r="K223" s="525">
        <f>+DATA!G219</f>
        <v>10428</v>
      </c>
      <c r="L223" s="525">
        <f>+DATA!H219</f>
        <v>36824</v>
      </c>
      <c r="M223" s="525">
        <f>+DATA!I219</f>
        <v>454947735107</v>
      </c>
      <c r="N223" s="525">
        <f>+DATA!J219</f>
        <v>2616657238413</v>
      </c>
      <c r="O223" s="773">
        <f t="shared" si="67"/>
        <v>0.22189236823049333</v>
      </c>
      <c r="P223" s="774" t="str">
        <f t="shared" si="68"/>
        <v>NO</v>
      </c>
      <c r="Q223" s="771">
        <f t="shared" si="60"/>
        <v>5.4084665149999999E-4</v>
      </c>
      <c r="R223" s="771">
        <f t="shared" si="61"/>
        <v>7.7540874370000002E-4</v>
      </c>
      <c r="S223" s="771">
        <f t="shared" si="62"/>
        <v>2.3262262309999999E-4</v>
      </c>
      <c r="T223" s="525">
        <f>+DATA!K219</f>
        <v>0</v>
      </c>
      <c r="U223" s="525">
        <f>+DATA!L219</f>
        <v>0</v>
      </c>
      <c r="V223" s="525">
        <f>+DATA!M219</f>
        <v>14729012</v>
      </c>
      <c r="W223" s="526">
        <f t="shared" si="63"/>
        <v>14729012</v>
      </c>
      <c r="X223" s="526">
        <f t="shared" si="69"/>
        <v>14729012</v>
      </c>
      <c r="Y223" s="526">
        <f t="shared" si="70"/>
        <v>14729012</v>
      </c>
      <c r="Z223" s="525">
        <f>+DATA!F219</f>
        <v>2306247.1275741481</v>
      </c>
      <c r="AA223" s="525">
        <f>IF(P223="SI",ROUND(Z223/DIV_Pf,PARAMETROS!$L$8),0)</f>
        <v>0</v>
      </c>
      <c r="AB223" s="526">
        <f t="shared" si="71"/>
        <v>51316</v>
      </c>
      <c r="AC223" s="775">
        <f t="shared" si="72"/>
        <v>287.02999999999997</v>
      </c>
      <c r="AD223" s="525">
        <f>IF(AC223&lt;$AC$6,ROUND(($AC$6-AC223)*AB223,PARAMETROS!$L$8),0)</f>
        <v>0</v>
      </c>
      <c r="AE223" s="771">
        <f t="shared" si="64"/>
        <v>0</v>
      </c>
      <c r="AF223" s="771">
        <f t="shared" si="65"/>
        <v>0</v>
      </c>
      <c r="AG223" s="771">
        <f t="shared" si="73"/>
        <v>1.0382555286E-3</v>
      </c>
      <c r="AH223" s="525">
        <f>+DATA!Q219</f>
        <v>2148486.4720000001</v>
      </c>
      <c r="AI223" s="525">
        <f>+DATA!R219</f>
        <v>179040.53933333335</v>
      </c>
      <c r="AJ223" s="525">
        <f>+DATA!S219</f>
        <v>141442</v>
      </c>
      <c r="AK223" s="525">
        <f>+'_DATA STT PAGOS_'!G221</f>
        <v>0</v>
      </c>
      <c r="AL223" s="525">
        <f>+'_DATA STT PAGOS_'!J221</f>
        <v>2910283.4690000005</v>
      </c>
      <c r="AM223" s="525">
        <f>+DATA!Y219</f>
        <v>991259</v>
      </c>
      <c r="AN223" s="525">
        <f>+DATA!Z219</f>
        <v>579723</v>
      </c>
      <c r="AO223" s="525">
        <f>+DATA!AA219</f>
        <v>742427</v>
      </c>
      <c r="AP223" s="525">
        <f>+DATA!AB219</f>
        <v>590285</v>
      </c>
      <c r="AQ223" s="525">
        <f>+DATA!AC219</f>
        <v>2903694</v>
      </c>
      <c r="AR223" s="525">
        <f>+DATA!AD219</f>
        <v>60253</v>
      </c>
      <c r="AS223" s="525">
        <f>+DATA!AE219</f>
        <v>25945</v>
      </c>
      <c r="AT223" s="525">
        <f>+DATA!AF219</f>
        <v>33605.107000000004</v>
      </c>
      <c r="AU223" s="525">
        <f>+DATA!AG219</f>
        <v>22819</v>
      </c>
      <c r="AV223" s="525">
        <f>+DATA!AH219</f>
        <v>142622.10700000002</v>
      </c>
    </row>
    <row r="224" spans="1:48" x14ac:dyDescent="0.25">
      <c r="A224" s="527">
        <v>10201</v>
      </c>
      <c r="B224" s="527">
        <v>10401</v>
      </c>
      <c r="C224" s="527" t="s">
        <v>253</v>
      </c>
      <c r="D224" s="771">
        <f t="shared" si="56"/>
        <v>2.8901734103999998E-3</v>
      </c>
      <c r="E224" s="771">
        <f t="shared" si="57"/>
        <v>7.2254335259999995E-4</v>
      </c>
      <c r="F224" s="525">
        <f>+DATA!D220</f>
        <v>48727</v>
      </c>
      <c r="G224" s="772">
        <f>+DATA!E220</f>
        <v>3.2261156239627907E-2</v>
      </c>
      <c r="H224" s="525">
        <f t="shared" si="66"/>
        <v>1572</v>
      </c>
      <c r="I224" s="771">
        <f t="shared" si="58"/>
        <v>1.2038412645E-3</v>
      </c>
      <c r="J224" s="771">
        <f t="shared" si="59"/>
        <v>1.203841265E-4</v>
      </c>
      <c r="K224" s="525">
        <f>+DATA!G220</f>
        <v>17118</v>
      </c>
      <c r="L224" s="525">
        <f>+DATA!H220</f>
        <v>22246</v>
      </c>
      <c r="M224" s="525">
        <f>+DATA!I220</f>
        <v>382675632414</v>
      </c>
      <c r="N224" s="525">
        <f>+DATA!J220</f>
        <v>834026955962</v>
      </c>
      <c r="O224" s="773">
        <f t="shared" si="67"/>
        <v>0.5941907753106993</v>
      </c>
      <c r="P224" s="774" t="str">
        <f t="shared" si="68"/>
        <v>SI</v>
      </c>
      <c r="Q224" s="771">
        <f t="shared" si="60"/>
        <v>2.4124436246E-3</v>
      </c>
      <c r="R224" s="771">
        <f t="shared" si="61"/>
        <v>3.4587065943999999E-3</v>
      </c>
      <c r="S224" s="771">
        <f t="shared" si="62"/>
        <v>1.0376119783E-3</v>
      </c>
      <c r="T224" s="525">
        <f>+DATA!K220</f>
        <v>0</v>
      </c>
      <c r="U224" s="525">
        <f>+DATA!L220</f>
        <v>0</v>
      </c>
      <c r="V224" s="525">
        <f>+DATA!M220</f>
        <v>5900581</v>
      </c>
      <c r="W224" s="526">
        <f t="shared" si="63"/>
        <v>5900581</v>
      </c>
      <c r="X224" s="526">
        <f t="shared" si="69"/>
        <v>5900581</v>
      </c>
      <c r="Y224" s="526">
        <f t="shared" si="70"/>
        <v>5900581</v>
      </c>
      <c r="Z224" s="525">
        <f>+DATA!F220</f>
        <v>806018.25391469628</v>
      </c>
      <c r="AA224" s="525">
        <f>IF(P224="SI",ROUND(Z224/DIV_Pf,PARAMETROS!$L$8),0)</f>
        <v>67168</v>
      </c>
      <c r="AB224" s="526">
        <f t="shared" si="71"/>
        <v>115895</v>
      </c>
      <c r="AC224" s="775">
        <f t="shared" si="72"/>
        <v>50.91</v>
      </c>
      <c r="AD224" s="525">
        <f>IF(AC224&lt;$AC$6,ROUND(($AC$6-AC224)*AB224,PARAMETROS!$L$8),0)</f>
        <v>6213131</v>
      </c>
      <c r="AE224" s="771">
        <f t="shared" si="64"/>
        <v>5.9634872922000003E-3</v>
      </c>
      <c r="AF224" s="771">
        <f t="shared" si="65"/>
        <v>2.0872205522999999E-3</v>
      </c>
      <c r="AG224" s="771">
        <f t="shared" si="73"/>
        <v>3.9677600097000002E-3</v>
      </c>
      <c r="AH224" s="525">
        <f>+DATA!Q220</f>
        <v>11394863.403999999</v>
      </c>
      <c r="AI224" s="525">
        <f>+DATA!R220</f>
        <v>949571.95033333322</v>
      </c>
      <c r="AJ224" s="525">
        <f>+DATA!S220</f>
        <v>750162</v>
      </c>
      <c r="AK224" s="525">
        <f>+'_DATA STT PAGOS_'!G222</f>
        <v>0</v>
      </c>
      <c r="AL224" s="525">
        <f>+'_DATA STT PAGOS_'!J222</f>
        <v>15463091.296</v>
      </c>
      <c r="AM224" s="525">
        <f>+DATA!Y220</f>
        <v>229646</v>
      </c>
      <c r="AN224" s="525">
        <f>+DATA!Z220</f>
        <v>143531</v>
      </c>
      <c r="AO224" s="525">
        <f>+DATA!AA220</f>
        <v>184924</v>
      </c>
      <c r="AP224" s="525">
        <f>+DATA!AB220</f>
        <v>147965</v>
      </c>
      <c r="AQ224" s="525">
        <f>+DATA!AC220</f>
        <v>706066</v>
      </c>
      <c r="AR224" s="525">
        <f>+DATA!AD220</f>
        <v>7851</v>
      </c>
      <c r="AS224" s="525">
        <f>+DATA!AE220</f>
        <v>4817</v>
      </c>
      <c r="AT224" s="525">
        <f>+DATA!AF220</f>
        <v>5594.067</v>
      </c>
      <c r="AU224" s="525">
        <f>+DATA!AG220</f>
        <v>4052</v>
      </c>
      <c r="AV224" s="525">
        <f>+DATA!AH220</f>
        <v>22314.066999999999</v>
      </c>
    </row>
    <row r="225" spans="1:48" x14ac:dyDescent="0.25">
      <c r="A225" s="527">
        <v>10202</v>
      </c>
      <c r="B225" s="527">
        <v>10406</v>
      </c>
      <c r="C225" s="527" t="s">
        <v>255</v>
      </c>
      <c r="D225" s="771">
        <f t="shared" si="56"/>
        <v>2.8901734103999998E-3</v>
      </c>
      <c r="E225" s="771">
        <f t="shared" si="57"/>
        <v>7.2254335259999995E-4</v>
      </c>
      <c r="F225" s="525">
        <f>+DATA!D221</f>
        <v>42524</v>
      </c>
      <c r="G225" s="772">
        <f>+DATA!E221</f>
        <v>5.5257919173565623E-2</v>
      </c>
      <c r="H225" s="525">
        <f t="shared" si="66"/>
        <v>2350</v>
      </c>
      <c r="I225" s="771">
        <f t="shared" si="58"/>
        <v>1.7996354781000001E-3</v>
      </c>
      <c r="J225" s="771">
        <f t="shared" si="59"/>
        <v>1.7996354779999999E-4</v>
      </c>
      <c r="K225" s="525">
        <f>+DATA!G221</f>
        <v>19767</v>
      </c>
      <c r="L225" s="525">
        <f>+DATA!H221</f>
        <v>32333</v>
      </c>
      <c r="M225" s="525">
        <f>+DATA!I221</f>
        <v>430340722531</v>
      </c>
      <c r="N225" s="525">
        <f>+DATA!J221</f>
        <v>785278787598</v>
      </c>
      <c r="O225" s="773">
        <f t="shared" si="67"/>
        <v>0.57881752148920662</v>
      </c>
      <c r="P225" s="774" t="str">
        <f t="shared" si="68"/>
        <v>SI</v>
      </c>
      <c r="Q225" s="771">
        <f t="shared" si="60"/>
        <v>2.2132913380999999E-3</v>
      </c>
      <c r="R225" s="771">
        <f t="shared" si="61"/>
        <v>3.173183103E-3</v>
      </c>
      <c r="S225" s="771">
        <f t="shared" si="62"/>
        <v>9.5195493089999996E-4</v>
      </c>
      <c r="T225" s="525">
        <f>+DATA!K221</f>
        <v>0</v>
      </c>
      <c r="U225" s="525">
        <f>+DATA!L221</f>
        <v>0</v>
      </c>
      <c r="V225" s="525">
        <f>+DATA!M221</f>
        <v>3835690</v>
      </c>
      <c r="W225" s="526">
        <f t="shared" si="63"/>
        <v>3835690</v>
      </c>
      <c r="X225" s="526">
        <f t="shared" si="69"/>
        <v>3835690</v>
      </c>
      <c r="Y225" s="526">
        <f t="shared" si="70"/>
        <v>3835690</v>
      </c>
      <c r="Z225" s="525">
        <f>+DATA!F221</f>
        <v>599685.91629997711</v>
      </c>
      <c r="AA225" s="525">
        <f>IF(P225="SI",ROUND(Z225/DIV_Pf,PARAMETROS!$L$8),0)</f>
        <v>49974</v>
      </c>
      <c r="AB225" s="526">
        <f t="shared" si="71"/>
        <v>92498</v>
      </c>
      <c r="AC225" s="775">
        <f t="shared" si="72"/>
        <v>41.47</v>
      </c>
      <c r="AD225" s="525">
        <f>IF(AC225&lt;$AC$6,ROUND(($AC$6-AC225)*AB225,PARAMETROS!$L$8),0)</f>
        <v>5831999</v>
      </c>
      <c r="AE225" s="771">
        <f t="shared" si="64"/>
        <v>5.5976691824E-3</v>
      </c>
      <c r="AF225" s="771">
        <f t="shared" si="65"/>
        <v>1.9591842137999999E-3</v>
      </c>
      <c r="AG225" s="771">
        <f t="shared" si="73"/>
        <v>3.8136460450999997E-3</v>
      </c>
      <c r="AH225" s="525">
        <f>+DATA!Q221</f>
        <v>7329657.5820000004</v>
      </c>
      <c r="AI225" s="525">
        <f>+DATA!R221</f>
        <v>610804.79850000003</v>
      </c>
      <c r="AJ225" s="525">
        <f>+DATA!S221</f>
        <v>482536</v>
      </c>
      <c r="AK225" s="525">
        <f>+'_DATA STT PAGOS_'!G223</f>
        <v>0</v>
      </c>
      <c r="AL225" s="525">
        <f>+'_DATA STT PAGOS_'!J223</f>
        <v>9940640.9299999997</v>
      </c>
      <c r="AM225" s="525">
        <f>+DATA!Y221</f>
        <v>137450</v>
      </c>
      <c r="AN225" s="525">
        <f>+DATA!Z221</f>
        <v>62862</v>
      </c>
      <c r="AO225" s="525">
        <f>+DATA!AA221</f>
        <v>97821</v>
      </c>
      <c r="AP225" s="525">
        <f>+DATA!AB221</f>
        <v>70955</v>
      </c>
      <c r="AQ225" s="525">
        <f>+DATA!AC221</f>
        <v>369088</v>
      </c>
      <c r="AR225" s="525">
        <f>+DATA!AD221</f>
        <v>9325</v>
      </c>
      <c r="AS225" s="525">
        <f>+DATA!AE221</f>
        <v>5402</v>
      </c>
      <c r="AT225" s="525">
        <f>+DATA!AF221</f>
        <v>6961.3190000000004</v>
      </c>
      <c r="AU225" s="525">
        <f>+DATA!AG221</f>
        <v>4890</v>
      </c>
      <c r="AV225" s="525">
        <f>+DATA!AH221</f>
        <v>26578.319</v>
      </c>
    </row>
    <row r="226" spans="1:48" x14ac:dyDescent="0.25">
      <c r="A226" s="527">
        <v>10203</v>
      </c>
      <c r="B226" s="527">
        <v>10402</v>
      </c>
      <c r="C226" s="527" t="s">
        <v>254</v>
      </c>
      <c r="D226" s="771">
        <f t="shared" si="56"/>
        <v>2.8901734103999998E-3</v>
      </c>
      <c r="E226" s="771">
        <f t="shared" si="57"/>
        <v>7.2254335259999995E-4</v>
      </c>
      <c r="F226" s="525">
        <f>+DATA!D222</f>
        <v>16267</v>
      </c>
      <c r="G226" s="772">
        <f>+DATA!E222</f>
        <v>9.2796639158610666E-2</v>
      </c>
      <c r="H226" s="525">
        <f t="shared" si="66"/>
        <v>1510</v>
      </c>
      <c r="I226" s="771">
        <f t="shared" si="58"/>
        <v>1.1563615199999999E-3</v>
      </c>
      <c r="J226" s="771">
        <f t="shared" si="59"/>
        <v>1.15636152E-4</v>
      </c>
      <c r="K226" s="525">
        <f>+DATA!G222</f>
        <v>8616</v>
      </c>
      <c r="L226" s="525">
        <f>+DATA!H222</f>
        <v>13663</v>
      </c>
      <c r="M226" s="525">
        <f>+DATA!I222</f>
        <v>172771711567</v>
      </c>
      <c r="N226" s="525">
        <f>+DATA!J222</f>
        <v>392225040212</v>
      </c>
      <c r="O226" s="773">
        <f t="shared" si="67"/>
        <v>0.52704593819334344</v>
      </c>
      <c r="P226" s="774" t="str">
        <f t="shared" si="68"/>
        <v>SI</v>
      </c>
      <c r="Q226" s="771">
        <f t="shared" si="60"/>
        <v>9.9510377629999998E-4</v>
      </c>
      <c r="R226" s="771">
        <f t="shared" si="61"/>
        <v>1.4266745793000001E-3</v>
      </c>
      <c r="S226" s="771">
        <f t="shared" si="62"/>
        <v>4.2800237379999999E-4</v>
      </c>
      <c r="T226" s="525">
        <f>+DATA!K222</f>
        <v>0</v>
      </c>
      <c r="U226" s="525">
        <f>+DATA!L222</f>
        <v>0</v>
      </c>
      <c r="V226" s="525">
        <f>+DATA!M222</f>
        <v>2554206</v>
      </c>
      <c r="W226" s="526">
        <f t="shared" si="63"/>
        <v>2554206</v>
      </c>
      <c r="X226" s="526">
        <f t="shared" si="69"/>
        <v>2554206</v>
      </c>
      <c r="Y226" s="526">
        <f t="shared" si="70"/>
        <v>2554206</v>
      </c>
      <c r="Z226" s="525">
        <f>+DATA!F222</f>
        <v>261480.49155076136</v>
      </c>
      <c r="AA226" s="525">
        <f>IF(P226="SI",ROUND(Z226/DIV_Pf,PARAMETROS!$L$8),0)</f>
        <v>21790</v>
      </c>
      <c r="AB226" s="526">
        <f t="shared" si="71"/>
        <v>38057</v>
      </c>
      <c r="AC226" s="775">
        <f t="shared" si="72"/>
        <v>67.12</v>
      </c>
      <c r="AD226" s="525">
        <f>IF(AC226&lt;$AC$6,ROUND(($AC$6-AC226)*AB226,PARAMETROS!$L$8),0)</f>
        <v>1423332</v>
      </c>
      <c r="AE226" s="771">
        <f t="shared" si="64"/>
        <v>1.3661424964E-3</v>
      </c>
      <c r="AF226" s="771">
        <f t="shared" si="65"/>
        <v>4.7814987370000002E-4</v>
      </c>
      <c r="AG226" s="771">
        <f t="shared" si="73"/>
        <v>1.7443317520999999E-3</v>
      </c>
      <c r="AH226" s="525">
        <f>+DATA!Q222</f>
        <v>3081467.3470000001</v>
      </c>
      <c r="AI226" s="525">
        <f>+DATA!R222</f>
        <v>256788.94558333335</v>
      </c>
      <c r="AJ226" s="525">
        <f>+DATA!S222</f>
        <v>202863</v>
      </c>
      <c r="AK226" s="525">
        <f>+'_DATA STT PAGOS_'!G224</f>
        <v>0</v>
      </c>
      <c r="AL226" s="525">
        <f>+'_DATA STT PAGOS_'!J224</f>
        <v>4181311.5860000001</v>
      </c>
      <c r="AM226" s="525">
        <f>+DATA!Y222</f>
        <v>76179</v>
      </c>
      <c r="AN226" s="525">
        <f>+DATA!Z222</f>
        <v>53799</v>
      </c>
      <c r="AO226" s="525">
        <f>+DATA!AA222</f>
        <v>61567</v>
      </c>
      <c r="AP226" s="525">
        <f>+DATA!AB222</f>
        <v>50101</v>
      </c>
      <c r="AQ226" s="525">
        <f>+DATA!AC222</f>
        <v>241646</v>
      </c>
      <c r="AR226" s="525">
        <f>+DATA!AD222</f>
        <v>724</v>
      </c>
      <c r="AS226" s="525">
        <f>+DATA!AE222</f>
        <v>431</v>
      </c>
      <c r="AT226" s="525">
        <f>+DATA!AF222</f>
        <v>536.99</v>
      </c>
      <c r="AU226" s="525">
        <f>+DATA!AG222</f>
        <v>424</v>
      </c>
      <c r="AV226" s="525">
        <f>+DATA!AH222</f>
        <v>2115.9899999999998</v>
      </c>
    </row>
    <row r="227" spans="1:48" x14ac:dyDescent="0.25">
      <c r="A227" s="527">
        <v>10204</v>
      </c>
      <c r="B227" s="527">
        <v>10410</v>
      </c>
      <c r="C227" s="527" t="s">
        <v>416</v>
      </c>
      <c r="D227" s="771">
        <f t="shared" si="56"/>
        <v>2.8901734103999998E-3</v>
      </c>
      <c r="E227" s="771">
        <f t="shared" si="57"/>
        <v>7.2254335259999995E-4</v>
      </c>
      <c r="F227" s="525">
        <f>+DATA!D223</f>
        <v>4135</v>
      </c>
      <c r="G227" s="772">
        <f>+DATA!E223</f>
        <v>9.4541324061761273E-2</v>
      </c>
      <c r="H227" s="525">
        <f t="shared" si="66"/>
        <v>391</v>
      </c>
      <c r="I227" s="771">
        <f t="shared" si="58"/>
        <v>2.994287115E-4</v>
      </c>
      <c r="J227" s="771">
        <f t="shared" si="59"/>
        <v>2.9942871200000001E-5</v>
      </c>
      <c r="K227" s="525">
        <f>+DATA!G223</f>
        <v>3008</v>
      </c>
      <c r="L227" s="525">
        <f>+DATA!H223</f>
        <v>3403</v>
      </c>
      <c r="M227" s="525">
        <f>+DATA!I223</f>
        <v>39318254983</v>
      </c>
      <c r="N227" s="525">
        <f>+DATA!J223</f>
        <v>51818550504</v>
      </c>
      <c r="O227" s="773">
        <f t="shared" si="67"/>
        <v>0.81895950646488658</v>
      </c>
      <c r="P227" s="774" t="str">
        <f t="shared" si="68"/>
        <v>SI</v>
      </c>
      <c r="Q227" s="771">
        <f t="shared" si="60"/>
        <v>4.869639111E-4</v>
      </c>
      <c r="R227" s="771">
        <f t="shared" si="61"/>
        <v>6.9815736770000004E-4</v>
      </c>
      <c r="S227" s="771">
        <f t="shared" si="62"/>
        <v>2.0944721029999999E-4</v>
      </c>
      <c r="T227" s="525">
        <f>+DATA!K223</f>
        <v>0</v>
      </c>
      <c r="U227" s="525">
        <f>+DATA!L223</f>
        <v>0</v>
      </c>
      <c r="V227" s="525">
        <f>+DATA!M223</f>
        <v>341540</v>
      </c>
      <c r="W227" s="526">
        <f t="shared" si="63"/>
        <v>341540</v>
      </c>
      <c r="X227" s="526">
        <f t="shared" si="69"/>
        <v>341540</v>
      </c>
      <c r="Y227" s="526">
        <f t="shared" si="70"/>
        <v>341540</v>
      </c>
      <c r="Z227" s="525">
        <f>+DATA!F223</f>
        <v>40494.105190536786</v>
      </c>
      <c r="AA227" s="525">
        <f>IF(P227="SI",ROUND(Z227/DIV_Pf,PARAMETROS!$L$8),0)</f>
        <v>3375</v>
      </c>
      <c r="AB227" s="526">
        <f t="shared" si="71"/>
        <v>7510</v>
      </c>
      <c r="AC227" s="775">
        <f t="shared" si="72"/>
        <v>45.48</v>
      </c>
      <c r="AD227" s="525">
        <f>IF(AC227&lt;$AC$6,ROUND(($AC$6-AC227)*AB227,PARAMETROS!$L$8),0)</f>
        <v>443390</v>
      </c>
      <c r="AE227" s="771">
        <f t="shared" si="64"/>
        <v>4.2557458239999999E-4</v>
      </c>
      <c r="AF227" s="771">
        <f t="shared" si="65"/>
        <v>1.4895110380000001E-4</v>
      </c>
      <c r="AG227" s="771">
        <f t="shared" si="73"/>
        <v>1.1108845379000001E-3</v>
      </c>
      <c r="AH227" s="525">
        <f>+DATA!Q223</f>
        <v>2108248.7940000002</v>
      </c>
      <c r="AI227" s="525">
        <f>+DATA!R223</f>
        <v>175687.39950000003</v>
      </c>
      <c r="AJ227" s="525">
        <f>+DATA!S223</f>
        <v>138793</v>
      </c>
      <c r="AK227" s="525">
        <f>+'_DATA STT PAGOS_'!G225</f>
        <v>0</v>
      </c>
      <c r="AL227" s="525">
        <f>+'_DATA STT PAGOS_'!J225</f>
        <v>2860667.1550000003</v>
      </c>
      <c r="AM227" s="525">
        <f>+DATA!Y223</f>
        <v>7895</v>
      </c>
      <c r="AN227" s="525">
        <f>+DATA!Z223</f>
        <v>1707</v>
      </c>
      <c r="AO227" s="525">
        <f>+DATA!AA223</f>
        <v>3601</v>
      </c>
      <c r="AP227" s="525">
        <f>+DATA!AB223</f>
        <v>2333</v>
      </c>
      <c r="AQ227" s="525">
        <f>+DATA!AC223</f>
        <v>15536</v>
      </c>
      <c r="AR227" s="525">
        <f>+DATA!AD223</f>
        <v>122</v>
      </c>
      <c r="AS227" s="525">
        <f>+DATA!AE223</f>
        <v>147</v>
      </c>
      <c r="AT227" s="525">
        <f>+DATA!AF223</f>
        <v>101.396</v>
      </c>
      <c r="AU227" s="525">
        <f>+DATA!AG223</f>
        <v>66</v>
      </c>
      <c r="AV227" s="525">
        <f>+DATA!AH223</f>
        <v>436.39600000000002</v>
      </c>
    </row>
    <row r="228" spans="1:48" x14ac:dyDescent="0.25">
      <c r="A228" s="527">
        <v>10205</v>
      </c>
      <c r="B228" s="527">
        <v>10408</v>
      </c>
      <c r="C228" s="527" t="s">
        <v>257</v>
      </c>
      <c r="D228" s="771">
        <f t="shared" si="56"/>
        <v>2.8901734103999998E-3</v>
      </c>
      <c r="E228" s="771">
        <f t="shared" si="57"/>
        <v>7.2254335259999995E-4</v>
      </c>
      <c r="F228" s="525">
        <f>+DATA!D224</f>
        <v>15456</v>
      </c>
      <c r="G228" s="772">
        <f>+DATA!E224</f>
        <v>9.3492364104413264E-2</v>
      </c>
      <c r="H228" s="525">
        <f t="shared" si="66"/>
        <v>1445</v>
      </c>
      <c r="I228" s="771">
        <f t="shared" si="58"/>
        <v>1.1065843684E-3</v>
      </c>
      <c r="J228" s="771">
        <f t="shared" si="59"/>
        <v>1.106584368E-4</v>
      </c>
      <c r="K228" s="525">
        <f>+DATA!G224</f>
        <v>7093</v>
      </c>
      <c r="L228" s="525">
        <f>+DATA!H224</f>
        <v>9957</v>
      </c>
      <c r="M228" s="525">
        <f>+DATA!I224</f>
        <v>159751349996</v>
      </c>
      <c r="N228" s="525">
        <f>+DATA!J224</f>
        <v>287984844044</v>
      </c>
      <c r="O228" s="773">
        <f t="shared" si="67"/>
        <v>0.62861997724067353</v>
      </c>
      <c r="P228" s="774" t="str">
        <f t="shared" si="68"/>
        <v>SI</v>
      </c>
      <c r="Q228" s="771">
        <f t="shared" si="60"/>
        <v>9.2541061039999996E-4</v>
      </c>
      <c r="R228" s="771">
        <f t="shared" si="61"/>
        <v>1.3267558869E-3</v>
      </c>
      <c r="S228" s="771">
        <f t="shared" si="62"/>
        <v>3.9802676610000001E-4</v>
      </c>
      <c r="T228" s="525">
        <f>+DATA!K224</f>
        <v>0</v>
      </c>
      <c r="U228" s="525">
        <f>+DATA!L224</f>
        <v>0</v>
      </c>
      <c r="V228" s="525">
        <f>+DATA!M224</f>
        <v>1548028</v>
      </c>
      <c r="W228" s="526">
        <f t="shared" si="63"/>
        <v>1548028</v>
      </c>
      <c r="X228" s="526">
        <f t="shared" si="69"/>
        <v>1548028</v>
      </c>
      <c r="Y228" s="526">
        <f t="shared" si="70"/>
        <v>1548028</v>
      </c>
      <c r="Z228" s="525">
        <f>+DATA!F224</f>
        <v>206504.95769895328</v>
      </c>
      <c r="AA228" s="525">
        <f>IF(P228="SI",ROUND(Z228/DIV_Pf,PARAMETROS!$L$8),0)</f>
        <v>17209</v>
      </c>
      <c r="AB228" s="526">
        <f t="shared" si="71"/>
        <v>32665</v>
      </c>
      <c r="AC228" s="775">
        <f t="shared" si="72"/>
        <v>47.39</v>
      </c>
      <c r="AD228" s="525">
        <f>IF(AC228&lt;$AC$6,ROUND(($AC$6-AC228)*AB228,PARAMETROS!$L$8),0)</f>
        <v>1866151</v>
      </c>
      <c r="AE228" s="771">
        <f t="shared" si="64"/>
        <v>1.7911690214999999E-3</v>
      </c>
      <c r="AF228" s="771">
        <f t="shared" si="65"/>
        <v>6.2690915749999995E-4</v>
      </c>
      <c r="AG228" s="771">
        <f t="shared" si="73"/>
        <v>1.8581377129999999E-3</v>
      </c>
      <c r="AH228" s="525">
        <f>+DATA!Q224</f>
        <v>3391783.264</v>
      </c>
      <c r="AI228" s="525">
        <f>+DATA!R224</f>
        <v>282648.60533333331</v>
      </c>
      <c r="AJ228" s="525">
        <f>+DATA!S224</f>
        <v>223292</v>
      </c>
      <c r="AK228" s="525">
        <f>+'_DATA STT PAGOS_'!G226</f>
        <v>0</v>
      </c>
      <c r="AL228" s="525">
        <f>+'_DATA STT PAGOS_'!J226</f>
        <v>4603564.7019999996</v>
      </c>
      <c r="AM228" s="525">
        <f>+DATA!Y224</f>
        <v>36447</v>
      </c>
      <c r="AN228" s="525">
        <f>+DATA!Z224</f>
        <v>40741</v>
      </c>
      <c r="AO228" s="525">
        <f>+DATA!AA224</f>
        <v>31069</v>
      </c>
      <c r="AP228" s="525">
        <f>+DATA!AB224</f>
        <v>23505</v>
      </c>
      <c r="AQ228" s="525">
        <f>+DATA!AC224</f>
        <v>131762</v>
      </c>
      <c r="AR228" s="525">
        <f>+DATA!AD224</f>
        <v>1309</v>
      </c>
      <c r="AS228" s="525">
        <f>+DATA!AE224</f>
        <v>666</v>
      </c>
      <c r="AT228" s="525">
        <f>+DATA!AF224</f>
        <v>733.98599999999999</v>
      </c>
      <c r="AU228" s="525">
        <f>+DATA!AG224</f>
        <v>651</v>
      </c>
      <c r="AV228" s="525">
        <f>+DATA!AH224</f>
        <v>3359.9859999999999</v>
      </c>
    </row>
    <row r="229" spans="1:48" x14ac:dyDescent="0.25">
      <c r="A229" s="527">
        <v>10206</v>
      </c>
      <c r="B229" s="527">
        <v>10405</v>
      </c>
      <c r="C229" s="527" t="s">
        <v>417</v>
      </c>
      <c r="D229" s="771">
        <f t="shared" si="56"/>
        <v>2.8901734103999998E-3</v>
      </c>
      <c r="E229" s="771">
        <f t="shared" si="57"/>
        <v>7.2254335259999995E-4</v>
      </c>
      <c r="F229" s="525">
        <f>+DATA!D225</f>
        <v>4188</v>
      </c>
      <c r="G229" s="772">
        <f>+DATA!E225</f>
        <v>0.17758253796394299</v>
      </c>
      <c r="H229" s="525">
        <f t="shared" si="66"/>
        <v>744</v>
      </c>
      <c r="I229" s="771">
        <f t="shared" si="58"/>
        <v>5.6975693430000003E-4</v>
      </c>
      <c r="J229" s="771">
        <f t="shared" si="59"/>
        <v>5.6975693399999998E-5</v>
      </c>
      <c r="K229" s="525">
        <f>+DATA!G225</f>
        <v>2704</v>
      </c>
      <c r="L229" s="525">
        <f>+DATA!H225</f>
        <v>3019</v>
      </c>
      <c r="M229" s="525">
        <f>+DATA!I225</f>
        <v>28134244315</v>
      </c>
      <c r="N229" s="525">
        <f>+DATA!J225</f>
        <v>33167729733</v>
      </c>
      <c r="O229" s="773">
        <f t="shared" si="67"/>
        <v>0.87162873944417896</v>
      </c>
      <c r="P229" s="774" t="str">
        <f t="shared" si="68"/>
        <v>SI</v>
      </c>
      <c r="Q229" s="771">
        <f t="shared" si="60"/>
        <v>4.4356096910000002E-4</v>
      </c>
      <c r="R229" s="771">
        <f t="shared" si="61"/>
        <v>6.3593081850000003E-4</v>
      </c>
      <c r="S229" s="771">
        <f t="shared" si="62"/>
        <v>1.907792456E-4</v>
      </c>
      <c r="T229" s="525">
        <f>+DATA!K225</f>
        <v>0</v>
      </c>
      <c r="U229" s="525">
        <f>+DATA!L225</f>
        <v>0</v>
      </c>
      <c r="V229" s="525">
        <f>+DATA!M225</f>
        <v>539891</v>
      </c>
      <c r="W229" s="526">
        <f t="shared" si="63"/>
        <v>539891</v>
      </c>
      <c r="X229" s="526">
        <f t="shared" si="69"/>
        <v>539891</v>
      </c>
      <c r="Y229" s="526">
        <f t="shared" si="70"/>
        <v>539891</v>
      </c>
      <c r="Z229" s="525">
        <f>+DATA!F225</f>
        <v>52645.625496062028</v>
      </c>
      <c r="AA229" s="525">
        <f>IF(P229="SI",ROUND(Z229/DIV_Pf,PARAMETROS!$L$8),0)</f>
        <v>4387</v>
      </c>
      <c r="AB229" s="526">
        <f t="shared" si="71"/>
        <v>8575</v>
      </c>
      <c r="AC229" s="775">
        <f t="shared" si="72"/>
        <v>62.96</v>
      </c>
      <c r="AD229" s="525">
        <f>IF(AC229&lt;$AC$6,ROUND(($AC$6-AC229)*AB229,PARAMETROS!$L$8),0)</f>
        <v>356377</v>
      </c>
      <c r="AE229" s="771">
        <f t="shared" si="64"/>
        <v>3.4205776619999998E-4</v>
      </c>
      <c r="AF229" s="771">
        <f t="shared" si="65"/>
        <v>1.1972021820000001E-4</v>
      </c>
      <c r="AG229" s="771">
        <f t="shared" si="73"/>
        <v>1.0900185097999998E-3</v>
      </c>
      <c r="AH229" s="525">
        <f>+DATA!Q225</f>
        <v>1930830.6040000001</v>
      </c>
      <c r="AI229" s="525">
        <f>+DATA!R225</f>
        <v>160902.55033333335</v>
      </c>
      <c r="AJ229" s="525">
        <f>+DATA!S225</f>
        <v>127113</v>
      </c>
      <c r="AK229" s="525">
        <f>+'_DATA STT PAGOS_'!G227</f>
        <v>0</v>
      </c>
      <c r="AL229" s="525">
        <f>+'_DATA STT PAGOS_'!J227</f>
        <v>2621981.2580000004</v>
      </c>
      <c r="AM229" s="525">
        <f>+DATA!Y225</f>
        <v>2195</v>
      </c>
      <c r="AN229" s="525">
        <f>+DATA!Z225</f>
        <v>995</v>
      </c>
      <c r="AO229" s="525">
        <f>+DATA!AA225</f>
        <v>1998</v>
      </c>
      <c r="AP229" s="525">
        <f>+DATA!AB225</f>
        <v>1603</v>
      </c>
      <c r="AQ229" s="525">
        <f>+DATA!AC225</f>
        <v>6791</v>
      </c>
      <c r="AR229" s="525">
        <f>+DATA!AD225</f>
        <v>0</v>
      </c>
      <c r="AS229" s="525">
        <f>+DATA!AE225</f>
        <v>0</v>
      </c>
      <c r="AT229" s="525">
        <f>+DATA!AF225</f>
        <v>0</v>
      </c>
      <c r="AU229" s="525">
        <f>+DATA!AG225</f>
        <v>0</v>
      </c>
      <c r="AV229" s="525">
        <f>+DATA!AH225</f>
        <v>0</v>
      </c>
    </row>
    <row r="230" spans="1:48" x14ac:dyDescent="0.25">
      <c r="A230" s="527">
        <v>10207</v>
      </c>
      <c r="B230" s="527">
        <v>10403</v>
      </c>
      <c r="C230" s="527" t="s">
        <v>418</v>
      </c>
      <c r="D230" s="771">
        <f t="shared" si="56"/>
        <v>2.8901734103999998E-3</v>
      </c>
      <c r="E230" s="771">
        <f t="shared" si="57"/>
        <v>7.2254335259999995E-4</v>
      </c>
      <c r="F230" s="525">
        <f>+DATA!D226</f>
        <v>5542</v>
      </c>
      <c r="G230" s="772">
        <f>+DATA!E226</f>
        <v>0.1225810557964359</v>
      </c>
      <c r="H230" s="525">
        <f t="shared" si="66"/>
        <v>679</v>
      </c>
      <c r="I230" s="771">
        <f t="shared" si="58"/>
        <v>5.1997978280000001E-4</v>
      </c>
      <c r="J230" s="771">
        <f t="shared" si="59"/>
        <v>5.1997978300000001E-5</v>
      </c>
      <c r="K230" s="525">
        <f>+DATA!G226</f>
        <v>3956</v>
      </c>
      <c r="L230" s="525">
        <f>+DATA!H226</f>
        <v>5435</v>
      </c>
      <c r="M230" s="525">
        <f>+DATA!I226</f>
        <v>64669927575</v>
      </c>
      <c r="N230" s="525">
        <f>+DATA!J226</f>
        <v>116626579176</v>
      </c>
      <c r="O230" s="773">
        <f t="shared" si="67"/>
        <v>0.63530282405514871</v>
      </c>
      <c r="P230" s="774" t="str">
        <f t="shared" si="68"/>
        <v>SI</v>
      </c>
      <c r="Q230" s="771">
        <f t="shared" si="60"/>
        <v>5.2737079979999998E-4</v>
      </c>
      <c r="R230" s="771">
        <f t="shared" si="61"/>
        <v>7.5608849229999995E-4</v>
      </c>
      <c r="S230" s="771">
        <f t="shared" si="62"/>
        <v>2.268265477E-4</v>
      </c>
      <c r="T230" s="525">
        <f>+DATA!K226</f>
        <v>0</v>
      </c>
      <c r="U230" s="525">
        <f>+DATA!L226</f>
        <v>0</v>
      </c>
      <c r="V230" s="525">
        <f>+DATA!M226</f>
        <v>547024</v>
      </c>
      <c r="W230" s="526">
        <f t="shared" si="63"/>
        <v>547024</v>
      </c>
      <c r="X230" s="526">
        <f t="shared" si="69"/>
        <v>547024</v>
      </c>
      <c r="Y230" s="526">
        <f t="shared" si="70"/>
        <v>547024</v>
      </c>
      <c r="Z230" s="525">
        <f>+DATA!F226</f>
        <v>112505.05772800211</v>
      </c>
      <c r="AA230" s="525">
        <f>IF(P230="SI",ROUND(Z230/DIV_Pf,PARAMETROS!$L$8),0)</f>
        <v>9375</v>
      </c>
      <c r="AB230" s="526">
        <f t="shared" si="71"/>
        <v>14917</v>
      </c>
      <c r="AC230" s="775">
        <f t="shared" si="72"/>
        <v>36.67</v>
      </c>
      <c r="AD230" s="525">
        <f>IF(AC230&lt;$AC$6,ROUND(($AC$6-AC230)*AB230,PARAMETROS!$L$8),0)</f>
        <v>1012118</v>
      </c>
      <c r="AE230" s="771">
        <f t="shared" si="64"/>
        <v>9.7145108179999995E-4</v>
      </c>
      <c r="AF230" s="771">
        <f t="shared" si="65"/>
        <v>3.4000787860000002E-4</v>
      </c>
      <c r="AG230" s="771">
        <f t="shared" si="73"/>
        <v>1.3413757572000001E-3</v>
      </c>
      <c r="AH230" s="525">
        <f>+DATA!Q226</f>
        <v>2227190.7000000002</v>
      </c>
      <c r="AI230" s="525">
        <f>+DATA!R226</f>
        <v>185599.22500000001</v>
      </c>
      <c r="AJ230" s="525">
        <f>+DATA!S226</f>
        <v>146623</v>
      </c>
      <c r="AK230" s="525">
        <f>+'_DATA STT PAGOS_'!G228</f>
        <v>0</v>
      </c>
      <c r="AL230" s="525">
        <f>+'_DATA STT PAGOS_'!J228</f>
        <v>3022625.324</v>
      </c>
      <c r="AM230" s="525">
        <f>+DATA!Y226</f>
        <v>12824</v>
      </c>
      <c r="AN230" s="525">
        <f>+DATA!Z226</f>
        <v>6864</v>
      </c>
      <c r="AO230" s="525">
        <f>+DATA!AA226</f>
        <v>8416</v>
      </c>
      <c r="AP230" s="525">
        <f>+DATA!AB226</f>
        <v>9853</v>
      </c>
      <c r="AQ230" s="525">
        <f>+DATA!AC226</f>
        <v>37957</v>
      </c>
      <c r="AR230" s="525">
        <f>+DATA!AD226</f>
        <v>325</v>
      </c>
      <c r="AS230" s="525">
        <f>+DATA!AE226</f>
        <v>203</v>
      </c>
      <c r="AT230" s="525">
        <f>+DATA!AF226</f>
        <v>251.18100000000001</v>
      </c>
      <c r="AU230" s="525">
        <f>+DATA!AG226</f>
        <v>179</v>
      </c>
      <c r="AV230" s="525">
        <f>+DATA!AH226</f>
        <v>958.18100000000004</v>
      </c>
    </row>
    <row r="231" spans="1:48" x14ac:dyDescent="0.25">
      <c r="A231" s="527">
        <v>10208</v>
      </c>
      <c r="B231" s="527">
        <v>10404</v>
      </c>
      <c r="C231" s="527" t="s">
        <v>419</v>
      </c>
      <c r="D231" s="771">
        <f t="shared" si="56"/>
        <v>2.8901734103999998E-3</v>
      </c>
      <c r="E231" s="771">
        <f t="shared" si="57"/>
        <v>7.2254335259999995E-4</v>
      </c>
      <c r="F231" s="525">
        <f>+DATA!D227</f>
        <v>30136</v>
      </c>
      <c r="G231" s="772">
        <f>+DATA!E227</f>
        <v>9.011758946437072E-2</v>
      </c>
      <c r="H231" s="525">
        <f t="shared" si="66"/>
        <v>2716</v>
      </c>
      <c r="I231" s="771">
        <f t="shared" si="58"/>
        <v>2.0799191312999999E-3</v>
      </c>
      <c r="J231" s="771">
        <f t="shared" si="59"/>
        <v>2.079919131E-4</v>
      </c>
      <c r="K231" s="525">
        <f>+DATA!G227</f>
        <v>9184</v>
      </c>
      <c r="L231" s="525">
        <f>+DATA!H227</f>
        <v>12049</v>
      </c>
      <c r="M231" s="525">
        <f>+DATA!I227</f>
        <v>199224320341</v>
      </c>
      <c r="N231" s="525">
        <f>+DATA!J227</f>
        <v>376775528707</v>
      </c>
      <c r="O231" s="773">
        <f t="shared" si="67"/>
        <v>0.63484874927818336</v>
      </c>
      <c r="P231" s="774" t="str">
        <f t="shared" si="68"/>
        <v>SI</v>
      </c>
      <c r="Q231" s="771">
        <f t="shared" si="60"/>
        <v>1.2820820146E-3</v>
      </c>
      <c r="R231" s="771">
        <f t="shared" si="61"/>
        <v>1.8381136343000001E-3</v>
      </c>
      <c r="S231" s="771">
        <f t="shared" si="62"/>
        <v>5.5143409029999996E-4</v>
      </c>
      <c r="T231" s="525">
        <f>+DATA!K227</f>
        <v>0</v>
      </c>
      <c r="U231" s="525">
        <f>+DATA!L227</f>
        <v>0</v>
      </c>
      <c r="V231" s="525">
        <f>+DATA!M227</f>
        <v>2530930</v>
      </c>
      <c r="W231" s="526">
        <f t="shared" si="63"/>
        <v>2530930</v>
      </c>
      <c r="X231" s="526">
        <f t="shared" si="69"/>
        <v>2530930</v>
      </c>
      <c r="Y231" s="526">
        <f t="shared" si="70"/>
        <v>2530930</v>
      </c>
      <c r="Z231" s="525">
        <f>+DATA!F227</f>
        <v>328730.3445854013</v>
      </c>
      <c r="AA231" s="525">
        <f>IF(P231="SI",ROUND(Z231/DIV_Pf,PARAMETROS!$L$8),0)</f>
        <v>27394</v>
      </c>
      <c r="AB231" s="526">
        <f t="shared" si="71"/>
        <v>57530</v>
      </c>
      <c r="AC231" s="775">
        <f t="shared" si="72"/>
        <v>43.99</v>
      </c>
      <c r="AD231" s="525">
        <f>IF(AC231&lt;$AC$6,ROUND(($AC$6-AC231)*AB231,PARAMETROS!$L$8),0)</f>
        <v>3482291</v>
      </c>
      <c r="AE231" s="771">
        <f t="shared" si="64"/>
        <v>3.3423724892000001E-3</v>
      </c>
      <c r="AF231" s="771">
        <f t="shared" si="65"/>
        <v>1.1698303711999999E-3</v>
      </c>
      <c r="AG231" s="771">
        <f t="shared" si="73"/>
        <v>2.6517997271999997E-3</v>
      </c>
      <c r="AH231" s="525">
        <f>+DATA!Q227</f>
        <v>4281515.7790000001</v>
      </c>
      <c r="AI231" s="525">
        <f>+DATA!R227</f>
        <v>356792.98158333334</v>
      </c>
      <c r="AJ231" s="525">
        <f>+DATA!S227</f>
        <v>281866</v>
      </c>
      <c r="AK231" s="525">
        <f>+'_DATA STT PAGOS_'!G229</f>
        <v>0</v>
      </c>
      <c r="AL231" s="525">
        <f>+'_DATA STT PAGOS_'!J229</f>
        <v>5810697.4469999997</v>
      </c>
      <c r="AM231" s="525">
        <f>+DATA!Y227</f>
        <v>62389</v>
      </c>
      <c r="AN231" s="525">
        <f>+DATA!Z227</f>
        <v>42638</v>
      </c>
      <c r="AO231" s="525">
        <f>+DATA!AA227</f>
        <v>61588</v>
      </c>
      <c r="AP231" s="525">
        <f>+DATA!AB227</f>
        <v>39027</v>
      </c>
      <c r="AQ231" s="525">
        <f>+DATA!AC227</f>
        <v>205642</v>
      </c>
      <c r="AR231" s="525">
        <f>+DATA!AD227</f>
        <v>1817</v>
      </c>
      <c r="AS231" s="525">
        <f>+DATA!AE227</f>
        <v>887</v>
      </c>
      <c r="AT231" s="525">
        <f>+DATA!AF227</f>
        <v>1622.587</v>
      </c>
      <c r="AU231" s="525">
        <f>+DATA!AG227</f>
        <v>1029</v>
      </c>
      <c r="AV231" s="525">
        <f>+DATA!AH227</f>
        <v>5355.5869999999995</v>
      </c>
    </row>
    <row r="232" spans="1:48" x14ac:dyDescent="0.25">
      <c r="A232" s="527">
        <v>10209</v>
      </c>
      <c r="B232" s="527">
        <v>10407</v>
      </c>
      <c r="C232" s="527" t="s">
        <v>256</v>
      </c>
      <c r="D232" s="771">
        <f t="shared" si="56"/>
        <v>2.8901734103999998E-3</v>
      </c>
      <c r="E232" s="771">
        <f t="shared" si="57"/>
        <v>7.2254335259999995E-4</v>
      </c>
      <c r="F232" s="525">
        <f>+DATA!D228</f>
        <v>8754</v>
      </c>
      <c r="G232" s="772">
        <f>+DATA!E228</f>
        <v>0.1237815143860561</v>
      </c>
      <c r="H232" s="525">
        <f t="shared" si="66"/>
        <v>1084</v>
      </c>
      <c r="I232" s="771">
        <f t="shared" si="58"/>
        <v>8.3012972690000002E-4</v>
      </c>
      <c r="J232" s="771">
        <f t="shared" si="59"/>
        <v>8.3012972699999998E-5</v>
      </c>
      <c r="K232" s="525">
        <f>+DATA!G228</f>
        <v>4814</v>
      </c>
      <c r="L232" s="525">
        <f>+DATA!H228</f>
        <v>6301</v>
      </c>
      <c r="M232" s="525">
        <f>+DATA!I228</f>
        <v>62422942642</v>
      </c>
      <c r="N232" s="525">
        <f>+DATA!J228</f>
        <v>111905422824</v>
      </c>
      <c r="O232" s="773">
        <f t="shared" si="67"/>
        <v>0.65282211133953283</v>
      </c>
      <c r="P232" s="774" t="str">
        <f t="shared" si="68"/>
        <v>SI</v>
      </c>
      <c r="Q232" s="771">
        <f t="shared" si="60"/>
        <v>6.7360570140000001E-4</v>
      </c>
      <c r="R232" s="771">
        <f t="shared" si="61"/>
        <v>9.6574463240000003E-4</v>
      </c>
      <c r="S232" s="771">
        <f t="shared" si="62"/>
        <v>2.897233897E-4</v>
      </c>
      <c r="T232" s="525">
        <f>+DATA!K228</f>
        <v>0</v>
      </c>
      <c r="U232" s="525">
        <f>+DATA!L228</f>
        <v>0</v>
      </c>
      <c r="V232" s="525">
        <f>+DATA!M228</f>
        <v>1177637</v>
      </c>
      <c r="W232" s="526">
        <f t="shared" si="63"/>
        <v>1177637</v>
      </c>
      <c r="X232" s="526">
        <f t="shared" si="69"/>
        <v>1177637</v>
      </c>
      <c r="Y232" s="526">
        <f t="shared" si="70"/>
        <v>1177637</v>
      </c>
      <c r="Z232" s="525">
        <f>+DATA!F228</f>
        <v>188447.59158714232</v>
      </c>
      <c r="AA232" s="525">
        <f>IF(P232="SI",ROUND(Z232/DIV_Pf,PARAMETROS!$L$8),0)</f>
        <v>15704</v>
      </c>
      <c r="AB232" s="526">
        <f t="shared" si="71"/>
        <v>24458</v>
      </c>
      <c r="AC232" s="775">
        <f t="shared" si="72"/>
        <v>48.15</v>
      </c>
      <c r="AD232" s="525">
        <f>IF(AC232&lt;$AC$6,ROUND(($AC$6-AC232)*AB232,PARAMETROS!$L$8),0)</f>
        <v>1378697</v>
      </c>
      <c r="AE232" s="771">
        <f t="shared" si="64"/>
        <v>1.3233009314E-3</v>
      </c>
      <c r="AF232" s="771">
        <f t="shared" si="65"/>
        <v>4.6315532599999998E-4</v>
      </c>
      <c r="AG232" s="771">
        <f t="shared" si="73"/>
        <v>1.558435041E-3</v>
      </c>
      <c r="AH232" s="525">
        <f>+DATA!Q228</f>
        <v>2722289.986</v>
      </c>
      <c r="AI232" s="525">
        <f>+DATA!R228</f>
        <v>226857.49883333335</v>
      </c>
      <c r="AJ232" s="525">
        <f>+DATA!S228</f>
        <v>179217</v>
      </c>
      <c r="AK232" s="525">
        <f>+'_DATA STT PAGOS_'!G230</f>
        <v>0</v>
      </c>
      <c r="AL232" s="525">
        <f>+'_DATA STT PAGOS_'!J230</f>
        <v>3696310.753</v>
      </c>
      <c r="AM232" s="525">
        <f>+DATA!Y228</f>
        <v>8784</v>
      </c>
      <c r="AN232" s="525">
        <f>+DATA!Z228</f>
        <v>4344</v>
      </c>
      <c r="AO232" s="525">
        <f>+DATA!AA228</f>
        <v>6182</v>
      </c>
      <c r="AP232" s="525">
        <f>+DATA!AB228</f>
        <v>4425</v>
      </c>
      <c r="AQ232" s="525">
        <f>+DATA!AC228</f>
        <v>23735</v>
      </c>
      <c r="AR232" s="525">
        <f>+DATA!AD228</f>
        <v>293</v>
      </c>
      <c r="AS232" s="525">
        <f>+DATA!AE228</f>
        <v>0</v>
      </c>
      <c r="AT232" s="525">
        <f>+DATA!AF228</f>
        <v>159.72</v>
      </c>
      <c r="AU232" s="525">
        <f>+DATA!AG228</f>
        <v>153</v>
      </c>
      <c r="AV232" s="525">
        <f>+DATA!AH228</f>
        <v>605.72</v>
      </c>
    </row>
    <row r="233" spans="1:48" x14ac:dyDescent="0.25">
      <c r="A233" s="527">
        <v>10210</v>
      </c>
      <c r="B233" s="527">
        <v>10415</v>
      </c>
      <c r="C233" s="527" t="s">
        <v>258</v>
      </c>
      <c r="D233" s="771">
        <f t="shared" si="56"/>
        <v>2.8901734103999998E-3</v>
      </c>
      <c r="E233" s="771">
        <f t="shared" si="57"/>
        <v>7.2254335259999995E-4</v>
      </c>
      <c r="F233" s="525">
        <f>+DATA!D229</f>
        <v>8186</v>
      </c>
      <c r="G233" s="772">
        <f>+DATA!E229</f>
        <v>0.1243995669858368</v>
      </c>
      <c r="H233" s="525">
        <f t="shared" si="66"/>
        <v>1018</v>
      </c>
      <c r="I233" s="771">
        <f t="shared" si="58"/>
        <v>7.7958677310000001E-4</v>
      </c>
      <c r="J233" s="771">
        <f t="shared" si="59"/>
        <v>7.7958677299999995E-5</v>
      </c>
      <c r="K233" s="525">
        <f>+DATA!G229</f>
        <v>5169</v>
      </c>
      <c r="L233" s="525">
        <f>+DATA!H229</f>
        <v>5700</v>
      </c>
      <c r="M233" s="525">
        <f>+DATA!I229</f>
        <v>54048490529</v>
      </c>
      <c r="N233" s="525">
        <f>+DATA!J229</f>
        <v>70623749676</v>
      </c>
      <c r="O233" s="773">
        <f t="shared" si="67"/>
        <v>0.83307142272578572</v>
      </c>
      <c r="P233" s="774" t="str">
        <f t="shared" si="68"/>
        <v>SI</v>
      </c>
      <c r="Q233" s="771">
        <f t="shared" si="60"/>
        <v>8.5850192000000002E-4</v>
      </c>
      <c r="R233" s="771">
        <f t="shared" si="61"/>
        <v>1.2308292810000001E-3</v>
      </c>
      <c r="S233" s="771">
        <f t="shared" si="62"/>
        <v>3.6924878430000003E-4</v>
      </c>
      <c r="T233" s="525">
        <f>+DATA!K229</f>
        <v>0</v>
      </c>
      <c r="U233" s="525">
        <f>+DATA!L229</f>
        <v>0</v>
      </c>
      <c r="V233" s="525">
        <f>+DATA!M229</f>
        <v>1020152</v>
      </c>
      <c r="W233" s="526">
        <f t="shared" si="63"/>
        <v>1020152</v>
      </c>
      <c r="X233" s="526">
        <f t="shared" si="69"/>
        <v>1020152</v>
      </c>
      <c r="Y233" s="526">
        <f t="shared" si="70"/>
        <v>1020152</v>
      </c>
      <c r="Z233" s="525">
        <f>+DATA!F229</f>
        <v>103471.07552554745</v>
      </c>
      <c r="AA233" s="525">
        <f>IF(P233="SI",ROUND(Z233/DIV_Pf,PARAMETROS!$L$8),0)</f>
        <v>8623</v>
      </c>
      <c r="AB233" s="526">
        <f t="shared" si="71"/>
        <v>16809</v>
      </c>
      <c r="AC233" s="775">
        <f t="shared" si="72"/>
        <v>60.69</v>
      </c>
      <c r="AD233" s="525">
        <f>IF(AC233&lt;$AC$6,ROUND(($AC$6-AC233)*AB233,PARAMETROS!$L$8),0)</f>
        <v>736738</v>
      </c>
      <c r="AE233" s="771">
        <f t="shared" si="64"/>
        <v>7.071358548E-4</v>
      </c>
      <c r="AF233" s="771">
        <f t="shared" si="65"/>
        <v>2.4749754919999999E-4</v>
      </c>
      <c r="AG233" s="771">
        <f t="shared" si="73"/>
        <v>1.4172483634000001E-3</v>
      </c>
      <c r="AH233" s="525">
        <f>+DATA!Q229</f>
        <v>2587226.733</v>
      </c>
      <c r="AI233" s="525">
        <f>+DATA!R229</f>
        <v>215602.22774999999</v>
      </c>
      <c r="AJ233" s="525">
        <f>+DATA!S229</f>
        <v>170326</v>
      </c>
      <c r="AK233" s="525">
        <f>+'_DATA STT PAGOS_'!G231</f>
        <v>0</v>
      </c>
      <c r="AL233" s="525">
        <f>+'_DATA STT PAGOS_'!J231</f>
        <v>3512071.1910000001</v>
      </c>
      <c r="AM233" s="525">
        <f>+DATA!Y229</f>
        <v>5679</v>
      </c>
      <c r="AN233" s="525">
        <f>+DATA!Z229</f>
        <v>3106</v>
      </c>
      <c r="AO233" s="525">
        <f>+DATA!AA229</f>
        <v>5137</v>
      </c>
      <c r="AP233" s="525">
        <f>+DATA!AB229</f>
        <v>3663</v>
      </c>
      <c r="AQ233" s="525">
        <f>+DATA!AC229</f>
        <v>17585</v>
      </c>
      <c r="AR233" s="525">
        <f>+DATA!AD229</f>
        <v>0</v>
      </c>
      <c r="AS233" s="525">
        <f>+DATA!AE229</f>
        <v>0</v>
      </c>
      <c r="AT233" s="525">
        <f>+DATA!AF229</f>
        <v>0</v>
      </c>
      <c r="AU233" s="525">
        <f>+DATA!AG229</f>
        <v>0</v>
      </c>
      <c r="AV233" s="525">
        <f>+DATA!AH229</f>
        <v>0</v>
      </c>
    </row>
    <row r="234" spans="1:48" x14ac:dyDescent="0.25">
      <c r="A234" s="527">
        <v>10301</v>
      </c>
      <c r="B234" s="527">
        <v>10201</v>
      </c>
      <c r="C234" s="527" t="s">
        <v>240</v>
      </c>
      <c r="D234" s="771">
        <f t="shared" si="56"/>
        <v>2.8901734103999998E-3</v>
      </c>
      <c r="E234" s="771">
        <f t="shared" si="57"/>
        <v>7.2254335259999995E-4</v>
      </c>
      <c r="F234" s="525">
        <f>+DATA!D230</f>
        <v>176304</v>
      </c>
      <c r="G234" s="772">
        <f>+DATA!E230</f>
        <v>6.1613408936192021E-2</v>
      </c>
      <c r="H234" s="525">
        <f t="shared" si="66"/>
        <v>10863</v>
      </c>
      <c r="I234" s="771">
        <f t="shared" si="58"/>
        <v>8.3189107227999992E-3</v>
      </c>
      <c r="J234" s="771">
        <f t="shared" si="59"/>
        <v>8.3189107230000005E-4</v>
      </c>
      <c r="K234" s="525">
        <f>+DATA!G230</f>
        <v>49123</v>
      </c>
      <c r="L234" s="525">
        <f>+DATA!H230</f>
        <v>68928</v>
      </c>
      <c r="M234" s="525">
        <f>+DATA!I230</f>
        <v>1853339185975</v>
      </c>
      <c r="N234" s="525">
        <f>+DATA!J230</f>
        <v>4411703380110</v>
      </c>
      <c r="O234" s="773">
        <f t="shared" si="67"/>
        <v>0.54716574890211234</v>
      </c>
      <c r="P234" s="774" t="str">
        <f t="shared" si="68"/>
        <v>SI</v>
      </c>
      <c r="Q234" s="771">
        <f t="shared" si="60"/>
        <v>6.4117583855999999E-3</v>
      </c>
      <c r="R234" s="771">
        <f t="shared" si="61"/>
        <v>9.1925012397999998E-3</v>
      </c>
      <c r="S234" s="771">
        <f t="shared" si="62"/>
        <v>2.7577503719000002E-3</v>
      </c>
      <c r="T234" s="525">
        <f>+DATA!K230</f>
        <v>0</v>
      </c>
      <c r="U234" s="525">
        <f>+DATA!L230</f>
        <v>0</v>
      </c>
      <c r="V234" s="525">
        <f>+DATA!M230</f>
        <v>24577846</v>
      </c>
      <c r="W234" s="526">
        <f t="shared" si="63"/>
        <v>24577846</v>
      </c>
      <c r="X234" s="526">
        <f t="shared" si="69"/>
        <v>24577846</v>
      </c>
      <c r="Y234" s="526">
        <f t="shared" si="70"/>
        <v>24577846</v>
      </c>
      <c r="Z234" s="525">
        <f>+DATA!F230</f>
        <v>1174271.015483204</v>
      </c>
      <c r="AA234" s="525">
        <f>IF(P234="SI",ROUND(Z234/DIV_Pf,PARAMETROS!$L$8),0)</f>
        <v>97856</v>
      </c>
      <c r="AB234" s="526">
        <f t="shared" si="71"/>
        <v>274160</v>
      </c>
      <c r="AC234" s="775">
        <f t="shared" si="72"/>
        <v>89.65</v>
      </c>
      <c r="AD234" s="525">
        <f>IF(AC234&lt;$AC$6,ROUND(($AC$6-AC234)*AB234,PARAMETROS!$L$8),0)</f>
        <v>4076759</v>
      </c>
      <c r="AE234" s="771">
        <f t="shared" si="64"/>
        <v>3.9129547549999998E-3</v>
      </c>
      <c r="AF234" s="771">
        <f t="shared" si="65"/>
        <v>1.3695341643E-3</v>
      </c>
      <c r="AG234" s="771">
        <f t="shared" si="73"/>
        <v>5.6817189611000005E-3</v>
      </c>
      <c r="AH234" s="525">
        <f>+DATA!Q230</f>
        <v>11310399.801000001</v>
      </c>
      <c r="AI234" s="525">
        <f>+DATA!R230</f>
        <v>942533.31675000011</v>
      </c>
      <c r="AJ234" s="525">
        <f>+DATA!S230</f>
        <v>744601</v>
      </c>
      <c r="AK234" s="525">
        <f>+'_DATA STT PAGOS_'!G232</f>
        <v>0</v>
      </c>
      <c r="AL234" s="525">
        <f>+'_DATA STT PAGOS_'!J232</f>
        <v>15346404.337000001</v>
      </c>
      <c r="AM234" s="525">
        <f>+DATA!Y230</f>
        <v>1206336</v>
      </c>
      <c r="AN234" s="525">
        <f>+DATA!Z230</f>
        <v>873607</v>
      </c>
      <c r="AO234" s="525">
        <f>+DATA!AA230</f>
        <v>993929</v>
      </c>
      <c r="AP234" s="525">
        <f>+DATA!AB230</f>
        <v>787718</v>
      </c>
      <c r="AQ234" s="525">
        <f>+DATA!AC230</f>
        <v>3861590</v>
      </c>
      <c r="AR234" s="525">
        <f>+DATA!AD230</f>
        <v>84881</v>
      </c>
      <c r="AS234" s="525">
        <f>+DATA!AE230</f>
        <v>43544</v>
      </c>
      <c r="AT234" s="525">
        <f>+DATA!AF230</f>
        <v>54763.402000000002</v>
      </c>
      <c r="AU234" s="525">
        <f>+DATA!AG230</f>
        <v>38006</v>
      </c>
      <c r="AV234" s="525">
        <f>+DATA!AH230</f>
        <v>221194.402</v>
      </c>
    </row>
    <row r="235" spans="1:48" x14ac:dyDescent="0.25">
      <c r="A235" s="527">
        <v>10302</v>
      </c>
      <c r="B235" s="527">
        <v>10203</v>
      </c>
      <c r="C235" s="527" t="s">
        <v>242</v>
      </c>
      <c r="D235" s="771">
        <f t="shared" si="56"/>
        <v>2.8901734103999998E-3</v>
      </c>
      <c r="E235" s="771">
        <f t="shared" si="57"/>
        <v>7.2254335259999995E-4</v>
      </c>
      <c r="F235" s="525">
        <f>+DATA!D231</f>
        <v>9056</v>
      </c>
      <c r="G235" s="772">
        <f>+DATA!E231</f>
        <v>7.5298670699175604E-2</v>
      </c>
      <c r="H235" s="525">
        <f t="shared" si="66"/>
        <v>682</v>
      </c>
      <c r="I235" s="771">
        <f t="shared" si="58"/>
        <v>5.2227718979999996E-4</v>
      </c>
      <c r="J235" s="771">
        <f t="shared" si="59"/>
        <v>5.2227719E-5</v>
      </c>
      <c r="K235" s="525">
        <f>+DATA!G231</f>
        <v>2531</v>
      </c>
      <c r="L235" s="525">
        <f>+DATA!H231</f>
        <v>5141</v>
      </c>
      <c r="M235" s="525">
        <f>+DATA!I231</f>
        <v>67214919529</v>
      </c>
      <c r="N235" s="525">
        <f>+DATA!J231</f>
        <v>619888746663</v>
      </c>
      <c r="O235" s="773">
        <f t="shared" si="67"/>
        <v>0.23104588393144296</v>
      </c>
      <c r="P235" s="774" t="str">
        <f t="shared" si="68"/>
        <v>NO</v>
      </c>
      <c r="Q235" s="771">
        <f t="shared" si="60"/>
        <v>2.2821266810000001E-4</v>
      </c>
      <c r="R235" s="771">
        <f t="shared" si="61"/>
        <v>3.271871939E-4</v>
      </c>
      <c r="S235" s="771">
        <f t="shared" si="62"/>
        <v>9.8156158200000002E-5</v>
      </c>
      <c r="T235" s="525">
        <f>+DATA!K231</f>
        <v>0</v>
      </c>
      <c r="U235" s="525">
        <f>+DATA!L231</f>
        <v>0</v>
      </c>
      <c r="V235" s="525">
        <f>+DATA!M231</f>
        <v>1560277</v>
      </c>
      <c r="W235" s="526">
        <f t="shared" si="63"/>
        <v>1560277</v>
      </c>
      <c r="X235" s="526">
        <f t="shared" si="69"/>
        <v>1560277</v>
      </c>
      <c r="Y235" s="526">
        <f t="shared" si="70"/>
        <v>1560277</v>
      </c>
      <c r="Z235" s="525">
        <f>+DATA!F231</f>
        <v>295548.40215738106</v>
      </c>
      <c r="AA235" s="525">
        <f>IF(P235="SI",ROUND(Z235/DIV_Pf,PARAMETROS!$L$8),0)</f>
        <v>0</v>
      </c>
      <c r="AB235" s="526">
        <f t="shared" si="71"/>
        <v>9056</v>
      </c>
      <c r="AC235" s="775">
        <f t="shared" si="72"/>
        <v>172.29</v>
      </c>
      <c r="AD235" s="525">
        <f>IF(AC235&lt;$AC$6,ROUND(($AC$6-AC235)*AB235,PARAMETROS!$L$8),0)</f>
        <v>0</v>
      </c>
      <c r="AE235" s="771">
        <f t="shared" si="64"/>
        <v>0</v>
      </c>
      <c r="AF235" s="771">
        <f t="shared" si="65"/>
        <v>0</v>
      </c>
      <c r="AG235" s="771">
        <f t="shared" si="73"/>
        <v>8.7292722980000001E-4</v>
      </c>
      <c r="AH235" s="525">
        <f>+DATA!Q231</f>
        <v>1668396.7220000001</v>
      </c>
      <c r="AI235" s="525">
        <f>+DATA!R231</f>
        <v>139033.06016666666</v>
      </c>
      <c r="AJ235" s="525">
        <f>+DATA!S231</f>
        <v>109836</v>
      </c>
      <c r="AK235" s="525">
        <f>+'_DATA STT PAGOS_'!G233</f>
        <v>0</v>
      </c>
      <c r="AL235" s="525">
        <f>+'_DATA STT PAGOS_'!J233</f>
        <v>2263480.5160000003</v>
      </c>
      <c r="AM235" s="525">
        <f>+DATA!Y231</f>
        <v>141992</v>
      </c>
      <c r="AN235" s="525">
        <f>+DATA!Z231</f>
        <v>99143</v>
      </c>
      <c r="AO235" s="525">
        <f>+DATA!AA231</f>
        <v>101409</v>
      </c>
      <c r="AP235" s="525">
        <f>+DATA!AB231</f>
        <v>97406</v>
      </c>
      <c r="AQ235" s="525">
        <f>+DATA!AC231</f>
        <v>439950</v>
      </c>
      <c r="AR235" s="525">
        <f>+DATA!AD231</f>
        <v>788</v>
      </c>
      <c r="AS235" s="525">
        <f>+DATA!AE231</f>
        <v>248</v>
      </c>
      <c r="AT235" s="525">
        <f>+DATA!AF231</f>
        <v>741.79399999999998</v>
      </c>
      <c r="AU235" s="525">
        <f>+DATA!AG231</f>
        <v>312</v>
      </c>
      <c r="AV235" s="525">
        <f>+DATA!AH231</f>
        <v>2089.7939999999999</v>
      </c>
    </row>
    <row r="236" spans="1:48" x14ac:dyDescent="0.25">
      <c r="A236" s="527">
        <v>10303</v>
      </c>
      <c r="B236" s="527">
        <v>10206</v>
      </c>
      <c r="C236" s="527" t="s">
        <v>244</v>
      </c>
      <c r="D236" s="771">
        <f t="shared" si="56"/>
        <v>2.8901734103999998E-3</v>
      </c>
      <c r="E236" s="771">
        <f t="shared" si="57"/>
        <v>7.2254335259999995E-4</v>
      </c>
      <c r="F236" s="525">
        <f>+DATA!D232</f>
        <v>20968</v>
      </c>
      <c r="G236" s="772">
        <f>+DATA!E232</f>
        <v>8.5892131487739512E-2</v>
      </c>
      <c r="H236" s="525">
        <f t="shared" si="66"/>
        <v>1801</v>
      </c>
      <c r="I236" s="771">
        <f t="shared" si="58"/>
        <v>1.3792099982999999E-3</v>
      </c>
      <c r="J236" s="771">
        <f t="shared" si="59"/>
        <v>1.3792099980000001E-4</v>
      </c>
      <c r="K236" s="525">
        <f>+DATA!G232</f>
        <v>6631</v>
      </c>
      <c r="L236" s="525">
        <f>+DATA!H232</f>
        <v>9156</v>
      </c>
      <c r="M236" s="525">
        <f>+DATA!I232</f>
        <v>204418358784</v>
      </c>
      <c r="N236" s="525">
        <f>+DATA!J232</f>
        <v>744228897665</v>
      </c>
      <c r="O236" s="773">
        <f t="shared" si="67"/>
        <v>0.44600867495706648</v>
      </c>
      <c r="P236" s="774" t="str">
        <f t="shared" si="68"/>
        <v>NO</v>
      </c>
      <c r="Q236" s="771">
        <f t="shared" si="60"/>
        <v>8.7953947080000004E-4</v>
      </c>
      <c r="R236" s="771">
        <f t="shared" si="61"/>
        <v>1.2609906970000001E-3</v>
      </c>
      <c r="S236" s="771">
        <f t="shared" si="62"/>
        <v>3.782972091E-4</v>
      </c>
      <c r="T236" s="525">
        <f>+DATA!K232</f>
        <v>0</v>
      </c>
      <c r="U236" s="525">
        <f>+DATA!L232</f>
        <v>0</v>
      </c>
      <c r="V236" s="525">
        <f>+DATA!M232</f>
        <v>2511572</v>
      </c>
      <c r="W236" s="526">
        <f t="shared" si="63"/>
        <v>2511572</v>
      </c>
      <c r="X236" s="526">
        <f t="shared" si="69"/>
        <v>2511572</v>
      </c>
      <c r="Y236" s="526">
        <f t="shared" si="70"/>
        <v>2511572</v>
      </c>
      <c r="Z236" s="525">
        <f>+DATA!F232</f>
        <v>167522.35792195422</v>
      </c>
      <c r="AA236" s="525">
        <f>IF(P236="SI",ROUND(Z236/DIV_Pf,PARAMETROS!$L$8),0)</f>
        <v>0</v>
      </c>
      <c r="AB236" s="526">
        <f t="shared" si="71"/>
        <v>20968</v>
      </c>
      <c r="AC236" s="775">
        <f t="shared" si="72"/>
        <v>119.78</v>
      </c>
      <c r="AD236" s="525">
        <f>IF(AC236&lt;$AC$6,ROUND(($AC$6-AC236)*AB236,PARAMETROS!$L$8),0)</f>
        <v>0</v>
      </c>
      <c r="AE236" s="771">
        <f t="shared" si="64"/>
        <v>0</v>
      </c>
      <c r="AF236" s="771">
        <f t="shared" si="65"/>
        <v>0</v>
      </c>
      <c r="AG236" s="771">
        <f t="shared" si="73"/>
        <v>1.2387615614999998E-3</v>
      </c>
      <c r="AH236" s="525">
        <f>+DATA!Q232</f>
        <v>2941156.5809999998</v>
      </c>
      <c r="AI236" s="525">
        <f>+DATA!R232</f>
        <v>245096.38174999997</v>
      </c>
      <c r="AJ236" s="525">
        <f>+DATA!S232</f>
        <v>193626</v>
      </c>
      <c r="AK236" s="525">
        <f>+'_DATA STT PAGOS_'!G234</f>
        <v>0</v>
      </c>
      <c r="AL236" s="525">
        <f>+'_DATA STT PAGOS_'!J234</f>
        <v>3992394.8419999997</v>
      </c>
      <c r="AM236" s="525">
        <f>+DATA!Y232</f>
        <v>126886</v>
      </c>
      <c r="AN236" s="525">
        <f>+DATA!Z232</f>
        <v>86325</v>
      </c>
      <c r="AO236" s="525">
        <f>+DATA!AA232</f>
        <v>100420</v>
      </c>
      <c r="AP236" s="525">
        <f>+DATA!AB232</f>
        <v>76286</v>
      </c>
      <c r="AQ236" s="525">
        <f>+DATA!AC232</f>
        <v>389917</v>
      </c>
      <c r="AR236" s="525">
        <f>+DATA!AD232</f>
        <v>1610</v>
      </c>
      <c r="AS236" s="525">
        <f>+DATA!AE232</f>
        <v>1510</v>
      </c>
      <c r="AT236" s="525">
        <f>+DATA!AF232</f>
        <v>1161.509</v>
      </c>
      <c r="AU236" s="525">
        <f>+DATA!AG232</f>
        <v>904</v>
      </c>
      <c r="AV236" s="525">
        <f>+DATA!AH232</f>
        <v>5185.509</v>
      </c>
    </row>
    <row r="237" spans="1:48" x14ac:dyDescent="0.25">
      <c r="A237" s="527">
        <v>10304</v>
      </c>
      <c r="B237" s="527">
        <v>10204</v>
      </c>
      <c r="C237" s="527" t="s">
        <v>243</v>
      </c>
      <c r="D237" s="771">
        <f t="shared" si="56"/>
        <v>2.8901734103999998E-3</v>
      </c>
      <c r="E237" s="771">
        <f t="shared" si="57"/>
        <v>7.2254335259999995E-4</v>
      </c>
      <c r="F237" s="525">
        <f>+DATA!D233</f>
        <v>11818</v>
      </c>
      <c r="G237" s="772">
        <f>+DATA!E233</f>
        <v>9.5661433936762366E-2</v>
      </c>
      <c r="H237" s="525">
        <f t="shared" si="66"/>
        <v>1131</v>
      </c>
      <c r="I237" s="771">
        <f t="shared" si="58"/>
        <v>8.6612243649999998E-4</v>
      </c>
      <c r="J237" s="771">
        <f t="shared" si="59"/>
        <v>8.6612243700000003E-5</v>
      </c>
      <c r="K237" s="525">
        <f>+DATA!G233</f>
        <v>4309</v>
      </c>
      <c r="L237" s="525">
        <f>+DATA!H233</f>
        <v>7883</v>
      </c>
      <c r="M237" s="525">
        <f>+DATA!I233</f>
        <v>134728000871</v>
      </c>
      <c r="N237" s="525">
        <f>+DATA!J233</f>
        <v>575854633376</v>
      </c>
      <c r="O237" s="773">
        <f t="shared" si="67"/>
        <v>0.3576143882014815</v>
      </c>
      <c r="P237" s="774" t="str">
        <f t="shared" si="68"/>
        <v>NO</v>
      </c>
      <c r="Q237" s="771">
        <f t="shared" si="60"/>
        <v>4.3138448729999998E-4</v>
      </c>
      <c r="R237" s="771">
        <f t="shared" si="61"/>
        <v>6.1847346640000003E-4</v>
      </c>
      <c r="S237" s="771">
        <f t="shared" si="62"/>
        <v>1.8554203989999999E-4</v>
      </c>
      <c r="T237" s="525">
        <f>+DATA!K233</f>
        <v>0</v>
      </c>
      <c r="U237" s="525">
        <f>+DATA!L233</f>
        <v>0</v>
      </c>
      <c r="V237" s="525">
        <f>+DATA!M233</f>
        <v>1840300</v>
      </c>
      <c r="W237" s="526">
        <f t="shared" si="63"/>
        <v>1840300</v>
      </c>
      <c r="X237" s="526">
        <f t="shared" si="69"/>
        <v>1840300</v>
      </c>
      <c r="Y237" s="526">
        <f t="shared" si="70"/>
        <v>1840300</v>
      </c>
      <c r="Z237" s="525">
        <f>+DATA!F233</f>
        <v>636321.46505130641</v>
      </c>
      <c r="AA237" s="525">
        <f>IF(P237="SI",ROUND(Z237/DIV_Pf,PARAMETROS!$L$8),0)</f>
        <v>0</v>
      </c>
      <c r="AB237" s="526">
        <f t="shared" si="71"/>
        <v>11818</v>
      </c>
      <c r="AC237" s="775">
        <f t="shared" si="72"/>
        <v>155.72</v>
      </c>
      <c r="AD237" s="525">
        <f>IF(AC237&lt;$AC$6,ROUND(($AC$6-AC237)*AB237,PARAMETROS!$L$8),0)</f>
        <v>0</v>
      </c>
      <c r="AE237" s="771">
        <f t="shared" si="64"/>
        <v>0</v>
      </c>
      <c r="AF237" s="771">
        <f t="shared" si="65"/>
        <v>0</v>
      </c>
      <c r="AG237" s="771">
        <f t="shared" si="73"/>
        <v>9.9469763619999992E-4</v>
      </c>
      <c r="AH237" s="525">
        <f>+DATA!Q233</f>
        <v>1864817.4550000001</v>
      </c>
      <c r="AI237" s="525">
        <f>+DATA!R233</f>
        <v>155401.45458333334</v>
      </c>
      <c r="AJ237" s="525">
        <f>+DATA!S233</f>
        <v>122767</v>
      </c>
      <c r="AK237" s="525">
        <f>+'_DATA STT PAGOS_'!G235</f>
        <v>0</v>
      </c>
      <c r="AL237" s="525">
        <f>+'_DATA STT PAGOS_'!J235</f>
        <v>2530779.0590000004</v>
      </c>
      <c r="AM237" s="525">
        <f>+DATA!Y233</f>
        <v>149552</v>
      </c>
      <c r="AN237" s="525">
        <f>+DATA!Z233</f>
        <v>93218</v>
      </c>
      <c r="AO237" s="525">
        <f>+DATA!AA233</f>
        <v>99958</v>
      </c>
      <c r="AP237" s="525">
        <f>+DATA!AB233</f>
        <v>95390</v>
      </c>
      <c r="AQ237" s="525">
        <f>+DATA!AC233</f>
        <v>438118</v>
      </c>
      <c r="AR237" s="525">
        <f>+DATA!AD233</f>
        <v>175</v>
      </c>
      <c r="AS237" s="525">
        <f>+DATA!AE233</f>
        <v>147</v>
      </c>
      <c r="AT237" s="525">
        <f>+DATA!AF233</f>
        <v>123.85599999999999</v>
      </c>
      <c r="AU237" s="525">
        <f>+DATA!AG233</f>
        <v>126</v>
      </c>
      <c r="AV237" s="525">
        <f>+DATA!AH233</f>
        <v>571.85599999999999</v>
      </c>
    </row>
    <row r="238" spans="1:48" x14ac:dyDescent="0.25">
      <c r="A238" s="527">
        <v>10305</v>
      </c>
      <c r="B238" s="527">
        <v>10205</v>
      </c>
      <c r="C238" s="527" t="s">
        <v>420</v>
      </c>
      <c r="D238" s="771">
        <f t="shared" si="56"/>
        <v>2.8901734103999998E-3</v>
      </c>
      <c r="E238" s="771">
        <f t="shared" si="57"/>
        <v>7.2254335259999995E-4</v>
      </c>
      <c r="F238" s="525">
        <f>+DATA!D234</f>
        <v>14085</v>
      </c>
      <c r="G238" s="772">
        <f>+DATA!E234</f>
        <v>8.3098113434137283E-2</v>
      </c>
      <c r="H238" s="525">
        <f t="shared" si="66"/>
        <v>1170</v>
      </c>
      <c r="I238" s="771">
        <f t="shared" si="58"/>
        <v>8.9598872739999995E-4</v>
      </c>
      <c r="J238" s="771">
        <f t="shared" si="59"/>
        <v>8.9598872699999998E-5</v>
      </c>
      <c r="K238" s="525">
        <f>+DATA!G234</f>
        <v>5211</v>
      </c>
      <c r="L238" s="525">
        <f>+DATA!H234</f>
        <v>7690</v>
      </c>
      <c r="M238" s="525">
        <f>+DATA!I234</f>
        <v>141078335889</v>
      </c>
      <c r="N238" s="525">
        <f>+DATA!J234</f>
        <v>547767602174</v>
      </c>
      <c r="O238" s="773">
        <f t="shared" si="67"/>
        <v>0.41776240983090962</v>
      </c>
      <c r="P238" s="774" t="str">
        <f t="shared" si="68"/>
        <v>NO</v>
      </c>
      <c r="Q238" s="771">
        <f t="shared" si="60"/>
        <v>6.4672383719999995E-4</v>
      </c>
      <c r="R238" s="771">
        <f t="shared" si="61"/>
        <v>9.2720425780000004E-4</v>
      </c>
      <c r="S238" s="771">
        <f t="shared" si="62"/>
        <v>2.7816127729999999E-4</v>
      </c>
      <c r="T238" s="525">
        <f>+DATA!K234</f>
        <v>0</v>
      </c>
      <c r="U238" s="525">
        <f>+DATA!L234</f>
        <v>0</v>
      </c>
      <c r="V238" s="525">
        <f>+DATA!M234</f>
        <v>1366004</v>
      </c>
      <c r="W238" s="526">
        <f t="shared" si="63"/>
        <v>1366004</v>
      </c>
      <c r="X238" s="526">
        <f t="shared" si="69"/>
        <v>1366004</v>
      </c>
      <c r="Y238" s="526">
        <f t="shared" si="70"/>
        <v>1366004</v>
      </c>
      <c r="Z238" s="525">
        <f>+DATA!F234</f>
        <v>169408.34885135893</v>
      </c>
      <c r="AA238" s="525">
        <f>IF(P238="SI",ROUND(Z238/DIV_Pf,PARAMETROS!$L$8),0)</f>
        <v>0</v>
      </c>
      <c r="AB238" s="526">
        <f t="shared" si="71"/>
        <v>14085</v>
      </c>
      <c r="AC238" s="775">
        <f t="shared" si="72"/>
        <v>96.98</v>
      </c>
      <c r="AD238" s="525">
        <f>IF(AC238&lt;$AC$6,ROUND(($AC$6-AC238)*AB238,PARAMETROS!$L$8),0)</f>
        <v>106201</v>
      </c>
      <c r="AE238" s="771">
        <f t="shared" si="64"/>
        <v>1.01933842E-4</v>
      </c>
      <c r="AF238" s="771">
        <f t="shared" si="65"/>
        <v>3.5676844699999999E-5</v>
      </c>
      <c r="AG238" s="771">
        <f t="shared" si="73"/>
        <v>1.1259803472999999E-3</v>
      </c>
      <c r="AH238" s="525">
        <f>+DATA!Q234</f>
        <v>2346891.36</v>
      </c>
      <c r="AI238" s="525">
        <f>+DATA!R234</f>
        <v>195574.28</v>
      </c>
      <c r="AJ238" s="525">
        <f>+DATA!S234</f>
        <v>154504</v>
      </c>
      <c r="AK238" s="525">
        <f>+'_DATA STT PAGOS_'!G236</f>
        <v>0</v>
      </c>
      <c r="AL238" s="525">
        <f>+'_DATA STT PAGOS_'!J236</f>
        <v>3184785.469</v>
      </c>
      <c r="AM238" s="525">
        <f>+DATA!Y234</f>
        <v>89227</v>
      </c>
      <c r="AN238" s="525">
        <f>+DATA!Z234</f>
        <v>68151</v>
      </c>
      <c r="AO238" s="525">
        <f>+DATA!AA234</f>
        <v>75294</v>
      </c>
      <c r="AP238" s="525">
        <f>+DATA!AB234</f>
        <v>64753</v>
      </c>
      <c r="AQ238" s="525">
        <f>+DATA!AC234</f>
        <v>297425</v>
      </c>
      <c r="AR238" s="525">
        <f>+DATA!AD234</f>
        <v>289</v>
      </c>
      <c r="AS238" s="525">
        <f>+DATA!AE234</f>
        <v>194</v>
      </c>
      <c r="AT238" s="525">
        <f>+DATA!AF234</f>
        <v>172.726</v>
      </c>
      <c r="AU238" s="525">
        <f>+DATA!AG234</f>
        <v>168</v>
      </c>
      <c r="AV238" s="525">
        <f>+DATA!AH234</f>
        <v>823.726</v>
      </c>
    </row>
    <row r="239" spans="1:48" x14ac:dyDescent="0.25">
      <c r="A239" s="527">
        <v>10306</v>
      </c>
      <c r="B239" s="527">
        <v>10207</v>
      </c>
      <c r="C239" s="527" t="s">
        <v>245</v>
      </c>
      <c r="D239" s="771">
        <f t="shared" si="56"/>
        <v>2.8901734103999998E-3</v>
      </c>
      <c r="E239" s="771">
        <f t="shared" si="57"/>
        <v>7.2254335259999995E-4</v>
      </c>
      <c r="F239" s="525">
        <f>+DATA!D235</f>
        <v>7424</v>
      </c>
      <c r="G239" s="772">
        <f>+DATA!E235</f>
        <v>0.1285194389222041</v>
      </c>
      <c r="H239" s="525">
        <f t="shared" si="66"/>
        <v>954</v>
      </c>
      <c r="I239" s="771">
        <f t="shared" si="58"/>
        <v>7.3057542389999997E-4</v>
      </c>
      <c r="J239" s="771">
        <f t="shared" si="59"/>
        <v>7.3057542399999998E-5</v>
      </c>
      <c r="K239" s="525">
        <f>+DATA!G235</f>
        <v>5208</v>
      </c>
      <c r="L239" s="525">
        <f>+DATA!H235</f>
        <v>6118</v>
      </c>
      <c r="M239" s="525">
        <f>+DATA!I235</f>
        <v>173533542172</v>
      </c>
      <c r="N239" s="525">
        <f>+DATA!J235</f>
        <v>304001296712</v>
      </c>
      <c r="O239" s="773">
        <f t="shared" si="67"/>
        <v>0.69708341360957826</v>
      </c>
      <c r="P239" s="774" t="str">
        <f t="shared" si="68"/>
        <v>SI</v>
      </c>
      <c r="Q239" s="771">
        <f t="shared" si="60"/>
        <v>8.1196169320000005E-4</v>
      </c>
      <c r="R239" s="771">
        <f t="shared" si="61"/>
        <v>1.1641048246999999E-3</v>
      </c>
      <c r="S239" s="771">
        <f t="shared" si="62"/>
        <v>3.492314474E-4</v>
      </c>
      <c r="T239" s="525">
        <f>+DATA!K235</f>
        <v>0</v>
      </c>
      <c r="U239" s="525">
        <f>+DATA!L235</f>
        <v>0</v>
      </c>
      <c r="V239" s="525">
        <f>+DATA!M235</f>
        <v>432192</v>
      </c>
      <c r="W239" s="526">
        <f t="shared" si="63"/>
        <v>432192</v>
      </c>
      <c r="X239" s="526">
        <f t="shared" si="69"/>
        <v>432192</v>
      </c>
      <c r="Y239" s="526">
        <f t="shared" si="70"/>
        <v>432192</v>
      </c>
      <c r="Z239" s="525">
        <f>+DATA!F235</f>
        <v>554487.88214155857</v>
      </c>
      <c r="AA239" s="525">
        <f>IF(P239="SI",ROUND(Z239/DIV_Pf,PARAMETROS!$L$8),0)</f>
        <v>46207</v>
      </c>
      <c r="AB239" s="526">
        <f t="shared" si="71"/>
        <v>53631</v>
      </c>
      <c r="AC239" s="775">
        <f t="shared" si="72"/>
        <v>8.06</v>
      </c>
      <c r="AD239" s="525">
        <f>IF(AC239&lt;$AC$6,ROUND(($AC$6-AC239)*AB239,PARAMETROS!$L$8),0)</f>
        <v>5173246</v>
      </c>
      <c r="AE239" s="771">
        <f t="shared" si="64"/>
        <v>4.9653848890000001E-3</v>
      </c>
      <c r="AF239" s="771">
        <f t="shared" si="65"/>
        <v>1.7378847112E-3</v>
      </c>
      <c r="AG239" s="771">
        <f t="shared" si="73"/>
        <v>2.8827170536000002E-3</v>
      </c>
      <c r="AH239" s="525">
        <f>+DATA!Q235</f>
        <v>4069194.2820000001</v>
      </c>
      <c r="AI239" s="525">
        <f>+DATA!R235</f>
        <v>339099.52350000001</v>
      </c>
      <c r="AJ239" s="525">
        <f>+DATA!S235</f>
        <v>267889</v>
      </c>
      <c r="AK239" s="525">
        <f>+'_DATA STT PAGOS_'!G237</f>
        <v>0</v>
      </c>
      <c r="AL239" s="525">
        <f>+'_DATA STT PAGOS_'!J237</f>
        <v>5519336.4130000006</v>
      </c>
      <c r="AM239" s="525">
        <f>+DATA!Y235</f>
        <v>12965</v>
      </c>
      <c r="AN239" s="525">
        <f>+DATA!Z235</f>
        <v>10973</v>
      </c>
      <c r="AO239" s="525">
        <f>+DATA!AA235</f>
        <v>13749</v>
      </c>
      <c r="AP239" s="525">
        <f>+DATA!AB235</f>
        <v>10704</v>
      </c>
      <c r="AQ239" s="525">
        <f>+DATA!AC235</f>
        <v>48391</v>
      </c>
      <c r="AR239" s="525">
        <f>+DATA!AD235</f>
        <v>314</v>
      </c>
      <c r="AS239" s="525">
        <f>+DATA!AE235</f>
        <v>258</v>
      </c>
      <c r="AT239" s="525">
        <f>+DATA!AF235</f>
        <v>157.07300000000001</v>
      </c>
      <c r="AU239" s="525">
        <f>+DATA!AG235</f>
        <v>82</v>
      </c>
      <c r="AV239" s="525">
        <f>+DATA!AH235</f>
        <v>811.07299999999998</v>
      </c>
    </row>
    <row r="240" spans="1:48" x14ac:dyDescent="0.25">
      <c r="A240" s="527">
        <v>10307</v>
      </c>
      <c r="B240" s="527">
        <v>10202</v>
      </c>
      <c r="C240" s="527" t="s">
        <v>241</v>
      </c>
      <c r="D240" s="771">
        <f t="shared" si="56"/>
        <v>2.8901734103999998E-3</v>
      </c>
      <c r="E240" s="771">
        <f t="shared" si="57"/>
        <v>7.2254335259999995E-4</v>
      </c>
      <c r="F240" s="525">
        <f>+DATA!D236</f>
        <v>10537</v>
      </c>
      <c r="G240" s="772">
        <f>+DATA!E236</f>
        <v>9.8250333020331621E-2</v>
      </c>
      <c r="H240" s="525">
        <f t="shared" si="66"/>
        <v>1035</v>
      </c>
      <c r="I240" s="771">
        <f t="shared" si="58"/>
        <v>7.9260541269999998E-4</v>
      </c>
      <c r="J240" s="771">
        <f t="shared" si="59"/>
        <v>7.9260541300000005E-5</v>
      </c>
      <c r="K240" s="525">
        <f>+DATA!G236</f>
        <v>4664</v>
      </c>
      <c r="L240" s="525">
        <f>+DATA!H236</f>
        <v>6251</v>
      </c>
      <c r="M240" s="525">
        <f>+DATA!I236</f>
        <v>91304862893</v>
      </c>
      <c r="N240" s="525">
        <f>+DATA!J236</f>
        <v>370368869158</v>
      </c>
      <c r="O240" s="773">
        <f t="shared" si="67"/>
        <v>0.42887846317763989</v>
      </c>
      <c r="P240" s="774" t="str">
        <f t="shared" si="68"/>
        <v>NO</v>
      </c>
      <c r="Q240" s="771">
        <f t="shared" si="60"/>
        <v>6.3733922320000005E-4</v>
      </c>
      <c r="R240" s="771">
        <f t="shared" si="61"/>
        <v>9.1374959049999997E-4</v>
      </c>
      <c r="S240" s="771">
        <f t="shared" si="62"/>
        <v>2.7412487720000002E-4</v>
      </c>
      <c r="T240" s="525">
        <f>+DATA!K236</f>
        <v>0</v>
      </c>
      <c r="U240" s="525">
        <f>+DATA!L236</f>
        <v>0</v>
      </c>
      <c r="V240" s="525">
        <f>+DATA!M236</f>
        <v>1188153</v>
      </c>
      <c r="W240" s="526">
        <f t="shared" si="63"/>
        <v>1188153</v>
      </c>
      <c r="X240" s="526">
        <f t="shared" si="69"/>
        <v>1188153</v>
      </c>
      <c r="Y240" s="526">
        <f t="shared" si="70"/>
        <v>1188153</v>
      </c>
      <c r="Z240" s="525">
        <f>+DATA!F236</f>
        <v>127834.79805629986</v>
      </c>
      <c r="AA240" s="525">
        <f>IF(P240="SI",ROUND(Z240/DIV_Pf,PARAMETROS!$L$8),0)</f>
        <v>0</v>
      </c>
      <c r="AB240" s="526">
        <f t="shared" si="71"/>
        <v>10537</v>
      </c>
      <c r="AC240" s="775">
        <f t="shared" si="72"/>
        <v>112.76</v>
      </c>
      <c r="AD240" s="525">
        <f>IF(AC240&lt;$AC$6,ROUND(($AC$6-AC240)*AB240,PARAMETROS!$L$8),0)</f>
        <v>0</v>
      </c>
      <c r="AE240" s="771">
        <f t="shared" si="64"/>
        <v>0</v>
      </c>
      <c r="AF240" s="771">
        <f t="shared" si="65"/>
        <v>0</v>
      </c>
      <c r="AG240" s="771">
        <f t="shared" si="73"/>
        <v>1.0759287710999999E-3</v>
      </c>
      <c r="AH240" s="525">
        <f>+DATA!Q236</f>
        <v>2031945.469</v>
      </c>
      <c r="AI240" s="525">
        <f>+DATA!R236</f>
        <v>169328.78908333334</v>
      </c>
      <c r="AJ240" s="525">
        <f>+DATA!S236</f>
        <v>133770</v>
      </c>
      <c r="AK240" s="525">
        <f>+'_DATA STT PAGOS_'!G238</f>
        <v>0</v>
      </c>
      <c r="AL240" s="525">
        <f>+'_DATA STT PAGOS_'!J238</f>
        <v>2758470.943</v>
      </c>
      <c r="AM240" s="525">
        <f>+DATA!Y236</f>
        <v>77450</v>
      </c>
      <c r="AN240" s="525">
        <f>+DATA!Z236</f>
        <v>38179</v>
      </c>
      <c r="AO240" s="525">
        <f>+DATA!AA236</f>
        <v>45616</v>
      </c>
      <c r="AP240" s="525">
        <f>+DATA!AB236</f>
        <v>45322</v>
      </c>
      <c r="AQ240" s="525">
        <f>+DATA!AC236</f>
        <v>206567</v>
      </c>
      <c r="AR240" s="525">
        <f>+DATA!AD236</f>
        <v>219</v>
      </c>
      <c r="AS240" s="525">
        <f>+DATA!AE236</f>
        <v>117</v>
      </c>
      <c r="AT240" s="525">
        <f>+DATA!AF236</f>
        <v>219.24100000000001</v>
      </c>
      <c r="AU240" s="525">
        <f>+DATA!AG236</f>
        <v>175</v>
      </c>
      <c r="AV240" s="525">
        <f>+DATA!AH236</f>
        <v>730.24099999999999</v>
      </c>
    </row>
    <row r="241" spans="1:48" x14ac:dyDescent="0.25">
      <c r="A241" s="527">
        <v>10401</v>
      </c>
      <c r="B241" s="527">
        <v>10501</v>
      </c>
      <c r="C241" s="527" t="s">
        <v>421</v>
      </c>
      <c r="D241" s="771">
        <f t="shared" si="56"/>
        <v>2.8901734103999998E-3</v>
      </c>
      <c r="E241" s="771">
        <f t="shared" si="57"/>
        <v>7.2254335259999995E-4</v>
      </c>
      <c r="F241" s="525">
        <f>+DATA!D237</f>
        <v>5078</v>
      </c>
      <c r="G241" s="772">
        <f>+DATA!E237</f>
        <v>8.9509867127189183E-2</v>
      </c>
      <c r="H241" s="525">
        <f t="shared" si="66"/>
        <v>455</v>
      </c>
      <c r="I241" s="771">
        <f t="shared" si="58"/>
        <v>3.4844006069999998E-4</v>
      </c>
      <c r="J241" s="771">
        <f t="shared" si="59"/>
        <v>3.4844006100000002E-5</v>
      </c>
      <c r="K241" s="525">
        <f>+DATA!G237</f>
        <v>3844</v>
      </c>
      <c r="L241" s="525">
        <f>+DATA!H237</f>
        <v>5102</v>
      </c>
      <c r="M241" s="525">
        <f>+DATA!I237</f>
        <v>107786876194</v>
      </c>
      <c r="N241" s="525">
        <f>+DATA!J237</f>
        <v>200523787114</v>
      </c>
      <c r="O241" s="773">
        <f t="shared" si="67"/>
        <v>0.63638722969180683</v>
      </c>
      <c r="P241" s="774" t="str">
        <f t="shared" si="68"/>
        <v>SI</v>
      </c>
      <c r="Q241" s="771">
        <f t="shared" si="60"/>
        <v>5.3043157179999997E-4</v>
      </c>
      <c r="R241" s="771">
        <f t="shared" si="61"/>
        <v>7.6047670360000004E-4</v>
      </c>
      <c r="S241" s="771">
        <f t="shared" si="62"/>
        <v>2.281430111E-4</v>
      </c>
      <c r="T241" s="525">
        <f>+DATA!K237</f>
        <v>0</v>
      </c>
      <c r="U241" s="525">
        <f>+DATA!L237</f>
        <v>0</v>
      </c>
      <c r="V241" s="525">
        <f>+DATA!M237</f>
        <v>1295486</v>
      </c>
      <c r="W241" s="526">
        <f t="shared" si="63"/>
        <v>1295486</v>
      </c>
      <c r="X241" s="526">
        <f t="shared" si="69"/>
        <v>1295486</v>
      </c>
      <c r="Y241" s="526">
        <f t="shared" si="70"/>
        <v>1295486</v>
      </c>
      <c r="Z241" s="525">
        <f>+DATA!F237</f>
        <v>165293.33860119671</v>
      </c>
      <c r="AA241" s="525">
        <f>IF(P241="SI",ROUND(Z241/DIV_Pf,PARAMETROS!$L$8),0)</f>
        <v>13774</v>
      </c>
      <c r="AB241" s="526">
        <f t="shared" si="71"/>
        <v>18852</v>
      </c>
      <c r="AC241" s="775">
        <f t="shared" si="72"/>
        <v>68.72</v>
      </c>
      <c r="AD241" s="525">
        <f>IF(AC241&lt;$AC$6,ROUND(($AC$6-AC241)*AB241,PARAMETROS!$L$8),0)</f>
        <v>674902</v>
      </c>
      <c r="AE241" s="771">
        <f t="shared" si="64"/>
        <v>6.4778442629999996E-4</v>
      </c>
      <c r="AF241" s="771">
        <f t="shared" si="65"/>
        <v>2.2672454919999999E-4</v>
      </c>
      <c r="AG241" s="771">
        <f t="shared" si="73"/>
        <v>1.2122549189999999E-3</v>
      </c>
      <c r="AH241" s="525">
        <f>+DATA!Q237</f>
        <v>2219163.5019999999</v>
      </c>
      <c r="AI241" s="525">
        <f>+DATA!R237</f>
        <v>184930.29183333332</v>
      </c>
      <c r="AJ241" s="525">
        <f>+DATA!S237</f>
        <v>146095</v>
      </c>
      <c r="AK241" s="525">
        <f>+'_DATA STT PAGOS_'!G239</f>
        <v>0</v>
      </c>
      <c r="AL241" s="525">
        <f>+'_DATA STT PAGOS_'!J239</f>
        <v>3011596.4839999997</v>
      </c>
      <c r="AM241" s="525">
        <f>+DATA!Y237</f>
        <v>12858</v>
      </c>
      <c r="AN241" s="525">
        <f>+DATA!Z237</f>
        <v>10248</v>
      </c>
      <c r="AO241" s="525">
        <f>+DATA!AA237</f>
        <v>11263</v>
      </c>
      <c r="AP241" s="525">
        <f>+DATA!AB237</f>
        <v>8248</v>
      </c>
      <c r="AQ241" s="525">
        <f>+DATA!AC237</f>
        <v>42617</v>
      </c>
      <c r="AR241" s="525">
        <f>+DATA!AD237</f>
        <v>210</v>
      </c>
      <c r="AS241" s="525">
        <f>+DATA!AE237</f>
        <v>152</v>
      </c>
      <c r="AT241" s="525">
        <f>+DATA!AF237</f>
        <v>175.86099999999999</v>
      </c>
      <c r="AU241" s="525">
        <f>+DATA!AG237</f>
        <v>65</v>
      </c>
      <c r="AV241" s="525">
        <f>+DATA!AH237</f>
        <v>602.86099999999999</v>
      </c>
    </row>
    <row r="242" spans="1:48" x14ac:dyDescent="0.25">
      <c r="A242" s="527">
        <v>10402</v>
      </c>
      <c r="B242" s="527">
        <v>10503</v>
      </c>
      <c r="C242" s="527" t="s">
        <v>422</v>
      </c>
      <c r="D242" s="771">
        <f t="shared" si="56"/>
        <v>2.8901734103999998E-3</v>
      </c>
      <c r="E242" s="771">
        <f t="shared" si="57"/>
        <v>7.2254335259999995E-4</v>
      </c>
      <c r="F242" s="525">
        <f>+DATA!D238</f>
        <v>2912</v>
      </c>
      <c r="G242" s="772">
        <f>+DATA!E238</f>
        <v>5.5990404191005219E-2</v>
      </c>
      <c r="H242" s="525">
        <f t="shared" si="66"/>
        <v>163</v>
      </c>
      <c r="I242" s="771">
        <f t="shared" si="58"/>
        <v>1.2482578000000001E-4</v>
      </c>
      <c r="J242" s="771">
        <f t="shared" si="59"/>
        <v>1.2482578E-5</v>
      </c>
      <c r="K242" s="525">
        <f>+DATA!G238</f>
        <v>1336</v>
      </c>
      <c r="L242" s="525">
        <f>+DATA!H238</f>
        <v>2516</v>
      </c>
      <c r="M242" s="525">
        <f>+DATA!I238</f>
        <v>32852486517</v>
      </c>
      <c r="N242" s="525">
        <f>+DATA!J238</f>
        <v>81908072267</v>
      </c>
      <c r="O242" s="773">
        <f t="shared" si="67"/>
        <v>0.46149678635580788</v>
      </c>
      <c r="P242" s="774" t="str">
        <f t="shared" si="68"/>
        <v>NO</v>
      </c>
      <c r="Q242" s="771">
        <f t="shared" si="60"/>
        <v>1.2992877430000001E-4</v>
      </c>
      <c r="R242" s="771">
        <f t="shared" si="61"/>
        <v>1.8627813889999999E-4</v>
      </c>
      <c r="S242" s="771">
        <f t="shared" si="62"/>
        <v>5.5883441700000001E-5</v>
      </c>
      <c r="T242" s="525">
        <f>+DATA!K238</f>
        <v>0</v>
      </c>
      <c r="U242" s="525">
        <f>+DATA!L238</f>
        <v>0</v>
      </c>
      <c r="V242" s="525">
        <f>+DATA!M238</f>
        <v>421202</v>
      </c>
      <c r="W242" s="526">
        <f t="shared" si="63"/>
        <v>421202</v>
      </c>
      <c r="X242" s="526">
        <f t="shared" si="69"/>
        <v>421202</v>
      </c>
      <c r="Y242" s="526">
        <f t="shared" si="70"/>
        <v>421202</v>
      </c>
      <c r="Z242" s="525">
        <f>+DATA!F238</f>
        <v>43416.148099441954</v>
      </c>
      <c r="AA242" s="525">
        <f>IF(P242="SI",ROUND(Z242/DIV_Pf,PARAMETROS!$L$8),0)</f>
        <v>0</v>
      </c>
      <c r="AB242" s="526">
        <f t="shared" si="71"/>
        <v>2912</v>
      </c>
      <c r="AC242" s="775">
        <f t="shared" si="72"/>
        <v>144.63999999999999</v>
      </c>
      <c r="AD242" s="525">
        <f>IF(AC242&lt;$AC$6,ROUND(($AC$6-AC242)*AB242,PARAMETROS!$L$8),0)</f>
        <v>0</v>
      </c>
      <c r="AE242" s="771">
        <f t="shared" si="64"/>
        <v>0</v>
      </c>
      <c r="AF242" s="771">
        <f t="shared" si="65"/>
        <v>0</v>
      </c>
      <c r="AG242" s="771">
        <f t="shared" si="73"/>
        <v>7.9090937229999998E-4</v>
      </c>
      <c r="AH242" s="525">
        <f>+DATA!Q238</f>
        <v>2036779.89</v>
      </c>
      <c r="AI242" s="525">
        <f>+DATA!R238</f>
        <v>169731.6575</v>
      </c>
      <c r="AJ242" s="525">
        <f>+DATA!S238</f>
        <v>134088</v>
      </c>
      <c r="AK242" s="525">
        <f>+'_DATA STT PAGOS_'!G240</f>
        <v>0</v>
      </c>
      <c r="AL242" s="525">
        <f>+'_DATA STT PAGOS_'!J240</f>
        <v>2763957.085</v>
      </c>
      <c r="AM242" s="525">
        <f>+DATA!Y238</f>
        <v>11580</v>
      </c>
      <c r="AN242" s="525">
        <f>+DATA!Z238</f>
        <v>7136</v>
      </c>
      <c r="AO242" s="525">
        <f>+DATA!AA238</f>
        <v>6826</v>
      </c>
      <c r="AP242" s="525">
        <f>+DATA!AB238</f>
        <v>4303</v>
      </c>
      <c r="AQ242" s="525">
        <f>+DATA!AC238</f>
        <v>29845</v>
      </c>
      <c r="AR242" s="525">
        <f>+DATA!AD238</f>
        <v>0</v>
      </c>
      <c r="AS242" s="525">
        <f>+DATA!AE238</f>
        <v>108</v>
      </c>
      <c r="AT242" s="525">
        <f>+DATA!AF238</f>
        <v>0</v>
      </c>
      <c r="AU242" s="525">
        <f>+DATA!AG238</f>
        <v>0</v>
      </c>
      <c r="AV242" s="525">
        <f>+DATA!AH238</f>
        <v>108</v>
      </c>
    </row>
    <row r="243" spans="1:48" x14ac:dyDescent="0.25">
      <c r="A243" s="527">
        <v>10403</v>
      </c>
      <c r="B243" s="527">
        <v>10502</v>
      </c>
      <c r="C243" s="527" t="s">
        <v>35</v>
      </c>
      <c r="D243" s="771">
        <f t="shared" si="56"/>
        <v>2.8901734103999998E-3</v>
      </c>
      <c r="E243" s="771">
        <f t="shared" si="57"/>
        <v>7.2254335259999995E-4</v>
      </c>
      <c r="F243" s="525">
        <f>+DATA!D239</f>
        <v>9586</v>
      </c>
      <c r="G243" s="772">
        <f>+DATA!E239</f>
        <v>0.10355409931908049</v>
      </c>
      <c r="H243" s="525">
        <f t="shared" si="66"/>
        <v>993</v>
      </c>
      <c r="I243" s="771">
        <f t="shared" si="58"/>
        <v>7.6044171480000005E-4</v>
      </c>
      <c r="J243" s="771">
        <f t="shared" si="59"/>
        <v>7.6044171499999998E-5</v>
      </c>
      <c r="K243" s="525">
        <f>+DATA!G239</f>
        <v>3613</v>
      </c>
      <c r="L243" s="525">
        <f>+DATA!H239</f>
        <v>5300</v>
      </c>
      <c r="M243" s="525">
        <f>+DATA!I239</f>
        <v>56252228651</v>
      </c>
      <c r="N243" s="525">
        <f>+DATA!J239</f>
        <v>121893893281</v>
      </c>
      <c r="O243" s="773">
        <f t="shared" si="67"/>
        <v>0.5608864370996417</v>
      </c>
      <c r="P243" s="774" t="str">
        <f t="shared" si="68"/>
        <v>SI</v>
      </c>
      <c r="Q243" s="771">
        <f t="shared" si="60"/>
        <v>4.5108991290000001E-4</v>
      </c>
      <c r="R243" s="771">
        <f t="shared" si="61"/>
        <v>6.4672502210000001E-4</v>
      </c>
      <c r="S243" s="771">
        <f t="shared" si="62"/>
        <v>1.9401750660000001E-4</v>
      </c>
      <c r="T243" s="525">
        <f>+DATA!K239</f>
        <v>0</v>
      </c>
      <c r="U243" s="525">
        <f>+DATA!L239</f>
        <v>0</v>
      </c>
      <c r="V243" s="525">
        <f>+DATA!M239</f>
        <v>1210178</v>
      </c>
      <c r="W243" s="526">
        <f t="shared" si="63"/>
        <v>1210178</v>
      </c>
      <c r="X243" s="526">
        <f t="shared" si="69"/>
        <v>1210178</v>
      </c>
      <c r="Y243" s="526">
        <f t="shared" si="70"/>
        <v>1210178</v>
      </c>
      <c r="Z243" s="525">
        <f>+DATA!F239</f>
        <v>341344.76744108711</v>
      </c>
      <c r="AA243" s="525">
        <f>IF(P243="SI",ROUND(Z243/DIV_Pf,PARAMETROS!$L$8),0)</f>
        <v>28445</v>
      </c>
      <c r="AB243" s="526">
        <f t="shared" si="71"/>
        <v>38031</v>
      </c>
      <c r="AC243" s="775">
        <f t="shared" si="72"/>
        <v>31.82</v>
      </c>
      <c r="AD243" s="525">
        <f>IF(AC243&lt;$AC$6,ROUND(($AC$6-AC243)*AB243,PARAMETROS!$L$8),0)</f>
        <v>2764854</v>
      </c>
      <c r="AE243" s="771">
        <f t="shared" si="64"/>
        <v>2.6537621199000001E-3</v>
      </c>
      <c r="AF243" s="771">
        <f t="shared" si="65"/>
        <v>9.2881674200000002E-4</v>
      </c>
      <c r="AG243" s="771">
        <f t="shared" si="73"/>
        <v>1.9214217726999999E-3</v>
      </c>
      <c r="AH243" s="525">
        <f>+DATA!Q239</f>
        <v>3029862.4380000001</v>
      </c>
      <c r="AI243" s="525">
        <f>+DATA!R239</f>
        <v>252488.53650000002</v>
      </c>
      <c r="AJ243" s="525">
        <f>+DATA!S239</f>
        <v>199466</v>
      </c>
      <c r="AK243" s="525">
        <f>+'_DATA STT PAGOS_'!G241</f>
        <v>0</v>
      </c>
      <c r="AL243" s="525">
        <f>+'_DATA STT PAGOS_'!J241</f>
        <v>4111179.5440000002</v>
      </c>
      <c r="AM243" s="525">
        <f>+DATA!Y239</f>
        <v>15106</v>
      </c>
      <c r="AN243" s="525">
        <f>+DATA!Z239</f>
        <v>6934</v>
      </c>
      <c r="AO243" s="525">
        <f>+DATA!AA239</f>
        <v>8224</v>
      </c>
      <c r="AP243" s="525">
        <f>+DATA!AB239</f>
        <v>8824</v>
      </c>
      <c r="AQ243" s="525">
        <f>+DATA!AC239</f>
        <v>39088</v>
      </c>
      <c r="AR243" s="525">
        <f>+DATA!AD239</f>
        <v>0</v>
      </c>
      <c r="AS243" s="525">
        <f>+DATA!AE239</f>
        <v>0</v>
      </c>
      <c r="AT243" s="525">
        <f>+DATA!AF239</f>
        <v>0</v>
      </c>
      <c r="AU243" s="525">
        <f>+DATA!AG239</f>
        <v>0</v>
      </c>
      <c r="AV243" s="525">
        <f>+DATA!AH239</f>
        <v>0</v>
      </c>
    </row>
    <row r="244" spans="1:48" x14ac:dyDescent="0.25">
      <c r="A244" s="527">
        <v>10404</v>
      </c>
      <c r="B244" s="527">
        <v>10504</v>
      </c>
      <c r="C244" s="527" t="s">
        <v>259</v>
      </c>
      <c r="D244" s="771">
        <f t="shared" si="56"/>
        <v>2.8901734103999998E-3</v>
      </c>
      <c r="E244" s="771">
        <f t="shared" si="57"/>
        <v>7.2254335259999995E-4</v>
      </c>
      <c r="F244" s="525">
        <f>+DATA!D240</f>
        <v>1826</v>
      </c>
      <c r="G244" s="772">
        <f>+DATA!E240</f>
        <v>9.1202302953735326E-2</v>
      </c>
      <c r="H244" s="525">
        <f t="shared" si="66"/>
        <v>167</v>
      </c>
      <c r="I244" s="771">
        <f t="shared" si="58"/>
        <v>1.2788898930000001E-4</v>
      </c>
      <c r="J244" s="771">
        <f t="shared" si="59"/>
        <v>1.2788898899999999E-5</v>
      </c>
      <c r="K244" s="525">
        <f>+DATA!G240</f>
        <v>1223</v>
      </c>
      <c r="L244" s="525">
        <f>+DATA!H240</f>
        <v>1682</v>
      </c>
      <c r="M244" s="525">
        <f>+DATA!I240</f>
        <v>34827676047</v>
      </c>
      <c r="N244" s="525">
        <f>+DATA!J240</f>
        <v>53777893278</v>
      </c>
      <c r="O244" s="773">
        <f t="shared" si="67"/>
        <v>0.68621560250343472</v>
      </c>
      <c r="P244" s="774" t="str">
        <f t="shared" si="68"/>
        <v>SI</v>
      </c>
      <c r="Q244" s="771">
        <f t="shared" si="60"/>
        <v>1.6286583289999999E-4</v>
      </c>
      <c r="R244" s="771">
        <f t="shared" si="61"/>
        <v>2.334998109E-4</v>
      </c>
      <c r="S244" s="771">
        <f t="shared" si="62"/>
        <v>7.0049943299999994E-5</v>
      </c>
      <c r="T244" s="525">
        <f>+DATA!K240</f>
        <v>0</v>
      </c>
      <c r="U244" s="525">
        <f>+DATA!L240</f>
        <v>0</v>
      </c>
      <c r="V244" s="525">
        <f>+DATA!M240</f>
        <v>233444</v>
      </c>
      <c r="W244" s="526">
        <f t="shared" si="63"/>
        <v>233444</v>
      </c>
      <c r="X244" s="526">
        <f t="shared" si="69"/>
        <v>233444</v>
      </c>
      <c r="Y244" s="526">
        <f t="shared" si="70"/>
        <v>233444</v>
      </c>
      <c r="Z244" s="525">
        <f>+DATA!F240</f>
        <v>28882.978141251686</v>
      </c>
      <c r="AA244" s="525">
        <f>IF(P244="SI",ROUND(Z244/DIV_Pf,PARAMETROS!$L$8),0)</f>
        <v>2407</v>
      </c>
      <c r="AB244" s="526">
        <f t="shared" si="71"/>
        <v>4233</v>
      </c>
      <c r="AC244" s="775">
        <f t="shared" si="72"/>
        <v>55.15</v>
      </c>
      <c r="AD244" s="525">
        <f>IF(AC244&lt;$AC$6,ROUND(($AC$6-AC244)*AB244,PARAMETROS!$L$8),0)</f>
        <v>208983</v>
      </c>
      <c r="AE244" s="771">
        <f t="shared" si="64"/>
        <v>2.005860596E-4</v>
      </c>
      <c r="AF244" s="771">
        <f t="shared" si="65"/>
        <v>7.0205120899999996E-5</v>
      </c>
      <c r="AG244" s="771">
        <f t="shared" si="73"/>
        <v>8.7558731570000004E-4</v>
      </c>
      <c r="AH244" s="525">
        <f>+DATA!Q240</f>
        <v>1675906.1259999999</v>
      </c>
      <c r="AI244" s="525">
        <f>+DATA!R240</f>
        <v>139658.84383333332</v>
      </c>
      <c r="AJ244" s="525">
        <f>+DATA!S240</f>
        <v>110330</v>
      </c>
      <c r="AK244" s="525">
        <f>+'_DATA STT PAGOS_'!G242</f>
        <v>0</v>
      </c>
      <c r="AL244" s="525">
        <f>+'_DATA STT PAGOS_'!J242</f>
        <v>2274120.16</v>
      </c>
      <c r="AM244" s="525">
        <f>+DATA!Y240</f>
        <v>3967</v>
      </c>
      <c r="AN244" s="525">
        <f>+DATA!Z240</f>
        <v>1850</v>
      </c>
      <c r="AO244" s="525">
        <f>+DATA!AA240</f>
        <v>3127</v>
      </c>
      <c r="AP244" s="525">
        <f>+DATA!AB240</f>
        <v>1601</v>
      </c>
      <c r="AQ244" s="525">
        <f>+DATA!AC240</f>
        <v>10545</v>
      </c>
      <c r="AR244" s="525">
        <f>+DATA!AD240</f>
        <v>0</v>
      </c>
      <c r="AS244" s="525">
        <f>+DATA!AE240</f>
        <v>0</v>
      </c>
      <c r="AT244" s="525">
        <f>+DATA!AF240</f>
        <v>0</v>
      </c>
      <c r="AU244" s="525">
        <f>+DATA!AG240</f>
        <v>0</v>
      </c>
      <c r="AV244" s="525">
        <f>+DATA!AH240</f>
        <v>0</v>
      </c>
    </row>
    <row r="245" spans="1:48" x14ac:dyDescent="0.25">
      <c r="A245" s="527">
        <v>11101</v>
      </c>
      <c r="B245" s="527">
        <v>11401</v>
      </c>
      <c r="C245" s="527" t="s">
        <v>501</v>
      </c>
      <c r="D245" s="771">
        <f t="shared" si="56"/>
        <v>2.8901734103999998E-3</v>
      </c>
      <c r="E245" s="771">
        <f t="shared" si="57"/>
        <v>7.2254335259999995E-4</v>
      </c>
      <c r="F245" s="525">
        <f>+DATA!D241</f>
        <v>62046</v>
      </c>
      <c r="G245" s="772">
        <f>+DATA!E241</f>
        <v>2.8835258546335649E-2</v>
      </c>
      <c r="H245" s="525">
        <f t="shared" si="66"/>
        <v>1789</v>
      </c>
      <c r="I245" s="771">
        <f t="shared" si="58"/>
        <v>1.3700203703000001E-3</v>
      </c>
      <c r="J245" s="771">
        <f t="shared" si="59"/>
        <v>1.3700203699999999E-4</v>
      </c>
      <c r="K245" s="525">
        <f>+DATA!G241</f>
        <v>19885</v>
      </c>
      <c r="L245" s="525">
        <f>+DATA!H241</f>
        <v>31454</v>
      </c>
      <c r="M245" s="525">
        <f>+DATA!I241</f>
        <v>998691238620</v>
      </c>
      <c r="N245" s="525">
        <f>+DATA!J241</f>
        <v>1921735407833</v>
      </c>
      <c r="O245" s="773">
        <f t="shared" si="67"/>
        <v>0.57318350040007027</v>
      </c>
      <c r="P245" s="774" t="str">
        <f t="shared" si="68"/>
        <v>SI</v>
      </c>
      <c r="Q245" s="771">
        <f t="shared" si="60"/>
        <v>2.3023872431000001E-3</v>
      </c>
      <c r="R245" s="771">
        <f t="shared" si="61"/>
        <v>3.3009193912000002E-3</v>
      </c>
      <c r="S245" s="771">
        <f t="shared" si="62"/>
        <v>9.902758174E-4</v>
      </c>
      <c r="T245" s="525">
        <f>+DATA!K241</f>
        <v>0</v>
      </c>
      <c r="U245" s="525">
        <f>+DATA!L241</f>
        <v>0</v>
      </c>
      <c r="V245" s="525">
        <f>+DATA!M241</f>
        <v>8091063</v>
      </c>
      <c r="W245" s="526">
        <f t="shared" si="63"/>
        <v>8091063</v>
      </c>
      <c r="X245" s="526">
        <f t="shared" si="69"/>
        <v>8091063</v>
      </c>
      <c r="Y245" s="526">
        <f t="shared" si="70"/>
        <v>8091063</v>
      </c>
      <c r="Z245" s="525">
        <f>+DATA!F241</f>
        <v>822599.81792946486</v>
      </c>
      <c r="AA245" s="525">
        <f>IF(P245="SI",ROUND(Z245/DIV_Pf,PARAMETROS!$L$8),0)</f>
        <v>68550</v>
      </c>
      <c r="AB245" s="526">
        <f t="shared" si="71"/>
        <v>130596</v>
      </c>
      <c r="AC245" s="775">
        <f t="shared" si="72"/>
        <v>61.95</v>
      </c>
      <c r="AD245" s="525">
        <f>IF(AC245&lt;$AC$6,ROUND(($AC$6-AC245)*AB245,PARAMETROS!$L$8),0)</f>
        <v>5559472</v>
      </c>
      <c r="AE245" s="771">
        <f t="shared" si="64"/>
        <v>5.3360923217999996E-3</v>
      </c>
      <c r="AF245" s="771">
        <f t="shared" si="65"/>
        <v>1.8676323126000001E-3</v>
      </c>
      <c r="AG245" s="771">
        <f t="shared" si="73"/>
        <v>3.7174535196000001E-3</v>
      </c>
      <c r="AH245" s="525">
        <f>+DATA!Q241</f>
        <v>8586305.9110000003</v>
      </c>
      <c r="AI245" s="525">
        <f>+DATA!R241</f>
        <v>715525.4925833334</v>
      </c>
      <c r="AJ245" s="525">
        <f>+DATA!S241</f>
        <v>565265</v>
      </c>
      <c r="AK245" s="525">
        <f>+'_DATA STT PAGOS_'!G243</f>
        <v>0</v>
      </c>
      <c r="AL245" s="525">
        <f>+'_DATA STT PAGOS_'!J243</f>
        <v>11651814.290000001</v>
      </c>
      <c r="AM245" s="525">
        <f>+DATA!Y241</f>
        <v>381703</v>
      </c>
      <c r="AN245" s="525">
        <f>+DATA!Z241</f>
        <v>243969</v>
      </c>
      <c r="AO245" s="525">
        <f>+DATA!AA241</f>
        <v>300861</v>
      </c>
      <c r="AP245" s="525">
        <f>+DATA!AB241</f>
        <v>222311</v>
      </c>
      <c r="AQ245" s="525">
        <f>+DATA!AC241</f>
        <v>1148844</v>
      </c>
      <c r="AR245" s="525">
        <f>+DATA!AD241</f>
        <v>21991</v>
      </c>
      <c r="AS245" s="525">
        <f>+DATA!AE241</f>
        <v>10398</v>
      </c>
      <c r="AT245" s="525">
        <f>+DATA!AF241</f>
        <v>14613.781999999999</v>
      </c>
      <c r="AU245" s="525">
        <f>+DATA!AG241</f>
        <v>8247</v>
      </c>
      <c r="AV245" s="525">
        <f>+DATA!AH241</f>
        <v>55249.781999999999</v>
      </c>
    </row>
    <row r="246" spans="1:48" x14ac:dyDescent="0.25">
      <c r="A246" s="527">
        <v>11102</v>
      </c>
      <c r="B246" s="527">
        <v>11402</v>
      </c>
      <c r="C246" s="527" t="s">
        <v>265</v>
      </c>
      <c r="D246" s="771">
        <f t="shared" si="56"/>
        <v>2.8901734103999998E-3</v>
      </c>
      <c r="E246" s="771">
        <f t="shared" si="57"/>
        <v>7.2254335259999995E-4</v>
      </c>
      <c r="F246" s="525">
        <f>+DATA!D242</f>
        <v>914</v>
      </c>
      <c r="G246" s="772">
        <f>+DATA!E242</f>
        <v>8.7470267124388958E-3</v>
      </c>
      <c r="H246" s="525">
        <f t="shared" si="66"/>
        <v>8</v>
      </c>
      <c r="I246" s="771">
        <f t="shared" si="58"/>
        <v>6.1264186E-6</v>
      </c>
      <c r="J246" s="771">
        <f t="shared" si="59"/>
        <v>6.1264190000000002E-7</v>
      </c>
      <c r="K246" s="525">
        <f>+DATA!G242</f>
        <v>951</v>
      </c>
      <c r="L246" s="525">
        <f>+DATA!H242</f>
        <v>1650</v>
      </c>
      <c r="M246" s="525">
        <f>+DATA!I242</f>
        <v>16858019676</v>
      </c>
      <c r="N246" s="525">
        <f>+DATA!J242</f>
        <v>67321867861</v>
      </c>
      <c r="O246" s="773">
        <f t="shared" si="67"/>
        <v>0.37990366738645986</v>
      </c>
      <c r="P246" s="774" t="str">
        <f t="shared" si="68"/>
        <v>NO</v>
      </c>
      <c r="Q246" s="771">
        <f t="shared" si="60"/>
        <v>1.0038761849999999E-4</v>
      </c>
      <c r="R246" s="771">
        <f t="shared" si="61"/>
        <v>1.4392515310000001E-4</v>
      </c>
      <c r="S246" s="771">
        <f t="shared" si="62"/>
        <v>4.3177545899999999E-5</v>
      </c>
      <c r="T246" s="525">
        <f>+DATA!K242</f>
        <v>0</v>
      </c>
      <c r="U246" s="525">
        <f>+DATA!L242</f>
        <v>0</v>
      </c>
      <c r="V246" s="525">
        <f>+DATA!M242</f>
        <v>344017</v>
      </c>
      <c r="W246" s="526">
        <f t="shared" si="63"/>
        <v>344017</v>
      </c>
      <c r="X246" s="526">
        <f t="shared" si="69"/>
        <v>344017</v>
      </c>
      <c r="Y246" s="526">
        <f t="shared" si="70"/>
        <v>344017</v>
      </c>
      <c r="Z246" s="525">
        <f>+DATA!F242</f>
        <v>31085.434819342783</v>
      </c>
      <c r="AA246" s="525">
        <f>IF(P246="SI",ROUND(Z246/DIV_Pf,PARAMETROS!$L$8),0)</f>
        <v>0</v>
      </c>
      <c r="AB246" s="526">
        <f t="shared" si="71"/>
        <v>914</v>
      </c>
      <c r="AC246" s="775">
        <f t="shared" si="72"/>
        <v>376.39</v>
      </c>
      <c r="AD246" s="525">
        <f>IF(AC246&lt;$AC$6,ROUND(($AC$6-AC246)*AB246,PARAMETROS!$L$8),0)</f>
        <v>0</v>
      </c>
      <c r="AE246" s="771">
        <f t="shared" si="64"/>
        <v>0</v>
      </c>
      <c r="AF246" s="771">
        <f t="shared" si="65"/>
        <v>0</v>
      </c>
      <c r="AG246" s="771">
        <f t="shared" si="73"/>
        <v>7.6633354040000004E-4</v>
      </c>
      <c r="AH246" s="525">
        <f>+DATA!Q242</f>
        <v>1474381.0109999999</v>
      </c>
      <c r="AI246" s="525">
        <f>+DATA!R242</f>
        <v>122865.08425</v>
      </c>
      <c r="AJ246" s="525">
        <f>+DATA!S242</f>
        <v>97063</v>
      </c>
      <c r="AK246" s="525">
        <f>+'_DATA STT PAGOS_'!G244</f>
        <v>0</v>
      </c>
      <c r="AL246" s="525">
        <f>+'_DATA STT PAGOS_'!J244</f>
        <v>2000486.304</v>
      </c>
      <c r="AM246" s="525">
        <f>+DATA!Y242</f>
        <v>6183</v>
      </c>
      <c r="AN246" s="525">
        <f>+DATA!Z242</f>
        <v>9579</v>
      </c>
      <c r="AO246" s="525">
        <f>+DATA!AA242</f>
        <v>3254</v>
      </c>
      <c r="AP246" s="525">
        <f>+DATA!AB242</f>
        <v>10242</v>
      </c>
      <c r="AQ246" s="525">
        <f>+DATA!AC242</f>
        <v>29258</v>
      </c>
      <c r="AR246" s="525">
        <f>+DATA!AD242</f>
        <v>0</v>
      </c>
      <c r="AS246" s="525">
        <f>+DATA!AE242</f>
        <v>0</v>
      </c>
      <c r="AT246" s="525">
        <f>+DATA!AF242</f>
        <v>0</v>
      </c>
      <c r="AU246" s="525">
        <f>+DATA!AG242</f>
        <v>0</v>
      </c>
      <c r="AV246" s="525">
        <f>+DATA!AH242</f>
        <v>0</v>
      </c>
    </row>
    <row r="247" spans="1:48" x14ac:dyDescent="0.25">
      <c r="A247" s="527">
        <v>11201</v>
      </c>
      <c r="B247" s="527">
        <v>11101</v>
      </c>
      <c r="C247" s="527" t="s">
        <v>502</v>
      </c>
      <c r="D247" s="771">
        <f t="shared" si="56"/>
        <v>2.8901734103999998E-3</v>
      </c>
      <c r="E247" s="771">
        <f t="shared" si="57"/>
        <v>7.2254335259999995E-4</v>
      </c>
      <c r="F247" s="525">
        <f>+DATA!D243</f>
        <v>25218</v>
      </c>
      <c r="G247" s="772">
        <f>+DATA!E243</f>
        <v>5.279856301700174E-2</v>
      </c>
      <c r="H247" s="525">
        <f t="shared" si="66"/>
        <v>1331</v>
      </c>
      <c r="I247" s="771">
        <f t="shared" si="58"/>
        <v>1.0192829027000001E-3</v>
      </c>
      <c r="J247" s="771">
        <f t="shared" si="59"/>
        <v>1.019282903E-4</v>
      </c>
      <c r="K247" s="525">
        <f>+DATA!G243</f>
        <v>10732</v>
      </c>
      <c r="L247" s="525">
        <f>+DATA!H243</f>
        <v>15347</v>
      </c>
      <c r="M247" s="525">
        <f>+DATA!I243</f>
        <v>415314078287</v>
      </c>
      <c r="N247" s="525">
        <f>+DATA!J243</f>
        <v>649276431013</v>
      </c>
      <c r="O247" s="773">
        <f t="shared" si="67"/>
        <v>0.6688089757405643</v>
      </c>
      <c r="P247" s="774" t="str">
        <f t="shared" si="68"/>
        <v>SI</v>
      </c>
      <c r="Q247" s="771">
        <f t="shared" si="60"/>
        <v>1.3744878239999999E-3</v>
      </c>
      <c r="R247" s="771">
        <f t="shared" si="61"/>
        <v>1.9705953135000002E-3</v>
      </c>
      <c r="S247" s="771">
        <f t="shared" si="62"/>
        <v>5.9117859410000003E-4</v>
      </c>
      <c r="T247" s="525">
        <f>+DATA!K243</f>
        <v>0</v>
      </c>
      <c r="U247" s="525">
        <f>+DATA!L243</f>
        <v>0</v>
      </c>
      <c r="V247" s="525">
        <f>+DATA!M243</f>
        <v>4084764</v>
      </c>
      <c r="W247" s="526">
        <f t="shared" si="63"/>
        <v>4084764</v>
      </c>
      <c r="X247" s="526">
        <f t="shared" si="69"/>
        <v>4084764</v>
      </c>
      <c r="Y247" s="526">
        <f t="shared" si="70"/>
        <v>4084764</v>
      </c>
      <c r="Z247" s="525">
        <f>+DATA!F243</f>
        <v>367123.45940407907</v>
      </c>
      <c r="AA247" s="525">
        <f>IF(P247="SI",ROUND(Z247/DIV_Pf,PARAMETROS!$L$8),0)</f>
        <v>30594</v>
      </c>
      <c r="AB247" s="526">
        <f t="shared" si="71"/>
        <v>55812</v>
      </c>
      <c r="AC247" s="775">
        <f t="shared" si="72"/>
        <v>73.19</v>
      </c>
      <c r="AD247" s="525">
        <f>IF(AC247&lt;$AC$6,ROUND(($AC$6-AC247)*AB247,PARAMETROS!$L$8),0)</f>
        <v>1748590</v>
      </c>
      <c r="AE247" s="771">
        <f t="shared" si="64"/>
        <v>1.6783316245E-3</v>
      </c>
      <c r="AF247" s="771">
        <f t="shared" si="65"/>
        <v>5.8741606860000003E-4</v>
      </c>
      <c r="AG247" s="771">
        <f t="shared" si="73"/>
        <v>2.0030663056000001E-3</v>
      </c>
      <c r="AH247" s="525">
        <f>+DATA!Q243</f>
        <v>4935093.1780000003</v>
      </c>
      <c r="AI247" s="525">
        <f>+DATA!R243</f>
        <v>411257.76483333338</v>
      </c>
      <c r="AJ247" s="525">
        <f>+DATA!S243</f>
        <v>324894</v>
      </c>
      <c r="AK247" s="525">
        <f>+'_DATA STT PAGOS_'!G245</f>
        <v>0</v>
      </c>
      <c r="AL247" s="525">
        <f>+'_DATA STT PAGOS_'!J245</f>
        <v>6697034.762000001</v>
      </c>
      <c r="AM247" s="525">
        <f>+DATA!Y243</f>
        <v>116191</v>
      </c>
      <c r="AN247" s="525">
        <f>+DATA!Z243</f>
        <v>65654</v>
      </c>
      <c r="AO247" s="525">
        <f>+DATA!AA243</f>
        <v>92209</v>
      </c>
      <c r="AP247" s="525">
        <f>+DATA!AB243</f>
        <v>69678</v>
      </c>
      <c r="AQ247" s="525">
        <f>+DATA!AC243</f>
        <v>343732</v>
      </c>
      <c r="AR247" s="525">
        <f>+DATA!AD243</f>
        <v>4275</v>
      </c>
      <c r="AS247" s="525">
        <f>+DATA!AE243</f>
        <v>2025</v>
      </c>
      <c r="AT247" s="525">
        <f>+DATA!AF243</f>
        <v>2987.4059999999999</v>
      </c>
      <c r="AU247" s="525">
        <f>+DATA!AG243</f>
        <v>1770</v>
      </c>
      <c r="AV247" s="525">
        <f>+DATA!AH243</f>
        <v>11057.405999999999</v>
      </c>
    </row>
    <row r="248" spans="1:48" x14ac:dyDescent="0.25">
      <c r="A248" s="527">
        <v>11202</v>
      </c>
      <c r="B248" s="527">
        <v>11102</v>
      </c>
      <c r="C248" s="527" t="s">
        <v>260</v>
      </c>
      <c r="D248" s="771">
        <f t="shared" si="56"/>
        <v>2.8901734103999998E-3</v>
      </c>
      <c r="E248" s="771">
        <f t="shared" si="57"/>
        <v>7.2254335259999995E-4</v>
      </c>
      <c r="F248" s="525">
        <f>+DATA!D244</f>
        <v>5872</v>
      </c>
      <c r="G248" s="772">
        <f>+DATA!E244</f>
        <v>4.9515886994756023E-2</v>
      </c>
      <c r="H248" s="525">
        <f t="shared" si="66"/>
        <v>291</v>
      </c>
      <c r="I248" s="771">
        <f t="shared" si="58"/>
        <v>2.228484784E-4</v>
      </c>
      <c r="J248" s="771">
        <f t="shared" si="59"/>
        <v>2.2284847799999999E-5</v>
      </c>
      <c r="K248" s="525">
        <f>+DATA!G244</f>
        <v>3549</v>
      </c>
      <c r="L248" s="525">
        <f>+DATA!H244</f>
        <v>5023</v>
      </c>
      <c r="M248" s="525">
        <f>+DATA!I244</f>
        <v>177465629566</v>
      </c>
      <c r="N248" s="525">
        <f>+DATA!J244</f>
        <v>250937784299</v>
      </c>
      <c r="O248" s="773">
        <f t="shared" si="67"/>
        <v>0.70687969718221555</v>
      </c>
      <c r="P248" s="774" t="str">
        <f t="shared" si="68"/>
        <v>SI</v>
      </c>
      <c r="Q248" s="771">
        <f t="shared" si="60"/>
        <v>4.5925287380000002E-4</v>
      </c>
      <c r="R248" s="771">
        <f t="shared" si="61"/>
        <v>6.5842821230000003E-4</v>
      </c>
      <c r="S248" s="771">
        <f t="shared" si="62"/>
        <v>1.9752846370000001E-4</v>
      </c>
      <c r="T248" s="525">
        <f>+DATA!K244</f>
        <v>0</v>
      </c>
      <c r="U248" s="525">
        <f>+DATA!L244</f>
        <v>0</v>
      </c>
      <c r="V248" s="525">
        <f>+DATA!M244</f>
        <v>2698290</v>
      </c>
      <c r="W248" s="526">
        <f t="shared" si="63"/>
        <v>2698290</v>
      </c>
      <c r="X248" s="526">
        <f t="shared" si="69"/>
        <v>2698290</v>
      </c>
      <c r="Y248" s="526">
        <f t="shared" si="70"/>
        <v>2698290</v>
      </c>
      <c r="Z248" s="525">
        <f>+DATA!F244</f>
        <v>151633.92690230283</v>
      </c>
      <c r="AA248" s="525">
        <f>IF(P248="SI",ROUND(Z248/DIV_Pf,PARAMETROS!$L$8),0)</f>
        <v>12636</v>
      </c>
      <c r="AB248" s="526">
        <f t="shared" si="71"/>
        <v>18508</v>
      </c>
      <c r="AC248" s="775">
        <f t="shared" si="72"/>
        <v>145.79</v>
      </c>
      <c r="AD248" s="525">
        <f>IF(AC248&lt;$AC$6,ROUND(($AC$6-AC248)*AB248,PARAMETROS!$L$8),0)</f>
        <v>0</v>
      </c>
      <c r="AE248" s="771">
        <f t="shared" si="64"/>
        <v>0</v>
      </c>
      <c r="AF248" s="771">
        <f t="shared" si="65"/>
        <v>0</v>
      </c>
      <c r="AG248" s="771">
        <f t="shared" si="73"/>
        <v>9.4235666410000002E-4</v>
      </c>
      <c r="AH248" s="525">
        <f>+DATA!Q244</f>
        <v>1850891.0789999999</v>
      </c>
      <c r="AI248" s="525">
        <f>+DATA!R244</f>
        <v>154240.92324999999</v>
      </c>
      <c r="AJ248" s="525">
        <f>+DATA!S244</f>
        <v>121850</v>
      </c>
      <c r="AK248" s="525">
        <f>+'_DATA STT PAGOS_'!G246</f>
        <v>0</v>
      </c>
      <c r="AL248" s="525">
        <f>+'_DATA STT PAGOS_'!J246</f>
        <v>2511629.983</v>
      </c>
      <c r="AM248" s="525">
        <f>+DATA!Y244</f>
        <v>28178</v>
      </c>
      <c r="AN248" s="525">
        <f>+DATA!Z244</f>
        <v>12440</v>
      </c>
      <c r="AO248" s="525">
        <f>+DATA!AA244</f>
        <v>16923</v>
      </c>
      <c r="AP248" s="525">
        <f>+DATA!AB244</f>
        <v>15370</v>
      </c>
      <c r="AQ248" s="525">
        <f>+DATA!AC244</f>
        <v>72911</v>
      </c>
      <c r="AR248" s="525">
        <f>+DATA!AD244</f>
        <v>0</v>
      </c>
      <c r="AS248" s="525">
        <f>+DATA!AE244</f>
        <v>0</v>
      </c>
      <c r="AT248" s="525">
        <f>+DATA!AF244</f>
        <v>0</v>
      </c>
      <c r="AU248" s="525">
        <f>+DATA!AG244</f>
        <v>0</v>
      </c>
      <c r="AV248" s="525">
        <f>+DATA!AH244</f>
        <v>0</v>
      </c>
    </row>
    <row r="249" spans="1:48" x14ac:dyDescent="0.25">
      <c r="A249" s="527">
        <v>11203</v>
      </c>
      <c r="B249" s="527">
        <v>11104</v>
      </c>
      <c r="C249" s="527" t="s">
        <v>261</v>
      </c>
      <c r="D249" s="771">
        <f t="shared" si="56"/>
        <v>2.8901734103999998E-3</v>
      </c>
      <c r="E249" s="771">
        <f t="shared" si="57"/>
        <v>7.2254335259999995E-4</v>
      </c>
      <c r="F249" s="525">
        <f>+DATA!D245</f>
        <v>1611</v>
      </c>
      <c r="G249" s="772">
        <f>+DATA!E245</f>
        <v>6.0502560213658019E-2</v>
      </c>
      <c r="H249" s="525">
        <f t="shared" si="66"/>
        <v>97</v>
      </c>
      <c r="I249" s="771">
        <f t="shared" si="58"/>
        <v>7.4282826100000002E-5</v>
      </c>
      <c r="J249" s="771">
        <f t="shared" si="59"/>
        <v>7.4282826000000001E-6</v>
      </c>
      <c r="K249" s="525">
        <f>+DATA!G245</f>
        <v>589</v>
      </c>
      <c r="L249" s="525">
        <f>+DATA!H245</f>
        <v>693</v>
      </c>
      <c r="M249" s="525">
        <f>+DATA!I245</f>
        <v>18016252721</v>
      </c>
      <c r="N249" s="525">
        <f>+DATA!J245</f>
        <v>20887003329</v>
      </c>
      <c r="O249" s="773">
        <f t="shared" si="67"/>
        <v>0.85621965823311508</v>
      </c>
      <c r="P249" s="774" t="str">
        <f t="shared" si="68"/>
        <v>SI</v>
      </c>
      <c r="Q249" s="771">
        <f t="shared" si="60"/>
        <v>9.1685449200000005E-5</v>
      </c>
      <c r="R249" s="771">
        <f t="shared" si="61"/>
        <v>1.3144890290000001E-4</v>
      </c>
      <c r="S249" s="771">
        <f t="shared" si="62"/>
        <v>3.9434670899999999E-5</v>
      </c>
      <c r="T249" s="525">
        <f>+DATA!K245</f>
        <v>0</v>
      </c>
      <c r="U249" s="525">
        <f>+DATA!L245</f>
        <v>0</v>
      </c>
      <c r="V249" s="525">
        <f>+DATA!M245</f>
        <v>855553</v>
      </c>
      <c r="W249" s="526">
        <f t="shared" si="63"/>
        <v>855553</v>
      </c>
      <c r="X249" s="526">
        <f t="shared" si="69"/>
        <v>855553</v>
      </c>
      <c r="Y249" s="526">
        <f t="shared" si="70"/>
        <v>855553</v>
      </c>
      <c r="Z249" s="525">
        <f>+DATA!F245</f>
        <v>56513.013559274543</v>
      </c>
      <c r="AA249" s="525">
        <f>IF(P249="SI",ROUND(Z249/DIV_Pf,PARAMETROS!$L$8),0)</f>
        <v>4709</v>
      </c>
      <c r="AB249" s="526">
        <f t="shared" si="71"/>
        <v>6320</v>
      </c>
      <c r="AC249" s="775">
        <f t="shared" si="72"/>
        <v>135.37</v>
      </c>
      <c r="AD249" s="525">
        <f>IF(AC249&lt;$AC$6,ROUND(($AC$6-AC249)*AB249,PARAMETROS!$L$8),0)</f>
        <v>0</v>
      </c>
      <c r="AE249" s="771">
        <f t="shared" si="64"/>
        <v>0</v>
      </c>
      <c r="AF249" s="771">
        <f t="shared" si="65"/>
        <v>0</v>
      </c>
      <c r="AG249" s="771">
        <f t="shared" si="73"/>
        <v>7.6940630609999999E-4</v>
      </c>
      <c r="AH249" s="525">
        <f>+DATA!Q245</f>
        <v>1483797.6410000001</v>
      </c>
      <c r="AI249" s="525">
        <f>+DATA!R245</f>
        <v>123649.80341666668</v>
      </c>
      <c r="AJ249" s="525">
        <f>+DATA!S245</f>
        <v>97683</v>
      </c>
      <c r="AK249" s="525">
        <f>+'_DATA STT PAGOS_'!G247</f>
        <v>0</v>
      </c>
      <c r="AL249" s="525">
        <f>+'_DATA STT PAGOS_'!J247</f>
        <v>2013441.8080000002</v>
      </c>
      <c r="AM249" s="525">
        <f>+DATA!Y245</f>
        <v>570</v>
      </c>
      <c r="AN249" s="525">
        <f>+DATA!Z245</f>
        <v>487</v>
      </c>
      <c r="AO249" s="525">
        <f>+DATA!AA245</f>
        <v>647</v>
      </c>
      <c r="AP249" s="525">
        <f>+DATA!AB245</f>
        <v>414</v>
      </c>
      <c r="AQ249" s="525">
        <f>+DATA!AC245</f>
        <v>2118</v>
      </c>
      <c r="AR249" s="525">
        <f>+DATA!AD245</f>
        <v>189</v>
      </c>
      <c r="AS249" s="525">
        <f>+DATA!AE245</f>
        <v>148</v>
      </c>
      <c r="AT249" s="525">
        <f>+DATA!AF245</f>
        <v>518.39800000000002</v>
      </c>
      <c r="AU249" s="525">
        <f>+DATA!AG245</f>
        <v>169</v>
      </c>
      <c r="AV249" s="525">
        <f>+DATA!AH245</f>
        <v>1024.3980000000001</v>
      </c>
    </row>
    <row r="250" spans="1:48" x14ac:dyDescent="0.25">
      <c r="A250" s="527">
        <v>11301</v>
      </c>
      <c r="B250" s="527">
        <v>11301</v>
      </c>
      <c r="C250" s="527" t="s">
        <v>263</v>
      </c>
      <c r="D250" s="771">
        <f t="shared" si="56"/>
        <v>2.8901734103999998E-3</v>
      </c>
      <c r="E250" s="771">
        <f t="shared" si="57"/>
        <v>7.2254335259999995E-4</v>
      </c>
      <c r="F250" s="525">
        <f>+DATA!D246</f>
        <v>3741</v>
      </c>
      <c r="G250" s="772">
        <f>+DATA!E246</f>
        <v>6.3281639272961557E-2</v>
      </c>
      <c r="H250" s="525">
        <f t="shared" si="66"/>
        <v>237</v>
      </c>
      <c r="I250" s="771">
        <f t="shared" si="58"/>
        <v>1.8149515250000001E-4</v>
      </c>
      <c r="J250" s="771">
        <f t="shared" si="59"/>
        <v>1.8149515299999999E-5</v>
      </c>
      <c r="K250" s="525">
        <f>+DATA!G246</f>
        <v>1750</v>
      </c>
      <c r="L250" s="525">
        <f>+DATA!H246</f>
        <v>2736</v>
      </c>
      <c r="M250" s="525">
        <f>+DATA!I246</f>
        <v>80259003416</v>
      </c>
      <c r="N250" s="525">
        <f>+DATA!J246</f>
        <v>130599343476</v>
      </c>
      <c r="O250" s="773">
        <f t="shared" si="67"/>
        <v>0.62695643217526986</v>
      </c>
      <c r="P250" s="774" t="str">
        <f t="shared" si="68"/>
        <v>SI</v>
      </c>
      <c r="Q250" s="771">
        <f t="shared" si="60"/>
        <v>2.050043453E-4</v>
      </c>
      <c r="R250" s="771">
        <f t="shared" si="61"/>
        <v>2.9391355460000001E-4</v>
      </c>
      <c r="S250" s="771">
        <f t="shared" si="62"/>
        <v>8.81740664E-5</v>
      </c>
      <c r="T250" s="525">
        <f>+DATA!K246</f>
        <v>0</v>
      </c>
      <c r="U250" s="525">
        <f>+DATA!L246</f>
        <v>0</v>
      </c>
      <c r="V250" s="525">
        <f>+DATA!M246</f>
        <v>428956</v>
      </c>
      <c r="W250" s="526">
        <f t="shared" si="63"/>
        <v>428956</v>
      </c>
      <c r="X250" s="526">
        <f t="shared" si="69"/>
        <v>428956</v>
      </c>
      <c r="Y250" s="526">
        <f t="shared" si="70"/>
        <v>428956</v>
      </c>
      <c r="Z250" s="525">
        <f>+DATA!F246</f>
        <v>98402.588470169314</v>
      </c>
      <c r="AA250" s="525">
        <f>IF(P250="SI",ROUND(Z250/DIV_Pf,PARAMETROS!$L$8),0)</f>
        <v>8200</v>
      </c>
      <c r="AB250" s="526">
        <f t="shared" si="71"/>
        <v>11941</v>
      </c>
      <c r="AC250" s="775">
        <f t="shared" si="72"/>
        <v>35.92</v>
      </c>
      <c r="AD250" s="525">
        <f>IF(AC250&lt;$AC$6,ROUND(($AC$6-AC250)*AB250,PARAMETROS!$L$8),0)</f>
        <v>819153</v>
      </c>
      <c r="AE250" s="771">
        <f t="shared" si="64"/>
        <v>7.8623941870000001E-4</v>
      </c>
      <c r="AF250" s="771">
        <f t="shared" si="65"/>
        <v>2.7518379649999999E-4</v>
      </c>
      <c r="AG250" s="771">
        <f t="shared" si="73"/>
        <v>1.1040507308E-3</v>
      </c>
      <c r="AH250" s="525">
        <f>+DATA!Q246</f>
        <v>1996338.4909999999</v>
      </c>
      <c r="AI250" s="525">
        <f>+DATA!R246</f>
        <v>166361.54091666665</v>
      </c>
      <c r="AJ250" s="525">
        <f>+DATA!S246</f>
        <v>131426</v>
      </c>
      <c r="AK250" s="525">
        <f>+'_DATA STT PAGOS_'!G248</f>
        <v>0</v>
      </c>
      <c r="AL250" s="525">
        <f>+'_DATA STT PAGOS_'!J248</f>
        <v>2708461.179</v>
      </c>
      <c r="AM250" s="525">
        <f>+DATA!Y246</f>
        <v>15886</v>
      </c>
      <c r="AN250" s="525">
        <f>+DATA!Z246</f>
        <v>7080</v>
      </c>
      <c r="AO250" s="525">
        <f>+DATA!AA246</f>
        <v>12302</v>
      </c>
      <c r="AP250" s="525">
        <f>+DATA!AB246</f>
        <v>7800</v>
      </c>
      <c r="AQ250" s="525">
        <f>+DATA!AC246</f>
        <v>43068</v>
      </c>
      <c r="AR250" s="525">
        <f>+DATA!AD246</f>
        <v>339</v>
      </c>
      <c r="AS250" s="525">
        <f>+DATA!AE246</f>
        <v>85</v>
      </c>
      <c r="AT250" s="525">
        <f>+DATA!AF246</f>
        <v>363.23200000000003</v>
      </c>
      <c r="AU250" s="525">
        <f>+DATA!AG246</f>
        <v>122</v>
      </c>
      <c r="AV250" s="525">
        <f>+DATA!AH246</f>
        <v>909.23199999999997</v>
      </c>
    </row>
    <row r="251" spans="1:48" x14ac:dyDescent="0.25">
      <c r="A251" s="527">
        <v>11302</v>
      </c>
      <c r="B251" s="527">
        <v>11302</v>
      </c>
      <c r="C251" s="527" t="s">
        <v>490</v>
      </c>
      <c r="D251" s="771">
        <f t="shared" si="56"/>
        <v>2.8901734103999998E-3</v>
      </c>
      <c r="E251" s="771">
        <f t="shared" si="57"/>
        <v>7.2254335259999995E-4</v>
      </c>
      <c r="F251" s="525">
        <f>+DATA!D247</f>
        <v>675</v>
      </c>
      <c r="G251" s="772">
        <f>+DATA!E247</f>
        <v>9.1574462350945171E-2</v>
      </c>
      <c r="H251" s="525">
        <f t="shared" si="66"/>
        <v>62</v>
      </c>
      <c r="I251" s="771">
        <f t="shared" si="58"/>
        <v>4.7479744499999997E-5</v>
      </c>
      <c r="J251" s="771">
        <f t="shared" si="59"/>
        <v>4.7479745000000004E-6</v>
      </c>
      <c r="K251" s="525">
        <f>+DATA!G247</f>
        <v>349</v>
      </c>
      <c r="L251" s="525">
        <f>+DATA!H247</f>
        <v>519</v>
      </c>
      <c r="M251" s="525">
        <f>+DATA!I247</f>
        <v>11906576607</v>
      </c>
      <c r="N251" s="525">
        <f>+DATA!J247</f>
        <v>20963166219</v>
      </c>
      <c r="O251" s="773">
        <f t="shared" si="67"/>
        <v>0.61800793439349277</v>
      </c>
      <c r="P251" s="774" t="str">
        <f t="shared" si="68"/>
        <v>SI</v>
      </c>
      <c r="Q251" s="771">
        <f t="shared" si="60"/>
        <v>4.2981993900000001E-5</v>
      </c>
      <c r="R251" s="771">
        <f t="shared" si="61"/>
        <v>6.1623038199999996E-5</v>
      </c>
      <c r="S251" s="771">
        <f t="shared" si="62"/>
        <v>1.8486911499999999E-5</v>
      </c>
      <c r="T251" s="525">
        <f>+DATA!K247</f>
        <v>0</v>
      </c>
      <c r="U251" s="525">
        <f>+DATA!L247</f>
        <v>0</v>
      </c>
      <c r="V251" s="525">
        <f>+DATA!M247</f>
        <v>154154</v>
      </c>
      <c r="W251" s="526">
        <f t="shared" si="63"/>
        <v>154154</v>
      </c>
      <c r="X251" s="526">
        <f t="shared" si="69"/>
        <v>154154</v>
      </c>
      <c r="Y251" s="526">
        <f t="shared" si="70"/>
        <v>154154</v>
      </c>
      <c r="Z251" s="525">
        <f>+DATA!F247</f>
        <v>6976.303727301306</v>
      </c>
      <c r="AA251" s="525">
        <f>IF(P251="SI",ROUND(Z251/DIV_Pf,PARAMETROS!$L$8),0)</f>
        <v>581</v>
      </c>
      <c r="AB251" s="526">
        <f t="shared" si="71"/>
        <v>1256</v>
      </c>
      <c r="AC251" s="775">
        <f t="shared" si="72"/>
        <v>122.73</v>
      </c>
      <c r="AD251" s="525">
        <f>IF(AC251&lt;$AC$6,ROUND(($AC$6-AC251)*AB251,PARAMETROS!$L$8),0)</f>
        <v>0</v>
      </c>
      <c r="AE251" s="771">
        <f t="shared" si="64"/>
        <v>0</v>
      </c>
      <c r="AF251" s="771">
        <f t="shared" si="65"/>
        <v>0</v>
      </c>
      <c r="AG251" s="771">
        <f t="shared" si="73"/>
        <v>7.457782386E-4</v>
      </c>
      <c r="AH251" s="525">
        <f>+DATA!Q247</f>
        <v>1566396.139</v>
      </c>
      <c r="AI251" s="525">
        <f>+DATA!R247</f>
        <v>130533.01158333333</v>
      </c>
      <c r="AJ251" s="525">
        <f>+DATA!S247</f>
        <v>103121</v>
      </c>
      <c r="AK251" s="525">
        <f>+'_DATA STT PAGOS_'!G249</f>
        <v>0</v>
      </c>
      <c r="AL251" s="525">
        <f>+'_DATA STT PAGOS_'!J249</f>
        <v>2125871.4040000001</v>
      </c>
      <c r="AM251" s="525">
        <f>+DATA!Y247</f>
        <v>1927</v>
      </c>
      <c r="AN251" s="525">
        <f>+DATA!Z247</f>
        <v>1843</v>
      </c>
      <c r="AO251" s="525">
        <f>+DATA!AA247</f>
        <v>1779</v>
      </c>
      <c r="AP251" s="525">
        <f>+DATA!AB247</f>
        <v>2053</v>
      </c>
      <c r="AQ251" s="525">
        <f>+DATA!AC247</f>
        <v>7602</v>
      </c>
      <c r="AR251" s="525">
        <f>+DATA!AD247</f>
        <v>0</v>
      </c>
      <c r="AS251" s="525">
        <f>+DATA!AE247</f>
        <v>0</v>
      </c>
      <c r="AT251" s="525">
        <f>+DATA!AF247</f>
        <v>0</v>
      </c>
      <c r="AU251" s="525">
        <f>+DATA!AG247</f>
        <v>0</v>
      </c>
      <c r="AV251" s="525">
        <f>+DATA!AH247</f>
        <v>0</v>
      </c>
    </row>
    <row r="252" spans="1:48" x14ac:dyDescent="0.25">
      <c r="A252" s="527">
        <v>11303</v>
      </c>
      <c r="B252" s="527">
        <v>11303</v>
      </c>
      <c r="C252" s="527" t="s">
        <v>264</v>
      </c>
      <c r="D252" s="771">
        <f t="shared" si="56"/>
        <v>2.8901734103999998E-3</v>
      </c>
      <c r="E252" s="771">
        <f t="shared" si="57"/>
        <v>7.2254335259999995E-4</v>
      </c>
      <c r="F252" s="525">
        <f>+DATA!D248</f>
        <v>585</v>
      </c>
      <c r="G252" s="772">
        <f>+DATA!E248</f>
        <v>4.5924697141099362E-2</v>
      </c>
      <c r="H252" s="525">
        <f t="shared" si="66"/>
        <v>27</v>
      </c>
      <c r="I252" s="771">
        <f t="shared" si="58"/>
        <v>2.0676662899999999E-5</v>
      </c>
      <c r="J252" s="771">
        <f t="shared" si="59"/>
        <v>2.0676662999999999E-6</v>
      </c>
      <c r="K252" s="525">
        <f>+DATA!G248</f>
        <v>298</v>
      </c>
      <c r="L252" s="525">
        <f>+DATA!H248</f>
        <v>357</v>
      </c>
      <c r="M252" s="525">
        <f>+DATA!I248</f>
        <v>45539576322</v>
      </c>
      <c r="N252" s="525">
        <f>+DATA!J248</f>
        <v>46684951902</v>
      </c>
      <c r="O252" s="773">
        <f t="shared" si="67"/>
        <v>0.90236046433096651</v>
      </c>
      <c r="P252" s="774" t="str">
        <f t="shared" si="68"/>
        <v>SI</v>
      </c>
      <c r="Q252" s="771">
        <f t="shared" si="60"/>
        <v>4.5558285700000001E-5</v>
      </c>
      <c r="R252" s="771">
        <f t="shared" si="61"/>
        <v>6.5316653000000002E-5</v>
      </c>
      <c r="S252" s="771">
        <f t="shared" si="62"/>
        <v>1.9594995899999999E-5</v>
      </c>
      <c r="T252" s="525">
        <f>+DATA!K248</f>
        <v>0</v>
      </c>
      <c r="U252" s="525">
        <f>+DATA!L248</f>
        <v>0</v>
      </c>
      <c r="V252" s="525">
        <f>+DATA!M248</f>
        <v>87384</v>
      </c>
      <c r="W252" s="526">
        <f t="shared" si="63"/>
        <v>87384</v>
      </c>
      <c r="X252" s="526">
        <f t="shared" si="69"/>
        <v>87384</v>
      </c>
      <c r="Y252" s="526">
        <f t="shared" si="70"/>
        <v>87384</v>
      </c>
      <c r="Z252" s="525">
        <f>+DATA!F248</f>
        <v>47436.368888293226</v>
      </c>
      <c r="AA252" s="525">
        <f>IF(P252="SI",ROUND(Z252/DIV_Pf,PARAMETROS!$L$8),0)</f>
        <v>3953</v>
      </c>
      <c r="AB252" s="526">
        <f t="shared" si="71"/>
        <v>4538</v>
      </c>
      <c r="AC252" s="775">
        <f t="shared" si="72"/>
        <v>19.260000000000002</v>
      </c>
      <c r="AD252" s="525">
        <f>IF(AC252&lt;$AC$6,ROUND(($AC$6-AC252)*AB252,PARAMETROS!$L$8),0)</f>
        <v>386910</v>
      </c>
      <c r="AE252" s="771">
        <f t="shared" si="64"/>
        <v>3.713639497E-4</v>
      </c>
      <c r="AF252" s="771">
        <f t="shared" si="65"/>
        <v>1.2997738239999999E-4</v>
      </c>
      <c r="AG252" s="771">
        <f t="shared" si="73"/>
        <v>8.7418339719999994E-4</v>
      </c>
      <c r="AH252" s="525">
        <f>+DATA!Q248</f>
        <v>1505982.8570000001</v>
      </c>
      <c r="AI252" s="525">
        <f>+DATA!R248</f>
        <v>125498.57141666667</v>
      </c>
      <c r="AJ252" s="525">
        <f>+DATA!S248</f>
        <v>99144</v>
      </c>
      <c r="AK252" s="525">
        <f>+'_DATA STT PAGOS_'!G250</f>
        <v>0</v>
      </c>
      <c r="AL252" s="525">
        <f>+'_DATA STT PAGOS_'!J250</f>
        <v>2043495.4510000001</v>
      </c>
      <c r="AM252" s="525">
        <f>+DATA!Y248</f>
        <v>293</v>
      </c>
      <c r="AN252" s="525">
        <f>+DATA!Z248</f>
        <v>78</v>
      </c>
      <c r="AO252" s="525">
        <f>+DATA!AA248</f>
        <v>166</v>
      </c>
      <c r="AP252" s="525">
        <f>+DATA!AB248</f>
        <v>154</v>
      </c>
      <c r="AQ252" s="525">
        <f>+DATA!AC248</f>
        <v>691</v>
      </c>
      <c r="AR252" s="525">
        <f>+DATA!AD248</f>
        <v>0</v>
      </c>
      <c r="AS252" s="525">
        <f>+DATA!AE248</f>
        <v>0</v>
      </c>
      <c r="AT252" s="525">
        <f>+DATA!AF248</f>
        <v>0</v>
      </c>
      <c r="AU252" s="525">
        <f>+DATA!AG248</f>
        <v>0</v>
      </c>
      <c r="AV252" s="525">
        <f>+DATA!AH248</f>
        <v>0</v>
      </c>
    </row>
    <row r="253" spans="1:48" x14ac:dyDescent="0.25">
      <c r="A253" s="527">
        <v>11401</v>
      </c>
      <c r="B253" s="527">
        <v>11201</v>
      </c>
      <c r="C253" s="527" t="s">
        <v>262</v>
      </c>
      <c r="D253" s="771">
        <f t="shared" si="56"/>
        <v>2.8901734103999998E-3</v>
      </c>
      <c r="E253" s="771">
        <f t="shared" si="57"/>
        <v>7.2254335259999995E-4</v>
      </c>
      <c r="F253" s="525">
        <f>+DATA!D249</f>
        <v>5163</v>
      </c>
      <c r="G253" s="772">
        <f>+DATA!E249</f>
        <v>6.2020782411386241E-2</v>
      </c>
      <c r="H253" s="525">
        <f t="shared" si="66"/>
        <v>320</v>
      </c>
      <c r="I253" s="771">
        <f t="shared" si="58"/>
        <v>2.4505674600000001E-4</v>
      </c>
      <c r="J253" s="771">
        <f t="shared" si="59"/>
        <v>2.45056746E-5</v>
      </c>
      <c r="K253" s="525">
        <f>+DATA!G249</f>
        <v>2766</v>
      </c>
      <c r="L253" s="525">
        <f>+DATA!H249</f>
        <v>4497</v>
      </c>
      <c r="M253" s="525">
        <f>+DATA!I249</f>
        <v>95088794942</v>
      </c>
      <c r="N253" s="525">
        <f>+DATA!J249</f>
        <v>173761086546</v>
      </c>
      <c r="O253" s="773">
        <f t="shared" si="67"/>
        <v>0.58016704233603034</v>
      </c>
      <c r="P253" s="774" t="str">
        <f t="shared" si="68"/>
        <v>SI</v>
      </c>
      <c r="Q253" s="771">
        <f t="shared" si="60"/>
        <v>3.1159072809999999E-4</v>
      </c>
      <c r="R253" s="771">
        <f t="shared" si="61"/>
        <v>4.4672584060000001E-4</v>
      </c>
      <c r="S253" s="771">
        <f t="shared" si="62"/>
        <v>1.3401775219999999E-4</v>
      </c>
      <c r="T253" s="525">
        <f>+DATA!K249</f>
        <v>0</v>
      </c>
      <c r="U253" s="525">
        <f>+DATA!L249</f>
        <v>0</v>
      </c>
      <c r="V253" s="525">
        <f>+DATA!M249</f>
        <v>791163</v>
      </c>
      <c r="W253" s="526">
        <f t="shared" si="63"/>
        <v>791163</v>
      </c>
      <c r="X253" s="526">
        <f t="shared" si="69"/>
        <v>791163</v>
      </c>
      <c r="Y253" s="526">
        <f t="shared" si="70"/>
        <v>791163</v>
      </c>
      <c r="Z253" s="525">
        <f>+DATA!F249</f>
        <v>140535.81468938809</v>
      </c>
      <c r="AA253" s="525">
        <f>IF(P253="SI",ROUND(Z253/DIV_Pf,PARAMETROS!$L$8),0)</f>
        <v>11711</v>
      </c>
      <c r="AB253" s="526">
        <f t="shared" si="71"/>
        <v>16874</v>
      </c>
      <c r="AC253" s="775">
        <f t="shared" si="72"/>
        <v>46.89</v>
      </c>
      <c r="AD253" s="525">
        <f>IF(AC253&lt;$AC$6,ROUND(($AC$6-AC253)*AB253,PARAMETROS!$L$8),0)</f>
        <v>972449</v>
      </c>
      <c r="AE253" s="771">
        <f t="shared" si="64"/>
        <v>9.3337598289999996E-4</v>
      </c>
      <c r="AF253" s="771">
        <f t="shared" si="65"/>
        <v>3.2668159400000001E-4</v>
      </c>
      <c r="AG253" s="771">
        <f t="shared" si="73"/>
        <v>1.2077483734E-3</v>
      </c>
      <c r="AH253" s="525">
        <f>+DATA!Q249</f>
        <v>2907174.3879999998</v>
      </c>
      <c r="AI253" s="525">
        <f>+DATA!R249</f>
        <v>242264.53233333331</v>
      </c>
      <c r="AJ253" s="525">
        <f>+DATA!S249</f>
        <v>191389</v>
      </c>
      <c r="AK253" s="525">
        <f>+'_DATA STT PAGOS_'!G251</f>
        <v>0</v>
      </c>
      <c r="AL253" s="525">
        <f>+'_DATA STT PAGOS_'!J251</f>
        <v>3945102.4029999999</v>
      </c>
      <c r="AM253" s="525">
        <f>+DATA!Y249</f>
        <v>22433</v>
      </c>
      <c r="AN253" s="525">
        <f>+DATA!Z249</f>
        <v>16029</v>
      </c>
      <c r="AO253" s="525">
        <f>+DATA!AA249</f>
        <v>19398</v>
      </c>
      <c r="AP253" s="525">
        <f>+DATA!AB249</f>
        <v>14786</v>
      </c>
      <c r="AQ253" s="525">
        <f>+DATA!AC249</f>
        <v>72646</v>
      </c>
      <c r="AR253" s="525">
        <f>+DATA!AD249</f>
        <v>1094</v>
      </c>
      <c r="AS253" s="525">
        <f>+DATA!AE249</f>
        <v>426</v>
      </c>
      <c r="AT253" s="525">
        <f>+DATA!AF249</f>
        <v>840.42700000000002</v>
      </c>
      <c r="AU253" s="525">
        <f>+DATA!AG249</f>
        <v>418</v>
      </c>
      <c r="AV253" s="525">
        <f>+DATA!AH249</f>
        <v>2778.4270000000001</v>
      </c>
    </row>
    <row r="254" spans="1:48" x14ac:dyDescent="0.25">
      <c r="A254" s="527">
        <v>11402</v>
      </c>
      <c r="B254" s="527">
        <v>11203</v>
      </c>
      <c r="C254" s="527" t="s">
        <v>423</v>
      </c>
      <c r="D254" s="771">
        <f t="shared" si="56"/>
        <v>2.8901734103999998E-3</v>
      </c>
      <c r="E254" s="771">
        <f t="shared" si="57"/>
        <v>7.2254335259999995E-4</v>
      </c>
      <c r="F254" s="525">
        <f>+DATA!D250</f>
        <v>2713</v>
      </c>
      <c r="G254" s="772">
        <f>+DATA!E250</f>
        <v>6.9847979222229559E-2</v>
      </c>
      <c r="H254" s="525">
        <f t="shared" si="66"/>
        <v>189</v>
      </c>
      <c r="I254" s="771">
        <f t="shared" si="58"/>
        <v>1.4473664060000001E-4</v>
      </c>
      <c r="J254" s="771">
        <f t="shared" si="59"/>
        <v>1.44736641E-5</v>
      </c>
      <c r="K254" s="525">
        <f>+DATA!G250</f>
        <v>2645</v>
      </c>
      <c r="L254" s="525">
        <f>+DATA!H250</f>
        <v>4604</v>
      </c>
      <c r="M254" s="525">
        <f>+DATA!I250</f>
        <v>47162860396</v>
      </c>
      <c r="N254" s="525">
        <f>+DATA!J250</f>
        <v>96077138107</v>
      </c>
      <c r="O254" s="773">
        <f t="shared" si="67"/>
        <v>0.53104976393660752</v>
      </c>
      <c r="P254" s="774" t="str">
        <f t="shared" si="68"/>
        <v>SI</v>
      </c>
      <c r="Q254" s="771">
        <f t="shared" si="60"/>
        <v>2.7830377669999998E-4</v>
      </c>
      <c r="R254" s="771">
        <f t="shared" si="61"/>
        <v>3.9900252919999998E-4</v>
      </c>
      <c r="S254" s="771">
        <f t="shared" si="62"/>
        <v>1.197007588E-4</v>
      </c>
      <c r="T254" s="525">
        <f>+DATA!K250</f>
        <v>0</v>
      </c>
      <c r="U254" s="525">
        <f>+DATA!L250</f>
        <v>0</v>
      </c>
      <c r="V254" s="525">
        <f>+DATA!M250</f>
        <v>422198</v>
      </c>
      <c r="W254" s="526">
        <f t="shared" si="63"/>
        <v>422198</v>
      </c>
      <c r="X254" s="526">
        <f t="shared" si="69"/>
        <v>422198</v>
      </c>
      <c r="Y254" s="526">
        <f t="shared" si="70"/>
        <v>422198</v>
      </c>
      <c r="Z254" s="525">
        <f>+DATA!F250</f>
        <v>158343.6584093736</v>
      </c>
      <c r="AA254" s="525">
        <f>IF(P254="SI",ROUND(Z254/DIV_Pf,PARAMETROS!$L$8),0)</f>
        <v>13195</v>
      </c>
      <c r="AB254" s="526">
        <f t="shared" si="71"/>
        <v>15908</v>
      </c>
      <c r="AC254" s="775">
        <f t="shared" si="72"/>
        <v>26.54</v>
      </c>
      <c r="AD254" s="525">
        <f>IF(AC254&lt;$AC$6,ROUND(($AC$6-AC254)*AB254,PARAMETROS!$L$8),0)</f>
        <v>1240506</v>
      </c>
      <c r="AE254" s="771">
        <f t="shared" si="64"/>
        <v>1.1906624480999999E-3</v>
      </c>
      <c r="AF254" s="771">
        <f t="shared" si="65"/>
        <v>4.1673185680000003E-4</v>
      </c>
      <c r="AG254" s="771">
        <f t="shared" si="73"/>
        <v>1.2734496323E-3</v>
      </c>
      <c r="AH254" s="525">
        <f>+DATA!Q250</f>
        <v>2203115.1209999998</v>
      </c>
      <c r="AI254" s="525">
        <f>+DATA!R250</f>
        <v>183592.92674999998</v>
      </c>
      <c r="AJ254" s="525">
        <f>+DATA!S250</f>
        <v>145038</v>
      </c>
      <c r="AK254" s="525">
        <f>+'_DATA STT PAGOS_'!G252</f>
        <v>0</v>
      </c>
      <c r="AL254" s="525">
        <f>+'_DATA STT PAGOS_'!J252</f>
        <v>2988138.8339999998</v>
      </c>
      <c r="AM254" s="525">
        <f>+DATA!Y250</f>
        <v>20559</v>
      </c>
      <c r="AN254" s="525">
        <f>+DATA!Z250</f>
        <v>8390</v>
      </c>
      <c r="AO254" s="525">
        <f>+DATA!AA250</f>
        <v>11888</v>
      </c>
      <c r="AP254" s="525">
        <f>+DATA!AB250</f>
        <v>7896</v>
      </c>
      <c r="AQ254" s="525">
        <f>+DATA!AC250</f>
        <v>48733</v>
      </c>
      <c r="AR254" s="525">
        <f>+DATA!AD250</f>
        <v>281</v>
      </c>
      <c r="AS254" s="525">
        <f>+DATA!AE250</f>
        <v>194</v>
      </c>
      <c r="AT254" s="525">
        <f>+DATA!AF250</f>
        <v>313.16699999999997</v>
      </c>
      <c r="AU254" s="525">
        <f>+DATA!AG250</f>
        <v>188</v>
      </c>
      <c r="AV254" s="525">
        <f>+DATA!AH250</f>
        <v>976.16699999999992</v>
      </c>
    </row>
    <row r="255" spans="1:48" x14ac:dyDescent="0.25">
      <c r="A255" s="527">
        <v>12101</v>
      </c>
      <c r="B255" s="527">
        <v>12205</v>
      </c>
      <c r="C255" s="527" t="s">
        <v>268</v>
      </c>
      <c r="D255" s="771">
        <f t="shared" si="56"/>
        <v>2.8901734103999998E-3</v>
      </c>
      <c r="E255" s="771">
        <f t="shared" si="57"/>
        <v>7.2254335259999995E-4</v>
      </c>
      <c r="F255" s="525">
        <f>+DATA!D251</f>
        <v>145713</v>
      </c>
      <c r="G255" s="772">
        <f>+DATA!E251</f>
        <v>3.500057934797781E-2</v>
      </c>
      <c r="H255" s="525">
        <f t="shared" si="66"/>
        <v>5100</v>
      </c>
      <c r="I255" s="771">
        <f t="shared" si="58"/>
        <v>3.9055918885999999E-3</v>
      </c>
      <c r="J255" s="771">
        <f t="shared" si="59"/>
        <v>3.9055918889999998E-4</v>
      </c>
      <c r="K255" s="525">
        <f>+DATA!G251</f>
        <v>35325</v>
      </c>
      <c r="L255" s="525">
        <f>+DATA!H251</f>
        <v>58579</v>
      </c>
      <c r="M255" s="525">
        <f>+DATA!I251</f>
        <v>2163417763621</v>
      </c>
      <c r="N255" s="525">
        <f>+DATA!J251</f>
        <v>4869943786913</v>
      </c>
      <c r="O255" s="773">
        <f t="shared" si="67"/>
        <v>0.51758100557628473</v>
      </c>
      <c r="P255" s="774" t="str">
        <f t="shared" si="68"/>
        <v>SI</v>
      </c>
      <c r="Q255" s="771">
        <f t="shared" si="60"/>
        <v>3.9014446466000001E-3</v>
      </c>
      <c r="R255" s="771">
        <f t="shared" si="61"/>
        <v>5.5934788233999999E-3</v>
      </c>
      <c r="S255" s="771">
        <f t="shared" si="62"/>
        <v>1.678043647E-3</v>
      </c>
      <c r="T255" s="525">
        <f>+DATA!K251</f>
        <v>0</v>
      </c>
      <c r="U255" s="525">
        <f>+DATA!L251</f>
        <v>0</v>
      </c>
      <c r="V255" s="525">
        <f>+DATA!M251</f>
        <v>24758659</v>
      </c>
      <c r="W255" s="526">
        <f t="shared" si="63"/>
        <v>24758659</v>
      </c>
      <c r="X255" s="526">
        <f t="shared" si="69"/>
        <v>24758659</v>
      </c>
      <c r="Y255" s="526">
        <f t="shared" si="70"/>
        <v>24758659</v>
      </c>
      <c r="Z255" s="525">
        <f>+DATA!F251</f>
        <v>1227110.2860961901</v>
      </c>
      <c r="AA255" s="525">
        <f>IF(P255="SI",ROUND(Z255/DIV_Pf,PARAMETROS!$L$8),0)</f>
        <v>102259</v>
      </c>
      <c r="AB255" s="526">
        <f t="shared" si="71"/>
        <v>247972</v>
      </c>
      <c r="AC255" s="775">
        <f t="shared" si="72"/>
        <v>99.84</v>
      </c>
      <c r="AD255" s="525">
        <f>IF(AC255&lt;$AC$6,ROUND(($AC$6-AC255)*AB255,PARAMETROS!$L$8),0)</f>
        <v>1160509</v>
      </c>
      <c r="AE255" s="771">
        <f t="shared" si="64"/>
        <v>1.1138797288999999E-3</v>
      </c>
      <c r="AF255" s="771">
        <f t="shared" si="65"/>
        <v>3.8985790510000001E-4</v>
      </c>
      <c r="AG255" s="771">
        <f t="shared" si="73"/>
        <v>3.1810040936E-3</v>
      </c>
      <c r="AH255" s="525">
        <f>+DATA!Q251</f>
        <v>8242481.7690000003</v>
      </c>
      <c r="AI255" s="525">
        <f>+DATA!R251</f>
        <v>686873.48074999999</v>
      </c>
      <c r="AJ255" s="525">
        <f>+DATA!S251</f>
        <v>542630</v>
      </c>
      <c r="AK255" s="525">
        <f>+'_DATA STT PAGOS_'!G253</f>
        <v>0</v>
      </c>
      <c r="AL255" s="525">
        <f>+'_DATA STT PAGOS_'!J253</f>
        <v>11185237.030000001</v>
      </c>
      <c r="AM255" s="525">
        <f>+DATA!Y251</f>
        <v>1282721</v>
      </c>
      <c r="AN255" s="525">
        <f>+DATA!Z251</f>
        <v>975746</v>
      </c>
      <c r="AO255" s="525">
        <f>+DATA!AA251</f>
        <v>1122642</v>
      </c>
      <c r="AP255" s="525">
        <f>+DATA!AB251</f>
        <v>870033</v>
      </c>
      <c r="AQ255" s="525">
        <f>+DATA!AC251</f>
        <v>4251142</v>
      </c>
      <c r="AR255" s="525">
        <f>+DATA!AD251</f>
        <v>164715</v>
      </c>
      <c r="AS255" s="525">
        <f>+DATA!AE251</f>
        <v>78349</v>
      </c>
      <c r="AT255" s="525">
        <f>+DATA!AF251</f>
        <v>110653.442</v>
      </c>
      <c r="AU255" s="525">
        <f>+DATA!AG251</f>
        <v>72957</v>
      </c>
      <c r="AV255" s="525">
        <f>+DATA!AH251</f>
        <v>426674.44199999998</v>
      </c>
    </row>
    <row r="256" spans="1:48" x14ac:dyDescent="0.25">
      <c r="A256" s="527">
        <v>12102</v>
      </c>
      <c r="B256" s="527">
        <v>12206</v>
      </c>
      <c r="C256" s="527" t="s">
        <v>269</v>
      </c>
      <c r="D256" s="771">
        <f t="shared" si="56"/>
        <v>2.8901734103999998E-3</v>
      </c>
      <c r="E256" s="771">
        <f t="shared" si="57"/>
        <v>7.2254335259999995E-4</v>
      </c>
      <c r="F256" s="525">
        <f>+DATA!D252</f>
        <v>248</v>
      </c>
      <c r="G256" s="772">
        <f>+DATA!E252</f>
        <v>2.250673905537242E-2</v>
      </c>
      <c r="H256" s="525">
        <f t="shared" si="66"/>
        <v>6</v>
      </c>
      <c r="I256" s="771">
        <f t="shared" si="58"/>
        <v>4.5948140000000004E-6</v>
      </c>
      <c r="J256" s="771">
        <f t="shared" si="59"/>
        <v>4.5948139999999998E-7</v>
      </c>
      <c r="K256" s="525">
        <f>+DATA!G252</f>
        <v>81</v>
      </c>
      <c r="L256" s="525">
        <f>+DATA!H252</f>
        <v>167</v>
      </c>
      <c r="M256" s="525">
        <f>+DATA!I252</f>
        <v>12540715032</v>
      </c>
      <c r="N256" s="525">
        <f>+DATA!J252</f>
        <v>77163719898</v>
      </c>
      <c r="O256" s="773">
        <f t="shared" si="67"/>
        <v>0.2807623349654555</v>
      </c>
      <c r="P256" s="774" t="str">
        <f t="shared" si="68"/>
        <v>NO</v>
      </c>
      <c r="Q256" s="771">
        <f t="shared" si="60"/>
        <v>7.1954278999999997E-6</v>
      </c>
      <c r="R256" s="771">
        <f t="shared" si="61"/>
        <v>1.03160437E-5</v>
      </c>
      <c r="S256" s="771">
        <f t="shared" si="62"/>
        <v>3.0948131000000001E-6</v>
      </c>
      <c r="T256" s="525">
        <f>+DATA!K252</f>
        <v>0</v>
      </c>
      <c r="U256" s="525">
        <f>+DATA!L252</f>
        <v>0</v>
      </c>
      <c r="V256" s="525">
        <f>+DATA!M252</f>
        <v>260967</v>
      </c>
      <c r="W256" s="526">
        <f t="shared" si="63"/>
        <v>260967</v>
      </c>
      <c r="X256" s="526">
        <f t="shared" si="69"/>
        <v>260967</v>
      </c>
      <c r="Y256" s="526">
        <f t="shared" si="70"/>
        <v>260967</v>
      </c>
      <c r="Z256" s="525">
        <f>+DATA!F252</f>
        <v>30085.968758825991</v>
      </c>
      <c r="AA256" s="525">
        <f>IF(P256="SI",ROUND(Z256/DIV_Pf,PARAMETROS!$L$8),0)</f>
        <v>0</v>
      </c>
      <c r="AB256" s="526">
        <f t="shared" si="71"/>
        <v>248</v>
      </c>
      <c r="AC256" s="775">
        <f t="shared" si="72"/>
        <v>1052.29</v>
      </c>
      <c r="AD256" s="525">
        <f>IF(AC256&lt;$AC$6,ROUND(($AC$6-AC256)*AB256,PARAMETROS!$L$8),0)</f>
        <v>0</v>
      </c>
      <c r="AE256" s="771">
        <f t="shared" si="64"/>
        <v>0</v>
      </c>
      <c r="AF256" s="771">
        <f t="shared" si="65"/>
        <v>0</v>
      </c>
      <c r="AG256" s="771">
        <f t="shared" si="73"/>
        <v>7.2609764709999998E-4</v>
      </c>
      <c r="AH256" s="525">
        <f>+DATA!Q252</f>
        <v>1374851.6</v>
      </c>
      <c r="AI256" s="525">
        <f>+DATA!R252</f>
        <v>114570.96666666667</v>
      </c>
      <c r="AJ256" s="525">
        <f>+DATA!S252</f>
        <v>90511</v>
      </c>
      <c r="AK256" s="525">
        <f>+'_DATA STT PAGOS_'!G254</f>
        <v>0</v>
      </c>
      <c r="AL256" s="525">
        <f>+'_DATA STT PAGOS_'!J254</f>
        <v>1865518.0789999999</v>
      </c>
      <c r="AM256" s="525">
        <f>+DATA!Y252</f>
        <v>18338</v>
      </c>
      <c r="AN256" s="525">
        <f>+DATA!Z252</f>
        <v>10843</v>
      </c>
      <c r="AO256" s="525">
        <f>+DATA!AA252</f>
        <v>11382</v>
      </c>
      <c r="AP256" s="525">
        <f>+DATA!AB252</f>
        <v>10785</v>
      </c>
      <c r="AQ256" s="525">
        <f>+DATA!AC252</f>
        <v>51348</v>
      </c>
      <c r="AR256" s="525">
        <f>+DATA!AD252</f>
        <v>0</v>
      </c>
      <c r="AS256" s="525">
        <f>+DATA!AE252</f>
        <v>0</v>
      </c>
      <c r="AT256" s="525">
        <f>+DATA!AF252</f>
        <v>0</v>
      </c>
      <c r="AU256" s="525">
        <f>+DATA!AG252</f>
        <v>0</v>
      </c>
      <c r="AV256" s="525">
        <f>+DATA!AH252</f>
        <v>0</v>
      </c>
    </row>
    <row r="257" spans="1:48" x14ac:dyDescent="0.25">
      <c r="A257" s="527">
        <v>12103</v>
      </c>
      <c r="B257" s="527">
        <v>12202</v>
      </c>
      <c r="C257" s="527" t="s">
        <v>424</v>
      </c>
      <c r="D257" s="771">
        <f t="shared" si="56"/>
        <v>2.8901734103999998E-3</v>
      </c>
      <c r="E257" s="771">
        <f t="shared" si="57"/>
        <v>7.2254335259999995E-4</v>
      </c>
      <c r="F257" s="525">
        <f>+DATA!D253</f>
        <v>205</v>
      </c>
      <c r="G257" s="772">
        <f>+DATA!E253</f>
        <v>2.8189035507099159E-2</v>
      </c>
      <c r="H257" s="525">
        <f t="shared" si="66"/>
        <v>6</v>
      </c>
      <c r="I257" s="771">
        <f t="shared" si="58"/>
        <v>4.5948140000000004E-6</v>
      </c>
      <c r="J257" s="771">
        <f t="shared" si="59"/>
        <v>4.5948139999999998E-7</v>
      </c>
      <c r="K257" s="525">
        <f>+DATA!G253</f>
        <v>71</v>
      </c>
      <c r="L257" s="525">
        <f>+DATA!H253</f>
        <v>167</v>
      </c>
      <c r="M257" s="525">
        <f>+DATA!I253</f>
        <v>2248534464</v>
      </c>
      <c r="N257" s="525">
        <f>+DATA!J253</f>
        <v>55676957026</v>
      </c>
      <c r="O257" s="773">
        <f t="shared" si="67"/>
        <v>0.13103368884775915</v>
      </c>
      <c r="P257" s="774" t="str">
        <f t="shared" si="68"/>
        <v>NO</v>
      </c>
      <c r="Q257" s="771">
        <f t="shared" si="60"/>
        <v>5.5284488000000003E-6</v>
      </c>
      <c r="R257" s="771">
        <f t="shared" si="61"/>
        <v>7.9261054000000003E-6</v>
      </c>
      <c r="S257" s="771">
        <f t="shared" si="62"/>
        <v>2.3778316000000002E-6</v>
      </c>
      <c r="T257" s="525">
        <f>+DATA!K253</f>
        <v>0</v>
      </c>
      <c r="U257" s="525">
        <f>+DATA!L253</f>
        <v>0</v>
      </c>
      <c r="V257" s="525">
        <f>+DATA!M253</f>
        <v>1108508</v>
      </c>
      <c r="W257" s="526">
        <f t="shared" si="63"/>
        <v>1108508</v>
      </c>
      <c r="X257" s="526">
        <f t="shared" si="69"/>
        <v>1108508</v>
      </c>
      <c r="Y257" s="526">
        <f t="shared" si="70"/>
        <v>1108508</v>
      </c>
      <c r="Z257" s="525">
        <f>+DATA!F253</f>
        <v>34942.003875472627</v>
      </c>
      <c r="AA257" s="525">
        <f>IF(P257="SI",ROUND(Z257/DIV_Pf,PARAMETROS!$L$8),0)</f>
        <v>0</v>
      </c>
      <c r="AB257" s="526">
        <f t="shared" si="71"/>
        <v>205</v>
      </c>
      <c r="AC257" s="775">
        <f t="shared" si="72"/>
        <v>5407.36</v>
      </c>
      <c r="AD257" s="525">
        <f>IF(AC257&lt;$AC$6,ROUND(($AC$6-AC257)*AB257,PARAMETROS!$L$8),0)</f>
        <v>0</v>
      </c>
      <c r="AE257" s="771">
        <f t="shared" si="64"/>
        <v>0</v>
      </c>
      <c r="AF257" s="771">
        <f t="shared" si="65"/>
        <v>0</v>
      </c>
      <c r="AG257" s="771">
        <f t="shared" si="73"/>
        <v>7.253806656E-4</v>
      </c>
      <c r="AH257" s="525">
        <f>+DATA!Q253</f>
        <v>1370753.098</v>
      </c>
      <c r="AI257" s="525">
        <f>+DATA!R253</f>
        <v>114229.42483333334</v>
      </c>
      <c r="AJ257" s="525">
        <f>+DATA!S253</f>
        <v>90241</v>
      </c>
      <c r="AK257" s="525">
        <f>+'_DATA STT PAGOS_'!G255</f>
        <v>0</v>
      </c>
      <c r="AL257" s="525">
        <f>+'_DATA STT PAGOS_'!J255</f>
        <v>1859902.348</v>
      </c>
      <c r="AM257" s="525">
        <f>+DATA!Y253</f>
        <v>20133</v>
      </c>
      <c r="AN257" s="525">
        <f>+DATA!Z253</f>
        <v>13030</v>
      </c>
      <c r="AO257" s="525">
        <f>+DATA!AA253</f>
        <v>15841</v>
      </c>
      <c r="AP257" s="525">
        <f>+DATA!AB253</f>
        <v>6081</v>
      </c>
      <c r="AQ257" s="525">
        <f>+DATA!AC253</f>
        <v>55085</v>
      </c>
      <c r="AR257" s="525">
        <f>+DATA!AD253</f>
        <v>0</v>
      </c>
      <c r="AS257" s="525">
        <f>+DATA!AE253</f>
        <v>0</v>
      </c>
      <c r="AT257" s="525">
        <f>+DATA!AF253</f>
        <v>0</v>
      </c>
      <c r="AU257" s="525">
        <f>+DATA!AG253</f>
        <v>0</v>
      </c>
      <c r="AV257" s="525">
        <f>+DATA!AH253</f>
        <v>0</v>
      </c>
    </row>
    <row r="258" spans="1:48" x14ac:dyDescent="0.25">
      <c r="A258" s="527">
        <v>12104</v>
      </c>
      <c r="B258" s="527">
        <v>12204</v>
      </c>
      <c r="C258" s="527" t="s">
        <v>267</v>
      </c>
      <c r="D258" s="771">
        <f t="shared" si="56"/>
        <v>2.8901734103999998E-3</v>
      </c>
      <c r="E258" s="771">
        <f t="shared" si="57"/>
        <v>7.2254335259999995E-4</v>
      </c>
      <c r="F258" s="525">
        <f>+DATA!D254</f>
        <v>651</v>
      </c>
      <c r="G258" s="772">
        <f>+DATA!E254</f>
        <v>8.0598348223237762E-2</v>
      </c>
      <c r="H258" s="525">
        <f t="shared" si="66"/>
        <v>52</v>
      </c>
      <c r="I258" s="771">
        <f t="shared" si="58"/>
        <v>3.9821721199999999E-5</v>
      </c>
      <c r="J258" s="771">
        <f t="shared" si="59"/>
        <v>3.9821720999999998E-6</v>
      </c>
      <c r="K258" s="525">
        <f>+DATA!G254</f>
        <v>168</v>
      </c>
      <c r="L258" s="525">
        <f>+DATA!H254</f>
        <v>315</v>
      </c>
      <c r="M258" s="525">
        <f>+DATA!I254</f>
        <v>9185819003</v>
      </c>
      <c r="N258" s="525">
        <f>+DATA!J254</f>
        <v>114743690886</v>
      </c>
      <c r="O258" s="773">
        <f t="shared" si="67"/>
        <v>0.20663024858494575</v>
      </c>
      <c r="P258" s="774" t="str">
        <f t="shared" si="68"/>
        <v>NO</v>
      </c>
      <c r="Q258" s="771">
        <f t="shared" si="60"/>
        <v>1.6410094099999999E-5</v>
      </c>
      <c r="R258" s="771">
        <f t="shared" si="61"/>
        <v>2.3527057799999999E-5</v>
      </c>
      <c r="S258" s="771">
        <f t="shared" si="62"/>
        <v>7.0581172999999999E-6</v>
      </c>
      <c r="T258" s="525">
        <f>+DATA!K254</f>
        <v>0</v>
      </c>
      <c r="U258" s="525">
        <f>+DATA!L254</f>
        <v>0</v>
      </c>
      <c r="V258" s="525">
        <f>+DATA!M254</f>
        <v>582772</v>
      </c>
      <c r="W258" s="526">
        <f t="shared" si="63"/>
        <v>582772</v>
      </c>
      <c r="X258" s="526">
        <f t="shared" si="69"/>
        <v>582772</v>
      </c>
      <c r="Y258" s="526">
        <f t="shared" si="70"/>
        <v>582772</v>
      </c>
      <c r="Z258" s="525">
        <f>+DATA!F254</f>
        <v>46944.345347198847</v>
      </c>
      <c r="AA258" s="525">
        <f>IF(P258="SI",ROUND(Z258/DIV_Pf,PARAMETROS!$L$8),0)</f>
        <v>0</v>
      </c>
      <c r="AB258" s="526">
        <f t="shared" si="71"/>
        <v>651</v>
      </c>
      <c r="AC258" s="775">
        <f t="shared" si="72"/>
        <v>895.2</v>
      </c>
      <c r="AD258" s="525">
        <f>IF(AC258&lt;$AC$6,ROUND(($AC$6-AC258)*AB258,PARAMETROS!$L$8),0)</f>
        <v>0</v>
      </c>
      <c r="AE258" s="771">
        <f t="shared" si="64"/>
        <v>0</v>
      </c>
      <c r="AF258" s="771">
        <f t="shared" si="65"/>
        <v>0</v>
      </c>
      <c r="AG258" s="771">
        <f t="shared" si="73"/>
        <v>7.3358364199999993E-4</v>
      </c>
      <c r="AH258" s="525">
        <f>+DATA!Q254</f>
        <v>1382905.818</v>
      </c>
      <c r="AI258" s="525">
        <f>+DATA!R254</f>
        <v>115242.15149999999</v>
      </c>
      <c r="AJ258" s="525">
        <f>+DATA!S254</f>
        <v>91041</v>
      </c>
      <c r="AK258" s="525">
        <f>+'_DATA STT PAGOS_'!G256</f>
        <v>0</v>
      </c>
      <c r="AL258" s="525">
        <f>+'_DATA STT PAGOS_'!J256</f>
        <v>1876555.5489999999</v>
      </c>
      <c r="AM258" s="525">
        <f>+DATA!Y254</f>
        <v>37144</v>
      </c>
      <c r="AN258" s="525">
        <f>+DATA!Z254</f>
        <v>19691</v>
      </c>
      <c r="AO258" s="525">
        <f>+DATA!AA254</f>
        <v>23962</v>
      </c>
      <c r="AP258" s="525">
        <f>+DATA!AB254</f>
        <v>29611</v>
      </c>
      <c r="AQ258" s="525">
        <f>+DATA!AC254</f>
        <v>110408</v>
      </c>
      <c r="AR258" s="525">
        <f>+DATA!AD254</f>
        <v>0</v>
      </c>
      <c r="AS258" s="525">
        <f>+DATA!AE254</f>
        <v>0</v>
      </c>
      <c r="AT258" s="525">
        <f>+DATA!AF254</f>
        <v>0</v>
      </c>
      <c r="AU258" s="525">
        <f>+DATA!AG254</f>
        <v>0</v>
      </c>
      <c r="AV258" s="525">
        <f>+DATA!AH254</f>
        <v>0</v>
      </c>
    </row>
    <row r="259" spans="1:48" x14ac:dyDescent="0.25">
      <c r="A259" s="527">
        <v>12201</v>
      </c>
      <c r="B259" s="527">
        <v>12401</v>
      </c>
      <c r="C259" s="527" t="s">
        <v>273</v>
      </c>
      <c r="D259" s="771">
        <f t="shared" si="56"/>
        <v>2.8901734103999998E-3</v>
      </c>
      <c r="E259" s="771">
        <f t="shared" si="57"/>
        <v>7.2254335259999995E-4</v>
      </c>
      <c r="F259" s="525">
        <f>+DATA!D255</f>
        <v>1968</v>
      </c>
      <c r="G259" s="772">
        <f>+DATA!E255</f>
        <v>1.186221304315507E-2</v>
      </c>
      <c r="H259" s="525">
        <f t="shared" si="66"/>
        <v>23</v>
      </c>
      <c r="I259" s="771">
        <f t="shared" si="58"/>
        <v>1.7613453600000001E-5</v>
      </c>
      <c r="J259" s="771">
        <f t="shared" si="59"/>
        <v>1.7613453999999999E-6</v>
      </c>
      <c r="K259" s="525">
        <f>+DATA!G255</f>
        <v>990</v>
      </c>
      <c r="L259" s="525">
        <f>+DATA!H255</f>
        <v>990</v>
      </c>
      <c r="M259" s="525">
        <f>+DATA!I255</f>
        <v>70499798808</v>
      </c>
      <c r="N259" s="525">
        <f>+DATA!J255</f>
        <v>70499798808</v>
      </c>
      <c r="O259" s="773">
        <f t="shared" si="67"/>
        <v>1</v>
      </c>
      <c r="P259" s="774" t="str">
        <f t="shared" si="68"/>
        <v>SI</v>
      </c>
      <c r="Q259" s="771">
        <f t="shared" si="60"/>
        <v>1.813168881E-4</v>
      </c>
      <c r="R259" s="771">
        <f t="shared" si="61"/>
        <v>2.5995298300000001E-4</v>
      </c>
      <c r="S259" s="771">
        <f t="shared" si="62"/>
        <v>7.7985894900000003E-5</v>
      </c>
      <c r="T259" s="525">
        <f>+DATA!K255</f>
        <v>0</v>
      </c>
      <c r="U259" s="525">
        <f>+DATA!L255</f>
        <v>0</v>
      </c>
      <c r="V259" s="525">
        <f>+DATA!M255</f>
        <v>405763</v>
      </c>
      <c r="W259" s="526">
        <f t="shared" si="63"/>
        <v>405763</v>
      </c>
      <c r="X259" s="526">
        <f t="shared" si="69"/>
        <v>405763</v>
      </c>
      <c r="Y259" s="526">
        <f t="shared" si="70"/>
        <v>405763</v>
      </c>
      <c r="Z259" s="525">
        <f>+DATA!F255</f>
        <v>50395.090073675776</v>
      </c>
      <c r="AA259" s="525">
        <f>IF(P259="SI",ROUND(Z259/DIV_Pf,PARAMETROS!$L$8),0)</f>
        <v>4200</v>
      </c>
      <c r="AB259" s="526">
        <f t="shared" si="71"/>
        <v>6168</v>
      </c>
      <c r="AC259" s="775">
        <f t="shared" si="72"/>
        <v>65.790000000000006</v>
      </c>
      <c r="AD259" s="525">
        <f>IF(AC259&lt;$AC$6,ROUND(($AC$6-AC259)*AB259,PARAMETROS!$L$8),0)</f>
        <v>238887</v>
      </c>
      <c r="AE259" s="771">
        <f t="shared" si="64"/>
        <v>2.292885163E-4</v>
      </c>
      <c r="AF259" s="771">
        <f t="shared" si="65"/>
        <v>8.0250980699999994E-5</v>
      </c>
      <c r="AG259" s="771">
        <f t="shared" si="73"/>
        <v>8.8254157359999989E-4</v>
      </c>
      <c r="AH259" s="525">
        <f>+DATA!Q255</f>
        <v>1677703.0379999999</v>
      </c>
      <c r="AI259" s="525">
        <f>+DATA!R255</f>
        <v>139808.5865</v>
      </c>
      <c r="AJ259" s="525">
        <f>+DATA!S255</f>
        <v>110449</v>
      </c>
      <c r="AK259" s="525">
        <f>+'_DATA STT PAGOS_'!G257</f>
        <v>0</v>
      </c>
      <c r="AL259" s="525">
        <f>+'_DATA STT PAGOS_'!J257</f>
        <v>2275995.2259999998</v>
      </c>
      <c r="AM259" s="525">
        <f>+DATA!Y255</f>
        <v>0</v>
      </c>
      <c r="AN259" s="525">
        <f>+DATA!Z255</f>
        <v>0</v>
      </c>
      <c r="AO259" s="525">
        <f>+DATA!AA255</f>
        <v>0</v>
      </c>
      <c r="AP259" s="525">
        <f>+DATA!AB255</f>
        <v>0</v>
      </c>
      <c r="AQ259" s="525">
        <f>+DATA!AC255</f>
        <v>0</v>
      </c>
      <c r="AR259" s="525">
        <f>+DATA!AD255</f>
        <v>0</v>
      </c>
      <c r="AS259" s="525">
        <f>+DATA!AE255</f>
        <v>0</v>
      </c>
      <c r="AT259" s="525">
        <f>+DATA!AF255</f>
        <v>0</v>
      </c>
      <c r="AU259" s="525">
        <f>+DATA!AG255</f>
        <v>0</v>
      </c>
      <c r="AV259" s="525">
        <f>+DATA!AH255</f>
        <v>0</v>
      </c>
    </row>
    <row r="260" spans="1:48" x14ac:dyDescent="0.25">
      <c r="A260" s="527">
        <v>12202</v>
      </c>
      <c r="B260" s="527">
        <v>12402</v>
      </c>
      <c r="C260" s="527" t="s">
        <v>472</v>
      </c>
      <c r="D260" s="771">
        <f t="shared" si="56"/>
        <v>2.8901734103999998E-3</v>
      </c>
      <c r="E260" s="771">
        <f t="shared" si="57"/>
        <v>7.2254335259999995E-4</v>
      </c>
      <c r="F260" s="525">
        <f>+DATA!D256</f>
        <v>0</v>
      </c>
      <c r="G260" s="772">
        <f>+DATA!E256</f>
        <v>0</v>
      </c>
      <c r="H260" s="525">
        <f t="shared" si="66"/>
        <v>0</v>
      </c>
      <c r="I260" s="771">
        <f t="shared" si="58"/>
        <v>0</v>
      </c>
      <c r="J260" s="771">
        <f t="shared" si="59"/>
        <v>0</v>
      </c>
      <c r="K260" s="525">
        <f>+DATA!G256</f>
        <v>0</v>
      </c>
      <c r="L260" s="525">
        <f>+DATA!H256</f>
        <v>0</v>
      </c>
      <c r="M260" s="525">
        <f>+DATA!I256</f>
        <v>0</v>
      </c>
      <c r="N260" s="525">
        <f>+DATA!J256</f>
        <v>0</v>
      </c>
      <c r="O260" s="773">
        <f t="shared" si="67"/>
        <v>0</v>
      </c>
      <c r="P260" s="774" t="str">
        <f t="shared" si="68"/>
        <v>NO</v>
      </c>
      <c r="Q260" s="771">
        <f t="shared" si="60"/>
        <v>0</v>
      </c>
      <c r="R260" s="771">
        <f t="shared" si="61"/>
        <v>0</v>
      </c>
      <c r="S260" s="771">
        <f t="shared" si="62"/>
        <v>0</v>
      </c>
      <c r="T260" s="525">
        <f>+DATA!K256</f>
        <v>0</v>
      </c>
      <c r="U260" s="525">
        <f>+DATA!L256</f>
        <v>0</v>
      </c>
      <c r="V260" s="525">
        <f>+DATA!M256</f>
        <v>0</v>
      </c>
      <c r="W260" s="526">
        <f t="shared" si="63"/>
        <v>0</v>
      </c>
      <c r="X260" s="526">
        <f t="shared" si="69"/>
        <v>0</v>
      </c>
      <c r="Y260" s="526">
        <f t="shared" si="70"/>
        <v>0</v>
      </c>
      <c r="Z260" s="525">
        <f>+DATA!F256</f>
        <v>0</v>
      </c>
      <c r="AA260" s="525">
        <f>IF(P260="SI",ROUND(Z260/DIV_Pf,PARAMETROS!$L$8),0)</f>
        <v>0</v>
      </c>
      <c r="AB260" s="526">
        <f t="shared" si="71"/>
        <v>0</v>
      </c>
      <c r="AC260" s="775">
        <f t="shared" si="72"/>
        <v>0</v>
      </c>
      <c r="AD260" s="525">
        <f>IF(AC260&lt;$AC$6,ROUND(($AC$6-AC260)*AB260,PARAMETROS!$L$8),0)</f>
        <v>0</v>
      </c>
      <c r="AE260" s="771">
        <f t="shared" si="64"/>
        <v>0</v>
      </c>
      <c r="AF260" s="771">
        <f t="shared" si="65"/>
        <v>0</v>
      </c>
      <c r="AG260" s="771">
        <f t="shared" si="73"/>
        <v>7.2254335259999995E-4</v>
      </c>
      <c r="AH260" s="525">
        <f>+DATA!Q256</f>
        <v>1362356.0819999999</v>
      </c>
      <c r="AI260" s="525">
        <f>+DATA!R256</f>
        <v>113529.67349999999</v>
      </c>
      <c r="AJ260" s="525">
        <f>+DATA!S256</f>
        <v>89688</v>
      </c>
      <c r="AK260" s="525">
        <f>+'_DATA STT PAGOS_'!G258</f>
        <v>0</v>
      </c>
      <c r="AL260" s="525">
        <f>+'_DATA STT PAGOS_'!J258</f>
        <v>1848557.81</v>
      </c>
      <c r="AM260" s="525">
        <f>+DATA!Y256</f>
        <v>0</v>
      </c>
      <c r="AN260" s="525">
        <f>+DATA!Z256</f>
        <v>0</v>
      </c>
      <c r="AO260" s="525">
        <f>+DATA!AA256</f>
        <v>0</v>
      </c>
      <c r="AP260" s="525">
        <f>+DATA!AB256</f>
        <v>0</v>
      </c>
      <c r="AQ260" s="525">
        <f>+DATA!AC256</f>
        <v>0</v>
      </c>
      <c r="AR260" s="525">
        <f>+DATA!AD256</f>
        <v>0</v>
      </c>
      <c r="AS260" s="525">
        <f>+DATA!AE256</f>
        <v>0</v>
      </c>
      <c r="AT260" s="525">
        <f>+DATA!AF256</f>
        <v>0</v>
      </c>
      <c r="AU260" s="525">
        <f>+DATA!AG256</f>
        <v>0</v>
      </c>
      <c r="AV260" s="525">
        <f>+DATA!AH256</f>
        <v>0</v>
      </c>
    </row>
    <row r="261" spans="1:48" x14ac:dyDescent="0.25">
      <c r="A261" s="527">
        <v>12301</v>
      </c>
      <c r="B261" s="527">
        <v>12301</v>
      </c>
      <c r="C261" s="527" t="s">
        <v>270</v>
      </c>
      <c r="D261" s="771">
        <f t="shared" si="56"/>
        <v>2.8901734103999998E-3</v>
      </c>
      <c r="E261" s="771">
        <f t="shared" si="57"/>
        <v>7.2254335259999995E-4</v>
      </c>
      <c r="F261" s="525">
        <f>+DATA!D257</f>
        <v>7637</v>
      </c>
      <c r="G261" s="772">
        <f>+DATA!E257</f>
        <v>3.6274869319115513E-2</v>
      </c>
      <c r="H261" s="525">
        <f t="shared" si="66"/>
        <v>277</v>
      </c>
      <c r="I261" s="771">
        <f t="shared" si="58"/>
        <v>2.121272457E-4</v>
      </c>
      <c r="J261" s="771">
        <f t="shared" si="59"/>
        <v>2.12127246E-5</v>
      </c>
      <c r="K261" s="525">
        <f>+DATA!G257</f>
        <v>3375</v>
      </c>
      <c r="L261" s="525">
        <f>+DATA!H257</f>
        <v>3375</v>
      </c>
      <c r="M261" s="525">
        <f>+DATA!I257</f>
        <v>279098163024</v>
      </c>
      <c r="N261" s="525">
        <f>+DATA!J257</f>
        <v>279098163024</v>
      </c>
      <c r="O261" s="773">
        <f t="shared" si="67"/>
        <v>1</v>
      </c>
      <c r="P261" s="774" t="str">
        <f t="shared" si="68"/>
        <v>SI</v>
      </c>
      <c r="Q261" s="771">
        <f t="shared" si="60"/>
        <v>6.1812575480000003E-4</v>
      </c>
      <c r="R261" s="771">
        <f t="shared" si="61"/>
        <v>8.8620335100000002E-4</v>
      </c>
      <c r="S261" s="771">
        <f t="shared" si="62"/>
        <v>2.6586100530000002E-4</v>
      </c>
      <c r="T261" s="525">
        <f>+DATA!K257</f>
        <v>0</v>
      </c>
      <c r="U261" s="525">
        <f>+DATA!L257</f>
        <v>0</v>
      </c>
      <c r="V261" s="525">
        <f>+DATA!M257</f>
        <v>1751515</v>
      </c>
      <c r="W261" s="526">
        <f t="shared" si="63"/>
        <v>1751515</v>
      </c>
      <c r="X261" s="526">
        <f t="shared" si="69"/>
        <v>1751515</v>
      </c>
      <c r="Y261" s="526">
        <f t="shared" si="70"/>
        <v>1751515</v>
      </c>
      <c r="Z261" s="525">
        <f>+DATA!F257</f>
        <v>79639.050372300029</v>
      </c>
      <c r="AA261" s="525">
        <f>IF(P261="SI",ROUND(Z261/DIV_Pf,PARAMETROS!$L$8),0)</f>
        <v>6637</v>
      </c>
      <c r="AB261" s="526">
        <f t="shared" si="71"/>
        <v>14274</v>
      </c>
      <c r="AC261" s="775">
        <f t="shared" si="72"/>
        <v>122.71</v>
      </c>
      <c r="AD261" s="525">
        <f>IF(AC261&lt;$AC$6,ROUND(($AC$6-AC261)*AB261,PARAMETROS!$L$8),0)</f>
        <v>0</v>
      </c>
      <c r="AE261" s="771">
        <f t="shared" si="64"/>
        <v>0</v>
      </c>
      <c r="AF261" s="771">
        <f t="shared" si="65"/>
        <v>0</v>
      </c>
      <c r="AG261" s="771">
        <f t="shared" si="73"/>
        <v>1.0096170824999999E-3</v>
      </c>
      <c r="AH261" s="525">
        <f>+DATA!Q257</f>
        <v>1946505.3289999999</v>
      </c>
      <c r="AI261" s="525">
        <f>+DATA!R257</f>
        <v>162208.77741666665</v>
      </c>
      <c r="AJ261" s="525">
        <f>+DATA!S257</f>
        <v>128145</v>
      </c>
      <c r="AK261" s="525">
        <f>+'_DATA STT PAGOS_'!G259</f>
        <v>0</v>
      </c>
      <c r="AL261" s="525">
        <f>+'_DATA STT PAGOS_'!J259</f>
        <v>2640765.5759999999</v>
      </c>
      <c r="AM261" s="525">
        <f>+DATA!Y257</f>
        <v>0</v>
      </c>
      <c r="AN261" s="525">
        <f>+DATA!Z257</f>
        <v>0</v>
      </c>
      <c r="AO261" s="525">
        <f>+DATA!AA257</f>
        <v>0</v>
      </c>
      <c r="AP261" s="525">
        <f>+DATA!AB257</f>
        <v>0</v>
      </c>
      <c r="AQ261" s="525">
        <f>+DATA!AC257</f>
        <v>0</v>
      </c>
      <c r="AR261" s="525">
        <f>+DATA!AD257</f>
        <v>0</v>
      </c>
      <c r="AS261" s="525">
        <f>+DATA!AE257</f>
        <v>0</v>
      </c>
      <c r="AT261" s="525">
        <f>+DATA!AF257</f>
        <v>0</v>
      </c>
      <c r="AU261" s="525">
        <f>+DATA!AG257</f>
        <v>0</v>
      </c>
      <c r="AV261" s="525">
        <f>+DATA!AH257</f>
        <v>0</v>
      </c>
    </row>
    <row r="262" spans="1:48" x14ac:dyDescent="0.25">
      <c r="A262" s="527">
        <v>12302</v>
      </c>
      <c r="B262" s="527">
        <v>12302</v>
      </c>
      <c r="C262" s="527" t="s">
        <v>271</v>
      </c>
      <c r="D262" s="771">
        <f t="shared" si="56"/>
        <v>2.8901734103999998E-3</v>
      </c>
      <c r="E262" s="771">
        <f t="shared" si="57"/>
        <v>7.2254335259999995E-4</v>
      </c>
      <c r="F262" s="525">
        <f>+DATA!D258</f>
        <v>674</v>
      </c>
      <c r="G262" s="772">
        <f>+DATA!E258</f>
        <v>1.296169787156448E-2</v>
      </c>
      <c r="H262" s="525">
        <f t="shared" si="66"/>
        <v>9</v>
      </c>
      <c r="I262" s="771">
        <f t="shared" si="58"/>
        <v>6.8922209999999998E-6</v>
      </c>
      <c r="J262" s="771">
        <f t="shared" si="59"/>
        <v>6.8922210000000002E-7</v>
      </c>
      <c r="K262" s="525">
        <f>+DATA!G258</f>
        <v>370</v>
      </c>
      <c r="L262" s="525">
        <f>+DATA!H258</f>
        <v>370</v>
      </c>
      <c r="M262" s="525">
        <f>+DATA!I258</f>
        <v>103438609333</v>
      </c>
      <c r="N262" s="525">
        <f>+DATA!J258</f>
        <v>103438609333</v>
      </c>
      <c r="O262" s="773">
        <f t="shared" si="67"/>
        <v>1</v>
      </c>
      <c r="P262" s="774" t="str">
        <f t="shared" si="68"/>
        <v>SI</v>
      </c>
      <c r="Q262" s="771">
        <f t="shared" si="60"/>
        <v>6.7764897599999994E-5</v>
      </c>
      <c r="R262" s="771">
        <f t="shared" si="61"/>
        <v>9.7154145199999998E-5</v>
      </c>
      <c r="S262" s="771">
        <f t="shared" si="62"/>
        <v>2.9146243599999999E-5</v>
      </c>
      <c r="T262" s="525">
        <f>+DATA!K258</f>
        <v>0</v>
      </c>
      <c r="U262" s="525">
        <f>+DATA!L258</f>
        <v>0</v>
      </c>
      <c r="V262" s="525">
        <f>+DATA!M258</f>
        <v>224666</v>
      </c>
      <c r="W262" s="526">
        <f t="shared" si="63"/>
        <v>224666</v>
      </c>
      <c r="X262" s="526">
        <f t="shared" si="69"/>
        <v>224666</v>
      </c>
      <c r="Y262" s="526">
        <f t="shared" si="70"/>
        <v>224666</v>
      </c>
      <c r="Z262" s="525">
        <f>+DATA!F258</f>
        <v>34591.512237564675</v>
      </c>
      <c r="AA262" s="525">
        <f>IF(P262="SI",ROUND(Z262/DIV_Pf,PARAMETROS!$L$8),0)</f>
        <v>2883</v>
      </c>
      <c r="AB262" s="526">
        <f t="shared" si="71"/>
        <v>3557</v>
      </c>
      <c r="AC262" s="775">
        <f t="shared" si="72"/>
        <v>63.16</v>
      </c>
      <c r="AD262" s="525">
        <f>IF(AC262&lt;$AC$6,ROUND(($AC$6-AC262)*AB262,PARAMETROS!$L$8),0)</f>
        <v>147118</v>
      </c>
      <c r="AE262" s="771">
        <f t="shared" si="64"/>
        <v>1.4120679630000001E-4</v>
      </c>
      <c r="AF262" s="771">
        <f t="shared" si="65"/>
        <v>4.9422378699999997E-5</v>
      </c>
      <c r="AG262" s="771">
        <f t="shared" si="73"/>
        <v>8.0180119699999985E-4</v>
      </c>
      <c r="AH262" s="525">
        <f>+DATA!Q258</f>
        <v>1439538.142</v>
      </c>
      <c r="AI262" s="525">
        <f>+DATA!R258</f>
        <v>119961.51183333334</v>
      </c>
      <c r="AJ262" s="525">
        <f>+DATA!S258</f>
        <v>94770</v>
      </c>
      <c r="AK262" s="525">
        <f>+'_DATA STT PAGOS_'!G260</f>
        <v>0</v>
      </c>
      <c r="AL262" s="525">
        <f>+'_DATA STT PAGOS_'!J260</f>
        <v>1953097.74</v>
      </c>
      <c r="AM262" s="525">
        <f>+DATA!Y258</f>
        <v>0</v>
      </c>
      <c r="AN262" s="525">
        <f>+DATA!Z258</f>
        <v>0</v>
      </c>
      <c r="AO262" s="525">
        <f>+DATA!AA258</f>
        <v>0</v>
      </c>
      <c r="AP262" s="525">
        <f>+DATA!AB258</f>
        <v>0</v>
      </c>
      <c r="AQ262" s="525">
        <f>+DATA!AC258</f>
        <v>0</v>
      </c>
      <c r="AR262" s="525">
        <f>+DATA!AD258</f>
        <v>0</v>
      </c>
      <c r="AS262" s="525">
        <f>+DATA!AE258</f>
        <v>0</v>
      </c>
      <c r="AT262" s="525">
        <f>+DATA!AF258</f>
        <v>0</v>
      </c>
      <c r="AU262" s="525">
        <f>+DATA!AG258</f>
        <v>0</v>
      </c>
      <c r="AV262" s="525">
        <f>+DATA!AH258</f>
        <v>0</v>
      </c>
    </row>
    <row r="263" spans="1:48" x14ac:dyDescent="0.25">
      <c r="A263" s="527">
        <v>12303</v>
      </c>
      <c r="B263" s="527">
        <v>12304</v>
      </c>
      <c r="C263" s="527" t="s">
        <v>272</v>
      </c>
      <c r="D263" s="771">
        <f t="shared" si="56"/>
        <v>2.8901734103999998E-3</v>
      </c>
      <c r="E263" s="771">
        <f t="shared" si="57"/>
        <v>7.2254335259999995E-4</v>
      </c>
      <c r="F263" s="525">
        <f>+DATA!D259</f>
        <v>276</v>
      </c>
      <c r="G263" s="772">
        <f>+DATA!E259</f>
        <v>6.4338861858849253E-2</v>
      </c>
      <c r="H263" s="525">
        <f t="shared" si="66"/>
        <v>18</v>
      </c>
      <c r="I263" s="771">
        <f t="shared" si="58"/>
        <v>1.3784442E-5</v>
      </c>
      <c r="J263" s="771">
        <f t="shared" si="59"/>
        <v>1.3784442E-6</v>
      </c>
      <c r="K263" s="525">
        <f>+DATA!G259</f>
        <v>319</v>
      </c>
      <c r="L263" s="525">
        <f>+DATA!H259</f>
        <v>319</v>
      </c>
      <c r="M263" s="525">
        <f>+DATA!I259</f>
        <v>35645397110</v>
      </c>
      <c r="N263" s="525">
        <f>+DATA!J259</f>
        <v>35645397110</v>
      </c>
      <c r="O263" s="773">
        <f t="shared" si="67"/>
        <v>1</v>
      </c>
      <c r="P263" s="774" t="str">
        <f t="shared" si="68"/>
        <v>SI</v>
      </c>
      <c r="Q263" s="771">
        <f t="shared" si="60"/>
        <v>5.8424330600000001E-5</v>
      </c>
      <c r="R263" s="771">
        <f t="shared" si="61"/>
        <v>8.3762627800000003E-5</v>
      </c>
      <c r="S263" s="771">
        <f t="shared" si="62"/>
        <v>2.5128788300000001E-5</v>
      </c>
      <c r="T263" s="525">
        <f>+DATA!K259</f>
        <v>0</v>
      </c>
      <c r="U263" s="525">
        <f>+DATA!L259</f>
        <v>0</v>
      </c>
      <c r="V263" s="525">
        <f>+DATA!M259</f>
        <v>123098</v>
      </c>
      <c r="W263" s="526">
        <f t="shared" si="63"/>
        <v>123098</v>
      </c>
      <c r="X263" s="526">
        <f t="shared" si="69"/>
        <v>123098</v>
      </c>
      <c r="Y263" s="526">
        <f t="shared" si="70"/>
        <v>123098</v>
      </c>
      <c r="Z263" s="525">
        <f>+DATA!F259</f>
        <v>7117.501002254473</v>
      </c>
      <c r="AA263" s="525">
        <f>IF(P263="SI",ROUND(Z263/DIV_Pf,PARAMETROS!$L$8),0)</f>
        <v>593</v>
      </c>
      <c r="AB263" s="526">
        <f t="shared" si="71"/>
        <v>869</v>
      </c>
      <c r="AC263" s="775">
        <f t="shared" si="72"/>
        <v>141.65</v>
      </c>
      <c r="AD263" s="525">
        <f>IF(AC263&lt;$AC$6,ROUND(($AC$6-AC263)*AB263,PARAMETROS!$L$8),0)</f>
        <v>0</v>
      </c>
      <c r="AE263" s="771">
        <f t="shared" si="64"/>
        <v>0</v>
      </c>
      <c r="AF263" s="771">
        <f t="shared" si="65"/>
        <v>0</v>
      </c>
      <c r="AG263" s="771">
        <f t="shared" si="73"/>
        <v>7.4905058509999994E-4</v>
      </c>
      <c r="AH263" s="525">
        <f>+DATA!Q259</f>
        <v>1452235.4639999999</v>
      </c>
      <c r="AI263" s="525">
        <f>+DATA!R259</f>
        <v>121019.62199999999</v>
      </c>
      <c r="AJ263" s="525">
        <f>+DATA!S259</f>
        <v>95606</v>
      </c>
      <c r="AK263" s="525">
        <f>+'_DATA STT PAGOS_'!G261</f>
        <v>0</v>
      </c>
      <c r="AL263" s="525">
        <f>+'_DATA STT PAGOS_'!J261</f>
        <v>1970593.9819999998</v>
      </c>
      <c r="AM263" s="525">
        <f>+DATA!Y259</f>
        <v>0</v>
      </c>
      <c r="AN263" s="525">
        <f>+DATA!Z259</f>
        <v>0</v>
      </c>
      <c r="AO263" s="525">
        <f>+DATA!AA259</f>
        <v>0</v>
      </c>
      <c r="AP263" s="525">
        <f>+DATA!AB259</f>
        <v>0</v>
      </c>
      <c r="AQ263" s="525">
        <f>+DATA!AC259</f>
        <v>0</v>
      </c>
      <c r="AR263" s="525">
        <f>+DATA!AD259</f>
        <v>0</v>
      </c>
      <c r="AS263" s="525">
        <f>+DATA!AE259</f>
        <v>0</v>
      </c>
      <c r="AT263" s="525">
        <f>+DATA!AF259</f>
        <v>0</v>
      </c>
      <c r="AU263" s="525">
        <f>+DATA!AG259</f>
        <v>0</v>
      </c>
      <c r="AV263" s="525">
        <f>+DATA!AH259</f>
        <v>0</v>
      </c>
    </row>
    <row r="264" spans="1:48" x14ac:dyDescent="0.25">
      <c r="A264" s="527">
        <v>12401</v>
      </c>
      <c r="B264" s="527">
        <v>12101</v>
      </c>
      <c r="C264" s="527" t="s">
        <v>266</v>
      </c>
      <c r="D264" s="771">
        <f t="shared" si="56"/>
        <v>2.8901734103999998E-3</v>
      </c>
      <c r="E264" s="771">
        <f t="shared" si="57"/>
        <v>7.2254335259999995E-4</v>
      </c>
      <c r="F264" s="525">
        <f>+DATA!D260</f>
        <v>24631</v>
      </c>
      <c r="G264" s="772">
        <f>+DATA!E260</f>
        <v>3.103493984765365E-2</v>
      </c>
      <c r="H264" s="525">
        <f t="shared" si="66"/>
        <v>764</v>
      </c>
      <c r="I264" s="771">
        <f t="shared" si="58"/>
        <v>5.8507298100000005E-4</v>
      </c>
      <c r="J264" s="771">
        <f t="shared" si="59"/>
        <v>5.8507298100000001E-5</v>
      </c>
      <c r="K264" s="525">
        <f>+DATA!G260</f>
        <v>8755</v>
      </c>
      <c r="L264" s="525">
        <f>+DATA!H260</f>
        <v>12189</v>
      </c>
      <c r="M264" s="525">
        <f>+DATA!I260</f>
        <v>345852209581</v>
      </c>
      <c r="N264" s="525">
        <f>+DATA!J260</f>
        <v>705340711534</v>
      </c>
      <c r="O264" s="773">
        <f t="shared" si="67"/>
        <v>0.59345779443808644</v>
      </c>
      <c r="P264" s="774" t="str">
        <f t="shared" si="68"/>
        <v>SI</v>
      </c>
      <c r="Q264" s="771">
        <f t="shared" si="60"/>
        <v>1.1517210005999999E-3</v>
      </c>
      <c r="R264" s="771">
        <f t="shared" si="61"/>
        <v>1.6512157958999999E-3</v>
      </c>
      <c r="S264" s="771">
        <f t="shared" si="62"/>
        <v>4.953647388E-4</v>
      </c>
      <c r="T264" s="525">
        <f>+DATA!K260</f>
        <v>0</v>
      </c>
      <c r="U264" s="525">
        <f>+DATA!L260</f>
        <v>0</v>
      </c>
      <c r="V264" s="525">
        <f>+DATA!M260</f>
        <v>5355782</v>
      </c>
      <c r="W264" s="526">
        <f t="shared" si="63"/>
        <v>5355782</v>
      </c>
      <c r="X264" s="526">
        <f t="shared" si="69"/>
        <v>5355782</v>
      </c>
      <c r="Y264" s="526">
        <f t="shared" si="70"/>
        <v>5355782</v>
      </c>
      <c r="Z264" s="525">
        <f>+DATA!F260</f>
        <v>686583.47947158339</v>
      </c>
      <c r="AA264" s="525">
        <f>IF(P264="SI",ROUND(Z264/DIV_Pf,PARAMETROS!$L$8),0)</f>
        <v>57215</v>
      </c>
      <c r="AB264" s="526">
        <f t="shared" si="71"/>
        <v>81846</v>
      </c>
      <c r="AC264" s="775">
        <f t="shared" si="72"/>
        <v>65.44</v>
      </c>
      <c r="AD264" s="525">
        <f>IF(AC264&lt;$AC$6,ROUND(($AC$6-AC264)*AB264,PARAMETROS!$L$8),0)</f>
        <v>3198542</v>
      </c>
      <c r="AE264" s="771">
        <f t="shared" si="64"/>
        <v>3.0700245288000001E-3</v>
      </c>
      <c r="AF264" s="771">
        <f t="shared" si="65"/>
        <v>1.0745085851E-3</v>
      </c>
      <c r="AG264" s="771">
        <f t="shared" si="73"/>
        <v>2.3509239746000001E-3</v>
      </c>
      <c r="AH264" s="525">
        <f>+DATA!Q260</f>
        <v>4778279.3449999997</v>
      </c>
      <c r="AI264" s="525">
        <f>+DATA!R260</f>
        <v>398189.94541666663</v>
      </c>
      <c r="AJ264" s="525">
        <f>+DATA!S260</f>
        <v>314570</v>
      </c>
      <c r="AK264" s="525">
        <f>+'_DATA STT PAGOS_'!G262</f>
        <v>0</v>
      </c>
      <c r="AL264" s="525">
        <f>+'_DATA STT PAGOS_'!J262</f>
        <v>6481094.2479999997</v>
      </c>
      <c r="AM264" s="525">
        <f>+DATA!Y260</f>
        <v>154596</v>
      </c>
      <c r="AN264" s="525">
        <f>+DATA!Z260</f>
        <v>132829</v>
      </c>
      <c r="AO264" s="525">
        <f>+DATA!AA260</f>
        <v>139217</v>
      </c>
      <c r="AP264" s="525">
        <f>+DATA!AB260</f>
        <v>110233</v>
      </c>
      <c r="AQ264" s="525">
        <f>+DATA!AC260</f>
        <v>536875</v>
      </c>
      <c r="AR264" s="525">
        <f>+DATA!AD260</f>
        <v>6864</v>
      </c>
      <c r="AS264" s="525">
        <f>+DATA!AE260</f>
        <v>4270</v>
      </c>
      <c r="AT264" s="525">
        <f>+DATA!AF260</f>
        <v>5536.2290000000003</v>
      </c>
      <c r="AU264" s="525">
        <f>+DATA!AG260</f>
        <v>3830</v>
      </c>
      <c r="AV264" s="525">
        <f>+DATA!AH260</f>
        <v>20500.228999999999</v>
      </c>
    </row>
    <row r="265" spans="1:48" x14ac:dyDescent="0.25">
      <c r="A265" s="527">
        <v>12402</v>
      </c>
      <c r="B265" s="527">
        <v>12103</v>
      </c>
      <c r="C265" s="527" t="s">
        <v>321</v>
      </c>
      <c r="D265" s="771">
        <f t="shared" ref="D265:D328" si="74">ROUND(1/COUNTA($A$9:$A$354),DEC)</f>
        <v>2.8901734103999998E-3</v>
      </c>
      <c r="E265" s="771">
        <f t="shared" ref="E265:E328" si="75">ROUND(D265*$E$7,DEC)</f>
        <v>7.2254335259999995E-4</v>
      </c>
      <c r="F265" s="525">
        <f>+DATA!D261</f>
        <v>1081</v>
      </c>
      <c r="G265" s="772">
        <f>+DATA!E261</f>
        <v>5.2711745351444891E-2</v>
      </c>
      <c r="H265" s="525">
        <f t="shared" si="66"/>
        <v>57</v>
      </c>
      <c r="I265" s="771">
        <f t="shared" ref="I265:I328" si="76">ROUND(H265/$H$7,DEC)</f>
        <v>4.3650732899999997E-5</v>
      </c>
      <c r="J265" s="771">
        <f t="shared" ref="J265:J328" si="77">ROUND(I265*$J$7,DEC)</f>
        <v>4.3650733000000001E-6</v>
      </c>
      <c r="K265" s="525">
        <f>+DATA!G261</f>
        <v>135</v>
      </c>
      <c r="L265" s="525">
        <f>+DATA!H261</f>
        <v>270</v>
      </c>
      <c r="M265" s="525">
        <f>+DATA!I261</f>
        <v>26480461925</v>
      </c>
      <c r="N265" s="525">
        <f>+DATA!J261</f>
        <v>117005273785</v>
      </c>
      <c r="O265" s="773">
        <f t="shared" si="67"/>
        <v>0.33639153755295897</v>
      </c>
      <c r="P265" s="774" t="str">
        <f t="shared" si="68"/>
        <v>NO</v>
      </c>
      <c r="Q265" s="771">
        <f t="shared" ref="Q265:Q328" si="78">IF(K265=0,0,ROUND((K265/$K$6)*(K265/L265),DEC))</f>
        <v>1.23625151E-5</v>
      </c>
      <c r="R265" s="771">
        <f t="shared" ref="R265:R328" si="79">ROUND(Q265/$Q$7,DEC)</f>
        <v>1.7724067000000002E-5</v>
      </c>
      <c r="S265" s="771">
        <f t="shared" ref="S265:S328" si="80">ROUND(R265*$S$7,DEC)</f>
        <v>5.3172201000000002E-6</v>
      </c>
      <c r="T265" s="525">
        <f>+DATA!K261</f>
        <v>0</v>
      </c>
      <c r="U265" s="525">
        <f>+DATA!L261</f>
        <v>0</v>
      </c>
      <c r="V265" s="525">
        <f>+DATA!M261</f>
        <v>539323</v>
      </c>
      <c r="W265" s="526">
        <f t="shared" ref="W265:W328" si="81">+V265</f>
        <v>539323</v>
      </c>
      <c r="X265" s="526">
        <f t="shared" si="69"/>
        <v>539323</v>
      </c>
      <c r="Y265" s="526">
        <f t="shared" si="70"/>
        <v>539323</v>
      </c>
      <c r="Z265" s="525">
        <f>+DATA!F261</f>
        <v>502931.92114381678</v>
      </c>
      <c r="AA265" s="525">
        <f>IF(P265="SI",ROUND(Z265/DIV_Pf,PARAMETROS!$L$8),0)</f>
        <v>0</v>
      </c>
      <c r="AB265" s="526">
        <f t="shared" si="71"/>
        <v>1081</v>
      </c>
      <c r="AC265" s="775">
        <f t="shared" si="72"/>
        <v>498.91</v>
      </c>
      <c r="AD265" s="525">
        <f>IF(AC265&lt;$AC$6,ROUND(($AC$6-AC265)*AB265,PARAMETROS!$L$8),0)</f>
        <v>0</v>
      </c>
      <c r="AE265" s="771">
        <f t="shared" ref="AE265:AE328" si="82">ROUND(AD265/$AD$7,DEC)</f>
        <v>0</v>
      </c>
      <c r="AF265" s="771">
        <f t="shared" ref="AF265:AF328" si="83">ROUND(AE265*$AF$7,DEC)</f>
        <v>0</v>
      </c>
      <c r="AG265" s="771">
        <f t="shared" si="73"/>
        <v>7.3222564599999989E-4</v>
      </c>
      <c r="AH265" s="525">
        <f>+DATA!Q261</f>
        <v>1385073.4550000001</v>
      </c>
      <c r="AI265" s="525">
        <f>+DATA!R261</f>
        <v>115422.78791666667</v>
      </c>
      <c r="AJ265" s="525">
        <f>+DATA!S261</f>
        <v>91184</v>
      </c>
      <c r="AK265" s="525">
        <f>+'_DATA STT PAGOS_'!G263</f>
        <v>0</v>
      </c>
      <c r="AL265" s="525">
        <f>+'_DATA STT PAGOS_'!J263</f>
        <v>1879453.74</v>
      </c>
      <c r="AM265" s="525">
        <f>+DATA!Y261</f>
        <v>31099</v>
      </c>
      <c r="AN265" s="525">
        <f>+DATA!Z261</f>
        <v>25854</v>
      </c>
      <c r="AO265" s="525">
        <f>+DATA!AA261</f>
        <v>38506</v>
      </c>
      <c r="AP265" s="525">
        <f>+DATA!AB261</f>
        <v>18487</v>
      </c>
      <c r="AQ265" s="525">
        <f>+DATA!AC261</f>
        <v>113946</v>
      </c>
      <c r="AR265" s="525">
        <f>+DATA!AD261</f>
        <v>0</v>
      </c>
      <c r="AS265" s="525">
        <f>+DATA!AE261</f>
        <v>0</v>
      </c>
      <c r="AT265" s="525">
        <f>+DATA!AF261</f>
        <v>0</v>
      </c>
      <c r="AU265" s="525">
        <f>+DATA!AG261</f>
        <v>0</v>
      </c>
      <c r="AV265" s="525">
        <f>+DATA!AH261</f>
        <v>0</v>
      </c>
    </row>
    <row r="266" spans="1:48" x14ac:dyDescent="0.25">
      <c r="A266" s="527">
        <v>13101</v>
      </c>
      <c r="B266" s="527">
        <v>13101</v>
      </c>
      <c r="C266" s="527" t="s">
        <v>274</v>
      </c>
      <c r="D266" s="771">
        <f t="shared" si="74"/>
        <v>2.8901734103999998E-3</v>
      </c>
      <c r="E266" s="771">
        <f t="shared" si="75"/>
        <v>7.2254335259999995E-4</v>
      </c>
      <c r="F266" s="525">
        <f>+DATA!D262</f>
        <v>544388</v>
      </c>
      <c r="G266" s="772">
        <f>+DATA!E262</f>
        <v>3.8647811721632362E-2</v>
      </c>
      <c r="H266" s="525">
        <f t="shared" ref="H266:H329" si="84">ROUND(F266*G266,0)</f>
        <v>21039</v>
      </c>
      <c r="I266" s="771">
        <f t="shared" si="76"/>
        <v>1.6111715244099999E-2</v>
      </c>
      <c r="J266" s="771">
        <f t="shared" si="77"/>
        <v>1.6111715244E-3</v>
      </c>
      <c r="K266" s="525">
        <f>+DATA!G262</f>
        <v>137154</v>
      </c>
      <c r="L266" s="525">
        <f>+DATA!H262</f>
        <v>402766</v>
      </c>
      <c r="M266" s="525">
        <f>+DATA!I262</f>
        <v>9435138307566</v>
      </c>
      <c r="N266" s="525">
        <f>+DATA!J262</f>
        <v>26247379114936</v>
      </c>
      <c r="O266" s="773">
        <f t="shared" ref="O266:O329" si="85">IF(AND(L266=0,N266=0),0,GEOMEAN((K266/L266),(M266/N266)))</f>
        <v>0.34987184993971204</v>
      </c>
      <c r="P266" s="774" t="str">
        <f t="shared" ref="P266:P329" si="86">IF(O266&gt;$N$3,"SI","NO")</f>
        <v>NO</v>
      </c>
      <c r="Q266" s="771">
        <f t="shared" si="78"/>
        <v>8.5539600224999995E-3</v>
      </c>
      <c r="R266" s="771">
        <f t="shared" si="79"/>
        <v>1.22637634457E-2</v>
      </c>
      <c r="S266" s="771">
        <f t="shared" si="80"/>
        <v>3.6791290337E-3</v>
      </c>
      <c r="T266" s="525">
        <f>+DATA!K262</f>
        <v>0</v>
      </c>
      <c r="U266" s="525">
        <f>+DATA!L262</f>
        <v>0</v>
      </c>
      <c r="V266" s="525">
        <f>+DATA!M262</f>
        <v>123162816</v>
      </c>
      <c r="W266" s="526">
        <f t="shared" si="81"/>
        <v>123162816</v>
      </c>
      <c r="X266" s="526">
        <f t="shared" ref="X266:X329" si="87">+T266+V266</f>
        <v>123162816</v>
      </c>
      <c r="Y266" s="526">
        <f t="shared" ref="Y266:Y329" si="88">+V266+T266</f>
        <v>123162816</v>
      </c>
      <c r="Z266" s="525">
        <f>+DATA!F262</f>
        <v>4957768.4506617496</v>
      </c>
      <c r="AA266" s="525">
        <f>IF(P266="SI",ROUND(Z266/DIV_Pf,PARAMETROS!$L$8),0)</f>
        <v>0</v>
      </c>
      <c r="AB266" s="526">
        <f t="shared" ref="AB266:AB329" si="89">+F266+AA266</f>
        <v>544388</v>
      </c>
      <c r="AC266" s="775">
        <f t="shared" ref="AC266:AC329" si="90">IFERROR(ROUND(Y266/AB266,2),0)</f>
        <v>226.24</v>
      </c>
      <c r="AD266" s="525">
        <f>IF(AC266&lt;$AC$6,ROUND(($AC$6-AC266)*AB266,PARAMETROS!$L$8),0)</f>
        <v>0</v>
      </c>
      <c r="AE266" s="771">
        <f t="shared" si="82"/>
        <v>0</v>
      </c>
      <c r="AF266" s="771">
        <f t="shared" si="83"/>
        <v>0</v>
      </c>
      <c r="AG266" s="771">
        <f t="shared" ref="AG266:AG329" si="91">+E266+J266+S266+AF266</f>
        <v>6.0128439107000001E-3</v>
      </c>
      <c r="AH266" s="525">
        <f>+DATA!Q262</f>
        <v>11232653.049000001</v>
      </c>
      <c r="AI266" s="525">
        <f>+DATA!R262</f>
        <v>936054.42075000005</v>
      </c>
      <c r="AJ266" s="525">
        <f>+DATA!S262</f>
        <v>739483</v>
      </c>
      <c r="AK266" s="525">
        <f>+'_DATA STT PAGOS_'!G264</f>
        <v>0</v>
      </c>
      <c r="AL266" s="525">
        <f>+'_DATA STT PAGOS_'!J264</f>
        <v>15178178.502999999</v>
      </c>
      <c r="AM266" s="525">
        <f>+DATA!Y262</f>
        <v>7486565</v>
      </c>
      <c r="AN266" s="525">
        <f>+DATA!Z262</f>
        <v>5137334</v>
      </c>
      <c r="AO266" s="525">
        <f>+DATA!AA262</f>
        <v>5806583</v>
      </c>
      <c r="AP266" s="525">
        <f>+DATA!AB262</f>
        <v>4910636</v>
      </c>
      <c r="AQ266" s="525">
        <f>+DATA!AC262</f>
        <v>23341118</v>
      </c>
      <c r="AR266" s="525">
        <f>+DATA!AD262</f>
        <v>675046</v>
      </c>
      <c r="AS266" s="525">
        <f>+DATA!AE262</f>
        <v>250798</v>
      </c>
      <c r="AT266" s="525">
        <f>+DATA!AF262</f>
        <v>380155.95199999999</v>
      </c>
      <c r="AU266" s="525">
        <f>+DATA!AG262</f>
        <v>252020</v>
      </c>
      <c r="AV266" s="525">
        <f>+DATA!AH262</f>
        <v>1558019.952</v>
      </c>
    </row>
    <row r="267" spans="1:48" x14ac:dyDescent="0.25">
      <c r="A267" s="527">
        <v>13102</v>
      </c>
      <c r="B267" s="527">
        <v>13166</v>
      </c>
      <c r="C267" s="527" t="s">
        <v>298</v>
      </c>
      <c r="D267" s="771">
        <f t="shared" si="74"/>
        <v>2.8901734103999998E-3</v>
      </c>
      <c r="E267" s="771">
        <f t="shared" si="75"/>
        <v>7.2254335259999995E-4</v>
      </c>
      <c r="F267" s="525">
        <f>+DATA!D263</f>
        <v>90182</v>
      </c>
      <c r="G267" s="772">
        <f>+DATA!E263</f>
        <v>5.2287011177570758E-2</v>
      </c>
      <c r="H267" s="525">
        <f t="shared" si="84"/>
        <v>4715</v>
      </c>
      <c r="I267" s="771">
        <f t="shared" si="76"/>
        <v>3.6107579910999998E-3</v>
      </c>
      <c r="J267" s="771">
        <f t="shared" si="77"/>
        <v>3.6107579910000002E-4</v>
      </c>
      <c r="K267" s="525">
        <f>+DATA!G263</f>
        <v>20719</v>
      </c>
      <c r="L267" s="525">
        <f>+DATA!H263</f>
        <v>28864</v>
      </c>
      <c r="M267" s="525">
        <f>+DATA!I263</f>
        <v>1179796796429</v>
      </c>
      <c r="N267" s="525">
        <f>+DATA!J263</f>
        <v>3073414737061</v>
      </c>
      <c r="O267" s="773">
        <f t="shared" si="85"/>
        <v>0.52492729887325473</v>
      </c>
      <c r="P267" s="774" t="str">
        <f t="shared" si="86"/>
        <v>SI</v>
      </c>
      <c r="Q267" s="771">
        <f t="shared" si="78"/>
        <v>2.7238558915999998E-3</v>
      </c>
      <c r="R267" s="771">
        <f t="shared" si="79"/>
        <v>3.9051765763000001E-3</v>
      </c>
      <c r="S267" s="771">
        <f t="shared" si="80"/>
        <v>1.1715529728999999E-3</v>
      </c>
      <c r="T267" s="525">
        <f>+DATA!K263</f>
        <v>0</v>
      </c>
      <c r="U267" s="525">
        <f>+DATA!L263</f>
        <v>0</v>
      </c>
      <c r="V267" s="525">
        <f>+DATA!M263</f>
        <v>19206241</v>
      </c>
      <c r="W267" s="526">
        <f t="shared" si="81"/>
        <v>19206241</v>
      </c>
      <c r="X267" s="526">
        <f t="shared" si="87"/>
        <v>19206241</v>
      </c>
      <c r="Y267" s="526">
        <f t="shared" si="88"/>
        <v>19206241</v>
      </c>
      <c r="Z267" s="525">
        <f>+DATA!F263</f>
        <v>187993.54898053448</v>
      </c>
      <c r="AA267" s="525">
        <f>IF(P267="SI",ROUND(Z267/DIV_Pf,PARAMETROS!$L$8),0)</f>
        <v>15666</v>
      </c>
      <c r="AB267" s="526">
        <f t="shared" si="89"/>
        <v>105848</v>
      </c>
      <c r="AC267" s="775">
        <f t="shared" si="90"/>
        <v>181.45</v>
      </c>
      <c r="AD267" s="525">
        <f>IF(AC267&lt;$AC$6,ROUND(($AC$6-AC267)*AB267,PARAMETROS!$L$8),0)</f>
        <v>0</v>
      </c>
      <c r="AE267" s="771">
        <f t="shared" si="82"/>
        <v>0</v>
      </c>
      <c r="AF267" s="771">
        <f t="shared" si="83"/>
        <v>0</v>
      </c>
      <c r="AG267" s="771">
        <f t="shared" si="91"/>
        <v>2.2551721245999998E-3</v>
      </c>
      <c r="AH267" s="525">
        <f>+DATA!Q263</f>
        <v>4270912.2050000001</v>
      </c>
      <c r="AI267" s="525">
        <f>+DATA!R263</f>
        <v>355909.35041666665</v>
      </c>
      <c r="AJ267" s="525">
        <f>+DATA!S263</f>
        <v>281168</v>
      </c>
      <c r="AK267" s="525">
        <f>+'_DATA STT PAGOS_'!G265</f>
        <v>0</v>
      </c>
      <c r="AL267" s="525">
        <f>+'_DATA STT PAGOS_'!J265</f>
        <v>5794477.7050000001</v>
      </c>
      <c r="AM267" s="525">
        <f>+DATA!Y263</f>
        <v>1157233</v>
      </c>
      <c r="AN267" s="525">
        <f>+DATA!Z263</f>
        <v>910731</v>
      </c>
      <c r="AO267" s="525">
        <f>+DATA!AA263</f>
        <v>978183</v>
      </c>
      <c r="AP267" s="525">
        <f>+DATA!AB263</f>
        <v>834760</v>
      </c>
      <c r="AQ267" s="525">
        <f>+DATA!AC263</f>
        <v>3880907</v>
      </c>
      <c r="AR267" s="525">
        <f>+DATA!AD263</f>
        <v>51430</v>
      </c>
      <c r="AS267" s="525">
        <f>+DATA!AE263</f>
        <v>23256</v>
      </c>
      <c r="AT267" s="525">
        <f>+DATA!AF263</f>
        <v>28606.957999999999</v>
      </c>
      <c r="AU267" s="525">
        <f>+DATA!AG263</f>
        <v>22349</v>
      </c>
      <c r="AV267" s="525">
        <f>+DATA!AH263</f>
        <v>125641.958</v>
      </c>
    </row>
    <row r="268" spans="1:48" x14ac:dyDescent="0.25">
      <c r="A268" s="527">
        <v>13103</v>
      </c>
      <c r="B268" s="527">
        <v>13156</v>
      </c>
      <c r="C268" s="527" t="s">
        <v>290</v>
      </c>
      <c r="D268" s="771">
        <f t="shared" si="74"/>
        <v>2.8901734103999998E-3</v>
      </c>
      <c r="E268" s="771">
        <f t="shared" si="75"/>
        <v>7.2254335259999995E-4</v>
      </c>
      <c r="F268" s="525">
        <f>+DATA!D264</f>
        <v>139632</v>
      </c>
      <c r="G268" s="772">
        <f>+DATA!E264</f>
        <v>6.013533802509001E-2</v>
      </c>
      <c r="H268" s="525">
        <f t="shared" si="84"/>
        <v>8397</v>
      </c>
      <c r="I268" s="771">
        <f t="shared" si="76"/>
        <v>6.4304421743000004E-3</v>
      </c>
      <c r="J268" s="771">
        <f t="shared" si="77"/>
        <v>6.4304421739999997E-4</v>
      </c>
      <c r="K268" s="525">
        <f>+DATA!G264</f>
        <v>29720</v>
      </c>
      <c r="L268" s="525">
        <f>+DATA!H264</f>
        <v>31334</v>
      </c>
      <c r="M268" s="525">
        <f>+DATA!I264</f>
        <v>940666147966</v>
      </c>
      <c r="N268" s="525">
        <f>+DATA!J264</f>
        <v>1113705733849</v>
      </c>
      <c r="O268" s="773">
        <f t="shared" si="85"/>
        <v>0.89505353636856488</v>
      </c>
      <c r="P268" s="774" t="str">
        <f t="shared" si="86"/>
        <v>SI</v>
      </c>
      <c r="Q268" s="771">
        <f t="shared" si="78"/>
        <v>5.1627944340999999E-3</v>
      </c>
      <c r="R268" s="771">
        <f t="shared" si="79"/>
        <v>7.4018687826000002E-3</v>
      </c>
      <c r="S268" s="771">
        <f t="shared" si="80"/>
        <v>2.2205606347999998E-3</v>
      </c>
      <c r="T268" s="525">
        <f>+DATA!K264</f>
        <v>0</v>
      </c>
      <c r="U268" s="525">
        <f>+DATA!L264</f>
        <v>0</v>
      </c>
      <c r="V268" s="525">
        <f>+DATA!M264</f>
        <v>3525077</v>
      </c>
      <c r="W268" s="526">
        <f t="shared" si="81"/>
        <v>3525077</v>
      </c>
      <c r="X268" s="526">
        <f t="shared" si="87"/>
        <v>3525077</v>
      </c>
      <c r="Y268" s="526">
        <f t="shared" si="88"/>
        <v>3525077</v>
      </c>
      <c r="Z268" s="525">
        <f>+DATA!F264</f>
        <v>170458.48218033597</v>
      </c>
      <c r="AA268" s="525">
        <f>IF(P268="SI",ROUND(Z268/DIV_Pf,PARAMETROS!$L$8),0)</f>
        <v>14205</v>
      </c>
      <c r="AB268" s="526">
        <f t="shared" si="89"/>
        <v>153837</v>
      </c>
      <c r="AC268" s="775">
        <f t="shared" si="90"/>
        <v>22.91</v>
      </c>
      <c r="AD268" s="525">
        <f>IF(AC268&lt;$AC$6,ROUND(($AC$6-AC268)*AB268,PARAMETROS!$L$8),0)</f>
        <v>12554638</v>
      </c>
      <c r="AE268" s="771">
        <f t="shared" si="82"/>
        <v>1.20501924346E-2</v>
      </c>
      <c r="AF268" s="771">
        <f t="shared" si="83"/>
        <v>4.2175673521000004E-3</v>
      </c>
      <c r="AG268" s="771">
        <f t="shared" si="91"/>
        <v>7.8037155569000002E-3</v>
      </c>
      <c r="AH268" s="525">
        <f>+DATA!Q264</f>
        <v>16752401.706</v>
      </c>
      <c r="AI268" s="525">
        <f>+DATA!R264</f>
        <v>1396033.4754999999</v>
      </c>
      <c r="AJ268" s="525">
        <f>+DATA!S264</f>
        <v>1102866</v>
      </c>
      <c r="AK268" s="525">
        <f>+'_DATA STT PAGOS_'!G266</f>
        <v>0</v>
      </c>
      <c r="AL268" s="525">
        <f>+'_DATA STT PAGOS_'!J266</f>
        <v>22733393.793000001</v>
      </c>
      <c r="AM268" s="525">
        <f>+DATA!Y264</f>
        <v>77576</v>
      </c>
      <c r="AN268" s="525">
        <f>+DATA!Z264</f>
        <v>47369</v>
      </c>
      <c r="AO268" s="525">
        <f>+DATA!AA264</f>
        <v>65174</v>
      </c>
      <c r="AP268" s="525">
        <f>+DATA!AB264</f>
        <v>52331</v>
      </c>
      <c r="AQ268" s="525">
        <f>+DATA!AC264</f>
        <v>242450</v>
      </c>
      <c r="AR268" s="525">
        <f>+DATA!AD264</f>
        <v>5273</v>
      </c>
      <c r="AS268" s="525">
        <f>+DATA!AE264</f>
        <v>2744</v>
      </c>
      <c r="AT268" s="525">
        <f>+DATA!AF264</f>
        <v>3836.7979999999998</v>
      </c>
      <c r="AU268" s="525">
        <f>+DATA!AG264</f>
        <v>2233</v>
      </c>
      <c r="AV268" s="525">
        <f>+DATA!AH264</f>
        <v>14086.797999999999</v>
      </c>
    </row>
    <row r="269" spans="1:48" x14ac:dyDescent="0.25">
      <c r="A269" s="527">
        <v>13104</v>
      </c>
      <c r="B269" s="527">
        <v>13127</v>
      </c>
      <c r="C269" s="527" t="s">
        <v>425</v>
      </c>
      <c r="D269" s="771">
        <f t="shared" si="74"/>
        <v>2.8901734103999998E-3</v>
      </c>
      <c r="E269" s="771">
        <f t="shared" si="75"/>
        <v>7.2254335259999995E-4</v>
      </c>
      <c r="F269" s="525">
        <f>+DATA!D265</f>
        <v>136674</v>
      </c>
      <c r="G269" s="772">
        <f>+DATA!E265</f>
        <v>6.079947209369204E-2</v>
      </c>
      <c r="H269" s="525">
        <f t="shared" si="84"/>
        <v>8310</v>
      </c>
      <c r="I269" s="771">
        <f t="shared" si="76"/>
        <v>6.3638173714999999E-3</v>
      </c>
      <c r="J269" s="771">
        <f t="shared" si="77"/>
        <v>6.3638173720000004E-4</v>
      </c>
      <c r="K269" s="525">
        <f>+DATA!G265</f>
        <v>30788</v>
      </c>
      <c r="L269" s="525">
        <f>+DATA!H265</f>
        <v>35635</v>
      </c>
      <c r="M269" s="525">
        <f>+DATA!I265</f>
        <v>1163836433310</v>
      </c>
      <c r="N269" s="525">
        <f>+DATA!J265</f>
        <v>1713677271655</v>
      </c>
      <c r="O269" s="773">
        <f t="shared" si="85"/>
        <v>0.76600889582458354</v>
      </c>
      <c r="P269" s="774" t="str">
        <f t="shared" si="86"/>
        <v>SI</v>
      </c>
      <c r="Q269" s="771">
        <f t="shared" si="78"/>
        <v>4.8717977974999998E-3</v>
      </c>
      <c r="R269" s="771">
        <f t="shared" si="79"/>
        <v>6.9846685730000002E-3</v>
      </c>
      <c r="S269" s="771">
        <f t="shared" si="80"/>
        <v>2.0954005718999999E-3</v>
      </c>
      <c r="T269" s="525">
        <f>+DATA!K265</f>
        <v>0</v>
      </c>
      <c r="U269" s="525">
        <f>+DATA!L265</f>
        <v>0</v>
      </c>
      <c r="V269" s="525">
        <f>+DATA!M265</f>
        <v>10751595</v>
      </c>
      <c r="W269" s="526">
        <f t="shared" si="81"/>
        <v>10751595</v>
      </c>
      <c r="X269" s="526">
        <f t="shared" si="87"/>
        <v>10751595</v>
      </c>
      <c r="Y269" s="526">
        <f t="shared" si="88"/>
        <v>10751595</v>
      </c>
      <c r="Z269" s="525">
        <f>+DATA!F265</f>
        <v>204993.0673698113</v>
      </c>
      <c r="AA269" s="525">
        <f>IF(P269="SI",ROUND(Z269/DIV_Pf,PARAMETROS!$L$8),0)</f>
        <v>17083</v>
      </c>
      <c r="AB269" s="526">
        <f t="shared" si="89"/>
        <v>153757</v>
      </c>
      <c r="AC269" s="775">
        <f t="shared" si="90"/>
        <v>69.930000000000007</v>
      </c>
      <c r="AD269" s="525">
        <f>IF(AC269&lt;$AC$6,ROUND(($AC$6-AC269)*AB269,PARAMETROS!$L$8),0)</f>
        <v>5318455</v>
      </c>
      <c r="AE269" s="771">
        <f t="shared" si="82"/>
        <v>5.1047593889000003E-3</v>
      </c>
      <c r="AF269" s="771">
        <f t="shared" si="83"/>
        <v>1.7866657861E-3</v>
      </c>
      <c r="AG269" s="771">
        <f t="shared" si="91"/>
        <v>5.2409914477999997E-3</v>
      </c>
      <c r="AH269" s="525">
        <f>+DATA!Q265</f>
        <v>10845784.286</v>
      </c>
      <c r="AI269" s="525">
        <f>+DATA!R265</f>
        <v>903815.35716666665</v>
      </c>
      <c r="AJ269" s="525">
        <f>+DATA!S265</f>
        <v>714014</v>
      </c>
      <c r="AK269" s="525">
        <f>+'_DATA STT PAGOS_'!G267</f>
        <v>0</v>
      </c>
      <c r="AL269" s="525">
        <f>+'_DATA STT PAGOS_'!J267</f>
        <v>14717978.324000001</v>
      </c>
      <c r="AM269" s="525">
        <f>+DATA!Y265</f>
        <v>279998</v>
      </c>
      <c r="AN269" s="525">
        <f>+DATA!Z265</f>
        <v>211709</v>
      </c>
      <c r="AO269" s="525">
        <f>+DATA!AA265</f>
        <v>239069</v>
      </c>
      <c r="AP269" s="525">
        <f>+DATA!AB265</f>
        <v>373572</v>
      </c>
      <c r="AQ269" s="525">
        <f>+DATA!AC265</f>
        <v>1104348</v>
      </c>
      <c r="AR269" s="525">
        <f>+DATA!AD265</f>
        <v>18940</v>
      </c>
      <c r="AS269" s="525">
        <f>+DATA!AE265</f>
        <v>7894</v>
      </c>
      <c r="AT269" s="525">
        <f>+DATA!AF265</f>
        <v>12361.701999999999</v>
      </c>
      <c r="AU269" s="525">
        <f>+DATA!AG265</f>
        <v>8841</v>
      </c>
      <c r="AV269" s="525">
        <f>+DATA!AH265</f>
        <v>48036.701999999997</v>
      </c>
    </row>
    <row r="270" spans="1:48" x14ac:dyDescent="0.25">
      <c r="A270" s="527">
        <v>13105</v>
      </c>
      <c r="B270" s="527">
        <v>13165</v>
      </c>
      <c r="C270" s="527" t="s">
        <v>297</v>
      </c>
      <c r="D270" s="771">
        <f t="shared" si="74"/>
        <v>2.8901734103999998E-3</v>
      </c>
      <c r="E270" s="771">
        <f t="shared" si="75"/>
        <v>7.2254335259999995E-4</v>
      </c>
      <c r="F270" s="525">
        <f>+DATA!D266</f>
        <v>169855</v>
      </c>
      <c r="G270" s="772">
        <f>+DATA!E266</f>
        <v>6.1982372591245782E-2</v>
      </c>
      <c r="H270" s="525">
        <f t="shared" si="84"/>
        <v>10528</v>
      </c>
      <c r="I270" s="771">
        <f t="shared" si="76"/>
        <v>8.0623669418000005E-3</v>
      </c>
      <c r="J270" s="771">
        <f t="shared" si="77"/>
        <v>8.062366942E-4</v>
      </c>
      <c r="K270" s="525">
        <f>+DATA!G266</f>
        <v>41097</v>
      </c>
      <c r="L270" s="525">
        <f>+DATA!H266</f>
        <v>44118</v>
      </c>
      <c r="M270" s="525">
        <f>+DATA!I266</f>
        <v>1468837813259</v>
      </c>
      <c r="N270" s="525">
        <f>+DATA!J266</f>
        <v>1798274884703</v>
      </c>
      <c r="O270" s="773">
        <f t="shared" si="85"/>
        <v>0.87228024075186872</v>
      </c>
      <c r="P270" s="774" t="str">
        <f t="shared" si="86"/>
        <v>SI</v>
      </c>
      <c r="Q270" s="771">
        <f t="shared" si="78"/>
        <v>7.0114442715999998E-3</v>
      </c>
      <c r="R270" s="771">
        <f t="shared" si="79"/>
        <v>1.0052267456599999E-2</v>
      </c>
      <c r="S270" s="771">
        <f t="shared" si="80"/>
        <v>3.0156802370000001E-3</v>
      </c>
      <c r="T270" s="525">
        <f>+DATA!K266</f>
        <v>0</v>
      </c>
      <c r="U270" s="525">
        <f>+DATA!L266</f>
        <v>0</v>
      </c>
      <c r="V270" s="525">
        <f>+DATA!M266</f>
        <v>7132758</v>
      </c>
      <c r="W270" s="526">
        <f t="shared" si="81"/>
        <v>7132758</v>
      </c>
      <c r="X270" s="526">
        <f t="shared" si="87"/>
        <v>7132758</v>
      </c>
      <c r="Y270" s="526">
        <f t="shared" si="88"/>
        <v>7132758</v>
      </c>
      <c r="Z270" s="525">
        <f>+DATA!F266</f>
        <v>194617.66274587243</v>
      </c>
      <c r="AA270" s="525">
        <f>IF(P270="SI",ROUND(Z270/DIV_Pf,PARAMETROS!$L$8),0)</f>
        <v>16218</v>
      </c>
      <c r="AB270" s="526">
        <f t="shared" si="89"/>
        <v>186073</v>
      </c>
      <c r="AC270" s="775">
        <f t="shared" si="90"/>
        <v>38.33</v>
      </c>
      <c r="AD270" s="525">
        <f>IF(AC270&lt;$AC$6,ROUND(($AC$6-AC270)*AB270,PARAMETROS!$L$8),0)</f>
        <v>12316172</v>
      </c>
      <c r="AE270" s="771">
        <f t="shared" si="82"/>
        <v>1.1821308002499999E-2</v>
      </c>
      <c r="AF270" s="771">
        <f t="shared" si="83"/>
        <v>4.1374578008999997E-3</v>
      </c>
      <c r="AG270" s="771">
        <f t="shared" si="91"/>
        <v>8.6819180847000008E-3</v>
      </c>
      <c r="AH270" s="525">
        <f>+DATA!Q266</f>
        <v>18674867.416000001</v>
      </c>
      <c r="AI270" s="525">
        <f>+DATA!R266</f>
        <v>1556238.9513333335</v>
      </c>
      <c r="AJ270" s="525">
        <f>+DATA!S266</f>
        <v>1229429</v>
      </c>
      <c r="AK270" s="525">
        <f>+'_DATA STT PAGOS_'!G268</f>
        <v>0</v>
      </c>
      <c r="AL270" s="525">
        <f>+'_DATA STT PAGOS_'!J268</f>
        <v>25342223.909000002</v>
      </c>
      <c r="AM270" s="525">
        <f>+DATA!Y266</f>
        <v>145350</v>
      </c>
      <c r="AN270" s="525">
        <f>+DATA!Z266</f>
        <v>100216</v>
      </c>
      <c r="AO270" s="525">
        <f>+DATA!AA266</f>
        <v>112488</v>
      </c>
      <c r="AP270" s="525">
        <f>+DATA!AB266</f>
        <v>101456</v>
      </c>
      <c r="AQ270" s="525">
        <f>+DATA!AC266</f>
        <v>459510</v>
      </c>
      <c r="AR270" s="525">
        <f>+DATA!AD266</f>
        <v>18283</v>
      </c>
      <c r="AS270" s="525">
        <f>+DATA!AE266</f>
        <v>8511</v>
      </c>
      <c r="AT270" s="525">
        <f>+DATA!AF266</f>
        <v>10647.405000000001</v>
      </c>
      <c r="AU270" s="525">
        <f>+DATA!AG266</f>
        <v>7135</v>
      </c>
      <c r="AV270" s="525">
        <f>+DATA!AH266</f>
        <v>44576.404999999999</v>
      </c>
    </row>
    <row r="271" spans="1:48" x14ac:dyDescent="0.25">
      <c r="A271" s="527">
        <v>13106</v>
      </c>
      <c r="B271" s="527">
        <v>13157</v>
      </c>
      <c r="C271" s="527" t="s">
        <v>426</v>
      </c>
      <c r="D271" s="771">
        <f t="shared" si="74"/>
        <v>2.8901734103999998E-3</v>
      </c>
      <c r="E271" s="771">
        <f t="shared" si="75"/>
        <v>7.2254335259999995E-4</v>
      </c>
      <c r="F271" s="525">
        <f>+DATA!D267</f>
        <v>221901</v>
      </c>
      <c r="G271" s="772">
        <f>+DATA!E267</f>
        <v>5.0423961595419259E-2</v>
      </c>
      <c r="H271" s="525">
        <f t="shared" si="84"/>
        <v>11189</v>
      </c>
      <c r="I271" s="771">
        <f t="shared" si="76"/>
        <v>8.5685622827000006E-3</v>
      </c>
      <c r="J271" s="771">
        <f t="shared" si="77"/>
        <v>8.5685622830000002E-4</v>
      </c>
      <c r="K271" s="525">
        <f>+DATA!G267</f>
        <v>56097</v>
      </c>
      <c r="L271" s="525">
        <f>+DATA!H267</f>
        <v>93736</v>
      </c>
      <c r="M271" s="525">
        <f>+DATA!I267</f>
        <v>2730735110206</v>
      </c>
      <c r="N271" s="525">
        <f>+DATA!J267</f>
        <v>5025566630063</v>
      </c>
      <c r="O271" s="773">
        <f t="shared" si="85"/>
        <v>0.57024814233679155</v>
      </c>
      <c r="P271" s="774" t="str">
        <f t="shared" si="86"/>
        <v>SI</v>
      </c>
      <c r="Q271" s="771">
        <f t="shared" si="78"/>
        <v>6.1485954285999999E-3</v>
      </c>
      <c r="R271" s="771">
        <f t="shared" si="79"/>
        <v>8.8152060169999994E-3</v>
      </c>
      <c r="S271" s="771">
        <f t="shared" si="80"/>
        <v>2.6445618050999998E-3</v>
      </c>
      <c r="T271" s="525">
        <f>+DATA!K267</f>
        <v>0</v>
      </c>
      <c r="U271" s="525">
        <f>+DATA!L267</f>
        <v>0</v>
      </c>
      <c r="V271" s="525">
        <f>+DATA!M267</f>
        <v>24368743</v>
      </c>
      <c r="W271" s="526">
        <f t="shared" si="81"/>
        <v>24368743</v>
      </c>
      <c r="X271" s="526">
        <f t="shared" si="87"/>
        <v>24368743</v>
      </c>
      <c r="Y271" s="526">
        <f t="shared" si="88"/>
        <v>24368743</v>
      </c>
      <c r="Z271" s="525">
        <f>+DATA!F267</f>
        <v>594323.79639762302</v>
      </c>
      <c r="AA271" s="525">
        <f>IF(P271="SI",ROUND(Z271/DIV_Pf,PARAMETROS!$L$8),0)</f>
        <v>49527</v>
      </c>
      <c r="AB271" s="526">
        <f t="shared" si="89"/>
        <v>271428</v>
      </c>
      <c r="AC271" s="775">
        <f t="shared" si="90"/>
        <v>89.78</v>
      </c>
      <c r="AD271" s="525">
        <f>IF(AC271&lt;$AC$6,ROUND(($AC$6-AC271)*AB271,PARAMETROS!$L$8),0)</f>
        <v>4000849</v>
      </c>
      <c r="AE271" s="771">
        <f t="shared" si="82"/>
        <v>3.8400948201000001E-3</v>
      </c>
      <c r="AF271" s="771">
        <f t="shared" si="83"/>
        <v>1.344033187E-3</v>
      </c>
      <c r="AG271" s="771">
        <f t="shared" si="91"/>
        <v>5.5679945729999996E-3</v>
      </c>
      <c r="AH271" s="525">
        <f>+DATA!Q267</f>
        <v>10124929.027000001</v>
      </c>
      <c r="AI271" s="525">
        <f>+DATA!R267</f>
        <v>843744.08558333339</v>
      </c>
      <c r="AJ271" s="525">
        <f>+DATA!S267</f>
        <v>666558</v>
      </c>
      <c r="AK271" s="525">
        <f>+'_DATA STT PAGOS_'!G269</f>
        <v>0</v>
      </c>
      <c r="AL271" s="525">
        <f>+'_DATA STT PAGOS_'!J269</f>
        <v>13714837.247000001</v>
      </c>
      <c r="AM271" s="525">
        <f>+DATA!Y267</f>
        <v>1030095</v>
      </c>
      <c r="AN271" s="525">
        <f>+DATA!Z267</f>
        <v>793759</v>
      </c>
      <c r="AO271" s="525">
        <f>+DATA!AA267</f>
        <v>924431</v>
      </c>
      <c r="AP271" s="525">
        <f>+DATA!AB267</f>
        <v>822098</v>
      </c>
      <c r="AQ271" s="525">
        <f>+DATA!AC267</f>
        <v>3570383</v>
      </c>
      <c r="AR271" s="525">
        <f>+DATA!AD267</f>
        <v>111118</v>
      </c>
      <c r="AS271" s="525">
        <f>+DATA!AE267</f>
        <v>49081</v>
      </c>
      <c r="AT271" s="525">
        <f>+DATA!AF267</f>
        <v>65793.903999999995</v>
      </c>
      <c r="AU271" s="525">
        <f>+DATA!AG267</f>
        <v>45472</v>
      </c>
      <c r="AV271" s="525">
        <f>+DATA!AH267</f>
        <v>271464.90399999998</v>
      </c>
    </row>
    <row r="272" spans="1:48" x14ac:dyDescent="0.25">
      <c r="A272" s="527">
        <v>13107</v>
      </c>
      <c r="B272" s="527">
        <v>13158</v>
      </c>
      <c r="C272" s="527" t="s">
        <v>291</v>
      </c>
      <c r="D272" s="771">
        <f t="shared" si="74"/>
        <v>2.8901734103999998E-3</v>
      </c>
      <c r="E272" s="771">
        <f t="shared" si="75"/>
        <v>7.2254335259999995E-4</v>
      </c>
      <c r="F272" s="525">
        <f>+DATA!D268</f>
        <v>118327</v>
      </c>
      <c r="G272" s="772">
        <f>+DATA!E268</f>
        <v>4.2765572085133478E-2</v>
      </c>
      <c r="H272" s="525">
        <f t="shared" si="84"/>
        <v>5060</v>
      </c>
      <c r="I272" s="771">
        <f t="shared" si="76"/>
        <v>3.8749597954000001E-3</v>
      </c>
      <c r="J272" s="771">
        <f t="shared" si="77"/>
        <v>3.8749597950000001E-4</v>
      </c>
      <c r="K272" s="525">
        <f>+DATA!G268</f>
        <v>14116</v>
      </c>
      <c r="L272" s="525">
        <f>+DATA!H268</f>
        <v>44603</v>
      </c>
      <c r="M272" s="525">
        <f>+DATA!I268</f>
        <v>741744968655</v>
      </c>
      <c r="N272" s="525">
        <f>+DATA!J268</f>
        <v>4709775118032</v>
      </c>
      <c r="O272" s="773">
        <f t="shared" si="85"/>
        <v>0.22325490471913437</v>
      </c>
      <c r="P272" s="774" t="str">
        <f t="shared" si="86"/>
        <v>NO</v>
      </c>
      <c r="Q272" s="771">
        <f t="shared" si="78"/>
        <v>8.1820530519999995E-4</v>
      </c>
      <c r="R272" s="771">
        <f t="shared" si="79"/>
        <v>1.1730562554E-3</v>
      </c>
      <c r="S272" s="771">
        <f t="shared" si="80"/>
        <v>3.5191687660000002E-4</v>
      </c>
      <c r="T272" s="525">
        <f>+DATA!K268</f>
        <v>0</v>
      </c>
      <c r="U272" s="525">
        <f>+DATA!L268</f>
        <v>0</v>
      </c>
      <c r="V272" s="525">
        <f>+DATA!M268</f>
        <v>43248367</v>
      </c>
      <c r="W272" s="526">
        <f t="shared" si="81"/>
        <v>43248367</v>
      </c>
      <c r="X272" s="526">
        <f t="shared" si="87"/>
        <v>43248367</v>
      </c>
      <c r="Y272" s="526">
        <f t="shared" si="88"/>
        <v>43248367</v>
      </c>
      <c r="Z272" s="525">
        <f>+DATA!F268</f>
        <v>246752.56459053961</v>
      </c>
      <c r="AA272" s="525">
        <f>IF(P272="SI",ROUND(Z272/DIV_Pf,PARAMETROS!$L$8),0)</f>
        <v>0</v>
      </c>
      <c r="AB272" s="526">
        <f t="shared" si="89"/>
        <v>118327</v>
      </c>
      <c r="AC272" s="775">
        <f t="shared" si="90"/>
        <v>365.5</v>
      </c>
      <c r="AD272" s="525">
        <f>IF(AC272&lt;$AC$6,ROUND(($AC$6-AC272)*AB272,PARAMETROS!$L$8),0)</f>
        <v>0</v>
      </c>
      <c r="AE272" s="771">
        <f t="shared" si="82"/>
        <v>0</v>
      </c>
      <c r="AF272" s="771">
        <f t="shared" si="83"/>
        <v>0</v>
      </c>
      <c r="AG272" s="771">
        <f t="shared" si="91"/>
        <v>1.4619562086999999E-3</v>
      </c>
      <c r="AH272" s="525">
        <f>+DATA!Q268</f>
        <v>3093208.6379999998</v>
      </c>
      <c r="AI272" s="525">
        <f>+DATA!R268</f>
        <v>257767.38649999999</v>
      </c>
      <c r="AJ272" s="525">
        <f>+DATA!S268</f>
        <v>203636</v>
      </c>
      <c r="AK272" s="525">
        <f>+'_DATA STT PAGOS_'!G270</f>
        <v>0</v>
      </c>
      <c r="AL272" s="525">
        <f>+'_DATA STT PAGOS_'!J270</f>
        <v>4197555.1500000004</v>
      </c>
      <c r="AM272" s="525">
        <f>+DATA!Y268</f>
        <v>1981380</v>
      </c>
      <c r="AN272" s="525">
        <f>+DATA!Z268</f>
        <v>1536516</v>
      </c>
      <c r="AO272" s="525">
        <f>+DATA!AA268</f>
        <v>1750598</v>
      </c>
      <c r="AP272" s="525">
        <f>+DATA!AB268</f>
        <v>1527979</v>
      </c>
      <c r="AQ272" s="525">
        <f>+DATA!AC268</f>
        <v>6796473</v>
      </c>
      <c r="AR272" s="525">
        <f>+DATA!AD268</f>
        <v>174725</v>
      </c>
      <c r="AS272" s="525">
        <f>+DATA!AE268</f>
        <v>88661</v>
      </c>
      <c r="AT272" s="525">
        <f>+DATA!AF268</f>
        <v>157486.144</v>
      </c>
      <c r="AU272" s="525">
        <f>+DATA!AG268</f>
        <v>118341</v>
      </c>
      <c r="AV272" s="525">
        <f>+DATA!AH268</f>
        <v>539213.14399999997</v>
      </c>
    </row>
    <row r="273" spans="1:48" x14ac:dyDescent="0.25">
      <c r="A273" s="527">
        <v>13108</v>
      </c>
      <c r="B273" s="527">
        <v>13167</v>
      </c>
      <c r="C273" s="527" t="s">
        <v>299</v>
      </c>
      <c r="D273" s="771">
        <f t="shared" si="74"/>
        <v>2.8901734103999998E-3</v>
      </c>
      <c r="E273" s="771">
        <f t="shared" si="75"/>
        <v>7.2254335259999995E-4</v>
      </c>
      <c r="F273" s="525">
        <f>+DATA!D269</f>
        <v>153624</v>
      </c>
      <c r="G273" s="772">
        <f>+DATA!E269</f>
        <v>5.8339830820695202E-2</v>
      </c>
      <c r="H273" s="525">
        <f t="shared" si="84"/>
        <v>8962</v>
      </c>
      <c r="I273" s="771">
        <f t="shared" si="76"/>
        <v>6.8631204913000001E-3</v>
      </c>
      <c r="J273" s="771">
        <f t="shared" si="77"/>
        <v>6.8631204910000001E-4</v>
      </c>
      <c r="K273" s="525">
        <f>+DATA!G269</f>
        <v>35201</v>
      </c>
      <c r="L273" s="525">
        <f>+DATA!H269</f>
        <v>55598</v>
      </c>
      <c r="M273" s="525">
        <f>+DATA!I269</f>
        <v>1679935610252</v>
      </c>
      <c r="N273" s="525">
        <f>+DATA!J269</f>
        <v>2943960725509</v>
      </c>
      <c r="O273" s="773">
        <f t="shared" si="85"/>
        <v>0.60107439517940098</v>
      </c>
      <c r="P273" s="774" t="str">
        <f t="shared" si="86"/>
        <v>SI</v>
      </c>
      <c r="Q273" s="771">
        <f t="shared" si="78"/>
        <v>4.0818204326999999E-3</v>
      </c>
      <c r="R273" s="771">
        <f t="shared" si="79"/>
        <v>5.8520825539000003E-3</v>
      </c>
      <c r="S273" s="771">
        <f t="shared" si="80"/>
        <v>1.7556247662E-3</v>
      </c>
      <c r="T273" s="525">
        <f>+DATA!K269</f>
        <v>0</v>
      </c>
      <c r="U273" s="525">
        <f>+DATA!L269</f>
        <v>0</v>
      </c>
      <c r="V273" s="525">
        <f>+DATA!M269</f>
        <v>13577166</v>
      </c>
      <c r="W273" s="526">
        <f t="shared" si="81"/>
        <v>13577166</v>
      </c>
      <c r="X273" s="526">
        <f t="shared" si="87"/>
        <v>13577166</v>
      </c>
      <c r="Y273" s="526">
        <f t="shared" si="88"/>
        <v>13577166</v>
      </c>
      <c r="Z273" s="525">
        <f>+DATA!F269</f>
        <v>185808.37979626757</v>
      </c>
      <c r="AA273" s="525">
        <f>IF(P273="SI",ROUND(Z273/DIV_Pf,PARAMETROS!$L$8),0)</f>
        <v>15484</v>
      </c>
      <c r="AB273" s="526">
        <f t="shared" si="89"/>
        <v>169108</v>
      </c>
      <c r="AC273" s="775">
        <f t="shared" si="90"/>
        <v>80.290000000000006</v>
      </c>
      <c r="AD273" s="525">
        <f>IF(AC273&lt;$AC$6,ROUND(($AC$6-AC273)*AB273,PARAMETROS!$L$8),0)</f>
        <v>4097487</v>
      </c>
      <c r="AE273" s="771">
        <f t="shared" si="82"/>
        <v>3.9328499035999999E-3</v>
      </c>
      <c r="AF273" s="771">
        <f t="shared" si="83"/>
        <v>1.3764974663000001E-3</v>
      </c>
      <c r="AG273" s="771">
        <f t="shared" si="91"/>
        <v>4.5409776342000005E-3</v>
      </c>
      <c r="AH273" s="525">
        <f>+DATA!Q269</f>
        <v>8548357.2390000001</v>
      </c>
      <c r="AI273" s="525">
        <f>+DATA!R269</f>
        <v>712363.10325000004</v>
      </c>
      <c r="AJ273" s="525">
        <f>+DATA!S269</f>
        <v>562767</v>
      </c>
      <c r="AK273" s="525">
        <f>+'_DATA STT PAGOS_'!G271</f>
        <v>0</v>
      </c>
      <c r="AL273" s="525">
        <f>+'_DATA STT PAGOS_'!J271</f>
        <v>11586805.478999998</v>
      </c>
      <c r="AM273" s="525">
        <f>+DATA!Y269</f>
        <v>639829</v>
      </c>
      <c r="AN273" s="525">
        <f>+DATA!Z269</f>
        <v>452694</v>
      </c>
      <c r="AO273" s="525">
        <f>+DATA!AA269</f>
        <v>526117</v>
      </c>
      <c r="AP273" s="525">
        <f>+DATA!AB269</f>
        <v>464755</v>
      </c>
      <c r="AQ273" s="525">
        <f>+DATA!AC269</f>
        <v>2083395</v>
      </c>
      <c r="AR273" s="525">
        <f>+DATA!AD269</f>
        <v>84793</v>
      </c>
      <c r="AS273" s="525">
        <f>+DATA!AE269</f>
        <v>37108</v>
      </c>
      <c r="AT273" s="525">
        <f>+DATA!AF269</f>
        <v>47528.411</v>
      </c>
      <c r="AU273" s="525">
        <f>+DATA!AG269</f>
        <v>32277</v>
      </c>
      <c r="AV273" s="525">
        <f>+DATA!AH269</f>
        <v>201706.41099999999</v>
      </c>
    </row>
    <row r="274" spans="1:48" x14ac:dyDescent="0.25">
      <c r="A274" s="527">
        <v>13109</v>
      </c>
      <c r="B274" s="527">
        <v>13110</v>
      </c>
      <c r="C274" s="527" t="s">
        <v>280</v>
      </c>
      <c r="D274" s="771">
        <f t="shared" si="74"/>
        <v>2.8901734103999998E-3</v>
      </c>
      <c r="E274" s="771">
        <f t="shared" si="75"/>
        <v>7.2254335259999995E-4</v>
      </c>
      <c r="F274" s="525">
        <f>+DATA!D270</f>
        <v>101401</v>
      </c>
      <c r="G274" s="772">
        <f>+DATA!E270</f>
        <v>4.0923128577127467E-2</v>
      </c>
      <c r="H274" s="525">
        <f t="shared" si="84"/>
        <v>4150</v>
      </c>
      <c r="I274" s="771">
        <f t="shared" si="76"/>
        <v>3.1780796741000001E-3</v>
      </c>
      <c r="J274" s="771">
        <f t="shared" si="77"/>
        <v>3.1780796739999998E-4</v>
      </c>
      <c r="K274" s="525">
        <f>+DATA!G270</f>
        <v>31955</v>
      </c>
      <c r="L274" s="525">
        <f>+DATA!H270</f>
        <v>53252</v>
      </c>
      <c r="M274" s="525">
        <f>+DATA!I270</f>
        <v>1486741317908</v>
      </c>
      <c r="N274" s="525">
        <f>+DATA!J270</f>
        <v>2764339002896</v>
      </c>
      <c r="O274" s="773">
        <f t="shared" si="85"/>
        <v>0.56809831886541096</v>
      </c>
      <c r="P274" s="774" t="str">
        <f t="shared" si="86"/>
        <v>SI</v>
      </c>
      <c r="Q274" s="771">
        <f t="shared" si="78"/>
        <v>3.5119213602999998E-3</v>
      </c>
      <c r="R274" s="771">
        <f t="shared" si="79"/>
        <v>5.0350215209E-3</v>
      </c>
      <c r="S274" s="771">
        <f t="shared" si="80"/>
        <v>1.5105064563E-3</v>
      </c>
      <c r="T274" s="525">
        <f>+DATA!K270</f>
        <v>0</v>
      </c>
      <c r="U274" s="525">
        <f>+DATA!L270</f>
        <v>0</v>
      </c>
      <c r="V274" s="525">
        <f>+DATA!M270</f>
        <v>11324057</v>
      </c>
      <c r="W274" s="526">
        <f t="shared" si="81"/>
        <v>11324057</v>
      </c>
      <c r="X274" s="526">
        <f t="shared" si="87"/>
        <v>11324057</v>
      </c>
      <c r="Y274" s="526">
        <f t="shared" si="88"/>
        <v>11324057</v>
      </c>
      <c r="Z274" s="525">
        <f>+DATA!F270</f>
        <v>178334.60841509828</v>
      </c>
      <c r="AA274" s="525">
        <f>IF(P274="SI",ROUND(Z274/DIV_Pf,PARAMETROS!$L$8),0)</f>
        <v>14861</v>
      </c>
      <c r="AB274" s="526">
        <f t="shared" si="89"/>
        <v>116262</v>
      </c>
      <c r="AC274" s="775">
        <f t="shared" si="90"/>
        <v>97.4</v>
      </c>
      <c r="AD274" s="525">
        <f>IF(AC274&lt;$AC$6,ROUND(($AC$6-AC274)*AB274,PARAMETROS!$L$8),0)</f>
        <v>827785</v>
      </c>
      <c r="AE274" s="771">
        <f t="shared" si="82"/>
        <v>7.9452458479999999E-4</v>
      </c>
      <c r="AF274" s="771">
        <f t="shared" si="83"/>
        <v>2.7808360470000002E-4</v>
      </c>
      <c r="AG274" s="771">
        <f t="shared" si="91"/>
        <v>2.828941381E-3</v>
      </c>
      <c r="AH274" s="525">
        <f>+DATA!Q270</f>
        <v>5263504.3439999996</v>
      </c>
      <c r="AI274" s="525">
        <f>+DATA!R270</f>
        <v>438625.36199999996</v>
      </c>
      <c r="AJ274" s="525">
        <f>+DATA!S270</f>
        <v>346514</v>
      </c>
      <c r="AK274" s="525">
        <f>+'_DATA STT PAGOS_'!G272</f>
        <v>0</v>
      </c>
      <c r="AL274" s="525">
        <f>+'_DATA STT PAGOS_'!J272</f>
        <v>7142695.5499999989</v>
      </c>
      <c r="AM274" s="525">
        <f>+DATA!Y270</f>
        <v>437943</v>
      </c>
      <c r="AN274" s="525">
        <f>+DATA!Z270</f>
        <v>298927</v>
      </c>
      <c r="AO274" s="525">
        <f>+DATA!AA270</f>
        <v>335406</v>
      </c>
      <c r="AP274" s="525">
        <f>+DATA!AB270</f>
        <v>260405</v>
      </c>
      <c r="AQ274" s="525">
        <f>+DATA!AC270</f>
        <v>1332681</v>
      </c>
      <c r="AR274" s="525">
        <f>+DATA!AD270</f>
        <v>97113</v>
      </c>
      <c r="AS274" s="525">
        <f>+DATA!AE270</f>
        <v>43758</v>
      </c>
      <c r="AT274" s="525">
        <f>+DATA!AF270</f>
        <v>63511.923000000003</v>
      </c>
      <c r="AU274" s="525">
        <f>+DATA!AG270</f>
        <v>42394</v>
      </c>
      <c r="AV274" s="525">
        <f>+DATA!AH270</f>
        <v>246776.92300000001</v>
      </c>
    </row>
    <row r="275" spans="1:48" x14ac:dyDescent="0.25">
      <c r="A275" s="527">
        <v>13110</v>
      </c>
      <c r="B275" s="527">
        <v>13128</v>
      </c>
      <c r="C275" s="527" t="s">
        <v>284</v>
      </c>
      <c r="D275" s="771">
        <f t="shared" si="74"/>
        <v>2.8901734103999998E-3</v>
      </c>
      <c r="E275" s="771">
        <f t="shared" si="75"/>
        <v>7.2254335259999995E-4</v>
      </c>
      <c r="F275" s="525">
        <f>+DATA!D271</f>
        <v>407297</v>
      </c>
      <c r="G275" s="772">
        <f>+DATA!E271</f>
        <v>3.5299030042895627E-2</v>
      </c>
      <c r="H275" s="525">
        <f t="shared" si="84"/>
        <v>14377</v>
      </c>
      <c r="I275" s="771">
        <f t="shared" si="76"/>
        <v>1.1009940114299999E-2</v>
      </c>
      <c r="J275" s="771">
        <f t="shared" si="77"/>
        <v>1.1009940114E-3</v>
      </c>
      <c r="K275" s="525">
        <f>+DATA!G271</f>
        <v>85407</v>
      </c>
      <c r="L275" s="525">
        <f>+DATA!H271</f>
        <v>171437</v>
      </c>
      <c r="M275" s="525">
        <f>+DATA!I271</f>
        <v>4218633239506</v>
      </c>
      <c r="N275" s="525">
        <f>+DATA!J271</f>
        <v>11275367615499</v>
      </c>
      <c r="O275" s="773">
        <f t="shared" si="85"/>
        <v>0.43173274021879687</v>
      </c>
      <c r="P275" s="774" t="str">
        <f t="shared" si="86"/>
        <v>NO</v>
      </c>
      <c r="Q275" s="771">
        <f t="shared" si="78"/>
        <v>7.7926547967999997E-3</v>
      </c>
      <c r="R275" s="771">
        <f t="shared" si="79"/>
        <v>1.1172284508000001E-2</v>
      </c>
      <c r="S275" s="771">
        <f t="shared" si="80"/>
        <v>3.3516853523999999E-3</v>
      </c>
      <c r="T275" s="525">
        <f>+DATA!K271</f>
        <v>0</v>
      </c>
      <c r="U275" s="525">
        <f>+DATA!L271</f>
        <v>0</v>
      </c>
      <c r="V275" s="525">
        <f>+DATA!M271</f>
        <v>47231246</v>
      </c>
      <c r="W275" s="526">
        <f t="shared" si="81"/>
        <v>47231246</v>
      </c>
      <c r="X275" s="526">
        <f t="shared" si="87"/>
        <v>47231246</v>
      </c>
      <c r="Y275" s="526">
        <f t="shared" si="88"/>
        <v>47231246</v>
      </c>
      <c r="Z275" s="525">
        <f>+DATA!F271</f>
        <v>718629.8348170768</v>
      </c>
      <c r="AA275" s="525">
        <f>IF(P275="SI",ROUND(Z275/DIV_Pf,PARAMETROS!$L$8),0)</f>
        <v>0</v>
      </c>
      <c r="AB275" s="526">
        <f t="shared" si="89"/>
        <v>407297</v>
      </c>
      <c r="AC275" s="775">
        <f t="shared" si="90"/>
        <v>115.96</v>
      </c>
      <c r="AD275" s="525">
        <f>IF(AC275&lt;$AC$6,ROUND(($AC$6-AC275)*AB275,PARAMETROS!$L$8),0)</f>
        <v>0</v>
      </c>
      <c r="AE275" s="771">
        <f t="shared" si="82"/>
        <v>0</v>
      </c>
      <c r="AF275" s="771">
        <f t="shared" si="83"/>
        <v>0</v>
      </c>
      <c r="AG275" s="771">
        <f t="shared" si="91"/>
        <v>5.1752227164000002E-3</v>
      </c>
      <c r="AH275" s="525">
        <f>+DATA!Q271</f>
        <v>29215569.118000001</v>
      </c>
      <c r="AI275" s="525">
        <f>+DATA!R271</f>
        <v>2434630.7598333335</v>
      </c>
      <c r="AJ275" s="525">
        <f>+DATA!S271</f>
        <v>1923358</v>
      </c>
      <c r="AK275" s="525">
        <f>+'_DATA STT PAGOS_'!G273</f>
        <v>0</v>
      </c>
      <c r="AL275" s="525">
        <f>+'_DATA STT PAGOS_'!J273</f>
        <v>39646198.162</v>
      </c>
      <c r="AM275" s="525">
        <f>+DATA!Y271</f>
        <v>2570464</v>
      </c>
      <c r="AN275" s="525">
        <f>+DATA!Z271</f>
        <v>1862370</v>
      </c>
      <c r="AO275" s="525">
        <f>+DATA!AA271</f>
        <v>2134863</v>
      </c>
      <c r="AP275" s="525">
        <f>+DATA!AB271</f>
        <v>1804671</v>
      </c>
      <c r="AQ275" s="525">
        <f>+DATA!AC271</f>
        <v>8372368</v>
      </c>
      <c r="AR275" s="525">
        <f>+DATA!AD271</f>
        <v>509697</v>
      </c>
      <c r="AS275" s="525">
        <f>+DATA!AE271</f>
        <v>228557</v>
      </c>
      <c r="AT275" s="525">
        <f>+DATA!AF271</f>
        <v>306433.24800000002</v>
      </c>
      <c r="AU275" s="525">
        <f>+DATA!AG271</f>
        <v>213550</v>
      </c>
      <c r="AV275" s="525">
        <f>+DATA!AH271</f>
        <v>1258237.2480000001</v>
      </c>
    </row>
    <row r="276" spans="1:48" x14ac:dyDescent="0.25">
      <c r="A276" s="527">
        <v>13111</v>
      </c>
      <c r="B276" s="527">
        <v>13131</v>
      </c>
      <c r="C276" s="527" t="s">
        <v>285</v>
      </c>
      <c r="D276" s="771">
        <f t="shared" si="74"/>
        <v>2.8901734103999998E-3</v>
      </c>
      <c r="E276" s="771">
        <f t="shared" si="75"/>
        <v>7.2254335259999995E-4</v>
      </c>
      <c r="F276" s="525">
        <f>+DATA!D272</f>
        <v>119321</v>
      </c>
      <c r="G276" s="772">
        <f>+DATA!E272</f>
        <v>6.0301679600837037E-2</v>
      </c>
      <c r="H276" s="525">
        <f t="shared" si="84"/>
        <v>7195</v>
      </c>
      <c r="I276" s="771">
        <f t="shared" si="76"/>
        <v>5.5099477723000003E-3</v>
      </c>
      <c r="J276" s="771">
        <f t="shared" si="77"/>
        <v>5.5099477719999996E-4</v>
      </c>
      <c r="K276" s="525">
        <f>+DATA!G272</f>
        <v>28644</v>
      </c>
      <c r="L276" s="525">
        <f>+DATA!H272</f>
        <v>31539</v>
      </c>
      <c r="M276" s="525">
        <f>+DATA!I272</f>
        <v>1040287693488</v>
      </c>
      <c r="N276" s="525">
        <f>+DATA!J272</f>
        <v>1365630900546</v>
      </c>
      <c r="O276" s="773">
        <f t="shared" si="85"/>
        <v>0.83176939382649584</v>
      </c>
      <c r="P276" s="774" t="str">
        <f t="shared" si="86"/>
        <v>SI</v>
      </c>
      <c r="Q276" s="771">
        <f t="shared" si="78"/>
        <v>4.7645564091999999E-3</v>
      </c>
      <c r="R276" s="771">
        <f t="shared" si="79"/>
        <v>6.8309172093999997E-3</v>
      </c>
      <c r="S276" s="771">
        <f t="shared" si="80"/>
        <v>2.0492751628000002E-3</v>
      </c>
      <c r="T276" s="525">
        <f>+DATA!K272</f>
        <v>0</v>
      </c>
      <c r="U276" s="525">
        <f>+DATA!L272</f>
        <v>0</v>
      </c>
      <c r="V276" s="525">
        <f>+DATA!M272</f>
        <v>5272131</v>
      </c>
      <c r="W276" s="526">
        <f t="shared" si="81"/>
        <v>5272131</v>
      </c>
      <c r="X276" s="526">
        <f t="shared" si="87"/>
        <v>5272131</v>
      </c>
      <c r="Y276" s="526">
        <f t="shared" si="88"/>
        <v>5272131</v>
      </c>
      <c r="Z276" s="525">
        <f>+DATA!F272</f>
        <v>156847.07677410715</v>
      </c>
      <c r="AA276" s="525">
        <f>IF(P276="SI",ROUND(Z276/DIV_Pf,PARAMETROS!$L$8),0)</f>
        <v>13071</v>
      </c>
      <c r="AB276" s="526">
        <f t="shared" si="89"/>
        <v>132392</v>
      </c>
      <c r="AC276" s="775">
        <f t="shared" si="90"/>
        <v>39.82</v>
      </c>
      <c r="AD276" s="525">
        <f>IF(AC276&lt;$AC$6,ROUND(($AC$6-AC276)*AB276,PARAMETROS!$L$8),0)</f>
        <v>8565762</v>
      </c>
      <c r="AE276" s="771">
        <f t="shared" si="82"/>
        <v>8.2215895392000003E-3</v>
      </c>
      <c r="AF276" s="771">
        <f t="shared" si="83"/>
        <v>2.8775563387000002E-3</v>
      </c>
      <c r="AG276" s="771">
        <f t="shared" si="91"/>
        <v>6.2003696313000008E-3</v>
      </c>
      <c r="AH276" s="525">
        <f>+DATA!Q272</f>
        <v>13690819.438999999</v>
      </c>
      <c r="AI276" s="525">
        <f>+DATA!R272</f>
        <v>1140901.6199166665</v>
      </c>
      <c r="AJ276" s="525">
        <f>+DATA!S272</f>
        <v>901312</v>
      </c>
      <c r="AK276" s="525">
        <f>+'_DATA STT PAGOS_'!G274</f>
        <v>0</v>
      </c>
      <c r="AL276" s="525">
        <f>+'_DATA STT PAGOS_'!J274</f>
        <v>18578756.351999998</v>
      </c>
      <c r="AM276" s="525">
        <f>+DATA!Y272</f>
        <v>155431</v>
      </c>
      <c r="AN276" s="525">
        <f>+DATA!Z272</f>
        <v>106836</v>
      </c>
      <c r="AO276" s="525">
        <f>+DATA!AA272</f>
        <v>117312</v>
      </c>
      <c r="AP276" s="525">
        <f>+DATA!AB272</f>
        <v>98193</v>
      </c>
      <c r="AQ276" s="525">
        <f>+DATA!AC272</f>
        <v>477772</v>
      </c>
      <c r="AR276" s="525">
        <f>+DATA!AD272</f>
        <v>10545</v>
      </c>
      <c r="AS276" s="525">
        <f>+DATA!AE272</f>
        <v>5542</v>
      </c>
      <c r="AT276" s="525">
        <f>+DATA!AF272</f>
        <v>2538.89</v>
      </c>
      <c r="AU276" s="525">
        <f>+DATA!AG272</f>
        <v>1522</v>
      </c>
      <c r="AV276" s="525">
        <f>+DATA!AH272</f>
        <v>20147.89</v>
      </c>
    </row>
    <row r="277" spans="1:48" x14ac:dyDescent="0.25">
      <c r="A277" s="527">
        <v>13112</v>
      </c>
      <c r="B277" s="527">
        <v>13154</v>
      </c>
      <c r="C277" s="527" t="s">
        <v>288</v>
      </c>
      <c r="D277" s="771">
        <f t="shared" si="74"/>
        <v>2.8901734103999998E-3</v>
      </c>
      <c r="E277" s="771">
        <f t="shared" si="75"/>
        <v>7.2254335259999995E-4</v>
      </c>
      <c r="F277" s="525">
        <f>+DATA!D273</f>
        <v>188980</v>
      </c>
      <c r="G277" s="772">
        <f>+DATA!E273</f>
        <v>9.2938431861116166E-2</v>
      </c>
      <c r="H277" s="525">
        <f t="shared" si="84"/>
        <v>17564</v>
      </c>
      <c r="I277" s="771">
        <f t="shared" si="76"/>
        <v>1.3450552143499999E-2</v>
      </c>
      <c r="J277" s="771">
        <f t="shared" si="77"/>
        <v>1.3450552144000001E-3</v>
      </c>
      <c r="K277" s="525">
        <f>+DATA!G273</f>
        <v>48582</v>
      </c>
      <c r="L277" s="525">
        <f>+DATA!H273</f>
        <v>50265</v>
      </c>
      <c r="M277" s="525">
        <f>+DATA!I273</f>
        <v>1304862712225</v>
      </c>
      <c r="N277" s="525">
        <f>+DATA!J273</f>
        <v>1720899436793</v>
      </c>
      <c r="O277" s="773">
        <f t="shared" si="85"/>
        <v>0.85607046844459844</v>
      </c>
      <c r="P277" s="774" t="str">
        <f t="shared" si="86"/>
        <v>SI</v>
      </c>
      <c r="Q277" s="771">
        <f t="shared" si="78"/>
        <v>8.5997961044000006E-3</v>
      </c>
      <c r="R277" s="771">
        <f t="shared" si="79"/>
        <v>1.23294783735E-2</v>
      </c>
      <c r="S277" s="771">
        <f t="shared" si="80"/>
        <v>3.6988435120999998E-3</v>
      </c>
      <c r="T277" s="525">
        <f>+DATA!K273</f>
        <v>0</v>
      </c>
      <c r="U277" s="525">
        <f>+DATA!L273</f>
        <v>0</v>
      </c>
      <c r="V277" s="525">
        <f>+DATA!M273</f>
        <v>6715421</v>
      </c>
      <c r="W277" s="526">
        <f t="shared" si="81"/>
        <v>6715421</v>
      </c>
      <c r="X277" s="526">
        <f t="shared" si="87"/>
        <v>6715421</v>
      </c>
      <c r="Y277" s="526">
        <f t="shared" si="88"/>
        <v>6715421</v>
      </c>
      <c r="Z277" s="525">
        <f>+DATA!F273</f>
        <v>203163.60297063261</v>
      </c>
      <c r="AA277" s="525">
        <f>IF(P277="SI",ROUND(Z277/DIV_Pf,PARAMETROS!$L$8),0)</f>
        <v>16930</v>
      </c>
      <c r="AB277" s="526">
        <f t="shared" si="89"/>
        <v>205910</v>
      </c>
      <c r="AC277" s="775">
        <f t="shared" si="90"/>
        <v>32.61</v>
      </c>
      <c r="AD277" s="525">
        <f>IF(AC277&lt;$AC$6,ROUND(($AC$6-AC277)*AB277,PARAMETROS!$L$8),0)</f>
        <v>14806988</v>
      </c>
      <c r="AE277" s="771">
        <f t="shared" si="82"/>
        <v>1.42120429738E-2</v>
      </c>
      <c r="AF277" s="771">
        <f t="shared" si="83"/>
        <v>4.9742150408000002E-3</v>
      </c>
      <c r="AG277" s="771">
        <f t="shared" si="91"/>
        <v>1.07406571199E-2</v>
      </c>
      <c r="AH277" s="525">
        <f>+DATA!Q273</f>
        <v>23354009.528999999</v>
      </c>
      <c r="AI277" s="525">
        <f>+DATA!R273</f>
        <v>1946167.4607499999</v>
      </c>
      <c r="AJ277" s="525">
        <f>+DATA!S273</f>
        <v>1537472</v>
      </c>
      <c r="AK277" s="525">
        <f>+'_DATA STT PAGOS_'!G275</f>
        <v>0</v>
      </c>
      <c r="AL277" s="525">
        <f>+'_DATA STT PAGOS_'!J275</f>
        <v>31691927.199999996</v>
      </c>
      <c r="AM277" s="525">
        <f>+DATA!Y273</f>
        <v>215609</v>
      </c>
      <c r="AN277" s="525">
        <f>+DATA!Z273</f>
        <v>124031</v>
      </c>
      <c r="AO277" s="525">
        <f>+DATA!AA273</f>
        <v>168272</v>
      </c>
      <c r="AP277" s="525">
        <f>+DATA!AB273</f>
        <v>131967</v>
      </c>
      <c r="AQ277" s="525">
        <f>+DATA!AC273</f>
        <v>639879</v>
      </c>
      <c r="AR277" s="525">
        <f>+DATA!AD273</f>
        <v>7941</v>
      </c>
      <c r="AS277" s="525">
        <f>+DATA!AE273</f>
        <v>4076</v>
      </c>
      <c r="AT277" s="525">
        <f>+DATA!AF273</f>
        <v>5641.7979999999998</v>
      </c>
      <c r="AU277" s="525">
        <f>+DATA!AG273</f>
        <v>4349</v>
      </c>
      <c r="AV277" s="525">
        <f>+DATA!AH273</f>
        <v>22007.797999999999</v>
      </c>
    </row>
    <row r="278" spans="1:48" x14ac:dyDescent="0.25">
      <c r="A278" s="527">
        <v>13113</v>
      </c>
      <c r="B278" s="527">
        <v>13132</v>
      </c>
      <c r="C278" s="527" t="s">
        <v>286</v>
      </c>
      <c r="D278" s="771">
        <f t="shared" si="74"/>
        <v>2.8901734103999998E-3</v>
      </c>
      <c r="E278" s="771">
        <f t="shared" si="75"/>
        <v>7.2254335259999995E-4</v>
      </c>
      <c r="F278" s="525">
        <f>+DATA!D274</f>
        <v>99212</v>
      </c>
      <c r="G278" s="772">
        <f>+DATA!E274</f>
        <v>1.6027117472038919E-2</v>
      </c>
      <c r="H278" s="525">
        <f t="shared" si="84"/>
        <v>1590</v>
      </c>
      <c r="I278" s="771">
        <f t="shared" si="76"/>
        <v>1.2176257065E-3</v>
      </c>
      <c r="J278" s="771">
        <f t="shared" si="77"/>
        <v>1.217625707E-4</v>
      </c>
      <c r="K278" s="525">
        <f>+DATA!G274</f>
        <v>8019</v>
      </c>
      <c r="L278" s="525">
        <f>+DATA!H274</f>
        <v>40355</v>
      </c>
      <c r="M278" s="525">
        <f>+DATA!I274</f>
        <v>1405484048313</v>
      </c>
      <c r="N278" s="525">
        <f>+DATA!J274</f>
        <v>6487342043530</v>
      </c>
      <c r="O278" s="773">
        <f t="shared" si="85"/>
        <v>0.20748704857780068</v>
      </c>
      <c r="P278" s="774" t="str">
        <f t="shared" si="86"/>
        <v>NO</v>
      </c>
      <c r="Q278" s="771">
        <f t="shared" si="78"/>
        <v>2.918408875E-4</v>
      </c>
      <c r="R278" s="771">
        <f t="shared" si="79"/>
        <v>4.1841060729999998E-4</v>
      </c>
      <c r="S278" s="771">
        <f t="shared" si="80"/>
        <v>1.2552318220000001E-4</v>
      </c>
      <c r="T278" s="525">
        <f>+DATA!K274</f>
        <v>0</v>
      </c>
      <c r="U278" s="525">
        <f>+DATA!L274</f>
        <v>0</v>
      </c>
      <c r="V278" s="525">
        <f>+DATA!M274</f>
        <v>31019315</v>
      </c>
      <c r="W278" s="526">
        <f t="shared" si="81"/>
        <v>31019315</v>
      </c>
      <c r="X278" s="526">
        <f t="shared" si="87"/>
        <v>31019315</v>
      </c>
      <c r="Y278" s="526">
        <f t="shared" si="88"/>
        <v>31019315</v>
      </c>
      <c r="Z278" s="525">
        <f>+DATA!F274</f>
        <v>283130.73987604328</v>
      </c>
      <c r="AA278" s="525">
        <f>IF(P278="SI",ROUND(Z278/DIV_Pf,PARAMETROS!$L$8),0)</f>
        <v>0</v>
      </c>
      <c r="AB278" s="526">
        <f t="shared" si="89"/>
        <v>99212</v>
      </c>
      <c r="AC278" s="775">
        <f t="shared" si="90"/>
        <v>312.66000000000003</v>
      </c>
      <c r="AD278" s="525">
        <f>IF(AC278&lt;$AC$6,ROUND(($AC$6-AC278)*AB278,PARAMETROS!$L$8),0)</f>
        <v>0</v>
      </c>
      <c r="AE278" s="771">
        <f t="shared" si="82"/>
        <v>0</v>
      </c>
      <c r="AF278" s="771">
        <f t="shared" si="83"/>
        <v>0</v>
      </c>
      <c r="AG278" s="771">
        <f t="shared" si="91"/>
        <v>9.6982910549999997E-4</v>
      </c>
      <c r="AH278" s="525">
        <f>+DATA!Q274</f>
        <v>1966875.8840000001</v>
      </c>
      <c r="AI278" s="525">
        <f>+DATA!R274</f>
        <v>163906.32366666666</v>
      </c>
      <c r="AJ278" s="525">
        <f>+DATA!S274</f>
        <v>129486</v>
      </c>
      <c r="AK278" s="525">
        <f>+'_DATA STT PAGOS_'!G276</f>
        <v>0</v>
      </c>
      <c r="AL278" s="525">
        <f>+'_DATA STT PAGOS_'!J276</f>
        <v>2662656.0830000001</v>
      </c>
      <c r="AM278" s="525">
        <f>+DATA!Y274</f>
        <v>2457373</v>
      </c>
      <c r="AN278" s="525">
        <f>+DATA!Z274</f>
        <v>1477172</v>
      </c>
      <c r="AO278" s="525">
        <f>+DATA!AA274</f>
        <v>1802635</v>
      </c>
      <c r="AP278" s="525">
        <f>+DATA!AB274</f>
        <v>1377133</v>
      </c>
      <c r="AQ278" s="525">
        <f>+DATA!AC274</f>
        <v>7114313</v>
      </c>
      <c r="AR278" s="525">
        <f>+DATA!AD274</f>
        <v>388570</v>
      </c>
      <c r="AS278" s="525">
        <f>+DATA!AE274</f>
        <v>180453</v>
      </c>
      <c r="AT278" s="525">
        <f>+DATA!AF274</f>
        <v>252468.02600000001</v>
      </c>
      <c r="AU278" s="525">
        <f>+DATA!AG274</f>
        <v>168076</v>
      </c>
      <c r="AV278" s="525">
        <f>+DATA!AH274</f>
        <v>989567.02600000007</v>
      </c>
    </row>
    <row r="279" spans="1:48" x14ac:dyDescent="0.25">
      <c r="A279" s="527">
        <v>13114</v>
      </c>
      <c r="B279" s="527">
        <v>13108</v>
      </c>
      <c r="C279" s="527" t="s">
        <v>279</v>
      </c>
      <c r="D279" s="771">
        <f t="shared" si="74"/>
        <v>2.8901734103999998E-3</v>
      </c>
      <c r="E279" s="771">
        <f t="shared" si="75"/>
        <v>7.2254335259999995E-4</v>
      </c>
      <c r="F279" s="525">
        <f>+DATA!D275</f>
        <v>343632</v>
      </c>
      <c r="G279" s="772">
        <f>+DATA!E275</f>
        <v>9.0932522191821841E-3</v>
      </c>
      <c r="H279" s="525">
        <f t="shared" si="84"/>
        <v>3125</v>
      </c>
      <c r="I279" s="771">
        <f t="shared" si="76"/>
        <v>2.3931322847000002E-3</v>
      </c>
      <c r="J279" s="771">
        <f t="shared" si="77"/>
        <v>2.3931322850000001E-4</v>
      </c>
      <c r="K279" s="525">
        <f>+DATA!G275</f>
        <v>18923</v>
      </c>
      <c r="L279" s="525">
        <f>+DATA!H275</f>
        <v>385098</v>
      </c>
      <c r="M279" s="525">
        <f>+DATA!I275</f>
        <v>4420670274969</v>
      </c>
      <c r="N279" s="525">
        <f>+DATA!J275</f>
        <v>36426020226680</v>
      </c>
      <c r="O279" s="773">
        <f t="shared" si="85"/>
        <v>7.7223158834359776E-2</v>
      </c>
      <c r="P279" s="774" t="str">
        <f t="shared" si="86"/>
        <v>NO</v>
      </c>
      <c r="Q279" s="771">
        <f t="shared" si="78"/>
        <v>1.7029887449999999E-4</v>
      </c>
      <c r="R279" s="771">
        <f t="shared" si="79"/>
        <v>2.441565201E-4</v>
      </c>
      <c r="S279" s="771">
        <f t="shared" si="80"/>
        <v>7.3246955999999998E-5</v>
      </c>
      <c r="T279" s="525">
        <f>+DATA!K275</f>
        <v>0</v>
      </c>
      <c r="U279" s="525">
        <f>+DATA!L275</f>
        <v>0</v>
      </c>
      <c r="V279" s="525">
        <f>+DATA!M275</f>
        <v>220242010</v>
      </c>
      <c r="W279" s="526">
        <f t="shared" si="81"/>
        <v>220242010</v>
      </c>
      <c r="X279" s="526">
        <f t="shared" si="87"/>
        <v>220242010</v>
      </c>
      <c r="Y279" s="526">
        <f t="shared" si="88"/>
        <v>220242010</v>
      </c>
      <c r="Z279" s="525">
        <f>+DATA!F275</f>
        <v>3492595.9448581575</v>
      </c>
      <c r="AA279" s="525">
        <f>IF(P279="SI",ROUND(Z279/DIV_Pf,PARAMETROS!$L$8),0)</f>
        <v>0</v>
      </c>
      <c r="AB279" s="526">
        <f t="shared" si="89"/>
        <v>343632</v>
      </c>
      <c r="AC279" s="775">
        <f t="shared" si="90"/>
        <v>640.91999999999996</v>
      </c>
      <c r="AD279" s="525">
        <f>IF(AC279&lt;$AC$6,ROUND(($AC$6-AC279)*AB279,PARAMETROS!$L$8),0)</f>
        <v>0</v>
      </c>
      <c r="AE279" s="771">
        <f t="shared" si="82"/>
        <v>0</v>
      </c>
      <c r="AF279" s="771">
        <f t="shared" si="83"/>
        <v>0</v>
      </c>
      <c r="AG279" s="771">
        <f t="shared" si="91"/>
        <v>1.0351035371E-3</v>
      </c>
      <c r="AH279" s="525">
        <f>+DATA!Q275</f>
        <v>3929998.727</v>
      </c>
      <c r="AI279" s="525">
        <f>+DATA!R275</f>
        <v>327499.89391666668</v>
      </c>
      <c r="AJ279" s="525">
        <f>+DATA!S275</f>
        <v>258725</v>
      </c>
      <c r="AK279" s="525">
        <f>+'_DATA STT PAGOS_'!G277</f>
        <v>0</v>
      </c>
      <c r="AL279" s="525">
        <f>+'_DATA STT PAGOS_'!J277</f>
        <v>5333098.5159999998</v>
      </c>
      <c r="AM279" s="525">
        <f>+DATA!Y275</f>
        <v>16868481</v>
      </c>
      <c r="AN279" s="525">
        <f>+DATA!Z275</f>
        <v>10518160</v>
      </c>
      <c r="AO279" s="525">
        <f>+DATA!AA275</f>
        <v>12729458</v>
      </c>
      <c r="AP279" s="525">
        <f>+DATA!AB275</f>
        <v>9660430</v>
      </c>
      <c r="AQ279" s="525">
        <f>+DATA!AC275</f>
        <v>49776529</v>
      </c>
      <c r="AR279" s="525">
        <f>+DATA!AD275</f>
        <v>2217662</v>
      </c>
      <c r="AS279" s="525">
        <f>+DATA!AE275</f>
        <v>1029314</v>
      </c>
      <c r="AT279" s="525">
        <f>+DATA!AF275</f>
        <v>1401373.8049999999</v>
      </c>
      <c r="AU279" s="525">
        <f>+DATA!AG275</f>
        <v>955594</v>
      </c>
      <c r="AV279" s="525">
        <f>+DATA!AH275</f>
        <v>5603943.8049999997</v>
      </c>
    </row>
    <row r="280" spans="1:48" x14ac:dyDescent="0.25">
      <c r="A280" s="527">
        <v>13115</v>
      </c>
      <c r="B280" s="527">
        <v>13161</v>
      </c>
      <c r="C280" s="527" t="s">
        <v>294</v>
      </c>
      <c r="D280" s="771">
        <f t="shared" si="74"/>
        <v>2.8901734103999998E-3</v>
      </c>
      <c r="E280" s="771">
        <f t="shared" si="75"/>
        <v>7.2254335259999995E-4</v>
      </c>
      <c r="F280" s="525">
        <f>+DATA!D276</f>
        <v>131053</v>
      </c>
      <c r="G280" s="772">
        <f>+DATA!E276</f>
        <v>9.0283132496764527E-3</v>
      </c>
      <c r="H280" s="525">
        <f t="shared" si="84"/>
        <v>1183</v>
      </c>
      <c r="I280" s="771">
        <f t="shared" si="76"/>
        <v>9.0594415769999998E-4</v>
      </c>
      <c r="J280" s="771">
        <f t="shared" si="77"/>
        <v>9.0594415800000002E-5</v>
      </c>
      <c r="K280" s="525">
        <f>+DATA!G276</f>
        <v>6341</v>
      </c>
      <c r="L280" s="525">
        <f>+DATA!H276</f>
        <v>72109</v>
      </c>
      <c r="M280" s="525">
        <f>+DATA!I276</f>
        <v>1193670100854</v>
      </c>
      <c r="N280" s="525">
        <f>+DATA!J276</f>
        <v>15274992578180</v>
      </c>
      <c r="O280" s="773">
        <f t="shared" si="85"/>
        <v>8.2896423582258863E-2</v>
      </c>
      <c r="P280" s="774" t="str">
        <f t="shared" si="86"/>
        <v>NO</v>
      </c>
      <c r="Q280" s="771">
        <f t="shared" si="78"/>
        <v>1.021243007E-4</v>
      </c>
      <c r="R280" s="771">
        <f t="shared" si="79"/>
        <v>1.4641502450000001E-4</v>
      </c>
      <c r="S280" s="771">
        <f t="shared" si="80"/>
        <v>4.3924507400000002E-5</v>
      </c>
      <c r="T280" s="525">
        <f>+DATA!K276</f>
        <v>0</v>
      </c>
      <c r="U280" s="525">
        <f>+DATA!L276</f>
        <v>0</v>
      </c>
      <c r="V280" s="525">
        <f>+DATA!M276</f>
        <v>118138043</v>
      </c>
      <c r="W280" s="526">
        <f t="shared" si="81"/>
        <v>118138043</v>
      </c>
      <c r="X280" s="526">
        <f t="shared" si="87"/>
        <v>118138043</v>
      </c>
      <c r="Y280" s="526">
        <f t="shared" si="88"/>
        <v>118138043</v>
      </c>
      <c r="Z280" s="525">
        <f>+DATA!F276</f>
        <v>1286506.1331799659</v>
      </c>
      <c r="AA280" s="525">
        <f>IF(P280="SI",ROUND(Z280/DIV_Pf,PARAMETROS!$L$8),0)</f>
        <v>0</v>
      </c>
      <c r="AB280" s="526">
        <f t="shared" si="89"/>
        <v>131053</v>
      </c>
      <c r="AC280" s="775">
        <f t="shared" si="90"/>
        <v>901.45</v>
      </c>
      <c r="AD280" s="525">
        <f>IF(AC280&lt;$AC$6,ROUND(($AC$6-AC280)*AB280,PARAMETROS!$L$8),0)</f>
        <v>0</v>
      </c>
      <c r="AE280" s="771">
        <f t="shared" si="82"/>
        <v>0</v>
      </c>
      <c r="AF280" s="771">
        <f t="shared" si="83"/>
        <v>0</v>
      </c>
      <c r="AG280" s="771">
        <f t="shared" si="91"/>
        <v>8.5706227579999993E-4</v>
      </c>
      <c r="AH280" s="525">
        <f>+DATA!Q276</f>
        <v>2015859.291</v>
      </c>
      <c r="AI280" s="525">
        <f>+DATA!R276</f>
        <v>167988.27424999999</v>
      </c>
      <c r="AJ280" s="525">
        <f>+DATA!S276</f>
        <v>132711</v>
      </c>
      <c r="AK280" s="525">
        <f>+'_DATA STT PAGOS_'!G278</f>
        <v>0</v>
      </c>
      <c r="AL280" s="525">
        <f>+'_DATA STT PAGOS_'!J278</f>
        <v>2729398.2970000003</v>
      </c>
      <c r="AM280" s="525">
        <f>+DATA!Y276</f>
        <v>8646254</v>
      </c>
      <c r="AN280" s="525">
        <f>+DATA!Z276</f>
        <v>5526267</v>
      </c>
      <c r="AO280" s="525">
        <f>+DATA!AA276</f>
        <v>6563078</v>
      </c>
      <c r="AP280" s="525">
        <f>+DATA!AB276</f>
        <v>5378914</v>
      </c>
      <c r="AQ280" s="525">
        <f>+DATA!AC276</f>
        <v>26114513</v>
      </c>
      <c r="AR280" s="525">
        <f>+DATA!AD276</f>
        <v>618506</v>
      </c>
      <c r="AS280" s="525">
        <f>+DATA!AE276</f>
        <v>337645</v>
      </c>
      <c r="AT280" s="525">
        <f>+DATA!AF276</f>
        <v>424797.87900000002</v>
      </c>
      <c r="AU280" s="525">
        <f>+DATA!AG276</f>
        <v>322131</v>
      </c>
      <c r="AV280" s="525">
        <f>+DATA!AH276</f>
        <v>1703079.879</v>
      </c>
    </row>
    <row r="281" spans="1:48" x14ac:dyDescent="0.25">
      <c r="A281" s="527">
        <v>13116</v>
      </c>
      <c r="B281" s="527">
        <v>13164</v>
      </c>
      <c r="C281" s="527" t="s">
        <v>296</v>
      </c>
      <c r="D281" s="771">
        <f t="shared" si="74"/>
        <v>2.8901734103999998E-3</v>
      </c>
      <c r="E281" s="771">
        <f t="shared" si="75"/>
        <v>7.2254335259999995E-4</v>
      </c>
      <c r="F281" s="525">
        <f>+DATA!D277</f>
        <v>100694</v>
      </c>
      <c r="G281" s="772">
        <f>+DATA!E277</f>
        <v>6.7816947929765004E-2</v>
      </c>
      <c r="H281" s="525">
        <f t="shared" si="84"/>
        <v>6829</v>
      </c>
      <c r="I281" s="771">
        <f t="shared" si="76"/>
        <v>5.2296641191E-3</v>
      </c>
      <c r="J281" s="771">
        <f t="shared" si="77"/>
        <v>5.2296641190000004E-4</v>
      </c>
      <c r="K281" s="525">
        <f>+DATA!G277</f>
        <v>23011</v>
      </c>
      <c r="L281" s="525">
        <f>+DATA!H277</f>
        <v>23885</v>
      </c>
      <c r="M281" s="525">
        <f>+DATA!I277</f>
        <v>683381514043</v>
      </c>
      <c r="N281" s="525">
        <f>+DATA!J277</f>
        <v>840296602145</v>
      </c>
      <c r="O281" s="773">
        <f t="shared" si="85"/>
        <v>0.88515725439954207</v>
      </c>
      <c r="P281" s="774" t="str">
        <f t="shared" si="86"/>
        <v>SI</v>
      </c>
      <c r="Q281" s="771">
        <f t="shared" si="78"/>
        <v>4.0602128497000001E-3</v>
      </c>
      <c r="R281" s="771">
        <f t="shared" si="79"/>
        <v>5.8211038860000001E-3</v>
      </c>
      <c r="S281" s="771">
        <f t="shared" si="80"/>
        <v>1.7463311658000001E-3</v>
      </c>
      <c r="T281" s="525">
        <f>+DATA!K277</f>
        <v>0</v>
      </c>
      <c r="U281" s="525">
        <f>+DATA!L277</f>
        <v>0</v>
      </c>
      <c r="V281" s="525">
        <f>+DATA!M277</f>
        <v>4269491</v>
      </c>
      <c r="W281" s="526">
        <f t="shared" si="81"/>
        <v>4269491</v>
      </c>
      <c r="X281" s="526">
        <f t="shared" si="87"/>
        <v>4269491</v>
      </c>
      <c r="Y281" s="526">
        <f t="shared" si="88"/>
        <v>4269491</v>
      </c>
      <c r="Z281" s="525">
        <f>+DATA!F277</f>
        <v>118618.56710368536</v>
      </c>
      <c r="AA281" s="525">
        <f>IF(P281="SI",ROUND(Z281/DIV_Pf,PARAMETROS!$L$8),0)</f>
        <v>9885</v>
      </c>
      <c r="AB281" s="526">
        <f t="shared" si="89"/>
        <v>110579</v>
      </c>
      <c r="AC281" s="775">
        <f t="shared" si="90"/>
        <v>38.61</v>
      </c>
      <c r="AD281" s="525">
        <f>IF(AC281&lt;$AC$6,ROUND(($AC$6-AC281)*AB281,PARAMETROS!$L$8),0)</f>
        <v>7288262</v>
      </c>
      <c r="AE281" s="771">
        <f t="shared" si="82"/>
        <v>6.9954195105999999E-3</v>
      </c>
      <c r="AF281" s="771">
        <f t="shared" si="83"/>
        <v>2.4483968286999999E-3</v>
      </c>
      <c r="AG281" s="771">
        <f t="shared" si="91"/>
        <v>5.4402377590000005E-3</v>
      </c>
      <c r="AH281" s="525">
        <f>+DATA!Q277</f>
        <v>11332794.096999999</v>
      </c>
      <c r="AI281" s="525">
        <f>+DATA!R277</f>
        <v>944399.50808333326</v>
      </c>
      <c r="AJ281" s="525">
        <f>+DATA!S277</f>
        <v>746076</v>
      </c>
      <c r="AK281" s="525">
        <f>+'_DATA STT PAGOS_'!G279</f>
        <v>0</v>
      </c>
      <c r="AL281" s="525">
        <f>+'_DATA STT PAGOS_'!J279</f>
        <v>15378861.824000001</v>
      </c>
      <c r="AM281" s="525">
        <f>+DATA!Y277</f>
        <v>86220</v>
      </c>
      <c r="AN281" s="525">
        <f>+DATA!Z277</f>
        <v>60101</v>
      </c>
      <c r="AO281" s="525">
        <f>+DATA!AA277</f>
        <v>73435</v>
      </c>
      <c r="AP281" s="525">
        <f>+DATA!AB277</f>
        <v>59821</v>
      </c>
      <c r="AQ281" s="525">
        <f>+DATA!AC277</f>
        <v>279577</v>
      </c>
      <c r="AR281" s="525">
        <f>+DATA!AD277</f>
        <v>2115</v>
      </c>
      <c r="AS281" s="525">
        <f>+DATA!AE277</f>
        <v>1103</v>
      </c>
      <c r="AT281" s="525">
        <f>+DATA!AF277</f>
        <v>1467.779</v>
      </c>
      <c r="AU281" s="525">
        <f>+DATA!AG277</f>
        <v>1170</v>
      </c>
      <c r="AV281" s="525">
        <f>+DATA!AH277</f>
        <v>5855.7790000000005</v>
      </c>
    </row>
    <row r="282" spans="1:48" x14ac:dyDescent="0.25">
      <c r="A282" s="527">
        <v>13117</v>
      </c>
      <c r="B282" s="527">
        <v>13155</v>
      </c>
      <c r="C282" s="527" t="s">
        <v>289</v>
      </c>
      <c r="D282" s="771">
        <f t="shared" si="74"/>
        <v>2.8901734103999998E-3</v>
      </c>
      <c r="E282" s="771">
        <f t="shared" si="75"/>
        <v>7.2254335259999995E-4</v>
      </c>
      <c r="F282" s="525">
        <f>+DATA!D278</f>
        <v>102078</v>
      </c>
      <c r="G282" s="772">
        <f>+DATA!E278</f>
        <v>5.3266847379490417E-2</v>
      </c>
      <c r="H282" s="525">
        <f t="shared" si="84"/>
        <v>5437</v>
      </c>
      <c r="I282" s="771">
        <f t="shared" si="76"/>
        <v>4.1636672741999997E-3</v>
      </c>
      <c r="J282" s="771">
        <f t="shared" si="77"/>
        <v>4.1636672739999998E-4</v>
      </c>
      <c r="K282" s="525">
        <f>+DATA!G278</f>
        <v>24001</v>
      </c>
      <c r="L282" s="525">
        <f>+DATA!H278</f>
        <v>25455</v>
      </c>
      <c r="M282" s="525">
        <f>+DATA!I278</f>
        <v>707911213949</v>
      </c>
      <c r="N282" s="525">
        <f>+DATA!J278</f>
        <v>888391114709</v>
      </c>
      <c r="O282" s="773">
        <f t="shared" si="85"/>
        <v>0.86679303040049038</v>
      </c>
      <c r="P282" s="774" t="str">
        <f t="shared" si="86"/>
        <v>SI</v>
      </c>
      <c r="Q282" s="771">
        <f t="shared" si="78"/>
        <v>4.1446573740999996E-3</v>
      </c>
      <c r="R282" s="771">
        <f t="shared" si="79"/>
        <v>5.9421715165000003E-3</v>
      </c>
      <c r="S282" s="771">
        <f t="shared" si="80"/>
        <v>1.782651455E-3</v>
      </c>
      <c r="T282" s="525">
        <f>+DATA!K278</f>
        <v>0</v>
      </c>
      <c r="U282" s="525">
        <f>+DATA!L278</f>
        <v>0</v>
      </c>
      <c r="V282" s="525">
        <f>+DATA!M278</f>
        <v>3588866</v>
      </c>
      <c r="W282" s="526">
        <f t="shared" si="81"/>
        <v>3588866</v>
      </c>
      <c r="X282" s="526">
        <f t="shared" si="87"/>
        <v>3588866</v>
      </c>
      <c r="Y282" s="526">
        <f t="shared" si="88"/>
        <v>3588866</v>
      </c>
      <c r="Z282" s="525">
        <f>+DATA!F278</f>
        <v>111945.81746478935</v>
      </c>
      <c r="AA282" s="525">
        <f>IF(P282="SI",ROUND(Z282/DIV_Pf,PARAMETROS!$L$8),0)</f>
        <v>9329</v>
      </c>
      <c r="AB282" s="526">
        <f t="shared" si="89"/>
        <v>111407</v>
      </c>
      <c r="AC282" s="775">
        <f t="shared" si="90"/>
        <v>32.21</v>
      </c>
      <c r="AD282" s="525">
        <f>IF(AC282&lt;$AC$6,ROUND(($AC$6-AC282)*AB282,PARAMETROS!$L$8),0)</f>
        <v>8055840</v>
      </c>
      <c r="AE282" s="771">
        <f t="shared" si="82"/>
        <v>7.7321562137E-3</v>
      </c>
      <c r="AF282" s="771">
        <f t="shared" si="83"/>
        <v>2.7062546748000001E-3</v>
      </c>
      <c r="AG282" s="771">
        <f t="shared" si="91"/>
        <v>5.6278162098000002E-3</v>
      </c>
      <c r="AH282" s="525">
        <f>+DATA!Q278</f>
        <v>12383637.376</v>
      </c>
      <c r="AI282" s="525">
        <f>+DATA!R278</f>
        <v>1031969.7813333333</v>
      </c>
      <c r="AJ282" s="525">
        <f>+DATA!S278</f>
        <v>815256</v>
      </c>
      <c r="AK282" s="525">
        <f>+'_DATA STT PAGOS_'!G280</f>
        <v>0</v>
      </c>
      <c r="AL282" s="525">
        <f>+'_DATA STT PAGOS_'!J280</f>
        <v>16804880.283</v>
      </c>
      <c r="AM282" s="525">
        <f>+DATA!Y278</f>
        <v>95686</v>
      </c>
      <c r="AN282" s="525">
        <f>+DATA!Z278</f>
        <v>79618</v>
      </c>
      <c r="AO282" s="525">
        <f>+DATA!AA278</f>
        <v>93918</v>
      </c>
      <c r="AP282" s="525">
        <f>+DATA!AB278</f>
        <v>82440</v>
      </c>
      <c r="AQ282" s="525">
        <f>+DATA!AC278</f>
        <v>351662</v>
      </c>
      <c r="AR282" s="525">
        <f>+DATA!AD278</f>
        <v>5835</v>
      </c>
      <c r="AS282" s="525">
        <f>+DATA!AE278</f>
        <v>2616</v>
      </c>
      <c r="AT282" s="525">
        <f>+DATA!AF278</f>
        <v>2794.1030000000001</v>
      </c>
      <c r="AU282" s="525">
        <f>+DATA!AG278</f>
        <v>2271</v>
      </c>
      <c r="AV282" s="525">
        <f>+DATA!AH278</f>
        <v>13516.102999999999</v>
      </c>
    </row>
    <row r="283" spans="1:48" x14ac:dyDescent="0.25">
      <c r="A283" s="527">
        <v>13118</v>
      </c>
      <c r="B283" s="527">
        <v>13151</v>
      </c>
      <c r="C283" s="527" t="s">
        <v>287</v>
      </c>
      <c r="D283" s="771">
        <f t="shared" si="74"/>
        <v>2.8901734103999998E-3</v>
      </c>
      <c r="E283" s="771">
        <f t="shared" si="75"/>
        <v>7.2254335259999995E-4</v>
      </c>
      <c r="F283" s="525">
        <f>+DATA!D279</f>
        <v>138361</v>
      </c>
      <c r="G283" s="772">
        <f>+DATA!E279</f>
        <v>3.4747354609061171E-2</v>
      </c>
      <c r="H283" s="525">
        <f t="shared" si="84"/>
        <v>4808</v>
      </c>
      <c r="I283" s="771">
        <f t="shared" si="76"/>
        <v>3.6819776079000002E-3</v>
      </c>
      <c r="J283" s="771">
        <f t="shared" si="77"/>
        <v>3.681977608E-4</v>
      </c>
      <c r="K283" s="525">
        <f>+DATA!G279</f>
        <v>32282</v>
      </c>
      <c r="L283" s="525">
        <f>+DATA!H279</f>
        <v>70630</v>
      </c>
      <c r="M283" s="525">
        <f>+DATA!I279</f>
        <v>1681561837860</v>
      </c>
      <c r="N283" s="525">
        <f>+DATA!J279</f>
        <v>3772574213146</v>
      </c>
      <c r="O283" s="773">
        <f t="shared" si="85"/>
        <v>0.45136007283103852</v>
      </c>
      <c r="P283" s="774" t="str">
        <f t="shared" si="86"/>
        <v>NO</v>
      </c>
      <c r="Q283" s="771">
        <f t="shared" si="78"/>
        <v>2.7023072238999998E-3</v>
      </c>
      <c r="R283" s="771">
        <f t="shared" si="79"/>
        <v>3.874282375E-3</v>
      </c>
      <c r="S283" s="771">
        <f t="shared" si="80"/>
        <v>1.1622847124999999E-3</v>
      </c>
      <c r="T283" s="525">
        <f>+DATA!K279</f>
        <v>0</v>
      </c>
      <c r="U283" s="525">
        <f>+DATA!L279</f>
        <v>0</v>
      </c>
      <c r="V283" s="525">
        <f>+DATA!M279</f>
        <v>19664379</v>
      </c>
      <c r="W283" s="526">
        <f t="shared" si="81"/>
        <v>19664379</v>
      </c>
      <c r="X283" s="526">
        <f t="shared" si="87"/>
        <v>19664379</v>
      </c>
      <c r="Y283" s="526">
        <f t="shared" si="88"/>
        <v>19664379</v>
      </c>
      <c r="Z283" s="525">
        <f>+DATA!F279</f>
        <v>351270.18632826838</v>
      </c>
      <c r="AA283" s="525">
        <f>IF(P283="SI",ROUND(Z283/DIV_Pf,PARAMETROS!$L$8),0)</f>
        <v>0</v>
      </c>
      <c r="AB283" s="526">
        <f t="shared" si="89"/>
        <v>138361</v>
      </c>
      <c r="AC283" s="775">
        <f t="shared" si="90"/>
        <v>142.12</v>
      </c>
      <c r="AD283" s="525">
        <f>IF(AC283&lt;$AC$6,ROUND(($AC$6-AC283)*AB283,PARAMETROS!$L$8),0)</f>
        <v>0</v>
      </c>
      <c r="AE283" s="771">
        <f t="shared" si="82"/>
        <v>0</v>
      </c>
      <c r="AF283" s="771">
        <f t="shared" si="83"/>
        <v>0</v>
      </c>
      <c r="AG283" s="771">
        <f t="shared" si="91"/>
        <v>2.2530258258999999E-3</v>
      </c>
      <c r="AH283" s="525">
        <f>+DATA!Q279</f>
        <v>4400092.233</v>
      </c>
      <c r="AI283" s="525">
        <f>+DATA!R279</f>
        <v>366674.35275000002</v>
      </c>
      <c r="AJ283" s="525">
        <f>+DATA!S279</f>
        <v>289673</v>
      </c>
      <c r="AK283" s="525">
        <f>+'_DATA STT PAGOS_'!G281</f>
        <v>0</v>
      </c>
      <c r="AL283" s="525">
        <f>+'_DATA STT PAGOS_'!J281</f>
        <v>5965511.3470000001</v>
      </c>
      <c r="AM283" s="525">
        <f>+DATA!Y279</f>
        <v>969313</v>
      </c>
      <c r="AN283" s="525">
        <f>+DATA!Z279</f>
        <v>606506</v>
      </c>
      <c r="AO283" s="525">
        <f>+DATA!AA279</f>
        <v>655066</v>
      </c>
      <c r="AP283" s="525">
        <f>+DATA!AB279</f>
        <v>580738</v>
      </c>
      <c r="AQ283" s="525">
        <f>+DATA!AC279</f>
        <v>2811623</v>
      </c>
      <c r="AR283" s="525">
        <f>+DATA!AD279</f>
        <v>159203</v>
      </c>
      <c r="AS283" s="525">
        <f>+DATA!AE279</f>
        <v>60410</v>
      </c>
      <c r="AT283" s="525">
        <f>+DATA!AF279</f>
        <v>85587.442999999999</v>
      </c>
      <c r="AU283" s="525">
        <f>+DATA!AG279</f>
        <v>57174</v>
      </c>
      <c r="AV283" s="525">
        <f>+DATA!AH279</f>
        <v>362374.44299999997</v>
      </c>
    </row>
    <row r="284" spans="1:48" x14ac:dyDescent="0.25">
      <c r="A284" s="527">
        <v>13119</v>
      </c>
      <c r="B284" s="527">
        <v>13109</v>
      </c>
      <c r="C284" s="527" t="s">
        <v>427</v>
      </c>
      <c r="D284" s="771">
        <f t="shared" si="74"/>
        <v>2.8901734103999998E-3</v>
      </c>
      <c r="E284" s="771">
        <f t="shared" si="75"/>
        <v>7.2254335259999995E-4</v>
      </c>
      <c r="F284" s="525">
        <f>+DATA!D280</f>
        <v>586812</v>
      </c>
      <c r="G284" s="772">
        <f>+DATA!E280</f>
        <v>3.2512407397817682E-2</v>
      </c>
      <c r="H284" s="525">
        <f t="shared" si="84"/>
        <v>19079</v>
      </c>
      <c r="I284" s="771">
        <f t="shared" si="76"/>
        <v>1.46107426751E-2</v>
      </c>
      <c r="J284" s="771">
        <f t="shared" si="77"/>
        <v>1.4610742674999999E-3</v>
      </c>
      <c r="K284" s="525">
        <f>+DATA!G280</f>
        <v>121734</v>
      </c>
      <c r="L284" s="525">
        <f>+DATA!H280</f>
        <v>171651</v>
      </c>
      <c r="M284" s="525">
        <f>+DATA!I280</f>
        <v>5731793196592</v>
      </c>
      <c r="N284" s="525">
        <f>+DATA!J280</f>
        <v>11893146840926</v>
      </c>
      <c r="O284" s="773">
        <f t="shared" si="85"/>
        <v>0.58462804260791656</v>
      </c>
      <c r="P284" s="774" t="str">
        <f t="shared" si="86"/>
        <v>SI</v>
      </c>
      <c r="Q284" s="771">
        <f t="shared" si="78"/>
        <v>1.58117707598E-2</v>
      </c>
      <c r="R284" s="771">
        <f t="shared" si="79"/>
        <v>2.2669245091799999E-2</v>
      </c>
      <c r="S284" s="771">
        <f t="shared" si="80"/>
        <v>6.8007735274999998E-3</v>
      </c>
      <c r="T284" s="525">
        <f>+DATA!K280</f>
        <v>0</v>
      </c>
      <c r="U284" s="525">
        <f>+DATA!L280</f>
        <v>0</v>
      </c>
      <c r="V284" s="525">
        <f>+DATA!M280</f>
        <v>46214701</v>
      </c>
      <c r="W284" s="526">
        <f t="shared" si="81"/>
        <v>46214701</v>
      </c>
      <c r="X284" s="526">
        <f t="shared" si="87"/>
        <v>46214701</v>
      </c>
      <c r="Y284" s="526">
        <f t="shared" si="88"/>
        <v>46214701</v>
      </c>
      <c r="Z284" s="525">
        <f>+DATA!F280</f>
        <v>921535.31700943864</v>
      </c>
      <c r="AA284" s="525">
        <f>IF(P284="SI",ROUND(Z284/DIV_Pf,PARAMETROS!$L$8),0)</f>
        <v>76795</v>
      </c>
      <c r="AB284" s="526">
        <f t="shared" si="89"/>
        <v>663607</v>
      </c>
      <c r="AC284" s="775">
        <f t="shared" si="90"/>
        <v>69.64</v>
      </c>
      <c r="AD284" s="525">
        <f>IF(AC284&lt;$AC$6,ROUND(($AC$6-AC284)*AB284,PARAMETROS!$L$8),0)</f>
        <v>23146612</v>
      </c>
      <c r="AE284" s="771">
        <f t="shared" si="82"/>
        <v>2.22165807416E-2</v>
      </c>
      <c r="AF284" s="771">
        <f t="shared" si="83"/>
        <v>7.7758032595999999E-3</v>
      </c>
      <c r="AG284" s="771">
        <f t="shared" si="91"/>
        <v>1.6760194407199999E-2</v>
      </c>
      <c r="AH284" s="525">
        <f>+DATA!Q280</f>
        <v>52136810.980999999</v>
      </c>
      <c r="AI284" s="525">
        <f>+DATA!R280</f>
        <v>4344734.2484166669</v>
      </c>
      <c r="AJ284" s="525">
        <f>+DATA!S280</f>
        <v>3432340</v>
      </c>
      <c r="AK284" s="525">
        <f>+'_DATA STT PAGOS_'!G282</f>
        <v>0</v>
      </c>
      <c r="AL284" s="525">
        <f>+'_DATA STT PAGOS_'!J282</f>
        <v>70750849.709999993</v>
      </c>
      <c r="AM284" s="525">
        <f>+DATA!Y280</f>
        <v>2501831</v>
      </c>
      <c r="AN284" s="525">
        <f>+DATA!Z280</f>
        <v>2004639</v>
      </c>
      <c r="AO284" s="525">
        <f>+DATA!AA280</f>
        <v>2174064</v>
      </c>
      <c r="AP284" s="525">
        <f>+DATA!AB280</f>
        <v>1833022</v>
      </c>
      <c r="AQ284" s="525">
        <f>+DATA!AC280</f>
        <v>8513556</v>
      </c>
      <c r="AR284" s="525">
        <f>+DATA!AD280</f>
        <v>258431</v>
      </c>
      <c r="AS284" s="525">
        <f>+DATA!AE280</f>
        <v>106056</v>
      </c>
      <c r="AT284" s="525">
        <f>+DATA!AF280</f>
        <v>145796.13699999999</v>
      </c>
      <c r="AU284" s="525">
        <f>+DATA!AG280</f>
        <v>97093</v>
      </c>
      <c r="AV284" s="525">
        <f>+DATA!AH280</f>
        <v>607376.13699999999</v>
      </c>
    </row>
    <row r="285" spans="1:48" x14ac:dyDescent="0.25">
      <c r="A285" s="527">
        <v>13120</v>
      </c>
      <c r="B285" s="527">
        <v>13105</v>
      </c>
      <c r="C285" s="527" t="s">
        <v>276</v>
      </c>
      <c r="D285" s="771">
        <f t="shared" si="74"/>
        <v>2.8901734103999998E-3</v>
      </c>
      <c r="E285" s="771">
        <f t="shared" si="75"/>
        <v>7.2254335259999995E-4</v>
      </c>
      <c r="F285" s="525">
        <f>+DATA!D281</f>
        <v>266906</v>
      </c>
      <c r="G285" s="772">
        <f>+DATA!E281</f>
        <v>1.488843954831383E-2</v>
      </c>
      <c r="H285" s="525">
        <f t="shared" si="84"/>
        <v>3974</v>
      </c>
      <c r="I285" s="771">
        <f t="shared" si="76"/>
        <v>3.0432984638E-3</v>
      </c>
      <c r="J285" s="771">
        <f t="shared" si="77"/>
        <v>3.0432984639999999E-4</v>
      </c>
      <c r="K285" s="525">
        <f>+DATA!G281</f>
        <v>38832</v>
      </c>
      <c r="L285" s="525">
        <f>+DATA!H281</f>
        <v>242170</v>
      </c>
      <c r="M285" s="525">
        <f>+DATA!I281</f>
        <v>2919926151856</v>
      </c>
      <c r="N285" s="525">
        <f>+DATA!J281</f>
        <v>13872071049823</v>
      </c>
      <c r="O285" s="773">
        <f t="shared" si="85"/>
        <v>0.18371727295593793</v>
      </c>
      <c r="P285" s="774" t="str">
        <f t="shared" si="86"/>
        <v>NO</v>
      </c>
      <c r="Q285" s="771">
        <f t="shared" si="78"/>
        <v>1.1404132072999999E-3</v>
      </c>
      <c r="R285" s="771">
        <f t="shared" si="79"/>
        <v>1.6350038775000001E-3</v>
      </c>
      <c r="S285" s="771">
        <f t="shared" si="80"/>
        <v>4.905011633E-4</v>
      </c>
      <c r="T285" s="525">
        <f>+DATA!K281</f>
        <v>0</v>
      </c>
      <c r="U285" s="525">
        <f>+DATA!L281</f>
        <v>0</v>
      </c>
      <c r="V285" s="525">
        <f>+DATA!M281</f>
        <v>46387912</v>
      </c>
      <c r="W285" s="526">
        <f t="shared" si="81"/>
        <v>46387912</v>
      </c>
      <c r="X285" s="526">
        <f t="shared" si="87"/>
        <v>46387912</v>
      </c>
      <c r="Y285" s="526">
        <f t="shared" si="88"/>
        <v>46387912</v>
      </c>
      <c r="Z285" s="525">
        <f>+DATA!F281</f>
        <v>1034399.0581290495</v>
      </c>
      <c r="AA285" s="525">
        <f>IF(P285="SI",ROUND(Z285/DIV_Pf,PARAMETROS!$L$8),0)</f>
        <v>0</v>
      </c>
      <c r="AB285" s="526">
        <f t="shared" si="89"/>
        <v>266906</v>
      </c>
      <c r="AC285" s="775">
        <f t="shared" si="90"/>
        <v>173.8</v>
      </c>
      <c r="AD285" s="525">
        <f>IF(AC285&lt;$AC$6,ROUND(($AC$6-AC285)*AB285,PARAMETROS!$L$8),0)</f>
        <v>0</v>
      </c>
      <c r="AE285" s="771">
        <f t="shared" si="82"/>
        <v>0</v>
      </c>
      <c r="AF285" s="771">
        <f t="shared" si="83"/>
        <v>0</v>
      </c>
      <c r="AG285" s="771">
        <f t="shared" si="91"/>
        <v>1.5173743622999998E-3</v>
      </c>
      <c r="AH285" s="525">
        <f>+DATA!Q281</f>
        <v>3338158.3339999998</v>
      </c>
      <c r="AI285" s="525">
        <f>+DATA!R281</f>
        <v>278179.86116666667</v>
      </c>
      <c r="AJ285" s="525">
        <f>+DATA!S281</f>
        <v>219762</v>
      </c>
      <c r="AK285" s="525">
        <f>+'_DATA STT PAGOS_'!G283</f>
        <v>0</v>
      </c>
      <c r="AL285" s="525">
        <f>+'_DATA STT PAGOS_'!J283</f>
        <v>4527303.0469999993</v>
      </c>
      <c r="AM285" s="525">
        <f>+DATA!Y281</f>
        <v>4501860</v>
      </c>
      <c r="AN285" s="525">
        <f>+DATA!Z281</f>
        <v>2298848</v>
      </c>
      <c r="AO285" s="525">
        <f>+DATA!AA281</f>
        <v>2935475</v>
      </c>
      <c r="AP285" s="525">
        <f>+DATA!AB281</f>
        <v>2108064</v>
      </c>
      <c r="AQ285" s="525">
        <f>+DATA!AC281</f>
        <v>11844247</v>
      </c>
      <c r="AR285" s="525">
        <f>+DATA!AD281</f>
        <v>875960</v>
      </c>
      <c r="AS285" s="525">
        <f>+DATA!AE281</f>
        <v>335010</v>
      </c>
      <c r="AT285" s="525">
        <f>+DATA!AF281</f>
        <v>470955.86800000002</v>
      </c>
      <c r="AU285" s="525">
        <f>+DATA!AG281</f>
        <v>310288</v>
      </c>
      <c r="AV285" s="525">
        <f>+DATA!AH281</f>
        <v>1992213.868</v>
      </c>
    </row>
    <row r="286" spans="1:48" x14ac:dyDescent="0.25">
      <c r="A286" s="527">
        <v>13121</v>
      </c>
      <c r="B286" s="527">
        <v>13162</v>
      </c>
      <c r="C286" s="527" t="s">
        <v>295</v>
      </c>
      <c r="D286" s="771">
        <f t="shared" si="74"/>
        <v>2.8901734103999998E-3</v>
      </c>
      <c r="E286" s="771">
        <f t="shared" si="75"/>
        <v>7.2254335259999995E-4</v>
      </c>
      <c r="F286" s="525">
        <f>+DATA!D282</f>
        <v>104462</v>
      </c>
      <c r="G286" s="772">
        <f>+DATA!E282</f>
        <v>5.4731728822534881E-2</v>
      </c>
      <c r="H286" s="525">
        <f t="shared" si="84"/>
        <v>5717</v>
      </c>
      <c r="I286" s="771">
        <f t="shared" si="76"/>
        <v>4.3780919269000001E-3</v>
      </c>
      <c r="J286" s="771">
        <f t="shared" si="77"/>
        <v>4.378091927E-4</v>
      </c>
      <c r="K286" s="525">
        <f>+DATA!G282</f>
        <v>25545</v>
      </c>
      <c r="L286" s="525">
        <f>+DATA!H282</f>
        <v>29113</v>
      </c>
      <c r="M286" s="525">
        <f>+DATA!I282</f>
        <v>820363511529</v>
      </c>
      <c r="N286" s="525">
        <f>+DATA!J282</f>
        <v>1157550992734</v>
      </c>
      <c r="O286" s="773">
        <f t="shared" si="85"/>
        <v>0.78857422015116319</v>
      </c>
      <c r="P286" s="774" t="str">
        <f t="shared" si="86"/>
        <v>SI</v>
      </c>
      <c r="Q286" s="771">
        <f t="shared" si="78"/>
        <v>4.1051394616000002E-3</v>
      </c>
      <c r="R286" s="771">
        <f t="shared" si="79"/>
        <v>5.8855149118999996E-3</v>
      </c>
      <c r="S286" s="771">
        <f t="shared" si="80"/>
        <v>1.7656544735999999E-3</v>
      </c>
      <c r="T286" s="525">
        <f>+DATA!K282</f>
        <v>0</v>
      </c>
      <c r="U286" s="525">
        <f>+DATA!L282</f>
        <v>0</v>
      </c>
      <c r="V286" s="525">
        <f>+DATA!M282</f>
        <v>6659302</v>
      </c>
      <c r="W286" s="526">
        <f t="shared" si="81"/>
        <v>6659302</v>
      </c>
      <c r="X286" s="526">
        <f t="shared" si="87"/>
        <v>6659302</v>
      </c>
      <c r="Y286" s="526">
        <f t="shared" si="88"/>
        <v>6659302</v>
      </c>
      <c r="Z286" s="525">
        <f>+DATA!F282</f>
        <v>226570.18143324266</v>
      </c>
      <c r="AA286" s="525">
        <f>IF(P286="SI",ROUND(Z286/DIV_Pf,PARAMETROS!$L$8),0)</f>
        <v>18881</v>
      </c>
      <c r="AB286" s="526">
        <f t="shared" si="89"/>
        <v>123343</v>
      </c>
      <c r="AC286" s="775">
        <f t="shared" si="90"/>
        <v>53.99</v>
      </c>
      <c r="AD286" s="525">
        <f>IF(AC286&lt;$AC$6,ROUND(($AC$6-AC286)*AB286,PARAMETROS!$L$8),0)</f>
        <v>6232522</v>
      </c>
      <c r="AE286" s="771">
        <f t="shared" si="82"/>
        <v>5.9820991615000003E-3</v>
      </c>
      <c r="AF286" s="771">
        <f t="shared" si="83"/>
        <v>2.0937347064999999E-3</v>
      </c>
      <c r="AG286" s="771">
        <f t="shared" si="91"/>
        <v>5.0197417253999999E-3</v>
      </c>
      <c r="AH286" s="525">
        <f>+DATA!Q282</f>
        <v>10403210.784</v>
      </c>
      <c r="AI286" s="525">
        <f>+DATA!R282</f>
        <v>866934.23199999996</v>
      </c>
      <c r="AJ286" s="525">
        <f>+DATA!S282</f>
        <v>684878</v>
      </c>
      <c r="AK286" s="525">
        <f>+'_DATA STT PAGOS_'!G284</f>
        <v>0</v>
      </c>
      <c r="AL286" s="525">
        <f>+'_DATA STT PAGOS_'!J284</f>
        <v>14117395.922</v>
      </c>
      <c r="AM286" s="525">
        <f>+DATA!Y282</f>
        <v>201651</v>
      </c>
      <c r="AN286" s="525">
        <f>+DATA!Z282</f>
        <v>157194</v>
      </c>
      <c r="AO286" s="525">
        <f>+DATA!AA282</f>
        <v>179451</v>
      </c>
      <c r="AP286" s="525">
        <f>+DATA!AB282</f>
        <v>155395</v>
      </c>
      <c r="AQ286" s="525">
        <f>+DATA!AC282</f>
        <v>693691</v>
      </c>
      <c r="AR286" s="525">
        <f>+DATA!AD282</f>
        <v>8105</v>
      </c>
      <c r="AS286" s="525">
        <f>+DATA!AE282</f>
        <v>3718</v>
      </c>
      <c r="AT286" s="525">
        <f>+DATA!AF282</f>
        <v>5424.375</v>
      </c>
      <c r="AU286" s="525">
        <f>+DATA!AG282</f>
        <v>3664</v>
      </c>
      <c r="AV286" s="525">
        <f>+DATA!AH282</f>
        <v>20911.375</v>
      </c>
    </row>
    <row r="287" spans="1:48" x14ac:dyDescent="0.25">
      <c r="A287" s="527">
        <v>13122</v>
      </c>
      <c r="B287" s="527">
        <v>13152</v>
      </c>
      <c r="C287" s="527" t="s">
        <v>428</v>
      </c>
      <c r="D287" s="771">
        <f t="shared" si="74"/>
        <v>2.8901734103999998E-3</v>
      </c>
      <c r="E287" s="771">
        <f t="shared" si="75"/>
        <v>7.2254335259999995E-4</v>
      </c>
      <c r="F287" s="525">
        <f>+DATA!D283</f>
        <v>272913</v>
      </c>
      <c r="G287" s="772">
        <f>+DATA!E283</f>
        <v>3.2416713323018112E-2</v>
      </c>
      <c r="H287" s="525">
        <f t="shared" si="84"/>
        <v>8847</v>
      </c>
      <c r="I287" s="771">
        <f t="shared" si="76"/>
        <v>6.7750532232999996E-3</v>
      </c>
      <c r="J287" s="771">
        <f t="shared" si="77"/>
        <v>6.7750532229999996E-4</v>
      </c>
      <c r="K287" s="525">
        <f>+DATA!G283</f>
        <v>41135</v>
      </c>
      <c r="L287" s="525">
        <f>+DATA!H283</f>
        <v>67499</v>
      </c>
      <c r="M287" s="525">
        <f>+DATA!I283</f>
        <v>1952552189144</v>
      </c>
      <c r="N287" s="525">
        <f>+DATA!J283</f>
        <v>6175422459948</v>
      </c>
      <c r="O287" s="773">
        <f t="shared" si="85"/>
        <v>0.4389601244800892</v>
      </c>
      <c r="P287" s="774" t="str">
        <f t="shared" si="86"/>
        <v>NO</v>
      </c>
      <c r="Q287" s="771">
        <f t="shared" si="78"/>
        <v>4.5912265860999996E-3</v>
      </c>
      <c r="R287" s="771">
        <f t="shared" si="79"/>
        <v>6.5824152356999998E-3</v>
      </c>
      <c r="S287" s="771">
        <f t="shared" si="80"/>
        <v>1.9747245707E-3</v>
      </c>
      <c r="T287" s="525">
        <f>+DATA!K283</f>
        <v>0</v>
      </c>
      <c r="U287" s="525">
        <f>+DATA!L283</f>
        <v>0</v>
      </c>
      <c r="V287" s="525">
        <f>+DATA!M283</f>
        <v>36622463</v>
      </c>
      <c r="W287" s="526">
        <f t="shared" si="81"/>
        <v>36622463</v>
      </c>
      <c r="X287" s="526">
        <f t="shared" si="87"/>
        <v>36622463</v>
      </c>
      <c r="Y287" s="526">
        <f t="shared" si="88"/>
        <v>36622463</v>
      </c>
      <c r="Z287" s="525">
        <f>+DATA!F283</f>
        <v>488849.86371173168</v>
      </c>
      <c r="AA287" s="525">
        <f>IF(P287="SI",ROUND(Z287/DIV_Pf,PARAMETROS!$L$8),0)</f>
        <v>0</v>
      </c>
      <c r="AB287" s="526">
        <f t="shared" si="89"/>
        <v>272913</v>
      </c>
      <c r="AC287" s="775">
        <f t="shared" si="90"/>
        <v>134.19</v>
      </c>
      <c r="AD287" s="525">
        <f>IF(AC287&lt;$AC$6,ROUND(($AC$6-AC287)*AB287,PARAMETROS!$L$8),0)</f>
        <v>0</v>
      </c>
      <c r="AE287" s="771">
        <f t="shared" si="82"/>
        <v>0</v>
      </c>
      <c r="AF287" s="771">
        <f t="shared" si="83"/>
        <v>0</v>
      </c>
      <c r="AG287" s="771">
        <f t="shared" si="91"/>
        <v>3.3747732455999997E-3</v>
      </c>
      <c r="AH287" s="525">
        <f>+DATA!Q283</f>
        <v>14643036.629000001</v>
      </c>
      <c r="AI287" s="525">
        <f>+DATA!R283</f>
        <v>1220253.0524166666</v>
      </c>
      <c r="AJ287" s="525">
        <f>+DATA!S283</f>
        <v>964000</v>
      </c>
      <c r="AK287" s="525">
        <f>+'_DATA STT PAGOS_'!G285</f>
        <v>0</v>
      </c>
      <c r="AL287" s="525">
        <f>+'_DATA STT PAGOS_'!J285</f>
        <v>19870936.591000002</v>
      </c>
      <c r="AM287" s="525">
        <f>+DATA!Y283</f>
        <v>1768420</v>
      </c>
      <c r="AN287" s="525">
        <f>+DATA!Z283</f>
        <v>1260971</v>
      </c>
      <c r="AO287" s="525">
        <f>+DATA!AA283</f>
        <v>1372405</v>
      </c>
      <c r="AP287" s="525">
        <f>+DATA!AB283</f>
        <v>1122534</v>
      </c>
      <c r="AQ287" s="525">
        <f>+DATA!AC283</f>
        <v>5524330</v>
      </c>
      <c r="AR287" s="525">
        <f>+DATA!AD283</f>
        <v>289240</v>
      </c>
      <c r="AS287" s="525">
        <f>+DATA!AE283</f>
        <v>139490</v>
      </c>
      <c r="AT287" s="525">
        <f>+DATA!AF283</f>
        <v>183852.01199999999</v>
      </c>
      <c r="AU287" s="525">
        <f>+DATA!AG283</f>
        <v>131482</v>
      </c>
      <c r="AV287" s="525">
        <f>+DATA!AH283</f>
        <v>744064.01199999999</v>
      </c>
    </row>
    <row r="288" spans="1:48" x14ac:dyDescent="0.25">
      <c r="A288" s="527">
        <v>13123</v>
      </c>
      <c r="B288" s="527">
        <v>13103</v>
      </c>
      <c r="C288" s="527" t="s">
        <v>275</v>
      </c>
      <c r="D288" s="771">
        <f t="shared" si="74"/>
        <v>2.8901734103999998E-3</v>
      </c>
      <c r="E288" s="771">
        <f t="shared" si="75"/>
        <v>7.2254335259999995E-4</v>
      </c>
      <c r="F288" s="525">
        <f>+DATA!D284</f>
        <v>164009</v>
      </c>
      <c r="G288" s="772">
        <f>+DATA!E284</f>
        <v>1.3219074548207071E-2</v>
      </c>
      <c r="H288" s="525">
        <f t="shared" si="84"/>
        <v>2168</v>
      </c>
      <c r="I288" s="771">
        <f t="shared" si="76"/>
        <v>1.6602594538E-3</v>
      </c>
      <c r="J288" s="771">
        <f t="shared" si="77"/>
        <v>1.660259454E-4</v>
      </c>
      <c r="K288" s="525">
        <f>+DATA!G284</f>
        <v>18509</v>
      </c>
      <c r="L288" s="525">
        <f>+DATA!H284</f>
        <v>212523</v>
      </c>
      <c r="M288" s="525">
        <f>+DATA!I284</f>
        <v>2266014563152</v>
      </c>
      <c r="N288" s="525">
        <f>+DATA!J284</f>
        <v>15603670375488</v>
      </c>
      <c r="O288" s="773">
        <f t="shared" si="85"/>
        <v>0.11246217370654585</v>
      </c>
      <c r="P288" s="774" t="str">
        <f t="shared" si="86"/>
        <v>NO</v>
      </c>
      <c r="Q288" s="771">
        <f t="shared" si="78"/>
        <v>2.9523173250000002E-4</v>
      </c>
      <c r="R288" s="771">
        <f t="shared" si="79"/>
        <v>4.232720424E-4</v>
      </c>
      <c r="S288" s="771">
        <f t="shared" si="80"/>
        <v>1.269816127E-4</v>
      </c>
      <c r="T288" s="525">
        <f>+DATA!K284</f>
        <v>0</v>
      </c>
      <c r="U288" s="525">
        <f>+DATA!L284</f>
        <v>0</v>
      </c>
      <c r="V288" s="525">
        <f>+DATA!M284</f>
        <v>100441974</v>
      </c>
      <c r="W288" s="526">
        <f t="shared" si="81"/>
        <v>100441974</v>
      </c>
      <c r="X288" s="526">
        <f t="shared" si="87"/>
        <v>100441974</v>
      </c>
      <c r="Y288" s="526">
        <f t="shared" si="88"/>
        <v>100441974</v>
      </c>
      <c r="Z288" s="525">
        <f>+DATA!F284</f>
        <v>2718346.1671800287</v>
      </c>
      <c r="AA288" s="525">
        <f>IF(P288="SI",ROUND(Z288/DIV_Pf,PARAMETROS!$L$8),0)</f>
        <v>0</v>
      </c>
      <c r="AB288" s="526">
        <f t="shared" si="89"/>
        <v>164009</v>
      </c>
      <c r="AC288" s="775">
        <f t="shared" si="90"/>
        <v>612.41999999999996</v>
      </c>
      <c r="AD288" s="525">
        <f>IF(AC288&lt;$AC$6,ROUND(($AC$6-AC288)*AB288,PARAMETROS!$L$8),0)</f>
        <v>0</v>
      </c>
      <c r="AE288" s="771">
        <f t="shared" si="82"/>
        <v>0</v>
      </c>
      <c r="AF288" s="771">
        <f t="shared" si="83"/>
        <v>0</v>
      </c>
      <c r="AG288" s="771">
        <f t="shared" si="91"/>
        <v>1.0155509107000001E-3</v>
      </c>
      <c r="AH288" s="525">
        <f>+DATA!Q284</f>
        <v>2610167.8650000002</v>
      </c>
      <c r="AI288" s="525">
        <f>+DATA!R284</f>
        <v>217513.98875000002</v>
      </c>
      <c r="AJ288" s="525">
        <f>+DATA!S284</f>
        <v>171836</v>
      </c>
      <c r="AK288" s="525">
        <f>+'_DATA STT PAGOS_'!G286</f>
        <v>0</v>
      </c>
      <c r="AL288" s="525">
        <f>+'_DATA STT PAGOS_'!J286</f>
        <v>3542057.7300000004</v>
      </c>
      <c r="AM288" s="525">
        <f>+DATA!Y284</f>
        <v>6278971</v>
      </c>
      <c r="AN288" s="525">
        <f>+DATA!Z284</f>
        <v>3907140</v>
      </c>
      <c r="AO288" s="525">
        <f>+DATA!AA284</f>
        <v>4846423</v>
      </c>
      <c r="AP288" s="525">
        <f>+DATA!AB284</f>
        <v>3658820</v>
      </c>
      <c r="AQ288" s="525">
        <f>+DATA!AC284</f>
        <v>18691354</v>
      </c>
      <c r="AR288" s="525">
        <f>+DATA!AD284</f>
        <v>1307636</v>
      </c>
      <c r="AS288" s="525">
        <f>+DATA!AE284</f>
        <v>531171</v>
      </c>
      <c r="AT288" s="525">
        <f>+DATA!AF284</f>
        <v>789275.66200000001</v>
      </c>
      <c r="AU288" s="525">
        <f>+DATA!AG284</f>
        <v>507833</v>
      </c>
      <c r="AV288" s="525">
        <f>+DATA!AH284</f>
        <v>3135915.662</v>
      </c>
    </row>
    <row r="289" spans="1:48" x14ac:dyDescent="0.25">
      <c r="A289" s="527">
        <v>13124</v>
      </c>
      <c r="B289" s="527">
        <v>13111</v>
      </c>
      <c r="C289" s="527" t="s">
        <v>281</v>
      </c>
      <c r="D289" s="771">
        <f t="shared" si="74"/>
        <v>2.8901734103999998E-3</v>
      </c>
      <c r="E289" s="771">
        <f t="shared" si="75"/>
        <v>7.2254335259999995E-4</v>
      </c>
      <c r="F289" s="525">
        <f>+DATA!D285</f>
        <v>261596</v>
      </c>
      <c r="G289" s="772">
        <f>+DATA!E285</f>
        <v>4.3660494370839339E-2</v>
      </c>
      <c r="H289" s="525">
        <f t="shared" si="84"/>
        <v>11421</v>
      </c>
      <c r="I289" s="771">
        <f t="shared" si="76"/>
        <v>8.7462284235000007E-3</v>
      </c>
      <c r="J289" s="771">
        <f t="shared" si="77"/>
        <v>8.7462284240000005E-4</v>
      </c>
      <c r="K289" s="525">
        <f>+DATA!G285</f>
        <v>53087</v>
      </c>
      <c r="L289" s="525">
        <f>+DATA!H285</f>
        <v>70489</v>
      </c>
      <c r="M289" s="525">
        <f>+DATA!I285</f>
        <v>2508480312635</v>
      </c>
      <c r="N289" s="525">
        <f>+DATA!J285</f>
        <v>8547045844450</v>
      </c>
      <c r="O289" s="773">
        <f t="shared" si="85"/>
        <v>0.47014383851267122</v>
      </c>
      <c r="P289" s="774" t="str">
        <f t="shared" si="86"/>
        <v>SI</v>
      </c>
      <c r="Q289" s="771">
        <f t="shared" si="78"/>
        <v>7.3224780732000002E-3</v>
      </c>
      <c r="R289" s="771">
        <f t="shared" si="79"/>
        <v>1.04981948349E-2</v>
      </c>
      <c r="S289" s="771">
        <f t="shared" si="80"/>
        <v>3.1494584505000001E-3</v>
      </c>
      <c r="T289" s="525">
        <f>+DATA!K285</f>
        <v>0</v>
      </c>
      <c r="U289" s="525">
        <f>+DATA!L285</f>
        <v>0</v>
      </c>
      <c r="V289" s="525">
        <f>+DATA!M285</f>
        <v>53826090</v>
      </c>
      <c r="W289" s="526">
        <f t="shared" si="81"/>
        <v>53826090</v>
      </c>
      <c r="X289" s="526">
        <f t="shared" si="87"/>
        <v>53826090</v>
      </c>
      <c r="Y289" s="526">
        <f t="shared" si="88"/>
        <v>53826090</v>
      </c>
      <c r="Z289" s="525">
        <f>+DATA!F285</f>
        <v>998525.19881222723</v>
      </c>
      <c r="AA289" s="525">
        <f>IF(P289="SI",ROUND(Z289/DIV_Pf,PARAMETROS!$L$8),0)</f>
        <v>83210</v>
      </c>
      <c r="AB289" s="526">
        <f t="shared" si="89"/>
        <v>344806</v>
      </c>
      <c r="AC289" s="775">
        <f t="shared" si="90"/>
        <v>156.11000000000001</v>
      </c>
      <c r="AD289" s="525">
        <f>IF(AC289&lt;$AC$6,ROUND(($AC$6-AC289)*AB289,PARAMETROS!$L$8),0)</f>
        <v>0</v>
      </c>
      <c r="AE289" s="771">
        <f t="shared" si="82"/>
        <v>0</v>
      </c>
      <c r="AF289" s="771">
        <f t="shared" si="83"/>
        <v>0</v>
      </c>
      <c r="AG289" s="771">
        <f t="shared" si="91"/>
        <v>4.7466246455000003E-3</v>
      </c>
      <c r="AH289" s="525">
        <f>+DATA!Q285</f>
        <v>15710483.975</v>
      </c>
      <c r="AI289" s="525">
        <f>+DATA!R285</f>
        <v>1309206.9979166666</v>
      </c>
      <c r="AJ289" s="525">
        <f>+DATA!S285</f>
        <v>1034274</v>
      </c>
      <c r="AK289" s="525">
        <f>+'_DATA STT PAGOS_'!G287</f>
        <v>0</v>
      </c>
      <c r="AL289" s="525">
        <f>+'_DATA STT PAGOS_'!J287</f>
        <v>21319487.512000002</v>
      </c>
      <c r="AM289" s="525">
        <f>+DATA!Y285</f>
        <v>3628560</v>
      </c>
      <c r="AN289" s="525">
        <f>+DATA!Z285</f>
        <v>3313697</v>
      </c>
      <c r="AO289" s="525">
        <f>+DATA!AA285</f>
        <v>3505394</v>
      </c>
      <c r="AP289" s="525">
        <f>+DATA!AB285</f>
        <v>3002786</v>
      </c>
      <c r="AQ289" s="525">
        <f>+DATA!AC285</f>
        <v>13450437</v>
      </c>
      <c r="AR289" s="525">
        <f>+DATA!AD285</f>
        <v>84846</v>
      </c>
      <c r="AS289" s="525">
        <f>+DATA!AE285</f>
        <v>38213</v>
      </c>
      <c r="AT289" s="525">
        <f>+DATA!AF285</f>
        <v>52388.048000000003</v>
      </c>
      <c r="AU289" s="525">
        <f>+DATA!AG285</f>
        <v>36930</v>
      </c>
      <c r="AV289" s="525">
        <f>+DATA!AH285</f>
        <v>212377.04800000001</v>
      </c>
    </row>
    <row r="290" spans="1:48" x14ac:dyDescent="0.25">
      <c r="A290" s="527">
        <v>13125</v>
      </c>
      <c r="B290" s="527">
        <v>13114</v>
      </c>
      <c r="C290" s="527" t="s">
        <v>283</v>
      </c>
      <c r="D290" s="771">
        <f t="shared" si="74"/>
        <v>2.8901734103999998E-3</v>
      </c>
      <c r="E290" s="771">
        <f t="shared" si="75"/>
        <v>7.2254335259999995E-4</v>
      </c>
      <c r="F290" s="525">
        <f>+DATA!D286</f>
        <v>275744</v>
      </c>
      <c r="G290" s="772">
        <f>+DATA!E286</f>
        <v>5.2222903578778693E-2</v>
      </c>
      <c r="H290" s="525">
        <f t="shared" si="84"/>
        <v>14400</v>
      </c>
      <c r="I290" s="771">
        <f t="shared" si="76"/>
        <v>1.10275535679E-2</v>
      </c>
      <c r="J290" s="771">
        <f t="shared" si="77"/>
        <v>1.1027553568000001E-3</v>
      </c>
      <c r="K290" s="525">
        <f>+DATA!G286</f>
        <v>54319</v>
      </c>
      <c r="L290" s="525">
        <f>+DATA!H286</f>
        <v>67876</v>
      </c>
      <c r="M290" s="525">
        <f>+DATA!I286</f>
        <v>1983156085864.0005</v>
      </c>
      <c r="N290" s="525">
        <f>+DATA!J286</f>
        <v>6341381561960</v>
      </c>
      <c r="O290" s="773">
        <f t="shared" si="85"/>
        <v>0.50026977910402759</v>
      </c>
      <c r="P290" s="774" t="str">
        <f t="shared" si="86"/>
        <v>SI</v>
      </c>
      <c r="Q290" s="771">
        <f t="shared" si="78"/>
        <v>7.9614166599999998E-3</v>
      </c>
      <c r="R290" s="771">
        <f t="shared" si="79"/>
        <v>1.1414237423799999E-2</v>
      </c>
      <c r="S290" s="771">
        <f t="shared" si="80"/>
        <v>3.4242712270999998E-3</v>
      </c>
      <c r="T290" s="525">
        <f>+DATA!K286</f>
        <v>0</v>
      </c>
      <c r="U290" s="525">
        <f>+DATA!L286</f>
        <v>0</v>
      </c>
      <c r="V290" s="525">
        <f>+DATA!M286</f>
        <v>50033693</v>
      </c>
      <c r="W290" s="526">
        <f t="shared" si="81"/>
        <v>50033693</v>
      </c>
      <c r="X290" s="526">
        <f t="shared" si="87"/>
        <v>50033693</v>
      </c>
      <c r="Y290" s="526">
        <f t="shared" si="88"/>
        <v>50033693</v>
      </c>
      <c r="Z290" s="525">
        <f>+DATA!F286</f>
        <v>345075.05838049104</v>
      </c>
      <c r="AA290" s="525">
        <f>IF(P290="SI",ROUND(Z290/DIV_Pf,PARAMETROS!$L$8),0)</f>
        <v>28756</v>
      </c>
      <c r="AB290" s="526">
        <f t="shared" si="89"/>
        <v>304500</v>
      </c>
      <c r="AC290" s="775">
        <f t="shared" si="90"/>
        <v>164.31</v>
      </c>
      <c r="AD290" s="525">
        <f>IF(AC290&lt;$AC$6,ROUND(($AC$6-AC290)*AB290,PARAMETROS!$L$8),0)</f>
        <v>0</v>
      </c>
      <c r="AE290" s="771">
        <f t="shared" si="82"/>
        <v>0</v>
      </c>
      <c r="AF290" s="771">
        <f t="shared" si="83"/>
        <v>0</v>
      </c>
      <c r="AG290" s="771">
        <f t="shared" si="91"/>
        <v>5.2495699364999999E-3</v>
      </c>
      <c r="AH290" s="525">
        <f>+DATA!Q286</f>
        <v>9773641.6940000001</v>
      </c>
      <c r="AI290" s="525">
        <f>+DATA!R286</f>
        <v>814470.14116666664</v>
      </c>
      <c r="AJ290" s="525">
        <f>+DATA!S286</f>
        <v>643431</v>
      </c>
      <c r="AK290" s="525">
        <f>+'_DATA STT PAGOS_'!G288</f>
        <v>0</v>
      </c>
      <c r="AL290" s="525">
        <f>+'_DATA STT PAGOS_'!J288</f>
        <v>13262936.492999999</v>
      </c>
      <c r="AM290" s="525">
        <f>+DATA!Y286</f>
        <v>2712719</v>
      </c>
      <c r="AN290" s="525">
        <f>+DATA!Z286</f>
        <v>2215834</v>
      </c>
      <c r="AO290" s="525">
        <f>+DATA!AA286</f>
        <v>2350751</v>
      </c>
      <c r="AP290" s="525">
        <f>+DATA!AB286</f>
        <v>2038083</v>
      </c>
      <c r="AQ290" s="525">
        <f>+DATA!AC286</f>
        <v>9317387</v>
      </c>
      <c r="AR290" s="525">
        <f>+DATA!AD286</f>
        <v>74676</v>
      </c>
      <c r="AS290" s="525">
        <f>+DATA!AE286</f>
        <v>30560</v>
      </c>
      <c r="AT290" s="525">
        <f>+DATA!AF286</f>
        <v>44250.124000000003</v>
      </c>
      <c r="AU290" s="525">
        <f>+DATA!AG286</f>
        <v>30870</v>
      </c>
      <c r="AV290" s="525">
        <f>+DATA!AH286</f>
        <v>180356.12400000001</v>
      </c>
    </row>
    <row r="291" spans="1:48" x14ac:dyDescent="0.25">
      <c r="A291" s="527">
        <v>13126</v>
      </c>
      <c r="B291" s="527">
        <v>13107</v>
      </c>
      <c r="C291" s="527" t="s">
        <v>278</v>
      </c>
      <c r="D291" s="771">
        <f t="shared" si="74"/>
        <v>2.8901734103999998E-3</v>
      </c>
      <c r="E291" s="771">
        <f t="shared" si="75"/>
        <v>7.2254335259999995E-4</v>
      </c>
      <c r="F291" s="525">
        <f>+DATA!D287</f>
        <v>141823</v>
      </c>
      <c r="G291" s="772">
        <f>+DATA!E287</f>
        <v>2.149306262533348E-2</v>
      </c>
      <c r="H291" s="525">
        <f t="shared" si="84"/>
        <v>3048</v>
      </c>
      <c r="I291" s="771">
        <f t="shared" si="76"/>
        <v>2.3341655051999999E-3</v>
      </c>
      <c r="J291" s="771">
        <f t="shared" si="77"/>
        <v>2.3341655050000001E-4</v>
      </c>
      <c r="K291" s="525">
        <f>+DATA!G287</f>
        <v>33727</v>
      </c>
      <c r="L291" s="525">
        <f>+DATA!H287</f>
        <v>46510</v>
      </c>
      <c r="M291" s="525">
        <f>+DATA!I287</f>
        <v>1380206645777</v>
      </c>
      <c r="N291" s="525">
        <f>+DATA!J287</f>
        <v>2406264085353</v>
      </c>
      <c r="O291" s="773">
        <f t="shared" si="85"/>
        <v>0.64493522694911698</v>
      </c>
      <c r="P291" s="774" t="str">
        <f t="shared" si="86"/>
        <v>SI</v>
      </c>
      <c r="Q291" s="771">
        <f t="shared" si="78"/>
        <v>4.4793206037999998E-3</v>
      </c>
      <c r="R291" s="771">
        <f t="shared" si="79"/>
        <v>6.4219762704000004E-3</v>
      </c>
      <c r="S291" s="771">
        <f t="shared" si="80"/>
        <v>1.9265928811E-3</v>
      </c>
      <c r="T291" s="525">
        <f>+DATA!K287</f>
        <v>0</v>
      </c>
      <c r="U291" s="525">
        <f>+DATA!L287</f>
        <v>0</v>
      </c>
      <c r="V291" s="525">
        <f>+DATA!M287</f>
        <v>12800718</v>
      </c>
      <c r="W291" s="526">
        <f t="shared" si="81"/>
        <v>12800718</v>
      </c>
      <c r="X291" s="526">
        <f t="shared" si="87"/>
        <v>12800718</v>
      </c>
      <c r="Y291" s="526">
        <f t="shared" si="88"/>
        <v>12800718</v>
      </c>
      <c r="Z291" s="525">
        <f>+DATA!F287</f>
        <v>246065.31883715803</v>
      </c>
      <c r="AA291" s="525">
        <f>IF(P291="SI",ROUND(Z291/DIV_Pf,PARAMETROS!$L$8),0)</f>
        <v>20505</v>
      </c>
      <c r="AB291" s="526">
        <f t="shared" si="89"/>
        <v>162328</v>
      </c>
      <c r="AC291" s="775">
        <f t="shared" si="90"/>
        <v>78.86</v>
      </c>
      <c r="AD291" s="525">
        <f>IF(AC291&lt;$AC$6,ROUND(($AC$6-AC291)*AB291,PARAMETROS!$L$8),0)</f>
        <v>4165336</v>
      </c>
      <c r="AE291" s="771">
        <f t="shared" si="82"/>
        <v>3.9979727296999999E-3</v>
      </c>
      <c r="AF291" s="771">
        <f t="shared" si="83"/>
        <v>1.3992904553999999E-3</v>
      </c>
      <c r="AG291" s="771">
        <f t="shared" si="91"/>
        <v>4.2818432396E-3</v>
      </c>
      <c r="AH291" s="525">
        <f>+DATA!Q287</f>
        <v>9004208.6319999993</v>
      </c>
      <c r="AI291" s="525">
        <f>+DATA!R287</f>
        <v>750350.71933333331</v>
      </c>
      <c r="AJ291" s="525">
        <f>+DATA!S287</f>
        <v>592777</v>
      </c>
      <c r="AK291" s="525">
        <f>+'_DATA STT PAGOS_'!G289</f>
        <v>0</v>
      </c>
      <c r="AL291" s="525">
        <f>+'_DATA STT PAGOS_'!J289</f>
        <v>12218917.873</v>
      </c>
      <c r="AM291" s="525">
        <f>+DATA!Y287</f>
        <v>494306</v>
      </c>
      <c r="AN291" s="525">
        <f>+DATA!Z287</f>
        <v>351315</v>
      </c>
      <c r="AO291" s="525">
        <f>+DATA!AA287</f>
        <v>419365</v>
      </c>
      <c r="AP291" s="525">
        <f>+DATA!AB287</f>
        <v>341194</v>
      </c>
      <c r="AQ291" s="525">
        <f>+DATA!AC287</f>
        <v>1606180</v>
      </c>
      <c r="AR291" s="525">
        <f>+DATA!AD287</f>
        <v>33592</v>
      </c>
      <c r="AS291" s="525">
        <f>+DATA!AE287</f>
        <v>15884</v>
      </c>
      <c r="AT291" s="525">
        <f>+DATA!AF287</f>
        <v>22152.465</v>
      </c>
      <c r="AU291" s="525">
        <f>+DATA!AG287</f>
        <v>16897</v>
      </c>
      <c r="AV291" s="525">
        <f>+DATA!AH287</f>
        <v>88525.464999999997</v>
      </c>
    </row>
    <row r="292" spans="1:48" x14ac:dyDescent="0.25">
      <c r="A292" s="527">
        <v>13127</v>
      </c>
      <c r="B292" s="527">
        <v>13159</v>
      </c>
      <c r="C292" s="527" t="s">
        <v>292</v>
      </c>
      <c r="D292" s="771">
        <f t="shared" si="74"/>
        <v>2.8901734103999998E-3</v>
      </c>
      <c r="E292" s="771">
        <f t="shared" si="75"/>
        <v>7.2254335259999995E-4</v>
      </c>
      <c r="F292" s="525">
        <f>+DATA!D288</f>
        <v>196856</v>
      </c>
      <c r="G292" s="772">
        <f>+DATA!E288</f>
        <v>5.1390755338292571E-2</v>
      </c>
      <c r="H292" s="525">
        <f t="shared" si="84"/>
        <v>10117</v>
      </c>
      <c r="I292" s="771">
        <f t="shared" si="76"/>
        <v>7.7476221838000004E-3</v>
      </c>
      <c r="J292" s="771">
        <f t="shared" si="77"/>
        <v>7.7476221840000004E-4</v>
      </c>
      <c r="K292" s="525">
        <f>+DATA!G288</f>
        <v>33309</v>
      </c>
      <c r="L292" s="525">
        <f>+DATA!H288</f>
        <v>55522</v>
      </c>
      <c r="M292" s="525">
        <f>+DATA!I288</f>
        <v>1751175184004</v>
      </c>
      <c r="N292" s="525">
        <f>+DATA!J288</f>
        <v>3471375592335</v>
      </c>
      <c r="O292" s="773">
        <f t="shared" si="85"/>
        <v>0.5501260882595026</v>
      </c>
      <c r="P292" s="774" t="str">
        <f t="shared" si="86"/>
        <v>SI</v>
      </c>
      <c r="Q292" s="771">
        <f t="shared" si="78"/>
        <v>3.6598319939000002E-3</v>
      </c>
      <c r="R292" s="771">
        <f t="shared" si="79"/>
        <v>5.2470801484000001E-3</v>
      </c>
      <c r="S292" s="771">
        <f t="shared" si="80"/>
        <v>1.5741240444999999E-3</v>
      </c>
      <c r="T292" s="525">
        <f>+DATA!K288</f>
        <v>0</v>
      </c>
      <c r="U292" s="525">
        <f>+DATA!L288</f>
        <v>0</v>
      </c>
      <c r="V292" s="525">
        <f>+DATA!M288</f>
        <v>29174871</v>
      </c>
      <c r="W292" s="526">
        <f t="shared" si="81"/>
        <v>29174871</v>
      </c>
      <c r="X292" s="526">
        <f t="shared" si="87"/>
        <v>29174871</v>
      </c>
      <c r="Y292" s="526">
        <f t="shared" si="88"/>
        <v>29174871</v>
      </c>
      <c r="Z292" s="525">
        <f>+DATA!F288</f>
        <v>286929.01990208053</v>
      </c>
      <c r="AA292" s="525">
        <f>IF(P292="SI",ROUND(Z292/DIV_Pf,PARAMETROS!$L$8),0)</f>
        <v>23911</v>
      </c>
      <c r="AB292" s="526">
        <f t="shared" si="89"/>
        <v>220767</v>
      </c>
      <c r="AC292" s="775">
        <f t="shared" si="90"/>
        <v>132.15</v>
      </c>
      <c r="AD292" s="525">
        <f>IF(AC292&lt;$AC$6,ROUND(($AC$6-AC292)*AB292,PARAMETROS!$L$8),0)</f>
        <v>0</v>
      </c>
      <c r="AE292" s="771">
        <f t="shared" si="82"/>
        <v>0</v>
      </c>
      <c r="AF292" s="771">
        <f t="shared" si="83"/>
        <v>0</v>
      </c>
      <c r="AG292" s="771">
        <f t="shared" si="91"/>
        <v>3.0714296154999996E-3</v>
      </c>
      <c r="AH292" s="525">
        <f>+DATA!Q288</f>
        <v>6485313.6830000002</v>
      </c>
      <c r="AI292" s="525">
        <f>+DATA!R288</f>
        <v>540442.80691666668</v>
      </c>
      <c r="AJ292" s="525">
        <f>+DATA!S288</f>
        <v>426950</v>
      </c>
      <c r="AK292" s="525">
        <f>+'_DATA STT PAGOS_'!G290</f>
        <v>0</v>
      </c>
      <c r="AL292" s="525">
        <f>+'_DATA STT PAGOS_'!J290</f>
        <v>8781707.7359999996</v>
      </c>
      <c r="AM292" s="525">
        <f>+DATA!Y288</f>
        <v>929950</v>
      </c>
      <c r="AN292" s="525">
        <f>+DATA!Z288</f>
        <v>635352</v>
      </c>
      <c r="AO292" s="525">
        <f>+DATA!AA288</f>
        <v>712710</v>
      </c>
      <c r="AP292" s="525">
        <f>+DATA!AB288</f>
        <v>595734</v>
      </c>
      <c r="AQ292" s="525">
        <f>+DATA!AC288</f>
        <v>2873746</v>
      </c>
      <c r="AR292" s="525">
        <f>+DATA!AD288</f>
        <v>70239</v>
      </c>
      <c r="AS292" s="525">
        <f>+DATA!AE288</f>
        <v>27001</v>
      </c>
      <c r="AT292" s="525">
        <f>+DATA!AF288</f>
        <v>37379.900999999998</v>
      </c>
      <c r="AU292" s="525">
        <f>+DATA!AG288</f>
        <v>25819</v>
      </c>
      <c r="AV292" s="525">
        <f>+DATA!AH288</f>
        <v>160438.90100000001</v>
      </c>
    </row>
    <row r="293" spans="1:48" x14ac:dyDescent="0.25">
      <c r="A293" s="527">
        <v>13128</v>
      </c>
      <c r="B293" s="527">
        <v>13113</v>
      </c>
      <c r="C293" s="527" t="s">
        <v>282</v>
      </c>
      <c r="D293" s="771">
        <f t="shared" si="74"/>
        <v>2.8901734103999998E-3</v>
      </c>
      <c r="E293" s="771">
        <f t="shared" si="75"/>
        <v>7.2254335259999995E-4</v>
      </c>
      <c r="F293" s="525">
        <f>+DATA!D289</f>
        <v>163102</v>
      </c>
      <c r="G293" s="772">
        <f>+DATA!E289</f>
        <v>5.2599812450975711E-2</v>
      </c>
      <c r="H293" s="525">
        <f t="shared" si="84"/>
        <v>8579</v>
      </c>
      <c r="I293" s="771">
        <f t="shared" si="76"/>
        <v>6.5698181985000001E-3</v>
      </c>
      <c r="J293" s="771">
        <f t="shared" si="77"/>
        <v>6.5698181989999995E-4</v>
      </c>
      <c r="K293" s="525">
        <f>+DATA!G289</f>
        <v>40478</v>
      </c>
      <c r="L293" s="525">
        <f>+DATA!H289</f>
        <v>44432</v>
      </c>
      <c r="M293" s="525">
        <f>+DATA!I289</f>
        <v>1271786859310</v>
      </c>
      <c r="N293" s="525">
        <f>+DATA!J289</f>
        <v>2966511289759</v>
      </c>
      <c r="O293" s="773">
        <f t="shared" si="85"/>
        <v>0.6249506955552353</v>
      </c>
      <c r="P293" s="774" t="str">
        <f t="shared" si="86"/>
        <v>SI</v>
      </c>
      <c r="Q293" s="771">
        <f t="shared" si="78"/>
        <v>6.7537548406E-3</v>
      </c>
      <c r="R293" s="771">
        <f t="shared" si="79"/>
        <v>9.6828195967000007E-3</v>
      </c>
      <c r="S293" s="771">
        <f t="shared" si="80"/>
        <v>2.904845879E-3</v>
      </c>
      <c r="T293" s="525">
        <f>+DATA!K289</f>
        <v>0</v>
      </c>
      <c r="U293" s="525">
        <f>+DATA!L289</f>
        <v>0</v>
      </c>
      <c r="V293" s="525">
        <f>+DATA!M289</f>
        <v>26066880</v>
      </c>
      <c r="W293" s="526">
        <f t="shared" si="81"/>
        <v>26066880</v>
      </c>
      <c r="X293" s="526">
        <f t="shared" si="87"/>
        <v>26066880</v>
      </c>
      <c r="Y293" s="526">
        <f t="shared" si="88"/>
        <v>26066880</v>
      </c>
      <c r="Z293" s="525">
        <f>+DATA!F289</f>
        <v>185660.52216475009</v>
      </c>
      <c r="AA293" s="525">
        <f>IF(P293="SI",ROUND(Z293/DIV_Pf,PARAMETROS!$L$8),0)</f>
        <v>15472</v>
      </c>
      <c r="AB293" s="526">
        <f t="shared" si="89"/>
        <v>178574</v>
      </c>
      <c r="AC293" s="775">
        <f t="shared" si="90"/>
        <v>145.97</v>
      </c>
      <c r="AD293" s="525">
        <f>IF(AC293&lt;$AC$6,ROUND(($AC$6-AC293)*AB293,PARAMETROS!$L$8),0)</f>
        <v>0</v>
      </c>
      <c r="AE293" s="771">
        <f t="shared" si="82"/>
        <v>0</v>
      </c>
      <c r="AF293" s="771">
        <f t="shared" si="83"/>
        <v>0</v>
      </c>
      <c r="AG293" s="771">
        <f t="shared" si="91"/>
        <v>4.2843710514999999E-3</v>
      </c>
      <c r="AH293" s="525">
        <f>+DATA!Q289</f>
        <v>8271025.6339999996</v>
      </c>
      <c r="AI293" s="525">
        <f>+DATA!R289</f>
        <v>689252.13616666663</v>
      </c>
      <c r="AJ293" s="525">
        <f>+DATA!S289</f>
        <v>544509</v>
      </c>
      <c r="AK293" s="525">
        <f>+'_DATA STT PAGOS_'!G291</f>
        <v>0</v>
      </c>
      <c r="AL293" s="525">
        <f>+'_DATA STT PAGOS_'!J291</f>
        <v>11215485.725000001</v>
      </c>
      <c r="AM293" s="525">
        <f>+DATA!Y289</f>
        <v>1185061</v>
      </c>
      <c r="AN293" s="525">
        <f>+DATA!Z289</f>
        <v>944592</v>
      </c>
      <c r="AO293" s="525">
        <f>+DATA!AA289</f>
        <v>1061909</v>
      </c>
      <c r="AP293" s="525">
        <f>+DATA!AB289</f>
        <v>959714</v>
      </c>
      <c r="AQ293" s="525">
        <f>+DATA!AC289</f>
        <v>4151276</v>
      </c>
      <c r="AR293" s="525">
        <f>+DATA!AD289</f>
        <v>11166</v>
      </c>
      <c r="AS293" s="525">
        <f>+DATA!AE289</f>
        <v>4792</v>
      </c>
      <c r="AT293" s="525">
        <f>+DATA!AF289</f>
        <v>5901.8710000000001</v>
      </c>
      <c r="AU293" s="525">
        <f>+DATA!AG289</f>
        <v>4916</v>
      </c>
      <c r="AV293" s="525">
        <f>+DATA!AH289</f>
        <v>26775.870999999999</v>
      </c>
    </row>
    <row r="294" spans="1:48" x14ac:dyDescent="0.25">
      <c r="A294" s="527">
        <v>13129</v>
      </c>
      <c r="B294" s="527">
        <v>13163</v>
      </c>
      <c r="C294" s="527" t="s">
        <v>429</v>
      </c>
      <c r="D294" s="771">
        <f t="shared" si="74"/>
        <v>2.8901734103999998E-3</v>
      </c>
      <c r="E294" s="771">
        <f t="shared" si="75"/>
        <v>7.2254335259999995E-4</v>
      </c>
      <c r="F294" s="525">
        <f>+DATA!D290</f>
        <v>103118</v>
      </c>
      <c r="G294" s="772">
        <f>+DATA!E290</f>
        <v>4.8395347728796403E-2</v>
      </c>
      <c r="H294" s="525">
        <f t="shared" si="84"/>
        <v>4990</v>
      </c>
      <c r="I294" s="771">
        <f t="shared" si="76"/>
        <v>3.8213536321999998E-3</v>
      </c>
      <c r="J294" s="771">
        <f t="shared" si="77"/>
        <v>3.821353632E-4</v>
      </c>
      <c r="K294" s="525">
        <f>+DATA!G290</f>
        <v>24724</v>
      </c>
      <c r="L294" s="525">
        <f>+DATA!H290</f>
        <v>36906</v>
      </c>
      <c r="M294" s="525">
        <f>+DATA!I290</f>
        <v>1064721591514</v>
      </c>
      <c r="N294" s="525">
        <f>+DATA!J290</f>
        <v>2081152568054</v>
      </c>
      <c r="O294" s="773">
        <f t="shared" si="85"/>
        <v>0.58543266355485513</v>
      </c>
      <c r="P294" s="774" t="str">
        <f t="shared" si="86"/>
        <v>SI</v>
      </c>
      <c r="Q294" s="771">
        <f t="shared" si="78"/>
        <v>3.0334968934999998E-3</v>
      </c>
      <c r="R294" s="771">
        <f t="shared" si="79"/>
        <v>4.3491071055999997E-3</v>
      </c>
      <c r="S294" s="771">
        <f t="shared" si="80"/>
        <v>1.3047321316999999E-3</v>
      </c>
      <c r="T294" s="525">
        <f>+DATA!K290</f>
        <v>0</v>
      </c>
      <c r="U294" s="525">
        <f>+DATA!L290</f>
        <v>0</v>
      </c>
      <c r="V294" s="525">
        <f>+DATA!M290</f>
        <v>18342646</v>
      </c>
      <c r="W294" s="526">
        <f t="shared" si="81"/>
        <v>18342646</v>
      </c>
      <c r="X294" s="526">
        <f t="shared" si="87"/>
        <v>18342646</v>
      </c>
      <c r="Y294" s="526">
        <f t="shared" si="88"/>
        <v>18342646</v>
      </c>
      <c r="Z294" s="525">
        <f>+DATA!F290</f>
        <v>195369.59254085991</v>
      </c>
      <c r="AA294" s="525">
        <f>IF(P294="SI",ROUND(Z294/DIV_Pf,PARAMETROS!$L$8),0)</f>
        <v>16281</v>
      </c>
      <c r="AB294" s="526">
        <f t="shared" si="89"/>
        <v>119399</v>
      </c>
      <c r="AC294" s="775">
        <f t="shared" si="90"/>
        <v>153.62</v>
      </c>
      <c r="AD294" s="525">
        <f>IF(AC294&lt;$AC$6,ROUND(($AC$6-AC294)*AB294,PARAMETROS!$L$8),0)</f>
        <v>0</v>
      </c>
      <c r="AE294" s="771">
        <f t="shared" si="82"/>
        <v>0</v>
      </c>
      <c r="AF294" s="771">
        <f t="shared" si="83"/>
        <v>0</v>
      </c>
      <c r="AG294" s="771">
        <f t="shared" si="91"/>
        <v>2.4094108474999997E-3</v>
      </c>
      <c r="AH294" s="525">
        <f>+DATA!Q290</f>
        <v>4797315.2120000003</v>
      </c>
      <c r="AI294" s="525">
        <f>+DATA!R290</f>
        <v>399776.26766666671</v>
      </c>
      <c r="AJ294" s="525">
        <f>+DATA!S290</f>
        <v>315823</v>
      </c>
      <c r="AK294" s="525">
        <f>+'_DATA STT PAGOS_'!G292</f>
        <v>0</v>
      </c>
      <c r="AL294" s="525">
        <f>+'_DATA STT PAGOS_'!J292</f>
        <v>6497415.8049999997</v>
      </c>
      <c r="AM294" s="525">
        <f>+DATA!Y290</f>
        <v>412927</v>
      </c>
      <c r="AN294" s="525">
        <f>+DATA!Z290</f>
        <v>300751</v>
      </c>
      <c r="AO294" s="525">
        <f>+DATA!AA290</f>
        <v>373541</v>
      </c>
      <c r="AP294" s="525">
        <f>+DATA!AB290</f>
        <v>303435</v>
      </c>
      <c r="AQ294" s="525">
        <f>+DATA!AC290</f>
        <v>1390654</v>
      </c>
      <c r="AR294" s="525">
        <f>+DATA!AD290</f>
        <v>94769</v>
      </c>
      <c r="AS294" s="525">
        <f>+DATA!AE290</f>
        <v>36532</v>
      </c>
      <c r="AT294" s="525">
        <f>+DATA!AF290</f>
        <v>58992.733999999997</v>
      </c>
      <c r="AU294" s="525">
        <f>+DATA!AG290</f>
        <v>39926</v>
      </c>
      <c r="AV294" s="525">
        <f>+DATA!AH290</f>
        <v>230219.734</v>
      </c>
    </row>
    <row r="295" spans="1:48" x14ac:dyDescent="0.25">
      <c r="A295" s="527">
        <v>13130</v>
      </c>
      <c r="B295" s="527">
        <v>13106</v>
      </c>
      <c r="C295" s="527" t="s">
        <v>277</v>
      </c>
      <c r="D295" s="771">
        <f t="shared" si="74"/>
        <v>2.8901734103999998E-3</v>
      </c>
      <c r="E295" s="771">
        <f t="shared" si="75"/>
        <v>7.2254335259999995E-4</v>
      </c>
      <c r="F295" s="525">
        <f>+DATA!D291</f>
        <v>145424</v>
      </c>
      <c r="G295" s="772">
        <f>+DATA!E291</f>
        <v>2.1727138639992229E-2</v>
      </c>
      <c r="H295" s="525">
        <f t="shared" si="84"/>
        <v>3160</v>
      </c>
      <c r="I295" s="771">
        <f t="shared" si="76"/>
        <v>2.4199353663000001E-3</v>
      </c>
      <c r="J295" s="771">
        <f t="shared" si="77"/>
        <v>2.419935366E-4</v>
      </c>
      <c r="K295" s="525">
        <f>+DATA!G291</f>
        <v>31970</v>
      </c>
      <c r="L295" s="525">
        <f>+DATA!H291</f>
        <v>114122</v>
      </c>
      <c r="M295" s="525">
        <f>+DATA!I291</f>
        <v>1713762100817</v>
      </c>
      <c r="N295" s="525">
        <f>+DATA!J291</f>
        <v>5428464018244</v>
      </c>
      <c r="O295" s="773">
        <f t="shared" si="85"/>
        <v>0.2973879837814698</v>
      </c>
      <c r="P295" s="774" t="str">
        <f t="shared" si="86"/>
        <v>NO</v>
      </c>
      <c r="Q295" s="771">
        <f t="shared" si="78"/>
        <v>1.6402836673E-3</v>
      </c>
      <c r="R295" s="771">
        <f t="shared" si="79"/>
        <v>2.3516652902999999E-3</v>
      </c>
      <c r="S295" s="771">
        <f t="shared" si="80"/>
        <v>7.0549958709999997E-4</v>
      </c>
      <c r="T295" s="525">
        <f>+DATA!K291</f>
        <v>0</v>
      </c>
      <c r="U295" s="525">
        <f>+DATA!L291</f>
        <v>0</v>
      </c>
      <c r="V295" s="525">
        <f>+DATA!M291</f>
        <v>17321541</v>
      </c>
      <c r="W295" s="526">
        <f t="shared" si="81"/>
        <v>17321541</v>
      </c>
      <c r="X295" s="526">
        <f t="shared" si="87"/>
        <v>17321541</v>
      </c>
      <c r="Y295" s="526">
        <f t="shared" si="88"/>
        <v>17321541</v>
      </c>
      <c r="Z295" s="525">
        <f>+DATA!F291</f>
        <v>279395.17813442601</v>
      </c>
      <c r="AA295" s="525">
        <f>IF(P295="SI",ROUND(Z295/DIV_Pf,PARAMETROS!$L$8),0)</f>
        <v>0</v>
      </c>
      <c r="AB295" s="526">
        <f t="shared" si="89"/>
        <v>145424</v>
      </c>
      <c r="AC295" s="775">
        <f t="shared" si="90"/>
        <v>119.11</v>
      </c>
      <c r="AD295" s="525">
        <f>IF(AC295&lt;$AC$6,ROUND(($AC$6-AC295)*AB295,PARAMETROS!$L$8),0)</f>
        <v>0</v>
      </c>
      <c r="AE295" s="771">
        <f t="shared" si="82"/>
        <v>0</v>
      </c>
      <c r="AF295" s="771">
        <f t="shared" si="83"/>
        <v>0</v>
      </c>
      <c r="AG295" s="771">
        <f t="shared" si="91"/>
        <v>1.6700364763000001E-3</v>
      </c>
      <c r="AH295" s="525">
        <f>+DATA!Q291</f>
        <v>3144076.9509999999</v>
      </c>
      <c r="AI295" s="525">
        <f>+DATA!R291</f>
        <v>262006.41258333332</v>
      </c>
      <c r="AJ295" s="525">
        <f>+DATA!S291</f>
        <v>206985</v>
      </c>
      <c r="AK295" s="525">
        <f>+'_DATA STT PAGOS_'!G293</f>
        <v>0</v>
      </c>
      <c r="AL295" s="525">
        <f>+'_DATA STT PAGOS_'!J293</f>
        <v>4258301.7869999995</v>
      </c>
      <c r="AM295" s="525">
        <f>+DATA!Y291</f>
        <v>1221855</v>
      </c>
      <c r="AN295" s="525">
        <f>+DATA!Z291</f>
        <v>632406</v>
      </c>
      <c r="AO295" s="525">
        <f>+DATA!AA291</f>
        <v>868354</v>
      </c>
      <c r="AP295" s="525">
        <f>+DATA!AB291</f>
        <v>688047</v>
      </c>
      <c r="AQ295" s="525">
        <f>+DATA!AC291</f>
        <v>3410662</v>
      </c>
      <c r="AR295" s="525">
        <f>+DATA!AD291</f>
        <v>199252</v>
      </c>
      <c r="AS295" s="525">
        <f>+DATA!AE291</f>
        <v>71984</v>
      </c>
      <c r="AT295" s="525">
        <f>+DATA!AF291</f>
        <v>104713.44</v>
      </c>
      <c r="AU295" s="525">
        <f>+DATA!AG291</f>
        <v>73161</v>
      </c>
      <c r="AV295" s="525">
        <f>+DATA!AH291</f>
        <v>449110.44</v>
      </c>
    </row>
    <row r="296" spans="1:48" x14ac:dyDescent="0.25">
      <c r="A296" s="527">
        <v>13131</v>
      </c>
      <c r="B296" s="527">
        <v>13153</v>
      </c>
      <c r="C296" s="527" t="s">
        <v>430</v>
      </c>
      <c r="D296" s="771">
        <f t="shared" si="74"/>
        <v>2.8901734103999998E-3</v>
      </c>
      <c r="E296" s="771">
        <f t="shared" si="75"/>
        <v>7.2254335259999995E-4</v>
      </c>
      <c r="F296" s="525">
        <f>+DATA!D292</f>
        <v>83695</v>
      </c>
      <c r="G296" s="772">
        <f>+DATA!E292</f>
        <v>6.8821263519756801E-2</v>
      </c>
      <c r="H296" s="525">
        <f t="shared" si="84"/>
        <v>5760</v>
      </c>
      <c r="I296" s="771">
        <f t="shared" si="76"/>
        <v>4.4110214270999997E-3</v>
      </c>
      <c r="J296" s="771">
        <f t="shared" si="77"/>
        <v>4.411021427E-4</v>
      </c>
      <c r="K296" s="525">
        <f>+DATA!G292</f>
        <v>18945</v>
      </c>
      <c r="L296" s="525">
        <f>+DATA!H292</f>
        <v>20211</v>
      </c>
      <c r="M296" s="525">
        <f>+DATA!I292</f>
        <v>591843583785</v>
      </c>
      <c r="N296" s="525">
        <f>+DATA!J292</f>
        <v>705704547466</v>
      </c>
      <c r="O296" s="773">
        <f t="shared" si="85"/>
        <v>0.8866361157949274</v>
      </c>
      <c r="P296" s="774" t="str">
        <f t="shared" si="86"/>
        <v>SI</v>
      </c>
      <c r="Q296" s="771">
        <f t="shared" si="78"/>
        <v>3.2524039455999998E-3</v>
      </c>
      <c r="R296" s="771">
        <f t="shared" si="79"/>
        <v>4.6629528912999997E-3</v>
      </c>
      <c r="S296" s="771">
        <f t="shared" si="80"/>
        <v>1.3988858674E-3</v>
      </c>
      <c r="T296" s="525">
        <f>+DATA!K292</f>
        <v>0</v>
      </c>
      <c r="U296" s="525">
        <f>+DATA!L292</f>
        <v>0</v>
      </c>
      <c r="V296" s="525">
        <f>+DATA!M292</f>
        <v>4106548</v>
      </c>
      <c r="W296" s="526">
        <f t="shared" si="81"/>
        <v>4106548</v>
      </c>
      <c r="X296" s="526">
        <f t="shared" si="87"/>
        <v>4106548</v>
      </c>
      <c r="Y296" s="526">
        <f t="shared" si="88"/>
        <v>4106548</v>
      </c>
      <c r="Z296" s="525">
        <f>+DATA!F292</f>
        <v>143964.64933781329</v>
      </c>
      <c r="AA296" s="525">
        <f>IF(P296="SI",ROUND(Z296/DIV_Pf,PARAMETROS!$L$8),0)</f>
        <v>11997</v>
      </c>
      <c r="AB296" s="526">
        <f t="shared" si="89"/>
        <v>95692</v>
      </c>
      <c r="AC296" s="775">
        <f t="shared" si="90"/>
        <v>42.91</v>
      </c>
      <c r="AD296" s="525">
        <f>IF(AC296&lt;$AC$6,ROUND(($AC$6-AC296)*AB296,PARAMETROS!$L$8),0)</f>
        <v>5895584</v>
      </c>
      <c r="AE296" s="771">
        <f t="shared" si="82"/>
        <v>5.6586993360000001E-3</v>
      </c>
      <c r="AF296" s="771">
        <f t="shared" si="83"/>
        <v>1.9805447675999999E-3</v>
      </c>
      <c r="AG296" s="771">
        <f t="shared" si="91"/>
        <v>4.5430761303E-3</v>
      </c>
      <c r="AH296" s="525">
        <f>+DATA!Q292</f>
        <v>9947800.6359999999</v>
      </c>
      <c r="AI296" s="525">
        <f>+DATA!R292</f>
        <v>828983.38633333333</v>
      </c>
      <c r="AJ296" s="525">
        <f>+DATA!S292</f>
        <v>654897</v>
      </c>
      <c r="AK296" s="525">
        <f>+'_DATA STT PAGOS_'!G294</f>
        <v>0</v>
      </c>
      <c r="AL296" s="525">
        <f>+'_DATA STT PAGOS_'!J294</f>
        <v>13499393.892999999</v>
      </c>
      <c r="AM296" s="525">
        <f>+DATA!Y292</f>
        <v>50270</v>
      </c>
      <c r="AN296" s="525">
        <f>+DATA!Z292</f>
        <v>40487</v>
      </c>
      <c r="AO296" s="525">
        <f>+DATA!AA292</f>
        <v>39417</v>
      </c>
      <c r="AP296" s="525">
        <f>+DATA!AB292</f>
        <v>31986</v>
      </c>
      <c r="AQ296" s="525">
        <f>+DATA!AC292</f>
        <v>162160</v>
      </c>
      <c r="AR296" s="525">
        <f>+DATA!AD292</f>
        <v>3371</v>
      </c>
      <c r="AS296" s="525">
        <f>+DATA!AE292</f>
        <v>1479</v>
      </c>
      <c r="AT296" s="525">
        <f>+DATA!AF292</f>
        <v>2067.7510000000002</v>
      </c>
      <c r="AU296" s="525">
        <f>+DATA!AG292</f>
        <v>1709</v>
      </c>
      <c r="AV296" s="525">
        <f>+DATA!AH292</f>
        <v>8626.7510000000002</v>
      </c>
    </row>
    <row r="297" spans="1:48" x14ac:dyDescent="0.25">
      <c r="A297" s="527">
        <v>13132</v>
      </c>
      <c r="B297" s="527">
        <v>13160</v>
      </c>
      <c r="C297" s="527" t="s">
        <v>293</v>
      </c>
      <c r="D297" s="771">
        <f t="shared" si="74"/>
        <v>2.8901734103999998E-3</v>
      </c>
      <c r="E297" s="771">
        <f t="shared" si="75"/>
        <v>7.2254335259999995E-4</v>
      </c>
      <c r="F297" s="525">
        <f>+DATA!D293</f>
        <v>97049</v>
      </c>
      <c r="G297" s="772">
        <f>+DATA!E293</f>
        <v>8.9104623494184864E-3</v>
      </c>
      <c r="H297" s="525">
        <f t="shared" si="84"/>
        <v>865</v>
      </c>
      <c r="I297" s="771">
        <f t="shared" si="76"/>
        <v>6.6241901639999998E-4</v>
      </c>
      <c r="J297" s="771">
        <f t="shared" si="77"/>
        <v>6.6241901599999999E-5</v>
      </c>
      <c r="K297" s="525">
        <f>+DATA!G293</f>
        <v>1582</v>
      </c>
      <c r="L297" s="525">
        <f>+DATA!H293</f>
        <v>109646</v>
      </c>
      <c r="M297" s="525">
        <f>+DATA!I293</f>
        <v>1258555878036</v>
      </c>
      <c r="N297" s="525">
        <f>+DATA!J293</f>
        <v>14576746997378</v>
      </c>
      <c r="O297" s="773">
        <f t="shared" si="85"/>
        <v>3.5294967503643963E-2</v>
      </c>
      <c r="P297" s="774" t="str">
        <f t="shared" si="86"/>
        <v>NO</v>
      </c>
      <c r="Q297" s="771">
        <f t="shared" si="78"/>
        <v>4.1804518999999996E-6</v>
      </c>
      <c r="R297" s="771">
        <f t="shared" si="79"/>
        <v>5.9934898999999997E-6</v>
      </c>
      <c r="S297" s="771">
        <f t="shared" si="80"/>
        <v>1.798047E-6</v>
      </c>
      <c r="T297" s="525">
        <f>+DATA!K293</f>
        <v>0</v>
      </c>
      <c r="U297" s="525">
        <f>+DATA!L293</f>
        <v>0</v>
      </c>
      <c r="V297" s="525">
        <f>+DATA!M293</f>
        <v>86514257</v>
      </c>
      <c r="W297" s="526">
        <f t="shared" si="81"/>
        <v>86514257</v>
      </c>
      <c r="X297" s="526">
        <f t="shared" si="87"/>
        <v>86514257</v>
      </c>
      <c r="Y297" s="526">
        <f t="shared" si="88"/>
        <v>86514257</v>
      </c>
      <c r="Z297" s="525">
        <f>+DATA!F293</f>
        <v>913475.19363204646</v>
      </c>
      <c r="AA297" s="525">
        <f>IF(P297="SI",ROUND(Z297/DIV_Pf,PARAMETROS!$L$8),0)</f>
        <v>0</v>
      </c>
      <c r="AB297" s="526">
        <f t="shared" si="89"/>
        <v>97049</v>
      </c>
      <c r="AC297" s="775">
        <f t="shared" si="90"/>
        <v>891.45</v>
      </c>
      <c r="AD297" s="525">
        <f>IF(AC297&lt;$AC$6,ROUND(($AC$6-AC297)*AB297,PARAMETROS!$L$8),0)</f>
        <v>0</v>
      </c>
      <c r="AE297" s="771">
        <f t="shared" si="82"/>
        <v>0</v>
      </c>
      <c r="AF297" s="771">
        <f t="shared" si="83"/>
        <v>0</v>
      </c>
      <c r="AG297" s="771">
        <f t="shared" si="91"/>
        <v>7.9058330120000003E-4</v>
      </c>
      <c r="AH297" s="525">
        <f>+DATA!Q293</f>
        <v>1864338.3940000001</v>
      </c>
      <c r="AI297" s="525">
        <f>+DATA!R293</f>
        <v>155361.53283333333</v>
      </c>
      <c r="AJ297" s="525">
        <f>+DATA!S293</f>
        <v>122736</v>
      </c>
      <c r="AK297" s="525">
        <f>+'_DATA STT PAGOS_'!G295</f>
        <v>0</v>
      </c>
      <c r="AL297" s="525">
        <f>+'_DATA STT PAGOS_'!J295</f>
        <v>2529950.0150000001</v>
      </c>
      <c r="AM297" s="525">
        <f>+DATA!Y293</f>
        <v>7107287</v>
      </c>
      <c r="AN297" s="525">
        <f>+DATA!Z293</f>
        <v>4619506</v>
      </c>
      <c r="AO297" s="525">
        <f>+DATA!AA293</f>
        <v>5453627</v>
      </c>
      <c r="AP297" s="525">
        <f>+DATA!AB293</f>
        <v>4391998</v>
      </c>
      <c r="AQ297" s="525">
        <f>+DATA!AC293</f>
        <v>21572418</v>
      </c>
      <c r="AR297" s="525">
        <f>+DATA!AD293</f>
        <v>1085244</v>
      </c>
      <c r="AS297" s="525">
        <f>+DATA!AE293</f>
        <v>556445</v>
      </c>
      <c r="AT297" s="525">
        <f>+DATA!AF293</f>
        <v>697381.11199999996</v>
      </c>
      <c r="AU297" s="525">
        <f>+DATA!AG293</f>
        <v>497978</v>
      </c>
      <c r="AV297" s="525">
        <f>+DATA!AH293</f>
        <v>2837048.1119999997</v>
      </c>
    </row>
    <row r="298" spans="1:48" x14ac:dyDescent="0.25">
      <c r="A298" s="527">
        <v>13201</v>
      </c>
      <c r="B298" s="527">
        <v>13301</v>
      </c>
      <c r="C298" s="527" t="s">
        <v>303</v>
      </c>
      <c r="D298" s="771">
        <f t="shared" si="74"/>
        <v>2.8901734103999998E-3</v>
      </c>
      <c r="E298" s="771">
        <f t="shared" si="75"/>
        <v>7.2254335259999995E-4</v>
      </c>
      <c r="F298" s="525">
        <f>+DATA!D294</f>
        <v>667904</v>
      </c>
      <c r="G298" s="772">
        <f>+DATA!E294</f>
        <v>5.0375919914454913E-2</v>
      </c>
      <c r="H298" s="525">
        <f t="shared" si="84"/>
        <v>33646</v>
      </c>
      <c r="I298" s="771">
        <f t="shared" si="76"/>
        <v>2.5766185232299999E-2</v>
      </c>
      <c r="J298" s="771">
        <f t="shared" si="77"/>
        <v>2.5766185232E-3</v>
      </c>
      <c r="K298" s="525">
        <f>+DATA!G294</f>
        <v>141661</v>
      </c>
      <c r="L298" s="525">
        <f>+DATA!H294</f>
        <v>183165</v>
      </c>
      <c r="M298" s="525">
        <f>+DATA!I294</f>
        <v>5983529694934</v>
      </c>
      <c r="N298" s="525">
        <f>+DATA!J294</f>
        <v>10824891795551</v>
      </c>
      <c r="O298" s="773">
        <f t="shared" si="85"/>
        <v>0.65383904239568369</v>
      </c>
      <c r="P298" s="774" t="str">
        <f t="shared" si="86"/>
        <v>SI</v>
      </c>
      <c r="Q298" s="771">
        <f t="shared" si="78"/>
        <v>2.0066017108999998E-2</v>
      </c>
      <c r="R298" s="771">
        <f t="shared" si="79"/>
        <v>2.8768533693699999E-2</v>
      </c>
      <c r="S298" s="771">
        <f t="shared" si="80"/>
        <v>8.6305601081000001E-3</v>
      </c>
      <c r="T298" s="525">
        <f>+DATA!K294</f>
        <v>0</v>
      </c>
      <c r="U298" s="525">
        <f>+DATA!L294</f>
        <v>0</v>
      </c>
      <c r="V298" s="525">
        <f>+DATA!M294</f>
        <v>30874242</v>
      </c>
      <c r="W298" s="526">
        <f t="shared" si="81"/>
        <v>30874242</v>
      </c>
      <c r="X298" s="526">
        <f t="shared" si="87"/>
        <v>30874242</v>
      </c>
      <c r="Y298" s="526">
        <f t="shared" si="88"/>
        <v>30874242</v>
      </c>
      <c r="Z298" s="525">
        <f>+DATA!F294</f>
        <v>841220.35963300453</v>
      </c>
      <c r="AA298" s="525">
        <f>IF(P298="SI",ROUND(Z298/DIV_Pf,PARAMETROS!$L$8),0)</f>
        <v>70102</v>
      </c>
      <c r="AB298" s="526">
        <f t="shared" si="89"/>
        <v>738006</v>
      </c>
      <c r="AC298" s="775">
        <f t="shared" si="90"/>
        <v>41.83</v>
      </c>
      <c r="AD298" s="525">
        <f>IF(AC298&lt;$AC$6,ROUND(($AC$6-AC298)*AB298,PARAMETROS!$L$8),0)</f>
        <v>46265596</v>
      </c>
      <c r="AE298" s="771">
        <f t="shared" si="82"/>
        <v>4.4406643576799999E-2</v>
      </c>
      <c r="AF298" s="771">
        <f t="shared" si="83"/>
        <v>1.55423252519E-2</v>
      </c>
      <c r="AG298" s="771">
        <f t="shared" si="91"/>
        <v>2.74720472358E-2</v>
      </c>
      <c r="AH298" s="525">
        <f>+DATA!Q294</f>
        <v>63424345.839000002</v>
      </c>
      <c r="AI298" s="525">
        <f>+DATA!R294</f>
        <v>5285362.1532500004</v>
      </c>
      <c r="AJ298" s="525">
        <f>+DATA!S294</f>
        <v>4175436</v>
      </c>
      <c r="AK298" s="525">
        <f>+'_DATA STT PAGOS_'!G296</f>
        <v>0</v>
      </c>
      <c r="AL298" s="525">
        <f>+'_DATA STT PAGOS_'!J296</f>
        <v>86068293.695999995</v>
      </c>
      <c r="AM298" s="525">
        <f>+DATA!Y294</f>
        <v>1621182</v>
      </c>
      <c r="AN298" s="525">
        <f>+DATA!Z294</f>
        <v>1414114</v>
      </c>
      <c r="AO298" s="525">
        <f>+DATA!AA294</f>
        <v>1495077</v>
      </c>
      <c r="AP298" s="525">
        <f>+DATA!AB294</f>
        <v>1203127</v>
      </c>
      <c r="AQ298" s="525">
        <f>+DATA!AC294</f>
        <v>5733500</v>
      </c>
      <c r="AR298" s="525">
        <f>+DATA!AD294</f>
        <v>236060</v>
      </c>
      <c r="AS298" s="525">
        <f>+DATA!AE294</f>
        <v>105211</v>
      </c>
      <c r="AT298" s="525">
        <f>+DATA!AF294</f>
        <v>130860.213</v>
      </c>
      <c r="AU298" s="525">
        <f>+DATA!AG294</f>
        <v>98089</v>
      </c>
      <c r="AV298" s="525">
        <f>+DATA!AH294</f>
        <v>570220.21299999999</v>
      </c>
    </row>
    <row r="299" spans="1:48" x14ac:dyDescent="0.25">
      <c r="A299" s="527">
        <v>13202</v>
      </c>
      <c r="B299" s="527">
        <v>13302</v>
      </c>
      <c r="C299" s="527" t="s">
        <v>304</v>
      </c>
      <c r="D299" s="771">
        <f t="shared" si="74"/>
        <v>2.8901734103999998E-3</v>
      </c>
      <c r="E299" s="771">
        <f t="shared" si="75"/>
        <v>7.2254335259999995E-4</v>
      </c>
      <c r="F299" s="525">
        <f>+DATA!D295</f>
        <v>33021</v>
      </c>
      <c r="G299" s="772">
        <f>+DATA!E295</f>
        <v>2.7431642799948301E-2</v>
      </c>
      <c r="H299" s="525">
        <f t="shared" si="84"/>
        <v>906</v>
      </c>
      <c r="I299" s="771">
        <f t="shared" si="76"/>
        <v>6.9381691200000003E-4</v>
      </c>
      <c r="J299" s="771">
        <f t="shared" si="77"/>
        <v>6.9381691200000005E-5</v>
      </c>
      <c r="K299" s="525">
        <f>+DATA!G295</f>
        <v>3478</v>
      </c>
      <c r="L299" s="525">
        <f>+DATA!H295</f>
        <v>8401</v>
      </c>
      <c r="M299" s="525">
        <f>+DATA!I295</f>
        <v>164152773236</v>
      </c>
      <c r="N299" s="525">
        <f>+DATA!J295</f>
        <v>1031550338803</v>
      </c>
      <c r="O299" s="773">
        <f t="shared" si="85"/>
        <v>0.2566718232298264</v>
      </c>
      <c r="P299" s="774" t="str">
        <f t="shared" si="86"/>
        <v>NO</v>
      </c>
      <c r="Q299" s="771">
        <f t="shared" si="78"/>
        <v>2.6371281379999998E-4</v>
      </c>
      <c r="R299" s="771">
        <f t="shared" si="79"/>
        <v>3.7808354929999999E-4</v>
      </c>
      <c r="S299" s="771">
        <f t="shared" si="80"/>
        <v>1.1342506479999999E-4</v>
      </c>
      <c r="T299" s="525">
        <f>+DATA!K295</f>
        <v>0</v>
      </c>
      <c r="U299" s="525">
        <f>+DATA!L295</f>
        <v>0</v>
      </c>
      <c r="V299" s="525">
        <f>+DATA!M295</f>
        <v>7273144</v>
      </c>
      <c r="W299" s="526">
        <f t="shared" si="81"/>
        <v>7273144</v>
      </c>
      <c r="X299" s="526">
        <f t="shared" si="87"/>
        <v>7273144</v>
      </c>
      <c r="Y299" s="526">
        <f t="shared" si="88"/>
        <v>7273144</v>
      </c>
      <c r="Z299" s="525">
        <f>+DATA!F295</f>
        <v>170888.64172247451</v>
      </c>
      <c r="AA299" s="525">
        <f>IF(P299="SI",ROUND(Z299/DIV_Pf,PARAMETROS!$L$8),0)</f>
        <v>0</v>
      </c>
      <c r="AB299" s="526">
        <f t="shared" si="89"/>
        <v>33021</v>
      </c>
      <c r="AC299" s="775">
        <f t="shared" si="90"/>
        <v>220.26</v>
      </c>
      <c r="AD299" s="525">
        <f>IF(AC299&lt;$AC$6,ROUND(($AC$6-AC299)*AB299,PARAMETROS!$L$8),0)</f>
        <v>0</v>
      </c>
      <c r="AE299" s="771">
        <f t="shared" si="82"/>
        <v>0</v>
      </c>
      <c r="AF299" s="771">
        <f t="shared" si="83"/>
        <v>0</v>
      </c>
      <c r="AG299" s="771">
        <f t="shared" si="91"/>
        <v>9.0535010859999995E-4</v>
      </c>
      <c r="AH299" s="525">
        <f>+DATA!Q295</f>
        <v>1766819.6240000001</v>
      </c>
      <c r="AI299" s="525">
        <f>+DATA!R295</f>
        <v>147234.96866666668</v>
      </c>
      <c r="AJ299" s="525">
        <f>+DATA!S295</f>
        <v>116316</v>
      </c>
      <c r="AK299" s="525">
        <f>+'_DATA STT PAGOS_'!G297</f>
        <v>0</v>
      </c>
      <c r="AL299" s="525">
        <f>+'_DATA STT PAGOS_'!J297</f>
        <v>2392604.1040000003</v>
      </c>
      <c r="AM299" s="525">
        <f>+DATA!Y295</f>
        <v>273922</v>
      </c>
      <c r="AN299" s="525">
        <f>+DATA!Z295</f>
        <v>214368</v>
      </c>
      <c r="AO299" s="525">
        <f>+DATA!AA295</f>
        <v>220987</v>
      </c>
      <c r="AP299" s="525">
        <f>+DATA!AB295</f>
        <v>185815</v>
      </c>
      <c r="AQ299" s="525">
        <f>+DATA!AC295</f>
        <v>895092</v>
      </c>
      <c r="AR299" s="525">
        <f>+DATA!AD295</f>
        <v>35629</v>
      </c>
      <c r="AS299" s="525">
        <f>+DATA!AE295</f>
        <v>23798</v>
      </c>
      <c r="AT299" s="525">
        <f>+DATA!AF295</f>
        <v>24670.832999999999</v>
      </c>
      <c r="AU299" s="525">
        <f>+DATA!AG295</f>
        <v>19444</v>
      </c>
      <c r="AV299" s="525">
        <f>+DATA!AH295</f>
        <v>103541.833</v>
      </c>
    </row>
    <row r="300" spans="1:48" x14ac:dyDescent="0.25">
      <c r="A300" s="527">
        <v>13203</v>
      </c>
      <c r="B300" s="527">
        <v>13303</v>
      </c>
      <c r="C300" s="527" t="s">
        <v>431</v>
      </c>
      <c r="D300" s="771">
        <f t="shared" si="74"/>
        <v>2.8901734103999998E-3</v>
      </c>
      <c r="E300" s="771">
        <f t="shared" si="75"/>
        <v>7.2254335259999995E-4</v>
      </c>
      <c r="F300" s="525">
        <f>+DATA!D296</f>
        <v>19519</v>
      </c>
      <c r="G300" s="772">
        <f>+DATA!E296</f>
        <v>4.6895985671141109E-2</v>
      </c>
      <c r="H300" s="525">
        <f t="shared" si="84"/>
        <v>915</v>
      </c>
      <c r="I300" s="771">
        <f t="shared" si="76"/>
        <v>7.00709133E-4</v>
      </c>
      <c r="J300" s="771">
        <f t="shared" si="77"/>
        <v>7.0070913299999997E-5</v>
      </c>
      <c r="K300" s="525">
        <f>+DATA!G296</f>
        <v>2857</v>
      </c>
      <c r="L300" s="525">
        <f>+DATA!H296</f>
        <v>6134</v>
      </c>
      <c r="M300" s="525">
        <f>+DATA!I296</f>
        <v>181956586881</v>
      </c>
      <c r="N300" s="525">
        <f>+DATA!J296</f>
        <v>673613573391</v>
      </c>
      <c r="O300" s="773">
        <f t="shared" si="85"/>
        <v>0.35470042629960208</v>
      </c>
      <c r="P300" s="774" t="str">
        <f t="shared" si="86"/>
        <v>NO</v>
      </c>
      <c r="Q300" s="771">
        <f t="shared" si="78"/>
        <v>2.4371360360000001E-4</v>
      </c>
      <c r="R300" s="771">
        <f t="shared" si="79"/>
        <v>3.4941079629999998E-4</v>
      </c>
      <c r="S300" s="771">
        <f t="shared" si="80"/>
        <v>1.048232389E-4</v>
      </c>
      <c r="T300" s="525">
        <f>+DATA!K296</f>
        <v>0</v>
      </c>
      <c r="U300" s="525">
        <f>+DATA!L296</f>
        <v>0</v>
      </c>
      <c r="V300" s="525">
        <f>+DATA!M296</f>
        <v>3929391</v>
      </c>
      <c r="W300" s="526">
        <f t="shared" si="81"/>
        <v>3929391</v>
      </c>
      <c r="X300" s="526">
        <f t="shared" si="87"/>
        <v>3929391</v>
      </c>
      <c r="Y300" s="526">
        <f t="shared" si="88"/>
        <v>3929391</v>
      </c>
      <c r="Z300" s="525">
        <f>+DATA!F296</f>
        <v>1019329.9572714617</v>
      </c>
      <c r="AA300" s="525">
        <f>IF(P300="SI",ROUND(Z300/DIV_Pf,PARAMETROS!$L$8),0)</f>
        <v>0</v>
      </c>
      <c r="AB300" s="526">
        <f t="shared" si="89"/>
        <v>19519</v>
      </c>
      <c r="AC300" s="775">
        <f t="shared" si="90"/>
        <v>201.31</v>
      </c>
      <c r="AD300" s="525">
        <f>IF(AC300&lt;$AC$6,ROUND(($AC$6-AC300)*AB300,PARAMETROS!$L$8),0)</f>
        <v>0</v>
      </c>
      <c r="AE300" s="771">
        <f t="shared" si="82"/>
        <v>0</v>
      </c>
      <c r="AF300" s="771">
        <f t="shared" si="83"/>
        <v>0</v>
      </c>
      <c r="AG300" s="771">
        <f t="shared" si="91"/>
        <v>8.9743750479999993E-4</v>
      </c>
      <c r="AH300" s="525">
        <f>+DATA!Q296</f>
        <v>1760464.794</v>
      </c>
      <c r="AI300" s="525">
        <f>+DATA!R296</f>
        <v>146705.3995</v>
      </c>
      <c r="AJ300" s="525">
        <f>+DATA!S296</f>
        <v>115897</v>
      </c>
      <c r="AK300" s="525">
        <f>+'_DATA STT PAGOS_'!G298</f>
        <v>0</v>
      </c>
      <c r="AL300" s="525">
        <f>+'_DATA STT PAGOS_'!J298</f>
        <v>2387982.9139999999</v>
      </c>
      <c r="AM300" s="525">
        <f>+DATA!Y296</f>
        <v>166430</v>
      </c>
      <c r="AN300" s="525">
        <f>+DATA!Z296</f>
        <v>102527</v>
      </c>
      <c r="AO300" s="525">
        <f>+DATA!AA296</f>
        <v>135045</v>
      </c>
      <c r="AP300" s="525">
        <f>+DATA!AB296</f>
        <v>98241</v>
      </c>
      <c r="AQ300" s="525">
        <f>+DATA!AC296</f>
        <v>502243</v>
      </c>
      <c r="AR300" s="525">
        <f>+DATA!AD296</f>
        <v>49705</v>
      </c>
      <c r="AS300" s="525">
        <f>+DATA!AE296</f>
        <v>23982</v>
      </c>
      <c r="AT300" s="525">
        <f>+DATA!AF296</f>
        <v>33686.909</v>
      </c>
      <c r="AU300" s="525">
        <f>+DATA!AG296</f>
        <v>23200</v>
      </c>
      <c r="AV300" s="525">
        <f>+DATA!AH296</f>
        <v>130573.909</v>
      </c>
    </row>
    <row r="301" spans="1:48" x14ac:dyDescent="0.25">
      <c r="A301" s="527">
        <v>13301</v>
      </c>
      <c r="B301" s="527">
        <v>13201</v>
      </c>
      <c r="C301" s="527" t="s">
        <v>300</v>
      </c>
      <c r="D301" s="771">
        <f t="shared" si="74"/>
        <v>2.8901734103999998E-3</v>
      </c>
      <c r="E301" s="771">
        <f t="shared" si="75"/>
        <v>7.2254335259999995E-4</v>
      </c>
      <c r="F301" s="525">
        <f>+DATA!D297</f>
        <v>197370</v>
      </c>
      <c r="G301" s="772">
        <f>+DATA!E297</f>
        <v>5.1088156625956282E-2</v>
      </c>
      <c r="H301" s="525">
        <f t="shared" si="84"/>
        <v>10083</v>
      </c>
      <c r="I301" s="771">
        <f t="shared" si="76"/>
        <v>7.7215849045000002E-3</v>
      </c>
      <c r="J301" s="771">
        <f t="shared" si="77"/>
        <v>7.7215849049999999E-4</v>
      </c>
      <c r="K301" s="525">
        <f>+DATA!G297</f>
        <v>29699</v>
      </c>
      <c r="L301" s="525">
        <f>+DATA!H297</f>
        <v>57030</v>
      </c>
      <c r="M301" s="525">
        <f>+DATA!I297</f>
        <v>1086482102074</v>
      </c>
      <c r="N301" s="525">
        <f>+DATA!J297</f>
        <v>8612734636510</v>
      </c>
      <c r="O301" s="773">
        <f t="shared" si="85"/>
        <v>0.25630671375707198</v>
      </c>
      <c r="P301" s="774" t="str">
        <f t="shared" si="86"/>
        <v>NO</v>
      </c>
      <c r="Q301" s="771">
        <f t="shared" si="78"/>
        <v>2.8325875581999998E-3</v>
      </c>
      <c r="R301" s="771">
        <f t="shared" si="79"/>
        <v>4.0610645434E-3</v>
      </c>
      <c r="S301" s="771">
        <f t="shared" si="80"/>
        <v>1.2183193629999999E-3</v>
      </c>
      <c r="T301" s="525">
        <f>+DATA!K297</f>
        <v>0</v>
      </c>
      <c r="U301" s="525">
        <f>+DATA!L297</f>
        <v>0</v>
      </c>
      <c r="V301" s="525">
        <f>+DATA!M297</f>
        <v>48819997</v>
      </c>
      <c r="W301" s="526">
        <f t="shared" si="81"/>
        <v>48819997</v>
      </c>
      <c r="X301" s="526">
        <f t="shared" si="87"/>
        <v>48819997</v>
      </c>
      <c r="Y301" s="526">
        <f t="shared" si="88"/>
        <v>48819997</v>
      </c>
      <c r="Z301" s="525">
        <f>+DATA!F297</f>
        <v>526357.75504406239</v>
      </c>
      <c r="AA301" s="525">
        <f>IF(P301="SI",ROUND(Z301/DIV_Pf,PARAMETROS!$L$8),0)</f>
        <v>0</v>
      </c>
      <c r="AB301" s="526">
        <f t="shared" si="89"/>
        <v>197370</v>
      </c>
      <c r="AC301" s="775">
        <f t="shared" si="90"/>
        <v>247.35</v>
      </c>
      <c r="AD301" s="525">
        <f>IF(AC301&lt;$AC$6,ROUND(($AC$6-AC301)*AB301,PARAMETROS!$L$8),0)</f>
        <v>0</v>
      </c>
      <c r="AE301" s="771">
        <f t="shared" si="82"/>
        <v>0</v>
      </c>
      <c r="AF301" s="771">
        <f t="shared" si="83"/>
        <v>0</v>
      </c>
      <c r="AG301" s="771">
        <f t="shared" si="91"/>
        <v>2.7130212060999998E-3</v>
      </c>
      <c r="AH301" s="525">
        <f>+DATA!Q297</f>
        <v>5193285.9809999997</v>
      </c>
      <c r="AI301" s="525">
        <f>+DATA!R297</f>
        <v>432773.83174999995</v>
      </c>
      <c r="AJ301" s="525">
        <f>+DATA!S297</f>
        <v>341891</v>
      </c>
      <c r="AK301" s="525">
        <f>+'_DATA STT PAGOS_'!G299</f>
        <v>0</v>
      </c>
      <c r="AL301" s="525">
        <f>+'_DATA STT PAGOS_'!J299</f>
        <v>7046003.2949999999</v>
      </c>
      <c r="AM301" s="525">
        <f>+DATA!Y297</f>
        <v>4232781</v>
      </c>
      <c r="AN301" s="525">
        <f>+DATA!Z297</f>
        <v>2680156</v>
      </c>
      <c r="AO301" s="525">
        <f>+DATA!AA297</f>
        <v>3280159</v>
      </c>
      <c r="AP301" s="525">
        <f>+DATA!AB297</f>
        <v>2732483</v>
      </c>
      <c r="AQ301" s="525">
        <f>+DATA!AC297</f>
        <v>12925579</v>
      </c>
      <c r="AR301" s="525">
        <f>+DATA!AD297</f>
        <v>344677</v>
      </c>
      <c r="AS301" s="525">
        <f>+DATA!AE297</f>
        <v>180825</v>
      </c>
      <c r="AT301" s="525">
        <f>+DATA!AF297</f>
        <v>167797.31899999999</v>
      </c>
      <c r="AU301" s="525">
        <f>+DATA!AG297</f>
        <v>124091</v>
      </c>
      <c r="AV301" s="525">
        <f>+DATA!AH297</f>
        <v>817390.31900000002</v>
      </c>
    </row>
    <row r="302" spans="1:48" x14ac:dyDescent="0.25">
      <c r="A302" s="527">
        <v>13302</v>
      </c>
      <c r="B302" s="527">
        <v>13202</v>
      </c>
      <c r="C302" s="527" t="s">
        <v>301</v>
      </c>
      <c r="D302" s="771">
        <f t="shared" si="74"/>
        <v>2.8901734103999998E-3</v>
      </c>
      <c r="E302" s="771">
        <f t="shared" si="75"/>
        <v>7.2254335259999995E-4</v>
      </c>
      <c r="F302" s="525">
        <f>+DATA!D298</f>
        <v>143032</v>
      </c>
      <c r="G302" s="772">
        <f>+DATA!E298</f>
        <v>4.947952348252533E-2</v>
      </c>
      <c r="H302" s="525">
        <f t="shared" si="84"/>
        <v>7077</v>
      </c>
      <c r="I302" s="771">
        <f t="shared" si="76"/>
        <v>5.4195830972000002E-3</v>
      </c>
      <c r="J302" s="771">
        <f t="shared" si="77"/>
        <v>5.4195830969999996E-4</v>
      </c>
      <c r="K302" s="525">
        <f>+DATA!G298</f>
        <v>23625</v>
      </c>
      <c r="L302" s="525">
        <f>+DATA!H298</f>
        <v>39947</v>
      </c>
      <c r="M302" s="525">
        <f>+DATA!I298</f>
        <v>877801862810.00049</v>
      </c>
      <c r="N302" s="525">
        <f>+DATA!J298</f>
        <v>4503925225230</v>
      </c>
      <c r="O302" s="773">
        <f t="shared" si="85"/>
        <v>0.3395052441925579</v>
      </c>
      <c r="P302" s="774" t="str">
        <f t="shared" si="86"/>
        <v>NO</v>
      </c>
      <c r="Q302" s="771">
        <f t="shared" si="78"/>
        <v>2.5589542818999999E-3</v>
      </c>
      <c r="R302" s="771">
        <f t="shared" si="79"/>
        <v>3.6687580839000001E-3</v>
      </c>
      <c r="S302" s="771">
        <f t="shared" si="80"/>
        <v>1.1006274252000001E-3</v>
      </c>
      <c r="T302" s="525">
        <f>+DATA!K298</f>
        <v>0</v>
      </c>
      <c r="U302" s="525">
        <f>+DATA!L298</f>
        <v>0</v>
      </c>
      <c r="V302" s="525">
        <f>+DATA!M298</f>
        <v>28387159</v>
      </c>
      <c r="W302" s="526">
        <f t="shared" si="81"/>
        <v>28387159</v>
      </c>
      <c r="X302" s="526">
        <f t="shared" si="87"/>
        <v>28387159</v>
      </c>
      <c r="Y302" s="526">
        <f t="shared" si="88"/>
        <v>28387159</v>
      </c>
      <c r="Z302" s="525">
        <f>+DATA!F298</f>
        <v>294871.05944750056</v>
      </c>
      <c r="AA302" s="525">
        <f>IF(P302="SI",ROUND(Z302/DIV_Pf,PARAMETROS!$L$8),0)</f>
        <v>0</v>
      </c>
      <c r="AB302" s="526">
        <f t="shared" si="89"/>
        <v>143032</v>
      </c>
      <c r="AC302" s="775">
        <f t="shared" si="90"/>
        <v>198.47</v>
      </c>
      <c r="AD302" s="525">
        <f>IF(AC302&lt;$AC$6,ROUND(($AC$6-AC302)*AB302,PARAMETROS!$L$8),0)</f>
        <v>0</v>
      </c>
      <c r="AE302" s="771">
        <f t="shared" si="82"/>
        <v>0</v>
      </c>
      <c r="AF302" s="771">
        <f t="shared" si="83"/>
        <v>0</v>
      </c>
      <c r="AG302" s="771">
        <f t="shared" si="91"/>
        <v>2.3651290875E-3</v>
      </c>
      <c r="AH302" s="525">
        <f>+DATA!Q298</f>
        <v>4583257.9630000005</v>
      </c>
      <c r="AI302" s="525">
        <f>+DATA!R298</f>
        <v>381938.16358333337</v>
      </c>
      <c r="AJ302" s="525">
        <f>+DATA!S298</f>
        <v>301731</v>
      </c>
      <c r="AK302" s="525">
        <f>+'_DATA STT PAGOS_'!G300</f>
        <v>0</v>
      </c>
      <c r="AL302" s="525">
        <f>+'_DATA STT PAGOS_'!J300</f>
        <v>6210082.3670000006</v>
      </c>
      <c r="AM302" s="525">
        <f>+DATA!Y298</f>
        <v>1413979</v>
      </c>
      <c r="AN302" s="525">
        <f>+DATA!Z298</f>
        <v>1069883</v>
      </c>
      <c r="AO302" s="525">
        <f>+DATA!AA298</f>
        <v>1251360</v>
      </c>
      <c r="AP302" s="525">
        <f>+DATA!AB298</f>
        <v>1219741</v>
      </c>
      <c r="AQ302" s="525">
        <f>+DATA!AC298</f>
        <v>4954963</v>
      </c>
      <c r="AR302" s="525">
        <f>+DATA!AD298</f>
        <v>48944</v>
      </c>
      <c r="AS302" s="525">
        <f>+DATA!AE298</f>
        <v>22985</v>
      </c>
      <c r="AT302" s="525">
        <f>+DATA!AF298</f>
        <v>26513.655999999999</v>
      </c>
      <c r="AU302" s="525">
        <f>+DATA!AG298</f>
        <v>20763</v>
      </c>
      <c r="AV302" s="525">
        <f>+DATA!AH298</f>
        <v>119205.656</v>
      </c>
    </row>
    <row r="303" spans="1:48" x14ac:dyDescent="0.25">
      <c r="A303" s="527">
        <v>13303</v>
      </c>
      <c r="B303" s="527">
        <v>13203</v>
      </c>
      <c r="C303" s="527" t="s">
        <v>302</v>
      </c>
      <c r="D303" s="771">
        <f t="shared" si="74"/>
        <v>2.8901734103999998E-3</v>
      </c>
      <c r="E303" s="771">
        <f t="shared" si="75"/>
        <v>7.2254335259999995E-4</v>
      </c>
      <c r="F303" s="525">
        <f>+DATA!D299</f>
        <v>22482</v>
      </c>
      <c r="G303" s="772">
        <f>+DATA!E299</f>
        <v>6.0569842861232091E-2</v>
      </c>
      <c r="H303" s="525">
        <f t="shared" si="84"/>
        <v>1362</v>
      </c>
      <c r="I303" s="771">
        <f t="shared" si="76"/>
        <v>1.0430227749999999E-3</v>
      </c>
      <c r="J303" s="771">
        <f t="shared" si="77"/>
        <v>1.0430227749999999E-4</v>
      </c>
      <c r="K303" s="525">
        <f>+DATA!G299</f>
        <v>4223</v>
      </c>
      <c r="L303" s="525">
        <f>+DATA!H299</f>
        <v>6696</v>
      </c>
      <c r="M303" s="525">
        <f>+DATA!I299</f>
        <v>124587099761</v>
      </c>
      <c r="N303" s="525">
        <f>+DATA!J299</f>
        <v>537608134831</v>
      </c>
      <c r="O303" s="773">
        <f t="shared" si="85"/>
        <v>0.38230188593848163</v>
      </c>
      <c r="P303" s="774" t="str">
        <f t="shared" si="86"/>
        <v>NO</v>
      </c>
      <c r="Q303" s="771">
        <f t="shared" si="78"/>
        <v>4.8778650380000002E-4</v>
      </c>
      <c r="R303" s="771">
        <f t="shared" si="79"/>
        <v>6.993367141E-4</v>
      </c>
      <c r="S303" s="771">
        <f t="shared" si="80"/>
        <v>2.098010142E-4</v>
      </c>
      <c r="T303" s="525">
        <f>+DATA!K299</f>
        <v>0</v>
      </c>
      <c r="U303" s="525">
        <f>+DATA!L299</f>
        <v>0</v>
      </c>
      <c r="V303" s="525">
        <f>+DATA!M299</f>
        <v>2949424</v>
      </c>
      <c r="W303" s="526">
        <f t="shared" si="81"/>
        <v>2949424</v>
      </c>
      <c r="X303" s="526">
        <f t="shared" si="87"/>
        <v>2949424</v>
      </c>
      <c r="Y303" s="526">
        <f t="shared" si="88"/>
        <v>2949424</v>
      </c>
      <c r="Z303" s="525">
        <f>+DATA!F299</f>
        <v>297930.47967813088</v>
      </c>
      <c r="AA303" s="525">
        <f>IF(P303="SI",ROUND(Z303/DIV_Pf,PARAMETROS!$L$8),0)</f>
        <v>0</v>
      </c>
      <c r="AB303" s="526">
        <f t="shared" si="89"/>
        <v>22482</v>
      </c>
      <c r="AC303" s="775">
        <f t="shared" si="90"/>
        <v>131.19</v>
      </c>
      <c r="AD303" s="525">
        <f>IF(AC303&lt;$AC$6,ROUND(($AC$6-AC303)*AB303,PARAMETROS!$L$8),0)</f>
        <v>0</v>
      </c>
      <c r="AE303" s="771">
        <f t="shared" si="82"/>
        <v>0</v>
      </c>
      <c r="AF303" s="771">
        <f t="shared" si="83"/>
        <v>0</v>
      </c>
      <c r="AG303" s="771">
        <f t="shared" si="91"/>
        <v>1.0366466442999999E-3</v>
      </c>
      <c r="AH303" s="525">
        <f>+DATA!Q299</f>
        <v>1948504.06</v>
      </c>
      <c r="AI303" s="525">
        <f>+DATA!R299</f>
        <v>162375.33833333335</v>
      </c>
      <c r="AJ303" s="525">
        <f>+DATA!S299</f>
        <v>128277</v>
      </c>
      <c r="AK303" s="525">
        <f>+'_DATA STT PAGOS_'!G301</f>
        <v>0</v>
      </c>
      <c r="AL303" s="525">
        <f>+'_DATA STT PAGOS_'!J301</f>
        <v>2643874.0219999999</v>
      </c>
      <c r="AM303" s="525">
        <f>+DATA!Y299</f>
        <v>139208</v>
      </c>
      <c r="AN303" s="525">
        <f>+DATA!Z299</f>
        <v>78949</v>
      </c>
      <c r="AO303" s="525">
        <f>+DATA!AA299</f>
        <v>89231</v>
      </c>
      <c r="AP303" s="525">
        <f>+DATA!AB299</f>
        <v>92120</v>
      </c>
      <c r="AQ303" s="525">
        <f>+DATA!AC299</f>
        <v>399508</v>
      </c>
      <c r="AR303" s="525">
        <f>+DATA!AD299</f>
        <v>4850</v>
      </c>
      <c r="AS303" s="525">
        <f>+DATA!AE299</f>
        <v>2221</v>
      </c>
      <c r="AT303" s="525">
        <f>+DATA!AF299</f>
        <v>3204.7420000000002</v>
      </c>
      <c r="AU303" s="525">
        <f>+DATA!AG299</f>
        <v>2037</v>
      </c>
      <c r="AV303" s="525">
        <f>+DATA!AH299</f>
        <v>12312.742</v>
      </c>
    </row>
    <row r="304" spans="1:48" x14ac:dyDescent="0.25">
      <c r="A304" s="527">
        <v>13401</v>
      </c>
      <c r="B304" s="527">
        <v>13401</v>
      </c>
      <c r="C304" s="527" t="s">
        <v>305</v>
      </c>
      <c r="D304" s="771">
        <f t="shared" si="74"/>
        <v>2.8901734103999998E-3</v>
      </c>
      <c r="E304" s="771">
        <f t="shared" si="75"/>
        <v>7.2254335259999995E-4</v>
      </c>
      <c r="F304" s="525">
        <f>+DATA!D300</f>
        <v>348640</v>
      </c>
      <c r="G304" s="772">
        <f>+DATA!E300</f>
        <v>5.9864930343402019E-2</v>
      </c>
      <c r="H304" s="525">
        <f t="shared" si="84"/>
        <v>20871</v>
      </c>
      <c r="I304" s="771">
        <f t="shared" si="76"/>
        <v>1.59830604524E-2</v>
      </c>
      <c r="J304" s="771">
        <f t="shared" si="77"/>
        <v>1.5983060452000001E-3</v>
      </c>
      <c r="K304" s="525">
        <f>+DATA!G300</f>
        <v>79119</v>
      </c>
      <c r="L304" s="525">
        <f>+DATA!H300</f>
        <v>98445</v>
      </c>
      <c r="M304" s="525">
        <f>+DATA!I300</f>
        <v>2947701905228</v>
      </c>
      <c r="N304" s="525">
        <f>+DATA!J300</f>
        <v>7227121734301</v>
      </c>
      <c r="O304" s="773">
        <f t="shared" si="85"/>
        <v>0.57253581493670058</v>
      </c>
      <c r="P304" s="774" t="str">
        <f t="shared" si="86"/>
        <v>SI</v>
      </c>
      <c r="Q304" s="771">
        <f t="shared" si="78"/>
        <v>1.16458442542E-2</v>
      </c>
      <c r="R304" s="771">
        <f t="shared" si="79"/>
        <v>1.6696580143299999E-2</v>
      </c>
      <c r="S304" s="771">
        <f t="shared" si="80"/>
        <v>5.0089740429999996E-3</v>
      </c>
      <c r="T304" s="525">
        <f>+DATA!K300</f>
        <v>0</v>
      </c>
      <c r="U304" s="525">
        <f>+DATA!L300</f>
        <v>0</v>
      </c>
      <c r="V304" s="525">
        <f>+DATA!M300</f>
        <v>45042850</v>
      </c>
      <c r="W304" s="526">
        <f t="shared" si="81"/>
        <v>45042850</v>
      </c>
      <c r="X304" s="526">
        <f t="shared" si="87"/>
        <v>45042850</v>
      </c>
      <c r="Y304" s="526">
        <f t="shared" si="88"/>
        <v>45042850</v>
      </c>
      <c r="Z304" s="525">
        <f>+DATA!F300</f>
        <v>588469.72391818336</v>
      </c>
      <c r="AA304" s="525">
        <f>IF(P304="SI",ROUND(Z304/DIV_Pf,PARAMETROS!$L$8),0)</f>
        <v>49039</v>
      </c>
      <c r="AB304" s="526">
        <f t="shared" si="89"/>
        <v>397679</v>
      </c>
      <c r="AC304" s="775">
        <f t="shared" si="90"/>
        <v>113.26</v>
      </c>
      <c r="AD304" s="525">
        <f>IF(AC304&lt;$AC$6,ROUND(($AC$6-AC304)*AB304,PARAMETROS!$L$8),0)</f>
        <v>0</v>
      </c>
      <c r="AE304" s="771">
        <f t="shared" si="82"/>
        <v>0</v>
      </c>
      <c r="AF304" s="771">
        <f t="shared" si="83"/>
        <v>0</v>
      </c>
      <c r="AG304" s="771">
        <f t="shared" si="91"/>
        <v>7.3298234407999999E-3</v>
      </c>
      <c r="AH304" s="525">
        <f>+DATA!Q300</f>
        <v>19053814.919</v>
      </c>
      <c r="AI304" s="525">
        <f>+DATA!R300</f>
        <v>1587817.9099166666</v>
      </c>
      <c r="AJ304" s="525">
        <f>+DATA!S300</f>
        <v>1254376</v>
      </c>
      <c r="AK304" s="525">
        <f>+'_DATA STT PAGOS_'!G302</f>
        <v>0</v>
      </c>
      <c r="AL304" s="525">
        <f>+'_DATA STT PAGOS_'!J302</f>
        <v>25856464.379000001</v>
      </c>
      <c r="AM304" s="525">
        <f>+DATA!Y300</f>
        <v>2255007</v>
      </c>
      <c r="AN304" s="525">
        <f>+DATA!Z300</f>
        <v>1514269</v>
      </c>
      <c r="AO304" s="525">
        <f>+DATA!AA300</f>
        <v>2340399</v>
      </c>
      <c r="AP304" s="525">
        <f>+DATA!AB300</f>
        <v>1780983</v>
      </c>
      <c r="AQ304" s="525">
        <f>+DATA!AC300</f>
        <v>7890658</v>
      </c>
      <c r="AR304" s="525">
        <f>+DATA!AD300</f>
        <v>100946</v>
      </c>
      <c r="AS304" s="525">
        <f>+DATA!AE300</f>
        <v>44231</v>
      </c>
      <c r="AT304" s="525">
        <f>+DATA!AF300</f>
        <v>61316.148999999998</v>
      </c>
      <c r="AU304" s="525">
        <f>+DATA!AG300</f>
        <v>45014</v>
      </c>
      <c r="AV304" s="525">
        <f>+DATA!AH300</f>
        <v>251507.149</v>
      </c>
    </row>
    <row r="305" spans="1:48" x14ac:dyDescent="0.25">
      <c r="A305" s="527">
        <v>13402</v>
      </c>
      <c r="B305" s="527">
        <v>13403</v>
      </c>
      <c r="C305" s="527" t="s">
        <v>307</v>
      </c>
      <c r="D305" s="771">
        <f t="shared" si="74"/>
        <v>2.8901734103999998E-3</v>
      </c>
      <c r="E305" s="771">
        <f t="shared" si="75"/>
        <v>7.2254335259999995E-4</v>
      </c>
      <c r="F305" s="525">
        <f>+DATA!D301</f>
        <v>117982</v>
      </c>
      <c r="G305" s="772">
        <f>+DATA!E301</f>
        <v>4.4472114280194347E-2</v>
      </c>
      <c r="H305" s="525">
        <f t="shared" si="84"/>
        <v>5247</v>
      </c>
      <c r="I305" s="771">
        <f t="shared" si="76"/>
        <v>4.0181648312999996E-3</v>
      </c>
      <c r="J305" s="771">
        <f t="shared" si="77"/>
        <v>4.0181648309999999E-4</v>
      </c>
      <c r="K305" s="525">
        <f>+DATA!G301</f>
        <v>24107</v>
      </c>
      <c r="L305" s="525">
        <f>+DATA!H301</f>
        <v>38207</v>
      </c>
      <c r="M305" s="525">
        <f>+DATA!I301</f>
        <v>906832153574</v>
      </c>
      <c r="N305" s="525">
        <f>+DATA!J301</f>
        <v>3019923322799</v>
      </c>
      <c r="O305" s="773">
        <f t="shared" si="85"/>
        <v>0.43527689200537223</v>
      </c>
      <c r="P305" s="774" t="str">
        <f t="shared" si="86"/>
        <v>NO</v>
      </c>
      <c r="Q305" s="771">
        <f t="shared" si="78"/>
        <v>2.7857777123999998E-3</v>
      </c>
      <c r="R305" s="771">
        <f t="shared" si="79"/>
        <v>3.9939535357999996E-3</v>
      </c>
      <c r="S305" s="771">
        <f t="shared" si="80"/>
        <v>1.1981860607000001E-3</v>
      </c>
      <c r="T305" s="525">
        <f>+DATA!K301</f>
        <v>0</v>
      </c>
      <c r="U305" s="525">
        <f>+DATA!L301</f>
        <v>0</v>
      </c>
      <c r="V305" s="525">
        <f>+DATA!M301</f>
        <v>13618373</v>
      </c>
      <c r="W305" s="526">
        <f t="shared" si="81"/>
        <v>13618373</v>
      </c>
      <c r="X305" s="526">
        <f t="shared" si="87"/>
        <v>13618373</v>
      </c>
      <c r="Y305" s="526">
        <f t="shared" si="88"/>
        <v>13618373</v>
      </c>
      <c r="Z305" s="525">
        <f>+DATA!F301</f>
        <v>248121.75621829467</v>
      </c>
      <c r="AA305" s="525">
        <f>IF(P305="SI",ROUND(Z305/DIV_Pf,PARAMETROS!$L$8),0)</f>
        <v>0</v>
      </c>
      <c r="AB305" s="526">
        <f t="shared" si="89"/>
        <v>117982</v>
      </c>
      <c r="AC305" s="775">
        <f t="shared" si="90"/>
        <v>115.43</v>
      </c>
      <c r="AD305" s="525">
        <f>IF(AC305&lt;$AC$6,ROUND(($AC$6-AC305)*AB305,PARAMETROS!$L$8),0)</f>
        <v>0</v>
      </c>
      <c r="AE305" s="771">
        <f t="shared" si="82"/>
        <v>0</v>
      </c>
      <c r="AF305" s="771">
        <f t="shared" si="83"/>
        <v>0</v>
      </c>
      <c r="AG305" s="771">
        <f t="shared" si="91"/>
        <v>2.3225458963999999E-3</v>
      </c>
      <c r="AH305" s="525">
        <f>+DATA!Q301</f>
        <v>4487416.3279999997</v>
      </c>
      <c r="AI305" s="525">
        <f>+DATA!R301</f>
        <v>373951.36066666665</v>
      </c>
      <c r="AJ305" s="525">
        <f>+DATA!S301</f>
        <v>295422</v>
      </c>
      <c r="AK305" s="525">
        <f>+'_DATA STT PAGOS_'!G303</f>
        <v>0</v>
      </c>
      <c r="AL305" s="525">
        <f>+'_DATA STT PAGOS_'!J303</f>
        <v>6085109.2809999995</v>
      </c>
      <c r="AM305" s="525">
        <f>+DATA!Y301</f>
        <v>719690</v>
      </c>
      <c r="AN305" s="525">
        <f>+DATA!Z301</f>
        <v>670976</v>
      </c>
      <c r="AO305" s="525">
        <f>+DATA!AA301</f>
        <v>591964</v>
      </c>
      <c r="AP305" s="525">
        <f>+DATA!AB301</f>
        <v>517711</v>
      </c>
      <c r="AQ305" s="525">
        <f>+DATA!AC301</f>
        <v>2500341</v>
      </c>
      <c r="AR305" s="525">
        <f>+DATA!AD301</f>
        <v>104691</v>
      </c>
      <c r="AS305" s="525">
        <f>+DATA!AE301</f>
        <v>49755</v>
      </c>
      <c r="AT305" s="525">
        <f>+DATA!AF301</f>
        <v>42328.961000000003</v>
      </c>
      <c r="AU305" s="525">
        <f>+DATA!AG301</f>
        <v>32704</v>
      </c>
      <c r="AV305" s="525">
        <f>+DATA!AH301</f>
        <v>229478.96100000001</v>
      </c>
    </row>
    <row r="306" spans="1:48" x14ac:dyDescent="0.25">
      <c r="A306" s="527">
        <v>13403</v>
      </c>
      <c r="B306" s="527">
        <v>13402</v>
      </c>
      <c r="C306" s="527" t="s">
        <v>306</v>
      </c>
      <c r="D306" s="771">
        <f t="shared" si="74"/>
        <v>2.8901734103999998E-3</v>
      </c>
      <c r="E306" s="771">
        <f t="shared" si="75"/>
        <v>7.2254335259999995E-4</v>
      </c>
      <c r="F306" s="525">
        <f>+DATA!D302</f>
        <v>30283</v>
      </c>
      <c r="G306" s="772">
        <f>+DATA!E302</f>
        <v>3.4845772223698397E-2</v>
      </c>
      <c r="H306" s="525">
        <f t="shared" si="84"/>
        <v>1055</v>
      </c>
      <c r="I306" s="771">
        <f t="shared" si="76"/>
        <v>8.0792145930000002E-4</v>
      </c>
      <c r="J306" s="771">
        <f t="shared" si="77"/>
        <v>8.0792145900000003E-5</v>
      </c>
      <c r="K306" s="525">
        <f>+DATA!G302</f>
        <v>3498</v>
      </c>
      <c r="L306" s="525">
        <f>+DATA!H302</f>
        <v>7459</v>
      </c>
      <c r="M306" s="525">
        <f>+DATA!I302</f>
        <v>151022532693</v>
      </c>
      <c r="N306" s="525">
        <f>+DATA!J302</f>
        <v>1099685586053</v>
      </c>
      <c r="O306" s="773">
        <f t="shared" si="85"/>
        <v>0.25377930710499386</v>
      </c>
      <c r="P306" s="774" t="str">
        <f t="shared" si="86"/>
        <v>NO</v>
      </c>
      <c r="Q306" s="771">
        <f t="shared" si="78"/>
        <v>3.0044298300000002E-4</v>
      </c>
      <c r="R306" s="771">
        <f t="shared" si="79"/>
        <v>4.3074338230000001E-4</v>
      </c>
      <c r="S306" s="771">
        <f t="shared" si="80"/>
        <v>1.2922301470000001E-4</v>
      </c>
      <c r="T306" s="525">
        <f>+DATA!K302</f>
        <v>0</v>
      </c>
      <c r="U306" s="525">
        <f>+DATA!L302</f>
        <v>0</v>
      </c>
      <c r="V306" s="525">
        <f>+DATA!M302</f>
        <v>5512385</v>
      </c>
      <c r="W306" s="526">
        <f t="shared" si="81"/>
        <v>5512385</v>
      </c>
      <c r="X306" s="526">
        <f t="shared" si="87"/>
        <v>5512385</v>
      </c>
      <c r="Y306" s="526">
        <f t="shared" si="88"/>
        <v>5512385</v>
      </c>
      <c r="Z306" s="525">
        <f>+DATA!F302</f>
        <v>105455.91737759908</v>
      </c>
      <c r="AA306" s="525">
        <f>IF(P306="SI",ROUND(Z306/DIV_Pf,PARAMETROS!$L$8),0)</f>
        <v>0</v>
      </c>
      <c r="AB306" s="526">
        <f t="shared" si="89"/>
        <v>30283</v>
      </c>
      <c r="AC306" s="775">
        <f t="shared" si="90"/>
        <v>182.03</v>
      </c>
      <c r="AD306" s="525">
        <f>IF(AC306&lt;$AC$6,ROUND(($AC$6-AC306)*AB306,PARAMETROS!$L$8),0)</f>
        <v>0</v>
      </c>
      <c r="AE306" s="771">
        <f t="shared" si="82"/>
        <v>0</v>
      </c>
      <c r="AF306" s="771">
        <f t="shared" si="83"/>
        <v>0</v>
      </c>
      <c r="AG306" s="771">
        <f t="shared" si="91"/>
        <v>9.3255851319999996E-4</v>
      </c>
      <c r="AH306" s="525">
        <f>+DATA!Q302</f>
        <v>1770198.675</v>
      </c>
      <c r="AI306" s="525">
        <f>+DATA!R302</f>
        <v>147516.55624999999</v>
      </c>
      <c r="AJ306" s="525">
        <f>+DATA!S302</f>
        <v>116538</v>
      </c>
      <c r="AK306" s="525">
        <f>+'_DATA STT PAGOS_'!G304</f>
        <v>0</v>
      </c>
      <c r="AL306" s="525">
        <f>+'_DATA STT PAGOS_'!J304</f>
        <v>2398706.9819999998</v>
      </c>
      <c r="AM306" s="525">
        <f>+DATA!Y302</f>
        <v>272578</v>
      </c>
      <c r="AN306" s="525">
        <f>+DATA!Z302</f>
        <v>169530</v>
      </c>
      <c r="AO306" s="525">
        <f>+DATA!AA302</f>
        <v>210981</v>
      </c>
      <c r="AP306" s="525">
        <f>+DATA!AB302</f>
        <v>163806</v>
      </c>
      <c r="AQ306" s="525">
        <f>+DATA!AC302</f>
        <v>816895</v>
      </c>
      <c r="AR306" s="525">
        <f>+DATA!AD302</f>
        <v>53031</v>
      </c>
      <c r="AS306" s="525">
        <f>+DATA!AE302</f>
        <v>31758</v>
      </c>
      <c r="AT306" s="525">
        <f>+DATA!AF302</f>
        <v>39164.898000000001</v>
      </c>
      <c r="AU306" s="525">
        <f>+DATA!AG302</f>
        <v>29430</v>
      </c>
      <c r="AV306" s="525">
        <f>+DATA!AH302</f>
        <v>153383.89799999999</v>
      </c>
    </row>
    <row r="307" spans="1:48" x14ac:dyDescent="0.25">
      <c r="A307" s="527">
        <v>13404</v>
      </c>
      <c r="B307" s="527">
        <v>13404</v>
      </c>
      <c r="C307" s="527" t="s">
        <v>308</v>
      </c>
      <c r="D307" s="771">
        <f t="shared" si="74"/>
        <v>2.8901734103999998E-3</v>
      </c>
      <c r="E307" s="771">
        <f t="shared" si="75"/>
        <v>7.2254335259999995E-4</v>
      </c>
      <c r="F307" s="525">
        <f>+DATA!D303</f>
        <v>88317</v>
      </c>
      <c r="G307" s="772">
        <f>+DATA!E303</f>
        <v>5.8651721684238767E-2</v>
      </c>
      <c r="H307" s="525">
        <f t="shared" si="84"/>
        <v>5180</v>
      </c>
      <c r="I307" s="771">
        <f t="shared" si="76"/>
        <v>3.9668560751000004E-3</v>
      </c>
      <c r="J307" s="771">
        <f t="shared" si="77"/>
        <v>3.9668560749999999E-4</v>
      </c>
      <c r="K307" s="525">
        <f>+DATA!G303</f>
        <v>16094</v>
      </c>
      <c r="L307" s="525">
        <f>+DATA!H303</f>
        <v>25478</v>
      </c>
      <c r="M307" s="525">
        <f>+DATA!I303</f>
        <v>491041324116</v>
      </c>
      <c r="N307" s="525">
        <f>+DATA!J303</f>
        <v>1858972061446</v>
      </c>
      <c r="O307" s="773">
        <f t="shared" si="85"/>
        <v>0.40848105727745715</v>
      </c>
      <c r="P307" s="774" t="str">
        <f t="shared" si="86"/>
        <v>NO</v>
      </c>
      <c r="Q307" s="771">
        <f t="shared" si="78"/>
        <v>1.8619401750999999E-3</v>
      </c>
      <c r="R307" s="771">
        <f t="shared" si="79"/>
        <v>2.6694529548E-3</v>
      </c>
      <c r="S307" s="771">
        <f t="shared" si="80"/>
        <v>8.0083588640000002E-4</v>
      </c>
      <c r="T307" s="525">
        <f>+DATA!K303</f>
        <v>0</v>
      </c>
      <c r="U307" s="525">
        <f>+DATA!L303</f>
        <v>0</v>
      </c>
      <c r="V307" s="525">
        <f>+DATA!M303</f>
        <v>11063523</v>
      </c>
      <c r="W307" s="526">
        <f t="shared" si="81"/>
        <v>11063523</v>
      </c>
      <c r="X307" s="526">
        <f t="shared" si="87"/>
        <v>11063523</v>
      </c>
      <c r="Y307" s="526">
        <f t="shared" si="88"/>
        <v>11063523</v>
      </c>
      <c r="Z307" s="525">
        <f>+DATA!F303</f>
        <v>314944.21564739005</v>
      </c>
      <c r="AA307" s="525">
        <f>IF(P307="SI",ROUND(Z307/DIV_Pf,PARAMETROS!$L$8),0)</f>
        <v>0</v>
      </c>
      <c r="AB307" s="526">
        <f t="shared" si="89"/>
        <v>88317</v>
      </c>
      <c r="AC307" s="775">
        <f t="shared" si="90"/>
        <v>125.27</v>
      </c>
      <c r="AD307" s="525">
        <f>IF(AC307&lt;$AC$6,ROUND(($AC$6-AC307)*AB307,PARAMETROS!$L$8),0)</f>
        <v>0</v>
      </c>
      <c r="AE307" s="771">
        <f t="shared" si="82"/>
        <v>0</v>
      </c>
      <c r="AF307" s="771">
        <f t="shared" si="83"/>
        <v>0</v>
      </c>
      <c r="AG307" s="771">
        <f t="shared" si="91"/>
        <v>1.9200648464999998E-3</v>
      </c>
      <c r="AH307" s="525">
        <f>+DATA!Q303</f>
        <v>4056483.287</v>
      </c>
      <c r="AI307" s="525">
        <f>+DATA!R303</f>
        <v>338040.27391666669</v>
      </c>
      <c r="AJ307" s="525">
        <f>+DATA!S303</f>
        <v>267052</v>
      </c>
      <c r="AK307" s="525">
        <f>+'_DATA STT PAGOS_'!G305</f>
        <v>0</v>
      </c>
      <c r="AL307" s="525">
        <f>+'_DATA STT PAGOS_'!J305</f>
        <v>5504740.9700000007</v>
      </c>
      <c r="AM307" s="525">
        <f>+DATA!Y303</f>
        <v>524023</v>
      </c>
      <c r="AN307" s="525">
        <f>+DATA!Z303</f>
        <v>546861</v>
      </c>
      <c r="AO307" s="525">
        <f>+DATA!AA303</f>
        <v>429941</v>
      </c>
      <c r="AP307" s="525">
        <f>+DATA!AB303</f>
        <v>341248</v>
      </c>
      <c r="AQ307" s="525">
        <f>+DATA!AC303</f>
        <v>1842073</v>
      </c>
      <c r="AR307" s="525">
        <f>+DATA!AD303</f>
        <v>3943</v>
      </c>
      <c r="AS307" s="525">
        <f>+DATA!AE303</f>
        <v>2293</v>
      </c>
      <c r="AT307" s="525">
        <f>+DATA!AF303</f>
        <v>2770.9470000000001</v>
      </c>
      <c r="AU307" s="525">
        <f>+DATA!AG303</f>
        <v>1849</v>
      </c>
      <c r="AV307" s="525">
        <f>+DATA!AH303</f>
        <v>10855.947</v>
      </c>
    </row>
    <row r="308" spans="1:48" x14ac:dyDescent="0.25">
      <c r="A308" s="527">
        <v>13501</v>
      </c>
      <c r="B308" s="527">
        <v>13601</v>
      </c>
      <c r="C308" s="527" t="s">
        <v>314</v>
      </c>
      <c r="D308" s="771">
        <f t="shared" si="74"/>
        <v>2.8901734103999998E-3</v>
      </c>
      <c r="E308" s="771">
        <f t="shared" si="75"/>
        <v>7.2254335259999995E-4</v>
      </c>
      <c r="F308" s="525">
        <f>+DATA!D304</f>
        <v>148899</v>
      </c>
      <c r="G308" s="772">
        <f>+DATA!E304</f>
        <v>7.5717591306610932E-2</v>
      </c>
      <c r="H308" s="525">
        <f t="shared" si="84"/>
        <v>11274</v>
      </c>
      <c r="I308" s="771">
        <f t="shared" si="76"/>
        <v>8.6336554807999993E-3</v>
      </c>
      <c r="J308" s="771">
        <f t="shared" si="77"/>
        <v>8.6336554810000001E-4</v>
      </c>
      <c r="K308" s="525">
        <f>+DATA!G304</f>
        <v>39412</v>
      </c>
      <c r="L308" s="525">
        <f>+DATA!H304</f>
        <v>50530</v>
      </c>
      <c r="M308" s="525">
        <f>+DATA!I304</f>
        <v>1077905712515</v>
      </c>
      <c r="N308" s="525">
        <f>+DATA!J304</f>
        <v>2618448766339</v>
      </c>
      <c r="O308" s="773">
        <f t="shared" si="85"/>
        <v>0.56664092055853643</v>
      </c>
      <c r="P308" s="774" t="str">
        <f t="shared" si="86"/>
        <v>SI</v>
      </c>
      <c r="Q308" s="771">
        <f t="shared" si="78"/>
        <v>5.6300300398000004E-3</v>
      </c>
      <c r="R308" s="771">
        <f t="shared" si="79"/>
        <v>8.0717417919000008E-3</v>
      </c>
      <c r="S308" s="771">
        <f t="shared" si="80"/>
        <v>2.4215225375999998E-3</v>
      </c>
      <c r="T308" s="525">
        <f>+DATA!K304</f>
        <v>0</v>
      </c>
      <c r="U308" s="525">
        <f>+DATA!L304</f>
        <v>0</v>
      </c>
      <c r="V308" s="525">
        <f>+DATA!M304</f>
        <v>9435514</v>
      </c>
      <c r="W308" s="526">
        <f t="shared" si="81"/>
        <v>9435514</v>
      </c>
      <c r="X308" s="526">
        <f t="shared" si="87"/>
        <v>9435514</v>
      </c>
      <c r="Y308" s="526">
        <f t="shared" si="88"/>
        <v>9435514</v>
      </c>
      <c r="Z308" s="525">
        <f>+DATA!F304</f>
        <v>1595700.6770190152</v>
      </c>
      <c r="AA308" s="525">
        <f>IF(P308="SI",ROUND(Z308/DIV_Pf,PARAMETROS!$L$8),0)</f>
        <v>132975</v>
      </c>
      <c r="AB308" s="526">
        <f t="shared" si="89"/>
        <v>281874</v>
      </c>
      <c r="AC308" s="775">
        <f t="shared" si="90"/>
        <v>33.47</v>
      </c>
      <c r="AD308" s="525">
        <f>IF(AC308&lt;$AC$6,ROUND(($AC$6-AC308)*AB308,PARAMETROS!$L$8),0)</f>
        <v>20027148</v>
      </c>
      <c r="AE308" s="771">
        <f t="shared" si="82"/>
        <v>1.92224568575E-2</v>
      </c>
      <c r="AF308" s="771">
        <f t="shared" si="83"/>
        <v>6.7278599000999998E-3</v>
      </c>
      <c r="AG308" s="771">
        <f t="shared" si="91"/>
        <v>1.07352913384E-2</v>
      </c>
      <c r="AH308" s="525">
        <f>+DATA!Q304</f>
        <v>16601326.274</v>
      </c>
      <c r="AI308" s="525">
        <f>+DATA!R304</f>
        <v>1383443.8561666666</v>
      </c>
      <c r="AJ308" s="525">
        <f>+DATA!S304</f>
        <v>1092921</v>
      </c>
      <c r="AK308" s="525">
        <f>+'_DATA STT PAGOS_'!G306</f>
        <v>0</v>
      </c>
      <c r="AL308" s="525">
        <f>+'_DATA STT PAGOS_'!J306</f>
        <v>22537006.385000002</v>
      </c>
      <c r="AM308" s="525">
        <f>+DATA!Y304</f>
        <v>472973</v>
      </c>
      <c r="AN308" s="525">
        <f>+DATA!Z304</f>
        <v>364844</v>
      </c>
      <c r="AO308" s="525">
        <f>+DATA!AA304</f>
        <v>401498</v>
      </c>
      <c r="AP308" s="525">
        <f>+DATA!AB304</f>
        <v>315548</v>
      </c>
      <c r="AQ308" s="525">
        <f>+DATA!AC304</f>
        <v>1554863</v>
      </c>
      <c r="AR308" s="525">
        <f>+DATA!AD304</f>
        <v>23316</v>
      </c>
      <c r="AS308" s="525">
        <f>+DATA!AE304</f>
        <v>15031</v>
      </c>
      <c r="AT308" s="525">
        <f>+DATA!AF304</f>
        <v>15322.722</v>
      </c>
      <c r="AU308" s="525">
        <f>+DATA!AG304</f>
        <v>12091</v>
      </c>
      <c r="AV308" s="525">
        <f>+DATA!AH304</f>
        <v>65760.722000000009</v>
      </c>
    </row>
    <row r="309" spans="1:48" x14ac:dyDescent="0.25">
      <c r="A309" s="527">
        <v>13502</v>
      </c>
      <c r="B309" s="527">
        <v>13605</v>
      </c>
      <c r="C309" s="527" t="s">
        <v>432</v>
      </c>
      <c r="D309" s="771">
        <f t="shared" si="74"/>
        <v>2.8901734103999998E-3</v>
      </c>
      <c r="E309" s="771">
        <f t="shared" si="75"/>
        <v>7.2254335259999995E-4</v>
      </c>
      <c r="F309" s="525">
        <f>+DATA!D305</f>
        <v>7856</v>
      </c>
      <c r="G309" s="772">
        <f>+DATA!E305</f>
        <v>9.6121569117850983E-2</v>
      </c>
      <c r="H309" s="525">
        <f t="shared" si="84"/>
        <v>755</v>
      </c>
      <c r="I309" s="771">
        <f t="shared" si="76"/>
        <v>5.7818075999999997E-4</v>
      </c>
      <c r="J309" s="771">
        <f t="shared" si="77"/>
        <v>5.7818076000000002E-5</v>
      </c>
      <c r="K309" s="525">
        <f>+DATA!G305</f>
        <v>1867</v>
      </c>
      <c r="L309" s="525">
        <f>+DATA!H305</f>
        <v>2284</v>
      </c>
      <c r="M309" s="525">
        <f>+DATA!I305</f>
        <v>36249799177</v>
      </c>
      <c r="N309" s="525">
        <f>+DATA!J305</f>
        <v>152258136714</v>
      </c>
      <c r="O309" s="773">
        <f t="shared" si="85"/>
        <v>0.44115037860812945</v>
      </c>
      <c r="P309" s="774" t="str">
        <f t="shared" si="86"/>
        <v>NO</v>
      </c>
      <c r="Q309" s="771">
        <f t="shared" si="78"/>
        <v>2.795088726E-4</v>
      </c>
      <c r="R309" s="771">
        <f t="shared" si="79"/>
        <v>4.0073026830000002E-4</v>
      </c>
      <c r="S309" s="771">
        <f t="shared" si="80"/>
        <v>1.202190805E-4</v>
      </c>
      <c r="T309" s="525">
        <f>+DATA!K305</f>
        <v>0</v>
      </c>
      <c r="U309" s="525">
        <f>+DATA!L305</f>
        <v>0</v>
      </c>
      <c r="V309" s="525">
        <f>+DATA!M305</f>
        <v>10612560</v>
      </c>
      <c r="W309" s="526">
        <f t="shared" si="81"/>
        <v>10612560</v>
      </c>
      <c r="X309" s="526">
        <f t="shared" si="87"/>
        <v>10612560</v>
      </c>
      <c r="Y309" s="526">
        <f t="shared" si="88"/>
        <v>10612560</v>
      </c>
      <c r="Z309" s="525">
        <f>+DATA!F305</f>
        <v>77731.136486534248</v>
      </c>
      <c r="AA309" s="525">
        <f>IF(P309="SI",ROUND(Z309/DIV_Pf,PARAMETROS!$L$8),0)</f>
        <v>0</v>
      </c>
      <c r="AB309" s="526">
        <f t="shared" si="89"/>
        <v>7856</v>
      </c>
      <c r="AC309" s="775">
        <f t="shared" si="90"/>
        <v>1350.89</v>
      </c>
      <c r="AD309" s="525">
        <f>IF(AC309&lt;$AC$6,ROUND(($AC$6-AC309)*AB309,PARAMETROS!$L$8),0)</f>
        <v>0</v>
      </c>
      <c r="AE309" s="771">
        <f t="shared" si="82"/>
        <v>0</v>
      </c>
      <c r="AF309" s="771">
        <f t="shared" si="83"/>
        <v>0</v>
      </c>
      <c r="AG309" s="771">
        <f t="shared" si="91"/>
        <v>9.005805090999999E-4</v>
      </c>
      <c r="AH309" s="525">
        <f>+DATA!Q305</f>
        <v>1665706.0859999999</v>
      </c>
      <c r="AI309" s="525">
        <f>+DATA!R305</f>
        <v>138808.84049999999</v>
      </c>
      <c r="AJ309" s="525">
        <f>+DATA!S305</f>
        <v>109659</v>
      </c>
      <c r="AK309" s="525">
        <f>+'_DATA STT PAGOS_'!G307</f>
        <v>0</v>
      </c>
      <c r="AL309" s="525">
        <f>+'_DATA STT PAGOS_'!J307</f>
        <v>2262274.92</v>
      </c>
      <c r="AM309" s="525">
        <f>+DATA!Y305</f>
        <v>47833</v>
      </c>
      <c r="AN309" s="525">
        <f>+DATA!Z305</f>
        <v>19512</v>
      </c>
      <c r="AO309" s="525">
        <f>+DATA!AA305</f>
        <v>20962</v>
      </c>
      <c r="AP309" s="525">
        <f>+DATA!AB305</f>
        <v>17397</v>
      </c>
      <c r="AQ309" s="525">
        <f>+DATA!AC305</f>
        <v>105704</v>
      </c>
      <c r="AR309" s="525">
        <f>+DATA!AD305</f>
        <v>0</v>
      </c>
      <c r="AS309" s="525">
        <f>+DATA!AE305</f>
        <v>0</v>
      </c>
      <c r="AT309" s="525">
        <f>+DATA!AF305</f>
        <v>0</v>
      </c>
      <c r="AU309" s="525">
        <f>+DATA!AG305</f>
        <v>0</v>
      </c>
      <c r="AV309" s="525">
        <f>+DATA!AH305</f>
        <v>0</v>
      </c>
    </row>
    <row r="310" spans="1:48" x14ac:dyDescent="0.25">
      <c r="A310" s="527">
        <v>13503</v>
      </c>
      <c r="B310" s="527">
        <v>13603</v>
      </c>
      <c r="C310" s="527" t="s">
        <v>433</v>
      </c>
      <c r="D310" s="771">
        <f t="shared" si="74"/>
        <v>2.8901734103999998E-3</v>
      </c>
      <c r="E310" s="771">
        <f t="shared" si="75"/>
        <v>7.2254335259999995E-4</v>
      </c>
      <c r="F310" s="525">
        <f>+DATA!D306</f>
        <v>38367</v>
      </c>
      <c r="G310" s="772">
        <f>+DATA!E306</f>
        <v>5.9964589627170613E-2</v>
      </c>
      <c r="H310" s="525">
        <f t="shared" si="84"/>
        <v>2301</v>
      </c>
      <c r="I310" s="771">
        <f t="shared" si="76"/>
        <v>1.7621111638999999E-3</v>
      </c>
      <c r="J310" s="771">
        <f t="shared" si="77"/>
        <v>1.762111164E-4</v>
      </c>
      <c r="K310" s="525">
        <f>+DATA!G306</f>
        <v>9249</v>
      </c>
      <c r="L310" s="525">
        <f>+DATA!H306</f>
        <v>15605</v>
      </c>
      <c r="M310" s="525">
        <f>+DATA!I306</f>
        <v>236768083213</v>
      </c>
      <c r="N310" s="525">
        <f>+DATA!J306</f>
        <v>865797111182</v>
      </c>
      <c r="O310" s="773">
        <f t="shared" si="85"/>
        <v>0.40259559259784672</v>
      </c>
      <c r="P310" s="774" t="str">
        <f t="shared" si="86"/>
        <v>NO</v>
      </c>
      <c r="Q310" s="771">
        <f t="shared" si="78"/>
        <v>1.0039887536E-3</v>
      </c>
      <c r="R310" s="771">
        <f t="shared" si="79"/>
        <v>1.4394129203E-3</v>
      </c>
      <c r="S310" s="771">
        <f t="shared" si="80"/>
        <v>4.3182387610000002E-4</v>
      </c>
      <c r="T310" s="525">
        <f>+DATA!K306</f>
        <v>0</v>
      </c>
      <c r="U310" s="525">
        <f>+DATA!L306</f>
        <v>0</v>
      </c>
      <c r="V310" s="525">
        <f>+DATA!M306</f>
        <v>5669196</v>
      </c>
      <c r="W310" s="526">
        <f t="shared" si="81"/>
        <v>5669196</v>
      </c>
      <c r="X310" s="526">
        <f t="shared" si="87"/>
        <v>5669196</v>
      </c>
      <c r="Y310" s="526">
        <f t="shared" si="88"/>
        <v>5669196</v>
      </c>
      <c r="Z310" s="525">
        <f>+DATA!F306</f>
        <v>621289.81894483627</v>
      </c>
      <c r="AA310" s="525">
        <f>IF(P310="SI",ROUND(Z310/DIV_Pf,PARAMETROS!$L$8),0)</f>
        <v>0</v>
      </c>
      <c r="AB310" s="526">
        <f t="shared" si="89"/>
        <v>38367</v>
      </c>
      <c r="AC310" s="775">
        <f t="shared" si="90"/>
        <v>147.76</v>
      </c>
      <c r="AD310" s="525">
        <f>IF(AC310&lt;$AC$6,ROUND(($AC$6-AC310)*AB310,PARAMETROS!$L$8),0)</f>
        <v>0</v>
      </c>
      <c r="AE310" s="771">
        <f t="shared" si="82"/>
        <v>0</v>
      </c>
      <c r="AF310" s="771">
        <f t="shared" si="83"/>
        <v>0</v>
      </c>
      <c r="AG310" s="771">
        <f t="shared" si="91"/>
        <v>1.3305783451E-3</v>
      </c>
      <c r="AH310" s="525">
        <f>+DATA!Q306</f>
        <v>2765195.4449999998</v>
      </c>
      <c r="AI310" s="525">
        <f>+DATA!R306</f>
        <v>230432.95374999999</v>
      </c>
      <c r="AJ310" s="525">
        <f>+DATA!S306</f>
        <v>182042</v>
      </c>
      <c r="AK310" s="525">
        <f>+'_DATA STT PAGOS_'!G308</f>
        <v>0</v>
      </c>
      <c r="AL310" s="525">
        <f>+'_DATA STT PAGOS_'!J308</f>
        <v>3752433.713</v>
      </c>
      <c r="AM310" s="525">
        <f>+DATA!Y306</f>
        <v>204021</v>
      </c>
      <c r="AN310" s="525">
        <f>+DATA!Z306</f>
        <v>114454</v>
      </c>
      <c r="AO310" s="525">
        <f>+DATA!AA306</f>
        <v>149106</v>
      </c>
      <c r="AP310" s="525">
        <f>+DATA!AB306</f>
        <v>114699</v>
      </c>
      <c r="AQ310" s="525">
        <f>+DATA!AC306</f>
        <v>582280</v>
      </c>
      <c r="AR310" s="525">
        <f>+DATA!AD306</f>
        <v>24343</v>
      </c>
      <c r="AS310" s="525">
        <f>+DATA!AE306</f>
        <v>13155</v>
      </c>
      <c r="AT310" s="525">
        <f>+DATA!AF306</f>
        <v>18224.451000000001</v>
      </c>
      <c r="AU310" s="525">
        <f>+DATA!AG306</f>
        <v>12655</v>
      </c>
      <c r="AV310" s="525">
        <f>+DATA!AH306</f>
        <v>68377.451000000001</v>
      </c>
    </row>
    <row r="311" spans="1:48" x14ac:dyDescent="0.25">
      <c r="A311" s="527">
        <v>13504</v>
      </c>
      <c r="B311" s="527">
        <v>13602</v>
      </c>
      <c r="C311" s="527" t="s">
        <v>434</v>
      </c>
      <c r="D311" s="771">
        <f t="shared" si="74"/>
        <v>2.8901734103999998E-3</v>
      </c>
      <c r="E311" s="771">
        <f t="shared" si="75"/>
        <v>7.2254335259999995E-4</v>
      </c>
      <c r="F311" s="525">
        <f>+DATA!D307</f>
        <v>15669</v>
      </c>
      <c r="G311" s="772">
        <f>+DATA!E307</f>
        <v>7.3137242315189241E-2</v>
      </c>
      <c r="H311" s="525">
        <f t="shared" si="84"/>
        <v>1146</v>
      </c>
      <c r="I311" s="771">
        <f t="shared" si="76"/>
        <v>8.7760947139999999E-4</v>
      </c>
      <c r="J311" s="771">
        <f t="shared" si="77"/>
        <v>8.7760947100000002E-5</v>
      </c>
      <c r="K311" s="525">
        <f>+DATA!G307</f>
        <v>3727</v>
      </c>
      <c r="L311" s="525">
        <f>+DATA!H307</f>
        <v>5587</v>
      </c>
      <c r="M311" s="525">
        <f>+DATA!I307</f>
        <v>91354305651</v>
      </c>
      <c r="N311" s="525">
        <f>+DATA!J307</f>
        <v>390947425669</v>
      </c>
      <c r="O311" s="773">
        <f t="shared" si="85"/>
        <v>0.39481686195266591</v>
      </c>
      <c r="P311" s="774" t="str">
        <f t="shared" si="86"/>
        <v>NO</v>
      </c>
      <c r="Q311" s="771">
        <f t="shared" si="78"/>
        <v>4.5534773040000002E-4</v>
      </c>
      <c r="R311" s="771">
        <f t="shared" si="79"/>
        <v>6.5282943060000005E-4</v>
      </c>
      <c r="S311" s="771">
        <f t="shared" si="80"/>
        <v>1.9584882919999999E-4</v>
      </c>
      <c r="T311" s="525">
        <f>+DATA!K307</f>
        <v>0</v>
      </c>
      <c r="U311" s="525">
        <f>+DATA!L307</f>
        <v>0</v>
      </c>
      <c r="V311" s="525">
        <f>+DATA!M307</f>
        <v>2994899</v>
      </c>
      <c r="W311" s="526">
        <f t="shared" si="81"/>
        <v>2994899</v>
      </c>
      <c r="X311" s="526">
        <f t="shared" si="87"/>
        <v>2994899</v>
      </c>
      <c r="Y311" s="526">
        <f t="shared" si="88"/>
        <v>2994899</v>
      </c>
      <c r="Z311" s="525">
        <f>+DATA!F307</f>
        <v>95324.781248087325</v>
      </c>
      <c r="AA311" s="525">
        <f>IF(P311="SI",ROUND(Z311/DIV_Pf,PARAMETROS!$L$8),0)</f>
        <v>0</v>
      </c>
      <c r="AB311" s="526">
        <f t="shared" si="89"/>
        <v>15669</v>
      </c>
      <c r="AC311" s="775">
        <f t="shared" si="90"/>
        <v>191.14</v>
      </c>
      <c r="AD311" s="525">
        <f>IF(AC311&lt;$AC$6,ROUND(($AC$6-AC311)*AB311,PARAMETROS!$L$8),0)</f>
        <v>0</v>
      </c>
      <c r="AE311" s="771">
        <f t="shared" si="82"/>
        <v>0</v>
      </c>
      <c r="AF311" s="771">
        <f t="shared" si="83"/>
        <v>0</v>
      </c>
      <c r="AG311" s="771">
        <f t="shared" si="91"/>
        <v>1.0061531288999999E-3</v>
      </c>
      <c r="AH311" s="525">
        <f>+DATA!Q307</f>
        <v>1893169.247</v>
      </c>
      <c r="AI311" s="525">
        <f>+DATA!R307</f>
        <v>157764.10391666667</v>
      </c>
      <c r="AJ311" s="525">
        <f>+DATA!S307</f>
        <v>124634</v>
      </c>
      <c r="AK311" s="525">
        <f>+'_DATA STT PAGOS_'!G309</f>
        <v>0</v>
      </c>
      <c r="AL311" s="525">
        <f>+'_DATA STT PAGOS_'!J309</f>
        <v>2569734.375</v>
      </c>
      <c r="AM311" s="525">
        <f>+DATA!Y307</f>
        <v>75974</v>
      </c>
      <c r="AN311" s="525">
        <f>+DATA!Z307</f>
        <v>48618</v>
      </c>
      <c r="AO311" s="525">
        <f>+DATA!AA307</f>
        <v>62046</v>
      </c>
      <c r="AP311" s="525">
        <f>+DATA!AB307</f>
        <v>45740</v>
      </c>
      <c r="AQ311" s="525">
        <f>+DATA!AC307</f>
        <v>232378</v>
      </c>
      <c r="AR311" s="525">
        <f>+DATA!AD307</f>
        <v>0</v>
      </c>
      <c r="AS311" s="525">
        <f>+DATA!AE307</f>
        <v>0</v>
      </c>
      <c r="AT311" s="525">
        <f>+DATA!AF307</f>
        <v>0</v>
      </c>
      <c r="AU311" s="525">
        <f>+DATA!AG307</f>
        <v>0</v>
      </c>
      <c r="AV311" s="525">
        <f>+DATA!AH307</f>
        <v>0</v>
      </c>
    </row>
    <row r="312" spans="1:48" x14ac:dyDescent="0.25">
      <c r="A312" s="527">
        <v>13505</v>
      </c>
      <c r="B312" s="527">
        <v>13604</v>
      </c>
      <c r="C312" s="527" t="s">
        <v>315</v>
      </c>
      <c r="D312" s="771">
        <f t="shared" si="74"/>
        <v>2.8901734103999998E-3</v>
      </c>
      <c r="E312" s="771">
        <f t="shared" si="75"/>
        <v>7.2254335259999995E-4</v>
      </c>
      <c r="F312" s="525">
        <f>+DATA!D308</f>
        <v>12544</v>
      </c>
      <c r="G312" s="772">
        <f>+DATA!E308</f>
        <v>0.14096295341763421</v>
      </c>
      <c r="H312" s="525">
        <f t="shared" si="84"/>
        <v>1768</v>
      </c>
      <c r="I312" s="771">
        <f t="shared" si="76"/>
        <v>1.3539385214000001E-3</v>
      </c>
      <c r="J312" s="771">
        <f t="shared" si="77"/>
        <v>1.353938521E-4</v>
      </c>
      <c r="K312" s="525">
        <f>+DATA!G308</f>
        <v>3836</v>
      </c>
      <c r="L312" s="525">
        <f>+DATA!H308</f>
        <v>5498</v>
      </c>
      <c r="M312" s="525">
        <f>+DATA!I308</f>
        <v>63079588657</v>
      </c>
      <c r="N312" s="525">
        <f>+DATA!J308</f>
        <v>334774253240</v>
      </c>
      <c r="O312" s="773">
        <f t="shared" si="85"/>
        <v>0.36258124245373641</v>
      </c>
      <c r="P312" s="774" t="str">
        <f t="shared" si="86"/>
        <v>NO</v>
      </c>
      <c r="Q312" s="771">
        <f t="shared" si="78"/>
        <v>4.9017992789999998E-4</v>
      </c>
      <c r="R312" s="771">
        <f t="shared" si="79"/>
        <v>7.0276815250000003E-4</v>
      </c>
      <c r="S312" s="771">
        <f t="shared" si="80"/>
        <v>2.1083044580000001E-4</v>
      </c>
      <c r="T312" s="525">
        <f>+DATA!K308</f>
        <v>0</v>
      </c>
      <c r="U312" s="525">
        <f>+DATA!L308</f>
        <v>0</v>
      </c>
      <c r="V312" s="525">
        <f>+DATA!M308</f>
        <v>1396884</v>
      </c>
      <c r="W312" s="526">
        <f t="shared" si="81"/>
        <v>1396884</v>
      </c>
      <c r="X312" s="526">
        <f t="shared" si="87"/>
        <v>1396884</v>
      </c>
      <c r="Y312" s="526">
        <f t="shared" si="88"/>
        <v>1396884</v>
      </c>
      <c r="Z312" s="525">
        <f>+DATA!F308</f>
        <v>184289.98507442951</v>
      </c>
      <c r="AA312" s="525">
        <f>IF(P312="SI",ROUND(Z312/DIV_Pf,PARAMETROS!$L$8),0)</f>
        <v>0</v>
      </c>
      <c r="AB312" s="526">
        <f t="shared" si="89"/>
        <v>12544</v>
      </c>
      <c r="AC312" s="775">
        <f t="shared" si="90"/>
        <v>111.36</v>
      </c>
      <c r="AD312" s="525">
        <f>IF(AC312&lt;$AC$6,ROUND(($AC$6-AC312)*AB312,PARAMETROS!$L$8),0)</f>
        <v>0</v>
      </c>
      <c r="AE312" s="771">
        <f t="shared" si="82"/>
        <v>0</v>
      </c>
      <c r="AF312" s="771">
        <f t="shared" si="83"/>
        <v>0</v>
      </c>
      <c r="AG312" s="771">
        <f t="shared" si="91"/>
        <v>1.0687676505E-3</v>
      </c>
      <c r="AH312" s="525">
        <f>+DATA!Q308</f>
        <v>2133769.6830000002</v>
      </c>
      <c r="AI312" s="525">
        <f>+DATA!R308</f>
        <v>177814.14025000003</v>
      </c>
      <c r="AJ312" s="525">
        <f>+DATA!S308</f>
        <v>140473</v>
      </c>
      <c r="AK312" s="525">
        <f>+'_DATA STT PAGOS_'!G310</f>
        <v>0</v>
      </c>
      <c r="AL312" s="525">
        <f>+'_DATA STT PAGOS_'!J310</f>
        <v>2898110.3360000001</v>
      </c>
      <c r="AM312" s="525">
        <f>+DATA!Y308</f>
        <v>77704</v>
      </c>
      <c r="AN312" s="525">
        <f>+DATA!Z308</f>
        <v>39349</v>
      </c>
      <c r="AO312" s="525">
        <f>+DATA!AA308</f>
        <v>36416</v>
      </c>
      <c r="AP312" s="525">
        <f>+DATA!AB308</f>
        <v>38795</v>
      </c>
      <c r="AQ312" s="525">
        <f>+DATA!AC308</f>
        <v>192264</v>
      </c>
      <c r="AR312" s="525">
        <f>+DATA!AD308</f>
        <v>0</v>
      </c>
      <c r="AS312" s="525">
        <f>+DATA!AE308</f>
        <v>0</v>
      </c>
      <c r="AT312" s="525">
        <f>+DATA!AF308</f>
        <v>0</v>
      </c>
      <c r="AU312" s="525">
        <f>+DATA!AG308</f>
        <v>0</v>
      </c>
      <c r="AV312" s="525">
        <f>+DATA!AH308</f>
        <v>0</v>
      </c>
    </row>
    <row r="313" spans="1:48" x14ac:dyDescent="0.25">
      <c r="A313" s="527">
        <v>13601</v>
      </c>
      <c r="B313" s="527">
        <v>13501</v>
      </c>
      <c r="C313" s="527" t="s">
        <v>309</v>
      </c>
      <c r="D313" s="771">
        <f t="shared" si="74"/>
        <v>2.8901734103999998E-3</v>
      </c>
      <c r="E313" s="771">
        <f t="shared" si="75"/>
        <v>7.2254335259999995E-4</v>
      </c>
      <c r="F313" s="525">
        <f>+DATA!D309</f>
        <v>85514</v>
      </c>
      <c r="G313" s="772">
        <f>+DATA!E309</f>
        <v>6.2604729009269347E-2</v>
      </c>
      <c r="H313" s="525">
        <f t="shared" si="84"/>
        <v>5354</v>
      </c>
      <c r="I313" s="771">
        <f t="shared" si="76"/>
        <v>4.1001056807000004E-3</v>
      </c>
      <c r="J313" s="771">
        <f t="shared" si="77"/>
        <v>4.1001056810000003E-4</v>
      </c>
      <c r="K313" s="525">
        <f>+DATA!G309</f>
        <v>17510</v>
      </c>
      <c r="L313" s="525">
        <f>+DATA!H309</f>
        <v>25092</v>
      </c>
      <c r="M313" s="525">
        <f>+DATA!I309</f>
        <v>688056681274</v>
      </c>
      <c r="N313" s="525">
        <f>+DATA!J309</f>
        <v>1838629479587</v>
      </c>
      <c r="O313" s="773">
        <f t="shared" si="85"/>
        <v>0.51102298241407274</v>
      </c>
      <c r="P313" s="774" t="str">
        <f t="shared" si="86"/>
        <v>SI</v>
      </c>
      <c r="Q313" s="771">
        <f t="shared" si="78"/>
        <v>2.2378969036999999E-3</v>
      </c>
      <c r="R313" s="771">
        <f t="shared" si="79"/>
        <v>3.2084599613E-3</v>
      </c>
      <c r="S313" s="771">
        <f t="shared" si="80"/>
        <v>9.6253798840000005E-4</v>
      </c>
      <c r="T313" s="525">
        <f>+DATA!K309</f>
        <v>0</v>
      </c>
      <c r="U313" s="525">
        <f>+DATA!L309</f>
        <v>0</v>
      </c>
      <c r="V313" s="525">
        <f>+DATA!M309</f>
        <v>7350692</v>
      </c>
      <c r="W313" s="526">
        <f t="shared" si="81"/>
        <v>7350692</v>
      </c>
      <c r="X313" s="526">
        <f t="shared" si="87"/>
        <v>7350692</v>
      </c>
      <c r="Y313" s="526">
        <f t="shared" si="88"/>
        <v>7350692</v>
      </c>
      <c r="Z313" s="525">
        <f>+DATA!F309</f>
        <v>157429.32074021417</v>
      </c>
      <c r="AA313" s="525">
        <f>IF(P313="SI",ROUND(Z313/DIV_Pf,PARAMETROS!$L$8),0)</f>
        <v>13119</v>
      </c>
      <c r="AB313" s="526">
        <f t="shared" si="89"/>
        <v>98633</v>
      </c>
      <c r="AC313" s="775">
        <f t="shared" si="90"/>
        <v>74.53</v>
      </c>
      <c r="AD313" s="525">
        <f>IF(AC313&lt;$AC$6,ROUND(($AC$6-AC313)*AB313,PARAMETROS!$L$8),0)</f>
        <v>2958004</v>
      </c>
      <c r="AE313" s="771">
        <f t="shared" si="82"/>
        <v>2.8391513497000001E-3</v>
      </c>
      <c r="AF313" s="771">
        <f t="shared" si="83"/>
        <v>9.937029724000001E-4</v>
      </c>
      <c r="AG313" s="771">
        <f t="shared" si="91"/>
        <v>3.0887948815000003E-3</v>
      </c>
      <c r="AH313" s="525">
        <f>+DATA!Q309</f>
        <v>6429903.1509999996</v>
      </c>
      <c r="AI313" s="525">
        <f>+DATA!R309</f>
        <v>535825.2625833333</v>
      </c>
      <c r="AJ313" s="525">
        <f>+DATA!S309</f>
        <v>423302</v>
      </c>
      <c r="AK313" s="525">
        <f>+'_DATA STT PAGOS_'!G311</f>
        <v>0</v>
      </c>
      <c r="AL313" s="525">
        <f>+'_DATA STT PAGOS_'!J311</f>
        <v>8725526.2239999995</v>
      </c>
      <c r="AM313" s="525">
        <f>+DATA!Y309</f>
        <v>448695</v>
      </c>
      <c r="AN313" s="525">
        <f>+DATA!Z309</f>
        <v>314275</v>
      </c>
      <c r="AO313" s="525">
        <f>+DATA!AA309</f>
        <v>337690</v>
      </c>
      <c r="AP313" s="525">
        <f>+DATA!AB309</f>
        <v>298988</v>
      </c>
      <c r="AQ313" s="525">
        <f>+DATA!AC309</f>
        <v>1399648</v>
      </c>
      <c r="AR313" s="525">
        <f>+DATA!AD309</f>
        <v>11127</v>
      </c>
      <c r="AS313" s="525">
        <f>+DATA!AE309</f>
        <v>4791</v>
      </c>
      <c r="AT313" s="525">
        <f>+DATA!AF309</f>
        <v>18978.929</v>
      </c>
      <c r="AU313" s="525">
        <f>+DATA!AG309</f>
        <v>14749</v>
      </c>
      <c r="AV313" s="525">
        <f>+DATA!AH309</f>
        <v>49645.929000000004</v>
      </c>
    </row>
    <row r="314" spans="1:48" x14ac:dyDescent="0.25">
      <c r="A314" s="527">
        <v>13602</v>
      </c>
      <c r="B314" s="527">
        <v>13503</v>
      </c>
      <c r="C314" s="527" t="s">
        <v>311</v>
      </c>
      <c r="D314" s="771">
        <f t="shared" si="74"/>
        <v>2.8901734103999998E-3</v>
      </c>
      <c r="E314" s="771">
        <f t="shared" si="75"/>
        <v>7.2254335259999995E-4</v>
      </c>
      <c r="F314" s="525">
        <f>+DATA!D310</f>
        <v>42233</v>
      </c>
      <c r="G314" s="772">
        <f>+DATA!E310</f>
        <v>7.0765050820536579E-2</v>
      </c>
      <c r="H314" s="525">
        <f t="shared" si="84"/>
        <v>2989</v>
      </c>
      <c r="I314" s="771">
        <f t="shared" si="76"/>
        <v>2.2889831676999998E-3</v>
      </c>
      <c r="J314" s="771">
        <f t="shared" si="77"/>
        <v>2.288983168E-4</v>
      </c>
      <c r="K314" s="525">
        <f>+DATA!G310</f>
        <v>9592</v>
      </c>
      <c r="L314" s="525">
        <f>+DATA!H310</f>
        <v>11714</v>
      </c>
      <c r="M314" s="525">
        <f>+DATA!I310</f>
        <v>236794080509</v>
      </c>
      <c r="N314" s="525">
        <f>+DATA!J310</f>
        <v>570760192855</v>
      </c>
      <c r="O314" s="773">
        <f t="shared" si="85"/>
        <v>0.58285504231055152</v>
      </c>
      <c r="P314" s="774" t="str">
        <f t="shared" si="86"/>
        <v>SI</v>
      </c>
      <c r="Q314" s="771">
        <f t="shared" si="78"/>
        <v>1.4385209216000001E-3</v>
      </c>
      <c r="R314" s="771">
        <f t="shared" si="79"/>
        <v>2.0623991985000002E-3</v>
      </c>
      <c r="S314" s="771">
        <f t="shared" si="80"/>
        <v>6.1871975959999998E-4</v>
      </c>
      <c r="T314" s="525">
        <f>+DATA!K310</f>
        <v>0</v>
      </c>
      <c r="U314" s="525">
        <f>+DATA!L310</f>
        <v>0</v>
      </c>
      <c r="V314" s="525">
        <f>+DATA!M310</f>
        <v>3520317</v>
      </c>
      <c r="W314" s="526">
        <f t="shared" si="81"/>
        <v>3520317</v>
      </c>
      <c r="X314" s="526">
        <f t="shared" si="87"/>
        <v>3520317</v>
      </c>
      <c r="Y314" s="526">
        <f t="shared" si="88"/>
        <v>3520317</v>
      </c>
      <c r="Z314" s="525">
        <f>+DATA!F310</f>
        <v>221590.71845549112</v>
      </c>
      <c r="AA314" s="525">
        <f>IF(P314="SI",ROUND(Z314/DIV_Pf,PARAMETROS!$L$8),0)</f>
        <v>18466</v>
      </c>
      <c r="AB314" s="526">
        <f t="shared" si="89"/>
        <v>60699</v>
      </c>
      <c r="AC314" s="775">
        <f t="shared" si="90"/>
        <v>58</v>
      </c>
      <c r="AD314" s="525">
        <f>IF(AC314&lt;$AC$6,ROUND(($AC$6-AC314)*AB314,PARAMETROS!$L$8),0)</f>
        <v>2823717</v>
      </c>
      <c r="AE314" s="771">
        <f t="shared" si="82"/>
        <v>2.7102600036E-3</v>
      </c>
      <c r="AF314" s="771">
        <f t="shared" si="83"/>
        <v>9.4859100129999997E-4</v>
      </c>
      <c r="AG314" s="771">
        <f t="shared" si="91"/>
        <v>2.5187524303E-3</v>
      </c>
      <c r="AH314" s="525">
        <f>+DATA!Q310</f>
        <v>4045497.8530000001</v>
      </c>
      <c r="AI314" s="525">
        <f>+DATA!R310</f>
        <v>337124.82108333334</v>
      </c>
      <c r="AJ314" s="525">
        <f>+DATA!S310</f>
        <v>266329</v>
      </c>
      <c r="AK314" s="525">
        <f>+'_DATA STT PAGOS_'!G312</f>
        <v>0</v>
      </c>
      <c r="AL314" s="525">
        <f>+'_DATA STT PAGOS_'!J312</f>
        <v>5488637.4939999999</v>
      </c>
      <c r="AM314" s="525">
        <f>+DATA!Y310</f>
        <v>88545</v>
      </c>
      <c r="AN314" s="525">
        <f>+DATA!Z310</f>
        <v>55981</v>
      </c>
      <c r="AO314" s="525">
        <f>+DATA!AA310</f>
        <v>71822</v>
      </c>
      <c r="AP314" s="525">
        <f>+DATA!AB310</f>
        <v>61893</v>
      </c>
      <c r="AQ314" s="525">
        <f>+DATA!AC310</f>
        <v>278241</v>
      </c>
      <c r="AR314" s="525">
        <f>+DATA!AD310</f>
        <v>4556</v>
      </c>
      <c r="AS314" s="525">
        <f>+DATA!AE310</f>
        <v>2814</v>
      </c>
      <c r="AT314" s="525">
        <f>+DATA!AF310</f>
        <v>3825.3510000000001</v>
      </c>
      <c r="AU314" s="525">
        <f>+DATA!AG310</f>
        <v>3002</v>
      </c>
      <c r="AV314" s="525">
        <f>+DATA!AH310</f>
        <v>14197.351000000001</v>
      </c>
    </row>
    <row r="315" spans="1:48" x14ac:dyDescent="0.25">
      <c r="A315" s="527">
        <v>13603</v>
      </c>
      <c r="B315" s="527">
        <v>13502</v>
      </c>
      <c r="C315" s="527" t="s">
        <v>310</v>
      </c>
      <c r="D315" s="771">
        <f t="shared" si="74"/>
        <v>2.8901734103999998E-3</v>
      </c>
      <c r="E315" s="771">
        <f t="shared" si="75"/>
        <v>7.2254335259999995E-4</v>
      </c>
      <c r="F315" s="525">
        <f>+DATA!D311</f>
        <v>42393</v>
      </c>
      <c r="G315" s="772">
        <f>+DATA!E311</f>
        <v>6.4214867116071647E-2</v>
      </c>
      <c r="H315" s="525">
        <f t="shared" si="84"/>
        <v>2722</v>
      </c>
      <c r="I315" s="771">
        <f t="shared" si="76"/>
        <v>2.0845139452999998E-3</v>
      </c>
      <c r="J315" s="771">
        <f t="shared" si="77"/>
        <v>2.0845139450000001E-4</v>
      </c>
      <c r="K315" s="525">
        <f>+DATA!G311</f>
        <v>8499</v>
      </c>
      <c r="L315" s="525">
        <f>+DATA!H311</f>
        <v>12610</v>
      </c>
      <c r="M315" s="525">
        <f>+DATA!I311</f>
        <v>283669032822</v>
      </c>
      <c r="N315" s="525">
        <f>+DATA!J311</f>
        <v>1028527457611</v>
      </c>
      <c r="O315" s="773">
        <f t="shared" si="85"/>
        <v>0.43114602878417763</v>
      </c>
      <c r="P315" s="774" t="str">
        <f t="shared" si="86"/>
        <v>NO</v>
      </c>
      <c r="Q315" s="771">
        <f t="shared" si="78"/>
        <v>1.0491162983999999E-3</v>
      </c>
      <c r="R315" s="771">
        <f t="shared" si="79"/>
        <v>1.5041120225999999E-3</v>
      </c>
      <c r="S315" s="771">
        <f t="shared" si="80"/>
        <v>4.512336068E-4</v>
      </c>
      <c r="T315" s="525">
        <f>+DATA!K311</f>
        <v>0</v>
      </c>
      <c r="U315" s="525">
        <f>+DATA!L311</f>
        <v>0</v>
      </c>
      <c r="V315" s="525">
        <f>+DATA!M311</f>
        <v>4603424</v>
      </c>
      <c r="W315" s="526">
        <f t="shared" si="81"/>
        <v>4603424</v>
      </c>
      <c r="X315" s="526">
        <f t="shared" si="87"/>
        <v>4603424</v>
      </c>
      <c r="Y315" s="526">
        <f t="shared" si="88"/>
        <v>4603424</v>
      </c>
      <c r="Z315" s="525">
        <f>+DATA!F311</f>
        <v>224302.20127181936</v>
      </c>
      <c r="AA315" s="525">
        <f>IF(P315="SI",ROUND(Z315/DIV_Pf,PARAMETROS!$L$8),0)</f>
        <v>0</v>
      </c>
      <c r="AB315" s="526">
        <f t="shared" si="89"/>
        <v>42393</v>
      </c>
      <c r="AC315" s="775">
        <f t="shared" si="90"/>
        <v>108.59</v>
      </c>
      <c r="AD315" s="525">
        <f>IF(AC315&lt;$AC$6,ROUND(($AC$6-AC315)*AB315,PARAMETROS!$L$8),0)</f>
        <v>0</v>
      </c>
      <c r="AE315" s="771">
        <f t="shared" si="82"/>
        <v>0</v>
      </c>
      <c r="AF315" s="771">
        <f t="shared" si="83"/>
        <v>0</v>
      </c>
      <c r="AG315" s="771">
        <f t="shared" si="91"/>
        <v>1.3822283539000001E-3</v>
      </c>
      <c r="AH315" s="525">
        <f>+DATA!Q311</f>
        <v>3099049.15</v>
      </c>
      <c r="AI315" s="525">
        <f>+DATA!R311</f>
        <v>258254.09583333333</v>
      </c>
      <c r="AJ315" s="525">
        <f>+DATA!S311</f>
        <v>204021</v>
      </c>
      <c r="AK315" s="525">
        <f>+'_DATA STT PAGOS_'!G313</f>
        <v>0</v>
      </c>
      <c r="AL315" s="525">
        <f>+'_DATA STT PAGOS_'!J313</f>
        <v>4205480.8569999998</v>
      </c>
      <c r="AM315" s="525">
        <f>+DATA!Y311</f>
        <v>277648</v>
      </c>
      <c r="AN315" s="525">
        <f>+DATA!Z311</f>
        <v>179045</v>
      </c>
      <c r="AO315" s="525">
        <f>+DATA!AA311</f>
        <v>203162</v>
      </c>
      <c r="AP315" s="525">
        <f>+DATA!AB311</f>
        <v>178333</v>
      </c>
      <c r="AQ315" s="525">
        <f>+DATA!AC311</f>
        <v>838188</v>
      </c>
      <c r="AR315" s="525">
        <f>+DATA!AD311</f>
        <v>24575</v>
      </c>
      <c r="AS315" s="525">
        <f>+DATA!AE311</f>
        <v>14838</v>
      </c>
      <c r="AT315" s="525">
        <f>+DATA!AF311</f>
        <v>17795.664000000001</v>
      </c>
      <c r="AU315" s="525">
        <f>+DATA!AG311</f>
        <v>13399</v>
      </c>
      <c r="AV315" s="525">
        <f>+DATA!AH311</f>
        <v>70607.664000000004</v>
      </c>
    </row>
    <row r="316" spans="1:48" x14ac:dyDescent="0.25">
      <c r="A316" s="527">
        <v>13604</v>
      </c>
      <c r="B316" s="527">
        <v>13505</v>
      </c>
      <c r="C316" s="527" t="s">
        <v>313</v>
      </c>
      <c r="D316" s="771">
        <f t="shared" si="74"/>
        <v>2.8901734103999998E-3</v>
      </c>
      <c r="E316" s="771">
        <f t="shared" si="75"/>
        <v>7.2254335259999995E-4</v>
      </c>
      <c r="F316" s="525">
        <f>+DATA!D312</f>
        <v>81743</v>
      </c>
      <c r="G316" s="772">
        <f>+DATA!E312</f>
        <v>3.6555849221063051E-2</v>
      </c>
      <c r="H316" s="525">
        <f t="shared" si="84"/>
        <v>2988</v>
      </c>
      <c r="I316" s="771">
        <f t="shared" si="76"/>
        <v>2.2882173652999998E-3</v>
      </c>
      <c r="J316" s="771">
        <f t="shared" si="77"/>
        <v>2.2882173649999999E-4</v>
      </c>
      <c r="K316" s="525">
        <f>+DATA!G312</f>
        <v>17803</v>
      </c>
      <c r="L316" s="525">
        <f>+DATA!H312</f>
        <v>26941</v>
      </c>
      <c r="M316" s="525">
        <f>+DATA!I312</f>
        <v>733451468676</v>
      </c>
      <c r="N316" s="525">
        <f>+DATA!J312</f>
        <v>2125682804103</v>
      </c>
      <c r="O316" s="773">
        <f t="shared" si="85"/>
        <v>0.47750310680563418</v>
      </c>
      <c r="P316" s="774" t="str">
        <f t="shared" si="86"/>
        <v>SI</v>
      </c>
      <c r="Q316" s="771">
        <f t="shared" si="78"/>
        <v>2.1546450397E-3</v>
      </c>
      <c r="R316" s="771">
        <f t="shared" si="79"/>
        <v>3.0891022411999999E-3</v>
      </c>
      <c r="S316" s="771">
        <f t="shared" si="80"/>
        <v>9.267306724E-4</v>
      </c>
      <c r="T316" s="525">
        <f>+DATA!K312</f>
        <v>0</v>
      </c>
      <c r="U316" s="525">
        <f>+DATA!L312</f>
        <v>0</v>
      </c>
      <c r="V316" s="525">
        <f>+DATA!M312</f>
        <v>9604438</v>
      </c>
      <c r="W316" s="526">
        <f t="shared" si="81"/>
        <v>9604438</v>
      </c>
      <c r="X316" s="526">
        <f t="shared" si="87"/>
        <v>9604438</v>
      </c>
      <c r="Y316" s="526">
        <f t="shared" si="88"/>
        <v>9604438</v>
      </c>
      <c r="Z316" s="525">
        <f>+DATA!F312</f>
        <v>140852.79034972671</v>
      </c>
      <c r="AA316" s="525">
        <f>IF(P316="SI",ROUND(Z316/DIV_Pf,PARAMETROS!$L$8),0)</f>
        <v>11738</v>
      </c>
      <c r="AB316" s="526">
        <f t="shared" si="89"/>
        <v>93481</v>
      </c>
      <c r="AC316" s="775">
        <f t="shared" si="90"/>
        <v>102.74</v>
      </c>
      <c r="AD316" s="525">
        <f>IF(AC316&lt;$AC$6,ROUND(($AC$6-AC316)*AB316,PARAMETROS!$L$8),0)</f>
        <v>166396</v>
      </c>
      <c r="AE316" s="771">
        <f t="shared" si="82"/>
        <v>1.5971020590000001E-4</v>
      </c>
      <c r="AF316" s="771">
        <f t="shared" si="83"/>
        <v>5.5898572100000002E-5</v>
      </c>
      <c r="AG316" s="771">
        <f t="shared" si="91"/>
        <v>1.9339943335999999E-3</v>
      </c>
      <c r="AH316" s="525">
        <f>+DATA!Q312</f>
        <v>5466779.5789999999</v>
      </c>
      <c r="AI316" s="525">
        <f>+DATA!R312</f>
        <v>455564.96491666668</v>
      </c>
      <c r="AJ316" s="525">
        <f>+DATA!S312</f>
        <v>359896</v>
      </c>
      <c r="AK316" s="525">
        <f>+'_DATA STT PAGOS_'!G314</f>
        <v>0</v>
      </c>
      <c r="AL316" s="525">
        <f>+'_DATA STT PAGOS_'!J314</f>
        <v>7418545.4189999998</v>
      </c>
      <c r="AM316" s="525">
        <f>+DATA!Y312</f>
        <v>604100</v>
      </c>
      <c r="AN316" s="525">
        <f>+DATA!Z312</f>
        <v>422236</v>
      </c>
      <c r="AO316" s="525">
        <f>+DATA!AA312</f>
        <v>458446</v>
      </c>
      <c r="AP316" s="525">
        <f>+DATA!AB312</f>
        <v>311149</v>
      </c>
      <c r="AQ316" s="525">
        <f>+DATA!AC312</f>
        <v>1795931</v>
      </c>
      <c r="AR316" s="525">
        <f>+DATA!AD312</f>
        <v>55515</v>
      </c>
      <c r="AS316" s="525">
        <f>+DATA!AE312</f>
        <v>27090</v>
      </c>
      <c r="AT316" s="525">
        <f>+DATA!AF312</f>
        <v>33167.607000000004</v>
      </c>
      <c r="AU316" s="525">
        <f>+DATA!AG312</f>
        <v>27866</v>
      </c>
      <c r="AV316" s="525">
        <f>+DATA!AH312</f>
        <v>143638.60700000002</v>
      </c>
    </row>
    <row r="317" spans="1:48" x14ac:dyDescent="0.25">
      <c r="A317" s="527">
        <v>13605</v>
      </c>
      <c r="B317" s="527">
        <v>13504</v>
      </c>
      <c r="C317" s="527" t="s">
        <v>312</v>
      </c>
      <c r="D317" s="771">
        <f t="shared" si="74"/>
        <v>2.8901734103999998E-3</v>
      </c>
      <c r="E317" s="771">
        <f t="shared" si="75"/>
        <v>7.2254335259999995E-4</v>
      </c>
      <c r="F317" s="525">
        <f>+DATA!D313</f>
        <v>106840</v>
      </c>
      <c r="G317" s="772">
        <f>+DATA!E313</f>
        <v>7.328609476344701E-2</v>
      </c>
      <c r="H317" s="525">
        <f t="shared" si="84"/>
        <v>7830</v>
      </c>
      <c r="I317" s="771">
        <f t="shared" si="76"/>
        <v>5.9962322524999999E-3</v>
      </c>
      <c r="J317" s="771">
        <f t="shared" si="77"/>
        <v>5.9962322529999999E-4</v>
      </c>
      <c r="K317" s="525">
        <f>+DATA!G313</f>
        <v>21754</v>
      </c>
      <c r="L317" s="525">
        <f>+DATA!H313</f>
        <v>30135</v>
      </c>
      <c r="M317" s="525">
        <f>+DATA!I313</f>
        <v>783504091311</v>
      </c>
      <c r="N317" s="525">
        <f>+DATA!J313</f>
        <v>1937391258770</v>
      </c>
      <c r="O317" s="773">
        <f t="shared" si="85"/>
        <v>0.54031363909359853</v>
      </c>
      <c r="P317" s="774" t="str">
        <f t="shared" si="86"/>
        <v>SI</v>
      </c>
      <c r="Q317" s="771">
        <f t="shared" si="78"/>
        <v>2.8761406132E-3</v>
      </c>
      <c r="R317" s="771">
        <f t="shared" si="79"/>
        <v>4.1235063087000003E-3</v>
      </c>
      <c r="S317" s="771">
        <f t="shared" si="80"/>
        <v>1.2370518926000001E-3</v>
      </c>
      <c r="T317" s="525">
        <f>+DATA!K313</f>
        <v>0</v>
      </c>
      <c r="U317" s="525">
        <f>+DATA!L313</f>
        <v>0</v>
      </c>
      <c r="V317" s="525">
        <f>+DATA!M313</f>
        <v>7820854</v>
      </c>
      <c r="W317" s="526">
        <f t="shared" si="81"/>
        <v>7820854</v>
      </c>
      <c r="X317" s="526">
        <f t="shared" si="87"/>
        <v>7820854</v>
      </c>
      <c r="Y317" s="526">
        <f t="shared" si="88"/>
        <v>7820854</v>
      </c>
      <c r="Z317" s="525">
        <f>+DATA!F313</f>
        <v>135154.27005470483</v>
      </c>
      <c r="AA317" s="525">
        <f>IF(P317="SI",ROUND(Z317/DIV_Pf,PARAMETROS!$L$8),0)</f>
        <v>11263</v>
      </c>
      <c r="AB317" s="526">
        <f t="shared" si="89"/>
        <v>118103</v>
      </c>
      <c r="AC317" s="775">
        <f t="shared" si="90"/>
        <v>66.22</v>
      </c>
      <c r="AD317" s="525">
        <f>IF(AC317&lt;$AC$6,ROUND(($AC$6-AC317)*AB317,PARAMETROS!$L$8),0)</f>
        <v>4523345</v>
      </c>
      <c r="AE317" s="771">
        <f t="shared" si="82"/>
        <v>4.3415969220000003E-3</v>
      </c>
      <c r="AF317" s="771">
        <f t="shared" si="83"/>
        <v>1.5195589227E-3</v>
      </c>
      <c r="AG317" s="771">
        <f t="shared" si="91"/>
        <v>4.0787773932000008E-3</v>
      </c>
      <c r="AH317" s="525">
        <f>+DATA!Q313</f>
        <v>8337973.9610000001</v>
      </c>
      <c r="AI317" s="525">
        <f>+DATA!R313</f>
        <v>694831.16341666668</v>
      </c>
      <c r="AJ317" s="525">
        <f>+DATA!S313</f>
        <v>548917</v>
      </c>
      <c r="AK317" s="525">
        <f>+'_DATA STT PAGOS_'!G315</f>
        <v>0</v>
      </c>
      <c r="AL317" s="525">
        <f>+'_DATA STT PAGOS_'!J315</f>
        <v>11314822.132999999</v>
      </c>
      <c r="AM317" s="525">
        <f>+DATA!Y313</f>
        <v>462643</v>
      </c>
      <c r="AN317" s="525">
        <f>+DATA!Z313</f>
        <v>326725</v>
      </c>
      <c r="AO317" s="525">
        <f>+DATA!AA313</f>
        <v>335353</v>
      </c>
      <c r="AP317" s="525">
        <f>+DATA!AB313</f>
        <v>300234</v>
      </c>
      <c r="AQ317" s="525">
        <f>+DATA!AC313</f>
        <v>1424955</v>
      </c>
      <c r="AR317" s="525">
        <f>+DATA!AD313</f>
        <v>48449</v>
      </c>
      <c r="AS317" s="525">
        <f>+DATA!AE313</f>
        <v>23113</v>
      </c>
      <c r="AT317" s="525">
        <f>+DATA!AF313</f>
        <v>30086.47</v>
      </c>
      <c r="AU317" s="525">
        <f>+DATA!AG313</f>
        <v>21004</v>
      </c>
      <c r="AV317" s="525">
        <f>+DATA!AH313</f>
        <v>122652.47</v>
      </c>
    </row>
    <row r="318" spans="1:48" x14ac:dyDescent="0.25">
      <c r="A318" s="527">
        <v>14101</v>
      </c>
      <c r="B318" s="527">
        <v>10101</v>
      </c>
      <c r="C318" s="527" t="s">
        <v>232</v>
      </c>
      <c r="D318" s="771">
        <f t="shared" si="74"/>
        <v>2.8901734103999998E-3</v>
      </c>
      <c r="E318" s="771">
        <f t="shared" si="75"/>
        <v>7.2254335259999995E-4</v>
      </c>
      <c r="F318" s="525">
        <f>+DATA!D314</f>
        <v>182086</v>
      </c>
      <c r="G318" s="772">
        <f>+DATA!E314</f>
        <v>3.4271533403377977E-2</v>
      </c>
      <c r="H318" s="525">
        <f t="shared" si="84"/>
        <v>6240</v>
      </c>
      <c r="I318" s="771">
        <f t="shared" si="76"/>
        <v>4.7786065460999998E-3</v>
      </c>
      <c r="J318" s="771">
        <f t="shared" si="77"/>
        <v>4.778606546E-4</v>
      </c>
      <c r="K318" s="525">
        <f>+DATA!G314</f>
        <v>41189</v>
      </c>
      <c r="L318" s="525">
        <f>+DATA!H314</f>
        <v>66577</v>
      </c>
      <c r="M318" s="525">
        <f>+DATA!I314</f>
        <v>1823947976992</v>
      </c>
      <c r="N318" s="525">
        <f>+DATA!J314</f>
        <v>4407893750988</v>
      </c>
      <c r="O318" s="773">
        <f t="shared" si="85"/>
        <v>0.50596348816178138</v>
      </c>
      <c r="P318" s="774" t="str">
        <f t="shared" si="86"/>
        <v>SI</v>
      </c>
      <c r="Q318" s="771">
        <f t="shared" si="78"/>
        <v>4.6670379965000003E-3</v>
      </c>
      <c r="R318" s="771">
        <f t="shared" si="79"/>
        <v>6.6911056201000001E-3</v>
      </c>
      <c r="S318" s="771">
        <f t="shared" si="80"/>
        <v>2.0073316860000001E-3</v>
      </c>
      <c r="T318" s="525">
        <f>+DATA!K314</f>
        <v>0</v>
      </c>
      <c r="U318" s="525">
        <f>+DATA!L314</f>
        <v>0</v>
      </c>
      <c r="V318" s="525">
        <f>+DATA!M314</f>
        <v>20507538</v>
      </c>
      <c r="W318" s="526">
        <f t="shared" si="81"/>
        <v>20507538</v>
      </c>
      <c r="X318" s="526">
        <f t="shared" si="87"/>
        <v>20507538</v>
      </c>
      <c r="Y318" s="526">
        <f t="shared" si="88"/>
        <v>20507538</v>
      </c>
      <c r="Z318" s="525">
        <f>+DATA!F314</f>
        <v>2274755.0761848907</v>
      </c>
      <c r="AA318" s="525">
        <f>IF(P318="SI",ROUND(Z318/DIV_Pf,PARAMETROS!$L$8),0)</f>
        <v>189563</v>
      </c>
      <c r="AB318" s="526">
        <f t="shared" si="89"/>
        <v>371649</v>
      </c>
      <c r="AC318" s="775">
        <f t="shared" si="90"/>
        <v>55.18</v>
      </c>
      <c r="AD318" s="525">
        <f>IF(AC318&lt;$AC$6,ROUND(($AC$6-AC318)*AB318,PARAMETROS!$L$8),0)</f>
        <v>18337162</v>
      </c>
      <c r="AE318" s="771">
        <f t="shared" si="82"/>
        <v>1.7600374523299999E-2</v>
      </c>
      <c r="AF318" s="771">
        <f t="shared" si="83"/>
        <v>6.1601310832E-3</v>
      </c>
      <c r="AG318" s="771">
        <f t="shared" si="91"/>
        <v>9.3678667763999988E-3</v>
      </c>
      <c r="AH318" s="525">
        <f>+DATA!Q314</f>
        <v>21710072.956999999</v>
      </c>
      <c r="AI318" s="525">
        <f>+DATA!R314</f>
        <v>1809172.7464166665</v>
      </c>
      <c r="AJ318" s="525">
        <f>+DATA!S314</f>
        <v>1429246</v>
      </c>
      <c r="AK318" s="525">
        <f>+'_DATA STT PAGOS_'!G316</f>
        <v>0</v>
      </c>
      <c r="AL318" s="525">
        <f>+'_DATA STT PAGOS_'!J316</f>
        <v>29461067.520999998</v>
      </c>
      <c r="AM318" s="525">
        <f>+DATA!Y314</f>
        <v>1153707</v>
      </c>
      <c r="AN318" s="525">
        <f>+DATA!Z314</f>
        <v>734048</v>
      </c>
      <c r="AO318" s="525">
        <f>+DATA!AA314</f>
        <v>928979</v>
      </c>
      <c r="AP318" s="525">
        <f>+DATA!AB314</f>
        <v>686656</v>
      </c>
      <c r="AQ318" s="525">
        <f>+DATA!AC314</f>
        <v>3503390</v>
      </c>
      <c r="AR318" s="525">
        <f>+DATA!AD314</f>
        <v>99782</v>
      </c>
      <c r="AS318" s="525">
        <f>+DATA!AE314</f>
        <v>42400</v>
      </c>
      <c r="AT318" s="525">
        <f>+DATA!AF314</f>
        <v>62353.178</v>
      </c>
      <c r="AU318" s="525">
        <f>+DATA!AG314</f>
        <v>40326</v>
      </c>
      <c r="AV318" s="525">
        <f>+DATA!AH314</f>
        <v>244861.17800000001</v>
      </c>
    </row>
    <row r="319" spans="1:48" x14ac:dyDescent="0.25">
      <c r="A319" s="527">
        <v>14102</v>
      </c>
      <c r="B319" s="527">
        <v>10106</v>
      </c>
      <c r="C319" s="527" t="s">
        <v>236</v>
      </c>
      <c r="D319" s="771">
        <f t="shared" si="74"/>
        <v>2.8901734103999998E-3</v>
      </c>
      <c r="E319" s="771">
        <f t="shared" si="75"/>
        <v>7.2254335259999995E-4</v>
      </c>
      <c r="F319" s="525">
        <f>+DATA!D315</f>
        <v>5424</v>
      </c>
      <c r="G319" s="772">
        <f>+DATA!E315</f>
        <v>7.5900025712041921E-2</v>
      </c>
      <c r="H319" s="525">
        <f t="shared" si="84"/>
        <v>412</v>
      </c>
      <c r="I319" s="771">
        <f t="shared" si="76"/>
        <v>3.1551056040000003E-4</v>
      </c>
      <c r="J319" s="771">
        <f t="shared" si="77"/>
        <v>3.1551056000000003E-5</v>
      </c>
      <c r="K319" s="525">
        <f>+DATA!G315</f>
        <v>2448</v>
      </c>
      <c r="L319" s="525">
        <f>+DATA!H315</f>
        <v>3447</v>
      </c>
      <c r="M319" s="525">
        <f>+DATA!I315</f>
        <v>70474923306</v>
      </c>
      <c r="N319" s="525">
        <f>+DATA!J315</f>
        <v>139330027214</v>
      </c>
      <c r="O319" s="773">
        <f t="shared" si="85"/>
        <v>0.5993493104730917</v>
      </c>
      <c r="P319" s="774" t="str">
        <f t="shared" si="86"/>
        <v>SI</v>
      </c>
      <c r="Q319" s="771">
        <f t="shared" si="78"/>
        <v>3.1840846540000001E-4</v>
      </c>
      <c r="R319" s="771">
        <f t="shared" si="79"/>
        <v>4.5650039149999999E-4</v>
      </c>
      <c r="S319" s="771">
        <f t="shared" si="80"/>
        <v>1.3695011750000001E-4</v>
      </c>
      <c r="T319" s="525">
        <f>+DATA!K315</f>
        <v>0</v>
      </c>
      <c r="U319" s="525">
        <f>+DATA!L315</f>
        <v>0</v>
      </c>
      <c r="V319" s="525">
        <f>+DATA!M315</f>
        <v>402706</v>
      </c>
      <c r="W319" s="526">
        <f t="shared" si="81"/>
        <v>402706</v>
      </c>
      <c r="X319" s="526">
        <f t="shared" si="87"/>
        <v>402706</v>
      </c>
      <c r="Y319" s="526">
        <f t="shared" si="88"/>
        <v>402706</v>
      </c>
      <c r="Z319" s="525">
        <f>+DATA!F315</f>
        <v>96215.380405101314</v>
      </c>
      <c r="AA319" s="525">
        <f>IF(P319="SI",ROUND(Z319/DIV_Pf,PARAMETROS!$L$8),0)</f>
        <v>8018</v>
      </c>
      <c r="AB319" s="526">
        <f t="shared" si="89"/>
        <v>13442</v>
      </c>
      <c r="AC319" s="775">
        <f t="shared" si="90"/>
        <v>29.96</v>
      </c>
      <c r="AD319" s="525">
        <f>IF(AC319&lt;$AC$6,ROUND(($AC$6-AC319)*AB319,PARAMETROS!$L$8),0)</f>
        <v>1002236</v>
      </c>
      <c r="AE319" s="771">
        <f t="shared" si="82"/>
        <v>9.6196614070000002E-4</v>
      </c>
      <c r="AF319" s="771">
        <f t="shared" si="83"/>
        <v>3.3668814919999998E-4</v>
      </c>
      <c r="AG319" s="771">
        <f t="shared" si="91"/>
        <v>1.2277326753E-3</v>
      </c>
      <c r="AH319" s="525">
        <f>+DATA!Q315</f>
        <v>2331233.6609999998</v>
      </c>
      <c r="AI319" s="525">
        <f>+DATA!R315</f>
        <v>194269.47175</v>
      </c>
      <c r="AJ319" s="525">
        <f>+DATA!S315</f>
        <v>153473</v>
      </c>
      <c r="AK319" s="525">
        <f>+'_DATA STT PAGOS_'!G317</f>
        <v>0</v>
      </c>
      <c r="AL319" s="525">
        <f>+'_DATA STT PAGOS_'!J317</f>
        <v>3162300.4749999996</v>
      </c>
      <c r="AM319" s="525">
        <f>+DATA!Y315</f>
        <v>13174</v>
      </c>
      <c r="AN319" s="525">
        <f>+DATA!Z315</f>
        <v>11672</v>
      </c>
      <c r="AO319" s="525">
        <f>+DATA!AA315</f>
        <v>14505</v>
      </c>
      <c r="AP319" s="525">
        <f>+DATA!AB315</f>
        <v>8479</v>
      </c>
      <c r="AQ319" s="525">
        <f>+DATA!AC315</f>
        <v>47830</v>
      </c>
      <c r="AR319" s="525">
        <f>+DATA!AD315</f>
        <v>176</v>
      </c>
      <c r="AS319" s="525">
        <f>+DATA!AE315</f>
        <v>96</v>
      </c>
      <c r="AT319" s="525">
        <f>+DATA!AF315</f>
        <v>207.43</v>
      </c>
      <c r="AU319" s="525">
        <f>+DATA!AG315</f>
        <v>77</v>
      </c>
      <c r="AV319" s="525">
        <f>+DATA!AH315</f>
        <v>556.43000000000006</v>
      </c>
    </row>
    <row r="320" spans="1:48" x14ac:dyDescent="0.25">
      <c r="A320" s="527">
        <v>14103</v>
      </c>
      <c r="B320" s="527">
        <v>10103</v>
      </c>
      <c r="C320" s="527" t="s">
        <v>233</v>
      </c>
      <c r="D320" s="771">
        <f t="shared" si="74"/>
        <v>2.8901734103999998E-3</v>
      </c>
      <c r="E320" s="771">
        <f t="shared" si="75"/>
        <v>7.2254335259999995E-4</v>
      </c>
      <c r="F320" s="525">
        <f>+DATA!D316</f>
        <v>18050</v>
      </c>
      <c r="G320" s="772">
        <f>+DATA!E316</f>
        <v>3.9367036023378779E-2</v>
      </c>
      <c r="H320" s="525">
        <f t="shared" si="84"/>
        <v>711</v>
      </c>
      <c r="I320" s="771">
        <f t="shared" si="76"/>
        <v>5.4448545739999997E-4</v>
      </c>
      <c r="J320" s="771">
        <f t="shared" si="77"/>
        <v>5.4448545700000003E-5</v>
      </c>
      <c r="K320" s="525">
        <f>+DATA!G316</f>
        <v>6519</v>
      </c>
      <c r="L320" s="525">
        <f>+DATA!H316</f>
        <v>7995</v>
      </c>
      <c r="M320" s="525">
        <f>+DATA!I316</f>
        <v>156114482324</v>
      </c>
      <c r="N320" s="525">
        <f>+DATA!J316</f>
        <v>308361107518</v>
      </c>
      <c r="O320" s="773">
        <f t="shared" si="85"/>
        <v>0.64249988563957894</v>
      </c>
      <c r="P320" s="774" t="str">
        <f t="shared" si="86"/>
        <v>SI</v>
      </c>
      <c r="Q320" s="771">
        <f t="shared" si="78"/>
        <v>9.7352376140000002E-4</v>
      </c>
      <c r="R320" s="771">
        <f t="shared" si="79"/>
        <v>1.3957354356999999E-3</v>
      </c>
      <c r="S320" s="771">
        <f t="shared" si="80"/>
        <v>4.1872063070000001E-4</v>
      </c>
      <c r="T320" s="525">
        <f>+DATA!K316</f>
        <v>0</v>
      </c>
      <c r="U320" s="525">
        <f>+DATA!L316</f>
        <v>0</v>
      </c>
      <c r="V320" s="525">
        <f>+DATA!M316</f>
        <v>1114278</v>
      </c>
      <c r="W320" s="526">
        <f t="shared" si="81"/>
        <v>1114278</v>
      </c>
      <c r="X320" s="526">
        <f t="shared" si="87"/>
        <v>1114278</v>
      </c>
      <c r="Y320" s="526">
        <f t="shared" si="88"/>
        <v>1114278</v>
      </c>
      <c r="Z320" s="525">
        <f>+DATA!F316</f>
        <v>298254.92773481348</v>
      </c>
      <c r="AA320" s="525">
        <f>IF(P320="SI",ROUND(Z320/DIV_Pf,PARAMETROS!$L$8),0)</f>
        <v>24855</v>
      </c>
      <c r="AB320" s="526">
        <f t="shared" si="89"/>
        <v>42905</v>
      </c>
      <c r="AC320" s="775">
        <f t="shared" si="90"/>
        <v>25.97</v>
      </c>
      <c r="AD320" s="525">
        <f>IF(AC320&lt;$AC$6,ROUND(($AC$6-AC320)*AB320,PARAMETROS!$L$8),0)</f>
        <v>3370188</v>
      </c>
      <c r="AE320" s="771">
        <f t="shared" si="82"/>
        <v>3.2347737896000002E-3</v>
      </c>
      <c r="AF320" s="771">
        <f t="shared" si="83"/>
        <v>1.1321708263999999E-3</v>
      </c>
      <c r="AG320" s="771">
        <f t="shared" si="91"/>
        <v>2.3278833553999996E-3</v>
      </c>
      <c r="AH320" s="525">
        <f>+DATA!Q316</f>
        <v>3790516.9190000002</v>
      </c>
      <c r="AI320" s="525">
        <f>+DATA!R316</f>
        <v>315876.40991666669</v>
      </c>
      <c r="AJ320" s="525">
        <f>+DATA!S316</f>
        <v>249542</v>
      </c>
      <c r="AK320" s="525">
        <f>+'_DATA STT PAGOS_'!G318</f>
        <v>0</v>
      </c>
      <c r="AL320" s="525">
        <f>+'_DATA STT PAGOS_'!J318</f>
        <v>5137411.716</v>
      </c>
      <c r="AM320" s="525">
        <f>+DATA!Y316</f>
        <v>44616</v>
      </c>
      <c r="AN320" s="525">
        <f>+DATA!Z316</f>
        <v>31392</v>
      </c>
      <c r="AO320" s="525">
        <f>+DATA!AA316</f>
        <v>39194</v>
      </c>
      <c r="AP320" s="525">
        <f>+DATA!AB316</f>
        <v>26694</v>
      </c>
      <c r="AQ320" s="525">
        <f>+DATA!AC316</f>
        <v>141896</v>
      </c>
      <c r="AR320" s="525">
        <f>+DATA!AD316</f>
        <v>596</v>
      </c>
      <c r="AS320" s="525">
        <f>+DATA!AE316</f>
        <v>472</v>
      </c>
      <c r="AT320" s="525">
        <f>+DATA!AF316</f>
        <v>403.78699999999998</v>
      </c>
      <c r="AU320" s="525">
        <f>+DATA!AG316</f>
        <v>194</v>
      </c>
      <c r="AV320" s="525">
        <f>+DATA!AH316</f>
        <v>1665.787</v>
      </c>
    </row>
    <row r="321" spans="1:48" x14ac:dyDescent="0.25">
      <c r="A321" s="527">
        <v>14104</v>
      </c>
      <c r="B321" s="527">
        <v>10104</v>
      </c>
      <c r="C321" s="527" t="s">
        <v>234</v>
      </c>
      <c r="D321" s="771">
        <f t="shared" si="74"/>
        <v>2.8901734103999998E-3</v>
      </c>
      <c r="E321" s="771">
        <f t="shared" si="75"/>
        <v>7.2254335259999995E-4</v>
      </c>
      <c r="F321" s="525">
        <f>+DATA!D317</f>
        <v>20520</v>
      </c>
      <c r="G321" s="772">
        <f>+DATA!E317</f>
        <v>6.734383166378613E-2</v>
      </c>
      <c r="H321" s="525">
        <f t="shared" si="84"/>
        <v>1382</v>
      </c>
      <c r="I321" s="771">
        <f t="shared" si="76"/>
        <v>1.0583388216000001E-3</v>
      </c>
      <c r="J321" s="771">
        <f t="shared" si="77"/>
        <v>1.058338822E-4</v>
      </c>
      <c r="K321" s="525">
        <f>+DATA!G317</f>
        <v>6289</v>
      </c>
      <c r="L321" s="525">
        <f>+DATA!H317</f>
        <v>9868</v>
      </c>
      <c r="M321" s="525">
        <f>+DATA!I317</f>
        <v>173140733410</v>
      </c>
      <c r="N321" s="525">
        <f>+DATA!J317</f>
        <v>586185740117</v>
      </c>
      <c r="O321" s="773">
        <f t="shared" si="85"/>
        <v>0.43386860824344053</v>
      </c>
      <c r="P321" s="774" t="str">
        <f t="shared" si="86"/>
        <v>NO</v>
      </c>
      <c r="Q321" s="771">
        <f t="shared" si="78"/>
        <v>7.3406938320000001E-4</v>
      </c>
      <c r="R321" s="771">
        <f t="shared" si="79"/>
        <v>1.0524310664E-3</v>
      </c>
      <c r="S321" s="771">
        <f t="shared" si="80"/>
        <v>3.1572931989999999E-4</v>
      </c>
      <c r="T321" s="525">
        <f>+DATA!K317</f>
        <v>0</v>
      </c>
      <c r="U321" s="525">
        <f>+DATA!L317</f>
        <v>0</v>
      </c>
      <c r="V321" s="525">
        <f>+DATA!M317</f>
        <v>1846051</v>
      </c>
      <c r="W321" s="526">
        <f t="shared" si="81"/>
        <v>1846051</v>
      </c>
      <c r="X321" s="526">
        <f t="shared" si="87"/>
        <v>1846051</v>
      </c>
      <c r="Y321" s="526">
        <f t="shared" si="88"/>
        <v>1846051</v>
      </c>
      <c r="Z321" s="525">
        <f>+DATA!F317</f>
        <v>405670.23974576622</v>
      </c>
      <c r="AA321" s="525">
        <f>IF(P321="SI",ROUND(Z321/DIV_Pf,PARAMETROS!$L$8),0)</f>
        <v>0</v>
      </c>
      <c r="AB321" s="526">
        <f t="shared" si="89"/>
        <v>20520</v>
      </c>
      <c r="AC321" s="775">
        <f t="shared" si="90"/>
        <v>89.96</v>
      </c>
      <c r="AD321" s="525">
        <f>IF(AC321&lt;$AC$6,ROUND(($AC$6-AC321)*AB321,PARAMETROS!$L$8),0)</f>
        <v>298771</v>
      </c>
      <c r="AE321" s="771">
        <f t="shared" si="82"/>
        <v>2.8676637620000001E-4</v>
      </c>
      <c r="AF321" s="771">
        <f t="shared" si="83"/>
        <v>1.0036823170000001E-4</v>
      </c>
      <c r="AG321" s="771">
        <f t="shared" si="91"/>
        <v>1.2444747864E-3</v>
      </c>
      <c r="AH321" s="525">
        <f>+DATA!Q317</f>
        <v>2718871.915</v>
      </c>
      <c r="AI321" s="525">
        <f>+DATA!R317</f>
        <v>226572.65958333333</v>
      </c>
      <c r="AJ321" s="525">
        <f>+DATA!S317</f>
        <v>178992</v>
      </c>
      <c r="AK321" s="525">
        <f>+'_DATA STT PAGOS_'!G319</f>
        <v>0</v>
      </c>
      <c r="AL321" s="525">
        <f>+'_DATA STT PAGOS_'!J319</f>
        <v>3689571.62</v>
      </c>
      <c r="AM321" s="525">
        <f>+DATA!Y317</f>
        <v>120306</v>
      </c>
      <c r="AN321" s="525">
        <f>+DATA!Z317</f>
        <v>77839</v>
      </c>
      <c r="AO321" s="525">
        <f>+DATA!AA317</f>
        <v>89759</v>
      </c>
      <c r="AP321" s="525">
        <f>+DATA!AB317</f>
        <v>60040</v>
      </c>
      <c r="AQ321" s="525">
        <f>+DATA!AC317</f>
        <v>347944</v>
      </c>
      <c r="AR321" s="525">
        <f>+DATA!AD317</f>
        <v>1858</v>
      </c>
      <c r="AS321" s="525">
        <f>+DATA!AE317</f>
        <v>803</v>
      </c>
      <c r="AT321" s="525">
        <f>+DATA!AF317</f>
        <v>731.52</v>
      </c>
      <c r="AU321" s="525">
        <f>+DATA!AG317</f>
        <v>538</v>
      </c>
      <c r="AV321" s="525">
        <f>+DATA!AH317</f>
        <v>3930.52</v>
      </c>
    </row>
    <row r="322" spans="1:48" x14ac:dyDescent="0.25">
      <c r="A322" s="527">
        <v>14105</v>
      </c>
      <c r="B322" s="527">
        <v>10107</v>
      </c>
      <c r="C322" s="527" t="s">
        <v>435</v>
      </c>
      <c r="D322" s="771">
        <f t="shared" si="74"/>
        <v>2.8901734103999998E-3</v>
      </c>
      <c r="E322" s="771">
        <f t="shared" si="75"/>
        <v>7.2254335259999995E-4</v>
      </c>
      <c r="F322" s="525">
        <f>+DATA!D318</f>
        <v>7375</v>
      </c>
      <c r="G322" s="772">
        <f>+DATA!E318</f>
        <v>7.1602326687359844E-2</v>
      </c>
      <c r="H322" s="525">
        <f t="shared" si="84"/>
        <v>528</v>
      </c>
      <c r="I322" s="771">
        <f t="shared" si="76"/>
        <v>4.043436308E-4</v>
      </c>
      <c r="J322" s="771">
        <f t="shared" si="77"/>
        <v>4.0434363099999997E-5</v>
      </c>
      <c r="K322" s="525">
        <f>+DATA!G318</f>
        <v>2448</v>
      </c>
      <c r="L322" s="525">
        <f>+DATA!H318</f>
        <v>3584</v>
      </c>
      <c r="M322" s="525">
        <f>+DATA!I318</f>
        <v>64387452567</v>
      </c>
      <c r="N322" s="525">
        <f>+DATA!J318</f>
        <v>251635296662</v>
      </c>
      <c r="O322" s="773">
        <f t="shared" si="85"/>
        <v>0.41805800923210829</v>
      </c>
      <c r="P322" s="774" t="str">
        <f t="shared" si="86"/>
        <v>NO</v>
      </c>
      <c r="Q322" s="771">
        <f t="shared" si="78"/>
        <v>3.0623715970000003E-4</v>
      </c>
      <c r="R322" s="771">
        <f t="shared" si="79"/>
        <v>4.3905046019999998E-4</v>
      </c>
      <c r="S322" s="771">
        <f t="shared" si="80"/>
        <v>1.3171513809999999E-4</v>
      </c>
      <c r="T322" s="525">
        <f>+DATA!K318</f>
        <v>0</v>
      </c>
      <c r="U322" s="525">
        <f>+DATA!L318</f>
        <v>0</v>
      </c>
      <c r="V322" s="525">
        <f>+DATA!M318</f>
        <v>784754</v>
      </c>
      <c r="W322" s="526">
        <f t="shared" si="81"/>
        <v>784754</v>
      </c>
      <c r="X322" s="526">
        <f t="shared" si="87"/>
        <v>784754</v>
      </c>
      <c r="Y322" s="526">
        <f t="shared" si="88"/>
        <v>784754</v>
      </c>
      <c r="Z322" s="525">
        <f>+DATA!F318</f>
        <v>105197.249408904</v>
      </c>
      <c r="AA322" s="525">
        <f>IF(P322="SI",ROUND(Z322/DIV_Pf,PARAMETROS!$L$8),0)</f>
        <v>0</v>
      </c>
      <c r="AB322" s="526">
        <f t="shared" si="89"/>
        <v>7375</v>
      </c>
      <c r="AC322" s="775">
        <f t="shared" si="90"/>
        <v>106.41</v>
      </c>
      <c r="AD322" s="525">
        <f>IF(AC322&lt;$AC$6,ROUND(($AC$6-AC322)*AB322,PARAMETROS!$L$8),0)</f>
        <v>0</v>
      </c>
      <c r="AE322" s="771">
        <f t="shared" si="82"/>
        <v>0</v>
      </c>
      <c r="AF322" s="771">
        <f t="shared" si="83"/>
        <v>0</v>
      </c>
      <c r="AG322" s="771">
        <f t="shared" si="91"/>
        <v>8.9469285379999998E-4</v>
      </c>
      <c r="AH322" s="525">
        <f>+DATA!Q318</f>
        <v>1851335.547</v>
      </c>
      <c r="AI322" s="525">
        <f>+DATA!R318</f>
        <v>154277.96225000001</v>
      </c>
      <c r="AJ322" s="525">
        <f>+DATA!S318</f>
        <v>121880</v>
      </c>
      <c r="AK322" s="525">
        <f>+'_DATA STT PAGOS_'!G320</f>
        <v>0</v>
      </c>
      <c r="AL322" s="525">
        <f>+'_DATA STT PAGOS_'!J320</f>
        <v>2511401.5830000001</v>
      </c>
      <c r="AM322" s="525">
        <f>+DATA!Y318</f>
        <v>42648</v>
      </c>
      <c r="AN322" s="525">
        <f>+DATA!Z318</f>
        <v>31918</v>
      </c>
      <c r="AO322" s="525">
        <f>+DATA!AA318</f>
        <v>37846</v>
      </c>
      <c r="AP322" s="525">
        <f>+DATA!AB318</f>
        <v>17086</v>
      </c>
      <c r="AQ322" s="525">
        <f>+DATA!AC318</f>
        <v>129498</v>
      </c>
      <c r="AR322" s="525">
        <f>+DATA!AD318</f>
        <v>155</v>
      </c>
      <c r="AS322" s="525">
        <f>+DATA!AE318</f>
        <v>59</v>
      </c>
      <c r="AT322" s="525">
        <f>+DATA!AF318</f>
        <v>101.53100000000001</v>
      </c>
      <c r="AU322" s="525">
        <f>+DATA!AG318</f>
        <v>181</v>
      </c>
      <c r="AV322" s="525">
        <f>+DATA!AH318</f>
        <v>496.53100000000001</v>
      </c>
    </row>
    <row r="323" spans="1:48" x14ac:dyDescent="0.25">
      <c r="A323" s="527">
        <v>14106</v>
      </c>
      <c r="B323" s="527">
        <v>10102</v>
      </c>
      <c r="C323" s="527" t="s">
        <v>317</v>
      </c>
      <c r="D323" s="771">
        <f t="shared" si="74"/>
        <v>2.8901734103999998E-3</v>
      </c>
      <c r="E323" s="771">
        <f t="shared" si="75"/>
        <v>7.2254335259999995E-4</v>
      </c>
      <c r="F323" s="525">
        <f>+DATA!D319</f>
        <v>24006</v>
      </c>
      <c r="G323" s="772">
        <f>+DATA!E319</f>
        <v>7.8532800255992741E-2</v>
      </c>
      <c r="H323" s="525">
        <f t="shared" si="84"/>
        <v>1885</v>
      </c>
      <c r="I323" s="771">
        <f t="shared" si="76"/>
        <v>1.4435373941E-3</v>
      </c>
      <c r="J323" s="771">
        <f t="shared" si="77"/>
        <v>1.443537394E-4</v>
      </c>
      <c r="K323" s="525">
        <f>+DATA!G319</f>
        <v>8631</v>
      </c>
      <c r="L323" s="525">
        <f>+DATA!H319</f>
        <v>11470</v>
      </c>
      <c r="M323" s="525">
        <f>+DATA!I319</f>
        <v>190687737691</v>
      </c>
      <c r="N323" s="525">
        <f>+DATA!J319</f>
        <v>535985509655</v>
      </c>
      <c r="O323" s="773">
        <f t="shared" si="85"/>
        <v>0.51740867765930287</v>
      </c>
      <c r="P323" s="774" t="str">
        <f t="shared" si="86"/>
        <v>SI</v>
      </c>
      <c r="Q323" s="771">
        <f t="shared" si="78"/>
        <v>1.1894929638E-3</v>
      </c>
      <c r="R323" s="771">
        <f t="shared" si="79"/>
        <v>1.7053692430000001E-3</v>
      </c>
      <c r="S323" s="771">
        <f t="shared" si="80"/>
        <v>5.1161077289999999E-4</v>
      </c>
      <c r="T323" s="525">
        <f>+DATA!K319</f>
        <v>0</v>
      </c>
      <c r="U323" s="525">
        <f>+DATA!L319</f>
        <v>0</v>
      </c>
      <c r="V323" s="525">
        <f>+DATA!M319</f>
        <v>1958647</v>
      </c>
      <c r="W323" s="526">
        <f t="shared" si="81"/>
        <v>1958647</v>
      </c>
      <c r="X323" s="526">
        <f t="shared" si="87"/>
        <v>1958647</v>
      </c>
      <c r="Y323" s="526">
        <f t="shared" si="88"/>
        <v>1958647</v>
      </c>
      <c r="Z323" s="525">
        <f>+DATA!F319</f>
        <v>332907.97847909632</v>
      </c>
      <c r="AA323" s="525">
        <f>IF(P323="SI",ROUND(Z323/DIV_Pf,PARAMETROS!$L$8),0)</f>
        <v>27742</v>
      </c>
      <c r="AB323" s="526">
        <f t="shared" si="89"/>
        <v>51748</v>
      </c>
      <c r="AC323" s="775">
        <f t="shared" si="90"/>
        <v>37.85</v>
      </c>
      <c r="AD323" s="525">
        <f>IF(AC323&lt;$AC$6,ROUND(($AC$6-AC323)*AB323,PARAMETROS!$L$8),0)</f>
        <v>3450039</v>
      </c>
      <c r="AE323" s="771">
        <f t="shared" si="82"/>
        <v>3.3114163750999999E-3</v>
      </c>
      <c r="AF323" s="771">
        <f t="shared" si="83"/>
        <v>1.1589957313000001E-3</v>
      </c>
      <c r="AG323" s="771">
        <f t="shared" si="91"/>
        <v>2.5375035961999999E-3</v>
      </c>
      <c r="AH323" s="525">
        <f>+DATA!Q319</f>
        <v>4582704.8360000001</v>
      </c>
      <c r="AI323" s="525">
        <f>+DATA!R319</f>
        <v>381892.06966666668</v>
      </c>
      <c r="AJ323" s="525">
        <f>+DATA!S319</f>
        <v>301695</v>
      </c>
      <c r="AK323" s="525">
        <f>+'_DATA STT PAGOS_'!G321</f>
        <v>0</v>
      </c>
      <c r="AL323" s="525">
        <f>+'_DATA STT PAGOS_'!J321</f>
        <v>6216032.5310000004</v>
      </c>
      <c r="AM323" s="525">
        <f>+DATA!Y319</f>
        <v>98384</v>
      </c>
      <c r="AN323" s="525">
        <f>+DATA!Z319</f>
        <v>82745</v>
      </c>
      <c r="AO323" s="525">
        <f>+DATA!AA319</f>
        <v>95912</v>
      </c>
      <c r="AP323" s="525">
        <f>+DATA!AB319</f>
        <v>38496</v>
      </c>
      <c r="AQ323" s="525">
        <f>+DATA!AC319</f>
        <v>315537</v>
      </c>
      <c r="AR323" s="525">
        <f>+DATA!AD319</f>
        <v>582</v>
      </c>
      <c r="AS323" s="525">
        <f>+DATA!AE319</f>
        <v>117</v>
      </c>
      <c r="AT323" s="525">
        <f>+DATA!AF319</f>
        <v>430.35</v>
      </c>
      <c r="AU323" s="525">
        <f>+DATA!AG319</f>
        <v>174</v>
      </c>
      <c r="AV323" s="525">
        <f>+DATA!AH319</f>
        <v>1303.3499999999999</v>
      </c>
    </row>
    <row r="324" spans="1:48" x14ac:dyDescent="0.25">
      <c r="A324" s="527">
        <v>14107</v>
      </c>
      <c r="B324" s="527">
        <v>10110</v>
      </c>
      <c r="C324" s="527" t="s">
        <v>238</v>
      </c>
      <c r="D324" s="771">
        <f t="shared" si="74"/>
        <v>2.8901734103999998E-3</v>
      </c>
      <c r="E324" s="771">
        <f t="shared" si="75"/>
        <v>7.2254335259999995E-4</v>
      </c>
      <c r="F324" s="525">
        <f>+DATA!D320</f>
        <v>20942</v>
      </c>
      <c r="G324" s="772">
        <f>+DATA!E320</f>
        <v>6.4307819849362707E-2</v>
      </c>
      <c r="H324" s="525">
        <f t="shared" si="84"/>
        <v>1347</v>
      </c>
      <c r="I324" s="771">
        <f t="shared" si="76"/>
        <v>1.03153574E-3</v>
      </c>
      <c r="J324" s="771">
        <f t="shared" si="77"/>
        <v>1.03153574E-4</v>
      </c>
      <c r="K324" s="525">
        <f>+DATA!G320</f>
        <v>6502</v>
      </c>
      <c r="L324" s="525">
        <f>+DATA!H320</f>
        <v>9320</v>
      </c>
      <c r="M324" s="525">
        <f>+DATA!I320</f>
        <v>154119217679</v>
      </c>
      <c r="N324" s="525">
        <f>+DATA!J320</f>
        <v>499749434926</v>
      </c>
      <c r="O324" s="773">
        <f t="shared" si="85"/>
        <v>0.46383954122286153</v>
      </c>
      <c r="P324" s="774" t="str">
        <f t="shared" si="86"/>
        <v>NO</v>
      </c>
      <c r="Q324" s="771">
        <f t="shared" si="78"/>
        <v>8.3077052560000004E-4</v>
      </c>
      <c r="R324" s="771">
        <f t="shared" si="79"/>
        <v>1.1910709399000001E-3</v>
      </c>
      <c r="S324" s="771">
        <f t="shared" si="80"/>
        <v>3.5732128199999997E-4</v>
      </c>
      <c r="T324" s="525">
        <f>+DATA!K320</f>
        <v>0</v>
      </c>
      <c r="U324" s="525">
        <f>+DATA!L320</f>
        <v>0</v>
      </c>
      <c r="V324" s="525">
        <f>+DATA!M320</f>
        <v>1929268</v>
      </c>
      <c r="W324" s="526">
        <f t="shared" si="81"/>
        <v>1929268</v>
      </c>
      <c r="X324" s="526">
        <f t="shared" si="87"/>
        <v>1929268</v>
      </c>
      <c r="Y324" s="526">
        <f t="shared" si="88"/>
        <v>1929268</v>
      </c>
      <c r="Z324" s="525">
        <f>+DATA!F320</f>
        <v>318436.59741890157</v>
      </c>
      <c r="AA324" s="525">
        <f>IF(P324="SI",ROUND(Z324/DIV_Pf,PARAMETROS!$L$8),0)</f>
        <v>0</v>
      </c>
      <c r="AB324" s="526">
        <f t="shared" si="89"/>
        <v>20942</v>
      </c>
      <c r="AC324" s="775">
        <f t="shared" si="90"/>
        <v>92.12</v>
      </c>
      <c r="AD324" s="525">
        <f>IF(AC324&lt;$AC$6,ROUND(($AC$6-AC324)*AB324,PARAMETROS!$L$8),0)</f>
        <v>259681</v>
      </c>
      <c r="AE324" s="771">
        <f t="shared" si="82"/>
        <v>2.492470131E-4</v>
      </c>
      <c r="AF324" s="771">
        <f t="shared" si="83"/>
        <v>8.7236454599999994E-5</v>
      </c>
      <c r="AG324" s="771">
        <f t="shared" si="91"/>
        <v>1.2702546632000001E-3</v>
      </c>
      <c r="AH324" s="525">
        <f>+DATA!Q320</f>
        <v>3365912.0970000001</v>
      </c>
      <c r="AI324" s="525">
        <f>+DATA!R320</f>
        <v>280492.67475000001</v>
      </c>
      <c r="AJ324" s="525">
        <f>+DATA!S320</f>
        <v>221589</v>
      </c>
      <c r="AK324" s="525">
        <f>+'_DATA STT PAGOS_'!G322</f>
        <v>0</v>
      </c>
      <c r="AL324" s="525">
        <f>+'_DATA STT PAGOS_'!J322</f>
        <v>4563167.7920000004</v>
      </c>
      <c r="AM324" s="525">
        <f>+DATA!Y320</f>
        <v>82859</v>
      </c>
      <c r="AN324" s="525">
        <f>+DATA!Z320</f>
        <v>63687</v>
      </c>
      <c r="AO324" s="525">
        <f>+DATA!AA320</f>
        <v>66041</v>
      </c>
      <c r="AP324" s="525">
        <f>+DATA!AB320</f>
        <v>50189</v>
      </c>
      <c r="AQ324" s="525">
        <f>+DATA!AC320</f>
        <v>262776</v>
      </c>
      <c r="AR324" s="525">
        <f>+DATA!AD320</f>
        <v>1179</v>
      </c>
      <c r="AS324" s="525">
        <f>+DATA!AE320</f>
        <v>700</v>
      </c>
      <c r="AT324" s="525">
        <f>+DATA!AF320</f>
        <v>845.548</v>
      </c>
      <c r="AU324" s="525">
        <f>+DATA!AG320</f>
        <v>682</v>
      </c>
      <c r="AV324" s="525">
        <f>+DATA!AH320</f>
        <v>3406.5479999999998</v>
      </c>
    </row>
    <row r="325" spans="1:48" x14ac:dyDescent="0.25">
      <c r="A325" s="527">
        <v>14108</v>
      </c>
      <c r="B325" s="527">
        <v>10108</v>
      </c>
      <c r="C325" s="527" t="s">
        <v>237</v>
      </c>
      <c r="D325" s="771">
        <f t="shared" si="74"/>
        <v>2.8901734103999998E-3</v>
      </c>
      <c r="E325" s="771">
        <f t="shared" si="75"/>
        <v>7.2254335259999995E-4</v>
      </c>
      <c r="F325" s="525">
        <f>+DATA!D321</f>
        <v>36220</v>
      </c>
      <c r="G325" s="772">
        <f>+DATA!E321</f>
        <v>0.1019868755754151</v>
      </c>
      <c r="H325" s="525">
        <f t="shared" si="84"/>
        <v>3694</v>
      </c>
      <c r="I325" s="771">
        <f t="shared" si="76"/>
        <v>2.8288738111000001E-3</v>
      </c>
      <c r="J325" s="771">
        <f t="shared" si="77"/>
        <v>2.8288738109999998E-4</v>
      </c>
      <c r="K325" s="525">
        <f>+DATA!G321</f>
        <v>12892</v>
      </c>
      <c r="L325" s="525">
        <f>+DATA!H321</f>
        <v>19891</v>
      </c>
      <c r="M325" s="525">
        <f>+DATA!I321</f>
        <v>336320500189</v>
      </c>
      <c r="N325" s="525">
        <f>+DATA!J321</f>
        <v>1105764694272</v>
      </c>
      <c r="O325" s="773">
        <f t="shared" si="85"/>
        <v>0.44399405004797088</v>
      </c>
      <c r="P325" s="774" t="str">
        <f t="shared" si="86"/>
        <v>NO</v>
      </c>
      <c r="Q325" s="771">
        <f t="shared" si="78"/>
        <v>1.5303368583000001E-3</v>
      </c>
      <c r="R325" s="771">
        <f t="shared" si="79"/>
        <v>2.1940351804999999E-3</v>
      </c>
      <c r="S325" s="771">
        <f t="shared" si="80"/>
        <v>6.5821055420000002E-4</v>
      </c>
      <c r="T325" s="525">
        <f>+DATA!K321</f>
        <v>0</v>
      </c>
      <c r="U325" s="525">
        <f>+DATA!L321</f>
        <v>0</v>
      </c>
      <c r="V325" s="525">
        <f>+DATA!M321</f>
        <v>5233095</v>
      </c>
      <c r="W325" s="526">
        <f t="shared" si="81"/>
        <v>5233095</v>
      </c>
      <c r="X325" s="526">
        <f t="shared" si="87"/>
        <v>5233095</v>
      </c>
      <c r="Y325" s="526">
        <f t="shared" si="88"/>
        <v>5233095</v>
      </c>
      <c r="Z325" s="525">
        <f>+DATA!F321</f>
        <v>2260985.6352021098</v>
      </c>
      <c r="AA325" s="525">
        <f>IF(P325="SI",ROUND(Z325/DIV_Pf,PARAMETROS!$L$8),0)</f>
        <v>0</v>
      </c>
      <c r="AB325" s="526">
        <f t="shared" si="89"/>
        <v>36220</v>
      </c>
      <c r="AC325" s="775">
        <f t="shared" si="90"/>
        <v>144.47999999999999</v>
      </c>
      <c r="AD325" s="525">
        <f>IF(AC325&lt;$AC$6,ROUND(($AC$6-AC325)*AB325,PARAMETROS!$L$8),0)</f>
        <v>0</v>
      </c>
      <c r="AE325" s="771">
        <f t="shared" si="82"/>
        <v>0</v>
      </c>
      <c r="AF325" s="771">
        <f t="shared" si="83"/>
        <v>0</v>
      </c>
      <c r="AG325" s="771">
        <f t="shared" si="91"/>
        <v>1.6636412878999998E-3</v>
      </c>
      <c r="AH325" s="525">
        <f>+DATA!Q321</f>
        <v>7501621.1919999998</v>
      </c>
      <c r="AI325" s="525">
        <f>+DATA!R321</f>
        <v>625135.09933333332</v>
      </c>
      <c r="AJ325" s="525">
        <f>+DATA!S321</f>
        <v>493857</v>
      </c>
      <c r="AK325" s="525">
        <f>+'_DATA STT PAGOS_'!G323</f>
        <v>0</v>
      </c>
      <c r="AL325" s="525">
        <f>+'_DATA STT PAGOS_'!J323</f>
        <v>10179872.214</v>
      </c>
      <c r="AM325" s="525">
        <f>+DATA!Y321</f>
        <v>319891</v>
      </c>
      <c r="AN325" s="525">
        <f>+DATA!Z321</f>
        <v>192345</v>
      </c>
      <c r="AO325" s="525">
        <f>+DATA!AA321</f>
        <v>240815</v>
      </c>
      <c r="AP325" s="525">
        <f>+DATA!AB321</f>
        <v>171419</v>
      </c>
      <c r="AQ325" s="525">
        <f>+DATA!AC321</f>
        <v>924470</v>
      </c>
      <c r="AR325" s="525">
        <f>+DATA!AD321</f>
        <v>2354</v>
      </c>
      <c r="AS325" s="525">
        <f>+DATA!AE321</f>
        <v>1173</v>
      </c>
      <c r="AT325" s="525">
        <f>+DATA!AF321</f>
        <v>1447.6980000000001</v>
      </c>
      <c r="AU325" s="525">
        <f>+DATA!AG321</f>
        <v>1280</v>
      </c>
      <c r="AV325" s="525">
        <f>+DATA!AH321</f>
        <v>6254.6980000000003</v>
      </c>
    </row>
    <row r="326" spans="1:48" x14ac:dyDescent="0.25">
      <c r="A326" s="527">
        <v>14201</v>
      </c>
      <c r="B326" s="527">
        <v>10109</v>
      </c>
      <c r="C326" s="527" t="s">
        <v>436</v>
      </c>
      <c r="D326" s="771">
        <f t="shared" si="74"/>
        <v>2.8901734103999998E-3</v>
      </c>
      <c r="E326" s="771">
        <f t="shared" si="75"/>
        <v>7.2254335259999995E-4</v>
      </c>
      <c r="F326" s="525">
        <f>+DATA!D322</f>
        <v>39705</v>
      </c>
      <c r="G326" s="772">
        <f>+DATA!E322</f>
        <v>8.6548958101477225E-2</v>
      </c>
      <c r="H326" s="525">
        <f t="shared" si="84"/>
        <v>3436</v>
      </c>
      <c r="I326" s="771">
        <f t="shared" si="76"/>
        <v>2.6312968097000002E-3</v>
      </c>
      <c r="J326" s="771">
        <f t="shared" si="77"/>
        <v>2.6312968100000001E-4</v>
      </c>
      <c r="K326" s="525">
        <f>+DATA!G322</f>
        <v>14027</v>
      </c>
      <c r="L326" s="525">
        <f>+DATA!H322</f>
        <v>20368</v>
      </c>
      <c r="M326" s="525">
        <f>+DATA!I322</f>
        <v>376875327699</v>
      </c>
      <c r="N326" s="525">
        <f>+DATA!J322</f>
        <v>1209413220147</v>
      </c>
      <c r="O326" s="773">
        <f t="shared" si="85"/>
        <v>0.46325456016562239</v>
      </c>
      <c r="P326" s="774" t="str">
        <f t="shared" si="86"/>
        <v>NO</v>
      </c>
      <c r="Q326" s="771">
        <f t="shared" si="78"/>
        <v>1.7692298977E-3</v>
      </c>
      <c r="R326" s="771">
        <f t="shared" si="79"/>
        <v>2.5365347616000001E-3</v>
      </c>
      <c r="S326" s="771">
        <f t="shared" si="80"/>
        <v>7.609604285E-4</v>
      </c>
      <c r="T326" s="525">
        <f>+DATA!K322</f>
        <v>0</v>
      </c>
      <c r="U326" s="525">
        <f>+DATA!L322</f>
        <v>0</v>
      </c>
      <c r="V326" s="525">
        <f>+DATA!M322</f>
        <v>4002335</v>
      </c>
      <c r="W326" s="526">
        <f t="shared" si="81"/>
        <v>4002335</v>
      </c>
      <c r="X326" s="526">
        <f t="shared" si="87"/>
        <v>4002335</v>
      </c>
      <c r="Y326" s="526">
        <f t="shared" si="88"/>
        <v>4002335</v>
      </c>
      <c r="Z326" s="525">
        <f>+DATA!F322</f>
        <v>470892.46836654108</v>
      </c>
      <c r="AA326" s="525">
        <f>IF(P326="SI",ROUND(Z326/DIV_Pf,PARAMETROS!$L$8),0)</f>
        <v>0</v>
      </c>
      <c r="AB326" s="526">
        <f t="shared" si="89"/>
        <v>39705</v>
      </c>
      <c r="AC326" s="775">
        <f t="shared" si="90"/>
        <v>100.8</v>
      </c>
      <c r="AD326" s="525">
        <f>IF(AC326&lt;$AC$6,ROUND(($AC$6-AC326)*AB326,PARAMETROS!$L$8),0)</f>
        <v>147703</v>
      </c>
      <c r="AE326" s="771">
        <f t="shared" si="82"/>
        <v>1.4176829099999999E-4</v>
      </c>
      <c r="AF326" s="771">
        <f t="shared" si="83"/>
        <v>4.9618901900000001E-5</v>
      </c>
      <c r="AG326" s="771">
        <f t="shared" si="91"/>
        <v>1.796252364E-3</v>
      </c>
      <c r="AH326" s="525">
        <f>+DATA!Q322</f>
        <v>5532236.5290000001</v>
      </c>
      <c r="AI326" s="525">
        <f>+DATA!R322</f>
        <v>461019.71075000003</v>
      </c>
      <c r="AJ326" s="525">
        <f>+DATA!S322</f>
        <v>364206</v>
      </c>
      <c r="AK326" s="525">
        <f>+'_DATA STT PAGOS_'!G324</f>
        <v>0</v>
      </c>
      <c r="AL326" s="525">
        <f>+'_DATA STT PAGOS_'!J324</f>
        <v>7507721.0409999993</v>
      </c>
      <c r="AM326" s="525">
        <f>+DATA!Y322</f>
        <v>227295</v>
      </c>
      <c r="AN326" s="525">
        <f>+DATA!Z322</f>
        <v>152398</v>
      </c>
      <c r="AO326" s="525">
        <f>+DATA!AA322</f>
        <v>201707</v>
      </c>
      <c r="AP326" s="525">
        <f>+DATA!AB322</f>
        <v>153277</v>
      </c>
      <c r="AQ326" s="525">
        <f>+DATA!AC322</f>
        <v>734677</v>
      </c>
      <c r="AR326" s="525">
        <f>+DATA!AD322</f>
        <v>3417</v>
      </c>
      <c r="AS326" s="525">
        <f>+DATA!AE322</f>
        <v>1782</v>
      </c>
      <c r="AT326" s="525">
        <f>+DATA!AF322</f>
        <v>2261.163</v>
      </c>
      <c r="AU326" s="525">
        <f>+DATA!AG322</f>
        <v>1604</v>
      </c>
      <c r="AV326" s="525">
        <f>+DATA!AH322</f>
        <v>9064.1630000000005</v>
      </c>
    </row>
    <row r="327" spans="1:48" x14ac:dyDescent="0.25">
      <c r="A327" s="527">
        <v>14202</v>
      </c>
      <c r="B327" s="527">
        <v>10105</v>
      </c>
      <c r="C327" s="527" t="s">
        <v>235</v>
      </c>
      <c r="D327" s="771">
        <f t="shared" si="74"/>
        <v>2.8901734103999998E-3</v>
      </c>
      <c r="E327" s="771">
        <f t="shared" si="75"/>
        <v>7.2254335259999995E-4</v>
      </c>
      <c r="F327" s="525">
        <f>+DATA!D323</f>
        <v>15188</v>
      </c>
      <c r="G327" s="772">
        <f>+DATA!E323</f>
        <v>9.3146747531727539E-2</v>
      </c>
      <c r="H327" s="525">
        <f t="shared" si="84"/>
        <v>1415</v>
      </c>
      <c r="I327" s="771">
        <f t="shared" si="76"/>
        <v>1.0836102984999999E-3</v>
      </c>
      <c r="J327" s="771">
        <f t="shared" si="77"/>
        <v>1.083610299E-4</v>
      </c>
      <c r="K327" s="525">
        <f>+DATA!G323</f>
        <v>4992</v>
      </c>
      <c r="L327" s="525">
        <f>+DATA!H323</f>
        <v>7914</v>
      </c>
      <c r="M327" s="525">
        <f>+DATA!I323</f>
        <v>176029698575</v>
      </c>
      <c r="N327" s="525">
        <f>+DATA!J323</f>
        <v>608482047195</v>
      </c>
      <c r="O327" s="773">
        <f t="shared" si="85"/>
        <v>0.42717748392103438</v>
      </c>
      <c r="P327" s="774" t="str">
        <f t="shared" si="86"/>
        <v>NO</v>
      </c>
      <c r="Q327" s="771">
        <f t="shared" si="78"/>
        <v>5.7670825710000003E-4</v>
      </c>
      <c r="R327" s="771">
        <f t="shared" si="79"/>
        <v>8.2682332199999998E-4</v>
      </c>
      <c r="S327" s="771">
        <f t="shared" si="80"/>
        <v>2.4804699659999998E-4</v>
      </c>
      <c r="T327" s="525">
        <f>+DATA!K323</f>
        <v>0</v>
      </c>
      <c r="U327" s="525">
        <f>+DATA!L323</f>
        <v>0</v>
      </c>
      <c r="V327" s="525">
        <f>+DATA!M323</f>
        <v>2307406</v>
      </c>
      <c r="W327" s="526">
        <f t="shared" si="81"/>
        <v>2307406</v>
      </c>
      <c r="X327" s="526">
        <f t="shared" si="87"/>
        <v>2307406</v>
      </c>
      <c r="Y327" s="526">
        <f t="shared" si="88"/>
        <v>2307406</v>
      </c>
      <c r="Z327" s="525">
        <f>+DATA!F323</f>
        <v>595896.15034760966</v>
      </c>
      <c r="AA327" s="525">
        <f>IF(P327="SI",ROUND(Z327/DIV_Pf,PARAMETROS!$L$8),0)</f>
        <v>0</v>
      </c>
      <c r="AB327" s="526">
        <f t="shared" si="89"/>
        <v>15188</v>
      </c>
      <c r="AC327" s="775">
        <f t="shared" si="90"/>
        <v>151.91999999999999</v>
      </c>
      <c r="AD327" s="525">
        <f>IF(AC327&lt;$AC$6,ROUND(($AC$6-AC327)*AB327,PARAMETROS!$L$8),0)</f>
        <v>0</v>
      </c>
      <c r="AE327" s="771">
        <f t="shared" si="82"/>
        <v>0</v>
      </c>
      <c r="AF327" s="771">
        <f t="shared" si="83"/>
        <v>0</v>
      </c>
      <c r="AG327" s="771">
        <f t="shared" si="91"/>
        <v>1.0789513791E-3</v>
      </c>
      <c r="AH327" s="525">
        <f>+DATA!Q323</f>
        <v>2535723.4160000002</v>
      </c>
      <c r="AI327" s="525">
        <f>+DATA!R323</f>
        <v>211310.28466666667</v>
      </c>
      <c r="AJ327" s="525">
        <f>+DATA!S323</f>
        <v>166935</v>
      </c>
      <c r="AK327" s="525">
        <f>+'_DATA STT PAGOS_'!G325</f>
        <v>0</v>
      </c>
      <c r="AL327" s="525">
        <f>+'_DATA STT PAGOS_'!J325</f>
        <v>3441034.9000000004</v>
      </c>
      <c r="AM327" s="525">
        <f>+DATA!Y323</f>
        <v>167868</v>
      </c>
      <c r="AN327" s="525">
        <f>+DATA!Z323</f>
        <v>106219</v>
      </c>
      <c r="AO327" s="525">
        <f>+DATA!AA323</f>
        <v>111206</v>
      </c>
      <c r="AP327" s="525">
        <f>+DATA!AB323</f>
        <v>93127</v>
      </c>
      <c r="AQ327" s="525">
        <f>+DATA!AC323</f>
        <v>478420</v>
      </c>
      <c r="AR327" s="525">
        <f>+DATA!AD323</f>
        <v>4639</v>
      </c>
      <c r="AS327" s="525">
        <f>+DATA!AE323</f>
        <v>3083</v>
      </c>
      <c r="AT327" s="525">
        <f>+DATA!AF323</f>
        <v>3423.7220000000002</v>
      </c>
      <c r="AU327" s="525">
        <f>+DATA!AG323</f>
        <v>3235</v>
      </c>
      <c r="AV327" s="525">
        <f>+DATA!AH323</f>
        <v>14380.722</v>
      </c>
    </row>
    <row r="328" spans="1:48" x14ac:dyDescent="0.25">
      <c r="A328" s="527">
        <v>14203</v>
      </c>
      <c r="B328" s="527">
        <v>10112</v>
      </c>
      <c r="C328" s="527" t="s">
        <v>239</v>
      </c>
      <c r="D328" s="771">
        <f t="shared" si="74"/>
        <v>2.8901734103999998E-3</v>
      </c>
      <c r="E328" s="771">
        <f t="shared" si="75"/>
        <v>7.2254335259999995E-4</v>
      </c>
      <c r="F328" s="525">
        <f>+DATA!D324</f>
        <v>10272</v>
      </c>
      <c r="G328" s="772">
        <f>+DATA!E324</f>
        <v>0.1237322296459419</v>
      </c>
      <c r="H328" s="525">
        <f t="shared" si="84"/>
        <v>1271</v>
      </c>
      <c r="I328" s="771">
        <f t="shared" si="76"/>
        <v>9.7333476279999999E-4</v>
      </c>
      <c r="J328" s="771">
        <f t="shared" si="77"/>
        <v>9.7333476299999995E-5</v>
      </c>
      <c r="K328" s="525">
        <f>+DATA!G324</f>
        <v>4142</v>
      </c>
      <c r="L328" s="525">
        <f>+DATA!H324</f>
        <v>7307</v>
      </c>
      <c r="M328" s="525">
        <f>+DATA!I324</f>
        <v>108013198865</v>
      </c>
      <c r="N328" s="525">
        <f>+DATA!J324</f>
        <v>430868379740</v>
      </c>
      <c r="O328" s="773">
        <f t="shared" si="85"/>
        <v>0.37696549186117767</v>
      </c>
      <c r="P328" s="774" t="str">
        <f t="shared" si="86"/>
        <v>NO</v>
      </c>
      <c r="Q328" s="771">
        <f t="shared" si="78"/>
        <v>4.3001553340000001E-4</v>
      </c>
      <c r="R328" s="771">
        <f t="shared" si="79"/>
        <v>6.1651080500000005E-4</v>
      </c>
      <c r="S328" s="771">
        <f t="shared" si="80"/>
        <v>1.849532415E-4</v>
      </c>
      <c r="T328" s="525">
        <f>+DATA!K324</f>
        <v>0</v>
      </c>
      <c r="U328" s="525">
        <f>+DATA!L324</f>
        <v>0</v>
      </c>
      <c r="V328" s="525">
        <f>+DATA!M324</f>
        <v>4004619</v>
      </c>
      <c r="W328" s="526">
        <f t="shared" si="81"/>
        <v>4004619</v>
      </c>
      <c r="X328" s="526">
        <f t="shared" si="87"/>
        <v>4004619</v>
      </c>
      <c r="Y328" s="526">
        <f t="shared" si="88"/>
        <v>4004619</v>
      </c>
      <c r="Z328" s="525">
        <f>+DATA!F324</f>
        <v>525123.54664516018</v>
      </c>
      <c r="AA328" s="525">
        <f>IF(P328="SI",ROUND(Z328/DIV_Pf,PARAMETROS!$L$8),0)</f>
        <v>0</v>
      </c>
      <c r="AB328" s="526">
        <f t="shared" si="89"/>
        <v>10272</v>
      </c>
      <c r="AC328" s="775">
        <f t="shared" si="90"/>
        <v>389.86</v>
      </c>
      <c r="AD328" s="525">
        <f>IF(AC328&lt;$AC$6,ROUND(($AC$6-AC328)*AB328,PARAMETROS!$L$8),0)</f>
        <v>0</v>
      </c>
      <c r="AE328" s="771">
        <f t="shared" si="82"/>
        <v>0</v>
      </c>
      <c r="AF328" s="771">
        <f t="shared" si="83"/>
        <v>0</v>
      </c>
      <c r="AG328" s="771">
        <f t="shared" si="91"/>
        <v>1.0048300704E-3</v>
      </c>
      <c r="AH328" s="525">
        <f>+DATA!Q324</f>
        <v>2192067.7450000001</v>
      </c>
      <c r="AI328" s="525">
        <f>+DATA!R324</f>
        <v>182672.31208333335</v>
      </c>
      <c r="AJ328" s="525">
        <f>+DATA!S324</f>
        <v>144311</v>
      </c>
      <c r="AK328" s="525">
        <f>+'_DATA STT PAGOS_'!G326</f>
        <v>0</v>
      </c>
      <c r="AL328" s="525">
        <f>+'_DATA STT PAGOS_'!J326</f>
        <v>2974686.27</v>
      </c>
      <c r="AM328" s="525">
        <f>+DATA!Y324</f>
        <v>126084</v>
      </c>
      <c r="AN328" s="525">
        <f>+DATA!Z324</f>
        <v>67391</v>
      </c>
      <c r="AO328" s="525">
        <f>+DATA!AA324</f>
        <v>87460</v>
      </c>
      <c r="AP328" s="525">
        <f>+DATA!AB324</f>
        <v>69016</v>
      </c>
      <c r="AQ328" s="525">
        <f>+DATA!AC324</f>
        <v>349951</v>
      </c>
      <c r="AR328" s="525">
        <f>+DATA!AD324</f>
        <v>1028</v>
      </c>
      <c r="AS328" s="525">
        <f>+DATA!AE324</f>
        <v>314</v>
      </c>
      <c r="AT328" s="525">
        <f>+DATA!AF324</f>
        <v>588.96500000000003</v>
      </c>
      <c r="AU328" s="525">
        <f>+DATA!AG324</f>
        <v>335</v>
      </c>
      <c r="AV328" s="525">
        <f>+DATA!AH324</f>
        <v>2265.9650000000001</v>
      </c>
    </row>
    <row r="329" spans="1:48" x14ac:dyDescent="0.25">
      <c r="A329" s="527">
        <v>14204</v>
      </c>
      <c r="B329" s="527">
        <v>10111</v>
      </c>
      <c r="C329" s="527" t="s">
        <v>437</v>
      </c>
      <c r="D329" s="771">
        <f t="shared" ref="D329:D354" si="92">ROUND(1/COUNTA($A$9:$A$354),DEC)</f>
        <v>2.8901734103999998E-3</v>
      </c>
      <c r="E329" s="771">
        <f t="shared" ref="E329:E354" si="93">ROUND(D329*$E$7,DEC)</f>
        <v>7.2254335259999995E-4</v>
      </c>
      <c r="F329" s="525">
        <f>+DATA!D325</f>
        <v>32998</v>
      </c>
      <c r="G329" s="772">
        <f>+DATA!E325</f>
        <v>5.7198540290497243E-2</v>
      </c>
      <c r="H329" s="525">
        <f t="shared" si="84"/>
        <v>1887</v>
      </c>
      <c r="I329" s="771">
        <f t="shared" ref="I329:I354" si="94">ROUND(H329/$H$7,DEC)</f>
        <v>1.4450689988E-3</v>
      </c>
      <c r="J329" s="771">
        <f t="shared" ref="J329:J354" si="95">ROUND(I329*$J$7,DEC)</f>
        <v>1.4450689990000001E-4</v>
      </c>
      <c r="K329" s="525">
        <f>+DATA!G325</f>
        <v>12726</v>
      </c>
      <c r="L329" s="525">
        <f>+DATA!H325</f>
        <v>17416</v>
      </c>
      <c r="M329" s="525">
        <f>+DATA!I325</f>
        <v>313125659885</v>
      </c>
      <c r="N329" s="525">
        <f>+DATA!J325</f>
        <v>1060297989415</v>
      </c>
      <c r="O329" s="773">
        <f t="shared" si="85"/>
        <v>0.46453357803750783</v>
      </c>
      <c r="P329" s="774" t="str">
        <f t="shared" si="86"/>
        <v>NO</v>
      </c>
      <c r="Q329" s="771">
        <f t="shared" ref="Q329:Q354" si="96">IF(K329=0,0,ROUND((K329/$K$6)*(K329/L329),DEC))</f>
        <v>1.7030934703E-3</v>
      </c>
      <c r="R329" s="771">
        <f t="shared" ref="R329:R354" si="97">ROUND(Q329/$Q$7,DEC)</f>
        <v>2.4417153447999999E-3</v>
      </c>
      <c r="S329" s="771">
        <f t="shared" ref="S329:S354" si="98">ROUND(R329*$S$7,DEC)</f>
        <v>7.3251460339999997E-4</v>
      </c>
      <c r="T329" s="525">
        <f>+DATA!K325</f>
        <v>0</v>
      </c>
      <c r="U329" s="525">
        <f>+DATA!L325</f>
        <v>0</v>
      </c>
      <c r="V329" s="525">
        <f>+DATA!M325</f>
        <v>3197875</v>
      </c>
      <c r="W329" s="526">
        <f t="shared" ref="W329:W354" si="99">+V329</f>
        <v>3197875</v>
      </c>
      <c r="X329" s="526">
        <f t="shared" si="87"/>
        <v>3197875</v>
      </c>
      <c r="Y329" s="526">
        <f t="shared" si="88"/>
        <v>3197875</v>
      </c>
      <c r="Z329" s="525">
        <f>+DATA!F325</f>
        <v>455509.05962269742</v>
      </c>
      <c r="AA329" s="525">
        <f>IF(P329="SI",ROUND(Z329/DIV_Pf,PARAMETROS!$L$8),0)</f>
        <v>0</v>
      </c>
      <c r="AB329" s="526">
        <f t="shared" si="89"/>
        <v>32998</v>
      </c>
      <c r="AC329" s="775">
        <f t="shared" si="90"/>
        <v>96.91</v>
      </c>
      <c r="AD329" s="525">
        <f>IF(AC329&lt;$AC$6,ROUND(($AC$6-AC329)*AB329,PARAMETROS!$L$8),0)</f>
        <v>251115</v>
      </c>
      <c r="AE329" s="771">
        <f t="shared" ref="AE329:AE354" si="100">ROUND(AD329/$AD$7,DEC)</f>
        <v>2.410251951E-4</v>
      </c>
      <c r="AF329" s="771">
        <f t="shared" ref="AF329:AF354" si="101">ROUND(AE329*$AF$7,DEC)</f>
        <v>8.4358818299999993E-5</v>
      </c>
      <c r="AG329" s="771">
        <f t="shared" si="91"/>
        <v>1.6839236741999998E-3</v>
      </c>
      <c r="AH329" s="525">
        <f>+DATA!Q325</f>
        <v>5198636.8689999999</v>
      </c>
      <c r="AI329" s="525">
        <f>+DATA!R325</f>
        <v>433219.73908333335</v>
      </c>
      <c r="AJ329" s="525">
        <f>+DATA!S325</f>
        <v>342244</v>
      </c>
      <c r="AK329" s="525">
        <f>+'_DATA STT PAGOS_'!G327</f>
        <v>0</v>
      </c>
      <c r="AL329" s="525">
        <f>+'_DATA STT PAGOS_'!J327</f>
        <v>7048245.7300000004</v>
      </c>
      <c r="AM329" s="525">
        <f>+DATA!Y325</f>
        <v>198292</v>
      </c>
      <c r="AN329" s="525">
        <f>+DATA!Z325</f>
        <v>138124</v>
      </c>
      <c r="AO329" s="525">
        <f>+DATA!AA325</f>
        <v>146195</v>
      </c>
      <c r="AP329" s="525">
        <f>+DATA!AB325</f>
        <v>113452</v>
      </c>
      <c r="AQ329" s="525">
        <f>+DATA!AC325</f>
        <v>596063</v>
      </c>
      <c r="AR329" s="525">
        <f>+DATA!AD325</f>
        <v>2183</v>
      </c>
      <c r="AS329" s="525">
        <f>+DATA!AE325</f>
        <v>1311</v>
      </c>
      <c r="AT329" s="525">
        <f>+DATA!AF325</f>
        <v>1453.2809999999999</v>
      </c>
      <c r="AU329" s="525">
        <f>+DATA!AG325</f>
        <v>1409</v>
      </c>
      <c r="AV329" s="525">
        <f>+DATA!AH325</f>
        <v>6356.2809999999999</v>
      </c>
    </row>
    <row r="330" spans="1:48" x14ac:dyDescent="0.25">
      <c r="A330" s="527">
        <v>15101</v>
      </c>
      <c r="B330" s="527">
        <v>1101</v>
      </c>
      <c r="C330" s="527" t="s">
        <v>52</v>
      </c>
      <c r="D330" s="771">
        <f t="shared" si="92"/>
        <v>2.8901734103999998E-3</v>
      </c>
      <c r="E330" s="771">
        <f t="shared" si="93"/>
        <v>7.2254335259999995E-4</v>
      </c>
      <c r="F330" s="525">
        <f>+DATA!D326</f>
        <v>257163</v>
      </c>
      <c r="G330" s="772">
        <f>+DATA!E326</f>
        <v>9.1350031060376549E-2</v>
      </c>
      <c r="H330" s="525">
        <f t="shared" ref="H330:H354" si="102">ROUND(F330*G330,0)</f>
        <v>23492</v>
      </c>
      <c r="I330" s="771">
        <f t="shared" si="94"/>
        <v>1.7990228362299999E-2</v>
      </c>
      <c r="J330" s="771">
        <f t="shared" si="95"/>
        <v>1.7990228362E-3</v>
      </c>
      <c r="K330" s="525">
        <f>+DATA!G326</f>
        <v>61101</v>
      </c>
      <c r="L330" s="525">
        <f>+DATA!H326</f>
        <v>80309</v>
      </c>
      <c r="M330" s="525">
        <f>+DATA!I326</f>
        <v>3586002987040</v>
      </c>
      <c r="N330" s="525">
        <f>+DATA!J326</f>
        <v>5920771427017</v>
      </c>
      <c r="O330" s="773">
        <f t="shared" ref="O330:O354" si="103">IF(AND(L330=0,N330=0),0,GEOMEAN((K330/L330),(M330/N330)))</f>
        <v>0.67882562133389268</v>
      </c>
      <c r="P330" s="774" t="str">
        <f t="shared" ref="P330:P354" si="104">IF(O330&gt;$N$3,"SI","NO")</f>
        <v>SI</v>
      </c>
      <c r="Q330" s="771">
        <f t="shared" si="96"/>
        <v>8.5140359608E-3</v>
      </c>
      <c r="R330" s="771">
        <f t="shared" si="97"/>
        <v>1.22065245473E-2</v>
      </c>
      <c r="S330" s="771">
        <f t="shared" si="98"/>
        <v>3.6619573642E-3</v>
      </c>
      <c r="T330" s="525">
        <f>+DATA!K326</f>
        <v>0</v>
      </c>
      <c r="U330" s="525">
        <f>+DATA!L326</f>
        <v>0</v>
      </c>
      <c r="V330" s="525">
        <f>+DATA!M326</f>
        <v>23613770</v>
      </c>
      <c r="W330" s="526">
        <f t="shared" si="99"/>
        <v>23613770</v>
      </c>
      <c r="X330" s="526">
        <f t="shared" ref="X330:X354" si="105">+T330+V330</f>
        <v>23613770</v>
      </c>
      <c r="Y330" s="526">
        <f t="shared" ref="Y330:Y354" si="106">+V330+T330</f>
        <v>23613770</v>
      </c>
      <c r="Z330" s="525">
        <f>+DATA!F326</f>
        <v>1444228.5783269599</v>
      </c>
      <c r="AA330" s="525">
        <f>IF(P330="SI",ROUND(Z330/DIV_Pf,PARAMETROS!$L$8),0)</f>
        <v>120352</v>
      </c>
      <c r="AB330" s="526">
        <f t="shared" ref="AB330:AB354" si="107">+F330+AA330</f>
        <v>377515</v>
      </c>
      <c r="AC330" s="775">
        <f t="shared" ref="AC330:AC354" si="108">IFERROR(ROUND(Y330/AB330,2),0)</f>
        <v>62.55</v>
      </c>
      <c r="AD330" s="525">
        <f>IF(AC330&lt;$AC$6,ROUND(($AC$6-AC330)*AB330,PARAMETROS!$L$8),0)</f>
        <v>15844305</v>
      </c>
      <c r="AE330" s="771">
        <f t="shared" si="100"/>
        <v>1.52076805594E-2</v>
      </c>
      <c r="AF330" s="771">
        <f t="shared" si="101"/>
        <v>5.3226881958000002E-3</v>
      </c>
      <c r="AG330" s="771">
        <f t="shared" ref="AG330:AG354" si="109">+E330+J330+S330+AF330</f>
        <v>1.15062117488E-2</v>
      </c>
      <c r="AH330" s="525">
        <f>+DATA!Q326</f>
        <v>22900096.037</v>
      </c>
      <c r="AI330" s="525">
        <f>+DATA!R326</f>
        <v>1908341.3364166666</v>
      </c>
      <c r="AJ330" s="525">
        <f>+DATA!S326</f>
        <v>1507590</v>
      </c>
      <c r="AK330" s="525">
        <f>+'_DATA STT PAGOS_'!G328</f>
        <v>0</v>
      </c>
      <c r="AL330" s="525">
        <f>+'_DATA STT PAGOS_'!J328</f>
        <v>31075956.149000004</v>
      </c>
      <c r="AM330" s="525">
        <f>+DATA!Y326</f>
        <v>1054693</v>
      </c>
      <c r="AN330" s="525">
        <f>+DATA!Z326</f>
        <v>799910</v>
      </c>
      <c r="AO330" s="525">
        <f>+DATA!AA326</f>
        <v>890169</v>
      </c>
      <c r="AP330" s="525">
        <f>+DATA!AB326</f>
        <v>748929</v>
      </c>
      <c r="AQ330" s="525">
        <f>+DATA!AC326</f>
        <v>3493701</v>
      </c>
      <c r="AR330" s="525">
        <f>+DATA!AD326</f>
        <v>56222</v>
      </c>
      <c r="AS330" s="525">
        <f>+DATA!AE326</f>
        <v>29200</v>
      </c>
      <c r="AT330" s="525">
        <f>+DATA!AF326</f>
        <v>33129.993000000002</v>
      </c>
      <c r="AU330" s="525">
        <f>+DATA!AG326</f>
        <v>22198</v>
      </c>
      <c r="AV330" s="525">
        <f>+DATA!AH326</f>
        <v>140749.99300000002</v>
      </c>
    </row>
    <row r="331" spans="1:48" x14ac:dyDescent="0.25">
      <c r="A331" s="527">
        <v>15102</v>
      </c>
      <c r="B331" s="527">
        <v>1106</v>
      </c>
      <c r="C331" s="527" t="s">
        <v>53</v>
      </c>
      <c r="D331" s="771">
        <f t="shared" si="92"/>
        <v>2.8901734103999998E-3</v>
      </c>
      <c r="E331" s="771">
        <f t="shared" si="93"/>
        <v>7.2254335259999995E-4</v>
      </c>
      <c r="F331" s="525">
        <f>+DATA!D327</f>
        <v>1246</v>
      </c>
      <c r="G331" s="772">
        <f>+DATA!E327</f>
        <v>0.12584517373594761</v>
      </c>
      <c r="H331" s="525">
        <f t="shared" si="102"/>
        <v>157</v>
      </c>
      <c r="I331" s="771">
        <f t="shared" si="94"/>
        <v>1.2023096599999999E-4</v>
      </c>
      <c r="J331" s="771">
        <f t="shared" si="95"/>
        <v>1.2023096600000001E-5</v>
      </c>
      <c r="K331" s="525">
        <f>+DATA!G327</f>
        <v>2201</v>
      </c>
      <c r="L331" s="525">
        <f>+DATA!H327</f>
        <v>2326</v>
      </c>
      <c r="M331" s="525">
        <f>+DATA!I327</f>
        <v>49268185964</v>
      </c>
      <c r="N331" s="525">
        <f>+DATA!J327</f>
        <v>54680375053</v>
      </c>
      <c r="O331" s="773">
        <f t="shared" si="103"/>
        <v>0.92336351395163663</v>
      </c>
      <c r="P331" s="774" t="str">
        <f t="shared" si="104"/>
        <v>SI</v>
      </c>
      <c r="Q331" s="771">
        <f t="shared" si="96"/>
        <v>3.8144632650000002E-4</v>
      </c>
      <c r="R331" s="771">
        <f t="shared" si="97"/>
        <v>5.4687741149999996E-4</v>
      </c>
      <c r="S331" s="771">
        <f t="shared" si="98"/>
        <v>1.6406322349999999E-4</v>
      </c>
      <c r="T331" s="525">
        <f>+DATA!K327</f>
        <v>0</v>
      </c>
      <c r="U331" s="525">
        <f>+DATA!L327</f>
        <v>0</v>
      </c>
      <c r="V331" s="525">
        <f>+DATA!M327</f>
        <v>1140745</v>
      </c>
      <c r="W331" s="526">
        <f t="shared" si="99"/>
        <v>1140745</v>
      </c>
      <c r="X331" s="526">
        <f t="shared" si="105"/>
        <v>1140745</v>
      </c>
      <c r="Y331" s="526">
        <f t="shared" si="106"/>
        <v>1140745</v>
      </c>
      <c r="Z331" s="525">
        <f>+DATA!F327</f>
        <v>102432.2249213426</v>
      </c>
      <c r="AA331" s="525">
        <f>IF(P331="SI",ROUND(Z331/DIV_Pf,PARAMETROS!$L$8),0)</f>
        <v>8536</v>
      </c>
      <c r="AB331" s="526">
        <f t="shared" si="107"/>
        <v>9782</v>
      </c>
      <c r="AC331" s="775">
        <f t="shared" si="108"/>
        <v>116.62</v>
      </c>
      <c r="AD331" s="525">
        <f>IF(AC331&lt;$AC$6,ROUND(($AC$6-AC331)*AB331,PARAMETROS!$L$8),0)</f>
        <v>0</v>
      </c>
      <c r="AE331" s="771">
        <f t="shared" si="100"/>
        <v>0</v>
      </c>
      <c r="AF331" s="771">
        <f t="shared" si="101"/>
        <v>0</v>
      </c>
      <c r="AG331" s="771">
        <f t="shared" si="109"/>
        <v>8.9862967269999994E-4</v>
      </c>
      <c r="AH331" s="525">
        <f>+DATA!Q327</f>
        <v>1703355.757</v>
      </c>
      <c r="AI331" s="525">
        <f>+DATA!R327</f>
        <v>141946.31308333334</v>
      </c>
      <c r="AJ331" s="525">
        <f>+DATA!S327</f>
        <v>112138</v>
      </c>
      <c r="AK331" s="525">
        <f>+'_DATA STT PAGOS_'!G329</f>
        <v>0</v>
      </c>
      <c r="AL331" s="525">
        <f>+'_DATA STT PAGOS_'!J329</f>
        <v>2311196.415</v>
      </c>
      <c r="AM331" s="525">
        <f>+DATA!Y327</f>
        <v>1177</v>
      </c>
      <c r="AN331" s="525">
        <f>+DATA!Z327</f>
        <v>1313</v>
      </c>
      <c r="AO331" s="525">
        <f>+DATA!AA327</f>
        <v>800</v>
      </c>
      <c r="AP331" s="525">
        <f>+DATA!AB327</f>
        <v>433</v>
      </c>
      <c r="AQ331" s="525">
        <f>+DATA!AC327</f>
        <v>3723</v>
      </c>
      <c r="AR331" s="525">
        <f>+DATA!AD327</f>
        <v>0</v>
      </c>
      <c r="AS331" s="525">
        <f>+DATA!AE327</f>
        <v>0</v>
      </c>
      <c r="AT331" s="525">
        <f>+DATA!AF327</f>
        <v>0</v>
      </c>
      <c r="AU331" s="525">
        <f>+DATA!AG327</f>
        <v>0</v>
      </c>
      <c r="AV331" s="525">
        <f>+DATA!AH327</f>
        <v>0</v>
      </c>
    </row>
    <row r="332" spans="1:48" x14ac:dyDescent="0.25">
      <c r="A332" s="527">
        <v>15201</v>
      </c>
      <c r="B332" s="527">
        <v>1301</v>
      </c>
      <c r="C332" s="527" t="s">
        <v>61</v>
      </c>
      <c r="D332" s="771">
        <f t="shared" si="92"/>
        <v>2.8901734103999998E-3</v>
      </c>
      <c r="E332" s="771">
        <f t="shared" si="93"/>
        <v>7.2254335259999995E-4</v>
      </c>
      <c r="F332" s="525">
        <f>+DATA!D328</f>
        <v>2569</v>
      </c>
      <c r="G332" s="772">
        <f>+DATA!E328</f>
        <v>7.3455778259526677E-2</v>
      </c>
      <c r="H332" s="525">
        <f t="shared" si="102"/>
        <v>189</v>
      </c>
      <c r="I332" s="771">
        <f t="shared" si="94"/>
        <v>1.4473664060000001E-4</v>
      </c>
      <c r="J332" s="771">
        <f t="shared" si="95"/>
        <v>1.44736641E-5</v>
      </c>
      <c r="K332" s="525">
        <f>+DATA!G328</f>
        <v>5249</v>
      </c>
      <c r="L332" s="525">
        <f>+DATA!H328</f>
        <v>5488</v>
      </c>
      <c r="M332" s="525">
        <f>+DATA!I328</f>
        <v>25443466077</v>
      </c>
      <c r="N332" s="525">
        <f>+DATA!J328</f>
        <v>35503673462</v>
      </c>
      <c r="O332" s="773">
        <f t="shared" si="103"/>
        <v>0.82790923401224348</v>
      </c>
      <c r="P332" s="774" t="str">
        <f t="shared" si="104"/>
        <v>SI</v>
      </c>
      <c r="Q332" s="771">
        <f t="shared" si="96"/>
        <v>9.1947961419999995E-4</v>
      </c>
      <c r="R332" s="771">
        <f t="shared" si="97"/>
        <v>1.3182526516000001E-3</v>
      </c>
      <c r="S332" s="771">
        <f t="shared" si="98"/>
        <v>3.9547579550000002E-4</v>
      </c>
      <c r="T332" s="525">
        <f>+DATA!K328</f>
        <v>0</v>
      </c>
      <c r="U332" s="525">
        <f>+DATA!L328</f>
        <v>0</v>
      </c>
      <c r="V332" s="525">
        <f>+DATA!M328</f>
        <v>507675</v>
      </c>
      <c r="W332" s="526">
        <f t="shared" si="99"/>
        <v>507675</v>
      </c>
      <c r="X332" s="526">
        <f t="shared" si="105"/>
        <v>507675</v>
      </c>
      <c r="Y332" s="526">
        <f t="shared" si="106"/>
        <v>507675</v>
      </c>
      <c r="Z332" s="525">
        <f>+DATA!F328</f>
        <v>96183.089230626822</v>
      </c>
      <c r="AA332" s="525">
        <f>IF(P332="SI",ROUND(Z332/DIV_Pf,PARAMETROS!$L$8),0)</f>
        <v>8015</v>
      </c>
      <c r="AB332" s="526">
        <f t="shared" si="107"/>
        <v>10584</v>
      </c>
      <c r="AC332" s="775">
        <f t="shared" si="108"/>
        <v>47.97</v>
      </c>
      <c r="AD332" s="525">
        <f>IF(AC332&lt;$AC$6,ROUND(($AC$6-AC332)*AB332,PARAMETROS!$L$8),0)</f>
        <v>598525</v>
      </c>
      <c r="AE332" s="771">
        <f t="shared" si="100"/>
        <v>5.7447625550000004E-4</v>
      </c>
      <c r="AF332" s="771">
        <f t="shared" si="101"/>
        <v>2.0106668939999999E-4</v>
      </c>
      <c r="AG332" s="771">
        <f t="shared" si="109"/>
        <v>1.3335595016E-3</v>
      </c>
      <c r="AH332" s="525">
        <f>+DATA!Q328</f>
        <v>2401263.9939999999</v>
      </c>
      <c r="AI332" s="525">
        <f>+DATA!R328</f>
        <v>200105.33283333332</v>
      </c>
      <c r="AJ332" s="525">
        <f>+DATA!S328</f>
        <v>158083</v>
      </c>
      <c r="AK332" s="525">
        <f>+'_DATA STT PAGOS_'!G330</f>
        <v>0</v>
      </c>
      <c r="AL332" s="525">
        <f>+'_DATA STT PAGOS_'!J330</f>
        <v>3257257.696</v>
      </c>
      <c r="AM332" s="525">
        <f>+DATA!Y328</f>
        <v>4131</v>
      </c>
      <c r="AN332" s="525">
        <f>+DATA!Z328</f>
        <v>3142</v>
      </c>
      <c r="AO332" s="525">
        <f>+DATA!AA328</f>
        <v>3710</v>
      </c>
      <c r="AP332" s="525">
        <f>+DATA!AB328</f>
        <v>3113</v>
      </c>
      <c r="AQ332" s="525">
        <f>+DATA!AC328</f>
        <v>14096</v>
      </c>
      <c r="AR332" s="525">
        <f>+DATA!AD328</f>
        <v>0</v>
      </c>
      <c r="AS332" s="525">
        <f>+DATA!AE328</f>
        <v>0</v>
      </c>
      <c r="AT332" s="525">
        <f>+DATA!AF328</f>
        <v>0</v>
      </c>
      <c r="AU332" s="525">
        <f>+DATA!AG328</f>
        <v>0</v>
      </c>
      <c r="AV332" s="525">
        <f>+DATA!AH328</f>
        <v>0</v>
      </c>
    </row>
    <row r="333" spans="1:48" x14ac:dyDescent="0.25">
      <c r="A333" s="527">
        <v>15202</v>
      </c>
      <c r="B333" s="527">
        <v>1302</v>
      </c>
      <c r="C333" s="527" t="s">
        <v>62</v>
      </c>
      <c r="D333" s="771">
        <f t="shared" si="92"/>
        <v>2.8901734103999998E-3</v>
      </c>
      <c r="E333" s="771">
        <f t="shared" si="93"/>
        <v>7.2254335259999995E-4</v>
      </c>
      <c r="F333" s="525">
        <f>+DATA!D329</f>
        <v>801</v>
      </c>
      <c r="G333" s="772">
        <f>+DATA!E329</f>
        <v>0.21238344227953801</v>
      </c>
      <c r="H333" s="525">
        <f t="shared" si="102"/>
        <v>170</v>
      </c>
      <c r="I333" s="771">
        <f t="shared" si="94"/>
        <v>1.3018639629999999E-4</v>
      </c>
      <c r="J333" s="771">
        <f t="shared" si="95"/>
        <v>1.3018639600000001E-5</v>
      </c>
      <c r="K333" s="525">
        <f>+DATA!G329</f>
        <v>311</v>
      </c>
      <c r="L333" s="525">
        <f>+DATA!H329</f>
        <v>339</v>
      </c>
      <c r="M333" s="525">
        <f>+DATA!I329</f>
        <v>4427100418</v>
      </c>
      <c r="N333" s="525">
        <f>+DATA!J329</f>
        <v>6396024780</v>
      </c>
      <c r="O333" s="773">
        <f t="shared" si="103"/>
        <v>0.79686538710889254</v>
      </c>
      <c r="P333" s="774" t="str">
        <f t="shared" si="104"/>
        <v>SI</v>
      </c>
      <c r="Q333" s="771">
        <f t="shared" si="96"/>
        <v>5.2254553600000001E-5</v>
      </c>
      <c r="R333" s="771">
        <f t="shared" si="97"/>
        <v>7.4917053899999997E-5</v>
      </c>
      <c r="S333" s="771">
        <f t="shared" si="98"/>
        <v>2.2475116200000001E-5</v>
      </c>
      <c r="T333" s="525">
        <f>+DATA!K329</f>
        <v>0</v>
      </c>
      <c r="U333" s="525">
        <f>+DATA!L329</f>
        <v>0</v>
      </c>
      <c r="V333" s="525">
        <f>+DATA!M329</f>
        <v>222842</v>
      </c>
      <c r="W333" s="526">
        <f t="shared" si="99"/>
        <v>222842</v>
      </c>
      <c r="X333" s="526">
        <f t="shared" si="105"/>
        <v>222842</v>
      </c>
      <c r="Y333" s="526">
        <f t="shared" si="106"/>
        <v>222842</v>
      </c>
      <c r="Z333" s="525">
        <f>+DATA!F329</f>
        <v>13372.299202437143</v>
      </c>
      <c r="AA333" s="525">
        <f>IF(P333="SI",ROUND(Z333/DIV_Pf,PARAMETROS!$L$8),0)</f>
        <v>1114</v>
      </c>
      <c r="AB333" s="526">
        <f t="shared" si="107"/>
        <v>1915</v>
      </c>
      <c r="AC333" s="775">
        <f t="shared" si="108"/>
        <v>116.37</v>
      </c>
      <c r="AD333" s="525">
        <f>IF(AC333&lt;$AC$6,ROUND(($AC$6-AC333)*AB333,PARAMETROS!$L$8),0)</f>
        <v>0</v>
      </c>
      <c r="AE333" s="771">
        <f t="shared" si="100"/>
        <v>0</v>
      </c>
      <c r="AF333" s="771">
        <f t="shared" si="101"/>
        <v>0</v>
      </c>
      <c r="AG333" s="771">
        <f t="shared" si="109"/>
        <v>7.5803710839999995E-4</v>
      </c>
      <c r="AH333" s="525">
        <f>+DATA!Q329</f>
        <v>1464134.36</v>
      </c>
      <c r="AI333" s="525">
        <f>+DATA!R329</f>
        <v>122011.19666666667</v>
      </c>
      <c r="AJ333" s="525">
        <f>+DATA!S329</f>
        <v>96389</v>
      </c>
      <c r="AK333" s="525">
        <f>+'_DATA STT PAGOS_'!G331</f>
        <v>0</v>
      </c>
      <c r="AL333" s="525">
        <f>+'_DATA STT PAGOS_'!J331</f>
        <v>1986825.6940000001</v>
      </c>
      <c r="AM333" s="525">
        <f>+DATA!Y329</f>
        <v>101</v>
      </c>
      <c r="AN333" s="525">
        <f>+DATA!Z329</f>
        <v>127</v>
      </c>
      <c r="AO333" s="525">
        <f>+DATA!AA329</f>
        <v>67</v>
      </c>
      <c r="AP333" s="525">
        <f>+DATA!AB329</f>
        <v>89</v>
      </c>
      <c r="AQ333" s="525">
        <f>+DATA!AC329</f>
        <v>384</v>
      </c>
      <c r="AR333" s="525">
        <f>+DATA!AD329</f>
        <v>0</v>
      </c>
      <c r="AS333" s="525">
        <f>+DATA!AE329</f>
        <v>0</v>
      </c>
      <c r="AT333" s="525">
        <f>+DATA!AF329</f>
        <v>0</v>
      </c>
      <c r="AU333" s="525">
        <f>+DATA!AG329</f>
        <v>0</v>
      </c>
      <c r="AV333" s="525">
        <f>+DATA!AH329</f>
        <v>0</v>
      </c>
    </row>
    <row r="334" spans="1:48" x14ac:dyDescent="0.25">
      <c r="A334" s="527">
        <v>16101</v>
      </c>
      <c r="B334" s="527">
        <v>8101</v>
      </c>
      <c r="C334" s="527" t="s">
        <v>401</v>
      </c>
      <c r="D334" s="771">
        <f t="shared" si="92"/>
        <v>2.8901734103999998E-3</v>
      </c>
      <c r="E334" s="771">
        <f t="shared" si="93"/>
        <v>7.2254335259999995E-4</v>
      </c>
      <c r="F334" s="525">
        <f>+DATA!D330</f>
        <v>204091</v>
      </c>
      <c r="G334" s="772">
        <f>+DATA!E330</f>
        <v>0.10512179786213829</v>
      </c>
      <c r="H334" s="525">
        <f t="shared" si="102"/>
        <v>21454</v>
      </c>
      <c r="I334" s="771">
        <f t="shared" si="94"/>
        <v>1.64295232115E-2</v>
      </c>
      <c r="J334" s="771">
        <f t="shared" si="95"/>
        <v>1.6429523212E-3</v>
      </c>
      <c r="K334" s="525">
        <f>+DATA!G330</f>
        <v>66656</v>
      </c>
      <c r="L334" s="525">
        <f>+DATA!H330</f>
        <v>89703</v>
      </c>
      <c r="M334" s="525">
        <f>+DATA!I330</f>
        <v>2220906563514</v>
      </c>
      <c r="N334" s="525">
        <f>+DATA!J330</f>
        <v>4760567855407</v>
      </c>
      <c r="O334" s="773">
        <f t="shared" si="103"/>
        <v>0.58877844762952392</v>
      </c>
      <c r="P334" s="774" t="str">
        <f t="shared" si="104"/>
        <v>SI</v>
      </c>
      <c r="Q334" s="771">
        <f t="shared" si="96"/>
        <v>9.0714057130000005E-3</v>
      </c>
      <c r="R334" s="771">
        <f t="shared" si="97"/>
        <v>1.3005622365699999E-2</v>
      </c>
      <c r="S334" s="771">
        <f t="shared" si="98"/>
        <v>3.9016867096999999E-3</v>
      </c>
      <c r="T334" s="525">
        <f>+DATA!K330</f>
        <v>0</v>
      </c>
      <c r="U334" s="525">
        <f>+DATA!L330</f>
        <v>0</v>
      </c>
      <c r="V334" s="525">
        <f>+DATA!M330</f>
        <v>24405133</v>
      </c>
      <c r="W334" s="526">
        <f t="shared" si="99"/>
        <v>24405133</v>
      </c>
      <c r="X334" s="526">
        <f t="shared" si="105"/>
        <v>24405133</v>
      </c>
      <c r="Y334" s="526">
        <f t="shared" si="106"/>
        <v>24405133</v>
      </c>
      <c r="Z334" s="525">
        <f>+DATA!F330</f>
        <v>1563330.8517008331</v>
      </c>
      <c r="AA334" s="525">
        <f>IF(P334="SI",ROUND(Z334/DIV_Pf,PARAMETROS!$L$8),0)</f>
        <v>130278</v>
      </c>
      <c r="AB334" s="526">
        <f t="shared" si="107"/>
        <v>334369</v>
      </c>
      <c r="AC334" s="775">
        <f t="shared" si="108"/>
        <v>72.989999999999995</v>
      </c>
      <c r="AD334" s="525">
        <f>IF(AC334&lt;$AC$6,ROUND(($AC$6-AC334)*AB334,PARAMETROS!$L$8),0)</f>
        <v>10542655</v>
      </c>
      <c r="AE334" s="771">
        <f t="shared" si="100"/>
        <v>1.0119050945300001E-2</v>
      </c>
      <c r="AF334" s="771">
        <f t="shared" si="101"/>
        <v>3.5416678308999999E-3</v>
      </c>
      <c r="AG334" s="771">
        <f t="shared" si="109"/>
        <v>9.8088502143999987E-3</v>
      </c>
      <c r="AH334" s="525">
        <f>+DATA!Q330</f>
        <v>18155597.146000002</v>
      </c>
      <c r="AI334" s="525">
        <f>+DATA!R330</f>
        <v>1512966.4288333335</v>
      </c>
      <c r="AJ334" s="525">
        <f>+DATA!S330</f>
        <v>1195243</v>
      </c>
      <c r="AK334" s="525">
        <f>+'_DATA STT PAGOS_'!G332</f>
        <v>0</v>
      </c>
      <c r="AL334" s="525">
        <f>+'_DATA STT PAGOS_'!J332</f>
        <v>24660015.822999999</v>
      </c>
      <c r="AM334" s="525">
        <f>+DATA!Y330</f>
        <v>1180963</v>
      </c>
      <c r="AN334" s="525">
        <f>+DATA!Z330</f>
        <v>876194</v>
      </c>
      <c r="AO334" s="525">
        <f>+DATA!AA330</f>
        <v>969932</v>
      </c>
      <c r="AP334" s="525">
        <f>+DATA!AB330</f>
        <v>856644</v>
      </c>
      <c r="AQ334" s="525">
        <f>+DATA!AC330</f>
        <v>3883733</v>
      </c>
      <c r="AR334" s="525">
        <f>+DATA!AD330</f>
        <v>88244</v>
      </c>
      <c r="AS334" s="525">
        <f>+DATA!AE330</f>
        <v>44449</v>
      </c>
      <c r="AT334" s="525">
        <f>+DATA!AF330</f>
        <v>59085.474999999999</v>
      </c>
      <c r="AU334" s="525">
        <f>+DATA!AG330</f>
        <v>42712</v>
      </c>
      <c r="AV334" s="525">
        <f>+DATA!AH330</f>
        <v>234490.47500000001</v>
      </c>
    </row>
    <row r="335" spans="1:48" x14ac:dyDescent="0.25">
      <c r="A335" s="527">
        <v>16102</v>
      </c>
      <c r="B335" s="527">
        <v>8113</v>
      </c>
      <c r="C335" s="527" t="s">
        <v>177</v>
      </c>
      <c r="D335" s="771">
        <f t="shared" si="92"/>
        <v>2.8901734103999998E-3</v>
      </c>
      <c r="E335" s="771">
        <f t="shared" si="93"/>
        <v>7.2254335259999995E-4</v>
      </c>
      <c r="F335" s="525">
        <f>+DATA!D331</f>
        <v>22754</v>
      </c>
      <c r="G335" s="772">
        <f>+DATA!E331</f>
        <v>0.12741203744136989</v>
      </c>
      <c r="H335" s="525">
        <f t="shared" si="102"/>
        <v>2899</v>
      </c>
      <c r="I335" s="771">
        <f t="shared" si="94"/>
        <v>2.2200609579E-3</v>
      </c>
      <c r="J335" s="771">
        <f t="shared" si="95"/>
        <v>2.220060958E-4</v>
      </c>
      <c r="K335" s="525">
        <f>+DATA!G331</f>
        <v>10619</v>
      </c>
      <c r="L335" s="525">
        <f>+DATA!H331</f>
        <v>14239</v>
      </c>
      <c r="M335" s="525">
        <f>+DATA!I331</f>
        <v>162073582398</v>
      </c>
      <c r="N335" s="525">
        <f>+DATA!J331</f>
        <v>433463697881</v>
      </c>
      <c r="O335" s="773">
        <f t="shared" si="103"/>
        <v>0.5280582296819204</v>
      </c>
      <c r="P335" s="774" t="str">
        <f t="shared" si="104"/>
        <v>SI</v>
      </c>
      <c r="Q335" s="771">
        <f t="shared" si="96"/>
        <v>1.4504100944999999E-3</v>
      </c>
      <c r="R335" s="771">
        <f t="shared" si="97"/>
        <v>2.0794446375E-3</v>
      </c>
      <c r="S335" s="771">
        <f t="shared" si="98"/>
        <v>6.2383339129999996E-4</v>
      </c>
      <c r="T335" s="525">
        <f>+DATA!K331</f>
        <v>0</v>
      </c>
      <c r="U335" s="525">
        <f>+DATA!L331</f>
        <v>0</v>
      </c>
      <c r="V335" s="525">
        <f>+DATA!M331</f>
        <v>1863601</v>
      </c>
      <c r="W335" s="526">
        <f t="shared" si="99"/>
        <v>1863601</v>
      </c>
      <c r="X335" s="526">
        <f t="shared" si="105"/>
        <v>1863601</v>
      </c>
      <c r="Y335" s="526">
        <f t="shared" si="106"/>
        <v>1863601</v>
      </c>
      <c r="Z335" s="525">
        <f>+DATA!F331</f>
        <v>312181.18204966641</v>
      </c>
      <c r="AA335" s="525">
        <f>IF(P335="SI",ROUND(Z335/DIV_Pf,PARAMETROS!$L$8),0)</f>
        <v>26015</v>
      </c>
      <c r="AB335" s="526">
        <f t="shared" si="107"/>
        <v>48769</v>
      </c>
      <c r="AC335" s="775">
        <f t="shared" si="108"/>
        <v>38.21</v>
      </c>
      <c r="AD335" s="525">
        <f>IF(AC335&lt;$AC$6,ROUND(($AC$6-AC335)*AB335,PARAMETROS!$L$8),0)</f>
        <v>3233872</v>
      </c>
      <c r="AE335" s="771">
        <f t="shared" si="100"/>
        <v>3.1039349687999999E-3</v>
      </c>
      <c r="AF335" s="771">
        <f t="shared" si="101"/>
        <v>1.0863772390999999E-3</v>
      </c>
      <c r="AG335" s="771">
        <f t="shared" si="109"/>
        <v>2.6547600787999994E-3</v>
      </c>
      <c r="AH335" s="525">
        <f>+DATA!Q331</f>
        <v>4446697.5369999995</v>
      </c>
      <c r="AI335" s="525">
        <f>+DATA!R331</f>
        <v>370558.12808333331</v>
      </c>
      <c r="AJ335" s="525">
        <f>+DATA!S331</f>
        <v>292741</v>
      </c>
      <c r="AK335" s="525">
        <f>+'_DATA STT PAGOS_'!G333</f>
        <v>0</v>
      </c>
      <c r="AL335" s="525">
        <f>+'_DATA STT PAGOS_'!J333</f>
        <v>6035667.9219999993</v>
      </c>
      <c r="AM335" s="525">
        <f>+DATA!Y331</f>
        <v>76640</v>
      </c>
      <c r="AN335" s="525">
        <f>+DATA!Z331</f>
        <v>55357</v>
      </c>
      <c r="AO335" s="525">
        <f>+DATA!AA331</f>
        <v>59796</v>
      </c>
      <c r="AP335" s="525">
        <f>+DATA!AB331</f>
        <v>47940</v>
      </c>
      <c r="AQ335" s="525">
        <f>+DATA!AC331</f>
        <v>239733</v>
      </c>
      <c r="AR335" s="525">
        <f>+DATA!AD331</f>
        <v>4175</v>
      </c>
      <c r="AS335" s="525">
        <f>+DATA!AE331</f>
        <v>2412</v>
      </c>
      <c r="AT335" s="525">
        <f>+DATA!AF331</f>
        <v>3577.991</v>
      </c>
      <c r="AU335" s="525">
        <f>+DATA!AG331</f>
        <v>2631</v>
      </c>
      <c r="AV335" s="525">
        <f>+DATA!AH331</f>
        <v>12795.991</v>
      </c>
    </row>
    <row r="336" spans="1:48" x14ac:dyDescent="0.25">
      <c r="A336" s="527">
        <v>16103</v>
      </c>
      <c r="B336" s="527">
        <v>8121</v>
      </c>
      <c r="C336" s="527" t="s">
        <v>402</v>
      </c>
      <c r="D336" s="771">
        <f t="shared" si="92"/>
        <v>2.8901734103999998E-3</v>
      </c>
      <c r="E336" s="771">
        <f t="shared" si="93"/>
        <v>7.2254335259999995E-4</v>
      </c>
      <c r="F336" s="525">
        <f>+DATA!D332</f>
        <v>35580</v>
      </c>
      <c r="G336" s="772">
        <f>+DATA!E332</f>
        <v>8.5460198027746473E-2</v>
      </c>
      <c r="H336" s="525">
        <f t="shared" si="102"/>
        <v>3041</v>
      </c>
      <c r="I336" s="771">
        <f t="shared" si="94"/>
        <v>2.3288048888999999E-3</v>
      </c>
      <c r="J336" s="771">
        <f t="shared" si="95"/>
        <v>2.328804889E-4</v>
      </c>
      <c r="K336" s="525">
        <f>+DATA!G332</f>
        <v>12199</v>
      </c>
      <c r="L336" s="525">
        <f>+DATA!H332</f>
        <v>14247</v>
      </c>
      <c r="M336" s="525">
        <f>+DATA!I332</f>
        <v>249769046648</v>
      </c>
      <c r="N336" s="525">
        <f>+DATA!J332</f>
        <v>491215041324</v>
      </c>
      <c r="O336" s="773">
        <f t="shared" si="103"/>
        <v>0.65983277401371554</v>
      </c>
      <c r="P336" s="774" t="str">
        <f t="shared" si="104"/>
        <v>SI</v>
      </c>
      <c r="Q336" s="771">
        <f t="shared" si="96"/>
        <v>1.9130578382E-3</v>
      </c>
      <c r="R336" s="771">
        <f t="shared" si="97"/>
        <v>2.7427400552999998E-3</v>
      </c>
      <c r="S336" s="771">
        <f t="shared" si="98"/>
        <v>8.2282201659999998E-4</v>
      </c>
      <c r="T336" s="525">
        <f>+DATA!K332</f>
        <v>0</v>
      </c>
      <c r="U336" s="525">
        <f>+DATA!L332</f>
        <v>0</v>
      </c>
      <c r="V336" s="525">
        <f>+DATA!M332</f>
        <v>3144532</v>
      </c>
      <c r="W336" s="526">
        <f t="shared" si="99"/>
        <v>3144532</v>
      </c>
      <c r="X336" s="526">
        <f t="shared" si="105"/>
        <v>3144532</v>
      </c>
      <c r="Y336" s="526">
        <f t="shared" si="106"/>
        <v>3144532</v>
      </c>
      <c r="Z336" s="525">
        <f>+DATA!F332</f>
        <v>265916.33423438331</v>
      </c>
      <c r="AA336" s="525">
        <f>IF(P336="SI",ROUND(Z336/DIV_Pf,PARAMETROS!$L$8),0)</f>
        <v>22160</v>
      </c>
      <c r="AB336" s="526">
        <f t="shared" si="107"/>
        <v>57740</v>
      </c>
      <c r="AC336" s="775">
        <f t="shared" si="108"/>
        <v>54.46</v>
      </c>
      <c r="AD336" s="525">
        <f>IF(AC336&lt;$AC$6,ROUND(($AC$6-AC336)*AB336,PARAMETROS!$L$8),0)</f>
        <v>2890464</v>
      </c>
      <c r="AE336" s="771">
        <f t="shared" si="100"/>
        <v>2.7743251079999998E-3</v>
      </c>
      <c r="AF336" s="771">
        <f t="shared" si="101"/>
        <v>9.7101378779999999E-4</v>
      </c>
      <c r="AG336" s="771">
        <f t="shared" si="109"/>
        <v>2.7492596458999997E-3</v>
      </c>
      <c r="AH336" s="525">
        <f>+DATA!Q332</f>
        <v>4711820.7779999999</v>
      </c>
      <c r="AI336" s="525">
        <f>+DATA!R332</f>
        <v>392651.73149999999</v>
      </c>
      <c r="AJ336" s="525">
        <f>+DATA!S332</f>
        <v>310195</v>
      </c>
      <c r="AK336" s="525">
        <f>+'_DATA STT PAGOS_'!G334</f>
        <v>0</v>
      </c>
      <c r="AL336" s="525">
        <f>+'_DATA STT PAGOS_'!J334</f>
        <v>6392111.0770000005</v>
      </c>
      <c r="AM336" s="525">
        <f>+DATA!Y332</f>
        <v>112555</v>
      </c>
      <c r="AN336" s="525">
        <f>+DATA!Z332</f>
        <v>83795</v>
      </c>
      <c r="AO336" s="525">
        <f>+DATA!AA332</f>
        <v>93463</v>
      </c>
      <c r="AP336" s="525">
        <f>+DATA!AB332</f>
        <v>90093</v>
      </c>
      <c r="AQ336" s="525">
        <f>+DATA!AC332</f>
        <v>379906</v>
      </c>
      <c r="AR336" s="525">
        <f>+DATA!AD332</f>
        <v>3285</v>
      </c>
      <c r="AS336" s="525">
        <f>+DATA!AE332</f>
        <v>1246</v>
      </c>
      <c r="AT336" s="525">
        <f>+DATA!AF332</f>
        <v>2732.6</v>
      </c>
      <c r="AU336" s="525">
        <f>+DATA!AG332</f>
        <v>2204</v>
      </c>
      <c r="AV336" s="525">
        <f>+DATA!AH332</f>
        <v>9467.6</v>
      </c>
    </row>
    <row r="337" spans="1:48" x14ac:dyDescent="0.25">
      <c r="A337" s="527">
        <v>16104</v>
      </c>
      <c r="B337" s="527">
        <v>8118</v>
      </c>
      <c r="C337" s="527" t="s">
        <v>181</v>
      </c>
      <c r="D337" s="771">
        <f t="shared" si="92"/>
        <v>2.8901734103999998E-3</v>
      </c>
      <c r="E337" s="771">
        <f t="shared" si="93"/>
        <v>7.2254335259999995E-4</v>
      </c>
      <c r="F337" s="525">
        <f>+DATA!D333</f>
        <v>12197</v>
      </c>
      <c r="G337" s="772">
        <f>+DATA!E333</f>
        <v>0.1492478148913714</v>
      </c>
      <c r="H337" s="525">
        <f t="shared" si="102"/>
        <v>1820</v>
      </c>
      <c r="I337" s="771">
        <f t="shared" si="94"/>
        <v>1.3937602425999999E-3</v>
      </c>
      <c r="J337" s="771">
        <f t="shared" si="95"/>
        <v>1.393760243E-4</v>
      </c>
      <c r="K337" s="525">
        <f>+DATA!G333</f>
        <v>7237</v>
      </c>
      <c r="L337" s="525">
        <f>+DATA!H333</f>
        <v>9656</v>
      </c>
      <c r="M337" s="525">
        <f>+DATA!I333</f>
        <v>115937403451</v>
      </c>
      <c r="N337" s="525">
        <f>+DATA!J333</f>
        <v>357892379286</v>
      </c>
      <c r="O337" s="773">
        <f t="shared" si="103"/>
        <v>0.49273818235442346</v>
      </c>
      <c r="P337" s="774" t="str">
        <f t="shared" si="104"/>
        <v>SI</v>
      </c>
      <c r="Q337" s="771">
        <f t="shared" si="96"/>
        <v>9.9339724279999997E-4</v>
      </c>
      <c r="R337" s="771">
        <f t="shared" si="97"/>
        <v>1.4242279320000001E-3</v>
      </c>
      <c r="S337" s="771">
        <f t="shared" si="98"/>
        <v>4.272683796E-4</v>
      </c>
      <c r="T337" s="525">
        <f>+DATA!K333</f>
        <v>0</v>
      </c>
      <c r="U337" s="525">
        <f>+DATA!L333</f>
        <v>0</v>
      </c>
      <c r="V337" s="525">
        <f>+DATA!M333</f>
        <v>991982</v>
      </c>
      <c r="W337" s="526">
        <f t="shared" si="99"/>
        <v>991982</v>
      </c>
      <c r="X337" s="526">
        <f t="shared" si="105"/>
        <v>991982</v>
      </c>
      <c r="Y337" s="526">
        <f t="shared" si="106"/>
        <v>991982</v>
      </c>
      <c r="Z337" s="525">
        <f>+DATA!F333</f>
        <v>128837.65150317262</v>
      </c>
      <c r="AA337" s="525">
        <f>IF(P337="SI",ROUND(Z337/DIV_Pf,PARAMETROS!$L$8),0)</f>
        <v>10736</v>
      </c>
      <c r="AB337" s="526">
        <f t="shared" si="107"/>
        <v>22933</v>
      </c>
      <c r="AC337" s="775">
        <f t="shared" si="108"/>
        <v>43.26</v>
      </c>
      <c r="AD337" s="525">
        <f>IF(AC337&lt;$AC$6,ROUND(($AC$6-AC337)*AB337,PARAMETROS!$L$8),0)</f>
        <v>1404876</v>
      </c>
      <c r="AE337" s="771">
        <f t="shared" si="100"/>
        <v>1.3484280588000001E-3</v>
      </c>
      <c r="AF337" s="771">
        <f t="shared" si="101"/>
        <v>4.719498206E-4</v>
      </c>
      <c r="AG337" s="771">
        <f t="shared" si="109"/>
        <v>1.7611375771E-3</v>
      </c>
      <c r="AH337" s="525">
        <f>+DATA!Q333</f>
        <v>3141625.0210000002</v>
      </c>
      <c r="AI337" s="525">
        <f>+DATA!R333</f>
        <v>261802.08508333334</v>
      </c>
      <c r="AJ337" s="525">
        <f>+DATA!S333</f>
        <v>206824</v>
      </c>
      <c r="AK337" s="525">
        <f>+'_DATA STT PAGOS_'!G335</f>
        <v>0</v>
      </c>
      <c r="AL337" s="525">
        <f>+'_DATA STT PAGOS_'!J335</f>
        <v>4264939.7910000002</v>
      </c>
      <c r="AM337" s="525">
        <f>+DATA!Y333</f>
        <v>45742</v>
      </c>
      <c r="AN337" s="525">
        <f>+DATA!Z333</f>
        <v>25467</v>
      </c>
      <c r="AO337" s="525">
        <f>+DATA!AA333</f>
        <v>38530</v>
      </c>
      <c r="AP337" s="525">
        <f>+DATA!AB333</f>
        <v>26879</v>
      </c>
      <c r="AQ337" s="525">
        <f>+DATA!AC333</f>
        <v>136618</v>
      </c>
      <c r="AR337" s="525">
        <f>+DATA!AD333</f>
        <v>673</v>
      </c>
      <c r="AS337" s="525">
        <f>+DATA!AE333</f>
        <v>289</v>
      </c>
      <c r="AT337" s="525">
        <f>+DATA!AF333</f>
        <v>390.18799999999999</v>
      </c>
      <c r="AU337" s="525">
        <f>+DATA!AG333</f>
        <v>374</v>
      </c>
      <c r="AV337" s="525">
        <f>+DATA!AH333</f>
        <v>1726.1880000000001</v>
      </c>
    </row>
    <row r="338" spans="1:48" x14ac:dyDescent="0.25">
      <c r="A338" s="527">
        <v>16105</v>
      </c>
      <c r="B338" s="527">
        <v>8117</v>
      </c>
      <c r="C338" s="527" t="s">
        <v>180</v>
      </c>
      <c r="D338" s="771">
        <f t="shared" si="92"/>
        <v>2.8901734103999998E-3</v>
      </c>
      <c r="E338" s="771">
        <f t="shared" si="93"/>
        <v>7.2254335259999995E-4</v>
      </c>
      <c r="F338" s="525">
        <f>+DATA!D334</f>
        <v>8583</v>
      </c>
      <c r="G338" s="772">
        <f>+DATA!E334</f>
        <v>0.19017621091411049</v>
      </c>
      <c r="H338" s="525">
        <f t="shared" si="102"/>
        <v>1632</v>
      </c>
      <c r="I338" s="771">
        <f t="shared" si="94"/>
        <v>1.2497894044000001E-3</v>
      </c>
      <c r="J338" s="771">
        <f t="shared" si="95"/>
        <v>1.2497894040000001E-4</v>
      </c>
      <c r="K338" s="525">
        <f>+DATA!G334</f>
        <v>4405</v>
      </c>
      <c r="L338" s="525">
        <f>+DATA!H334</f>
        <v>6406</v>
      </c>
      <c r="M338" s="525">
        <f>+DATA!I334</f>
        <v>67768328976.999992</v>
      </c>
      <c r="N338" s="525">
        <f>+DATA!J334</f>
        <v>290277948285</v>
      </c>
      <c r="O338" s="773">
        <f t="shared" si="103"/>
        <v>0.40066910444190612</v>
      </c>
      <c r="P338" s="774" t="str">
        <f t="shared" si="104"/>
        <v>NO</v>
      </c>
      <c r="Q338" s="771">
        <f t="shared" si="96"/>
        <v>5.5476359429999995E-4</v>
      </c>
      <c r="R338" s="771">
        <f t="shared" si="97"/>
        <v>7.9536138479999999E-4</v>
      </c>
      <c r="S338" s="771">
        <f t="shared" si="98"/>
        <v>2.386084154E-4</v>
      </c>
      <c r="T338" s="525">
        <f>+DATA!K334</f>
        <v>0</v>
      </c>
      <c r="U338" s="525">
        <f>+DATA!L334</f>
        <v>0</v>
      </c>
      <c r="V338" s="525">
        <f>+DATA!M334</f>
        <v>1373776</v>
      </c>
      <c r="W338" s="526">
        <f t="shared" si="99"/>
        <v>1373776</v>
      </c>
      <c r="X338" s="526">
        <f t="shared" si="105"/>
        <v>1373776</v>
      </c>
      <c r="Y338" s="526">
        <f t="shared" si="106"/>
        <v>1373776</v>
      </c>
      <c r="Z338" s="525">
        <f>+DATA!F334</f>
        <v>113575.97095065925</v>
      </c>
      <c r="AA338" s="525">
        <f>IF(P338="SI",ROUND(Z338/DIV_Pf,PARAMETROS!$L$8),0)</f>
        <v>0</v>
      </c>
      <c r="AB338" s="526">
        <f t="shared" si="107"/>
        <v>8583</v>
      </c>
      <c r="AC338" s="775">
        <f t="shared" si="108"/>
        <v>160.06</v>
      </c>
      <c r="AD338" s="525">
        <f>IF(AC338&lt;$AC$6,ROUND(($AC$6-AC338)*AB338,PARAMETROS!$L$8),0)</f>
        <v>0</v>
      </c>
      <c r="AE338" s="771">
        <f t="shared" si="100"/>
        <v>0</v>
      </c>
      <c r="AF338" s="771">
        <f t="shared" si="101"/>
        <v>0</v>
      </c>
      <c r="AG338" s="771">
        <f t="shared" si="109"/>
        <v>1.0861307083999999E-3</v>
      </c>
      <c r="AH338" s="525">
        <f>+DATA!Q334</f>
        <v>2019788.422</v>
      </c>
      <c r="AI338" s="525">
        <f>+DATA!R334</f>
        <v>168315.70183333333</v>
      </c>
      <c r="AJ338" s="525">
        <f>+DATA!S334</f>
        <v>132969</v>
      </c>
      <c r="AK338" s="525">
        <f>+'_DATA STT PAGOS_'!G336</f>
        <v>0</v>
      </c>
      <c r="AL338" s="525">
        <f>+'_DATA STT PAGOS_'!J336</f>
        <v>2744674.0080000004</v>
      </c>
      <c r="AM338" s="525">
        <f>+DATA!Y334</f>
        <v>60772</v>
      </c>
      <c r="AN338" s="525">
        <f>+DATA!Z334</f>
        <v>52718</v>
      </c>
      <c r="AO338" s="525">
        <f>+DATA!AA334</f>
        <v>75148</v>
      </c>
      <c r="AP338" s="525">
        <f>+DATA!AB334</f>
        <v>34282</v>
      </c>
      <c r="AQ338" s="525">
        <f>+DATA!AC334</f>
        <v>222920</v>
      </c>
      <c r="AR338" s="525">
        <f>+DATA!AD334</f>
        <v>1564</v>
      </c>
      <c r="AS338" s="525">
        <f>+DATA!AE334</f>
        <v>981</v>
      </c>
      <c r="AT338" s="525">
        <f>+DATA!AF334</f>
        <v>1523.0450000000001</v>
      </c>
      <c r="AU338" s="525">
        <f>+DATA!AG334</f>
        <v>1140</v>
      </c>
      <c r="AV338" s="525">
        <f>+DATA!AH334</f>
        <v>5208.0450000000001</v>
      </c>
    </row>
    <row r="339" spans="1:48" x14ac:dyDescent="0.25">
      <c r="A339" s="527">
        <v>16106</v>
      </c>
      <c r="B339" s="527">
        <v>8102</v>
      </c>
      <c r="C339" s="527" t="s">
        <v>169</v>
      </c>
      <c r="D339" s="771">
        <f t="shared" si="92"/>
        <v>2.8901734103999998E-3</v>
      </c>
      <c r="E339" s="771">
        <f t="shared" si="93"/>
        <v>7.2254335259999995E-4</v>
      </c>
      <c r="F339" s="525">
        <f>+DATA!D335</f>
        <v>12179</v>
      </c>
      <c r="G339" s="772">
        <f>+DATA!E335</f>
        <v>0.10267164290034719</v>
      </c>
      <c r="H339" s="525">
        <f t="shared" si="102"/>
        <v>1250</v>
      </c>
      <c r="I339" s="771">
        <f t="shared" si="94"/>
        <v>9.5725291389999996E-4</v>
      </c>
      <c r="J339" s="771">
        <f t="shared" si="95"/>
        <v>9.5725291400000005E-5</v>
      </c>
      <c r="K339" s="525">
        <f>+DATA!G335</f>
        <v>6959</v>
      </c>
      <c r="L339" s="525">
        <f>+DATA!H335</f>
        <v>11725</v>
      </c>
      <c r="M339" s="525">
        <f>+DATA!I335</f>
        <v>160432088674</v>
      </c>
      <c r="N339" s="525">
        <f>+DATA!J335</f>
        <v>471797365618</v>
      </c>
      <c r="O339" s="773">
        <f t="shared" si="103"/>
        <v>0.44924665857957652</v>
      </c>
      <c r="P339" s="774" t="str">
        <f t="shared" si="104"/>
        <v>NO</v>
      </c>
      <c r="Q339" s="771">
        <f t="shared" si="96"/>
        <v>7.5645636890000003E-4</v>
      </c>
      <c r="R339" s="771">
        <f t="shared" si="97"/>
        <v>1.0845271594E-3</v>
      </c>
      <c r="S339" s="771">
        <f t="shared" si="98"/>
        <v>3.2535814779999998E-4</v>
      </c>
      <c r="T339" s="525">
        <f>+DATA!K335</f>
        <v>0</v>
      </c>
      <c r="U339" s="525">
        <f>+DATA!L335</f>
        <v>0</v>
      </c>
      <c r="V339" s="525">
        <f>+DATA!M335</f>
        <v>1716556</v>
      </c>
      <c r="W339" s="526">
        <f t="shared" si="99"/>
        <v>1716556</v>
      </c>
      <c r="X339" s="526">
        <f t="shared" si="105"/>
        <v>1716556</v>
      </c>
      <c r="Y339" s="526">
        <f t="shared" si="106"/>
        <v>1716556</v>
      </c>
      <c r="Z339" s="525">
        <f>+DATA!F335</f>
        <v>737085.48993723467</v>
      </c>
      <c r="AA339" s="525">
        <f>IF(P339="SI",ROUND(Z339/DIV_Pf,PARAMETROS!$L$8),0)</f>
        <v>0</v>
      </c>
      <c r="AB339" s="526">
        <f t="shared" si="107"/>
        <v>12179</v>
      </c>
      <c r="AC339" s="775">
        <f t="shared" si="108"/>
        <v>140.94</v>
      </c>
      <c r="AD339" s="525">
        <f>IF(AC339&lt;$AC$6,ROUND(($AC$6-AC339)*AB339,PARAMETROS!$L$8),0)</f>
        <v>0</v>
      </c>
      <c r="AE339" s="771">
        <f t="shared" si="100"/>
        <v>0</v>
      </c>
      <c r="AF339" s="771">
        <f t="shared" si="101"/>
        <v>0</v>
      </c>
      <c r="AG339" s="771">
        <f t="shared" si="109"/>
        <v>1.1436267917999999E-3</v>
      </c>
      <c r="AH339" s="525">
        <f>+DATA!Q335</f>
        <v>2255040.412</v>
      </c>
      <c r="AI339" s="525">
        <f>+DATA!R335</f>
        <v>187920.03433333334</v>
      </c>
      <c r="AJ339" s="525">
        <f>+DATA!S335</f>
        <v>148457</v>
      </c>
      <c r="AK339" s="525">
        <f>+'_DATA STT PAGOS_'!G337</f>
        <v>0</v>
      </c>
      <c r="AL339" s="525">
        <f>+'_DATA STT PAGOS_'!J337</f>
        <v>3060546.202</v>
      </c>
      <c r="AM339" s="525">
        <f>+DATA!Y335</f>
        <v>105227</v>
      </c>
      <c r="AN339" s="525">
        <f>+DATA!Z335</f>
        <v>75783</v>
      </c>
      <c r="AO339" s="525">
        <f>+DATA!AA335</f>
        <v>90229</v>
      </c>
      <c r="AP339" s="525">
        <f>+DATA!AB335</f>
        <v>68518</v>
      </c>
      <c r="AQ339" s="525">
        <f>+DATA!AC335</f>
        <v>339757</v>
      </c>
      <c r="AR339" s="525">
        <f>+DATA!AD335</f>
        <v>5351</v>
      </c>
      <c r="AS339" s="525">
        <f>+DATA!AE335</f>
        <v>2935</v>
      </c>
      <c r="AT339" s="525">
        <f>+DATA!AF335</f>
        <v>3700.3679999999999</v>
      </c>
      <c r="AU339" s="525">
        <f>+DATA!AG335</f>
        <v>2274</v>
      </c>
      <c r="AV339" s="525">
        <f>+DATA!AH335</f>
        <v>14260.368</v>
      </c>
    </row>
    <row r="340" spans="1:48" x14ac:dyDescent="0.25">
      <c r="A340" s="527">
        <v>16107</v>
      </c>
      <c r="B340" s="527">
        <v>8115</v>
      </c>
      <c r="C340" s="527" t="s">
        <v>404</v>
      </c>
      <c r="D340" s="771">
        <f t="shared" si="92"/>
        <v>2.8901734103999998E-3</v>
      </c>
      <c r="E340" s="771">
        <f t="shared" si="93"/>
        <v>7.2254335259999995E-4</v>
      </c>
      <c r="F340" s="525">
        <f>+DATA!D336</f>
        <v>19304</v>
      </c>
      <c r="G340" s="772">
        <f>+DATA!E336</f>
        <v>0.159685311127159</v>
      </c>
      <c r="H340" s="525">
        <f t="shared" si="102"/>
        <v>3083</v>
      </c>
      <c r="I340" s="771">
        <f t="shared" si="94"/>
        <v>2.3609685867999998E-3</v>
      </c>
      <c r="J340" s="771">
        <f t="shared" si="95"/>
        <v>2.3609685870000001E-4</v>
      </c>
      <c r="K340" s="525">
        <f>+DATA!G336</f>
        <v>13584</v>
      </c>
      <c r="L340" s="525">
        <f>+DATA!H336</f>
        <v>18247</v>
      </c>
      <c r="M340" s="525">
        <f>+DATA!I336</f>
        <v>173823326941</v>
      </c>
      <c r="N340" s="525">
        <f>+DATA!J336</f>
        <v>354894191616</v>
      </c>
      <c r="O340" s="773">
        <f t="shared" si="103"/>
        <v>0.60384111949990704</v>
      </c>
      <c r="P340" s="774" t="str">
        <f t="shared" si="104"/>
        <v>SI</v>
      </c>
      <c r="Q340" s="771">
        <f t="shared" si="96"/>
        <v>1.8521106791000001E-3</v>
      </c>
      <c r="R340" s="771">
        <f t="shared" si="97"/>
        <v>2.6553604627000001E-3</v>
      </c>
      <c r="S340" s="771">
        <f t="shared" si="98"/>
        <v>7.966081388E-4</v>
      </c>
      <c r="T340" s="525">
        <f>+DATA!K336</f>
        <v>0</v>
      </c>
      <c r="U340" s="525">
        <f>+DATA!L336</f>
        <v>0</v>
      </c>
      <c r="V340" s="525">
        <f>+DATA!M336</f>
        <v>1523039</v>
      </c>
      <c r="W340" s="526">
        <f t="shared" si="99"/>
        <v>1523039</v>
      </c>
      <c r="X340" s="526">
        <f t="shared" si="105"/>
        <v>1523039</v>
      </c>
      <c r="Y340" s="526">
        <f t="shared" si="106"/>
        <v>1523039</v>
      </c>
      <c r="Z340" s="525">
        <f>+DATA!F336</f>
        <v>1205393.8596665508</v>
      </c>
      <c r="AA340" s="525">
        <f>IF(P340="SI",ROUND(Z340/DIV_Pf,PARAMETROS!$L$8),0)</f>
        <v>100449</v>
      </c>
      <c r="AB340" s="526">
        <f t="shared" si="107"/>
        <v>119753</v>
      </c>
      <c r="AC340" s="775">
        <f t="shared" si="108"/>
        <v>12.72</v>
      </c>
      <c r="AD340" s="525">
        <f>IF(AC340&lt;$AC$6,ROUND(($AC$6-AC340)*AB340,PARAMETROS!$L$8),0)</f>
        <v>10993325</v>
      </c>
      <c r="AE340" s="771">
        <f t="shared" si="100"/>
        <v>1.05516130171E-2</v>
      </c>
      <c r="AF340" s="771">
        <f t="shared" si="101"/>
        <v>3.6930645560000002E-3</v>
      </c>
      <c r="AG340" s="771">
        <f t="shared" si="109"/>
        <v>5.4483129061E-3</v>
      </c>
      <c r="AH340" s="525">
        <f>+DATA!Q336</f>
        <v>9036267.0690000001</v>
      </c>
      <c r="AI340" s="525">
        <f>+DATA!R336</f>
        <v>753022.25575000001</v>
      </c>
      <c r="AJ340" s="525">
        <f>+DATA!S336</f>
        <v>594888</v>
      </c>
      <c r="AK340" s="525">
        <f>+'_DATA STT PAGOS_'!G338</f>
        <v>0</v>
      </c>
      <c r="AL340" s="525">
        <f>+'_DATA STT PAGOS_'!J338</f>
        <v>12266675.546</v>
      </c>
      <c r="AM340" s="525">
        <f>+DATA!Y336</f>
        <v>63959</v>
      </c>
      <c r="AN340" s="525">
        <f>+DATA!Z336</f>
        <v>32392</v>
      </c>
      <c r="AO340" s="525">
        <f>+DATA!AA336</f>
        <v>44287</v>
      </c>
      <c r="AP340" s="525">
        <f>+DATA!AB336</f>
        <v>34375</v>
      </c>
      <c r="AQ340" s="525">
        <f>+DATA!AC336</f>
        <v>175013</v>
      </c>
      <c r="AR340" s="525">
        <f>+DATA!AD336</f>
        <v>7022</v>
      </c>
      <c r="AS340" s="525">
        <f>+DATA!AE336</f>
        <v>2950</v>
      </c>
      <c r="AT340" s="525">
        <f>+DATA!AF336</f>
        <v>4298.5510000000004</v>
      </c>
      <c r="AU340" s="525">
        <f>+DATA!AG336</f>
        <v>3371</v>
      </c>
      <c r="AV340" s="525">
        <f>+DATA!AH336</f>
        <v>17641.550999999999</v>
      </c>
    </row>
    <row r="341" spans="1:48" x14ac:dyDescent="0.25">
      <c r="A341" s="527">
        <v>16108</v>
      </c>
      <c r="B341" s="527">
        <v>8114</v>
      </c>
      <c r="C341" s="527" t="s">
        <v>178</v>
      </c>
      <c r="D341" s="771">
        <f t="shared" si="92"/>
        <v>2.8901734103999998E-3</v>
      </c>
      <c r="E341" s="771">
        <f t="shared" si="93"/>
        <v>7.2254335259999995E-4</v>
      </c>
      <c r="F341" s="525">
        <f>+DATA!D337</f>
        <v>16600</v>
      </c>
      <c r="G341" s="772">
        <f>+DATA!E337</f>
        <v>0.15737748548504371</v>
      </c>
      <c r="H341" s="525">
        <f t="shared" si="102"/>
        <v>2612</v>
      </c>
      <c r="I341" s="771">
        <f t="shared" si="94"/>
        <v>2.0002756887999998E-3</v>
      </c>
      <c r="J341" s="771">
        <f t="shared" si="95"/>
        <v>2.000275689E-4</v>
      </c>
      <c r="K341" s="525">
        <f>+DATA!G337</f>
        <v>10679</v>
      </c>
      <c r="L341" s="525">
        <f>+DATA!H337</f>
        <v>13396</v>
      </c>
      <c r="M341" s="525">
        <f>+DATA!I337</f>
        <v>149899090873</v>
      </c>
      <c r="N341" s="525">
        <f>+DATA!J337</f>
        <v>308048779311</v>
      </c>
      <c r="O341" s="773">
        <f t="shared" si="103"/>
        <v>0.62282706582014724</v>
      </c>
      <c r="P341" s="774" t="str">
        <f t="shared" si="104"/>
        <v>SI</v>
      </c>
      <c r="Q341" s="771">
        <f t="shared" si="96"/>
        <v>1.5591542981000001E-3</v>
      </c>
      <c r="R341" s="771">
        <f t="shared" si="97"/>
        <v>2.2353505788000002E-3</v>
      </c>
      <c r="S341" s="771">
        <f t="shared" si="98"/>
        <v>6.7060517360000005E-4</v>
      </c>
      <c r="T341" s="525">
        <f>+DATA!K337</f>
        <v>0</v>
      </c>
      <c r="U341" s="525">
        <f>+DATA!L337</f>
        <v>0</v>
      </c>
      <c r="V341" s="525">
        <f>+DATA!M337</f>
        <v>847816</v>
      </c>
      <c r="W341" s="526">
        <f t="shared" si="99"/>
        <v>847816</v>
      </c>
      <c r="X341" s="526">
        <f t="shared" si="105"/>
        <v>847816</v>
      </c>
      <c r="Y341" s="526">
        <f t="shared" si="106"/>
        <v>847816</v>
      </c>
      <c r="Z341" s="525">
        <f>+DATA!F337</f>
        <v>228800.10275422505</v>
      </c>
      <c r="AA341" s="525">
        <f>IF(P341="SI",ROUND(Z341/DIV_Pf,PARAMETROS!$L$8),0)</f>
        <v>19067</v>
      </c>
      <c r="AB341" s="526">
        <f t="shared" si="107"/>
        <v>35667</v>
      </c>
      <c r="AC341" s="775">
        <f t="shared" si="108"/>
        <v>23.77</v>
      </c>
      <c r="AD341" s="525">
        <f>IF(AC341&lt;$AC$6,ROUND(($AC$6-AC341)*AB341,PARAMETROS!$L$8),0)</f>
        <v>2880110</v>
      </c>
      <c r="AE341" s="771">
        <f t="shared" si="100"/>
        <v>2.7643871319000001E-3</v>
      </c>
      <c r="AF341" s="771">
        <f t="shared" si="101"/>
        <v>9.6753549619999998E-4</v>
      </c>
      <c r="AG341" s="771">
        <f t="shared" si="109"/>
        <v>2.5607115912999997E-3</v>
      </c>
      <c r="AH341" s="525">
        <f>+DATA!Q337</f>
        <v>4342692.7130000005</v>
      </c>
      <c r="AI341" s="525">
        <f>+DATA!R337</f>
        <v>361891.05941666669</v>
      </c>
      <c r="AJ341" s="525">
        <f>+DATA!S337</f>
        <v>285894</v>
      </c>
      <c r="AK341" s="525">
        <f>+'_DATA STT PAGOS_'!G339</f>
        <v>0</v>
      </c>
      <c r="AL341" s="525">
        <f>+'_DATA STT PAGOS_'!J339</f>
        <v>5894578.5930000003</v>
      </c>
      <c r="AM341" s="525">
        <f>+DATA!Y337</f>
        <v>34585</v>
      </c>
      <c r="AN341" s="525">
        <f>+DATA!Z337</f>
        <v>20381</v>
      </c>
      <c r="AO341" s="525">
        <f>+DATA!AA337</f>
        <v>26964</v>
      </c>
      <c r="AP341" s="525">
        <f>+DATA!AB337</f>
        <v>16988</v>
      </c>
      <c r="AQ341" s="525">
        <f>+DATA!AC337</f>
        <v>98918</v>
      </c>
      <c r="AR341" s="525">
        <f>+DATA!AD337</f>
        <v>0</v>
      </c>
      <c r="AS341" s="525">
        <f>+DATA!AE337</f>
        <v>0</v>
      </c>
      <c r="AT341" s="525">
        <f>+DATA!AF337</f>
        <v>0</v>
      </c>
      <c r="AU341" s="525">
        <f>+DATA!AG337</f>
        <v>0</v>
      </c>
      <c r="AV341" s="525">
        <f>+DATA!AH337</f>
        <v>0</v>
      </c>
    </row>
    <row r="342" spans="1:48" x14ac:dyDescent="0.25">
      <c r="A342" s="527">
        <v>16109</v>
      </c>
      <c r="B342" s="527">
        <v>8116</v>
      </c>
      <c r="C342" s="527" t="s">
        <v>179</v>
      </c>
      <c r="D342" s="771">
        <f t="shared" si="92"/>
        <v>2.8901734103999998E-3</v>
      </c>
      <c r="E342" s="771">
        <f t="shared" si="93"/>
        <v>7.2254335259999995E-4</v>
      </c>
      <c r="F342" s="525">
        <f>+DATA!D338</f>
        <v>18835</v>
      </c>
      <c r="G342" s="772">
        <f>+DATA!E338</f>
        <v>0.1083309460468144</v>
      </c>
      <c r="H342" s="525">
        <f t="shared" si="102"/>
        <v>2040</v>
      </c>
      <c r="I342" s="771">
        <f t="shared" si="94"/>
        <v>1.5622367554E-3</v>
      </c>
      <c r="J342" s="771">
        <f t="shared" si="95"/>
        <v>1.562236755E-4</v>
      </c>
      <c r="K342" s="525">
        <f>+DATA!G338</f>
        <v>9183</v>
      </c>
      <c r="L342" s="525">
        <f>+DATA!H338</f>
        <v>12531</v>
      </c>
      <c r="M342" s="525">
        <f>+DATA!I338</f>
        <v>149086637024</v>
      </c>
      <c r="N342" s="525">
        <f>+DATA!J338</f>
        <v>477471686988</v>
      </c>
      <c r="O342" s="773">
        <f t="shared" si="103"/>
        <v>0.47834911451980061</v>
      </c>
      <c r="P342" s="774" t="str">
        <f t="shared" si="104"/>
        <v>SI</v>
      </c>
      <c r="Q342" s="771">
        <f t="shared" si="96"/>
        <v>1.2324987876E-3</v>
      </c>
      <c r="R342" s="771">
        <f t="shared" si="97"/>
        <v>1.7670264460000001E-3</v>
      </c>
      <c r="S342" s="771">
        <f t="shared" si="98"/>
        <v>5.3010793380000004E-4</v>
      </c>
      <c r="T342" s="525">
        <f>+DATA!K338</f>
        <v>0</v>
      </c>
      <c r="U342" s="525">
        <f>+DATA!L338</f>
        <v>0</v>
      </c>
      <c r="V342" s="525">
        <f>+DATA!M338</f>
        <v>1739728</v>
      </c>
      <c r="W342" s="526">
        <f t="shared" si="99"/>
        <v>1739728</v>
      </c>
      <c r="X342" s="526">
        <f t="shared" si="105"/>
        <v>1739728</v>
      </c>
      <c r="Y342" s="526">
        <f t="shared" si="106"/>
        <v>1739728</v>
      </c>
      <c r="Z342" s="525">
        <f>+DATA!F338</f>
        <v>301844.75320089073</v>
      </c>
      <c r="AA342" s="525">
        <f>IF(P342="SI",ROUND(Z342/DIV_Pf,PARAMETROS!$L$8),0)</f>
        <v>25154</v>
      </c>
      <c r="AB342" s="526">
        <f t="shared" si="107"/>
        <v>43989</v>
      </c>
      <c r="AC342" s="775">
        <f t="shared" si="108"/>
        <v>39.549999999999997</v>
      </c>
      <c r="AD342" s="525">
        <f>IF(AC342&lt;$AC$6,ROUND(($AC$6-AC342)*AB342,PARAMETROS!$L$8),0)</f>
        <v>2857965</v>
      </c>
      <c r="AE342" s="771">
        <f t="shared" si="100"/>
        <v>2.7431319183999999E-3</v>
      </c>
      <c r="AF342" s="771">
        <f t="shared" si="101"/>
        <v>9.6009617140000001E-4</v>
      </c>
      <c r="AG342" s="771">
        <f t="shared" si="109"/>
        <v>2.3689711332999996E-3</v>
      </c>
      <c r="AH342" s="525">
        <f>+DATA!Q338</f>
        <v>5090602.0659999996</v>
      </c>
      <c r="AI342" s="525">
        <f>+DATA!R338</f>
        <v>424216.83883333328</v>
      </c>
      <c r="AJ342" s="525">
        <f>+DATA!S338</f>
        <v>335131</v>
      </c>
      <c r="AK342" s="525">
        <f>+'_DATA STT PAGOS_'!G340</f>
        <v>0</v>
      </c>
      <c r="AL342" s="525">
        <f>+'_DATA STT PAGOS_'!J340</f>
        <v>6908063.8990000002</v>
      </c>
      <c r="AM342" s="525">
        <f>+DATA!Y338</f>
        <v>102240</v>
      </c>
      <c r="AN342" s="525">
        <f>+DATA!Z338</f>
        <v>71910</v>
      </c>
      <c r="AO342" s="525">
        <f>+DATA!AA338</f>
        <v>84206</v>
      </c>
      <c r="AP342" s="525">
        <f>+DATA!AB338</f>
        <v>35038</v>
      </c>
      <c r="AQ342" s="525">
        <f>+DATA!AC338</f>
        <v>293394</v>
      </c>
      <c r="AR342" s="525">
        <f>+DATA!AD338</f>
        <v>0</v>
      </c>
      <c r="AS342" s="525">
        <f>+DATA!AE338</f>
        <v>0</v>
      </c>
      <c r="AT342" s="525">
        <f>+DATA!AF338</f>
        <v>0</v>
      </c>
      <c r="AU342" s="525">
        <f>+DATA!AG338</f>
        <v>0</v>
      </c>
      <c r="AV342" s="525">
        <f>+DATA!AH338</f>
        <v>0</v>
      </c>
    </row>
    <row r="343" spans="1:48" x14ac:dyDescent="0.25">
      <c r="A343" s="527">
        <v>16201</v>
      </c>
      <c r="B343" s="527">
        <v>8104</v>
      </c>
      <c r="C343" s="527" t="s">
        <v>171</v>
      </c>
      <c r="D343" s="771">
        <f t="shared" si="92"/>
        <v>2.8901734103999998E-3</v>
      </c>
      <c r="E343" s="771">
        <f t="shared" si="93"/>
        <v>7.2254335259999995E-4</v>
      </c>
      <c r="F343" s="525">
        <f>+DATA!D339</f>
        <v>12241</v>
      </c>
      <c r="G343" s="772">
        <f>+DATA!E339</f>
        <v>7.7661955984902692E-2</v>
      </c>
      <c r="H343" s="525">
        <f t="shared" si="102"/>
        <v>951</v>
      </c>
      <c r="I343" s="771">
        <f t="shared" si="94"/>
        <v>7.2827801690000002E-4</v>
      </c>
      <c r="J343" s="771">
        <f t="shared" si="95"/>
        <v>7.2827801700000005E-5</v>
      </c>
      <c r="K343" s="525">
        <f>+DATA!G339</f>
        <v>8237</v>
      </c>
      <c r="L343" s="525">
        <f>+DATA!H339</f>
        <v>9941</v>
      </c>
      <c r="M343" s="525">
        <f>+DATA!I339</f>
        <v>112665457622</v>
      </c>
      <c r="N343" s="525">
        <f>+DATA!J339</f>
        <v>253534277059</v>
      </c>
      <c r="O343" s="773">
        <f t="shared" si="103"/>
        <v>0.60680136233516002</v>
      </c>
      <c r="P343" s="774" t="str">
        <f t="shared" si="104"/>
        <v>SI</v>
      </c>
      <c r="Q343" s="771">
        <f t="shared" si="96"/>
        <v>1.2500031869E-3</v>
      </c>
      <c r="R343" s="771">
        <f t="shared" si="97"/>
        <v>1.7921224030000001E-3</v>
      </c>
      <c r="S343" s="771">
        <f t="shared" si="98"/>
        <v>5.3763672090000004E-4</v>
      </c>
      <c r="T343" s="525">
        <f>+DATA!K339</f>
        <v>0</v>
      </c>
      <c r="U343" s="525">
        <f>+DATA!L339</f>
        <v>0</v>
      </c>
      <c r="V343" s="525">
        <f>+DATA!M339</f>
        <v>757046</v>
      </c>
      <c r="W343" s="526">
        <f t="shared" si="99"/>
        <v>757046</v>
      </c>
      <c r="X343" s="526">
        <f t="shared" si="105"/>
        <v>757046</v>
      </c>
      <c r="Y343" s="526">
        <f t="shared" si="106"/>
        <v>757046</v>
      </c>
      <c r="Z343" s="525">
        <f>+DATA!F339</f>
        <v>130579.06239032799</v>
      </c>
      <c r="AA343" s="525">
        <f>IF(P343="SI",ROUND(Z343/DIV_Pf,PARAMETROS!$L$8),0)</f>
        <v>10882</v>
      </c>
      <c r="AB343" s="526">
        <f t="shared" si="107"/>
        <v>23123</v>
      </c>
      <c r="AC343" s="775">
        <f t="shared" si="108"/>
        <v>32.74</v>
      </c>
      <c r="AD343" s="525">
        <f>IF(AC343&lt;$AC$6,ROUND(($AC$6-AC343)*AB343,PARAMETROS!$L$8),0)</f>
        <v>1659769</v>
      </c>
      <c r="AE343" s="771">
        <f t="shared" si="100"/>
        <v>1.5930794536999999E-3</v>
      </c>
      <c r="AF343" s="771">
        <f t="shared" si="101"/>
        <v>5.5757780880000003E-4</v>
      </c>
      <c r="AG343" s="771">
        <f t="shared" si="109"/>
        <v>1.8905856840000001E-3</v>
      </c>
      <c r="AH343" s="525">
        <f>+DATA!Q339</f>
        <v>3444729.5419999999</v>
      </c>
      <c r="AI343" s="525">
        <f>+DATA!R339</f>
        <v>287060.79516666668</v>
      </c>
      <c r="AJ343" s="525">
        <f>+DATA!S339</f>
        <v>226778</v>
      </c>
      <c r="AK343" s="525">
        <f>+'_DATA STT PAGOS_'!G341</f>
        <v>0</v>
      </c>
      <c r="AL343" s="525">
        <f>+'_DATA STT PAGOS_'!J341</f>
        <v>4672878.909</v>
      </c>
      <c r="AM343" s="525">
        <f>+DATA!Y339</f>
        <v>33747</v>
      </c>
      <c r="AN343" s="525">
        <f>+DATA!Z339</f>
        <v>27483</v>
      </c>
      <c r="AO343" s="525">
        <f>+DATA!AA339</f>
        <v>34605</v>
      </c>
      <c r="AP343" s="525">
        <f>+DATA!AB339</f>
        <v>21352</v>
      </c>
      <c r="AQ343" s="525">
        <f>+DATA!AC339</f>
        <v>117187</v>
      </c>
      <c r="AR343" s="525">
        <f>+DATA!AD339</f>
        <v>3858</v>
      </c>
      <c r="AS343" s="525">
        <f>+DATA!AE339</f>
        <v>2087</v>
      </c>
      <c r="AT343" s="525">
        <f>+DATA!AF339</f>
        <v>3110.355</v>
      </c>
      <c r="AU343" s="525">
        <f>+DATA!AG339</f>
        <v>2396</v>
      </c>
      <c r="AV343" s="525">
        <f>+DATA!AH339</f>
        <v>11451.355</v>
      </c>
    </row>
    <row r="344" spans="1:48" x14ac:dyDescent="0.25">
      <c r="A344" s="527">
        <v>16202</v>
      </c>
      <c r="B344" s="527">
        <v>8107</v>
      </c>
      <c r="C344" s="527" t="s">
        <v>174</v>
      </c>
      <c r="D344" s="771">
        <f t="shared" si="92"/>
        <v>2.8901734103999998E-3</v>
      </c>
      <c r="E344" s="771">
        <f t="shared" si="93"/>
        <v>7.2254335259999995E-4</v>
      </c>
      <c r="F344" s="525">
        <f>+DATA!D340</f>
        <v>5224</v>
      </c>
      <c r="G344" s="772">
        <f>+DATA!E340</f>
        <v>0.1905337466302314</v>
      </c>
      <c r="H344" s="525">
        <f t="shared" si="102"/>
        <v>995</v>
      </c>
      <c r="I344" s="771">
        <f t="shared" si="94"/>
        <v>7.6197331940000004E-4</v>
      </c>
      <c r="J344" s="771">
        <f t="shared" si="95"/>
        <v>7.6197331899999999E-5</v>
      </c>
      <c r="K344" s="525">
        <f>+DATA!G340</f>
        <v>5964</v>
      </c>
      <c r="L344" s="525">
        <f>+DATA!H340</f>
        <v>7787</v>
      </c>
      <c r="M344" s="525">
        <f>+DATA!I340</f>
        <v>75376243300</v>
      </c>
      <c r="N344" s="525">
        <f>+DATA!J340</f>
        <v>165222647341</v>
      </c>
      <c r="O344" s="773">
        <f t="shared" si="103"/>
        <v>0.59110711400486771</v>
      </c>
      <c r="P344" s="774" t="str">
        <f t="shared" si="104"/>
        <v>SI</v>
      </c>
      <c r="Q344" s="771">
        <f t="shared" si="96"/>
        <v>8.3658130839999996E-4</v>
      </c>
      <c r="R344" s="771">
        <f t="shared" si="97"/>
        <v>1.1994018259E-3</v>
      </c>
      <c r="S344" s="771">
        <f t="shared" si="98"/>
        <v>3.5982054779999998E-4</v>
      </c>
      <c r="T344" s="525">
        <f>+DATA!K340</f>
        <v>0</v>
      </c>
      <c r="U344" s="525">
        <f>+DATA!L340</f>
        <v>0</v>
      </c>
      <c r="V344" s="525">
        <f>+DATA!M340</f>
        <v>670591</v>
      </c>
      <c r="W344" s="526">
        <f t="shared" si="99"/>
        <v>670591</v>
      </c>
      <c r="X344" s="526">
        <f t="shared" si="105"/>
        <v>670591</v>
      </c>
      <c r="Y344" s="526">
        <f t="shared" si="106"/>
        <v>670591</v>
      </c>
      <c r="Z344" s="525">
        <f>+DATA!F340</f>
        <v>325101.07086778362</v>
      </c>
      <c r="AA344" s="525">
        <f>IF(P344="SI",ROUND(Z344/DIV_Pf,PARAMETROS!$L$8),0)</f>
        <v>27092</v>
      </c>
      <c r="AB344" s="526">
        <f t="shared" si="107"/>
        <v>32316</v>
      </c>
      <c r="AC344" s="775">
        <f t="shared" si="108"/>
        <v>20.75</v>
      </c>
      <c r="AD344" s="525">
        <f>IF(AC344&lt;$AC$6,ROUND(($AC$6-AC344)*AB344,PARAMETROS!$L$8),0)</f>
        <v>2707111</v>
      </c>
      <c r="AE344" s="771">
        <f t="shared" si="100"/>
        <v>2.5983392345999999E-3</v>
      </c>
      <c r="AF344" s="771">
        <f t="shared" si="101"/>
        <v>9.0941873210000003E-4</v>
      </c>
      <c r="AG344" s="771">
        <f t="shared" si="109"/>
        <v>2.0679799643999997E-3</v>
      </c>
      <c r="AH344" s="525">
        <f>+DATA!Q340</f>
        <v>3409575.4180000001</v>
      </c>
      <c r="AI344" s="525">
        <f>+DATA!R340</f>
        <v>284131.28483333334</v>
      </c>
      <c r="AJ344" s="525">
        <f>+DATA!S340</f>
        <v>224464</v>
      </c>
      <c r="AK344" s="525">
        <f>+'_DATA STT PAGOS_'!G342</f>
        <v>0</v>
      </c>
      <c r="AL344" s="525">
        <f>+'_DATA STT PAGOS_'!J342</f>
        <v>4626816.4910000004</v>
      </c>
      <c r="AM344" s="525">
        <f>+DATA!Y340</f>
        <v>38030</v>
      </c>
      <c r="AN344" s="525">
        <f>+DATA!Z340</f>
        <v>18913</v>
      </c>
      <c r="AO344" s="525">
        <f>+DATA!AA340</f>
        <v>22706</v>
      </c>
      <c r="AP344" s="525">
        <f>+DATA!AB340</f>
        <v>14798</v>
      </c>
      <c r="AQ344" s="525">
        <f>+DATA!AC340</f>
        <v>94447</v>
      </c>
      <c r="AR344" s="525">
        <f>+DATA!AD340</f>
        <v>14355</v>
      </c>
      <c r="AS344" s="525">
        <f>+DATA!AE340</f>
        <v>4838</v>
      </c>
      <c r="AT344" s="525">
        <f>+DATA!AF340</f>
        <v>6971.4650000000001</v>
      </c>
      <c r="AU344" s="525">
        <f>+DATA!AG340</f>
        <v>4962</v>
      </c>
      <c r="AV344" s="525">
        <f>+DATA!AH340</f>
        <v>31126.465</v>
      </c>
    </row>
    <row r="345" spans="1:48" x14ac:dyDescent="0.25">
      <c r="A345" s="527">
        <v>16203</v>
      </c>
      <c r="B345" s="527">
        <v>8120</v>
      </c>
      <c r="C345" s="527" t="s">
        <v>182</v>
      </c>
      <c r="D345" s="771">
        <f t="shared" si="92"/>
        <v>2.8901734103999998E-3</v>
      </c>
      <c r="E345" s="771">
        <f t="shared" si="93"/>
        <v>7.2254335259999995E-4</v>
      </c>
      <c r="F345" s="525">
        <f>+DATA!D341</f>
        <v>16901</v>
      </c>
      <c r="G345" s="772">
        <f>+DATA!E341</f>
        <v>0.13046297026480991</v>
      </c>
      <c r="H345" s="525">
        <f t="shared" si="102"/>
        <v>2205</v>
      </c>
      <c r="I345" s="771">
        <f t="shared" si="94"/>
        <v>1.6885941401E-3</v>
      </c>
      <c r="J345" s="771">
        <f t="shared" si="95"/>
        <v>1.6885941399999999E-4</v>
      </c>
      <c r="K345" s="525">
        <f>+DATA!G341</f>
        <v>7550</v>
      </c>
      <c r="L345" s="525">
        <f>+DATA!H341</f>
        <v>8811</v>
      </c>
      <c r="M345" s="525">
        <f>+DATA!I341</f>
        <v>90358442840</v>
      </c>
      <c r="N345" s="525">
        <f>+DATA!J341</f>
        <v>166071282337</v>
      </c>
      <c r="O345" s="773">
        <f t="shared" si="103"/>
        <v>0.68280701555018031</v>
      </c>
      <c r="P345" s="774" t="str">
        <f t="shared" si="104"/>
        <v>SI</v>
      </c>
      <c r="Q345" s="771">
        <f t="shared" si="96"/>
        <v>1.1848728933E-3</v>
      </c>
      <c r="R345" s="771">
        <f t="shared" si="97"/>
        <v>1.6987454744E-3</v>
      </c>
      <c r="S345" s="771">
        <f t="shared" si="98"/>
        <v>5.0962364230000003E-4</v>
      </c>
      <c r="T345" s="525">
        <f>+DATA!K341</f>
        <v>0</v>
      </c>
      <c r="U345" s="525">
        <f>+DATA!L341</f>
        <v>0</v>
      </c>
      <c r="V345" s="525">
        <f>+DATA!M341</f>
        <v>1259186</v>
      </c>
      <c r="W345" s="526">
        <f t="shared" si="99"/>
        <v>1259186</v>
      </c>
      <c r="X345" s="526">
        <f t="shared" si="105"/>
        <v>1259186</v>
      </c>
      <c r="Y345" s="526">
        <f t="shared" si="106"/>
        <v>1259186</v>
      </c>
      <c r="Z345" s="525">
        <f>+DATA!F341</f>
        <v>200727.13226613283</v>
      </c>
      <c r="AA345" s="525">
        <f>IF(P345="SI",ROUND(Z345/DIV_Pf,PARAMETROS!$L$8),0)</f>
        <v>16727</v>
      </c>
      <c r="AB345" s="526">
        <f t="shared" si="107"/>
        <v>33628</v>
      </c>
      <c r="AC345" s="775">
        <f t="shared" si="108"/>
        <v>37.44</v>
      </c>
      <c r="AD345" s="525">
        <f>IF(AC345&lt;$AC$6,ROUND(($AC$6-AC345)*AB345,PARAMETROS!$L$8),0)</f>
        <v>2255766</v>
      </c>
      <c r="AE345" s="771">
        <f t="shared" si="100"/>
        <v>2.1651292842999998E-3</v>
      </c>
      <c r="AF345" s="771">
        <f t="shared" si="101"/>
        <v>7.577952495E-4</v>
      </c>
      <c r="AG345" s="771">
        <f t="shared" si="109"/>
        <v>2.1588216583999999E-3</v>
      </c>
      <c r="AH345" s="525">
        <f>+DATA!Q341</f>
        <v>3985671.7719999999</v>
      </c>
      <c r="AI345" s="525">
        <f>+DATA!R341</f>
        <v>332139.31433333334</v>
      </c>
      <c r="AJ345" s="525">
        <f>+DATA!S341</f>
        <v>262390</v>
      </c>
      <c r="AK345" s="525">
        <f>+'_DATA STT PAGOS_'!G343</f>
        <v>0</v>
      </c>
      <c r="AL345" s="525">
        <f>+'_DATA STT PAGOS_'!J343</f>
        <v>5412906.5279999999</v>
      </c>
      <c r="AM345" s="525">
        <f>+DATA!Y341</f>
        <v>28935</v>
      </c>
      <c r="AN345" s="525">
        <f>+DATA!Z341</f>
        <v>15997</v>
      </c>
      <c r="AO345" s="525">
        <f>+DATA!AA341</f>
        <v>24627</v>
      </c>
      <c r="AP345" s="525">
        <f>+DATA!AB341</f>
        <v>11899</v>
      </c>
      <c r="AQ345" s="525">
        <f>+DATA!AC341</f>
        <v>81458</v>
      </c>
      <c r="AR345" s="525">
        <f>+DATA!AD341</f>
        <v>4464</v>
      </c>
      <c r="AS345" s="525">
        <f>+DATA!AE341</f>
        <v>2255</v>
      </c>
      <c r="AT345" s="525">
        <f>+DATA!AF341</f>
        <v>2319.0030000000002</v>
      </c>
      <c r="AU345" s="525">
        <f>+DATA!AG341</f>
        <v>1906</v>
      </c>
      <c r="AV345" s="525">
        <f>+DATA!AH341</f>
        <v>10944.003000000001</v>
      </c>
    </row>
    <row r="346" spans="1:48" x14ac:dyDescent="0.25">
      <c r="A346" s="527">
        <v>16204</v>
      </c>
      <c r="B346" s="527">
        <v>8105</v>
      </c>
      <c r="C346" s="527" t="s">
        <v>172</v>
      </c>
      <c r="D346" s="771">
        <f t="shared" si="92"/>
        <v>2.8901734103999998E-3</v>
      </c>
      <c r="E346" s="771">
        <f t="shared" si="93"/>
        <v>7.2254335259999995E-4</v>
      </c>
      <c r="F346" s="525">
        <f>+DATA!D342</f>
        <v>5353</v>
      </c>
      <c r="G346" s="772">
        <f>+DATA!E342</f>
        <v>0.1612982869088716</v>
      </c>
      <c r="H346" s="525">
        <f t="shared" si="102"/>
        <v>863</v>
      </c>
      <c r="I346" s="771">
        <f t="shared" si="94"/>
        <v>6.6088741170000002E-4</v>
      </c>
      <c r="J346" s="771">
        <f t="shared" si="95"/>
        <v>6.6088741199999998E-5</v>
      </c>
      <c r="K346" s="525">
        <f>+DATA!G342</f>
        <v>5065</v>
      </c>
      <c r="L346" s="525">
        <f>+DATA!H342</f>
        <v>5948</v>
      </c>
      <c r="M346" s="525">
        <f>+DATA!I342</f>
        <v>50613571672</v>
      </c>
      <c r="N346" s="525">
        <f>+DATA!J342</f>
        <v>128581824933</v>
      </c>
      <c r="O346" s="773">
        <f t="shared" si="103"/>
        <v>0.57895918064284468</v>
      </c>
      <c r="P346" s="774" t="str">
        <f t="shared" si="104"/>
        <v>SI</v>
      </c>
      <c r="Q346" s="771">
        <f t="shared" si="96"/>
        <v>7.8993435410000003E-4</v>
      </c>
      <c r="R346" s="771">
        <f t="shared" si="97"/>
        <v>1.1325243549E-3</v>
      </c>
      <c r="S346" s="771">
        <f t="shared" si="98"/>
        <v>3.3975730650000002E-4</v>
      </c>
      <c r="T346" s="525">
        <f>+DATA!K342</f>
        <v>0</v>
      </c>
      <c r="U346" s="525">
        <f>+DATA!L342</f>
        <v>0</v>
      </c>
      <c r="V346" s="525">
        <f>+DATA!M342</f>
        <v>352787</v>
      </c>
      <c r="W346" s="526">
        <f t="shared" si="99"/>
        <v>352787</v>
      </c>
      <c r="X346" s="526">
        <f t="shared" si="105"/>
        <v>352787</v>
      </c>
      <c r="Y346" s="526">
        <f t="shared" si="106"/>
        <v>352787</v>
      </c>
      <c r="Z346" s="525">
        <f>+DATA!F342</f>
        <v>90892.137740147387</v>
      </c>
      <c r="AA346" s="525">
        <f>IF(P346="SI",ROUND(Z346/DIV_Pf,PARAMETROS!$L$8),0)</f>
        <v>7574</v>
      </c>
      <c r="AB346" s="526">
        <f t="shared" si="107"/>
        <v>12927</v>
      </c>
      <c r="AC346" s="775">
        <f t="shared" si="108"/>
        <v>27.29</v>
      </c>
      <c r="AD346" s="525">
        <f>IF(AC346&lt;$AC$6,ROUND(($AC$6-AC346)*AB346,PARAMETROS!$L$8),0)</f>
        <v>998352</v>
      </c>
      <c r="AE346" s="771">
        <f t="shared" si="100"/>
        <v>9.5823819990000002E-4</v>
      </c>
      <c r="AF346" s="771">
        <f t="shared" si="101"/>
        <v>3.3538337000000001E-4</v>
      </c>
      <c r="AG346" s="771">
        <f t="shared" si="109"/>
        <v>1.4637727702999999E-3</v>
      </c>
      <c r="AH346" s="525">
        <f>+DATA!Q342</f>
        <v>2550251.6749999998</v>
      </c>
      <c r="AI346" s="525">
        <f>+DATA!R342</f>
        <v>212520.97291666665</v>
      </c>
      <c r="AJ346" s="525">
        <f>+DATA!S342</f>
        <v>167892</v>
      </c>
      <c r="AK346" s="525">
        <f>+'_DATA STT PAGOS_'!G344</f>
        <v>0</v>
      </c>
      <c r="AL346" s="525">
        <f>+'_DATA STT PAGOS_'!J344</f>
        <v>3461987.1669999999</v>
      </c>
      <c r="AM346" s="525">
        <f>+DATA!Y342</f>
        <v>14294</v>
      </c>
      <c r="AN346" s="525">
        <f>+DATA!Z342</f>
        <v>12153</v>
      </c>
      <c r="AO346" s="525">
        <f>+DATA!AA342</f>
        <v>11891</v>
      </c>
      <c r="AP346" s="525">
        <f>+DATA!AB342</f>
        <v>8251</v>
      </c>
      <c r="AQ346" s="525">
        <f>+DATA!AC342</f>
        <v>46589</v>
      </c>
      <c r="AR346" s="525">
        <f>+DATA!AD342</f>
        <v>610</v>
      </c>
      <c r="AS346" s="525">
        <f>+DATA!AE342</f>
        <v>194</v>
      </c>
      <c r="AT346" s="525">
        <f>+DATA!AF342</f>
        <v>266.23</v>
      </c>
      <c r="AU346" s="525">
        <f>+DATA!AG342</f>
        <v>325</v>
      </c>
      <c r="AV346" s="525">
        <f>+DATA!AH342</f>
        <v>1395.23</v>
      </c>
    </row>
    <row r="347" spans="1:48" x14ac:dyDescent="0.25">
      <c r="A347" s="527">
        <v>16205</v>
      </c>
      <c r="B347" s="527">
        <v>8106</v>
      </c>
      <c r="C347" s="527" t="s">
        <v>173</v>
      </c>
      <c r="D347" s="771">
        <f t="shared" si="92"/>
        <v>2.8901734103999998E-3</v>
      </c>
      <c r="E347" s="771">
        <f t="shared" si="93"/>
        <v>7.2254335259999995E-4</v>
      </c>
      <c r="F347" s="525">
        <f>+DATA!D343</f>
        <v>4876</v>
      </c>
      <c r="G347" s="772">
        <f>+DATA!E343</f>
        <v>0.15111233028570051</v>
      </c>
      <c r="H347" s="525">
        <f t="shared" si="102"/>
        <v>737</v>
      </c>
      <c r="I347" s="771">
        <f t="shared" si="94"/>
        <v>5.6439631800000003E-4</v>
      </c>
      <c r="J347" s="771">
        <f t="shared" si="95"/>
        <v>5.6439631799999998E-5</v>
      </c>
      <c r="K347" s="525">
        <f>+DATA!G343</f>
        <v>4285</v>
      </c>
      <c r="L347" s="525">
        <f>+DATA!H343</f>
        <v>4797</v>
      </c>
      <c r="M347" s="525">
        <f>+DATA!I343</f>
        <v>44171731275</v>
      </c>
      <c r="N347" s="525">
        <f>+DATA!J343</f>
        <v>100186739916</v>
      </c>
      <c r="O347" s="773">
        <f t="shared" si="103"/>
        <v>0.62756345045989803</v>
      </c>
      <c r="P347" s="774" t="str">
        <f t="shared" si="104"/>
        <v>SI</v>
      </c>
      <c r="Q347" s="771">
        <f t="shared" si="96"/>
        <v>7.0102740519999997E-4</v>
      </c>
      <c r="R347" s="771">
        <f t="shared" si="97"/>
        <v>1.0050589719E-3</v>
      </c>
      <c r="S347" s="771">
        <f t="shared" si="98"/>
        <v>3.0151769159999999E-4</v>
      </c>
      <c r="T347" s="525">
        <f>+DATA!K343</f>
        <v>0</v>
      </c>
      <c r="U347" s="525">
        <f>+DATA!L343</f>
        <v>0</v>
      </c>
      <c r="V347" s="525">
        <f>+DATA!M343</f>
        <v>464731</v>
      </c>
      <c r="W347" s="526">
        <f t="shared" si="99"/>
        <v>464731</v>
      </c>
      <c r="X347" s="526">
        <f t="shared" si="105"/>
        <v>464731</v>
      </c>
      <c r="Y347" s="526">
        <f t="shared" si="106"/>
        <v>464731</v>
      </c>
      <c r="Z347" s="525">
        <f>+DATA!F343</f>
        <v>64278.094418461507</v>
      </c>
      <c r="AA347" s="525">
        <f>IF(P347="SI",ROUND(Z347/DIV_Pf,PARAMETROS!$L$8),0)</f>
        <v>5357</v>
      </c>
      <c r="AB347" s="526">
        <f t="shared" si="107"/>
        <v>10233</v>
      </c>
      <c r="AC347" s="775">
        <f t="shared" si="108"/>
        <v>45.41</v>
      </c>
      <c r="AD347" s="525">
        <f>IF(AC347&lt;$AC$6,ROUND(($AC$6-AC347)*AB347,PARAMETROS!$L$8),0)</f>
        <v>604873</v>
      </c>
      <c r="AE347" s="771">
        <f t="shared" si="100"/>
        <v>5.8056919270000002E-4</v>
      </c>
      <c r="AF347" s="771">
        <f t="shared" si="101"/>
        <v>2.0319921740000001E-4</v>
      </c>
      <c r="AG347" s="771">
        <f t="shared" si="109"/>
        <v>1.2836998933999999E-3</v>
      </c>
      <c r="AH347" s="525">
        <f>+DATA!Q343</f>
        <v>2431939.2710000002</v>
      </c>
      <c r="AI347" s="525">
        <f>+DATA!R343</f>
        <v>202661.60591666668</v>
      </c>
      <c r="AJ347" s="525">
        <f>+DATA!S343</f>
        <v>160103</v>
      </c>
      <c r="AK347" s="525">
        <f>+'_DATA STT PAGOS_'!G345</f>
        <v>0</v>
      </c>
      <c r="AL347" s="525">
        <f>+'_DATA STT PAGOS_'!J345</f>
        <v>3300533.0880000005</v>
      </c>
      <c r="AM347" s="525">
        <f>+DATA!Y343</f>
        <v>12605</v>
      </c>
      <c r="AN347" s="525">
        <f>+DATA!Z343</f>
        <v>9781</v>
      </c>
      <c r="AO347" s="525">
        <f>+DATA!AA343</f>
        <v>11257</v>
      </c>
      <c r="AP347" s="525">
        <f>+DATA!AB343</f>
        <v>4983</v>
      </c>
      <c r="AQ347" s="525">
        <f>+DATA!AC343</f>
        <v>38626</v>
      </c>
      <c r="AR347" s="525">
        <f>+DATA!AD343</f>
        <v>159</v>
      </c>
      <c r="AS347" s="525">
        <f>+DATA!AE343</f>
        <v>57</v>
      </c>
      <c r="AT347" s="525">
        <f>+DATA!AF343</f>
        <v>128.82900000000001</v>
      </c>
      <c r="AU347" s="525">
        <f>+DATA!AG343</f>
        <v>83</v>
      </c>
      <c r="AV347" s="525">
        <f>+DATA!AH343</f>
        <v>427.82900000000001</v>
      </c>
    </row>
    <row r="348" spans="1:48" x14ac:dyDescent="0.25">
      <c r="A348" s="527">
        <v>16206</v>
      </c>
      <c r="B348" s="527">
        <v>8119</v>
      </c>
      <c r="C348" s="527" t="s">
        <v>33</v>
      </c>
      <c r="D348" s="771">
        <f t="shared" si="92"/>
        <v>2.8901734103999998E-3</v>
      </c>
      <c r="E348" s="771">
        <f t="shared" si="93"/>
        <v>7.2254335259999995E-4</v>
      </c>
      <c r="F348" s="525">
        <f>+DATA!D344</f>
        <v>6293</v>
      </c>
      <c r="G348" s="772">
        <f>+DATA!E344</f>
        <v>0.16772665802501149</v>
      </c>
      <c r="H348" s="525">
        <f t="shared" si="102"/>
        <v>1056</v>
      </c>
      <c r="I348" s="771">
        <f t="shared" si="94"/>
        <v>8.0868726160000001E-4</v>
      </c>
      <c r="J348" s="771">
        <f t="shared" si="95"/>
        <v>8.0868726199999995E-5</v>
      </c>
      <c r="K348" s="525">
        <f>+DATA!G344</f>
        <v>4797</v>
      </c>
      <c r="L348" s="525">
        <f>+DATA!H344</f>
        <v>5376</v>
      </c>
      <c r="M348" s="525">
        <f>+DATA!I344</f>
        <v>45546900215</v>
      </c>
      <c r="N348" s="525">
        <f>+DATA!J344</f>
        <v>184895444352</v>
      </c>
      <c r="O348" s="773">
        <f t="shared" si="103"/>
        <v>0.46883663114739871</v>
      </c>
      <c r="P348" s="774" t="str">
        <f t="shared" si="104"/>
        <v>SI</v>
      </c>
      <c r="Q348" s="771">
        <f t="shared" si="96"/>
        <v>7.8394074800000005E-4</v>
      </c>
      <c r="R348" s="771">
        <f t="shared" si="97"/>
        <v>1.1239313561999999E-3</v>
      </c>
      <c r="S348" s="771">
        <f t="shared" si="98"/>
        <v>3.3717940689999997E-4</v>
      </c>
      <c r="T348" s="525">
        <f>+DATA!K344</f>
        <v>0</v>
      </c>
      <c r="U348" s="525">
        <f>+DATA!L344</f>
        <v>0</v>
      </c>
      <c r="V348" s="525">
        <f>+DATA!M344</f>
        <v>1089082</v>
      </c>
      <c r="W348" s="526">
        <f t="shared" si="99"/>
        <v>1089082</v>
      </c>
      <c r="X348" s="526">
        <f t="shared" si="105"/>
        <v>1089082</v>
      </c>
      <c r="Y348" s="526">
        <f t="shared" si="106"/>
        <v>1089082</v>
      </c>
      <c r="Z348" s="525">
        <f>+DATA!F344</f>
        <v>307339.51206556807</v>
      </c>
      <c r="AA348" s="525">
        <f>IF(P348="SI",ROUND(Z348/DIV_Pf,PARAMETROS!$L$8),0)</f>
        <v>25612</v>
      </c>
      <c r="AB348" s="526">
        <f t="shared" si="107"/>
        <v>31905</v>
      </c>
      <c r="AC348" s="775">
        <f t="shared" si="108"/>
        <v>34.14</v>
      </c>
      <c r="AD348" s="525">
        <f>IF(AC348&lt;$AC$6,ROUND(($AC$6-AC348)*AB348,PARAMETROS!$L$8),0)</f>
        <v>2245474</v>
      </c>
      <c r="AE348" s="771">
        <f t="shared" si="100"/>
        <v>2.1552508169999998E-3</v>
      </c>
      <c r="AF348" s="771">
        <f t="shared" si="101"/>
        <v>7.54337786E-4</v>
      </c>
      <c r="AG348" s="771">
        <f t="shared" si="109"/>
        <v>1.8949292717E-3</v>
      </c>
      <c r="AH348" s="525">
        <f>+DATA!Q344</f>
        <v>2109448.3360000001</v>
      </c>
      <c r="AI348" s="525">
        <f>+DATA!R344</f>
        <v>175787.36133333333</v>
      </c>
      <c r="AJ348" s="525">
        <f>+DATA!S344</f>
        <v>138872</v>
      </c>
      <c r="AK348" s="525">
        <f>+'_DATA STT PAGOS_'!G346</f>
        <v>0</v>
      </c>
      <c r="AL348" s="525">
        <f>+'_DATA STT PAGOS_'!J346</f>
        <v>2864696.764</v>
      </c>
      <c r="AM348" s="525">
        <f>+DATA!Y344</f>
        <v>60846</v>
      </c>
      <c r="AN348" s="525">
        <f>+DATA!Z344</f>
        <v>79632</v>
      </c>
      <c r="AO348" s="525">
        <f>+DATA!AA344</f>
        <v>81612</v>
      </c>
      <c r="AP348" s="525">
        <f>+DATA!AB344</f>
        <v>2675</v>
      </c>
      <c r="AQ348" s="525">
        <f>+DATA!AC344</f>
        <v>224765</v>
      </c>
      <c r="AR348" s="525">
        <f>+DATA!AD344</f>
        <v>224</v>
      </c>
      <c r="AS348" s="525">
        <f>+DATA!AE344</f>
        <v>142</v>
      </c>
      <c r="AT348" s="525">
        <f>+DATA!AF344</f>
        <v>191.78200000000001</v>
      </c>
      <c r="AU348" s="525">
        <f>+DATA!AG344</f>
        <v>197</v>
      </c>
      <c r="AV348" s="525">
        <f>+DATA!AH344</f>
        <v>754.78200000000004</v>
      </c>
    </row>
    <row r="349" spans="1:48" x14ac:dyDescent="0.25">
      <c r="A349" s="527">
        <v>16207</v>
      </c>
      <c r="B349" s="527">
        <v>8108</v>
      </c>
      <c r="C349" s="527" t="s">
        <v>175</v>
      </c>
      <c r="D349" s="771">
        <f t="shared" si="92"/>
        <v>2.8901734103999998E-3</v>
      </c>
      <c r="E349" s="771">
        <f t="shared" si="93"/>
        <v>7.2254335259999995E-4</v>
      </c>
      <c r="F349" s="525">
        <f>+DATA!D345</f>
        <v>5766</v>
      </c>
      <c r="G349" s="772">
        <f>+DATA!E345</f>
        <v>0.17145885347911261</v>
      </c>
      <c r="H349" s="525">
        <f t="shared" si="102"/>
        <v>989</v>
      </c>
      <c r="I349" s="771">
        <f t="shared" si="94"/>
        <v>7.573785055E-4</v>
      </c>
      <c r="J349" s="771">
        <f t="shared" si="95"/>
        <v>7.5737850600000005E-5</v>
      </c>
      <c r="K349" s="525">
        <f>+DATA!G345</f>
        <v>4848</v>
      </c>
      <c r="L349" s="525">
        <f>+DATA!H345</f>
        <v>5861</v>
      </c>
      <c r="M349" s="525">
        <f>+DATA!I345</f>
        <v>57037132171</v>
      </c>
      <c r="N349" s="525">
        <f>+DATA!J345</f>
        <v>98634888362</v>
      </c>
      <c r="O349" s="773">
        <f t="shared" si="103"/>
        <v>0.69160640514061678</v>
      </c>
      <c r="P349" s="774" t="str">
        <f t="shared" si="104"/>
        <v>SI</v>
      </c>
      <c r="Q349" s="771">
        <f t="shared" si="96"/>
        <v>7.344404077E-4</v>
      </c>
      <c r="R349" s="771">
        <f t="shared" si="97"/>
        <v>1.0529630020999999E-3</v>
      </c>
      <c r="S349" s="771">
        <f t="shared" si="98"/>
        <v>3.1588890060000002E-4</v>
      </c>
      <c r="T349" s="525">
        <f>+DATA!K345</f>
        <v>0</v>
      </c>
      <c r="U349" s="525">
        <f>+DATA!L345</f>
        <v>0</v>
      </c>
      <c r="V349" s="525">
        <f>+DATA!M345</f>
        <v>404777</v>
      </c>
      <c r="W349" s="526">
        <f t="shared" si="99"/>
        <v>404777</v>
      </c>
      <c r="X349" s="526">
        <f t="shared" si="105"/>
        <v>404777</v>
      </c>
      <c r="Y349" s="526">
        <f t="shared" si="106"/>
        <v>404777</v>
      </c>
      <c r="Z349" s="525">
        <f>+DATA!F345</f>
        <v>93114.131510174266</v>
      </c>
      <c r="AA349" s="525">
        <f>IF(P349="SI",ROUND(Z349/DIV_Pf,PARAMETROS!$L$8),0)</f>
        <v>7760</v>
      </c>
      <c r="AB349" s="526">
        <f t="shared" si="107"/>
        <v>13526</v>
      </c>
      <c r="AC349" s="775">
        <f t="shared" si="108"/>
        <v>29.93</v>
      </c>
      <c r="AD349" s="525">
        <f>IF(AC349&lt;$AC$6,ROUND(($AC$6-AC349)*AB349,PARAMETROS!$L$8),0)</f>
        <v>1008904</v>
      </c>
      <c r="AE349" s="771">
        <f t="shared" si="100"/>
        <v>9.6836622040000003E-4</v>
      </c>
      <c r="AF349" s="771">
        <f t="shared" si="101"/>
        <v>3.3892817709999998E-4</v>
      </c>
      <c r="AG349" s="771">
        <f t="shared" si="109"/>
        <v>1.4530982809000002E-3</v>
      </c>
      <c r="AH349" s="525">
        <f>+DATA!Q345</f>
        <v>2571404.34</v>
      </c>
      <c r="AI349" s="525">
        <f>+DATA!R345</f>
        <v>214283.69499999998</v>
      </c>
      <c r="AJ349" s="525">
        <f>+DATA!S345</f>
        <v>169284</v>
      </c>
      <c r="AK349" s="525">
        <f>+'_DATA STT PAGOS_'!G347</f>
        <v>0</v>
      </c>
      <c r="AL349" s="525">
        <f>+'_DATA STT PAGOS_'!J347</f>
        <v>3490461.5319999997</v>
      </c>
      <c r="AM349" s="525">
        <f>+DATA!Y345</f>
        <v>10390</v>
      </c>
      <c r="AN349" s="525">
        <f>+DATA!Z345</f>
        <v>6567</v>
      </c>
      <c r="AO349" s="525">
        <f>+DATA!AA345</f>
        <v>8777</v>
      </c>
      <c r="AP349" s="525">
        <f>+DATA!AB345</f>
        <v>2217</v>
      </c>
      <c r="AQ349" s="525">
        <f>+DATA!AC345</f>
        <v>27951</v>
      </c>
      <c r="AR349" s="525">
        <f>+DATA!AD345</f>
        <v>0</v>
      </c>
      <c r="AS349" s="525">
        <f>+DATA!AE345</f>
        <v>0</v>
      </c>
      <c r="AT349" s="525">
        <f>+DATA!AF345</f>
        <v>0</v>
      </c>
      <c r="AU349" s="525">
        <f>+DATA!AG345</f>
        <v>0</v>
      </c>
      <c r="AV349" s="525">
        <f>+DATA!AH345</f>
        <v>0</v>
      </c>
    </row>
    <row r="350" spans="1:48" x14ac:dyDescent="0.25">
      <c r="A350" s="527">
        <v>16301</v>
      </c>
      <c r="B350" s="527">
        <v>8109</v>
      </c>
      <c r="C350" s="527" t="s">
        <v>176</v>
      </c>
      <c r="D350" s="771">
        <f t="shared" si="92"/>
        <v>2.8901734103999998E-3</v>
      </c>
      <c r="E350" s="771">
        <f t="shared" si="93"/>
        <v>7.2254335259999995E-4</v>
      </c>
      <c r="F350" s="525">
        <f>+DATA!D346</f>
        <v>57061</v>
      </c>
      <c r="G350" s="772">
        <f>+DATA!E346</f>
        <v>0.13692435692484781</v>
      </c>
      <c r="H350" s="525">
        <f t="shared" si="102"/>
        <v>7813</v>
      </c>
      <c r="I350" s="771">
        <f t="shared" si="94"/>
        <v>5.9832136129000001E-3</v>
      </c>
      <c r="J350" s="771">
        <f t="shared" si="95"/>
        <v>5.9832136129999997E-4</v>
      </c>
      <c r="K350" s="525">
        <f>+DATA!G346</f>
        <v>24959</v>
      </c>
      <c r="L350" s="525">
        <f>+DATA!H346</f>
        <v>31888</v>
      </c>
      <c r="M350" s="525">
        <f>+DATA!I346</f>
        <v>469436477401</v>
      </c>
      <c r="N350" s="525">
        <f>+DATA!J346</f>
        <v>1130685270001</v>
      </c>
      <c r="O350" s="773">
        <f t="shared" si="103"/>
        <v>0.57005597133229235</v>
      </c>
      <c r="P350" s="774" t="str">
        <f t="shared" si="104"/>
        <v>SI</v>
      </c>
      <c r="Q350" s="771">
        <f t="shared" si="96"/>
        <v>3.5779160211000002E-3</v>
      </c>
      <c r="R350" s="771">
        <f t="shared" si="97"/>
        <v>5.1296376878000004E-3</v>
      </c>
      <c r="S350" s="771">
        <f t="shared" si="98"/>
        <v>1.5388913063E-3</v>
      </c>
      <c r="T350" s="525">
        <f>+DATA!K346</f>
        <v>0</v>
      </c>
      <c r="U350" s="525">
        <f>+DATA!L346</f>
        <v>0</v>
      </c>
      <c r="V350" s="525">
        <f>+DATA!M346</f>
        <v>4143618</v>
      </c>
      <c r="W350" s="526">
        <f t="shared" si="99"/>
        <v>4143618</v>
      </c>
      <c r="X350" s="526">
        <f t="shared" si="105"/>
        <v>4143618</v>
      </c>
      <c r="Y350" s="526">
        <f t="shared" si="106"/>
        <v>4143618</v>
      </c>
      <c r="Z350" s="525">
        <f>+DATA!F346</f>
        <v>629801.94750481902</v>
      </c>
      <c r="AA350" s="525">
        <f>IF(P350="SI",ROUND(Z350/DIV_Pf,PARAMETROS!$L$8),0)</f>
        <v>52483</v>
      </c>
      <c r="AB350" s="526">
        <f t="shared" si="107"/>
        <v>109544</v>
      </c>
      <c r="AC350" s="775">
        <f t="shared" si="108"/>
        <v>37.83</v>
      </c>
      <c r="AD350" s="525">
        <f>IF(AC350&lt;$AC$6,ROUND(($AC$6-AC350)*AB350,PARAMETROS!$L$8),0)</f>
        <v>7305489</v>
      </c>
      <c r="AE350" s="771">
        <f t="shared" si="100"/>
        <v>7.0119543295000001E-3</v>
      </c>
      <c r="AF350" s="771">
        <f t="shared" si="101"/>
        <v>2.4541840152999999E-3</v>
      </c>
      <c r="AG350" s="771">
        <f t="shared" si="109"/>
        <v>5.3139400355000001E-3</v>
      </c>
      <c r="AH350" s="525">
        <f>+DATA!Q346</f>
        <v>9669849.0130000003</v>
      </c>
      <c r="AI350" s="525">
        <f>+DATA!R346</f>
        <v>805820.75108333339</v>
      </c>
      <c r="AJ350" s="525">
        <f>+DATA!S346</f>
        <v>636598</v>
      </c>
      <c r="AK350" s="525">
        <f>+'_DATA STT PAGOS_'!G348</f>
        <v>0</v>
      </c>
      <c r="AL350" s="525">
        <f>+'_DATA STT PAGOS_'!J348</f>
        <v>13134807.681</v>
      </c>
      <c r="AM350" s="525">
        <f>+DATA!Y346</f>
        <v>203639</v>
      </c>
      <c r="AN350" s="525">
        <f>+DATA!Z346</f>
        <v>149420</v>
      </c>
      <c r="AO350" s="525">
        <f>+DATA!AA346</f>
        <v>168796</v>
      </c>
      <c r="AP350" s="525">
        <f>+DATA!AB346</f>
        <v>122244</v>
      </c>
      <c r="AQ350" s="525">
        <f>+DATA!AC346</f>
        <v>644099</v>
      </c>
      <c r="AR350" s="525">
        <f>+DATA!AD346</f>
        <v>12783</v>
      </c>
      <c r="AS350" s="525">
        <f>+DATA!AE346</f>
        <v>7423</v>
      </c>
      <c r="AT350" s="525">
        <f>+DATA!AF346</f>
        <v>9447.3680000000004</v>
      </c>
      <c r="AU350" s="525">
        <f>+DATA!AG346</f>
        <v>7565</v>
      </c>
      <c r="AV350" s="525">
        <f>+DATA!AH346</f>
        <v>37218.368000000002</v>
      </c>
    </row>
    <row r="351" spans="1:48" x14ac:dyDescent="0.25">
      <c r="A351" s="527">
        <v>16302</v>
      </c>
      <c r="B351" s="527">
        <v>8103</v>
      </c>
      <c r="C351" s="527" t="s">
        <v>170</v>
      </c>
      <c r="D351" s="771">
        <f t="shared" si="92"/>
        <v>2.8901734103999998E-3</v>
      </c>
      <c r="E351" s="771">
        <f t="shared" si="93"/>
        <v>7.2254335259999995E-4</v>
      </c>
      <c r="F351" s="525">
        <f>+DATA!D347</f>
        <v>29067</v>
      </c>
      <c r="G351" s="772">
        <f>+DATA!E347</f>
        <v>0.13488559526706681</v>
      </c>
      <c r="H351" s="525">
        <f t="shared" si="102"/>
        <v>3921</v>
      </c>
      <c r="I351" s="771">
        <f t="shared" si="94"/>
        <v>3.0027109403000002E-3</v>
      </c>
      <c r="J351" s="771">
        <f t="shared" si="95"/>
        <v>3.0027109400000002E-4</v>
      </c>
      <c r="K351" s="525">
        <f>+DATA!G347</f>
        <v>11042</v>
      </c>
      <c r="L351" s="525">
        <f>+DATA!H347</f>
        <v>14903</v>
      </c>
      <c r="M351" s="525">
        <f>+DATA!I347</f>
        <v>170354497693</v>
      </c>
      <c r="N351" s="525">
        <f>+DATA!J347</f>
        <v>666373084940</v>
      </c>
      <c r="O351" s="773">
        <f t="shared" si="103"/>
        <v>0.43521624651555746</v>
      </c>
      <c r="P351" s="774" t="str">
        <f t="shared" si="104"/>
        <v>NO</v>
      </c>
      <c r="Q351" s="771">
        <f t="shared" si="96"/>
        <v>1.4983899320000001E-3</v>
      </c>
      <c r="R351" s="771">
        <f t="shared" si="97"/>
        <v>2.1482330554999998E-3</v>
      </c>
      <c r="S351" s="771">
        <f t="shared" si="98"/>
        <v>6.4446991670000003E-4</v>
      </c>
      <c r="T351" s="525">
        <f>+DATA!K347</f>
        <v>0</v>
      </c>
      <c r="U351" s="525">
        <f>+DATA!L347</f>
        <v>0</v>
      </c>
      <c r="V351" s="525">
        <f>+DATA!M347</f>
        <v>1883537</v>
      </c>
      <c r="W351" s="526">
        <f t="shared" si="99"/>
        <v>1883537</v>
      </c>
      <c r="X351" s="526">
        <f t="shared" si="105"/>
        <v>1883537</v>
      </c>
      <c r="Y351" s="526">
        <f t="shared" si="106"/>
        <v>1883537</v>
      </c>
      <c r="Z351" s="525">
        <f>+DATA!F347</f>
        <v>238214.63564395549</v>
      </c>
      <c r="AA351" s="525">
        <f>IF(P351="SI",ROUND(Z351/DIV_Pf,PARAMETROS!$L$8),0)</f>
        <v>0</v>
      </c>
      <c r="AB351" s="526">
        <f t="shared" si="107"/>
        <v>29067</v>
      </c>
      <c r="AC351" s="775">
        <f t="shared" si="108"/>
        <v>64.8</v>
      </c>
      <c r="AD351" s="525">
        <f>IF(AC351&lt;$AC$6,ROUND(($AC$6-AC351)*AB351,PARAMETROS!$L$8),0)</f>
        <v>1154541</v>
      </c>
      <c r="AE351" s="771">
        <f t="shared" si="100"/>
        <v>1.1081515233E-3</v>
      </c>
      <c r="AF351" s="771">
        <f t="shared" si="101"/>
        <v>3.878530332E-4</v>
      </c>
      <c r="AG351" s="771">
        <f t="shared" si="109"/>
        <v>2.0551373965000002E-3</v>
      </c>
      <c r="AH351" s="525">
        <f>+DATA!Q347</f>
        <v>6008857.8969999999</v>
      </c>
      <c r="AI351" s="525">
        <f>+DATA!R347</f>
        <v>500738.15808333334</v>
      </c>
      <c r="AJ351" s="525">
        <f>+DATA!S347</f>
        <v>395583</v>
      </c>
      <c r="AK351" s="525">
        <f>+'_DATA STT PAGOS_'!G349</f>
        <v>0</v>
      </c>
      <c r="AL351" s="525">
        <f>+'_DATA STT PAGOS_'!J349</f>
        <v>8154158.148</v>
      </c>
      <c r="AM351" s="525">
        <f>+DATA!Y347</f>
        <v>118063</v>
      </c>
      <c r="AN351" s="525">
        <f>+DATA!Z347</f>
        <v>76465</v>
      </c>
      <c r="AO351" s="525">
        <f>+DATA!AA347</f>
        <v>90018</v>
      </c>
      <c r="AP351" s="525">
        <f>+DATA!AB347</f>
        <v>49943</v>
      </c>
      <c r="AQ351" s="525">
        <f>+DATA!AC347</f>
        <v>334489</v>
      </c>
      <c r="AR351" s="525">
        <f>+DATA!AD347</f>
        <v>2268</v>
      </c>
      <c r="AS351" s="525">
        <f>+DATA!AE347</f>
        <v>1097</v>
      </c>
      <c r="AT351" s="525">
        <f>+DATA!AF347</f>
        <v>1521.568</v>
      </c>
      <c r="AU351" s="525">
        <f>+DATA!AG347</f>
        <v>980</v>
      </c>
      <c r="AV351" s="525">
        <f>+DATA!AH347</f>
        <v>5866.5680000000002</v>
      </c>
    </row>
    <row r="352" spans="1:48" x14ac:dyDescent="0.25">
      <c r="A352" s="527">
        <v>16303</v>
      </c>
      <c r="B352" s="527">
        <v>8110</v>
      </c>
      <c r="C352" s="527" t="s">
        <v>403</v>
      </c>
      <c r="D352" s="771">
        <f t="shared" si="92"/>
        <v>2.8901734103999998E-3</v>
      </c>
      <c r="E352" s="771">
        <f t="shared" si="93"/>
        <v>7.2254335259999995E-4</v>
      </c>
      <c r="F352" s="525">
        <f>+DATA!D348</f>
        <v>11526</v>
      </c>
      <c r="G352" s="772">
        <f>+DATA!E348</f>
        <v>0.1384196963915372</v>
      </c>
      <c r="H352" s="525">
        <f t="shared" si="102"/>
        <v>1595</v>
      </c>
      <c r="I352" s="771">
        <f t="shared" si="94"/>
        <v>1.2214547180999999E-3</v>
      </c>
      <c r="J352" s="771">
        <f t="shared" si="95"/>
        <v>1.2214547179999999E-4</v>
      </c>
      <c r="K352" s="525">
        <f>+DATA!G348</f>
        <v>7493</v>
      </c>
      <c r="L352" s="525">
        <f>+DATA!H348</f>
        <v>9507</v>
      </c>
      <c r="M352" s="525">
        <f>+DATA!I348</f>
        <v>98693717053</v>
      </c>
      <c r="N352" s="525">
        <f>+DATA!J348</f>
        <v>284416763946</v>
      </c>
      <c r="O352" s="773">
        <f t="shared" si="103"/>
        <v>0.52296578596025389</v>
      </c>
      <c r="P352" s="774" t="str">
        <f t="shared" si="104"/>
        <v>SI</v>
      </c>
      <c r="Q352" s="771">
        <f t="shared" si="96"/>
        <v>1.0816108455000001E-3</v>
      </c>
      <c r="R352" s="771">
        <f t="shared" si="97"/>
        <v>1.5506992685E-3</v>
      </c>
      <c r="S352" s="771">
        <f t="shared" si="98"/>
        <v>4.6520978060000001E-4</v>
      </c>
      <c r="T352" s="525">
        <f>+DATA!K348</f>
        <v>0</v>
      </c>
      <c r="U352" s="525">
        <f>+DATA!L348</f>
        <v>0</v>
      </c>
      <c r="V352" s="525">
        <f>+DATA!M348</f>
        <v>966062</v>
      </c>
      <c r="W352" s="526">
        <f t="shared" si="99"/>
        <v>966062</v>
      </c>
      <c r="X352" s="526">
        <f t="shared" si="105"/>
        <v>966062</v>
      </c>
      <c r="Y352" s="526">
        <f t="shared" si="106"/>
        <v>966062</v>
      </c>
      <c r="Z352" s="525">
        <f>+DATA!F348</f>
        <v>281571.57923848747</v>
      </c>
      <c r="AA352" s="525">
        <f>IF(P352="SI",ROUND(Z352/DIV_Pf,PARAMETROS!$L$8),0)</f>
        <v>23464</v>
      </c>
      <c r="AB352" s="526">
        <f t="shared" si="107"/>
        <v>34990</v>
      </c>
      <c r="AC352" s="775">
        <f t="shared" si="108"/>
        <v>27.61</v>
      </c>
      <c r="AD352" s="525">
        <f>IF(AC352&lt;$AC$6,ROUND(($AC$6-AC352)*AB352,PARAMETROS!$L$8),0)</f>
        <v>2691081</v>
      </c>
      <c r="AE352" s="771">
        <f t="shared" si="100"/>
        <v>2.5829533202999999E-3</v>
      </c>
      <c r="AF352" s="771">
        <f t="shared" si="101"/>
        <v>9.0403366209999998E-4</v>
      </c>
      <c r="AG352" s="771">
        <f t="shared" si="109"/>
        <v>2.2139322671000002E-3</v>
      </c>
      <c r="AH352" s="525">
        <f>+DATA!Q348</f>
        <v>3501207.9249999998</v>
      </c>
      <c r="AI352" s="525">
        <f>+DATA!R348</f>
        <v>291767.32708333334</v>
      </c>
      <c r="AJ352" s="525">
        <f>+DATA!S348</f>
        <v>230496</v>
      </c>
      <c r="AK352" s="525">
        <f>+'_DATA STT PAGOS_'!G350</f>
        <v>0</v>
      </c>
      <c r="AL352" s="525">
        <f>+'_DATA STT PAGOS_'!J350</f>
        <v>4750138.5010000002</v>
      </c>
      <c r="AM352" s="525">
        <f>+DATA!Y348</f>
        <v>38413</v>
      </c>
      <c r="AN352" s="525">
        <f>+DATA!Z348</f>
        <v>23634</v>
      </c>
      <c r="AO352" s="525">
        <f>+DATA!AA348</f>
        <v>34814</v>
      </c>
      <c r="AP352" s="525">
        <f>+DATA!AB348</f>
        <v>23195</v>
      </c>
      <c r="AQ352" s="525">
        <f>+DATA!AC348</f>
        <v>120056</v>
      </c>
      <c r="AR352" s="525">
        <f>+DATA!AD348</f>
        <v>0</v>
      </c>
      <c r="AS352" s="525">
        <f>+DATA!AE348</f>
        <v>0</v>
      </c>
      <c r="AT352" s="525">
        <f>+DATA!AF348</f>
        <v>0</v>
      </c>
      <c r="AU352" s="525">
        <f>+DATA!AG348</f>
        <v>0</v>
      </c>
      <c r="AV352" s="525">
        <f>+DATA!AH348</f>
        <v>0</v>
      </c>
    </row>
    <row r="353" spans="1:49" x14ac:dyDescent="0.25">
      <c r="A353" s="527">
        <v>16304</v>
      </c>
      <c r="B353" s="527">
        <v>8111</v>
      </c>
      <c r="C353" s="527" t="s">
        <v>405</v>
      </c>
      <c r="D353" s="771">
        <f t="shared" si="92"/>
        <v>2.8901734103999998E-3</v>
      </c>
      <c r="E353" s="771">
        <f t="shared" si="93"/>
        <v>7.2254335259999995E-4</v>
      </c>
      <c r="F353" s="525">
        <f>+DATA!D349</f>
        <v>4793</v>
      </c>
      <c r="G353" s="772">
        <f>+DATA!E349</f>
        <v>0.14957041287153819</v>
      </c>
      <c r="H353" s="525">
        <f t="shared" si="102"/>
        <v>717</v>
      </c>
      <c r="I353" s="771">
        <f t="shared" si="94"/>
        <v>5.4908027139999999E-4</v>
      </c>
      <c r="J353" s="771">
        <f t="shared" si="95"/>
        <v>5.4908027100000002E-5</v>
      </c>
      <c r="K353" s="525">
        <f>+DATA!G349</f>
        <v>2633</v>
      </c>
      <c r="L353" s="525">
        <f>+DATA!H349</f>
        <v>3770</v>
      </c>
      <c r="M353" s="525">
        <f>+DATA!I349</f>
        <v>38336964036</v>
      </c>
      <c r="N353" s="525">
        <f>+DATA!J349</f>
        <v>190281889522</v>
      </c>
      <c r="O353" s="773">
        <f t="shared" si="103"/>
        <v>0.37511539260097654</v>
      </c>
      <c r="P353" s="774" t="str">
        <f t="shared" si="104"/>
        <v>NO</v>
      </c>
      <c r="Q353" s="771">
        <f t="shared" si="96"/>
        <v>3.3679328980000002E-4</v>
      </c>
      <c r="R353" s="771">
        <f t="shared" si="97"/>
        <v>4.8285860880000001E-4</v>
      </c>
      <c r="S353" s="771">
        <f t="shared" si="98"/>
        <v>1.4485758260000001E-4</v>
      </c>
      <c r="T353" s="525">
        <f>+DATA!K349</f>
        <v>0</v>
      </c>
      <c r="U353" s="525">
        <f>+DATA!L349</f>
        <v>0</v>
      </c>
      <c r="V353" s="525">
        <f>+DATA!M349</f>
        <v>658249</v>
      </c>
      <c r="W353" s="526">
        <f t="shared" si="99"/>
        <v>658249</v>
      </c>
      <c r="X353" s="526">
        <f t="shared" si="105"/>
        <v>658249</v>
      </c>
      <c r="Y353" s="526">
        <f t="shared" si="106"/>
        <v>658249</v>
      </c>
      <c r="Z353" s="525">
        <f>+DATA!F349</f>
        <v>250418.99013132675</v>
      </c>
      <c r="AA353" s="525">
        <f>IF(P353="SI",ROUND(Z353/DIV_Pf,PARAMETROS!$L$8),0)</f>
        <v>0</v>
      </c>
      <c r="AB353" s="526">
        <f t="shared" si="107"/>
        <v>4793</v>
      </c>
      <c r="AC353" s="775">
        <f t="shared" si="108"/>
        <v>137.34</v>
      </c>
      <c r="AD353" s="525">
        <f>IF(AC353&lt;$AC$6,ROUND(($AC$6-AC353)*AB353,PARAMETROS!$L$8),0)</f>
        <v>0</v>
      </c>
      <c r="AE353" s="771">
        <f t="shared" si="100"/>
        <v>0</v>
      </c>
      <c r="AF353" s="771">
        <f t="shared" si="101"/>
        <v>0</v>
      </c>
      <c r="AG353" s="771">
        <f t="shared" si="109"/>
        <v>9.2230896229999993E-4</v>
      </c>
      <c r="AH353" s="525">
        <f>+DATA!Q349</f>
        <v>1728292.6310000001</v>
      </c>
      <c r="AI353" s="525">
        <f>+DATA!R349</f>
        <v>144024.38591666668</v>
      </c>
      <c r="AJ353" s="525">
        <f>+DATA!S349</f>
        <v>113779</v>
      </c>
      <c r="AK353" s="525">
        <f>+'_DATA STT PAGOS_'!G351</f>
        <v>0</v>
      </c>
      <c r="AL353" s="525">
        <f>+'_DATA STT PAGOS_'!J351</f>
        <v>2346010.2009999999</v>
      </c>
      <c r="AM353" s="525">
        <f>+DATA!Y349</f>
        <v>29493</v>
      </c>
      <c r="AN353" s="525">
        <f>+DATA!Z349</f>
        <v>19872</v>
      </c>
      <c r="AO353" s="525">
        <f>+DATA!AA349</f>
        <v>24441</v>
      </c>
      <c r="AP353" s="525">
        <f>+DATA!AB349</f>
        <v>17153</v>
      </c>
      <c r="AQ353" s="525">
        <f>+DATA!AC349</f>
        <v>90959</v>
      </c>
      <c r="AR353" s="525">
        <f>+DATA!AD349</f>
        <v>998</v>
      </c>
      <c r="AS353" s="525">
        <f>+DATA!AE349</f>
        <v>464</v>
      </c>
      <c r="AT353" s="525">
        <f>+DATA!AF349</f>
        <v>481.65300000000002</v>
      </c>
      <c r="AU353" s="525">
        <f>+DATA!AG349</f>
        <v>402</v>
      </c>
      <c r="AV353" s="525">
        <f>+DATA!AH349</f>
        <v>2345.6530000000002</v>
      </c>
    </row>
    <row r="354" spans="1:49" x14ac:dyDescent="0.25">
      <c r="A354" s="527">
        <v>16305</v>
      </c>
      <c r="B354" s="527">
        <v>8112</v>
      </c>
      <c r="C354" s="527" t="s">
        <v>406</v>
      </c>
      <c r="D354" s="771">
        <f t="shared" si="92"/>
        <v>2.8901734103999998E-3</v>
      </c>
      <c r="E354" s="771">
        <f t="shared" si="93"/>
        <v>7.2254335259999995E-4</v>
      </c>
      <c r="F354" s="525">
        <f>+DATA!D350</f>
        <v>12487</v>
      </c>
      <c r="G354" s="772">
        <f>+DATA!E350</f>
        <v>0.1077681430225962</v>
      </c>
      <c r="H354" s="525">
        <f t="shared" si="102"/>
        <v>1346</v>
      </c>
      <c r="I354" s="771">
        <f t="shared" si="94"/>
        <v>1.0307699377000001E-3</v>
      </c>
      <c r="J354" s="771">
        <f t="shared" si="95"/>
        <v>1.030769938E-4</v>
      </c>
      <c r="K354" s="525">
        <f>+DATA!G350</f>
        <v>7565</v>
      </c>
      <c r="L354" s="525">
        <f>+DATA!H350</f>
        <v>10696</v>
      </c>
      <c r="M354" s="525">
        <f>+DATA!I350</f>
        <v>85372192082</v>
      </c>
      <c r="N354" s="525">
        <f>+DATA!J350</f>
        <v>288318708552</v>
      </c>
      <c r="O354" s="773">
        <f t="shared" si="103"/>
        <v>0.45763114490435958</v>
      </c>
      <c r="P354" s="774" t="str">
        <f t="shared" si="104"/>
        <v>NO</v>
      </c>
      <c r="Q354" s="771">
        <f t="shared" si="96"/>
        <v>9.7994010640000003E-4</v>
      </c>
      <c r="R354" s="771">
        <f t="shared" si="97"/>
        <v>1.4049345126999999E-3</v>
      </c>
      <c r="S354" s="771">
        <f t="shared" si="98"/>
        <v>4.2148035379999999E-4</v>
      </c>
      <c r="T354" s="525">
        <f>+DATA!K350</f>
        <v>0</v>
      </c>
      <c r="U354" s="525">
        <f>+DATA!L350</f>
        <v>0</v>
      </c>
      <c r="V354" s="525">
        <f>+DATA!M350</f>
        <v>1931345</v>
      </c>
      <c r="W354" s="526">
        <f t="shared" si="99"/>
        <v>1931345</v>
      </c>
      <c r="X354" s="526">
        <f t="shared" si="105"/>
        <v>1931345</v>
      </c>
      <c r="Y354" s="526">
        <f t="shared" si="106"/>
        <v>1931345</v>
      </c>
      <c r="Z354" s="525">
        <f>+DATA!F350</f>
        <v>120817.84543698795</v>
      </c>
      <c r="AA354" s="525">
        <f>IF(P354="SI",ROUND(Z354/DIV_Pf,PARAMETROS!$L$8),0)</f>
        <v>0</v>
      </c>
      <c r="AB354" s="526">
        <f t="shared" si="107"/>
        <v>12487</v>
      </c>
      <c r="AC354" s="775">
        <f t="shared" si="108"/>
        <v>154.66999999999999</v>
      </c>
      <c r="AD354" s="525">
        <f>IF(AC354&lt;$AC$6,ROUND(($AC$6-AC354)*AB354,PARAMETROS!$L$8),0)</f>
        <v>0</v>
      </c>
      <c r="AE354" s="771">
        <f t="shared" si="100"/>
        <v>0</v>
      </c>
      <c r="AF354" s="771">
        <f t="shared" si="101"/>
        <v>0</v>
      </c>
      <c r="AG354" s="771">
        <f t="shared" si="109"/>
        <v>1.2471007001999999E-3</v>
      </c>
      <c r="AH354" s="525">
        <f>+DATA!Q350</f>
        <v>2536253.179</v>
      </c>
      <c r="AI354" s="525">
        <f>+DATA!R350</f>
        <v>211354.43158333332</v>
      </c>
      <c r="AJ354" s="525">
        <f>+DATA!S350</f>
        <v>166970</v>
      </c>
      <c r="AK354" s="525">
        <f>+'_DATA STT PAGOS_'!G352</f>
        <v>0</v>
      </c>
      <c r="AL354" s="525">
        <f>+'_DATA STT PAGOS_'!J352</f>
        <v>3443949.42</v>
      </c>
      <c r="AM354" s="525">
        <f>+DATA!Y350</f>
        <v>56171</v>
      </c>
      <c r="AN354" s="525">
        <f>+DATA!Z350</f>
        <v>27086</v>
      </c>
      <c r="AO354" s="525">
        <f>+DATA!AA350</f>
        <v>36336</v>
      </c>
      <c r="AP354" s="525">
        <f>+DATA!AB350</f>
        <v>28118</v>
      </c>
      <c r="AQ354" s="525">
        <f>+DATA!AC350</f>
        <v>147711</v>
      </c>
      <c r="AR354" s="525">
        <f>+DATA!AD350</f>
        <v>0</v>
      </c>
      <c r="AS354" s="525">
        <f>+DATA!AE350</f>
        <v>0</v>
      </c>
      <c r="AT354" s="525">
        <f>+DATA!AF350</f>
        <v>0</v>
      </c>
      <c r="AU354" s="525">
        <f>+DATA!AG350</f>
        <v>0</v>
      </c>
      <c r="AV354" s="525">
        <f>+DATA!AH350</f>
        <v>0</v>
      </c>
    </row>
    <row r="355" spans="1:49" x14ac:dyDescent="0.25">
      <c r="D355" s="514"/>
      <c r="E355" s="514"/>
      <c r="F355" s="514"/>
      <c r="G355" s="514"/>
      <c r="H355" s="514"/>
      <c r="I355" s="514"/>
      <c r="J355" s="514"/>
      <c r="K355" s="525"/>
      <c r="L355" s="525"/>
      <c r="M355" s="514"/>
      <c r="N355" s="514"/>
      <c r="O355" s="514"/>
      <c r="P355" s="514"/>
      <c r="Q355" s="514"/>
      <c r="R355" s="514"/>
      <c r="S355" s="514"/>
      <c r="T355" s="514"/>
      <c r="U355" s="514"/>
      <c r="V355" s="514"/>
      <c r="W355" s="514"/>
      <c r="X355" s="514"/>
      <c r="Y355" s="514"/>
      <c r="Z355" s="514"/>
      <c r="AA355" s="514"/>
      <c r="AB355" s="514"/>
      <c r="AC355" s="514"/>
      <c r="AD355" s="525"/>
      <c r="AE355" s="514"/>
      <c r="AF355" s="514"/>
      <c r="AG355" s="514"/>
      <c r="AH355" s="525"/>
      <c r="AI355" s="525"/>
      <c r="AJ355" s="514"/>
      <c r="AK355" s="525"/>
      <c r="AL355" s="525"/>
      <c r="AM355" s="514"/>
      <c r="AN355" s="514"/>
      <c r="AO355" s="514"/>
      <c r="AP355" s="514"/>
      <c r="AQ355" s="514"/>
      <c r="AR355" s="514"/>
      <c r="AS355" s="514"/>
      <c r="AT355" s="514"/>
      <c r="AU355" s="514"/>
      <c r="AV355" s="514"/>
    </row>
    <row r="356" spans="1:49" x14ac:dyDescent="0.25">
      <c r="D356" s="514"/>
      <c r="E356" s="514"/>
      <c r="F356" s="514"/>
      <c r="G356" s="514"/>
      <c r="H356" s="514"/>
      <c r="I356" s="514"/>
      <c r="J356" s="514"/>
      <c r="K356" s="525"/>
      <c r="L356" s="525"/>
      <c r="M356" s="514"/>
      <c r="N356" s="514"/>
      <c r="O356" s="514"/>
      <c r="P356" s="514"/>
      <c r="Q356" s="514"/>
      <c r="R356" s="514"/>
      <c r="S356" s="514"/>
      <c r="T356" s="514"/>
      <c r="U356" s="514"/>
      <c r="V356" s="514"/>
      <c r="W356" s="514"/>
      <c r="X356" s="514"/>
      <c r="Y356" s="514"/>
      <c r="Z356" s="514"/>
      <c r="AA356" s="514"/>
      <c r="AB356" s="514"/>
      <c r="AC356" s="514"/>
      <c r="AD356" s="525"/>
      <c r="AE356" s="514"/>
      <c r="AF356" s="514"/>
      <c r="AG356" s="514"/>
      <c r="AH356" s="525"/>
      <c r="AI356" s="525"/>
      <c r="AJ356" s="514"/>
      <c r="AK356" s="525"/>
      <c r="AL356" s="525"/>
      <c r="AM356" s="514"/>
      <c r="AN356" s="514"/>
      <c r="AO356" s="514"/>
      <c r="AP356" s="514"/>
      <c r="AQ356" s="514"/>
      <c r="AR356" s="514"/>
      <c r="AS356" s="514"/>
      <c r="AT356" s="514"/>
      <c r="AU356" s="514"/>
      <c r="AV356" s="514"/>
    </row>
    <row r="357" spans="1:49" ht="15" hidden="1" customHeight="1" thickBot="1" x14ac:dyDescent="0.3">
      <c r="A357" s="630"/>
      <c r="B357" s="630"/>
      <c r="C357" s="906" t="s">
        <v>1001</v>
      </c>
      <c r="D357" s="907"/>
      <c r="E357" s="907"/>
      <c r="F357" s="907"/>
      <c r="G357" s="907"/>
      <c r="H357" s="907"/>
      <c r="I357" s="907" t="s">
        <v>1002</v>
      </c>
      <c r="J357" s="907"/>
      <c r="K357" s="908"/>
      <c r="L357" s="909"/>
      <c r="M357" s="710"/>
      <c r="N357" s="710"/>
      <c r="O357" s="710"/>
      <c r="P357" s="710"/>
      <c r="Q357" s="710"/>
      <c r="R357" s="710"/>
      <c r="S357" s="710"/>
      <c r="T357" s="514"/>
      <c r="U357" s="514"/>
      <c r="V357" s="514"/>
      <c r="W357" s="514"/>
      <c r="X357" s="514"/>
      <c r="Y357" s="710"/>
      <c r="Z357" s="710"/>
      <c r="AA357" s="710"/>
      <c r="AB357" s="710"/>
      <c r="AC357" s="710"/>
      <c r="AD357" s="909"/>
      <c r="AE357" s="710"/>
      <c r="AF357" s="710"/>
      <c r="AG357" s="710"/>
      <c r="AH357" s="776" t="s">
        <v>616</v>
      </c>
      <c r="AI357" s="525"/>
      <c r="AJ357" s="514"/>
      <c r="AK357" s="525"/>
      <c r="AL357" s="525"/>
      <c r="AM357" s="514"/>
      <c r="AN357" s="514"/>
      <c r="AO357" s="514"/>
      <c r="AP357" s="514"/>
      <c r="AQ357" s="514"/>
      <c r="AR357" s="514"/>
      <c r="AS357" s="514"/>
      <c r="AT357" s="514"/>
      <c r="AU357" s="514"/>
      <c r="AV357" s="514"/>
      <c r="AW357" s="920"/>
    </row>
    <row r="358" spans="1:49" ht="15.75" hidden="1" thickBot="1" x14ac:dyDescent="0.3">
      <c r="A358" s="630"/>
      <c r="B358" s="630"/>
      <c r="C358" s="906" t="s">
        <v>995</v>
      </c>
      <c r="D358" s="907"/>
      <c r="E358" s="907"/>
      <c r="F358" s="907"/>
      <c r="G358" s="907"/>
      <c r="H358" s="907"/>
      <c r="I358" s="907" t="s">
        <v>1007</v>
      </c>
      <c r="J358" s="907"/>
      <c r="K358" s="908"/>
      <c r="L358" s="909"/>
      <c r="M358" s="710"/>
      <c r="N358" s="710"/>
      <c r="O358" s="710"/>
      <c r="P358" s="710"/>
      <c r="Q358" s="710"/>
      <c r="R358" s="710"/>
      <c r="S358" s="710"/>
      <c r="T358" s="514"/>
      <c r="U358" s="514"/>
      <c r="V358" s="514"/>
      <c r="W358" s="514"/>
      <c r="X358" s="514"/>
      <c r="Y358" s="710"/>
      <c r="Z358" s="710"/>
      <c r="AA358" s="710"/>
      <c r="AB358" s="710"/>
      <c r="AC358" s="710"/>
      <c r="AD358" s="909"/>
      <c r="AE358" s="710"/>
      <c r="AF358" s="710"/>
      <c r="AG358" s="710"/>
      <c r="AH358" s="776"/>
      <c r="AI358" s="525"/>
      <c r="AJ358" s="514"/>
      <c r="AK358" s="525"/>
      <c r="AL358" s="525"/>
      <c r="AM358" s="514"/>
      <c r="AN358" s="514"/>
      <c r="AO358" s="514"/>
      <c r="AP358" s="514"/>
      <c r="AQ358" s="514"/>
      <c r="AR358" s="514"/>
      <c r="AS358" s="514"/>
      <c r="AT358" s="514"/>
      <c r="AU358" s="514"/>
      <c r="AV358" s="514"/>
      <c r="AW358" s="920"/>
    </row>
    <row r="359" spans="1:49" ht="15.75" hidden="1" thickBot="1" x14ac:dyDescent="0.3">
      <c r="A359" s="630"/>
      <c r="B359" s="630"/>
      <c r="C359" s="910" t="s">
        <v>543</v>
      </c>
      <c r="D359" s="710"/>
      <c r="E359" s="710"/>
      <c r="F359" s="710"/>
      <c r="G359" s="710"/>
      <c r="H359" s="710"/>
      <c r="I359" s="710" t="s">
        <v>1003</v>
      </c>
      <c r="J359" s="710"/>
      <c r="K359" s="779"/>
      <c r="L359" s="909"/>
      <c r="M359" s="710"/>
      <c r="N359" s="710"/>
      <c r="O359" s="710"/>
      <c r="P359" s="710"/>
      <c r="Q359" s="710"/>
      <c r="R359" s="710"/>
      <c r="S359" s="710"/>
      <c r="T359" s="514"/>
      <c r="U359" s="514"/>
      <c r="V359" s="514"/>
      <c r="W359" s="514"/>
      <c r="X359" s="514"/>
      <c r="Y359" s="710"/>
      <c r="Z359" s="710"/>
      <c r="AA359" s="710"/>
      <c r="AB359" s="710"/>
      <c r="AC359" s="710"/>
      <c r="AD359" s="909"/>
      <c r="AE359" s="710"/>
      <c r="AF359" s="710"/>
      <c r="AG359" s="710"/>
      <c r="AH359" s="776"/>
      <c r="AI359" s="525"/>
      <c r="AJ359" s="514"/>
      <c r="AK359" s="525"/>
      <c r="AL359" s="525"/>
      <c r="AM359" s="514"/>
      <c r="AN359" s="514"/>
      <c r="AO359" s="514"/>
      <c r="AP359" s="514"/>
      <c r="AQ359" s="514"/>
      <c r="AR359" s="514"/>
      <c r="AS359" s="514"/>
      <c r="AT359" s="514"/>
      <c r="AU359" s="514"/>
      <c r="AV359" s="514"/>
      <c r="AW359" s="920"/>
    </row>
    <row r="360" spans="1:49" hidden="1" x14ac:dyDescent="0.25">
      <c r="A360" s="630"/>
      <c r="B360" s="630"/>
      <c r="C360" s="911" t="s">
        <v>958</v>
      </c>
      <c r="D360" s="912"/>
      <c r="E360" s="912"/>
      <c r="F360" s="912"/>
      <c r="G360" s="912"/>
      <c r="H360" s="912"/>
      <c r="I360" s="912" t="s">
        <v>1008</v>
      </c>
      <c r="J360" s="912"/>
      <c r="K360" s="913"/>
      <c r="L360" s="909"/>
      <c r="M360" s="710"/>
      <c r="N360" s="710"/>
      <c r="O360" s="710"/>
      <c r="P360" s="710"/>
      <c r="Q360" s="710"/>
      <c r="R360" s="710"/>
      <c r="S360" s="710"/>
      <c r="T360" s="514"/>
      <c r="U360" s="514"/>
      <c r="V360" s="514"/>
      <c r="W360" s="514"/>
      <c r="X360" s="514"/>
      <c r="Y360" s="710"/>
      <c r="Z360" s="710"/>
      <c r="AA360" s="710"/>
      <c r="AB360" s="710"/>
      <c r="AC360" s="710"/>
      <c r="AD360" s="909"/>
      <c r="AE360" s="710"/>
      <c r="AF360" s="710"/>
      <c r="AG360" s="710"/>
      <c r="AH360" s="776"/>
      <c r="AI360" s="525"/>
      <c r="AJ360" s="514"/>
      <c r="AK360" s="525"/>
      <c r="AL360" s="525"/>
      <c r="AM360" s="514"/>
      <c r="AN360" s="514"/>
      <c r="AO360" s="514"/>
      <c r="AP360" s="514"/>
      <c r="AQ360" s="514"/>
      <c r="AR360" s="514"/>
      <c r="AS360" s="514"/>
      <c r="AT360" s="514"/>
      <c r="AU360" s="514"/>
      <c r="AV360" s="514"/>
      <c r="AW360" s="920"/>
    </row>
    <row r="361" spans="1:49" hidden="1" x14ac:dyDescent="0.25">
      <c r="A361" s="630"/>
      <c r="B361" s="630"/>
      <c r="C361" s="910" t="s">
        <v>959</v>
      </c>
      <c r="D361" s="710"/>
      <c r="E361" s="710"/>
      <c r="F361" s="710"/>
      <c r="G361" s="710"/>
      <c r="H361" s="710"/>
      <c r="I361" s="710" t="s">
        <v>1008</v>
      </c>
      <c r="J361" s="710"/>
      <c r="K361" s="779"/>
      <c r="L361" s="909"/>
      <c r="M361" s="710"/>
      <c r="N361" s="710"/>
      <c r="O361" s="710"/>
      <c r="P361" s="710"/>
      <c r="Q361" s="710"/>
      <c r="R361" s="710"/>
      <c r="S361" s="710"/>
      <c r="T361" s="514"/>
      <c r="U361" s="514"/>
      <c r="V361" s="514"/>
      <c r="W361" s="514"/>
      <c r="X361" s="514"/>
      <c r="Y361" s="710"/>
      <c r="Z361" s="710"/>
      <c r="AA361" s="710"/>
      <c r="AB361" s="710"/>
      <c r="AC361" s="710"/>
      <c r="AD361" s="909"/>
      <c r="AE361" s="710"/>
      <c r="AF361" s="710"/>
      <c r="AG361" s="710"/>
      <c r="AH361" s="776"/>
      <c r="AI361" s="525"/>
      <c r="AJ361" s="514"/>
      <c r="AK361" s="525"/>
      <c r="AL361" s="525"/>
      <c r="AM361" s="514"/>
      <c r="AN361" s="514"/>
      <c r="AO361" s="514"/>
      <c r="AP361" s="514"/>
      <c r="AQ361" s="514"/>
      <c r="AR361" s="514"/>
      <c r="AS361" s="514"/>
      <c r="AT361" s="514"/>
      <c r="AU361" s="514"/>
      <c r="AV361" s="514"/>
      <c r="AW361" s="920"/>
    </row>
    <row r="362" spans="1:49" hidden="1" x14ac:dyDescent="0.25">
      <c r="A362" s="630"/>
      <c r="B362" s="630"/>
      <c r="C362" s="910" t="s">
        <v>960</v>
      </c>
      <c r="D362" s="710"/>
      <c r="E362" s="710"/>
      <c r="F362" s="710"/>
      <c r="G362" s="710"/>
      <c r="H362" s="710"/>
      <c r="I362" s="710" t="s">
        <v>1008</v>
      </c>
      <c r="J362" s="710"/>
      <c r="K362" s="779"/>
      <c r="L362" s="909"/>
      <c r="M362" s="710"/>
      <c r="N362" s="710"/>
      <c r="O362" s="710"/>
      <c r="P362" s="710"/>
      <c r="Q362" s="710"/>
      <c r="R362" s="710"/>
      <c r="S362" s="710"/>
      <c r="T362" s="514"/>
      <c r="U362" s="514"/>
      <c r="V362" s="514"/>
      <c r="W362" s="514"/>
      <c r="X362" s="514"/>
      <c r="Y362" s="710"/>
      <c r="Z362" s="710"/>
      <c r="AA362" s="710"/>
      <c r="AB362" s="710"/>
      <c r="AC362" s="710"/>
      <c r="AD362" s="909"/>
      <c r="AE362" s="710"/>
      <c r="AF362" s="710"/>
      <c r="AG362" s="710"/>
      <c r="AH362" s="525"/>
      <c r="AI362" s="525"/>
      <c r="AJ362" s="514"/>
      <c r="AK362" s="525"/>
      <c r="AL362" s="525"/>
      <c r="AM362" s="514"/>
      <c r="AN362" s="514"/>
      <c r="AO362" s="514"/>
      <c r="AP362" s="514"/>
      <c r="AQ362" s="514"/>
      <c r="AR362" s="514"/>
      <c r="AS362" s="514"/>
      <c r="AT362" s="514"/>
      <c r="AU362" s="514"/>
      <c r="AV362" s="514"/>
      <c r="AW362" s="920"/>
    </row>
    <row r="363" spans="1:49" ht="15.75" hidden="1" thickBot="1" x14ac:dyDescent="0.3">
      <c r="A363" s="630"/>
      <c r="B363" s="630"/>
      <c r="C363" s="914" t="s">
        <v>961</v>
      </c>
      <c r="D363" s="631"/>
      <c r="E363" s="631"/>
      <c r="F363" s="631"/>
      <c r="G363" s="631"/>
      <c r="H363" s="631"/>
      <c r="I363" s="631" t="s">
        <v>1008</v>
      </c>
      <c r="J363" s="631"/>
      <c r="K363" s="915"/>
      <c r="L363" s="916"/>
      <c r="M363" s="630"/>
      <c r="N363" s="630"/>
      <c r="O363" s="630"/>
      <c r="P363" s="630"/>
      <c r="Q363" s="630"/>
      <c r="R363" s="630"/>
      <c r="S363" s="630"/>
      <c r="Y363" s="630"/>
      <c r="Z363" s="630"/>
      <c r="AA363" s="630"/>
      <c r="AB363" s="630"/>
      <c r="AC363" s="630"/>
      <c r="AD363" s="916"/>
      <c r="AE363" s="630"/>
      <c r="AF363" s="630"/>
      <c r="AG363" s="630"/>
      <c r="AW363" s="920"/>
    </row>
    <row r="364" spans="1:49" hidden="1" x14ac:dyDescent="0.25">
      <c r="A364" s="630"/>
      <c r="B364" s="630"/>
      <c r="C364" s="911" t="s">
        <v>996</v>
      </c>
      <c r="D364" s="917"/>
      <c r="E364" s="917"/>
      <c r="F364" s="917"/>
      <c r="G364" s="917"/>
      <c r="H364" s="917"/>
      <c r="I364" s="917" t="s">
        <v>1004</v>
      </c>
      <c r="J364" s="917"/>
      <c r="K364" s="918"/>
      <c r="L364" s="916"/>
      <c r="M364" s="630"/>
      <c r="N364" s="630"/>
      <c r="O364" s="630"/>
      <c r="P364" s="630"/>
      <c r="Q364" s="630"/>
      <c r="R364" s="630"/>
      <c r="S364" s="630"/>
      <c r="Y364" s="630"/>
      <c r="Z364" s="630"/>
      <c r="AA364" s="630"/>
      <c r="AB364" s="630"/>
      <c r="AC364" s="630"/>
      <c r="AD364" s="916"/>
      <c r="AE364" s="630"/>
      <c r="AF364" s="630"/>
      <c r="AG364" s="630"/>
      <c r="AW364" s="920"/>
    </row>
    <row r="365" spans="1:49" ht="15.75" hidden="1" thickBot="1" x14ac:dyDescent="0.3">
      <c r="A365" s="630"/>
      <c r="B365" s="630"/>
      <c r="C365" s="914" t="s">
        <v>999</v>
      </c>
      <c r="D365" s="631"/>
      <c r="E365" s="631"/>
      <c r="F365" s="631"/>
      <c r="G365" s="631"/>
      <c r="H365" s="631"/>
      <c r="I365" s="631" t="s">
        <v>1004</v>
      </c>
      <c r="J365" s="631"/>
      <c r="K365" s="915"/>
      <c r="L365" s="916"/>
      <c r="M365" s="630"/>
      <c r="N365" s="630"/>
      <c r="O365" s="630"/>
      <c r="P365" s="630"/>
      <c r="Q365" s="630"/>
      <c r="R365" s="630"/>
      <c r="S365" s="630"/>
      <c r="Y365" s="630"/>
      <c r="Z365" s="630"/>
      <c r="AA365" s="630"/>
      <c r="AB365" s="630"/>
      <c r="AC365" s="630"/>
      <c r="AD365" s="916"/>
      <c r="AE365" s="630"/>
      <c r="AF365" s="630"/>
      <c r="AG365" s="630"/>
      <c r="AW365" s="920"/>
    </row>
    <row r="366" spans="1:49" hidden="1" x14ac:dyDescent="0.25">
      <c r="A366" s="630"/>
      <c r="B366" s="630"/>
      <c r="C366" s="910" t="s">
        <v>997</v>
      </c>
      <c r="D366" s="630"/>
      <c r="E366" s="630"/>
      <c r="F366" s="630"/>
      <c r="G366" s="630"/>
      <c r="H366" s="630"/>
      <c r="I366" s="630" t="s">
        <v>1005</v>
      </c>
      <c r="J366" s="630"/>
      <c r="K366" s="919"/>
      <c r="L366" s="916"/>
      <c r="M366" s="630"/>
      <c r="N366" s="630"/>
      <c r="O366" s="630"/>
      <c r="P366" s="630"/>
      <c r="Q366" s="630"/>
      <c r="R366" s="630"/>
      <c r="S366" s="630"/>
      <c r="Y366" s="630"/>
      <c r="Z366" s="630"/>
      <c r="AA366" s="630"/>
      <c r="AB366" s="630"/>
      <c r="AC366" s="630"/>
      <c r="AD366" s="916"/>
      <c r="AE366" s="630"/>
      <c r="AF366" s="630"/>
      <c r="AG366" s="630"/>
      <c r="AW366" s="920"/>
    </row>
    <row r="367" spans="1:49" hidden="1" x14ac:dyDescent="0.25">
      <c r="A367" s="630"/>
      <c r="B367" s="630"/>
      <c r="C367" s="910" t="s">
        <v>1000</v>
      </c>
      <c r="D367" s="630"/>
      <c r="E367" s="630"/>
      <c r="F367" s="630"/>
      <c r="G367" s="630"/>
      <c r="H367" s="630"/>
      <c r="I367" s="630" t="s">
        <v>1006</v>
      </c>
      <c r="J367" s="630"/>
      <c r="K367" s="919"/>
      <c r="L367" s="916"/>
      <c r="M367" s="630"/>
      <c r="N367" s="630"/>
      <c r="O367" s="630"/>
      <c r="P367" s="630"/>
      <c r="Q367" s="630"/>
      <c r="R367" s="630"/>
      <c r="S367" s="630"/>
      <c r="Y367" s="630"/>
      <c r="Z367" s="630"/>
      <c r="AA367" s="630"/>
      <c r="AB367" s="630"/>
      <c r="AC367" s="630"/>
      <c r="AD367" s="916"/>
      <c r="AE367" s="630"/>
      <c r="AF367" s="630"/>
      <c r="AG367" s="630"/>
      <c r="AW367" s="920"/>
    </row>
    <row r="368" spans="1:49" ht="15.75" hidden="1" thickBot="1" x14ac:dyDescent="0.3">
      <c r="A368" s="630"/>
      <c r="B368" s="630"/>
      <c r="C368" s="914" t="s">
        <v>998</v>
      </c>
      <c r="D368" s="631"/>
      <c r="E368" s="631"/>
      <c r="F368" s="631"/>
      <c r="G368" s="631"/>
      <c r="H368" s="631"/>
      <c r="I368" s="631" t="s">
        <v>1006</v>
      </c>
      <c r="J368" s="631"/>
      <c r="K368" s="915"/>
      <c r="L368" s="916"/>
      <c r="M368" s="630"/>
      <c r="N368" s="630"/>
      <c r="O368" s="630"/>
      <c r="P368" s="630"/>
      <c r="Q368" s="630"/>
      <c r="R368" s="630"/>
      <c r="S368" s="630"/>
      <c r="Y368" s="630"/>
      <c r="Z368" s="630"/>
      <c r="AA368" s="630"/>
      <c r="AB368" s="630"/>
      <c r="AC368" s="630"/>
      <c r="AD368" s="916"/>
      <c r="AE368" s="630"/>
      <c r="AF368" s="630"/>
      <c r="AG368" s="630"/>
      <c r="AW368" s="920"/>
    </row>
    <row r="369" spans="1:49" hidden="1" x14ac:dyDescent="0.25">
      <c r="A369" s="630"/>
      <c r="B369" s="630"/>
      <c r="C369" s="630"/>
      <c r="D369" s="630"/>
      <c r="E369" s="630"/>
      <c r="F369" s="630"/>
      <c r="G369" s="630"/>
      <c r="H369" s="630"/>
      <c r="I369" s="630"/>
      <c r="J369" s="630"/>
      <c r="K369" s="916"/>
      <c r="L369" s="916"/>
      <c r="M369" s="630"/>
      <c r="N369" s="630"/>
      <c r="O369" s="630"/>
      <c r="P369" s="630"/>
      <c r="Q369" s="630"/>
      <c r="R369" s="630"/>
      <c r="S369" s="630"/>
      <c r="Y369" s="630"/>
      <c r="Z369" s="630"/>
      <c r="AA369" s="630"/>
      <c r="AB369" s="630"/>
      <c r="AC369" s="630"/>
      <c r="AD369" s="916"/>
      <c r="AE369" s="630"/>
      <c r="AF369" s="630"/>
      <c r="AG369" s="630"/>
      <c r="AW369" s="920"/>
    </row>
  </sheetData>
  <sheetProtection algorithmName="SHA-512" hashValue="mMtPpVEOIbWTDLEd36TdfSiiu9xtvKWDVpavV9qjVT/TqpnSLKfF3oDypQLh/IS6G7sp735A6pYoQEoqiI7HVw==" saltValue="i9pfzkqHRSJi2Bu5NJK9Zg==" spinCount="100000" sheet="1" objects="1" scenarios="1"/>
  <mergeCells count="5">
    <mergeCell ref="AH357:AH361"/>
    <mergeCell ref="T4:U4"/>
    <mergeCell ref="W4:X4"/>
    <mergeCell ref="AH6:AJ6"/>
    <mergeCell ref="AK6:AL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6">
    <tabColor theme="0"/>
  </sheetPr>
  <dimension ref="A1:AR105"/>
  <sheetViews>
    <sheetView showGridLines="0" showOutlineSymbols="0" showWhiteSpace="0" workbookViewId="0">
      <selection activeCell="P6" sqref="P5:P6"/>
    </sheetView>
  </sheetViews>
  <sheetFormatPr baseColWidth="10" defaultColWidth="0" defaultRowHeight="11.25" zeroHeight="1" x14ac:dyDescent="0.2"/>
  <cols>
    <col min="1" max="1" width="3.5703125" style="290" customWidth="1"/>
    <col min="2" max="2" width="15.140625" style="290" customWidth="1"/>
    <col min="3" max="3" width="0.42578125" style="290" customWidth="1"/>
    <col min="4" max="4" width="13.5703125" style="290" customWidth="1"/>
    <col min="5" max="5" width="14.42578125" style="290" customWidth="1"/>
    <col min="6" max="6" width="15.85546875" style="290" customWidth="1"/>
    <col min="7" max="7" width="14.85546875" style="290" customWidth="1"/>
    <col min="8" max="8" width="16.140625" style="290" customWidth="1"/>
    <col min="9" max="9" width="15.85546875" style="290" customWidth="1"/>
    <col min="10" max="10" width="18.85546875" style="290" customWidth="1"/>
    <col min="11" max="11" width="17.85546875" style="290" customWidth="1"/>
    <col min="12" max="12" width="13.5703125" style="290" customWidth="1"/>
    <col min="13" max="13" width="18.85546875" style="290" customWidth="1"/>
    <col min="14" max="14" width="14.5703125" style="290" customWidth="1"/>
    <col min="15" max="15" width="15" style="290" customWidth="1"/>
    <col min="16" max="16" width="16.42578125" style="290" bestFit="1" customWidth="1"/>
    <col min="17" max="17" width="12.85546875" style="285" hidden="1" customWidth="1"/>
    <col min="18" max="18" width="15.85546875" style="285" hidden="1" customWidth="1"/>
    <col min="19" max="19" width="14" style="285" hidden="1" customWidth="1"/>
    <col min="20" max="20" width="13.42578125" style="285" hidden="1" customWidth="1"/>
    <col min="21" max="21" width="13" style="285" hidden="1" customWidth="1"/>
    <col min="22" max="22" width="13.140625" style="285" hidden="1" customWidth="1"/>
    <col min="23" max="23" width="13.42578125" style="285" hidden="1" customWidth="1"/>
    <col min="24" max="24" width="13.140625" style="285" hidden="1" customWidth="1"/>
    <col min="25" max="25" width="13" style="285" hidden="1" customWidth="1"/>
    <col min="26" max="27" width="14" style="290" hidden="1" customWidth="1"/>
    <col min="28" max="28" width="13" style="290" hidden="1" customWidth="1"/>
    <col min="29" max="29" width="11.5703125" style="290" hidden="1" customWidth="1"/>
    <col min="30" max="32" width="12.5703125" style="290" hidden="1" customWidth="1"/>
    <col min="33" max="34" width="14.85546875" style="290" hidden="1" customWidth="1"/>
    <col min="35" max="35" width="11.140625" style="290" hidden="1" customWidth="1"/>
    <col min="36" max="36" width="12.140625" style="290" customWidth="1"/>
    <col min="37" max="39" width="14.140625" style="290" hidden="1" customWidth="1"/>
    <col min="40" max="40" width="15.140625" style="290" hidden="1" customWidth="1"/>
    <col min="41" max="41" width="12.140625" style="290" hidden="1" customWidth="1"/>
    <col min="42" max="42" width="13.85546875" style="290" hidden="1" customWidth="1"/>
    <col min="43" max="43" width="14" style="290" hidden="1" customWidth="1"/>
    <col min="44" max="44" width="14.85546875" style="290" hidden="1" customWidth="1"/>
    <col min="45" max="45" width="0" style="290" hidden="1" customWidth="1"/>
    <col min="46" max="16384" width="0" style="290" hidden="1"/>
  </cols>
  <sheetData>
    <row r="1" spans="1:36" s="254" customFormat="1" ht="145.5" customHeight="1" x14ac:dyDescent="0.2">
      <c r="A1" s="249"/>
      <c r="B1" s="632" t="s">
        <v>342</v>
      </c>
      <c r="C1" s="633" t="s">
        <v>719</v>
      </c>
      <c r="D1" s="634" t="str">
        <f>" Fecha de Pago "&amp;RIGHT(PARAMETROS!B3,4)</f>
        <v xml:space="preserve"> Fecha de Pago 2026</v>
      </c>
      <c r="E1" s="634" t="str">
        <f>"Estimación Anticipo TOTAL A DISTRIBUIR "&amp;RIGHT(PARAMETROS!B3,4)&amp;" (no considera aporte  fiscal u otros)"</f>
        <v>Estimación Anticipo TOTAL A DISTRIBUIR 2026 (no considera aporte  fiscal u otros)</v>
      </c>
      <c r="F1" s="634" t="str">
        <f>"Ley Nº 19704 ISLA DE PASCUA (M$) "&amp;RIGHT(PARAMETROS!B3,4)</f>
        <v>Ley Nº 19704 ISLA DE PASCUA (M$) 2026</v>
      </c>
      <c r="G1" s="634" t="str">
        <f>"Monto neto a distribuir como anticipo "&amp;RIGHT(PARAMETROS!B3,4)&amp;" todas las comunas (no considera aporte especial ley Nº 19.704 ISLA DE PASCUA, aporte fiscal u otros)"</f>
        <v>Monto neto a distribuir como anticipo 2026 todas las comunas (no considera aporte especial ley Nº 19.704 ISLA DE PASCUA, aporte fiscal u otros)</v>
      </c>
      <c r="H1" s="634" t="str">
        <f>"% promedio mensual anticipo "&amp;VALUE(RIGHT(PARAMETROS!B3,4))-1</f>
        <v>% promedio mensual anticipo 2025</v>
      </c>
      <c r="I1" s="634" t="str">
        <f>"Identificación de meses con avance en los que el anticipo es menor al % del promedio mensual de "&amp;VALUE(RIGHT(PARAMETROS!B3,4))-1</f>
        <v>Identificación de meses con avance en los que el anticipo es menor al % del promedio mensual de 2025</v>
      </c>
      <c r="J1" s="634" t="s">
        <v>619</v>
      </c>
      <c r="K1" s="634" t="str">
        <f>"Total de avances por muncipio hasta completar el % del promedio mensual de "&amp;VALUE(RIGHT(PARAMETROS!B3,4))-1&amp;" de anticipos (SIN Inclusión de Santiago, Las Condes, Providencia y Vitacura)"</f>
        <v>Total de avances por muncipio hasta completar el % del promedio mensual de 2025 de anticipos (SIN Inclusión de Santiago, Las Condes, Providencia y Vitacura)</v>
      </c>
      <c r="L1" s="634" t="str">
        <f>"Monto devolucion durante el año "&amp;RIGHT(PARAMETROS!B3,4)&amp;" sin las 4 (excepto los municipios identificados en el Art. 14 de la ley N° 18.695)"</f>
        <v>Monto devolucion durante el año 2026 sin las 4 (excepto los municipios identificados en el Art. 14 de la ley N° 18.695)</v>
      </c>
      <c r="M1" s="634" t="str">
        <f>"Nuevo monto neto a distribuir como anticipo "&amp;RIGHT(PARAMETROS!B3,4)&amp;" una vez aplicada la glosa 08 (no considera aporte especial ley Nº 19.704 ISLA DE PASCUA, aporte fiscal u otros) excepto los municipios identificados en el Art. 14 de la
ley N° 18.695"</f>
        <v>Nuevo monto neto a distribuir como anticipo 2026 una vez aplicada la glosa 08 (no considera aporte especial ley Nº 19.704 ISLA DE PASCUA, aporte fiscal u otros) excepto los municipios identificados en el Art. 14 de la
ley N° 18.695</v>
      </c>
      <c r="N1" s="634" t="str">
        <f>"Aporte Fiscal  "&amp;RIGHT(PARAMETROS!B3,4)&amp;" 1.052.000 UTM (M$)"</f>
        <v>Aporte Fiscal  2026 1.052.000 UTM (M$)</v>
      </c>
      <c r="O1" s="634" t="str">
        <f>"Ley Nº 19704 ISLA DE PASCUA (M$) "&amp;RIGHT(PARAMETROS!B3,4)</f>
        <v>Ley Nº 19704 ISLA DE PASCUA (M$) 2026</v>
      </c>
      <c r="P1" s="634" t="s">
        <v>329</v>
      </c>
      <c r="Q1" s="250"/>
      <c r="R1" s="250" t="s">
        <v>479</v>
      </c>
      <c r="S1" s="251" t="s">
        <v>493</v>
      </c>
      <c r="T1" s="251" t="s">
        <v>498</v>
      </c>
      <c r="U1" s="251" t="s">
        <v>494</v>
      </c>
      <c r="V1" s="251" t="s">
        <v>498</v>
      </c>
      <c r="W1" s="251" t="s">
        <v>495</v>
      </c>
      <c r="X1" s="251" t="s">
        <v>498</v>
      </c>
      <c r="Y1" s="251" t="s">
        <v>496</v>
      </c>
      <c r="Z1" s="252" t="s">
        <v>498</v>
      </c>
      <c r="AA1" s="252" t="s">
        <v>497</v>
      </c>
      <c r="AB1" s="252"/>
      <c r="AC1" s="252"/>
      <c r="AD1" s="253"/>
      <c r="AE1" s="253"/>
      <c r="AF1" s="253"/>
      <c r="AG1" s="253"/>
      <c r="AH1" s="253"/>
      <c r="AI1" s="253"/>
      <c r="AJ1" s="253"/>
    </row>
    <row r="2" spans="1:36" s="253" customFormat="1" x14ac:dyDescent="0.2">
      <c r="A2" s="255">
        <f>+'_DATA STT PAGOS_'!$E$354</f>
        <v>166296968.39391646</v>
      </c>
      <c r="B2" s="256" t="s">
        <v>344</v>
      </c>
      <c r="C2" s="257" t="s">
        <v>719</v>
      </c>
      <c r="D2" s="258">
        <v>46030</v>
      </c>
      <c r="E2" s="259">
        <f t="shared" ref="E2:E13" si="0">+F20</f>
        <v>84805299.734999999</v>
      </c>
      <c r="F2" s="260">
        <f>+'DATA UIM IPASCUA DETCOMP'!D16</f>
        <v>2353142</v>
      </c>
      <c r="G2" s="260">
        <f>+E2-F2</f>
        <v>82452157.734999999</v>
      </c>
      <c r="H2" s="260">
        <f>+'_DATA STT PAGOS_'!$F$5</f>
        <v>131374604</v>
      </c>
      <c r="I2" s="260">
        <f>IF(G2-H2&lt;0,H2-G2,"")</f>
        <v>48922446.265000001</v>
      </c>
      <c r="J2" s="260">
        <f>+'_Flujo con Glosa 08'!K4</f>
        <v>48426835</v>
      </c>
      <c r="K2" s="261">
        <f>MAX(0,J2)</f>
        <v>48426835</v>
      </c>
      <c r="L2" s="262">
        <f>MAX(0,-J2)</f>
        <v>0</v>
      </c>
      <c r="M2" s="260">
        <f>G2+K2-L2</f>
        <v>130878992.735</v>
      </c>
      <c r="N2" s="263">
        <f t="shared" ref="N2:N13" si="1">+J20</f>
        <v>0</v>
      </c>
      <c r="O2" s="263">
        <f>+'DATA UIM IPASCUA DETCOMP'!D16</f>
        <v>2353142</v>
      </c>
      <c r="P2" s="260">
        <f>M2+N2+O2</f>
        <v>133232134.735</v>
      </c>
      <c r="Q2" s="264">
        <f>++E2+J2-P2</f>
        <v>0</v>
      </c>
      <c r="R2" s="265" t="str">
        <f t="shared" ref="R2:R14" si="2">+B2</f>
        <v>ENERO</v>
      </c>
      <c r="S2" s="266">
        <f>+'_Flujo con Glosa 08'!I3</f>
        <v>82452159</v>
      </c>
      <c r="T2" s="267">
        <f t="shared" ref="T2:T13" si="3">S2-G2</f>
        <v>1.2650000005960464</v>
      </c>
      <c r="U2" s="266">
        <f>+'_Flujo con Glosa 08'!J3</f>
        <v>0</v>
      </c>
      <c r="V2" s="267">
        <f>+U2-N2</f>
        <v>0</v>
      </c>
      <c r="W2" s="267">
        <f>+'_Flujo con Glosa 08'!K3</f>
        <v>48426835</v>
      </c>
      <c r="X2" s="267">
        <f>IF(W2&gt;0,W2-K2,L2+W2)</f>
        <v>0</v>
      </c>
      <c r="Y2" s="266">
        <f>+'_Flujo con Glosa 08'!L3</f>
        <v>2353142</v>
      </c>
      <c r="Z2" s="268">
        <f>+Y2-O2</f>
        <v>0</v>
      </c>
      <c r="AA2" s="269">
        <f>+S2+U2+W2+Y2</f>
        <v>133232136</v>
      </c>
      <c r="AB2" s="270">
        <f t="shared" ref="AB2:AB13" si="4">+(M2+N2)/($M$14+$N$14)</f>
        <v>6.0313179380826948E-2</v>
      </c>
      <c r="AC2" s="268">
        <f>+AA2-P2</f>
        <v>1.2650000005960464</v>
      </c>
    </row>
    <row r="3" spans="1:36" s="253" customFormat="1" x14ac:dyDescent="0.2">
      <c r="A3" s="271">
        <f>+PARAMETROS!$L$10</f>
        <v>0.79</v>
      </c>
      <c r="B3" s="256" t="s">
        <v>345</v>
      </c>
      <c r="C3" s="257" t="s">
        <v>719</v>
      </c>
      <c r="D3" s="272">
        <v>46059</v>
      </c>
      <c r="E3" s="259">
        <f t="shared" si="0"/>
        <v>46198423.080000006</v>
      </c>
      <c r="F3" s="260">
        <f>+'DATA UIM IPASCUA DETCOMP'!D17</f>
        <v>2353142</v>
      </c>
      <c r="G3" s="260">
        <f t="shared" ref="G3:G13" si="5">+E3-F3</f>
        <v>43845281.080000006</v>
      </c>
      <c r="H3" s="260">
        <f>+'_DATA STT PAGOS_'!$F$5</f>
        <v>131374604</v>
      </c>
      <c r="I3" s="260">
        <f t="shared" ref="I3:I13" si="6">IF(G3-H3&lt;0,H3-G3,"")</f>
        <v>87529322.919999987</v>
      </c>
      <c r="J3" s="260">
        <f>+'_Flujo con Glosa 08'!Q4</f>
        <v>86660453</v>
      </c>
      <c r="K3" s="261">
        <f t="shared" ref="K3:K13" si="7">MAX(0,J3)</f>
        <v>86660453</v>
      </c>
      <c r="L3" s="262">
        <f t="shared" ref="L3:L13" si="8">MAX(0,-J3)</f>
        <v>0</v>
      </c>
      <c r="M3" s="260">
        <f t="shared" ref="M3:M13" si="9">G3+K3-L3</f>
        <v>130505734.08000001</v>
      </c>
      <c r="N3" s="263">
        <f t="shared" si="1"/>
        <v>0</v>
      </c>
      <c r="O3" s="263">
        <f>+'DATA UIM IPASCUA DETCOMP'!D17</f>
        <v>2353142</v>
      </c>
      <c r="P3" s="260">
        <f t="shared" ref="P3:P13" si="10">M3+N3+O3</f>
        <v>132858876.08000001</v>
      </c>
      <c r="Q3" s="264">
        <f t="shared" ref="Q3:Q14" si="11">++E3+J3-P3</f>
        <v>0</v>
      </c>
      <c r="R3" s="265" t="str">
        <f t="shared" si="2"/>
        <v>FEBRERO</v>
      </c>
      <c r="S3" s="266">
        <f>+'_Flujo con Glosa 08'!O3</f>
        <v>43845279</v>
      </c>
      <c r="T3" s="267">
        <f t="shared" si="3"/>
        <v>-2.0800000056624413</v>
      </c>
      <c r="U3" s="266">
        <f>+'_Flujo con Glosa 08'!P3</f>
        <v>0</v>
      </c>
      <c r="V3" s="267">
        <f t="shared" ref="V3:V13" si="12">+U3-N3</f>
        <v>0</v>
      </c>
      <c r="W3" s="267">
        <f>+'_Flujo con Glosa 08'!Q3</f>
        <v>86660453</v>
      </c>
      <c r="X3" s="267">
        <f t="shared" ref="X3:X13" si="13">IF(W3&gt;0,W3-K3,L3+W3)</f>
        <v>0</v>
      </c>
      <c r="Y3" s="266">
        <f>+'_Flujo con Glosa 08'!R3</f>
        <v>2353142</v>
      </c>
      <c r="Z3" s="268">
        <f t="shared" ref="Z3:Z13" si="14">+Y3-O3</f>
        <v>0</v>
      </c>
      <c r="AA3" s="269">
        <f t="shared" ref="AA3:AA13" si="15">+S3+U3+W3+Y3</f>
        <v>132858874</v>
      </c>
      <c r="AB3" s="270">
        <f t="shared" si="4"/>
        <v>6.0141169986927936E-2</v>
      </c>
      <c r="AC3" s="268">
        <f t="shared" ref="AC3:AC13" si="16">+AA3-P3</f>
        <v>-2.0800000131130219</v>
      </c>
    </row>
    <row r="4" spans="1:36" s="253" customFormat="1" x14ac:dyDescent="0.2">
      <c r="A4" s="273"/>
      <c r="B4" s="256" t="s">
        <v>346</v>
      </c>
      <c r="C4" s="257" t="s">
        <v>719</v>
      </c>
      <c r="D4" s="272">
        <v>46087</v>
      </c>
      <c r="E4" s="259">
        <f t="shared" si="0"/>
        <v>127433843.685</v>
      </c>
      <c r="F4" s="260">
        <f>+'DATA UIM IPASCUA DETCOMP'!D18</f>
        <v>2353142</v>
      </c>
      <c r="G4" s="260">
        <f t="shared" si="5"/>
        <v>125080701.685</v>
      </c>
      <c r="H4" s="260">
        <f>+'_DATA STT PAGOS_'!$F$5</f>
        <v>131374604</v>
      </c>
      <c r="I4" s="260">
        <f t="shared" si="6"/>
        <v>6293902.3149999976</v>
      </c>
      <c r="J4" s="260">
        <f>+'_Flujo con Glosa 08'!W4</f>
        <v>0</v>
      </c>
      <c r="K4" s="261">
        <f t="shared" si="7"/>
        <v>0</v>
      </c>
      <c r="L4" s="262">
        <f t="shared" si="8"/>
        <v>0</v>
      </c>
      <c r="M4" s="260">
        <f t="shared" si="9"/>
        <v>125080701.685</v>
      </c>
      <c r="N4" s="263">
        <f t="shared" si="1"/>
        <v>0</v>
      </c>
      <c r="O4" s="263">
        <f>+'DATA UIM IPASCUA DETCOMP'!D18</f>
        <v>2353142</v>
      </c>
      <c r="P4" s="260">
        <f t="shared" si="10"/>
        <v>127433843.685</v>
      </c>
      <c r="Q4" s="264">
        <f t="shared" si="11"/>
        <v>0</v>
      </c>
      <c r="R4" s="265" t="str">
        <f t="shared" si="2"/>
        <v>MARZO</v>
      </c>
      <c r="S4" s="266">
        <f>+'_Flujo con Glosa 08'!U3</f>
        <v>125080706</v>
      </c>
      <c r="T4" s="267">
        <f t="shared" si="3"/>
        <v>4.3149999976158142</v>
      </c>
      <c r="U4" s="266">
        <f>+'_Flujo con Glosa 08'!V3</f>
        <v>0</v>
      </c>
      <c r="V4" s="267">
        <f t="shared" si="12"/>
        <v>0</v>
      </c>
      <c r="W4" s="267">
        <f>+'_Flujo con Glosa 08'!W3</f>
        <v>0</v>
      </c>
      <c r="X4" s="267">
        <f t="shared" si="13"/>
        <v>0</v>
      </c>
      <c r="Y4" s="266">
        <f>+'_Flujo con Glosa 08'!X3</f>
        <v>2353142</v>
      </c>
      <c r="Z4" s="268">
        <f t="shared" si="14"/>
        <v>0</v>
      </c>
      <c r="AA4" s="269">
        <f t="shared" si="15"/>
        <v>127433848</v>
      </c>
      <c r="AB4" s="270">
        <f t="shared" si="4"/>
        <v>5.7641143472749762E-2</v>
      </c>
      <c r="AC4" s="268">
        <f t="shared" si="16"/>
        <v>4.3149999976158142</v>
      </c>
    </row>
    <row r="5" spans="1:36" s="253" customFormat="1" x14ac:dyDescent="0.2">
      <c r="A5" s="273"/>
      <c r="B5" s="256" t="s">
        <v>347</v>
      </c>
      <c r="C5" s="257" t="s">
        <v>719</v>
      </c>
      <c r="D5" s="272">
        <v>46120</v>
      </c>
      <c r="E5" s="259">
        <f t="shared" si="0"/>
        <v>68769047.86500001</v>
      </c>
      <c r="F5" s="260">
        <f>+'DATA UIM IPASCUA DETCOMP'!D19</f>
        <v>2353142</v>
      </c>
      <c r="G5" s="260">
        <f t="shared" si="5"/>
        <v>66415905.86500001</v>
      </c>
      <c r="H5" s="260">
        <f>+'_DATA STT PAGOS_'!$F$5</f>
        <v>131374604</v>
      </c>
      <c r="I5" s="260">
        <f t="shared" si="6"/>
        <v>64958698.13499999</v>
      </c>
      <c r="J5" s="260">
        <f>+'_Flujo con Glosa 08'!AC4</f>
        <v>64308050</v>
      </c>
      <c r="K5" s="261">
        <f t="shared" si="7"/>
        <v>64308050</v>
      </c>
      <c r="L5" s="262">
        <f t="shared" si="8"/>
        <v>0</v>
      </c>
      <c r="M5" s="260">
        <f t="shared" si="9"/>
        <v>130723955.86500001</v>
      </c>
      <c r="N5" s="263">
        <f t="shared" si="1"/>
        <v>0</v>
      </c>
      <c r="O5" s="263">
        <f>+'DATA UIM IPASCUA DETCOMP'!D19</f>
        <v>2353142</v>
      </c>
      <c r="P5" s="260">
        <f t="shared" si="10"/>
        <v>133077097.86500001</v>
      </c>
      <c r="Q5" s="264">
        <f t="shared" si="11"/>
        <v>0</v>
      </c>
      <c r="R5" s="265" t="str">
        <f t="shared" si="2"/>
        <v>ABRIL</v>
      </c>
      <c r="S5" s="266">
        <f>+'_Flujo con Glosa 08'!AA3</f>
        <v>66415901</v>
      </c>
      <c r="T5" s="267">
        <f t="shared" si="3"/>
        <v>-4.8650000095367432</v>
      </c>
      <c r="U5" s="266">
        <f>+'_Flujo con Glosa 08'!AB3</f>
        <v>0</v>
      </c>
      <c r="V5" s="267">
        <f t="shared" si="12"/>
        <v>0</v>
      </c>
      <c r="W5" s="267">
        <f>+'_Flujo con Glosa 08'!AC3</f>
        <v>64308050</v>
      </c>
      <c r="X5" s="267">
        <f t="shared" si="13"/>
        <v>0</v>
      </c>
      <c r="Y5" s="266">
        <f>+'_Flujo con Glosa 08'!AD3</f>
        <v>2353142</v>
      </c>
      <c r="Z5" s="268">
        <f t="shared" si="14"/>
        <v>0</v>
      </c>
      <c r="AA5" s="269">
        <f t="shared" si="15"/>
        <v>133077093</v>
      </c>
      <c r="AB5" s="270">
        <f t="shared" si="4"/>
        <v>6.0241733487520877E-2</v>
      </c>
      <c r="AC5" s="268">
        <f t="shared" si="16"/>
        <v>-4.8650000095367432</v>
      </c>
    </row>
    <row r="6" spans="1:36" s="253" customFormat="1" x14ac:dyDescent="0.2">
      <c r="A6" s="273"/>
      <c r="B6" s="256" t="s">
        <v>348</v>
      </c>
      <c r="C6" s="257" t="s">
        <v>719</v>
      </c>
      <c r="D6" s="272">
        <v>46150</v>
      </c>
      <c r="E6" s="259">
        <f t="shared" si="0"/>
        <v>580295777.60000002</v>
      </c>
      <c r="F6" s="260">
        <f>+'DATA UIM IPASCUA DETCOMP'!D20</f>
        <v>2353142</v>
      </c>
      <c r="G6" s="260">
        <f t="shared" si="5"/>
        <v>577942635.60000002</v>
      </c>
      <c r="H6" s="260">
        <f>+'_DATA STT PAGOS_'!$F$5</f>
        <v>131374604</v>
      </c>
      <c r="I6" s="260" t="str">
        <f t="shared" si="6"/>
        <v/>
      </c>
      <c r="J6" s="260">
        <f>+'_Flujo con Glosa 08'!AI4</f>
        <v>-199395338</v>
      </c>
      <c r="K6" s="261">
        <f t="shared" si="7"/>
        <v>0</v>
      </c>
      <c r="L6" s="262">
        <f t="shared" si="8"/>
        <v>199395338</v>
      </c>
      <c r="M6" s="260">
        <f t="shared" si="9"/>
        <v>378547297.60000002</v>
      </c>
      <c r="N6" s="263">
        <f t="shared" si="1"/>
        <v>5334263</v>
      </c>
      <c r="O6" s="263">
        <f>+'DATA UIM IPASCUA DETCOMP'!D20</f>
        <v>2353142</v>
      </c>
      <c r="P6" s="260">
        <f t="shared" si="10"/>
        <v>386234702.60000002</v>
      </c>
      <c r="Q6" s="264">
        <f t="shared" si="11"/>
        <v>-5334263</v>
      </c>
      <c r="R6" s="265" t="str">
        <f t="shared" si="2"/>
        <v>MAYO</v>
      </c>
      <c r="S6" s="266">
        <f>+'_Flujo con Glosa 08'!AG3</f>
        <v>577942633</v>
      </c>
      <c r="T6" s="267">
        <f t="shared" si="3"/>
        <v>-2.6000000238418579</v>
      </c>
      <c r="U6" s="266">
        <f>+'_Flujo con Glosa 08'!AH3</f>
        <v>5334262</v>
      </c>
      <c r="V6" s="267">
        <f t="shared" si="12"/>
        <v>-1</v>
      </c>
      <c r="W6" s="267">
        <f>+'_Flujo con Glosa 08'!AI3</f>
        <v>-199395338</v>
      </c>
      <c r="X6" s="267">
        <f t="shared" si="13"/>
        <v>0</v>
      </c>
      <c r="Y6" s="266">
        <f>+'_Flujo con Glosa 08'!AJ3</f>
        <v>2353142</v>
      </c>
      <c r="Z6" s="268">
        <f t="shared" si="14"/>
        <v>0</v>
      </c>
      <c r="AA6" s="269">
        <f t="shared" si="15"/>
        <v>386234699</v>
      </c>
      <c r="AB6" s="270">
        <f t="shared" si="4"/>
        <v>0.17690476478787817</v>
      </c>
      <c r="AC6" s="268">
        <f t="shared" si="16"/>
        <v>-3.6000000238418579</v>
      </c>
    </row>
    <row r="7" spans="1:36" s="253" customFormat="1" x14ac:dyDescent="0.2">
      <c r="A7" s="273"/>
      <c r="B7" s="256" t="s">
        <v>349</v>
      </c>
      <c r="C7" s="257" t="s">
        <v>719</v>
      </c>
      <c r="D7" s="272">
        <v>46178</v>
      </c>
      <c r="E7" s="259">
        <f t="shared" si="0"/>
        <v>116828811.2</v>
      </c>
      <c r="F7" s="260">
        <f>+'DATA UIM IPASCUA DETCOMP'!D21</f>
        <v>2353142</v>
      </c>
      <c r="G7" s="260">
        <f t="shared" si="5"/>
        <v>114475669.2</v>
      </c>
      <c r="H7" s="260">
        <f>+'_DATA STT PAGOS_'!$F$5</f>
        <v>131374604</v>
      </c>
      <c r="I7" s="260">
        <f t="shared" si="6"/>
        <v>16898934.799999997</v>
      </c>
      <c r="J7" s="260">
        <f>+'_Flujo con Glosa 08'!AO4</f>
        <v>16752983</v>
      </c>
      <c r="K7" s="261">
        <f t="shared" si="7"/>
        <v>16752983</v>
      </c>
      <c r="L7" s="262">
        <f t="shared" si="8"/>
        <v>0</v>
      </c>
      <c r="M7" s="260">
        <f t="shared" si="9"/>
        <v>131228652.2</v>
      </c>
      <c r="N7" s="263">
        <f t="shared" si="1"/>
        <v>3780433</v>
      </c>
      <c r="O7" s="263">
        <f>+'DATA UIM IPASCUA DETCOMP'!D21</f>
        <v>2353142</v>
      </c>
      <c r="P7" s="260">
        <f t="shared" si="10"/>
        <v>137362227.19999999</v>
      </c>
      <c r="Q7" s="264">
        <f t="shared" si="11"/>
        <v>-3780432.9999999851</v>
      </c>
      <c r="R7" s="265" t="str">
        <f t="shared" si="2"/>
        <v>JUNIO</v>
      </c>
      <c r="S7" s="266">
        <f>+'_Flujo con Glosa 08'!AM3</f>
        <v>114475673</v>
      </c>
      <c r="T7" s="267">
        <f t="shared" si="3"/>
        <v>3.7999999970197678</v>
      </c>
      <c r="U7" s="266">
        <f>+'_Flujo con Glosa 08'!AN3</f>
        <v>3780444</v>
      </c>
      <c r="V7" s="267">
        <f t="shared" si="12"/>
        <v>11</v>
      </c>
      <c r="W7" s="267">
        <f>+'_Flujo con Glosa 08'!AO3</f>
        <v>16752983</v>
      </c>
      <c r="X7" s="267">
        <f t="shared" si="13"/>
        <v>0</v>
      </c>
      <c r="Y7" s="266">
        <f>+'_Flujo con Glosa 08'!AP3</f>
        <v>2353142</v>
      </c>
      <c r="Z7" s="268">
        <f t="shared" si="14"/>
        <v>0</v>
      </c>
      <c r="AA7" s="269">
        <f t="shared" si="15"/>
        <v>137362242</v>
      </c>
      <c r="AB7" s="270">
        <f t="shared" si="4"/>
        <v>6.2216456618032726E-2</v>
      </c>
      <c r="AC7" s="268">
        <f t="shared" si="16"/>
        <v>14.800000011920929</v>
      </c>
    </row>
    <row r="8" spans="1:36" s="253" customFormat="1" x14ac:dyDescent="0.2">
      <c r="A8" s="273"/>
      <c r="B8" s="256" t="s">
        <v>350</v>
      </c>
      <c r="C8" s="257" t="s">
        <v>719</v>
      </c>
      <c r="D8" s="272">
        <v>46210</v>
      </c>
      <c r="E8" s="259">
        <f t="shared" si="0"/>
        <v>229910397.85500002</v>
      </c>
      <c r="F8" s="260">
        <f>+'DATA UIM IPASCUA DETCOMP'!D22</f>
        <v>2353142</v>
      </c>
      <c r="G8" s="260">
        <f t="shared" si="5"/>
        <v>227557255.85500002</v>
      </c>
      <c r="H8" s="260">
        <f>+'_DATA STT PAGOS_'!$F$5</f>
        <v>131374604</v>
      </c>
      <c r="I8" s="260" t="str">
        <f t="shared" si="6"/>
        <v/>
      </c>
      <c r="J8" s="260">
        <f>+'_Flujo con Glosa 08'!AU4</f>
        <v>-15201054</v>
      </c>
      <c r="K8" s="261">
        <f t="shared" si="7"/>
        <v>0</v>
      </c>
      <c r="L8" s="262">
        <f t="shared" si="8"/>
        <v>15201054</v>
      </c>
      <c r="M8" s="260">
        <f t="shared" si="9"/>
        <v>212356201.85500002</v>
      </c>
      <c r="N8" s="263">
        <f t="shared" si="1"/>
        <v>22091682</v>
      </c>
      <c r="O8" s="263">
        <f>+'DATA UIM IPASCUA DETCOMP'!D22</f>
        <v>2353142</v>
      </c>
      <c r="P8" s="260">
        <f t="shared" si="10"/>
        <v>236801025.85500002</v>
      </c>
      <c r="Q8" s="264">
        <f t="shared" si="11"/>
        <v>-22091682</v>
      </c>
      <c r="R8" s="265" t="str">
        <f t="shared" si="2"/>
        <v>JULIO</v>
      </c>
      <c r="S8" s="266">
        <f>+'_Flujo con Glosa 08'!AS3</f>
        <v>227557250</v>
      </c>
      <c r="T8" s="267">
        <f t="shared" si="3"/>
        <v>-5.8550000190734863</v>
      </c>
      <c r="U8" s="266">
        <f>+'_Flujo con Glosa 08'!AT3</f>
        <v>22091671</v>
      </c>
      <c r="V8" s="267">
        <f t="shared" si="12"/>
        <v>-11</v>
      </c>
      <c r="W8" s="267">
        <f>+'_Flujo con Glosa 08'!AU3</f>
        <v>-15201054</v>
      </c>
      <c r="X8" s="267">
        <f t="shared" si="13"/>
        <v>0</v>
      </c>
      <c r="Y8" s="266">
        <f>+'_Flujo con Glosa 08'!AV3</f>
        <v>2353142</v>
      </c>
      <c r="Z8" s="268">
        <f t="shared" si="14"/>
        <v>0</v>
      </c>
      <c r="AA8" s="269">
        <f t="shared" si="15"/>
        <v>236801009</v>
      </c>
      <c r="AB8" s="270">
        <f t="shared" si="4"/>
        <v>0.10804100015525611</v>
      </c>
      <c r="AC8" s="268">
        <f t="shared" si="16"/>
        <v>-16.855000019073486</v>
      </c>
    </row>
    <row r="9" spans="1:36" s="253" customFormat="1" x14ac:dyDescent="0.2">
      <c r="A9" s="273"/>
      <c r="B9" s="274" t="s">
        <v>351</v>
      </c>
      <c r="C9" s="275" t="s">
        <v>719</v>
      </c>
      <c r="D9" s="272">
        <v>46241</v>
      </c>
      <c r="E9" s="259">
        <f t="shared" si="0"/>
        <v>77518779.200000003</v>
      </c>
      <c r="F9" s="260">
        <f>+'DATA UIM IPASCUA DETCOMP'!D23</f>
        <v>2353142</v>
      </c>
      <c r="G9" s="260">
        <f t="shared" si="5"/>
        <v>75165637.200000003</v>
      </c>
      <c r="H9" s="260">
        <f>+'_DATA STT PAGOS_'!$F$5</f>
        <v>131374604</v>
      </c>
      <c r="I9" s="260">
        <f t="shared" si="6"/>
        <v>56208966.799999997</v>
      </c>
      <c r="J9" s="260">
        <f>+'_Flujo con Glosa 08'!BA4</f>
        <v>55642912</v>
      </c>
      <c r="K9" s="261">
        <f t="shared" si="7"/>
        <v>55642912</v>
      </c>
      <c r="L9" s="262">
        <f t="shared" si="8"/>
        <v>0</v>
      </c>
      <c r="M9" s="260">
        <f t="shared" si="9"/>
        <v>130808549.2</v>
      </c>
      <c r="N9" s="263">
        <f t="shared" si="1"/>
        <v>0</v>
      </c>
      <c r="O9" s="263">
        <f>+'DATA UIM IPASCUA DETCOMP'!D23</f>
        <v>2353142</v>
      </c>
      <c r="P9" s="260">
        <f t="shared" si="10"/>
        <v>133161691.2</v>
      </c>
      <c r="Q9" s="264">
        <f t="shared" si="11"/>
        <v>0</v>
      </c>
      <c r="R9" s="265" t="str">
        <f t="shared" si="2"/>
        <v>AGOSTO</v>
      </c>
      <c r="S9" s="266">
        <f>+'_Flujo con Glosa 08'!AY3</f>
        <v>75165634</v>
      </c>
      <c r="T9" s="267">
        <f t="shared" si="3"/>
        <v>-3.2000000029802322</v>
      </c>
      <c r="U9" s="266">
        <f>+'_Flujo con Glosa 08'!AZ3</f>
        <v>0</v>
      </c>
      <c r="V9" s="267">
        <f t="shared" si="12"/>
        <v>0</v>
      </c>
      <c r="W9" s="267">
        <f>+'_Flujo con Glosa 08'!BA3</f>
        <v>55642912</v>
      </c>
      <c r="X9" s="267">
        <f t="shared" si="13"/>
        <v>0</v>
      </c>
      <c r="Y9" s="266">
        <f>+'_Flujo con Glosa 08'!BB3</f>
        <v>2353142</v>
      </c>
      <c r="Z9" s="268">
        <f t="shared" si="14"/>
        <v>0</v>
      </c>
      <c r="AA9" s="269">
        <f t="shared" si="15"/>
        <v>133161688</v>
      </c>
      <c r="AB9" s="270">
        <f t="shared" si="4"/>
        <v>6.0280716771863592E-2</v>
      </c>
      <c r="AC9" s="268">
        <f t="shared" si="16"/>
        <v>-3.2000000029802322</v>
      </c>
    </row>
    <row r="10" spans="1:36" s="253" customFormat="1" x14ac:dyDescent="0.2">
      <c r="A10" s="273"/>
      <c r="B10" s="256" t="s">
        <v>352</v>
      </c>
      <c r="C10" s="257" t="s">
        <v>719</v>
      </c>
      <c r="D10" s="272">
        <v>46272</v>
      </c>
      <c r="E10" s="259">
        <f t="shared" si="0"/>
        <v>147863847.495</v>
      </c>
      <c r="F10" s="260">
        <f>+'DATA UIM IPASCUA DETCOMP'!D24</f>
        <v>2353141</v>
      </c>
      <c r="G10" s="260">
        <f t="shared" si="5"/>
        <v>145510706.495</v>
      </c>
      <c r="H10" s="260">
        <f>+'_DATA STT PAGOS_'!$F$5</f>
        <v>131374604</v>
      </c>
      <c r="I10" s="260" t="str">
        <f t="shared" si="6"/>
        <v/>
      </c>
      <c r="J10" s="260">
        <f>+'_Flujo con Glosa 08'!BG4</f>
        <v>0</v>
      </c>
      <c r="K10" s="261">
        <f t="shared" si="7"/>
        <v>0</v>
      </c>
      <c r="L10" s="262">
        <f t="shared" si="8"/>
        <v>0</v>
      </c>
      <c r="M10" s="260">
        <f t="shared" si="9"/>
        <v>145510706.495</v>
      </c>
      <c r="N10" s="263">
        <f t="shared" si="1"/>
        <v>5415773</v>
      </c>
      <c r="O10" s="263">
        <f>+'DATA UIM IPASCUA DETCOMP'!D24</f>
        <v>2353141</v>
      </c>
      <c r="P10" s="260">
        <f t="shared" si="10"/>
        <v>153279620.495</v>
      </c>
      <c r="Q10" s="264">
        <f t="shared" si="11"/>
        <v>-5415773</v>
      </c>
      <c r="R10" s="265" t="str">
        <f t="shared" si="2"/>
        <v>SEPTIEMBRE</v>
      </c>
      <c r="S10" s="266">
        <f>+'_Flujo con Glosa 08'!BE3</f>
        <v>145510706</v>
      </c>
      <c r="T10" s="267">
        <f t="shared" si="3"/>
        <v>-0.49500000476837158</v>
      </c>
      <c r="U10" s="266">
        <f>+'_Flujo con Glosa 08'!BF3</f>
        <v>5415776</v>
      </c>
      <c r="V10" s="267">
        <f t="shared" si="12"/>
        <v>3</v>
      </c>
      <c r="W10" s="267">
        <f>+'_Flujo con Glosa 08'!BG3</f>
        <v>0</v>
      </c>
      <c r="X10" s="267">
        <f t="shared" si="13"/>
        <v>0</v>
      </c>
      <c r="Y10" s="266">
        <f>+'_Flujo con Glosa 08'!BH3</f>
        <v>2353141</v>
      </c>
      <c r="Z10" s="268">
        <f t="shared" si="14"/>
        <v>0</v>
      </c>
      <c r="AA10" s="269">
        <f t="shared" si="15"/>
        <v>153279623</v>
      </c>
      <c r="AB10" s="270">
        <f t="shared" si="4"/>
        <v>6.9551695355188403E-2</v>
      </c>
      <c r="AC10" s="268">
        <f t="shared" si="16"/>
        <v>2.5049999952316284</v>
      </c>
    </row>
    <row r="11" spans="1:36" s="253" customFormat="1" x14ac:dyDescent="0.2">
      <c r="A11" s="273"/>
      <c r="B11" s="256" t="s">
        <v>353</v>
      </c>
      <c r="C11" s="257" t="s">
        <v>719</v>
      </c>
      <c r="D11" s="272">
        <v>46302</v>
      </c>
      <c r="E11" s="259">
        <f t="shared" si="0"/>
        <v>309374456</v>
      </c>
      <c r="F11" s="260">
        <f>+'DATA UIM IPASCUA DETCOMP'!D25</f>
        <v>2353141</v>
      </c>
      <c r="G11" s="260">
        <f t="shared" si="5"/>
        <v>307021315</v>
      </c>
      <c r="H11" s="260">
        <f>+'_DATA STT PAGOS_'!$F$5</f>
        <v>131374604</v>
      </c>
      <c r="I11" s="260" t="str">
        <f t="shared" si="6"/>
        <v/>
      </c>
      <c r="J11" s="260">
        <f>+'_Flujo con Glosa 08'!BM4</f>
        <v>-57194841</v>
      </c>
      <c r="K11" s="261">
        <f t="shared" si="7"/>
        <v>0</v>
      </c>
      <c r="L11" s="262">
        <f t="shared" si="8"/>
        <v>57194841</v>
      </c>
      <c r="M11" s="260">
        <f t="shared" si="9"/>
        <v>249826474</v>
      </c>
      <c r="N11" s="263">
        <f t="shared" si="1"/>
        <v>0</v>
      </c>
      <c r="O11" s="263">
        <f>+'DATA UIM IPASCUA DETCOMP'!D25</f>
        <v>2353141</v>
      </c>
      <c r="P11" s="260">
        <f t="shared" si="10"/>
        <v>252179615</v>
      </c>
      <c r="Q11" s="264">
        <f t="shared" si="11"/>
        <v>0</v>
      </c>
      <c r="R11" s="265" t="str">
        <f t="shared" si="2"/>
        <v>OCTUBRE</v>
      </c>
      <c r="S11" s="266">
        <f>+'_Flujo con Glosa 08'!BK3</f>
        <v>307021311</v>
      </c>
      <c r="T11" s="267">
        <f t="shared" si="3"/>
        <v>-4</v>
      </c>
      <c r="U11" s="266">
        <f>+'_Flujo con Glosa 08'!BL3</f>
        <v>0</v>
      </c>
      <c r="V11" s="267">
        <f t="shared" si="12"/>
        <v>0</v>
      </c>
      <c r="W11" s="267">
        <f>+'_Flujo con Glosa 08'!BM3</f>
        <v>-57194841</v>
      </c>
      <c r="X11" s="267">
        <f t="shared" si="13"/>
        <v>0</v>
      </c>
      <c r="Y11" s="266">
        <f>+'_Flujo con Glosa 08'!BN3</f>
        <v>2353141</v>
      </c>
      <c r="Z11" s="268">
        <f t="shared" si="14"/>
        <v>0</v>
      </c>
      <c r="AA11" s="269">
        <f t="shared" si="15"/>
        <v>252179611</v>
      </c>
      <c r="AB11" s="270">
        <f t="shared" si="4"/>
        <v>0.11512794089843283</v>
      </c>
      <c r="AC11" s="268">
        <f t="shared" si="16"/>
        <v>-4</v>
      </c>
    </row>
    <row r="12" spans="1:36" s="253" customFormat="1" x14ac:dyDescent="0.2">
      <c r="A12" s="273"/>
      <c r="B12" s="256" t="s">
        <v>354</v>
      </c>
      <c r="C12" s="257" t="s">
        <v>719</v>
      </c>
      <c r="D12" s="272">
        <v>46332</v>
      </c>
      <c r="E12" s="259">
        <f t="shared" si="0"/>
        <v>116301879.24000001</v>
      </c>
      <c r="F12" s="260">
        <f>+'DATA UIM IPASCUA DETCOMP'!D26</f>
        <v>2353141</v>
      </c>
      <c r="G12" s="260">
        <f t="shared" si="5"/>
        <v>113948738.24000001</v>
      </c>
      <c r="H12" s="260">
        <f>+'_DATA STT PAGOS_'!$F$5</f>
        <v>131374604</v>
      </c>
      <c r="I12" s="260">
        <f t="shared" si="6"/>
        <v>17425865.75999999</v>
      </c>
      <c r="J12" s="260">
        <f>+'_Flujo con Glosa 08'!BS4</f>
        <v>17269644</v>
      </c>
      <c r="K12" s="261">
        <f t="shared" si="7"/>
        <v>17269644</v>
      </c>
      <c r="L12" s="262">
        <f t="shared" si="8"/>
        <v>0</v>
      </c>
      <c r="M12" s="260">
        <f t="shared" si="9"/>
        <v>131218382.24000001</v>
      </c>
      <c r="N12" s="263">
        <f t="shared" si="1"/>
        <v>0</v>
      </c>
      <c r="O12" s="263">
        <f>+'DATA UIM IPASCUA DETCOMP'!D26</f>
        <v>2353141</v>
      </c>
      <c r="P12" s="260">
        <f t="shared" si="10"/>
        <v>133571523.24000001</v>
      </c>
      <c r="Q12" s="264">
        <f t="shared" si="11"/>
        <v>0</v>
      </c>
      <c r="R12" s="265" t="str">
        <f t="shared" si="2"/>
        <v>NOVIEMBRE</v>
      </c>
      <c r="S12" s="266">
        <f>+'_Flujo con Glosa 08'!BQ3</f>
        <v>113948745</v>
      </c>
      <c r="T12" s="267">
        <f t="shared" si="3"/>
        <v>6.7599999904632568</v>
      </c>
      <c r="U12" s="266">
        <f>+'_Flujo con Glosa 08'!BR3</f>
        <v>0</v>
      </c>
      <c r="V12" s="267">
        <f t="shared" si="12"/>
        <v>0</v>
      </c>
      <c r="W12" s="267">
        <f>+'_Flujo con Glosa 08'!BS3</f>
        <v>17269644</v>
      </c>
      <c r="X12" s="267">
        <f t="shared" si="13"/>
        <v>0</v>
      </c>
      <c r="Y12" s="266">
        <f>+'_Flujo con Glosa 08'!BT3</f>
        <v>2353141</v>
      </c>
      <c r="Z12" s="268">
        <f t="shared" si="14"/>
        <v>0</v>
      </c>
      <c r="AA12" s="269">
        <f t="shared" si="15"/>
        <v>133571530</v>
      </c>
      <c r="AB12" s="270">
        <f t="shared" si="4"/>
        <v>6.0469580799169781E-2</v>
      </c>
      <c r="AC12" s="268">
        <f t="shared" si="16"/>
        <v>6.7599999904632568</v>
      </c>
    </row>
    <row r="13" spans="1:36" s="253" customFormat="1" x14ac:dyDescent="0.2">
      <c r="A13" s="273"/>
      <c r="B13" s="256" t="s">
        <v>355</v>
      </c>
      <c r="C13" s="257" t="s">
        <v>719</v>
      </c>
      <c r="D13" s="272">
        <v>46363</v>
      </c>
      <c r="E13" s="259">
        <f t="shared" si="0"/>
        <v>220710436.845</v>
      </c>
      <c r="F13" s="260">
        <f>+'DATA UIM IPASCUA DETCOMP'!D27</f>
        <v>2353141</v>
      </c>
      <c r="G13" s="260">
        <f t="shared" si="5"/>
        <v>218357295.845</v>
      </c>
      <c r="H13" s="260">
        <f>+'_DATA STT PAGOS_'!$F$5</f>
        <v>131374604</v>
      </c>
      <c r="I13" s="260" t="str">
        <f t="shared" si="6"/>
        <v/>
      </c>
      <c r="J13" s="260">
        <f>+'_Flujo con Glosa 08'!BY4</f>
        <v>-17269644</v>
      </c>
      <c r="K13" s="261">
        <f t="shared" si="7"/>
        <v>0</v>
      </c>
      <c r="L13" s="262">
        <f t="shared" si="8"/>
        <v>17269644</v>
      </c>
      <c r="M13" s="260">
        <f t="shared" si="9"/>
        <v>201087651.845</v>
      </c>
      <c r="N13" s="263">
        <f t="shared" si="1"/>
        <v>35594493</v>
      </c>
      <c r="O13" s="263">
        <f>+'DATA UIM IPASCUA DETCOMP'!D27</f>
        <v>2353141</v>
      </c>
      <c r="P13" s="260">
        <f t="shared" si="10"/>
        <v>239035285.845</v>
      </c>
      <c r="Q13" s="264">
        <f t="shared" si="11"/>
        <v>-35594493</v>
      </c>
      <c r="R13" s="265" t="str">
        <f t="shared" si="2"/>
        <v>DICIEMBRE</v>
      </c>
      <c r="S13" s="266">
        <f>+'_Flujo con Glosa 08'!BW3</f>
        <v>218357301</v>
      </c>
      <c r="T13" s="267">
        <f t="shared" si="3"/>
        <v>5.1550000011920929</v>
      </c>
      <c r="U13" s="266">
        <f>+'_Flujo con Glosa 08'!BX3</f>
        <v>35594499</v>
      </c>
      <c r="V13" s="267">
        <f t="shared" si="12"/>
        <v>6</v>
      </c>
      <c r="W13" s="267">
        <f>+'_Flujo con Glosa 08'!BY3</f>
        <v>-17269644</v>
      </c>
      <c r="X13" s="267">
        <f t="shared" si="13"/>
        <v>0</v>
      </c>
      <c r="Y13" s="266">
        <f>+'_Flujo con Glosa 08'!BZ3</f>
        <v>2353141</v>
      </c>
      <c r="Z13" s="268">
        <f t="shared" si="14"/>
        <v>0</v>
      </c>
      <c r="AA13" s="269">
        <f t="shared" si="15"/>
        <v>239035297</v>
      </c>
      <c r="AB13" s="270">
        <f t="shared" si="4"/>
        <v>0.1090706182861528</v>
      </c>
      <c r="AC13" s="268">
        <f t="shared" si="16"/>
        <v>11.155000001192093</v>
      </c>
    </row>
    <row r="14" spans="1:36" s="253" customFormat="1" x14ac:dyDescent="0.2">
      <c r="A14" s="273"/>
      <c r="B14" s="256" t="s">
        <v>329</v>
      </c>
      <c r="C14" s="257" t="s">
        <v>719</v>
      </c>
      <c r="D14" s="276"/>
      <c r="E14" s="259">
        <f>SUM(E2:E13)</f>
        <v>2126010999.8000002</v>
      </c>
      <c r="F14" s="277">
        <f t="shared" ref="F14:P14" si="17">SUM(F2:F13)</f>
        <v>28237700</v>
      </c>
      <c r="G14" s="277">
        <f t="shared" si="17"/>
        <v>2097773299.8000002</v>
      </c>
      <c r="H14" s="277">
        <f t="shared" si="17"/>
        <v>1576495248</v>
      </c>
      <c r="I14" s="277">
        <f t="shared" si="17"/>
        <v>298238136.995</v>
      </c>
      <c r="J14" s="277">
        <f>SUM(J2:J13)</f>
        <v>0</v>
      </c>
      <c r="K14" s="277">
        <f>SUM(K2:K13)</f>
        <v>289060877</v>
      </c>
      <c r="L14" s="278">
        <f>SUM(L2:L13)</f>
        <v>289060877</v>
      </c>
      <c r="M14" s="277">
        <f t="shared" si="17"/>
        <v>2097773299.8000002</v>
      </c>
      <c r="N14" s="277">
        <f t="shared" si="17"/>
        <v>72216644</v>
      </c>
      <c r="O14" s="277">
        <f t="shared" si="17"/>
        <v>28237700</v>
      </c>
      <c r="P14" s="277">
        <f t="shared" si="17"/>
        <v>2198227643.8000002</v>
      </c>
      <c r="Q14" s="264">
        <f t="shared" si="11"/>
        <v>-72216644</v>
      </c>
      <c r="R14" s="265" t="str">
        <f t="shared" si="2"/>
        <v>Total</v>
      </c>
      <c r="S14" s="266">
        <f>SUM(S2:S13)</f>
        <v>2097773298</v>
      </c>
      <c r="T14" s="266"/>
      <c r="U14" s="266">
        <f t="shared" ref="U14:AA14" si="18">SUM(U2:U13)</f>
        <v>72216652</v>
      </c>
      <c r="V14" s="266"/>
      <c r="W14" s="266">
        <f t="shared" si="18"/>
        <v>0</v>
      </c>
      <c r="X14" s="266"/>
      <c r="Y14" s="266">
        <f t="shared" si="18"/>
        <v>28237700</v>
      </c>
      <c r="Z14" s="269"/>
      <c r="AA14" s="269">
        <f t="shared" si="18"/>
        <v>2198227650</v>
      </c>
      <c r="AB14" s="279"/>
      <c r="AC14" s="279"/>
    </row>
    <row r="15" spans="1:36" s="253" customFormat="1" x14ac:dyDescent="0.2">
      <c r="B15" s="280" t="str">
        <f>+PARAMETROS!H3</f>
        <v>Ver:5 20251231</v>
      </c>
      <c r="C15" s="281" t="s">
        <v>719</v>
      </c>
      <c r="I15" s="282"/>
      <c r="J15" s="282"/>
      <c r="K15" s="282"/>
      <c r="Q15" s="283"/>
      <c r="R15" s="284"/>
      <c r="S15" s="285"/>
      <c r="T15" s="285"/>
      <c r="U15" s="285"/>
      <c r="V15" s="285"/>
      <c r="W15" s="285"/>
      <c r="X15" s="285"/>
      <c r="Y15" s="285"/>
      <c r="Z15" s="279"/>
      <c r="AA15" s="279"/>
      <c r="AB15" s="279"/>
      <c r="AC15" s="279"/>
    </row>
    <row r="16" spans="1:36" s="253" customFormat="1" hidden="1" x14ac:dyDescent="0.2">
      <c r="B16" s="286"/>
      <c r="C16" s="286"/>
      <c r="D16" s="286"/>
      <c r="E16" s="286"/>
      <c r="F16" s="286"/>
      <c r="G16" s="287">
        <f>STDEV(G2:G13)/AVERAGE(G2:G13)</f>
        <v>0.8497092452118139</v>
      </c>
      <c r="H16" s="287"/>
      <c r="I16" s="286"/>
      <c r="J16" s="286"/>
      <c r="K16" s="286"/>
      <c r="L16" s="288"/>
      <c r="M16" s="287">
        <f>STDEV(M2:M13)/AVERAGE(M2:M13)</f>
        <v>0.43680862988831903</v>
      </c>
      <c r="N16" s="287"/>
      <c r="O16" s="287"/>
      <c r="P16" s="287">
        <f t="shared" ref="P16" si="19">STDEV(P2:P13)/AVERAGE(P2:P13)</f>
        <v>0.43729898875926876</v>
      </c>
      <c r="Q16" s="286"/>
      <c r="R16" s="286"/>
      <c r="S16" s="286"/>
      <c r="T16" s="286"/>
      <c r="U16" s="286"/>
      <c r="V16" s="286"/>
      <c r="W16" s="286"/>
      <c r="X16" s="286"/>
      <c r="Y16" s="286"/>
      <c r="Z16" s="289"/>
      <c r="AA16" s="289"/>
      <c r="AB16" s="286"/>
      <c r="AC16" s="286"/>
      <c r="AD16" s="286"/>
    </row>
    <row r="17" spans="2:27" s="253" customFormat="1" ht="14.45" hidden="1" customHeight="1" thickBot="1" x14ac:dyDescent="0.25">
      <c r="B17" s="286"/>
      <c r="I17" s="290"/>
      <c r="L17" s="291" t="s">
        <v>373</v>
      </c>
      <c r="M17" s="291"/>
      <c r="N17" s="291"/>
      <c r="O17" s="291"/>
    </row>
    <row r="18" spans="2:27" s="253" customFormat="1" hidden="1" x14ac:dyDescent="0.2">
      <c r="B18" s="286"/>
      <c r="D18" s="575" t="s">
        <v>1124</v>
      </c>
      <c r="E18" s="575"/>
      <c r="F18" s="575"/>
      <c r="G18" s="575"/>
      <c r="I18" s="292" t="str">
        <f>PARAMETROS!B3&amp;" - DISTRIBUCION Aporte Fiscal al Fondo Común Municipal M$"</f>
        <v>FCM 2026 - DISTRIBUCION Aporte Fiscal al Fondo Común Municipal M$</v>
      </c>
      <c r="J18" s="293"/>
      <c r="K18" s="294"/>
      <c r="Q18" s="294"/>
      <c r="S18" s="295" t="s">
        <v>716</v>
      </c>
    </row>
    <row r="19" spans="2:27" s="253" customFormat="1" ht="45.75" hidden="1" customHeight="1" thickBot="1" x14ac:dyDescent="0.3">
      <c r="B19" s="286"/>
      <c r="D19" s="439" t="s">
        <v>709</v>
      </c>
      <c r="E19" s="439" t="s">
        <v>1125</v>
      </c>
      <c r="F19" s="469" t="s">
        <v>1126</v>
      </c>
      <c r="G19" s="439" t="s">
        <v>492</v>
      </c>
      <c r="I19" s="544" t="s">
        <v>337</v>
      </c>
      <c r="J19" s="545" t="s">
        <v>508</v>
      </c>
      <c r="K19" s="546" t="s">
        <v>720</v>
      </c>
      <c r="L19" s="534"/>
      <c r="M19" s="534"/>
      <c r="N19" s="534"/>
      <c r="O19"/>
      <c r="P19"/>
      <c r="Q19" s="530" t="s">
        <v>714</v>
      </c>
      <c r="S19" s="296" t="s">
        <v>337</v>
      </c>
      <c r="T19" s="296" t="s">
        <v>523</v>
      </c>
      <c r="U19" s="296" t="s">
        <v>524</v>
      </c>
      <c r="V19" s="296" t="s">
        <v>525</v>
      </c>
      <c r="W19" s="296" t="s">
        <v>546</v>
      </c>
      <c r="X19" s="296" t="s">
        <v>620</v>
      </c>
      <c r="Y19" s="296" t="s">
        <v>710</v>
      </c>
      <c r="Z19" s="296" t="s">
        <v>711</v>
      </c>
      <c r="AA19" s="297"/>
    </row>
    <row r="20" spans="2:27" s="253" customFormat="1" hidden="1" x14ac:dyDescent="0.2">
      <c r="B20" s="286"/>
      <c r="D20" s="465" t="s">
        <v>1122</v>
      </c>
      <c r="E20" s="466">
        <v>106673333</v>
      </c>
      <c r="F20" s="470">
        <f>+E20*G20</f>
        <v>84805299.734999999</v>
      </c>
      <c r="G20" s="467">
        <v>0.79500000000000004</v>
      </c>
      <c r="I20" s="537" t="s">
        <v>481</v>
      </c>
      <c r="J20" s="298">
        <v>0</v>
      </c>
      <c r="K20" s="538">
        <f>+J20/$J$32</f>
        <v>0</v>
      </c>
      <c r="M20" s="535"/>
      <c r="O20" s="535"/>
      <c r="P20" s="536"/>
      <c r="Q20" s="531" t="e">
        <f>VLOOKUP(P20,'_Flujo con Glosa 08'!#REF!,26,0)</f>
        <v>#REF!</v>
      </c>
      <c r="S20" s="299" t="s">
        <v>481</v>
      </c>
      <c r="T20" s="260">
        <v>0</v>
      </c>
      <c r="U20" s="260">
        <v>0</v>
      </c>
      <c r="V20" s="260">
        <v>0</v>
      </c>
      <c r="W20" s="260">
        <v>0</v>
      </c>
      <c r="X20" s="260">
        <v>0</v>
      </c>
      <c r="Y20" s="260">
        <v>0</v>
      </c>
      <c r="Z20" s="260">
        <f>+J20</f>
        <v>0</v>
      </c>
    </row>
    <row r="21" spans="2:27" s="253" customFormat="1" hidden="1" x14ac:dyDescent="0.2">
      <c r="B21" s="286"/>
      <c r="D21" s="465" t="s">
        <v>1123</v>
      </c>
      <c r="E21" s="466">
        <v>58111224</v>
      </c>
      <c r="F21" s="470">
        <f t="shared" ref="F21:F31" si="20">+E21*G21</f>
        <v>46198423.080000006</v>
      </c>
      <c r="G21" s="467">
        <v>0.79500000000000004</v>
      </c>
      <c r="I21" s="539" t="s">
        <v>482</v>
      </c>
      <c r="J21" s="300">
        <v>0</v>
      </c>
      <c r="K21" s="538">
        <f t="shared" ref="K21:K31" si="21">+J21/$J$32</f>
        <v>0</v>
      </c>
      <c r="M21" s="535"/>
      <c r="O21" s="535"/>
      <c r="P21" s="536"/>
      <c r="Q21" s="532" t="e">
        <f>VLOOKUP(P20,'_Flujo con Glosa 08'!#REF!,27,0)</f>
        <v>#REF!</v>
      </c>
      <c r="S21" s="299" t="s">
        <v>482</v>
      </c>
      <c r="T21" s="260">
        <v>0</v>
      </c>
      <c r="U21" s="260">
        <v>1805395</v>
      </c>
      <c r="V21" s="260">
        <v>0</v>
      </c>
      <c r="W21" s="260">
        <v>0</v>
      </c>
      <c r="X21" s="260">
        <v>0</v>
      </c>
      <c r="Y21" s="260">
        <v>0</v>
      </c>
      <c r="Z21" s="260">
        <f t="shared" ref="Z21:Z31" si="22">+J21</f>
        <v>0</v>
      </c>
    </row>
    <row r="22" spans="2:27" s="253" customFormat="1" hidden="1" x14ac:dyDescent="0.2">
      <c r="B22" s="286"/>
      <c r="D22" s="468" t="s">
        <v>482</v>
      </c>
      <c r="E22" s="466">
        <v>160294143</v>
      </c>
      <c r="F22" s="470">
        <f t="shared" si="20"/>
        <v>127433843.685</v>
      </c>
      <c r="G22" s="467">
        <v>0.79500000000000004</v>
      </c>
      <c r="I22" s="540" t="s">
        <v>476</v>
      </c>
      <c r="J22" s="300">
        <v>0</v>
      </c>
      <c r="K22" s="538">
        <f t="shared" si="21"/>
        <v>0</v>
      </c>
      <c r="M22" s="535"/>
      <c r="O22" s="535"/>
      <c r="P22" s="536"/>
      <c r="Q22" s="532" t="e">
        <f>VLOOKUP(P20,'_Flujo con Glosa 08'!#REF!,28,0)</f>
        <v>#REF!</v>
      </c>
      <c r="S22" s="299" t="s">
        <v>476</v>
      </c>
      <c r="T22" s="260">
        <v>0</v>
      </c>
      <c r="U22" s="260">
        <v>1599064</v>
      </c>
      <c r="V22" s="260">
        <v>50210909</v>
      </c>
      <c r="W22" s="260">
        <v>51582716</v>
      </c>
      <c r="X22" s="260">
        <v>52886144</v>
      </c>
      <c r="Y22" s="260">
        <v>0</v>
      </c>
      <c r="Z22" s="260">
        <f t="shared" si="22"/>
        <v>0</v>
      </c>
      <c r="AA22" s="253">
        <f>SUM(AI10:AI21)</f>
        <v>0</v>
      </c>
    </row>
    <row r="23" spans="2:27" s="253" customFormat="1" hidden="1" x14ac:dyDescent="0.2">
      <c r="B23" s="286"/>
      <c r="D23" s="468" t="s">
        <v>476</v>
      </c>
      <c r="E23" s="466">
        <v>86501947</v>
      </c>
      <c r="F23" s="470">
        <f t="shared" si="20"/>
        <v>68769047.86500001</v>
      </c>
      <c r="G23" s="467">
        <v>0.79500000000000004</v>
      </c>
      <c r="I23" s="539" t="s">
        <v>483</v>
      </c>
      <c r="J23" s="300">
        <v>0</v>
      </c>
      <c r="K23" s="538">
        <f t="shared" si="21"/>
        <v>0</v>
      </c>
      <c r="M23" s="535"/>
      <c r="O23" s="535"/>
      <c r="P23" s="536"/>
      <c r="Q23" s="532" t="e">
        <f>VLOOKUP(P20,'_Flujo con Glosa 08'!#REF!,29,0)</f>
        <v>#REF!</v>
      </c>
      <c r="S23" s="299" t="s">
        <v>483</v>
      </c>
      <c r="T23" s="260">
        <v>0</v>
      </c>
      <c r="U23" s="260">
        <v>0</v>
      </c>
      <c r="V23" s="260">
        <v>0</v>
      </c>
      <c r="W23" s="260">
        <v>0</v>
      </c>
      <c r="X23" s="260">
        <v>0</v>
      </c>
      <c r="Y23" s="260">
        <v>0</v>
      </c>
      <c r="Z23" s="260">
        <f t="shared" si="22"/>
        <v>0</v>
      </c>
    </row>
    <row r="24" spans="2:27" s="253" customFormat="1" hidden="1" x14ac:dyDescent="0.2">
      <c r="B24" s="286"/>
      <c r="D24" s="468" t="s">
        <v>483</v>
      </c>
      <c r="E24" s="466">
        <v>725369722</v>
      </c>
      <c r="F24" s="470">
        <f t="shared" si="20"/>
        <v>580295777.60000002</v>
      </c>
      <c r="G24" s="467">
        <v>0.8</v>
      </c>
      <c r="I24" s="539" t="s">
        <v>478</v>
      </c>
      <c r="J24" s="300">
        <v>5334263</v>
      </c>
      <c r="K24" s="538">
        <f t="shared" si="21"/>
        <v>7.3864731238410919E-2</v>
      </c>
      <c r="M24" s="535"/>
      <c r="O24" s="535"/>
      <c r="P24" s="536"/>
      <c r="Q24" s="532" t="e">
        <f>VLOOKUP(P20,'_Flujo con Glosa 08'!#REF!,30,0)</f>
        <v>#REF!</v>
      </c>
      <c r="S24" s="299" t="s">
        <v>478</v>
      </c>
      <c r="T24" s="260">
        <v>33376143</v>
      </c>
      <c r="U24" s="260">
        <v>3507625</v>
      </c>
      <c r="V24" s="260">
        <v>42308915</v>
      </c>
      <c r="W24" s="260">
        <v>0</v>
      </c>
      <c r="X24" s="260">
        <v>0</v>
      </c>
      <c r="Y24" s="260">
        <v>12500000</v>
      </c>
      <c r="Z24" s="260">
        <f t="shared" si="22"/>
        <v>5334263</v>
      </c>
    </row>
    <row r="25" spans="2:27" s="253" customFormat="1" hidden="1" x14ac:dyDescent="0.2">
      <c r="B25" s="286"/>
      <c r="D25" s="468" t="s">
        <v>478</v>
      </c>
      <c r="E25" s="466">
        <v>146036014</v>
      </c>
      <c r="F25" s="470">
        <f t="shared" si="20"/>
        <v>116828811.2</v>
      </c>
      <c r="G25" s="467">
        <v>0.8</v>
      </c>
      <c r="I25" s="539" t="s">
        <v>484</v>
      </c>
      <c r="J25" s="300">
        <v>3780433</v>
      </c>
      <c r="K25" s="538">
        <f t="shared" si="21"/>
        <v>5.2348500160156984E-2</v>
      </c>
      <c r="M25" s="535"/>
      <c r="O25" s="535"/>
      <c r="P25" s="536"/>
      <c r="Q25" s="532" t="e">
        <f>VLOOKUP(P20,'_Flujo con Glosa 08'!#REF!,31,0)</f>
        <v>#REF!</v>
      </c>
      <c r="S25" s="299" t="s">
        <v>484</v>
      </c>
      <c r="T25" s="260">
        <v>0</v>
      </c>
      <c r="U25" s="260">
        <v>0</v>
      </c>
      <c r="V25" s="260">
        <v>3107615</v>
      </c>
      <c r="W25" s="260">
        <v>0</v>
      </c>
      <c r="X25" s="260">
        <v>0</v>
      </c>
      <c r="Y25" s="260">
        <v>0</v>
      </c>
      <c r="Z25" s="260">
        <f t="shared" si="22"/>
        <v>3780433</v>
      </c>
    </row>
    <row r="26" spans="2:27" s="253" customFormat="1" hidden="1" x14ac:dyDescent="0.2">
      <c r="B26" s="286"/>
      <c r="D26" s="468" t="s">
        <v>484</v>
      </c>
      <c r="E26" s="466">
        <v>289195469</v>
      </c>
      <c r="F26" s="470">
        <f t="shared" si="20"/>
        <v>229910397.85500002</v>
      </c>
      <c r="G26" s="467">
        <v>0.79500000000000004</v>
      </c>
      <c r="I26" s="540" t="s">
        <v>477</v>
      </c>
      <c r="J26" s="300">
        <v>22091682</v>
      </c>
      <c r="K26" s="538">
        <f t="shared" si="21"/>
        <v>0.30590845512012438</v>
      </c>
      <c r="M26" s="535"/>
      <c r="O26" s="535"/>
      <c r="P26" s="536"/>
      <c r="Q26" s="532" t="e">
        <f>VLOOKUP(P20,'_Flujo con Glosa 08'!#REF!,32,0)</f>
        <v>#REF!</v>
      </c>
      <c r="S26" s="299" t="s">
        <v>477</v>
      </c>
      <c r="T26" s="260">
        <v>9829960</v>
      </c>
      <c r="U26" s="260">
        <v>1031654</v>
      </c>
      <c r="V26" s="260">
        <v>7469614</v>
      </c>
      <c r="W26" s="260">
        <v>0</v>
      </c>
      <c r="X26" s="260">
        <v>0</v>
      </c>
      <c r="Y26" s="260">
        <v>0</v>
      </c>
      <c r="Z26" s="260">
        <f t="shared" si="22"/>
        <v>22091682</v>
      </c>
    </row>
    <row r="27" spans="2:27" s="253" customFormat="1" hidden="1" x14ac:dyDescent="0.2">
      <c r="B27" s="286"/>
      <c r="D27" s="468" t="s">
        <v>477</v>
      </c>
      <c r="E27" s="466">
        <v>96898474</v>
      </c>
      <c r="F27" s="470">
        <f t="shared" si="20"/>
        <v>77518779.200000003</v>
      </c>
      <c r="G27" s="467">
        <v>0.8</v>
      </c>
      <c r="I27" s="539" t="s">
        <v>485</v>
      </c>
      <c r="J27" s="300">
        <v>0</v>
      </c>
      <c r="K27" s="538">
        <f t="shared" si="21"/>
        <v>0</v>
      </c>
      <c r="M27" s="535"/>
      <c r="O27" s="535"/>
      <c r="P27" s="536"/>
      <c r="Q27" s="532" t="e">
        <f>VLOOKUP(P20,'_Flujo con Glosa 08'!#REF!,33,0)</f>
        <v>#REF!</v>
      </c>
      <c r="S27" s="299" t="s">
        <v>485</v>
      </c>
      <c r="T27" s="260">
        <v>0</v>
      </c>
      <c r="U27" s="260">
        <v>0</v>
      </c>
      <c r="V27" s="260">
        <v>0</v>
      </c>
      <c r="W27" s="260">
        <v>0</v>
      </c>
      <c r="X27" s="260">
        <v>0</v>
      </c>
      <c r="Y27" s="260">
        <v>0</v>
      </c>
      <c r="Z27" s="260">
        <f t="shared" si="22"/>
        <v>0</v>
      </c>
    </row>
    <row r="28" spans="2:27" s="253" customFormat="1" hidden="1" x14ac:dyDescent="0.2">
      <c r="B28" s="286"/>
      <c r="D28" s="468" t="s">
        <v>485</v>
      </c>
      <c r="E28" s="466">
        <v>185992261</v>
      </c>
      <c r="F28" s="470">
        <f t="shared" si="20"/>
        <v>147863847.495</v>
      </c>
      <c r="G28" s="467">
        <v>0.79500000000000004</v>
      </c>
      <c r="I28" s="540" t="s">
        <v>486</v>
      </c>
      <c r="J28" s="300">
        <v>5415773</v>
      </c>
      <c r="K28" s="538">
        <f t="shared" si="21"/>
        <v>7.499341841473553E-2</v>
      </c>
      <c r="M28" s="535"/>
      <c r="O28" s="535"/>
      <c r="P28" s="536"/>
      <c r="Q28" s="532" t="e">
        <f>VLOOKUP(P20,'_Flujo con Glosa 08'!#REF!,34,0)</f>
        <v>#REF!</v>
      </c>
      <c r="S28" s="299" t="s">
        <v>486</v>
      </c>
      <c r="T28" s="260">
        <v>1691668</v>
      </c>
      <c r="U28" s="260">
        <v>1547481</v>
      </c>
      <c r="V28" s="260">
        <v>0</v>
      </c>
      <c r="W28" s="260">
        <v>22825361.981799997</v>
      </c>
      <c r="X28" s="260">
        <v>27627986</v>
      </c>
      <c r="Y28" s="260">
        <v>16001500</v>
      </c>
      <c r="Z28" s="260">
        <f t="shared" si="22"/>
        <v>5415773</v>
      </c>
    </row>
    <row r="29" spans="2:27" s="253" customFormat="1" hidden="1" x14ac:dyDescent="0.2">
      <c r="B29" s="286"/>
      <c r="D29" s="468" t="s">
        <v>486</v>
      </c>
      <c r="E29" s="466">
        <v>386718070</v>
      </c>
      <c r="F29" s="470">
        <f t="shared" si="20"/>
        <v>309374456</v>
      </c>
      <c r="G29" s="467">
        <v>0.8</v>
      </c>
      <c r="I29" s="539" t="s">
        <v>487</v>
      </c>
      <c r="J29" s="300">
        <v>0</v>
      </c>
      <c r="K29" s="538">
        <f t="shared" si="21"/>
        <v>0</v>
      </c>
      <c r="M29" s="535"/>
      <c r="O29" s="535"/>
      <c r="P29" s="536"/>
      <c r="Q29" s="532" t="e">
        <f>VLOOKUP(P20,'_Flujo con Glosa 08'!#REF!,35,0)</f>
        <v>#REF!</v>
      </c>
      <c r="S29" s="299" t="s">
        <v>487</v>
      </c>
      <c r="T29" s="260">
        <v>1522501</v>
      </c>
      <c r="U29" s="260">
        <v>0</v>
      </c>
      <c r="V29" s="260">
        <v>0</v>
      </c>
      <c r="W29" s="260">
        <v>3843866.7584799998</v>
      </c>
      <c r="X29" s="260">
        <v>4653882</v>
      </c>
      <c r="Y29" s="260">
        <v>18500000</v>
      </c>
      <c r="Z29" s="260">
        <f t="shared" si="22"/>
        <v>0</v>
      </c>
    </row>
    <row r="30" spans="2:27" s="253" customFormat="1" hidden="1" x14ac:dyDescent="0.2">
      <c r="B30" s="286"/>
      <c r="D30" s="468" t="s">
        <v>487</v>
      </c>
      <c r="E30" s="466">
        <v>146291672</v>
      </c>
      <c r="F30" s="470">
        <f t="shared" si="20"/>
        <v>116301879.24000001</v>
      </c>
      <c r="G30" s="467">
        <v>0.79500000000000004</v>
      </c>
      <c r="I30" s="539" t="s">
        <v>488</v>
      </c>
      <c r="J30" s="300">
        <v>0</v>
      </c>
      <c r="K30" s="538">
        <f t="shared" si="21"/>
        <v>0</v>
      </c>
      <c r="M30" s="535"/>
      <c r="O30" s="535"/>
      <c r="P30" s="536"/>
      <c r="Q30" s="532" t="e">
        <f>VLOOKUP(P20,'_Flujo con Glosa 08'!#REF!,36,0)</f>
        <v>#REF!</v>
      </c>
      <c r="S30" s="299" t="s">
        <v>488</v>
      </c>
      <c r="T30" s="260">
        <v>3790637</v>
      </c>
      <c r="U30" s="260">
        <v>2579136</v>
      </c>
      <c r="V30" s="260">
        <v>0</v>
      </c>
      <c r="W30" s="260">
        <v>0</v>
      </c>
      <c r="X30" s="260">
        <v>0</v>
      </c>
      <c r="Y30" s="260">
        <v>0</v>
      </c>
      <c r="Z30" s="260">
        <f t="shared" si="22"/>
        <v>0</v>
      </c>
    </row>
    <row r="31" spans="2:27" s="253" customFormat="1" hidden="1" x14ac:dyDescent="0.2">
      <c r="B31" s="286"/>
      <c r="D31" s="468" t="s">
        <v>488</v>
      </c>
      <c r="E31" s="466">
        <v>277623191</v>
      </c>
      <c r="F31" s="470">
        <f t="shared" si="20"/>
        <v>220710436.845</v>
      </c>
      <c r="G31" s="467">
        <v>0.79500000000000004</v>
      </c>
      <c r="I31" s="539" t="s">
        <v>489</v>
      </c>
      <c r="J31" s="300">
        <f>+J32-J24-J25-J26-J28</f>
        <v>35594493</v>
      </c>
      <c r="K31" s="538">
        <f t="shared" si="21"/>
        <v>0.49288489506657218</v>
      </c>
      <c r="M31" s="535"/>
      <c r="O31" s="535"/>
      <c r="P31" s="536"/>
      <c r="Q31" s="532" t="e">
        <f>VLOOKUP(P20,'_Flujo con Glosa 08'!#REF!,37,0)</f>
        <v>#REF!</v>
      </c>
      <c r="S31" s="299" t="s">
        <v>489</v>
      </c>
      <c r="T31" s="260">
        <v>0</v>
      </c>
      <c r="U31" s="260">
        <v>39512361</v>
      </c>
      <c r="V31" s="260">
        <v>0</v>
      </c>
      <c r="W31" s="260">
        <v>25322942.035999998</v>
      </c>
      <c r="X31" s="260">
        <v>30649745</v>
      </c>
      <c r="Y31" s="260">
        <v>19483848</v>
      </c>
      <c r="Z31" s="260">
        <f t="shared" si="22"/>
        <v>35594493</v>
      </c>
    </row>
    <row r="32" spans="2:27" s="253" customFormat="1" ht="12" hidden="1" thickBot="1" x14ac:dyDescent="0.25">
      <c r="B32" s="286"/>
      <c r="D32" s="468" t="s">
        <v>329</v>
      </c>
      <c r="E32" s="466">
        <f>SUM(E20:E31)</f>
        <v>2665705520</v>
      </c>
      <c r="F32" s="470">
        <f>SUM(F20:F31)</f>
        <v>2126010999.8000002</v>
      </c>
      <c r="G32" s="467">
        <f>+F32/E32</f>
        <v>0.79754158283770227</v>
      </c>
      <c r="I32" s="541" t="s">
        <v>503</v>
      </c>
      <c r="J32" s="542">
        <f>+PARAMETROS!$H$9</f>
        <v>72216644</v>
      </c>
      <c r="K32" s="543">
        <f>+J32/$J$32</f>
        <v>1</v>
      </c>
      <c r="M32" s="535"/>
      <c r="O32" s="535"/>
      <c r="Q32" s="533"/>
      <c r="S32" s="301" t="s">
        <v>503</v>
      </c>
      <c r="T32" s="302">
        <f>SUM(T20:T31)</f>
        <v>50210909</v>
      </c>
      <c r="U32" s="302">
        <f t="shared" ref="U32:Y32" si="23">SUM(U20:U31)</f>
        <v>51582716</v>
      </c>
      <c r="V32" s="302">
        <f t="shared" si="23"/>
        <v>103097053</v>
      </c>
      <c r="W32" s="302">
        <f t="shared" si="23"/>
        <v>103574886.77627999</v>
      </c>
      <c r="X32" s="302">
        <f t="shared" si="23"/>
        <v>115817757</v>
      </c>
      <c r="Y32" s="302">
        <f t="shared" si="23"/>
        <v>66485348</v>
      </c>
      <c r="Z32" s="303">
        <f>SUM(Z20:Z31)</f>
        <v>72216644</v>
      </c>
    </row>
    <row r="33" spans="2:40" s="253" customFormat="1" ht="12" hidden="1" thickBot="1" x14ac:dyDescent="0.25">
      <c r="B33" s="286"/>
      <c r="J33" s="304"/>
      <c r="M33" s="304">
        <f>SUMIF(M20:M31,"&lt;0")</f>
        <v>0</v>
      </c>
      <c r="O33" s="304"/>
      <c r="Z33" s="305"/>
      <c r="AA33" s="290"/>
      <c r="AK33" s="290"/>
      <c r="AL33" s="290"/>
      <c r="AM33" s="290"/>
      <c r="AN33" s="290"/>
    </row>
    <row r="34" spans="2:40" s="253" customFormat="1" hidden="1" x14ac:dyDescent="0.2">
      <c r="B34" s="286"/>
      <c r="J34" s="304">
        <f>SUM(J20:J31)</f>
        <v>72216644</v>
      </c>
      <c r="L34" s="306" t="s">
        <v>717</v>
      </c>
      <c r="M34" s="307"/>
      <c r="N34" s="308"/>
    </row>
    <row r="35" spans="2:40" s="253" customFormat="1" ht="12" hidden="1" thickBot="1" x14ac:dyDescent="0.25">
      <c r="B35" s="286"/>
      <c r="J35" s="305">
        <f>+J32-J34</f>
        <v>0</v>
      </c>
      <c r="L35" s="309" t="s">
        <v>718</v>
      </c>
      <c r="M35" s="310"/>
      <c r="N35" s="311"/>
    </row>
    <row r="36" spans="2:40" s="253" customFormat="1" ht="12" hidden="1" thickBot="1" x14ac:dyDescent="0.25">
      <c r="B36" s="286"/>
      <c r="D36" s="463" t="s">
        <v>506</v>
      </c>
      <c r="E36" s="464"/>
      <c r="F36" s="462"/>
      <c r="G36" s="462"/>
      <c r="H36" s="462"/>
      <c r="I36" s="462"/>
      <c r="J36" s="462"/>
      <c r="K36" s="462"/>
    </row>
    <row r="37" spans="2:40" s="253" customFormat="1" ht="68.45" hidden="1" customHeight="1" thickBot="1" x14ac:dyDescent="0.25">
      <c r="B37" s="286"/>
      <c r="D37" s="448" t="s">
        <v>342</v>
      </c>
      <c r="E37" s="449" t="s">
        <v>343</v>
      </c>
      <c r="F37" s="450" t="str">
        <f>"Estimación de Anticipo total a distribuir Año "&amp;RIGHT(PARAMETROS!B3,4)</f>
        <v>Estimación de Anticipo total a distribuir Año 2026</v>
      </c>
      <c r="G37" s="449" t="str">
        <f>"Monto Ley 19.704 - Isla de Pascua (D.E. 1.684 - 09/10/2014) Año 2025"</f>
        <v>Monto Ley 19.704 - Isla de Pascua (D.E. 1.684 - 09/10/2014) Año 2025</v>
      </c>
      <c r="H37" s="450" t="str">
        <f>"Monto neto a distribuir como Anticipo "&amp;RIGHT(PARAMETROS!B3,4)&amp;" antes de aplicación Glosa 08 (*)"</f>
        <v>Monto neto a distribuir como Anticipo 2026 antes de aplicación Glosa 08 (*)</v>
      </c>
      <c r="I37" s="449" t="str">
        <f>"Nuevo monto neto a distribuir como anticipo "&amp;RIGHT(PARAMETROS!B3,4)&amp;" una vez aplicada la glosa 08 (*)"</f>
        <v>Nuevo monto neto a distribuir como anticipo 2026 una vez aplicada la glosa 08 (*)</v>
      </c>
      <c r="J37" s="450" t="s">
        <v>509</v>
      </c>
      <c r="K37" s="449" t="s">
        <v>510</v>
      </c>
    </row>
    <row r="38" spans="2:40" s="253" customFormat="1" hidden="1" x14ac:dyDescent="0.2">
      <c r="B38" s="313">
        <f>+H38+G38-F38</f>
        <v>0</v>
      </c>
      <c r="C38" s="314">
        <f>+F38+G38+H38+I38+J38+K38-E2-F2-G2-M2-K2-L2</f>
        <v>-4.4703483581542969E-8</v>
      </c>
      <c r="D38" s="451" t="s">
        <v>481</v>
      </c>
      <c r="E38" s="452">
        <f t="shared" ref="E38:H49" si="24">+D2</f>
        <v>46030</v>
      </c>
      <c r="F38" s="453">
        <f t="shared" si="24"/>
        <v>84805299.734999999</v>
      </c>
      <c r="G38" s="454">
        <f t="shared" si="24"/>
        <v>2353142</v>
      </c>
      <c r="H38" s="453">
        <f t="shared" si="24"/>
        <v>82452157.734999999</v>
      </c>
      <c r="I38" s="454">
        <f>+H38+J38-K38</f>
        <v>130878992.735</v>
      </c>
      <c r="J38" s="453">
        <f t="shared" ref="J38:K49" si="25">+K2</f>
        <v>48426835</v>
      </c>
      <c r="K38" s="454">
        <f t="shared" si="25"/>
        <v>0</v>
      </c>
      <c r="M38" s="312"/>
      <c r="N38" s="312">
        <f t="shared" ref="N38:N49" si="26">+J38</f>
        <v>48426835</v>
      </c>
      <c r="O38" s="312">
        <f t="shared" ref="O38:O49" si="27">IF((K38-N38)&lt;0,0,K38-N38)</f>
        <v>0</v>
      </c>
      <c r="P38" s="282">
        <f>+N38-O38</f>
        <v>48426835</v>
      </c>
      <c r="AG38" s="312"/>
      <c r="AH38" s="312"/>
      <c r="AI38" s="312"/>
      <c r="AJ38" s="312"/>
    </row>
    <row r="39" spans="2:40" s="253" customFormat="1" hidden="1" x14ac:dyDescent="0.2">
      <c r="B39" s="313">
        <f t="shared" ref="B39:B49" si="28">+H39+G39-F39</f>
        <v>0</v>
      </c>
      <c r="C39" s="314">
        <f>+F39+G39+H39+I39+J39+K39-E3-F3-G3-M3-K3-L3</f>
        <v>-2.9802322387695313E-8</v>
      </c>
      <c r="D39" s="451" t="s">
        <v>482</v>
      </c>
      <c r="E39" s="452">
        <f t="shared" si="24"/>
        <v>46059</v>
      </c>
      <c r="F39" s="453">
        <f t="shared" si="24"/>
        <v>46198423.080000006</v>
      </c>
      <c r="G39" s="454">
        <f t="shared" si="24"/>
        <v>2353142</v>
      </c>
      <c r="H39" s="453">
        <f t="shared" si="24"/>
        <v>43845281.080000006</v>
      </c>
      <c r="I39" s="454">
        <f t="shared" ref="I39:I49" si="29">+H39+J39-K39</f>
        <v>130505734.08000001</v>
      </c>
      <c r="J39" s="453">
        <f t="shared" si="25"/>
        <v>86660453</v>
      </c>
      <c r="K39" s="454">
        <f t="shared" si="25"/>
        <v>0</v>
      </c>
      <c r="M39" s="312"/>
      <c r="N39" s="312">
        <f t="shared" si="26"/>
        <v>86660453</v>
      </c>
      <c r="O39" s="312">
        <f t="shared" si="27"/>
        <v>0</v>
      </c>
      <c r="P39" s="282">
        <f t="shared" ref="P39:P50" si="30">+N39-O39</f>
        <v>86660453</v>
      </c>
      <c r="AG39" s="312"/>
      <c r="AH39" s="312"/>
      <c r="AI39" s="312"/>
      <c r="AJ39" s="312"/>
    </row>
    <row r="40" spans="2:40" s="253" customFormat="1" hidden="1" x14ac:dyDescent="0.2">
      <c r="B40" s="313">
        <f t="shared" si="28"/>
        <v>0</v>
      </c>
      <c r="C40" s="314">
        <f t="shared" ref="C40:C49" si="31">+F40+G40+H40+I40+J40+K40-E4-F4-G4-M4-K4-L4</f>
        <v>0</v>
      </c>
      <c r="D40" s="451" t="s">
        <v>476</v>
      </c>
      <c r="E40" s="452">
        <f t="shared" si="24"/>
        <v>46087</v>
      </c>
      <c r="F40" s="453">
        <f t="shared" si="24"/>
        <v>127433843.685</v>
      </c>
      <c r="G40" s="454">
        <f t="shared" si="24"/>
        <v>2353142</v>
      </c>
      <c r="H40" s="453">
        <f t="shared" si="24"/>
        <v>125080701.685</v>
      </c>
      <c r="I40" s="454">
        <f t="shared" si="29"/>
        <v>125080701.685</v>
      </c>
      <c r="J40" s="453">
        <f t="shared" si="25"/>
        <v>0</v>
      </c>
      <c r="K40" s="454">
        <f t="shared" si="25"/>
        <v>0</v>
      </c>
      <c r="M40" s="312"/>
      <c r="N40" s="312">
        <f t="shared" si="26"/>
        <v>0</v>
      </c>
      <c r="O40" s="312">
        <f t="shared" si="27"/>
        <v>0</v>
      </c>
      <c r="P40" s="282">
        <f t="shared" si="30"/>
        <v>0</v>
      </c>
      <c r="AG40" s="312"/>
      <c r="AH40" s="312"/>
      <c r="AI40" s="312"/>
      <c r="AJ40" s="312"/>
    </row>
    <row r="41" spans="2:40" s="253" customFormat="1" hidden="1" x14ac:dyDescent="0.2">
      <c r="B41" s="313">
        <f t="shared" si="28"/>
        <v>0</v>
      </c>
      <c r="C41" s="314">
        <f t="shared" si="31"/>
        <v>0</v>
      </c>
      <c r="D41" s="451" t="s">
        <v>483</v>
      </c>
      <c r="E41" s="452">
        <f t="shared" si="24"/>
        <v>46120</v>
      </c>
      <c r="F41" s="453">
        <f t="shared" si="24"/>
        <v>68769047.86500001</v>
      </c>
      <c r="G41" s="454">
        <f t="shared" si="24"/>
        <v>2353142</v>
      </c>
      <c r="H41" s="453">
        <f t="shared" si="24"/>
        <v>66415905.86500001</v>
      </c>
      <c r="I41" s="454">
        <f t="shared" si="29"/>
        <v>130723955.86500001</v>
      </c>
      <c r="J41" s="453">
        <f t="shared" si="25"/>
        <v>64308050</v>
      </c>
      <c r="K41" s="454">
        <f t="shared" si="25"/>
        <v>0</v>
      </c>
      <c r="M41" s="312"/>
      <c r="N41" s="312">
        <f t="shared" si="26"/>
        <v>64308050</v>
      </c>
      <c r="O41" s="312">
        <f t="shared" si="27"/>
        <v>0</v>
      </c>
      <c r="P41" s="282">
        <f t="shared" si="30"/>
        <v>64308050</v>
      </c>
      <c r="AG41" s="312"/>
      <c r="AH41" s="312"/>
      <c r="AI41" s="312"/>
      <c r="AJ41" s="312"/>
    </row>
    <row r="42" spans="2:40" s="253" customFormat="1" hidden="1" x14ac:dyDescent="0.2">
      <c r="B42" s="313">
        <f t="shared" si="28"/>
        <v>0</v>
      </c>
      <c r="C42" s="314">
        <f t="shared" si="31"/>
        <v>2.384185791015625E-7</v>
      </c>
      <c r="D42" s="451" t="s">
        <v>478</v>
      </c>
      <c r="E42" s="452">
        <f t="shared" si="24"/>
        <v>46150</v>
      </c>
      <c r="F42" s="453">
        <f t="shared" si="24"/>
        <v>580295777.60000002</v>
      </c>
      <c r="G42" s="454">
        <f t="shared" si="24"/>
        <v>2353142</v>
      </c>
      <c r="H42" s="453">
        <f t="shared" si="24"/>
        <v>577942635.60000002</v>
      </c>
      <c r="I42" s="454">
        <f t="shared" si="29"/>
        <v>378547297.60000002</v>
      </c>
      <c r="J42" s="453">
        <f t="shared" si="25"/>
        <v>0</v>
      </c>
      <c r="K42" s="454">
        <f t="shared" si="25"/>
        <v>199395338</v>
      </c>
      <c r="M42" s="312"/>
      <c r="N42" s="312">
        <f t="shared" si="26"/>
        <v>0</v>
      </c>
      <c r="O42" s="312">
        <f t="shared" si="27"/>
        <v>199395338</v>
      </c>
      <c r="P42" s="282">
        <f t="shared" si="30"/>
        <v>-199395338</v>
      </c>
      <c r="AG42" s="312"/>
      <c r="AH42" s="312"/>
      <c r="AI42" s="312"/>
      <c r="AJ42" s="312"/>
    </row>
    <row r="43" spans="2:40" s="253" customFormat="1" hidden="1" x14ac:dyDescent="0.2">
      <c r="B43" s="313">
        <f t="shared" si="28"/>
        <v>0</v>
      </c>
      <c r="C43" s="314">
        <f t="shared" si="31"/>
        <v>4.4703483581542969E-8</v>
      </c>
      <c r="D43" s="451" t="s">
        <v>484</v>
      </c>
      <c r="E43" s="452">
        <f t="shared" si="24"/>
        <v>46178</v>
      </c>
      <c r="F43" s="453">
        <f t="shared" si="24"/>
        <v>116828811.2</v>
      </c>
      <c r="G43" s="454">
        <f t="shared" si="24"/>
        <v>2353142</v>
      </c>
      <c r="H43" s="453">
        <f t="shared" si="24"/>
        <v>114475669.2</v>
      </c>
      <c r="I43" s="454">
        <f t="shared" si="29"/>
        <v>131228652.2</v>
      </c>
      <c r="J43" s="453">
        <f t="shared" si="25"/>
        <v>16752983</v>
      </c>
      <c r="K43" s="454">
        <f t="shared" si="25"/>
        <v>0</v>
      </c>
      <c r="M43" s="312"/>
      <c r="N43" s="312">
        <f t="shared" si="26"/>
        <v>16752983</v>
      </c>
      <c r="O43" s="312">
        <f t="shared" si="27"/>
        <v>0</v>
      </c>
      <c r="P43" s="282">
        <f t="shared" si="30"/>
        <v>16752983</v>
      </c>
      <c r="AG43" s="312"/>
      <c r="AH43" s="312"/>
      <c r="AI43" s="312"/>
      <c r="AJ43" s="312"/>
    </row>
    <row r="44" spans="2:40" s="253" customFormat="1" hidden="1" x14ac:dyDescent="0.2">
      <c r="B44" s="313">
        <f t="shared" si="28"/>
        <v>0</v>
      </c>
      <c r="C44" s="314">
        <f t="shared" si="31"/>
        <v>0</v>
      </c>
      <c r="D44" s="451" t="s">
        <v>477</v>
      </c>
      <c r="E44" s="452">
        <f t="shared" si="24"/>
        <v>46210</v>
      </c>
      <c r="F44" s="453">
        <f t="shared" si="24"/>
        <v>229910397.85500002</v>
      </c>
      <c r="G44" s="454">
        <f t="shared" si="24"/>
        <v>2353142</v>
      </c>
      <c r="H44" s="453">
        <f t="shared" si="24"/>
        <v>227557255.85500002</v>
      </c>
      <c r="I44" s="454">
        <f t="shared" si="29"/>
        <v>212356201.85500002</v>
      </c>
      <c r="J44" s="453">
        <f t="shared" si="25"/>
        <v>0</v>
      </c>
      <c r="K44" s="454">
        <f t="shared" si="25"/>
        <v>15201054</v>
      </c>
      <c r="M44" s="312"/>
      <c r="N44" s="312">
        <f t="shared" si="26"/>
        <v>0</v>
      </c>
      <c r="O44" s="312">
        <f t="shared" si="27"/>
        <v>15201054</v>
      </c>
      <c r="P44" s="282">
        <f t="shared" si="30"/>
        <v>-15201054</v>
      </c>
      <c r="AG44" s="312"/>
      <c r="AH44" s="312"/>
      <c r="AI44" s="312"/>
      <c r="AJ44" s="312"/>
    </row>
    <row r="45" spans="2:40" s="253" customFormat="1" hidden="1" x14ac:dyDescent="0.2">
      <c r="B45" s="313">
        <f t="shared" si="28"/>
        <v>0</v>
      </c>
      <c r="C45" s="314">
        <f t="shared" si="31"/>
        <v>4.4703483581542969E-8</v>
      </c>
      <c r="D45" s="451" t="s">
        <v>485</v>
      </c>
      <c r="E45" s="452">
        <f t="shared" si="24"/>
        <v>46241</v>
      </c>
      <c r="F45" s="453">
        <f t="shared" si="24"/>
        <v>77518779.200000003</v>
      </c>
      <c r="G45" s="454">
        <f t="shared" si="24"/>
        <v>2353142</v>
      </c>
      <c r="H45" s="453">
        <f t="shared" si="24"/>
        <v>75165637.200000003</v>
      </c>
      <c r="I45" s="454">
        <f t="shared" si="29"/>
        <v>130808549.2</v>
      </c>
      <c r="J45" s="453">
        <f t="shared" si="25"/>
        <v>55642912</v>
      </c>
      <c r="K45" s="454">
        <f t="shared" si="25"/>
        <v>0</v>
      </c>
      <c r="M45" s="312"/>
      <c r="N45" s="312">
        <f t="shared" si="26"/>
        <v>55642912</v>
      </c>
      <c r="O45" s="312">
        <f t="shared" si="27"/>
        <v>0</v>
      </c>
      <c r="P45" s="282">
        <f t="shared" si="30"/>
        <v>55642912</v>
      </c>
      <c r="AG45" s="312"/>
      <c r="AH45" s="312"/>
      <c r="AI45" s="312"/>
      <c r="AJ45" s="312"/>
    </row>
    <row r="46" spans="2:40" s="253" customFormat="1" hidden="1" x14ac:dyDescent="0.2">
      <c r="B46" s="313">
        <f t="shared" si="28"/>
        <v>0</v>
      </c>
      <c r="C46" s="314">
        <f t="shared" si="31"/>
        <v>0</v>
      </c>
      <c r="D46" s="451" t="s">
        <v>486</v>
      </c>
      <c r="E46" s="452">
        <f t="shared" si="24"/>
        <v>46272</v>
      </c>
      <c r="F46" s="453">
        <f t="shared" si="24"/>
        <v>147863847.495</v>
      </c>
      <c r="G46" s="454">
        <f t="shared" si="24"/>
        <v>2353141</v>
      </c>
      <c r="H46" s="453">
        <f t="shared" si="24"/>
        <v>145510706.495</v>
      </c>
      <c r="I46" s="454">
        <f t="shared" si="29"/>
        <v>145510706.495</v>
      </c>
      <c r="J46" s="453">
        <f t="shared" si="25"/>
        <v>0</v>
      </c>
      <c r="K46" s="454">
        <f t="shared" si="25"/>
        <v>0</v>
      </c>
      <c r="M46" s="312"/>
      <c r="N46" s="312">
        <f t="shared" si="26"/>
        <v>0</v>
      </c>
      <c r="O46" s="312">
        <f t="shared" si="27"/>
        <v>0</v>
      </c>
      <c r="P46" s="282">
        <f t="shared" si="30"/>
        <v>0</v>
      </c>
      <c r="AG46" s="312"/>
      <c r="AH46" s="312"/>
      <c r="AI46" s="312"/>
      <c r="AJ46" s="312"/>
    </row>
    <row r="47" spans="2:40" s="253" customFormat="1" hidden="1" x14ac:dyDescent="0.2">
      <c r="B47" s="313">
        <f t="shared" si="28"/>
        <v>0</v>
      </c>
      <c r="C47" s="314">
        <f t="shared" si="31"/>
        <v>0</v>
      </c>
      <c r="D47" s="451" t="s">
        <v>487</v>
      </c>
      <c r="E47" s="452">
        <f t="shared" si="24"/>
        <v>46302</v>
      </c>
      <c r="F47" s="453">
        <f t="shared" si="24"/>
        <v>309374456</v>
      </c>
      <c r="G47" s="454">
        <f t="shared" si="24"/>
        <v>2353141</v>
      </c>
      <c r="H47" s="453">
        <f t="shared" si="24"/>
        <v>307021315</v>
      </c>
      <c r="I47" s="454">
        <f t="shared" si="29"/>
        <v>249826474</v>
      </c>
      <c r="J47" s="453">
        <f t="shared" si="25"/>
        <v>0</v>
      </c>
      <c r="K47" s="454">
        <f t="shared" si="25"/>
        <v>57194841</v>
      </c>
      <c r="M47" s="312"/>
      <c r="N47" s="312">
        <f t="shared" si="26"/>
        <v>0</v>
      </c>
      <c r="O47" s="312">
        <f t="shared" si="27"/>
        <v>57194841</v>
      </c>
      <c r="P47" s="282">
        <f t="shared" si="30"/>
        <v>-57194841</v>
      </c>
      <c r="AG47" s="312"/>
      <c r="AH47" s="312"/>
      <c r="AI47" s="312"/>
      <c r="AJ47" s="312"/>
    </row>
    <row r="48" spans="2:40" s="253" customFormat="1" hidden="1" x14ac:dyDescent="0.2">
      <c r="B48" s="313">
        <f t="shared" si="28"/>
        <v>0</v>
      </c>
      <c r="C48" s="314">
        <f t="shared" si="31"/>
        <v>0</v>
      </c>
      <c r="D48" s="451" t="s">
        <v>488</v>
      </c>
      <c r="E48" s="452">
        <f t="shared" si="24"/>
        <v>46332</v>
      </c>
      <c r="F48" s="453">
        <f t="shared" si="24"/>
        <v>116301879.24000001</v>
      </c>
      <c r="G48" s="454">
        <f t="shared" si="24"/>
        <v>2353141</v>
      </c>
      <c r="H48" s="453">
        <f t="shared" si="24"/>
        <v>113948738.24000001</v>
      </c>
      <c r="I48" s="454">
        <f t="shared" si="29"/>
        <v>131218382.24000001</v>
      </c>
      <c r="J48" s="453">
        <f t="shared" si="25"/>
        <v>17269644</v>
      </c>
      <c r="K48" s="454">
        <f t="shared" si="25"/>
        <v>0</v>
      </c>
      <c r="M48" s="312"/>
      <c r="N48" s="312">
        <f t="shared" si="26"/>
        <v>17269644</v>
      </c>
      <c r="O48" s="312">
        <f t="shared" si="27"/>
        <v>0</v>
      </c>
      <c r="P48" s="282">
        <f t="shared" si="30"/>
        <v>17269644</v>
      </c>
      <c r="AG48" s="312"/>
      <c r="AH48" s="312"/>
      <c r="AI48" s="312"/>
      <c r="AJ48" s="312"/>
    </row>
    <row r="49" spans="2:36" s="253" customFormat="1" ht="12" hidden="1" thickBot="1" x14ac:dyDescent="0.25">
      <c r="B49" s="313">
        <f t="shared" si="28"/>
        <v>0</v>
      </c>
      <c r="C49" s="314">
        <f t="shared" si="31"/>
        <v>-5.9604644775390625E-8</v>
      </c>
      <c r="D49" s="455" t="s">
        <v>489</v>
      </c>
      <c r="E49" s="456">
        <f t="shared" si="24"/>
        <v>46363</v>
      </c>
      <c r="F49" s="457">
        <f t="shared" si="24"/>
        <v>220710436.845</v>
      </c>
      <c r="G49" s="458">
        <f t="shared" si="24"/>
        <v>2353141</v>
      </c>
      <c r="H49" s="457">
        <f t="shared" si="24"/>
        <v>218357295.845</v>
      </c>
      <c r="I49" s="458">
        <f t="shared" si="29"/>
        <v>201087651.845</v>
      </c>
      <c r="J49" s="457">
        <f t="shared" si="25"/>
        <v>0</v>
      </c>
      <c r="K49" s="458">
        <f t="shared" si="25"/>
        <v>17269644</v>
      </c>
      <c r="M49" s="312"/>
      <c r="N49" s="312">
        <f t="shared" si="26"/>
        <v>0</v>
      </c>
      <c r="O49" s="312">
        <f t="shared" si="27"/>
        <v>17269644</v>
      </c>
      <c r="P49" s="282">
        <f t="shared" si="30"/>
        <v>-17269644</v>
      </c>
      <c r="AG49" s="312"/>
      <c r="AH49" s="312"/>
      <c r="AI49" s="312"/>
      <c r="AJ49" s="312"/>
    </row>
    <row r="50" spans="2:36" s="253" customFormat="1" ht="12" hidden="1" thickBot="1" x14ac:dyDescent="0.25">
      <c r="B50" s="286"/>
      <c r="D50" s="576" t="s">
        <v>320</v>
      </c>
      <c r="E50" s="577"/>
      <c r="F50" s="459">
        <f t="shared" ref="F50:K50" si="32">SUM(F38:F49)</f>
        <v>2126010999.8000002</v>
      </c>
      <c r="G50" s="459">
        <f t="shared" si="32"/>
        <v>28237700</v>
      </c>
      <c r="H50" s="459">
        <f t="shared" si="32"/>
        <v>2097773299.8000002</v>
      </c>
      <c r="I50" s="459">
        <f t="shared" si="32"/>
        <v>2097773299.8000002</v>
      </c>
      <c r="J50" s="459">
        <f t="shared" si="32"/>
        <v>289060877</v>
      </c>
      <c r="K50" s="460">
        <f t="shared" si="32"/>
        <v>289060877</v>
      </c>
      <c r="M50" s="312"/>
      <c r="N50" s="312">
        <f>SUM(N38:N49)</f>
        <v>289060877</v>
      </c>
      <c r="O50" s="312">
        <f>SUM(O38:O49)</f>
        <v>289060877</v>
      </c>
      <c r="P50" s="253">
        <f t="shared" si="30"/>
        <v>0</v>
      </c>
      <c r="AG50" s="312"/>
      <c r="AH50" s="312"/>
      <c r="AI50" s="312"/>
      <c r="AJ50" s="312"/>
    </row>
    <row r="51" spans="2:36" s="253" customFormat="1" hidden="1" x14ac:dyDescent="0.2">
      <c r="B51" s="286"/>
      <c r="D51" s="461" t="s">
        <v>541</v>
      </c>
      <c r="E51" s="462"/>
      <c r="F51" s="462"/>
      <c r="G51" s="462"/>
      <c r="H51" s="462"/>
      <c r="I51" s="462"/>
      <c r="J51" s="462"/>
      <c r="K51" s="462"/>
    </row>
    <row r="52" spans="2:36" s="253" customFormat="1" hidden="1" x14ac:dyDescent="0.2">
      <c r="B52" s="286"/>
    </row>
    <row r="53" spans="2:36" s="253" customFormat="1" hidden="1" x14ac:dyDescent="0.2">
      <c r="B53" s="286"/>
    </row>
    <row r="54" spans="2:36" s="253" customFormat="1" hidden="1" x14ac:dyDescent="0.2">
      <c r="B54" s="286"/>
      <c r="H54" s="440" t="s">
        <v>41</v>
      </c>
      <c r="I54" s="441" t="s">
        <v>613</v>
      </c>
      <c r="J54" s="440" t="s">
        <v>715</v>
      </c>
    </row>
    <row r="55" spans="2:36" s="253" customFormat="1" hidden="1" x14ac:dyDescent="0.2">
      <c r="B55" s="286"/>
      <c r="H55" s="442">
        <v>2020</v>
      </c>
      <c r="I55" s="443">
        <v>123236135</v>
      </c>
      <c r="J55" s="444"/>
      <c r="M55" s="312"/>
      <c r="N55" s="312"/>
      <c r="O55" s="312"/>
      <c r="P55" s="312"/>
      <c r="AG55" s="312"/>
      <c r="AH55" s="312"/>
    </row>
    <row r="56" spans="2:36" s="253" customFormat="1" hidden="1" x14ac:dyDescent="0.2">
      <c r="B56" s="286"/>
      <c r="H56" s="442">
        <v>2021</v>
      </c>
      <c r="I56" s="443">
        <v>153569397</v>
      </c>
      <c r="J56" s="445">
        <f>+I56/I55-1</f>
        <v>0.24613934865776188</v>
      </c>
      <c r="K56" s="282">
        <f>+I56-I55</f>
        <v>30333262</v>
      </c>
      <c r="M56" s="312"/>
      <c r="N56" s="312"/>
      <c r="O56" s="312"/>
      <c r="P56" s="312"/>
      <c r="AG56" s="312"/>
      <c r="AH56" s="312"/>
    </row>
    <row r="57" spans="2:36" s="253" customFormat="1" hidden="1" x14ac:dyDescent="0.2">
      <c r="B57" s="286"/>
      <c r="H57" s="442">
        <v>2022</v>
      </c>
      <c r="I57" s="446">
        <v>132898720</v>
      </c>
      <c r="J57" s="445">
        <f t="shared" ref="J57:J61" si="33">+I57/I56-1</f>
        <v>-0.13460153783113438</v>
      </c>
      <c r="K57" s="282">
        <f t="shared" ref="K57:K61" si="34">+I57-I56</f>
        <v>-20670677</v>
      </c>
      <c r="M57" s="312"/>
      <c r="N57" s="312"/>
      <c r="O57" s="312"/>
      <c r="P57" s="312"/>
      <c r="AG57" s="312"/>
      <c r="AH57" s="312"/>
    </row>
    <row r="58" spans="2:36" s="253" customFormat="1" hidden="1" x14ac:dyDescent="0.2">
      <c r="B58" s="286"/>
      <c r="H58" s="442">
        <v>2023</v>
      </c>
      <c r="I58" s="446">
        <v>145278048</v>
      </c>
      <c r="J58" s="445">
        <f t="shared" si="33"/>
        <v>9.3148587134624039E-2</v>
      </c>
      <c r="K58" s="282">
        <f t="shared" si="34"/>
        <v>12379328</v>
      </c>
      <c r="M58" s="312"/>
      <c r="N58" s="312"/>
      <c r="O58" s="312"/>
      <c r="P58" s="312"/>
      <c r="AG58" s="312"/>
      <c r="AH58" s="312"/>
    </row>
    <row r="59" spans="2:36" s="253" customFormat="1" hidden="1" x14ac:dyDescent="0.2">
      <c r="B59" s="286"/>
      <c r="H59" s="442">
        <v>2024</v>
      </c>
      <c r="I59" s="447">
        <v>222970966</v>
      </c>
      <c r="J59" s="445">
        <f t="shared" si="33"/>
        <v>0.5347877333814397</v>
      </c>
      <c r="K59" s="282">
        <f t="shared" si="34"/>
        <v>77692918</v>
      </c>
      <c r="M59" s="312"/>
      <c r="N59" s="312"/>
      <c r="O59" s="312"/>
      <c r="P59" s="312"/>
      <c r="AG59" s="312"/>
      <c r="AH59" s="312"/>
    </row>
    <row r="60" spans="2:36" s="253" customFormat="1" hidden="1" x14ac:dyDescent="0.2">
      <c r="B60" s="286"/>
      <c r="H60" s="442">
        <v>2025</v>
      </c>
      <c r="I60" s="447">
        <v>254731175</v>
      </c>
      <c r="J60" s="445">
        <f t="shared" si="33"/>
        <v>0.14244100731931164</v>
      </c>
      <c r="K60" s="282">
        <f t="shared" si="34"/>
        <v>31760209</v>
      </c>
      <c r="M60" s="312"/>
      <c r="N60" s="312"/>
      <c r="O60" s="312"/>
      <c r="P60" s="312"/>
      <c r="AG60" s="312"/>
      <c r="AH60" s="312"/>
    </row>
    <row r="61" spans="2:36" s="253" customFormat="1" hidden="1" x14ac:dyDescent="0.2">
      <c r="B61" s="286"/>
      <c r="H61" s="442">
        <v>2026</v>
      </c>
      <c r="I61" s="447">
        <f>+J50</f>
        <v>289060877</v>
      </c>
      <c r="J61" s="445">
        <f t="shared" si="33"/>
        <v>0.13476835726918779</v>
      </c>
      <c r="K61" s="282">
        <f t="shared" si="34"/>
        <v>34329702</v>
      </c>
      <c r="L61" s="548"/>
      <c r="M61" s="312"/>
      <c r="N61" s="312"/>
      <c r="O61" s="312"/>
      <c r="P61" s="312"/>
      <c r="AG61" s="312"/>
      <c r="AH61" s="312"/>
    </row>
    <row r="62" spans="2:36" s="253" customFormat="1" hidden="1" x14ac:dyDescent="0.2">
      <c r="M62" s="312"/>
      <c r="N62" s="312"/>
      <c r="O62" s="312"/>
      <c r="P62" s="312"/>
      <c r="AG62" s="312"/>
      <c r="AH62" s="312"/>
    </row>
    <row r="63" spans="2:36" s="253" customFormat="1" hidden="1" x14ac:dyDescent="0.2">
      <c r="M63" s="312"/>
      <c r="N63" s="312"/>
      <c r="O63" s="312"/>
      <c r="P63" s="312"/>
      <c r="AG63" s="312"/>
      <c r="AH63" s="312"/>
    </row>
    <row r="64" spans="2:36" s="253" customFormat="1" hidden="1" x14ac:dyDescent="0.2">
      <c r="M64" s="312"/>
      <c r="N64" s="312"/>
      <c r="O64" s="312"/>
      <c r="P64" s="312"/>
      <c r="AG64" s="312"/>
      <c r="AH64" s="312"/>
    </row>
    <row r="65" spans="4:34" s="253" customFormat="1" ht="15" hidden="1" x14ac:dyDescent="0.25">
      <c r="D65" s="201"/>
      <c r="E65" s="201"/>
      <c r="F65" s="201"/>
      <c r="G65" s="201"/>
      <c r="H65" s="201"/>
      <c r="I65" s="201"/>
      <c r="J65" s="201"/>
      <c r="K65" s="201"/>
      <c r="M65" s="312"/>
      <c r="N65" s="312"/>
      <c r="O65" s="312"/>
      <c r="P65" s="312"/>
      <c r="AG65" s="312"/>
      <c r="AH65" s="312"/>
    </row>
    <row r="66" spans="4:34" s="253" customFormat="1" ht="15" hidden="1" x14ac:dyDescent="0.25">
      <c r="D66" s="201"/>
      <c r="E66" s="201"/>
      <c r="F66" s="201"/>
      <c r="G66" s="201"/>
      <c r="H66" s="201"/>
      <c r="I66" s="201"/>
      <c r="J66" s="201"/>
      <c r="K66" s="201"/>
      <c r="M66" s="312"/>
      <c r="N66" s="312"/>
      <c r="O66" s="312"/>
      <c r="P66" s="312"/>
      <c r="AG66" s="312"/>
      <c r="AH66" s="312"/>
    </row>
    <row r="67" spans="4:34" s="253" customFormat="1" ht="15" hidden="1" x14ac:dyDescent="0.25">
      <c r="D67" s="201"/>
      <c r="E67" s="549"/>
      <c r="F67" s="212"/>
      <c r="G67" s="212"/>
      <c r="H67" s="212"/>
      <c r="I67" s="212"/>
      <c r="J67" s="212"/>
      <c r="K67" s="201"/>
      <c r="M67" s="312"/>
      <c r="N67" s="312"/>
      <c r="O67" s="312"/>
      <c r="P67" s="312"/>
      <c r="AG67" s="312"/>
      <c r="AH67" s="312"/>
    </row>
    <row r="68" spans="4:34" s="253" customFormat="1" ht="15" hidden="1" x14ac:dyDescent="0.25">
      <c r="D68" s="201"/>
      <c r="E68" s="549"/>
      <c r="F68" s="212"/>
      <c r="G68" s="212"/>
      <c r="H68" s="212"/>
      <c r="I68" s="212"/>
      <c r="J68" s="212"/>
      <c r="K68" s="201"/>
      <c r="M68" s="312"/>
    </row>
    <row r="69" spans="4:34" s="253" customFormat="1" ht="15" hidden="1" x14ac:dyDescent="0.25">
      <c r="D69" s="201"/>
      <c r="E69" s="549"/>
      <c r="F69" s="212"/>
      <c r="G69" s="212"/>
      <c r="H69" s="212"/>
      <c r="I69" s="212"/>
      <c r="J69" s="201"/>
      <c r="K69" s="201"/>
      <c r="M69" s="312"/>
    </row>
    <row r="70" spans="4:34" s="253" customFormat="1" ht="15" hidden="1" x14ac:dyDescent="0.25">
      <c r="D70" s="201"/>
      <c r="E70" s="549"/>
      <c r="F70" s="212"/>
      <c r="G70" s="212"/>
      <c r="H70" s="212"/>
      <c r="I70" s="212"/>
      <c r="J70" s="212"/>
      <c r="K70" s="201"/>
      <c r="M70" s="312"/>
    </row>
    <row r="71" spans="4:34" s="253" customFormat="1" ht="15" hidden="1" x14ac:dyDescent="0.25">
      <c r="D71" s="201"/>
      <c r="E71" s="549"/>
      <c r="F71" s="212"/>
      <c r="G71" s="212"/>
      <c r="H71" s="212"/>
      <c r="I71" s="212"/>
      <c r="J71" s="201"/>
      <c r="K71" s="212"/>
      <c r="M71" s="312"/>
    </row>
    <row r="72" spans="4:34" s="253" customFormat="1" ht="15" hidden="1" x14ac:dyDescent="0.25">
      <c r="D72" s="201"/>
      <c r="E72" s="549"/>
      <c r="F72" s="212"/>
      <c r="G72" s="212"/>
      <c r="H72" s="212"/>
      <c r="I72" s="212"/>
      <c r="J72" s="212"/>
      <c r="K72" s="201"/>
      <c r="M72" s="312"/>
    </row>
    <row r="73" spans="4:34" s="253" customFormat="1" ht="15" hidden="1" x14ac:dyDescent="0.25">
      <c r="D73" s="201"/>
      <c r="E73" s="549"/>
      <c r="F73" s="212"/>
      <c r="G73" s="212"/>
      <c r="H73" s="212"/>
      <c r="I73" s="212"/>
      <c r="J73" s="201"/>
      <c r="K73" s="212"/>
    </row>
    <row r="74" spans="4:34" s="253" customFormat="1" ht="15" hidden="1" x14ac:dyDescent="0.25">
      <c r="D74" s="201"/>
      <c r="E74" s="549"/>
      <c r="F74" s="212"/>
      <c r="G74" s="212"/>
      <c r="H74" s="212"/>
      <c r="I74" s="212"/>
      <c r="J74" s="212"/>
      <c r="K74" s="201"/>
    </row>
    <row r="75" spans="4:34" s="253" customFormat="1" ht="15" hidden="1" x14ac:dyDescent="0.25">
      <c r="D75" s="201"/>
      <c r="E75" s="549"/>
      <c r="F75" s="212"/>
      <c r="G75" s="212"/>
      <c r="H75" s="212"/>
      <c r="I75" s="212"/>
      <c r="J75" s="201"/>
      <c r="K75" s="201"/>
    </row>
    <row r="76" spans="4:34" s="253" customFormat="1" ht="15" hidden="1" x14ac:dyDescent="0.25">
      <c r="D76" s="201"/>
      <c r="E76" s="549"/>
      <c r="F76" s="212"/>
      <c r="G76" s="212"/>
      <c r="H76" s="212"/>
      <c r="I76" s="212"/>
      <c r="J76" s="201"/>
      <c r="K76" s="212"/>
    </row>
    <row r="77" spans="4:34" s="253" customFormat="1" ht="15" hidden="1" x14ac:dyDescent="0.25">
      <c r="D77" s="201"/>
      <c r="E77" s="549"/>
      <c r="F77" s="212"/>
      <c r="G77" s="212"/>
      <c r="H77" s="212"/>
      <c r="I77" s="212"/>
      <c r="J77" s="212"/>
      <c r="K77" s="201"/>
    </row>
    <row r="78" spans="4:34" s="253" customFormat="1" ht="15" hidden="1" x14ac:dyDescent="0.25">
      <c r="D78" s="201"/>
      <c r="E78" s="549"/>
      <c r="F78" s="212"/>
      <c r="G78" s="212"/>
      <c r="H78" s="212"/>
      <c r="I78" s="212"/>
      <c r="J78" s="201"/>
      <c r="K78" s="212"/>
    </row>
    <row r="79" spans="4:34" s="253" customFormat="1" ht="15" hidden="1" x14ac:dyDescent="0.25">
      <c r="D79" s="201"/>
      <c r="E79" s="201"/>
      <c r="F79" s="212"/>
      <c r="G79" s="212"/>
      <c r="H79" s="212"/>
      <c r="I79" s="212"/>
      <c r="J79" s="212"/>
      <c r="K79" s="212"/>
    </row>
    <row r="80" spans="4:34" s="253" customFormat="1" ht="15" hidden="1" x14ac:dyDescent="0.25">
      <c r="D80" s="201"/>
      <c r="E80" s="201"/>
      <c r="F80" s="550"/>
      <c r="G80" s="550"/>
      <c r="H80" s="550"/>
      <c r="I80" s="550"/>
      <c r="J80" s="550"/>
      <c r="K80" s="550"/>
    </row>
    <row r="81" spans="2:11" s="253" customFormat="1" ht="15" hidden="1" x14ac:dyDescent="0.25">
      <c r="D81" s="201"/>
      <c r="E81" s="201"/>
      <c r="F81" s="211"/>
      <c r="G81" s="211"/>
      <c r="H81" s="201"/>
      <c r="I81" s="201"/>
      <c r="J81" s="201"/>
      <c r="K81" s="201"/>
    </row>
    <row r="82" spans="2:11" s="253" customFormat="1" ht="15" hidden="1" x14ac:dyDescent="0.25">
      <c r="D82" s="201"/>
      <c r="E82" s="201"/>
      <c r="F82" s="201"/>
      <c r="G82" s="201"/>
      <c r="H82" s="201"/>
      <c r="I82" s="201"/>
      <c r="J82" s="201"/>
      <c r="K82" s="201"/>
    </row>
    <row r="83" spans="2:11" s="253" customFormat="1" ht="15" hidden="1" x14ac:dyDescent="0.25">
      <c r="D83" s="201"/>
      <c r="E83" s="201"/>
      <c r="F83" s="201"/>
      <c r="G83" s="201"/>
      <c r="H83" s="201"/>
      <c r="I83" s="201"/>
      <c r="J83" s="201"/>
      <c r="K83" s="201"/>
    </row>
    <row r="84" spans="2:11" s="253" customFormat="1" ht="15" hidden="1" x14ac:dyDescent="0.25">
      <c r="D84" s="201"/>
      <c r="E84" s="201"/>
      <c r="F84" s="201"/>
      <c r="G84" s="201"/>
      <c r="H84" s="201"/>
      <c r="I84" s="201"/>
      <c r="J84" s="201"/>
      <c r="K84" s="201"/>
    </row>
    <row r="85" spans="2:11" s="253" customFormat="1" ht="15" hidden="1" x14ac:dyDescent="0.25">
      <c r="B85" s="315"/>
      <c r="D85" s="201"/>
      <c r="E85" s="201"/>
      <c r="F85" s="201"/>
      <c r="G85" s="201"/>
      <c r="H85" s="201"/>
      <c r="I85" s="201"/>
      <c r="J85" s="201"/>
      <c r="K85" s="201"/>
    </row>
    <row r="86" spans="2:11" s="253" customFormat="1" ht="15" hidden="1" x14ac:dyDescent="0.25">
      <c r="B86" s="315"/>
      <c r="D86" s="201"/>
      <c r="E86" s="201"/>
      <c r="F86" s="201"/>
      <c r="G86" s="201"/>
      <c r="H86" s="201"/>
      <c r="I86" s="201"/>
      <c r="J86" s="201"/>
      <c r="K86" s="201"/>
    </row>
    <row r="87" spans="2:11" s="253" customFormat="1" ht="15" hidden="1" x14ac:dyDescent="0.25">
      <c r="B87" s="315"/>
      <c r="D87" s="201"/>
      <c r="E87" s="201"/>
      <c r="F87" s="201"/>
      <c r="G87" s="201"/>
      <c r="H87" s="201"/>
      <c r="I87" s="201"/>
      <c r="J87" s="201"/>
      <c r="K87" s="201"/>
    </row>
    <row r="88" spans="2:11" s="253" customFormat="1" ht="15" hidden="1" x14ac:dyDescent="0.25">
      <c r="B88" s="315"/>
      <c r="D88" s="201"/>
      <c r="E88" s="201"/>
      <c r="F88" s="201"/>
      <c r="G88" s="201"/>
      <c r="H88" s="201"/>
      <c r="I88" s="201"/>
      <c r="J88" s="201"/>
      <c r="K88" s="201"/>
    </row>
    <row r="89" spans="2:11" s="253" customFormat="1" ht="15" hidden="1" x14ac:dyDescent="0.25">
      <c r="B89" s="315"/>
      <c r="D89" s="201"/>
      <c r="E89" s="201"/>
      <c r="F89" s="201"/>
      <c r="G89" s="201"/>
      <c r="H89" s="201"/>
      <c r="I89" s="201"/>
      <c r="J89" s="201"/>
      <c r="K89" s="201"/>
    </row>
    <row r="90" spans="2:11" s="253" customFormat="1" ht="15" hidden="1" x14ac:dyDescent="0.25">
      <c r="B90" s="315"/>
      <c r="D90" s="201"/>
      <c r="E90" s="201"/>
      <c r="F90" s="201"/>
      <c r="G90" s="201"/>
      <c r="H90" s="201"/>
      <c r="I90" s="201"/>
      <c r="J90" s="201"/>
      <c r="K90" s="201"/>
    </row>
    <row r="91" spans="2:11" s="253" customFormat="1" ht="15" hidden="1" x14ac:dyDescent="0.25">
      <c r="B91" s="315"/>
      <c r="D91" s="201"/>
      <c r="E91" s="201"/>
      <c r="F91" s="201"/>
      <c r="G91" s="201"/>
      <c r="H91" s="201"/>
      <c r="I91" s="201"/>
      <c r="J91" s="201"/>
      <c r="K91" s="201"/>
    </row>
    <row r="92" spans="2:11" s="253" customFormat="1" ht="15" hidden="1" x14ac:dyDescent="0.25">
      <c r="B92" s="315"/>
      <c r="D92" s="201"/>
      <c r="E92" s="201"/>
      <c r="F92" s="201"/>
      <c r="G92" s="201"/>
      <c r="H92" s="201"/>
      <c r="I92" s="201"/>
      <c r="J92" s="201"/>
      <c r="K92" s="201"/>
    </row>
    <row r="93" spans="2:11" s="253" customFormat="1" ht="15" hidden="1" x14ac:dyDescent="0.25">
      <c r="B93" s="315"/>
      <c r="D93" s="201"/>
      <c r="E93" s="201"/>
      <c r="F93" s="201"/>
      <c r="G93" s="201"/>
      <c r="H93" s="201"/>
      <c r="I93" s="201"/>
      <c r="J93" s="201"/>
      <c r="K93" s="201"/>
    </row>
    <row r="94" spans="2:11" s="253" customFormat="1" ht="15" hidden="1" x14ac:dyDescent="0.25">
      <c r="B94" s="315"/>
      <c r="D94" s="201"/>
      <c r="E94" s="201"/>
      <c r="F94" s="201"/>
      <c r="G94" s="201"/>
      <c r="H94" s="201"/>
      <c r="I94" s="201"/>
      <c r="J94" s="201"/>
      <c r="K94" s="201"/>
    </row>
    <row r="95" spans="2:11" ht="15" hidden="1" x14ac:dyDescent="0.25">
      <c r="B95" s="279"/>
      <c r="D95" s="201"/>
      <c r="E95" s="201"/>
      <c r="F95" s="201"/>
      <c r="G95" s="201"/>
      <c r="H95" s="201"/>
      <c r="I95" s="201"/>
      <c r="J95" s="201"/>
      <c r="K95" s="201"/>
    </row>
    <row r="96" spans="2:11" ht="15" hidden="1" x14ac:dyDescent="0.25">
      <c r="B96" s="279"/>
      <c r="D96" s="201"/>
      <c r="E96" s="201"/>
      <c r="F96" s="201"/>
      <c r="G96" s="201"/>
      <c r="H96" s="201"/>
      <c r="I96" s="201"/>
      <c r="J96" s="201"/>
      <c r="K96" s="201"/>
    </row>
    <row r="97" spans="4:11" ht="15" hidden="1" x14ac:dyDescent="0.25">
      <c r="D97" s="201"/>
      <c r="E97" s="201"/>
      <c r="F97" s="201"/>
      <c r="G97" s="201"/>
      <c r="H97" s="201"/>
      <c r="I97" s="201"/>
      <c r="J97" s="201"/>
      <c r="K97" s="201"/>
    </row>
    <row r="98" spans="4:11" ht="15" hidden="1" x14ac:dyDescent="0.25">
      <c r="D98" s="201"/>
      <c r="E98" s="201"/>
      <c r="F98" s="201"/>
      <c r="G98" s="201"/>
      <c r="H98" s="201"/>
      <c r="I98" s="201"/>
      <c r="J98" s="201"/>
      <c r="K98" s="201"/>
    </row>
    <row r="99" spans="4:11" hidden="1" x14ac:dyDescent="0.2">
      <c r="D99" s="253"/>
      <c r="E99" s="253"/>
      <c r="F99" s="253"/>
      <c r="G99" s="253"/>
      <c r="H99" s="253"/>
      <c r="I99" s="253"/>
      <c r="J99" s="253"/>
      <c r="K99" s="253"/>
    </row>
    <row r="100" spans="4:11" hidden="1" x14ac:dyDescent="0.2">
      <c r="D100" s="253"/>
      <c r="E100" s="253"/>
      <c r="F100" s="253"/>
      <c r="G100" s="253"/>
      <c r="H100" s="253"/>
      <c r="I100" s="253"/>
      <c r="J100" s="253"/>
      <c r="K100" s="253"/>
    </row>
    <row r="101" spans="4:11" hidden="1" x14ac:dyDescent="0.2">
      <c r="D101" s="253"/>
      <c r="E101" s="253"/>
      <c r="F101" s="253"/>
      <c r="G101" s="253"/>
      <c r="H101" s="253"/>
      <c r="I101" s="253"/>
      <c r="J101" s="253"/>
      <c r="K101" s="253"/>
    </row>
    <row r="102" spans="4:11" hidden="1" x14ac:dyDescent="0.2">
      <c r="D102" s="253"/>
      <c r="E102" s="253"/>
      <c r="F102" s="253"/>
      <c r="G102" s="253"/>
      <c r="H102" s="253"/>
      <c r="I102" s="253"/>
      <c r="J102" s="253"/>
      <c r="K102" s="253"/>
    </row>
    <row r="103" spans="4:11" hidden="1" x14ac:dyDescent="0.2">
      <c r="D103" s="253"/>
      <c r="E103" s="253"/>
      <c r="F103" s="253"/>
      <c r="G103" s="253"/>
      <c r="H103" s="253"/>
      <c r="I103" s="253"/>
      <c r="J103" s="253"/>
      <c r="K103" s="253"/>
    </row>
    <row r="104" spans="4:11" hidden="1" x14ac:dyDescent="0.2">
      <c r="D104" s="253"/>
      <c r="E104" s="253"/>
      <c r="F104" s="253"/>
      <c r="G104" s="253"/>
      <c r="H104" s="253"/>
      <c r="I104" s="253"/>
      <c r="J104" s="253"/>
      <c r="K104" s="253"/>
    </row>
    <row r="105" spans="4:11" hidden="1" x14ac:dyDescent="0.2">
      <c r="D105" s="253"/>
      <c r="E105" s="253"/>
      <c r="F105" s="253"/>
      <c r="G105" s="253"/>
      <c r="H105" s="253"/>
      <c r="I105" s="253"/>
      <c r="J105" s="253"/>
      <c r="K105" s="253"/>
    </row>
  </sheetData>
  <sheetProtection formatCells="0" formatColumns="0" formatRows="0" insertColumns="0" insertRows="0" insertHyperlinks="0" deleteColumns="0" deleteRows="0" sort="0" autoFilter="0" pivotTables="0"/>
  <mergeCells count="2">
    <mergeCell ref="D18:G18"/>
    <mergeCell ref="D50:E50"/>
  </mergeCells>
  <phoneticPr fontId="9" type="noConversion"/>
  <conditionalFormatting sqref="L20:L31">
    <cfRule type="dataBar" priority="1">
      <dataBar>
        <cfvo type="min"/>
        <cfvo type="max"/>
        <color rgb="FFFFB628"/>
      </dataBar>
      <extLst>
        <ext xmlns:x14="http://schemas.microsoft.com/office/spreadsheetml/2009/9/main" uri="{B025F937-C7B1-47D3-B67F-A62EFF666E3E}">
          <x14:id>{1FE87E78-61BA-4939-AE44-CA0634BD033C}</x14:id>
        </ext>
      </extLst>
    </cfRule>
  </conditionalFormatting>
  <pageMargins left="0.22" right="0.17" top="0.74803149606299213" bottom="0.74803149606299213" header="0.31496062992125984" footer="0.31496062992125984"/>
  <pageSetup scale="63" fitToHeight="0" orientation="landscape" r:id="rId1"/>
  <extLst>
    <ext xmlns:x14="http://schemas.microsoft.com/office/spreadsheetml/2009/9/main" uri="{78C0D931-6437-407d-A8EE-F0AAD7539E65}">
      <x14:conditionalFormattings>
        <x14:conditionalFormatting xmlns:xm="http://schemas.microsoft.com/office/excel/2006/main">
          <x14:cfRule type="dataBar" id="{1FE87E78-61BA-4939-AE44-CA0634BD033C}">
            <x14:dataBar minLength="0" maxLength="100" border="1" negativeBarBorderColorSameAsPositive="0">
              <x14:cfvo type="autoMin"/>
              <x14:cfvo type="autoMax"/>
              <x14:borderColor rgb="FFFFB628"/>
              <x14:negativeFillColor rgb="FFFF0000"/>
              <x14:negativeBorderColor rgb="FFFF0000"/>
              <x14:axisColor rgb="FF000000"/>
            </x14:dataBar>
          </x14:cfRule>
          <xm:sqref>L20:L31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tabColor theme="0"/>
  </sheetPr>
  <dimension ref="A1:XFA357"/>
  <sheetViews>
    <sheetView showOutlineSymbols="0" showWhiteSpace="0" workbookViewId="0"/>
  </sheetViews>
  <sheetFormatPr baseColWidth="10" defaultColWidth="11.140625" defaultRowHeight="15" zeroHeight="1" x14ac:dyDescent="0.25"/>
  <cols>
    <col min="1" max="2" width="12.140625" style="639" customWidth="1"/>
    <col min="3" max="3" width="28.85546875" style="639" bestFit="1" customWidth="1"/>
    <col min="4" max="4" width="16.140625" style="639" customWidth="1"/>
    <col min="5" max="5" width="19.140625" style="639" customWidth="1"/>
    <col min="6" max="6" width="21.85546875" style="639" bestFit="1" customWidth="1"/>
    <col min="7" max="7" width="20" style="639" customWidth="1"/>
    <col min="8" max="8" width="20.140625" style="639" customWidth="1"/>
    <col min="9" max="9" width="17" style="639" customWidth="1"/>
    <col min="10" max="10" width="15.7109375" style="639" customWidth="1"/>
    <col min="11" max="11" width="17.140625" style="639" customWidth="1"/>
    <col min="12" max="12" width="17.85546875" style="639" customWidth="1"/>
    <col min="13" max="13" width="18.28515625" style="639" bestFit="1" customWidth="1"/>
    <col min="14" max="14" width="14.5703125" style="639" customWidth="1"/>
    <col min="15" max="15" width="18.28515625" style="639" bestFit="1" customWidth="1"/>
    <col min="16" max="16" width="14.85546875" style="639" customWidth="1"/>
    <col min="17" max="18" width="20.5703125" style="639" bestFit="1" customWidth="1"/>
    <col min="19" max="19" width="19.140625" style="639" customWidth="1"/>
    <col min="20" max="20" width="18.5703125" style="639" bestFit="1" customWidth="1"/>
    <col min="21" max="21" width="19.5703125" style="639" bestFit="1" customWidth="1"/>
    <col min="22" max="22" width="18.140625" style="639" customWidth="1"/>
    <col min="23" max="23" width="16.85546875" style="639" customWidth="1"/>
    <col min="24" max="24" width="16.85546875" style="215" hidden="1" customWidth="1"/>
    <col min="25" max="26" width="11.140625" style="215" hidden="1" customWidth="1"/>
    <col min="27" max="27" width="11.85546875" style="215" hidden="1" customWidth="1"/>
    <col min="28" max="28" width="11.140625" style="215" hidden="1" customWidth="1"/>
    <col min="29" max="29" width="8.85546875" style="639" hidden="1" customWidth="1"/>
    <col min="30" max="30" width="17.85546875" style="639" hidden="1" customWidth="1"/>
    <col min="31" max="31" width="11.140625" style="316" hidden="1" customWidth="1"/>
    <col min="32" max="16381" width="11.140625" style="639" hidden="1" customWidth="1"/>
    <col min="16382" max="16384" width="0" style="639" hidden="1" customWidth="1"/>
  </cols>
  <sheetData>
    <row r="1" spans="1:30" s="639" customFormat="1" ht="18.75" x14ac:dyDescent="0.3">
      <c r="A1" s="635"/>
      <c r="B1" s="636" t="str">
        <f>"MECANISMO ESTABILIZACIÓN Y MONTO FINAL ESTIMADO FONDO COMÚN MUNICIPAL "&amp;PARAMETROS!B3</f>
        <v>MECANISMO ESTABILIZACIÓN Y MONTO FINAL ESTIMADO FONDO COMÚN MUNICIPAL FCM 2026</v>
      </c>
      <c r="C1" s="636"/>
      <c r="D1" s="636"/>
      <c r="E1" s="636"/>
      <c r="F1" s="636"/>
      <c r="G1" s="637"/>
      <c r="H1" s="637"/>
      <c r="I1" s="638" t="str">
        <f>+PARAMETROS!H3</f>
        <v>Ver:5 20251231</v>
      </c>
      <c r="K1" s="640"/>
      <c r="L1" s="641"/>
      <c r="N1" s="642" t="str">
        <f>+I4</f>
        <v>MONTO CAEN (a estabilizar) # 65</v>
      </c>
      <c r="X1" s="215"/>
      <c r="Y1" s="215"/>
      <c r="Z1" s="215"/>
      <c r="AA1" s="215"/>
      <c r="AB1" s="215"/>
    </row>
    <row r="2" spans="1:30" s="639" customFormat="1" ht="15.75" thickBot="1" x14ac:dyDescent="0.3">
      <c r="A2" s="643"/>
      <c r="B2" s="644" t="s">
        <v>358</v>
      </c>
      <c r="C2" s="645"/>
      <c r="D2" s="645"/>
      <c r="E2" s="645"/>
      <c r="F2" s="645"/>
      <c r="G2" s="645"/>
      <c r="H2" s="646"/>
      <c r="J2" s="645"/>
      <c r="K2" s="647"/>
      <c r="L2" s="647"/>
      <c r="M2" s="645"/>
      <c r="N2" s="645"/>
      <c r="O2" s="645"/>
      <c r="P2" s="645"/>
      <c r="Q2" s="645"/>
      <c r="R2" s="645"/>
      <c r="U2" s="645"/>
      <c r="V2" s="645"/>
      <c r="X2" s="215"/>
      <c r="Y2" s="215"/>
      <c r="Z2" s="215"/>
      <c r="AA2" s="215"/>
      <c r="AB2" s="215"/>
    </row>
    <row r="3" spans="1:30" s="639" customFormat="1" ht="15.75" thickBot="1" x14ac:dyDescent="0.3">
      <c r="A3" s="643"/>
      <c r="B3" s="645"/>
      <c r="C3" s="645"/>
      <c r="D3" s="645"/>
      <c r="E3" s="647"/>
      <c r="F3" s="645"/>
      <c r="G3" s="648" t="s">
        <v>369</v>
      </c>
      <c r="H3" s="649"/>
      <c r="I3" s="650" t="s">
        <v>359</v>
      </c>
      <c r="J3" s="651">
        <f>ROUND((I5/J5),10)</f>
        <v>0.54523791929999998</v>
      </c>
      <c r="K3" s="652"/>
      <c r="L3" s="653"/>
      <c r="M3" s="654"/>
      <c r="N3" s="645"/>
      <c r="O3" s="655"/>
      <c r="P3" s="645"/>
      <c r="Q3" s="645"/>
      <c r="R3" s="656"/>
      <c r="S3" s="657" t="s">
        <v>357</v>
      </c>
      <c r="T3" s="657" t="s">
        <v>356</v>
      </c>
      <c r="U3" s="658" t="s">
        <v>372</v>
      </c>
      <c r="V3" s="645"/>
      <c r="X3" s="659"/>
      <c r="Y3" s="215"/>
      <c r="Z3" s="215"/>
      <c r="AA3" s="215"/>
      <c r="AB3" s="215"/>
    </row>
    <row r="4" spans="1:30" s="639" customFormat="1" ht="57" thickBot="1" x14ac:dyDescent="0.3">
      <c r="A4" s="643"/>
      <c r="B4" s="645"/>
      <c r="C4" s="645"/>
      <c r="D4" s="645"/>
      <c r="E4" s="660">
        <f>+E354</f>
        <v>2707997173.9000006</v>
      </c>
      <c r="F4" s="661">
        <f>+G4/E4</f>
        <v>1.0481403950875114</v>
      </c>
      <c r="G4" s="660">
        <f>+PARAMETROS!$H$10</f>
        <v>2838361227.7474108</v>
      </c>
      <c r="H4" s="649"/>
      <c r="I4" s="662" t="str">
        <f>CONCATENATE("MONTO CAEN (a estabilizar) # ",COUNTIF($I$7:$I$352,"&lt;0"))</f>
        <v>MONTO CAEN (a estabilizar) # 65</v>
      </c>
      <c r="J4" s="663" t="s">
        <v>360</v>
      </c>
      <c r="K4" s="664">
        <f>SUM(K7:K352)</f>
        <v>156300241</v>
      </c>
      <c r="L4" s="665" t="s">
        <v>361</v>
      </c>
      <c r="M4" s="666"/>
      <c r="N4" s="667"/>
      <c r="O4" s="647">
        <f>ROUNDDOWN(SUM(O7:O352),0)</f>
        <v>2838361235</v>
      </c>
      <c r="P4" s="645"/>
      <c r="Q4" s="645"/>
      <c r="R4" s="656"/>
      <c r="S4" s="668" t="str">
        <f>+PARAMETROS!G8</f>
        <v>Total Ley Nº 19.704 (ISLA DE PASCUA)) M$</v>
      </c>
      <c r="T4" s="669" t="s">
        <v>512</v>
      </c>
      <c r="U4" s="668" t="str">
        <f>"FCM ESTIMADO "&amp;RIGHT(B1,4)&amp;" (Todas las comunas)"</f>
        <v>FCM ESTIMADO 2026 (Todas las comunas)</v>
      </c>
      <c r="X4" s="215"/>
      <c r="Y4" s="215"/>
      <c r="Z4" s="215"/>
      <c r="AA4" s="215"/>
      <c r="AB4" s="215"/>
    </row>
    <row r="5" spans="1:30" s="639" customFormat="1" ht="24.75" thickBot="1" x14ac:dyDescent="0.3">
      <c r="A5" s="643"/>
      <c r="B5" s="645"/>
      <c r="C5" s="670"/>
      <c r="D5" s="671"/>
      <c r="E5" s="648" t="str">
        <f>"FCM CIERRE ESTIMADO  "&amp;RIGHT(B1,4)-1</f>
        <v>FCM CIERRE ESTIMADO  2025</v>
      </c>
      <c r="F5" s="645"/>
      <c r="G5" s="648" t="str">
        <f>"FCM provisorio "&amp;RIGHT(B1,4)</f>
        <v>FCM provisorio 2026</v>
      </c>
      <c r="H5" s="672"/>
      <c r="I5" s="673">
        <f>ABS(I354)</f>
        <v>156300246</v>
      </c>
      <c r="J5" s="673">
        <f>SUM(J7:J352)</f>
        <v>286664299.1190002</v>
      </c>
      <c r="K5" s="653">
        <f>+J5-I5</f>
        <v>130364053.1190002</v>
      </c>
      <c r="L5" s="674">
        <f>ROUND(1-J3,4)</f>
        <v>0.45479999999999998</v>
      </c>
      <c r="M5" s="675"/>
      <c r="N5" s="676"/>
      <c r="O5" s="648" t="str">
        <f>+G5</f>
        <v>FCM provisorio 2026</v>
      </c>
      <c r="P5" s="647"/>
      <c r="Q5" s="645"/>
      <c r="R5" s="656"/>
      <c r="S5" s="668">
        <f>+PARAMETROS!H8</f>
        <v>28237700</v>
      </c>
      <c r="T5" s="668">
        <f>+U5+S5</f>
        <v>2866598935</v>
      </c>
      <c r="U5" s="677">
        <f>SUM(U7:U352)</f>
        <v>2838361235</v>
      </c>
      <c r="V5" s="668">
        <f>+V354</f>
        <v>156300246</v>
      </c>
      <c r="X5" s="215"/>
      <c r="Y5" s="215"/>
      <c r="Z5" s="215"/>
      <c r="AA5" s="678"/>
      <c r="AB5" s="215"/>
    </row>
    <row r="6" spans="1:30" s="635" customFormat="1" ht="120.75" thickBot="1" x14ac:dyDescent="0.3">
      <c r="A6" s="679" t="s">
        <v>362</v>
      </c>
      <c r="B6" s="679" t="s">
        <v>319</v>
      </c>
      <c r="C6" s="679" t="s">
        <v>1</v>
      </c>
      <c r="D6" s="679" t="str">
        <f>+'_DATA STT PAGOS_'!G6</f>
        <v>Compensación Ley Nº 19704 ISLA DE PASCUA Año 2025 M$</v>
      </c>
      <c r="E6" s="679" t="str">
        <f>+'_DATA STT PAGOS_'!J6</f>
        <v>Total FCM Estimado Cierre (neto Ley 19.704) (Anticipos pagados, Saldos Pagados y Aporte Fiscal M$ Pagado - Año 2025</v>
      </c>
      <c r="F6" s="680" t="str">
        <f>+COEF_FCM!AG8</f>
        <v>COEFICIENTE 100%
FONDO COMUN MUNICIPAL 2026</v>
      </c>
      <c r="G6" s="679" t="str">
        <f>"Valor Esperado FCM año "&amp;RIGHT(PARAMETROS!B3,4)&amp;" todas las comunas (neto de Ley Nº 19.704) M$ "</f>
        <v xml:space="preserve">Valor Esperado FCM año 2026 todas las comunas (neto de Ley Nº 19.704) M$ </v>
      </c>
      <c r="H6" s="681" t="str">
        <f>"Diferencia nominal  "&amp;RIGHT(B1,4)&amp;" - "&amp;RIGHT(B1,4)-1</f>
        <v>Diferencia nominal  2026 - 2025</v>
      </c>
      <c r="I6" s="682" t="s">
        <v>363</v>
      </c>
      <c r="J6" s="682" t="s">
        <v>364</v>
      </c>
      <c r="K6" s="683" t="s">
        <v>370</v>
      </c>
      <c r="L6" s="684" t="s">
        <v>365</v>
      </c>
      <c r="M6" s="685" t="s">
        <v>366</v>
      </c>
      <c r="N6" s="686" t="s">
        <v>367</v>
      </c>
      <c r="O6" s="648" t="s">
        <v>511</v>
      </c>
      <c r="P6" s="687" t="s">
        <v>368</v>
      </c>
      <c r="Q6" s="688" t="str">
        <f>+F6</f>
        <v>COEFICIENTE 100%
FONDO COMUN MUNICIPAL 2026</v>
      </c>
      <c r="R6" s="689" t="s">
        <v>473</v>
      </c>
      <c r="S6" s="690" t="str">
        <f>"Ley 19.704 - RAPA NUI (ISLA DE PASCUA)  Año "&amp;RIGHT(B1,4)&amp;" (M$) (última modificación D.E. 1.684 - 09/10/2014)"</f>
        <v>Ley 19.704 - RAPA NUI (ISLA DE PASCUA)  Año 2026 (M$) (última modificación D.E. 1.684 - 09/10/2014)</v>
      </c>
      <c r="T6" s="691" t="str">
        <f>"Monto Final Estimado "&amp;RIGHT(B1,4)&amp;" por comuna incluye Ley 19704"</f>
        <v>Monto Final Estimado 2026 por comuna incluye Ley 19704</v>
      </c>
      <c r="U6" s="690" t="str">
        <f>"Monto Final Estimado "&amp;RIGHT(B1,4)&amp;", por comuna NO incluye Ley 19704"</f>
        <v>Monto Final Estimado 2026, por comuna NO incluye Ley 19704</v>
      </c>
      <c r="V6" s="668" t="s">
        <v>475</v>
      </c>
      <c r="X6" s="692"/>
      <c r="Y6" s="692" t="s">
        <v>547</v>
      </c>
      <c r="Z6" s="692" t="s">
        <v>549</v>
      </c>
      <c r="AA6" s="692" t="s">
        <v>548</v>
      </c>
      <c r="AB6" s="692"/>
    </row>
    <row r="7" spans="1:30" s="639" customFormat="1" x14ac:dyDescent="0.25">
      <c r="A7" s="639">
        <v>1</v>
      </c>
      <c r="B7" s="639">
        <f>+'_DATA STT PAGOS_'!M7</f>
        <v>1101</v>
      </c>
      <c r="C7" s="639" t="str">
        <f>+'_DATA STT PAGOS_'!O7</f>
        <v>IQUIQUE</v>
      </c>
      <c r="D7" s="693">
        <f>+'_DATA STT PAGOS_'!G7</f>
        <v>0</v>
      </c>
      <c r="E7" s="693">
        <f>+'_DATA STT PAGOS_'!J7</f>
        <v>7548535.6720000003</v>
      </c>
      <c r="F7" s="694">
        <f>+COEF_FCM!AG9</f>
        <v>3.0338082943999999E-3</v>
      </c>
      <c r="G7" s="693">
        <f>ROUND(F7*$G$4,0)</f>
        <v>8611044</v>
      </c>
      <c r="H7" s="695">
        <f>G7-E7</f>
        <v>1062508.3279999997</v>
      </c>
      <c r="I7" s="641">
        <f>IF(H7&lt;0,ROUND(H7,0),0)</f>
        <v>0</v>
      </c>
      <c r="J7" s="696">
        <f>IF(H7&gt;0,H7,0)</f>
        <v>1062508.3279999997</v>
      </c>
      <c r="K7" s="693">
        <f t="shared" ref="K7:K70" si="0">IF(J7&gt;0,ROUND(J7*$J$3,0),0)</f>
        <v>579320</v>
      </c>
      <c r="L7" s="695">
        <f t="shared" ref="L7:L70" si="1">+J7-K7</f>
        <v>483188.32799999975</v>
      </c>
      <c r="M7" s="693">
        <f t="shared" ref="M7:M70" si="2">IF(L7&gt;0,ROUND(G7-K7,0),0)</f>
        <v>8031724</v>
      </c>
      <c r="N7" s="693">
        <f t="shared" ref="N7:N70" si="3">IF(I7&lt;0,ROUND(E7,0),0)</f>
        <v>0</v>
      </c>
      <c r="O7" s="695">
        <f t="shared" ref="O7:O70" si="4">ROUND(M7+N7,0)</f>
        <v>8031724</v>
      </c>
      <c r="P7" s="695">
        <f t="shared" ref="P7:P70" si="5">+O7-G7</f>
        <v>-579320</v>
      </c>
      <c r="Q7" s="697">
        <f t="shared" ref="Q7:Q70" si="6">+F7</f>
        <v>3.0338082943999999E-3</v>
      </c>
      <c r="R7" s="694">
        <f t="shared" ref="R7:R70" si="7">ROUND(P7/$O$4,DEC)</f>
        <v>-2.041036894E-4</v>
      </c>
      <c r="S7" s="693">
        <v>0</v>
      </c>
      <c r="T7" s="695">
        <f t="shared" ref="T7:T70" si="8">+O7+S7</f>
        <v>8031724</v>
      </c>
      <c r="U7" s="695">
        <f t="shared" ref="U7:U70" si="9">+O7</f>
        <v>8031724</v>
      </c>
      <c r="V7" s="693">
        <f t="shared" ref="V7:V70" si="10">IF(I7&lt;0,ROUND(ABS(I7),0),0)</f>
        <v>0</v>
      </c>
      <c r="W7" s="697"/>
      <c r="X7" s="698" t="s">
        <v>54</v>
      </c>
      <c r="Y7" s="678">
        <v>0</v>
      </c>
      <c r="Z7" s="678">
        <v>4344323</v>
      </c>
      <c r="AA7" s="678">
        <v>4344323</v>
      </c>
      <c r="AB7" s="699">
        <f>T7/Z7</f>
        <v>1.8487861054530246</v>
      </c>
      <c r="AC7" s="700"/>
      <c r="AD7" s="701"/>
    </row>
    <row r="8" spans="1:30" s="639" customFormat="1" x14ac:dyDescent="0.25">
      <c r="A8" s="639">
        <v>2</v>
      </c>
      <c r="B8" s="639">
        <f>+'_DATA STT PAGOS_'!M8</f>
        <v>1107</v>
      </c>
      <c r="C8" s="639" t="str">
        <f>+'_DATA STT PAGOS_'!O8</f>
        <v>ALTO HOSPICIO</v>
      </c>
      <c r="D8" s="693">
        <f>+'_DATA STT PAGOS_'!G8</f>
        <v>0</v>
      </c>
      <c r="E8" s="693">
        <f>+'_DATA STT PAGOS_'!J8</f>
        <v>19513718.671</v>
      </c>
      <c r="F8" s="694">
        <f>+COEF_FCM!AG10</f>
        <v>7.6692195374999999E-3</v>
      </c>
      <c r="G8" s="693">
        <f t="shared" ref="G8:G70" si="11">ROUND(F8*$G$4,0)</f>
        <v>21768015</v>
      </c>
      <c r="H8" s="695">
        <f t="shared" ref="H8:H71" si="12">G8-E8</f>
        <v>2254296.3289999999</v>
      </c>
      <c r="I8" s="641">
        <f t="shared" ref="I8:I71" si="13">IF(H8&lt;0,ROUND(H8,0),0)</f>
        <v>0</v>
      </c>
      <c r="J8" s="696">
        <f t="shared" ref="J8:J71" si="14">IF(H8&gt;0,H8,0)</f>
        <v>2254296.3289999999</v>
      </c>
      <c r="K8" s="693">
        <f t="shared" si="0"/>
        <v>1229128</v>
      </c>
      <c r="L8" s="695">
        <f t="shared" si="1"/>
        <v>1025168.3289999999</v>
      </c>
      <c r="M8" s="693">
        <f t="shared" si="2"/>
        <v>20538887</v>
      </c>
      <c r="N8" s="693">
        <f t="shared" si="3"/>
        <v>0</v>
      </c>
      <c r="O8" s="695">
        <f t="shared" si="4"/>
        <v>20538887</v>
      </c>
      <c r="P8" s="695">
        <f t="shared" si="5"/>
        <v>-1229128</v>
      </c>
      <c r="Q8" s="697">
        <f t="shared" si="6"/>
        <v>7.6692195374999999E-3</v>
      </c>
      <c r="R8" s="694">
        <f t="shared" si="7"/>
        <v>-4.3304142719999999E-4</v>
      </c>
      <c r="S8" s="693">
        <v>0</v>
      </c>
      <c r="T8" s="695">
        <f t="shared" si="8"/>
        <v>20538887</v>
      </c>
      <c r="U8" s="695">
        <f t="shared" si="9"/>
        <v>20538887</v>
      </c>
      <c r="V8" s="693">
        <f t="shared" si="10"/>
        <v>0</v>
      </c>
      <c r="W8" s="697"/>
      <c r="X8" s="698" t="s">
        <v>60</v>
      </c>
      <c r="Y8" s="678">
        <v>0</v>
      </c>
      <c r="Z8" s="678">
        <v>11267660</v>
      </c>
      <c r="AA8" s="678">
        <v>11267660</v>
      </c>
      <c r="AB8" s="699">
        <f t="shared" ref="AB8:AB71" si="15">T8/Z8</f>
        <v>1.8228174261559189</v>
      </c>
      <c r="AC8" s="700"/>
      <c r="AD8" s="701"/>
    </row>
    <row r="9" spans="1:30" s="639" customFormat="1" x14ac:dyDescent="0.25">
      <c r="A9" s="639">
        <v>3</v>
      </c>
      <c r="B9" s="639">
        <f>+'_DATA STT PAGOS_'!M9</f>
        <v>1401</v>
      </c>
      <c r="C9" s="639" t="str">
        <f>+'_DATA STT PAGOS_'!O9</f>
        <v>POZO ALMONTE</v>
      </c>
      <c r="D9" s="693">
        <f>+'_DATA STT PAGOS_'!G9</f>
        <v>0</v>
      </c>
      <c r="E9" s="693">
        <f>+'_DATA STT PAGOS_'!J9</f>
        <v>4145851.0439999998</v>
      </c>
      <c r="F9" s="694">
        <f>+COEF_FCM!AG11</f>
        <v>1.6740580702999999E-3</v>
      </c>
      <c r="G9" s="693">
        <f t="shared" si="11"/>
        <v>4751582</v>
      </c>
      <c r="H9" s="695">
        <f t="shared" si="12"/>
        <v>605730.95600000024</v>
      </c>
      <c r="I9" s="641">
        <f t="shared" si="13"/>
        <v>0</v>
      </c>
      <c r="J9" s="696">
        <f t="shared" si="14"/>
        <v>605730.95600000024</v>
      </c>
      <c r="K9" s="693">
        <f t="shared" si="0"/>
        <v>330267</v>
      </c>
      <c r="L9" s="695">
        <f t="shared" si="1"/>
        <v>275463.95600000024</v>
      </c>
      <c r="M9" s="693">
        <f t="shared" si="2"/>
        <v>4421315</v>
      </c>
      <c r="N9" s="693">
        <f t="shared" si="3"/>
        <v>0</v>
      </c>
      <c r="O9" s="695">
        <f t="shared" si="4"/>
        <v>4421315</v>
      </c>
      <c r="P9" s="695">
        <f t="shared" si="5"/>
        <v>-330267</v>
      </c>
      <c r="Q9" s="697">
        <f t="shared" si="6"/>
        <v>1.6740580702999999E-3</v>
      </c>
      <c r="R9" s="694">
        <f t="shared" si="7"/>
        <v>-1.1635833939999999E-4</v>
      </c>
      <c r="S9" s="693">
        <v>0</v>
      </c>
      <c r="T9" s="695">
        <f t="shared" si="8"/>
        <v>4421315</v>
      </c>
      <c r="U9" s="695">
        <f t="shared" si="9"/>
        <v>4421315</v>
      </c>
      <c r="V9" s="693">
        <f t="shared" si="10"/>
        <v>0</v>
      </c>
      <c r="W9" s="697"/>
      <c r="X9" s="698" t="s">
        <v>56</v>
      </c>
      <c r="Y9" s="678">
        <v>0</v>
      </c>
      <c r="Z9" s="678">
        <v>2747593</v>
      </c>
      <c r="AA9" s="678">
        <v>2747593</v>
      </c>
      <c r="AB9" s="699">
        <f t="shared" si="15"/>
        <v>1.6091593623946487</v>
      </c>
      <c r="AC9" s="700"/>
      <c r="AD9" s="701"/>
    </row>
    <row r="10" spans="1:30" s="639" customFormat="1" x14ac:dyDescent="0.25">
      <c r="A10" s="639">
        <v>4</v>
      </c>
      <c r="B10" s="639">
        <f>+'_DATA STT PAGOS_'!M10</f>
        <v>1402</v>
      </c>
      <c r="C10" s="639" t="str">
        <f>+'_DATA STT PAGOS_'!O10</f>
        <v>CAMIÑA</v>
      </c>
      <c r="D10" s="693">
        <f>+'_DATA STT PAGOS_'!G10</f>
        <v>0</v>
      </c>
      <c r="E10" s="693">
        <f>+'_DATA STT PAGOS_'!J10</f>
        <v>2593753.4330000002</v>
      </c>
      <c r="F10" s="694">
        <f>+COEF_FCM!AG12</f>
        <v>9.7648616579999997E-4</v>
      </c>
      <c r="G10" s="693">
        <f t="shared" si="11"/>
        <v>2771620</v>
      </c>
      <c r="H10" s="695">
        <f t="shared" si="12"/>
        <v>177866.56699999981</v>
      </c>
      <c r="I10" s="641">
        <f t="shared" si="13"/>
        <v>0</v>
      </c>
      <c r="J10" s="696">
        <f t="shared" si="14"/>
        <v>177866.56699999981</v>
      </c>
      <c r="K10" s="693">
        <f t="shared" si="0"/>
        <v>96980</v>
      </c>
      <c r="L10" s="695">
        <f t="shared" si="1"/>
        <v>80886.566999999806</v>
      </c>
      <c r="M10" s="693">
        <f t="shared" si="2"/>
        <v>2674640</v>
      </c>
      <c r="N10" s="693">
        <f t="shared" si="3"/>
        <v>0</v>
      </c>
      <c r="O10" s="695">
        <f t="shared" si="4"/>
        <v>2674640</v>
      </c>
      <c r="P10" s="695">
        <f t="shared" si="5"/>
        <v>-96980</v>
      </c>
      <c r="Q10" s="697">
        <f t="shared" si="6"/>
        <v>9.7648616579999997E-4</v>
      </c>
      <c r="R10" s="694">
        <f t="shared" si="7"/>
        <v>-3.4167603100000001E-5</v>
      </c>
      <c r="S10" s="693">
        <v>0</v>
      </c>
      <c r="T10" s="695">
        <f t="shared" si="8"/>
        <v>2674640</v>
      </c>
      <c r="U10" s="695">
        <f t="shared" si="9"/>
        <v>2674640</v>
      </c>
      <c r="V10" s="693">
        <f t="shared" si="10"/>
        <v>0</v>
      </c>
      <c r="W10" s="697"/>
      <c r="X10" s="698" t="s">
        <v>58</v>
      </c>
      <c r="Y10" s="678">
        <v>0</v>
      </c>
      <c r="Z10" s="678">
        <v>1976276</v>
      </c>
      <c r="AA10" s="678">
        <v>1976276</v>
      </c>
      <c r="AB10" s="699">
        <f t="shared" si="15"/>
        <v>1.3533737190554356</v>
      </c>
      <c r="AC10" s="700"/>
      <c r="AD10" s="701"/>
    </row>
    <row r="11" spans="1:30" s="639" customFormat="1" x14ac:dyDescent="0.25">
      <c r="A11" s="639">
        <v>5</v>
      </c>
      <c r="B11" s="639">
        <f>+'_DATA STT PAGOS_'!M11</f>
        <v>1403</v>
      </c>
      <c r="C11" s="639" t="str">
        <f>+'_DATA STT PAGOS_'!O11</f>
        <v>COLCHANE</v>
      </c>
      <c r="D11" s="693">
        <f>+'_DATA STT PAGOS_'!G11</f>
        <v>0</v>
      </c>
      <c r="E11" s="693">
        <f>+'_DATA STT PAGOS_'!J11</f>
        <v>2264832.7960000001</v>
      </c>
      <c r="F11" s="694">
        <f>+COEF_FCM!AG13</f>
        <v>1.0057909118999999E-3</v>
      </c>
      <c r="G11" s="693">
        <f t="shared" si="11"/>
        <v>2854798</v>
      </c>
      <c r="H11" s="695">
        <f t="shared" si="12"/>
        <v>589965.20399999991</v>
      </c>
      <c r="I11" s="641">
        <f t="shared" si="13"/>
        <v>0</v>
      </c>
      <c r="J11" s="696">
        <f t="shared" si="14"/>
        <v>589965.20399999991</v>
      </c>
      <c r="K11" s="693">
        <f t="shared" si="0"/>
        <v>321671</v>
      </c>
      <c r="L11" s="695">
        <f t="shared" si="1"/>
        <v>268294.20399999991</v>
      </c>
      <c r="M11" s="693">
        <f t="shared" si="2"/>
        <v>2533127</v>
      </c>
      <c r="N11" s="693">
        <f t="shared" si="3"/>
        <v>0</v>
      </c>
      <c r="O11" s="695">
        <f t="shared" si="4"/>
        <v>2533127</v>
      </c>
      <c r="P11" s="695">
        <f t="shared" si="5"/>
        <v>-321671</v>
      </c>
      <c r="Q11" s="697">
        <f t="shared" si="6"/>
        <v>1.0057909118999999E-3</v>
      </c>
      <c r="R11" s="694">
        <f t="shared" si="7"/>
        <v>-1.133298313E-4</v>
      </c>
      <c r="S11" s="693">
        <v>0</v>
      </c>
      <c r="T11" s="695">
        <f t="shared" si="8"/>
        <v>2533127</v>
      </c>
      <c r="U11" s="695">
        <f t="shared" si="9"/>
        <v>2533127</v>
      </c>
      <c r="V11" s="693">
        <f t="shared" si="10"/>
        <v>0</v>
      </c>
      <c r="W11" s="697"/>
      <c r="X11" s="698" t="s">
        <v>59</v>
      </c>
      <c r="Y11" s="678">
        <v>0</v>
      </c>
      <c r="Z11" s="678">
        <v>1431874</v>
      </c>
      <c r="AA11" s="678">
        <v>1431874</v>
      </c>
      <c r="AB11" s="699">
        <f t="shared" si="15"/>
        <v>1.7690990967082298</v>
      </c>
      <c r="AC11" s="700"/>
      <c r="AD11" s="701"/>
    </row>
    <row r="12" spans="1:30" s="639" customFormat="1" x14ac:dyDescent="0.25">
      <c r="A12" s="639">
        <v>6</v>
      </c>
      <c r="B12" s="639">
        <f>+'_DATA STT PAGOS_'!M12</f>
        <v>1404</v>
      </c>
      <c r="C12" s="639" t="str">
        <f>+'_DATA STT PAGOS_'!O12</f>
        <v>HUARA</v>
      </c>
      <c r="D12" s="693">
        <f>+'_DATA STT PAGOS_'!G12</f>
        <v>0</v>
      </c>
      <c r="E12" s="693">
        <f>+'_DATA STT PAGOS_'!J12</f>
        <v>3271722.463</v>
      </c>
      <c r="F12" s="694">
        <f>+COEF_FCM!AG14</f>
        <v>1.3743390791E-3</v>
      </c>
      <c r="G12" s="693">
        <f t="shared" si="11"/>
        <v>3900871</v>
      </c>
      <c r="H12" s="695">
        <f t="shared" si="12"/>
        <v>629148.53700000001</v>
      </c>
      <c r="I12" s="641">
        <f t="shared" si="13"/>
        <v>0</v>
      </c>
      <c r="J12" s="696">
        <f t="shared" si="14"/>
        <v>629148.53700000001</v>
      </c>
      <c r="K12" s="693">
        <f t="shared" si="0"/>
        <v>343036</v>
      </c>
      <c r="L12" s="695">
        <f t="shared" si="1"/>
        <v>286112.53700000001</v>
      </c>
      <c r="M12" s="693">
        <f t="shared" si="2"/>
        <v>3557835</v>
      </c>
      <c r="N12" s="693">
        <f t="shared" si="3"/>
        <v>0</v>
      </c>
      <c r="O12" s="695">
        <f t="shared" si="4"/>
        <v>3557835</v>
      </c>
      <c r="P12" s="695">
        <f t="shared" si="5"/>
        <v>-343036</v>
      </c>
      <c r="Q12" s="697">
        <f t="shared" si="6"/>
        <v>1.3743390791E-3</v>
      </c>
      <c r="R12" s="694">
        <f t="shared" si="7"/>
        <v>-1.208570621E-4</v>
      </c>
      <c r="S12" s="693">
        <v>0</v>
      </c>
      <c r="T12" s="695">
        <f t="shared" si="8"/>
        <v>3557835</v>
      </c>
      <c r="U12" s="695">
        <f t="shared" si="9"/>
        <v>3557835</v>
      </c>
      <c r="V12" s="693">
        <f t="shared" si="10"/>
        <v>0</v>
      </c>
      <c r="W12" s="697"/>
      <c r="X12" s="698" t="s">
        <v>57</v>
      </c>
      <c r="Y12" s="678">
        <v>0</v>
      </c>
      <c r="Z12" s="678">
        <v>1923455</v>
      </c>
      <c r="AA12" s="678">
        <v>1923455</v>
      </c>
      <c r="AB12" s="699">
        <f t="shared" si="15"/>
        <v>1.8497105469064783</v>
      </c>
      <c r="AC12" s="700"/>
      <c r="AD12" s="701"/>
    </row>
    <row r="13" spans="1:30" s="639" customFormat="1" x14ac:dyDescent="0.25">
      <c r="A13" s="639">
        <v>7</v>
      </c>
      <c r="B13" s="639">
        <f>+'_DATA STT PAGOS_'!M13</f>
        <v>1405</v>
      </c>
      <c r="C13" s="639" t="str">
        <f>+'_DATA STT PAGOS_'!O13</f>
        <v>PICA</v>
      </c>
      <c r="D13" s="693">
        <f>+'_DATA STT PAGOS_'!G13</f>
        <v>0</v>
      </c>
      <c r="E13" s="693">
        <f>+'_DATA STT PAGOS_'!J13</f>
        <v>3581801.2829999998</v>
      </c>
      <c r="F13" s="694">
        <f>+COEF_FCM!AG15</f>
        <v>1.6808845946999999E-3</v>
      </c>
      <c r="G13" s="693">
        <f t="shared" si="11"/>
        <v>4770958</v>
      </c>
      <c r="H13" s="695">
        <f t="shared" si="12"/>
        <v>1189156.7170000002</v>
      </c>
      <c r="I13" s="641">
        <f t="shared" si="13"/>
        <v>0</v>
      </c>
      <c r="J13" s="696">
        <f t="shared" si="14"/>
        <v>1189156.7170000002</v>
      </c>
      <c r="K13" s="693">
        <f t="shared" si="0"/>
        <v>648373</v>
      </c>
      <c r="L13" s="695">
        <f t="shared" si="1"/>
        <v>540783.71700000018</v>
      </c>
      <c r="M13" s="693">
        <f t="shared" si="2"/>
        <v>4122585</v>
      </c>
      <c r="N13" s="693">
        <f t="shared" si="3"/>
        <v>0</v>
      </c>
      <c r="O13" s="695">
        <f t="shared" si="4"/>
        <v>4122585</v>
      </c>
      <c r="P13" s="695">
        <f t="shared" si="5"/>
        <v>-648373</v>
      </c>
      <c r="Q13" s="697">
        <f t="shared" si="6"/>
        <v>1.6808845946999999E-3</v>
      </c>
      <c r="R13" s="694">
        <f t="shared" si="7"/>
        <v>-2.2843216429999999E-4</v>
      </c>
      <c r="S13" s="693">
        <v>0</v>
      </c>
      <c r="T13" s="695">
        <f t="shared" si="8"/>
        <v>4122585</v>
      </c>
      <c r="U13" s="695">
        <f t="shared" si="9"/>
        <v>4122585</v>
      </c>
      <c r="V13" s="693">
        <f t="shared" si="10"/>
        <v>0</v>
      </c>
      <c r="W13" s="697"/>
      <c r="X13" s="698" t="s">
        <v>55</v>
      </c>
      <c r="Y13" s="678">
        <v>0</v>
      </c>
      <c r="Z13" s="678">
        <v>1676781</v>
      </c>
      <c r="AA13" s="678">
        <v>1676781</v>
      </c>
      <c r="AB13" s="699">
        <f t="shared" si="15"/>
        <v>2.4586305546162559</v>
      </c>
      <c r="AC13" s="700"/>
      <c r="AD13" s="701"/>
    </row>
    <row r="14" spans="1:30" s="639" customFormat="1" x14ac:dyDescent="0.25">
      <c r="A14" s="639">
        <v>8</v>
      </c>
      <c r="B14" s="639">
        <f>+'_DATA STT PAGOS_'!M14</f>
        <v>2101</v>
      </c>
      <c r="C14" s="639" t="str">
        <f>+'_DATA STT PAGOS_'!O14</f>
        <v>ANTOFAGASTA</v>
      </c>
      <c r="D14" s="693">
        <f>+'_DATA STT PAGOS_'!G14</f>
        <v>0</v>
      </c>
      <c r="E14" s="693">
        <f>+'_DATA STT PAGOS_'!J14</f>
        <v>21737559.677000001</v>
      </c>
      <c r="F14" s="694">
        <f>+COEF_FCM!AG16</f>
        <v>6.6030988963000003E-3</v>
      </c>
      <c r="G14" s="693">
        <f t="shared" si="11"/>
        <v>18741980</v>
      </c>
      <c r="H14" s="695">
        <f t="shared" si="12"/>
        <v>-2995579.6770000011</v>
      </c>
      <c r="I14" s="641">
        <f t="shared" si="13"/>
        <v>-2995580</v>
      </c>
      <c r="J14" s="696">
        <f t="shared" si="14"/>
        <v>0</v>
      </c>
      <c r="K14" s="693">
        <f t="shared" si="0"/>
        <v>0</v>
      </c>
      <c r="L14" s="695">
        <f t="shared" si="1"/>
        <v>0</v>
      </c>
      <c r="M14" s="693">
        <f t="shared" si="2"/>
        <v>0</v>
      </c>
      <c r="N14" s="693">
        <f t="shared" si="3"/>
        <v>21737560</v>
      </c>
      <c r="O14" s="695">
        <f t="shared" si="4"/>
        <v>21737560</v>
      </c>
      <c r="P14" s="695">
        <f t="shared" si="5"/>
        <v>2995580</v>
      </c>
      <c r="Q14" s="697">
        <f t="shared" si="6"/>
        <v>6.6030988963000003E-3</v>
      </c>
      <c r="R14" s="694">
        <f t="shared" si="7"/>
        <v>1.0553906822000001E-3</v>
      </c>
      <c r="S14" s="693">
        <v>0</v>
      </c>
      <c r="T14" s="695">
        <f t="shared" si="8"/>
        <v>21737560</v>
      </c>
      <c r="U14" s="695">
        <f t="shared" si="9"/>
        <v>21737560</v>
      </c>
      <c r="V14" s="693">
        <f t="shared" si="10"/>
        <v>2995580</v>
      </c>
      <c r="W14" s="697"/>
      <c r="X14" s="698" t="s">
        <v>64</v>
      </c>
      <c r="Y14" s="678">
        <v>0</v>
      </c>
      <c r="Z14" s="678">
        <v>10372505</v>
      </c>
      <c r="AA14" s="678">
        <v>10372505</v>
      </c>
      <c r="AB14" s="699">
        <f t="shared" si="15"/>
        <v>2.0956904817110233</v>
      </c>
      <c r="AC14" s="700"/>
      <c r="AD14" s="701"/>
    </row>
    <row r="15" spans="1:30" s="639" customFormat="1" x14ac:dyDescent="0.25">
      <c r="A15" s="639">
        <v>9</v>
      </c>
      <c r="B15" s="639">
        <f>+'_DATA STT PAGOS_'!M15</f>
        <v>2102</v>
      </c>
      <c r="C15" s="639" t="str">
        <f>+'_DATA STT PAGOS_'!O15</f>
        <v>MEJILLONES</v>
      </c>
      <c r="D15" s="693">
        <f>+'_DATA STT PAGOS_'!G15</f>
        <v>0</v>
      </c>
      <c r="E15" s="693">
        <f>+'_DATA STT PAGOS_'!J15</f>
        <v>2903065.5240000002</v>
      </c>
      <c r="F15" s="694">
        <f>+COEF_FCM!AG17</f>
        <v>1.1389251768E-3</v>
      </c>
      <c r="G15" s="693">
        <f t="shared" si="11"/>
        <v>3232681</v>
      </c>
      <c r="H15" s="695">
        <f t="shared" si="12"/>
        <v>329615.47599999979</v>
      </c>
      <c r="I15" s="641">
        <f t="shared" si="13"/>
        <v>0</v>
      </c>
      <c r="J15" s="696">
        <f t="shared" si="14"/>
        <v>329615.47599999979</v>
      </c>
      <c r="K15" s="693">
        <f t="shared" si="0"/>
        <v>179719</v>
      </c>
      <c r="L15" s="695">
        <f t="shared" si="1"/>
        <v>149896.47599999979</v>
      </c>
      <c r="M15" s="693">
        <f t="shared" si="2"/>
        <v>3052962</v>
      </c>
      <c r="N15" s="693">
        <f t="shared" si="3"/>
        <v>0</v>
      </c>
      <c r="O15" s="695">
        <f t="shared" si="4"/>
        <v>3052962</v>
      </c>
      <c r="P15" s="695">
        <f t="shared" si="5"/>
        <v>-179719</v>
      </c>
      <c r="Q15" s="697">
        <f t="shared" si="6"/>
        <v>1.1389251768E-3</v>
      </c>
      <c r="R15" s="694">
        <f t="shared" si="7"/>
        <v>-6.3317874299999996E-5</v>
      </c>
      <c r="S15" s="693">
        <v>0</v>
      </c>
      <c r="T15" s="695">
        <f t="shared" si="8"/>
        <v>3052962</v>
      </c>
      <c r="U15" s="695">
        <f t="shared" si="9"/>
        <v>3052962</v>
      </c>
      <c r="V15" s="693">
        <f t="shared" si="10"/>
        <v>0</v>
      </c>
      <c r="W15" s="697"/>
      <c r="X15" s="698" t="s">
        <v>66</v>
      </c>
      <c r="Y15" s="678">
        <v>0</v>
      </c>
      <c r="Z15" s="678">
        <v>1807645</v>
      </c>
      <c r="AA15" s="678">
        <v>1807645</v>
      </c>
      <c r="AB15" s="699">
        <f t="shared" si="15"/>
        <v>1.6889167950565516</v>
      </c>
      <c r="AC15" s="700"/>
      <c r="AD15" s="701"/>
    </row>
    <row r="16" spans="1:30" s="639" customFormat="1" x14ac:dyDescent="0.25">
      <c r="A16" s="639">
        <v>10</v>
      </c>
      <c r="B16" s="639">
        <f>+'_DATA STT PAGOS_'!M16</f>
        <v>2103</v>
      </c>
      <c r="C16" s="639" t="str">
        <f>+'_DATA STT PAGOS_'!O16</f>
        <v>SIERRA GORDA</v>
      </c>
      <c r="D16" s="693">
        <f>+'_DATA STT PAGOS_'!G16</f>
        <v>0</v>
      </c>
      <c r="E16" s="693">
        <f>+'_DATA STT PAGOS_'!J16</f>
        <v>2097976.4739999999</v>
      </c>
      <c r="F16" s="694">
        <f>+COEF_FCM!AG18</f>
        <v>7.8373893989999992E-4</v>
      </c>
      <c r="G16" s="693">
        <f t="shared" si="11"/>
        <v>2224534</v>
      </c>
      <c r="H16" s="695">
        <f t="shared" si="12"/>
        <v>126557.52600000007</v>
      </c>
      <c r="I16" s="641">
        <f t="shared" si="13"/>
        <v>0</v>
      </c>
      <c r="J16" s="696">
        <f t="shared" si="14"/>
        <v>126557.52600000007</v>
      </c>
      <c r="K16" s="693">
        <f t="shared" si="0"/>
        <v>69004</v>
      </c>
      <c r="L16" s="695">
        <f t="shared" si="1"/>
        <v>57553.526000000071</v>
      </c>
      <c r="M16" s="693">
        <f t="shared" si="2"/>
        <v>2155530</v>
      </c>
      <c r="N16" s="693">
        <f t="shared" si="3"/>
        <v>0</v>
      </c>
      <c r="O16" s="695">
        <f t="shared" si="4"/>
        <v>2155530</v>
      </c>
      <c r="P16" s="695">
        <f t="shared" si="5"/>
        <v>-69004</v>
      </c>
      <c r="Q16" s="697">
        <f t="shared" si="6"/>
        <v>7.8373893989999992E-4</v>
      </c>
      <c r="R16" s="694">
        <f t="shared" si="7"/>
        <v>-2.4311211399999998E-5</v>
      </c>
      <c r="S16" s="693">
        <v>0</v>
      </c>
      <c r="T16" s="695">
        <f t="shared" si="8"/>
        <v>2155530</v>
      </c>
      <c r="U16" s="695">
        <f t="shared" si="9"/>
        <v>2155530</v>
      </c>
      <c r="V16" s="693">
        <f t="shared" si="10"/>
        <v>0</v>
      </c>
      <c r="W16" s="697"/>
      <c r="X16" s="698" t="s">
        <v>67</v>
      </c>
      <c r="Y16" s="678">
        <v>0</v>
      </c>
      <c r="Z16" s="678">
        <v>1630465</v>
      </c>
      <c r="AA16" s="678">
        <v>1630465</v>
      </c>
      <c r="AB16" s="699">
        <f t="shared" si="15"/>
        <v>1.3220338983050848</v>
      </c>
      <c r="AC16" s="700"/>
      <c r="AD16" s="701"/>
    </row>
    <row r="17" spans="1:30" s="639" customFormat="1" x14ac:dyDescent="0.25">
      <c r="A17" s="639">
        <v>11</v>
      </c>
      <c r="B17" s="639">
        <f>+'_DATA STT PAGOS_'!M17</f>
        <v>2104</v>
      </c>
      <c r="C17" s="639" t="str">
        <f>+'_DATA STT PAGOS_'!O17</f>
        <v>TALTAL</v>
      </c>
      <c r="D17" s="693">
        <f>+'_DATA STT PAGOS_'!G17</f>
        <v>0</v>
      </c>
      <c r="E17" s="693">
        <f>+'_DATA STT PAGOS_'!J17</f>
        <v>3078758.915</v>
      </c>
      <c r="F17" s="694">
        <f>+COEF_FCM!AG19</f>
        <v>1.1521052167999999E-3</v>
      </c>
      <c r="G17" s="693">
        <f t="shared" si="11"/>
        <v>3270091</v>
      </c>
      <c r="H17" s="695">
        <f t="shared" si="12"/>
        <v>191332.08499999996</v>
      </c>
      <c r="I17" s="641">
        <f t="shared" si="13"/>
        <v>0</v>
      </c>
      <c r="J17" s="696">
        <f t="shared" si="14"/>
        <v>191332.08499999996</v>
      </c>
      <c r="K17" s="693">
        <f t="shared" si="0"/>
        <v>104322</v>
      </c>
      <c r="L17" s="695">
        <f t="shared" si="1"/>
        <v>87010.084999999963</v>
      </c>
      <c r="M17" s="693">
        <f t="shared" si="2"/>
        <v>3165769</v>
      </c>
      <c r="N17" s="693">
        <f t="shared" si="3"/>
        <v>0</v>
      </c>
      <c r="O17" s="695">
        <f t="shared" si="4"/>
        <v>3165769</v>
      </c>
      <c r="P17" s="695">
        <f t="shared" si="5"/>
        <v>-104322</v>
      </c>
      <c r="Q17" s="697">
        <f t="shared" si="6"/>
        <v>1.1521052167999999E-3</v>
      </c>
      <c r="R17" s="694">
        <f t="shared" si="7"/>
        <v>-3.6754306900000002E-5</v>
      </c>
      <c r="S17" s="693">
        <v>0</v>
      </c>
      <c r="T17" s="695">
        <f t="shared" si="8"/>
        <v>3165769</v>
      </c>
      <c r="U17" s="695">
        <f t="shared" si="9"/>
        <v>3165769</v>
      </c>
      <c r="V17" s="693">
        <f t="shared" si="10"/>
        <v>0</v>
      </c>
      <c r="W17" s="697"/>
      <c r="X17" s="698" t="s">
        <v>65</v>
      </c>
      <c r="Y17" s="678">
        <v>0</v>
      </c>
      <c r="Z17" s="678">
        <v>1973703</v>
      </c>
      <c r="AA17" s="678">
        <v>1973703</v>
      </c>
      <c r="AB17" s="699">
        <f t="shared" si="15"/>
        <v>1.6039743568307896</v>
      </c>
      <c r="AC17" s="700"/>
      <c r="AD17" s="701"/>
    </row>
    <row r="18" spans="1:30" s="639" customFormat="1" x14ac:dyDescent="0.25">
      <c r="A18" s="639">
        <v>12</v>
      </c>
      <c r="B18" s="639">
        <f>+'_DATA STT PAGOS_'!M18</f>
        <v>2201</v>
      </c>
      <c r="C18" s="639" t="str">
        <f>+'_DATA STT PAGOS_'!O18</f>
        <v>CALAMA</v>
      </c>
      <c r="D18" s="693">
        <f>+'_DATA STT PAGOS_'!G18</f>
        <v>0</v>
      </c>
      <c r="E18" s="693">
        <f>+'_DATA STT PAGOS_'!J18</f>
        <v>13988822.637</v>
      </c>
      <c r="F18" s="694">
        <f>+COEF_FCM!AG20</f>
        <v>5.5304684913E-3</v>
      </c>
      <c r="G18" s="693">
        <f t="shared" si="11"/>
        <v>15697467</v>
      </c>
      <c r="H18" s="695">
        <f t="shared" si="12"/>
        <v>1708644.3629999999</v>
      </c>
      <c r="I18" s="641">
        <f t="shared" si="13"/>
        <v>0</v>
      </c>
      <c r="J18" s="696">
        <f t="shared" si="14"/>
        <v>1708644.3629999999</v>
      </c>
      <c r="K18" s="693">
        <f t="shared" si="0"/>
        <v>931618</v>
      </c>
      <c r="L18" s="695">
        <f t="shared" si="1"/>
        <v>777026.3629999999</v>
      </c>
      <c r="M18" s="693">
        <f t="shared" si="2"/>
        <v>14765849</v>
      </c>
      <c r="N18" s="693">
        <f t="shared" si="3"/>
        <v>0</v>
      </c>
      <c r="O18" s="695">
        <f t="shared" si="4"/>
        <v>14765849</v>
      </c>
      <c r="P18" s="695">
        <f t="shared" si="5"/>
        <v>-931618</v>
      </c>
      <c r="Q18" s="697">
        <f t="shared" si="6"/>
        <v>5.5304684913E-3</v>
      </c>
      <c r="R18" s="694">
        <f t="shared" si="7"/>
        <v>-3.282239021E-4</v>
      </c>
      <c r="S18" s="693">
        <v>0</v>
      </c>
      <c r="T18" s="695">
        <f t="shared" si="8"/>
        <v>14765849</v>
      </c>
      <c r="U18" s="695">
        <f t="shared" si="9"/>
        <v>14765849</v>
      </c>
      <c r="V18" s="693">
        <f t="shared" si="10"/>
        <v>0</v>
      </c>
      <c r="W18" s="697"/>
      <c r="X18" s="698" t="s">
        <v>68</v>
      </c>
      <c r="Y18" s="678">
        <v>0</v>
      </c>
      <c r="Z18" s="678">
        <v>6705443</v>
      </c>
      <c r="AA18" s="678">
        <v>6705443</v>
      </c>
      <c r="AB18" s="699">
        <f t="shared" si="15"/>
        <v>2.2020691250376747</v>
      </c>
      <c r="AC18" s="700"/>
      <c r="AD18" s="701"/>
    </row>
    <row r="19" spans="1:30" s="639" customFormat="1" x14ac:dyDescent="0.25">
      <c r="A19" s="639">
        <v>13</v>
      </c>
      <c r="B19" s="639">
        <f>+'_DATA STT PAGOS_'!M19</f>
        <v>2202</v>
      </c>
      <c r="C19" s="639" t="str">
        <f>+'_DATA STT PAGOS_'!O19</f>
        <v>OLLAGÜE</v>
      </c>
      <c r="D19" s="693">
        <f>+'_DATA STT PAGOS_'!G19</f>
        <v>0</v>
      </c>
      <c r="E19" s="693">
        <f>+'_DATA STT PAGOS_'!J19</f>
        <v>2189057.6720000003</v>
      </c>
      <c r="F19" s="694">
        <f>+COEF_FCM!AG21</f>
        <v>7.3792099869999996E-4</v>
      </c>
      <c r="G19" s="693">
        <f t="shared" si="11"/>
        <v>2094486</v>
      </c>
      <c r="H19" s="695">
        <f t="shared" si="12"/>
        <v>-94571.672000000253</v>
      </c>
      <c r="I19" s="641">
        <f t="shared" si="13"/>
        <v>-94572</v>
      </c>
      <c r="J19" s="696">
        <f t="shared" si="14"/>
        <v>0</v>
      </c>
      <c r="K19" s="693">
        <f t="shared" si="0"/>
        <v>0</v>
      </c>
      <c r="L19" s="695">
        <f t="shared" si="1"/>
        <v>0</v>
      </c>
      <c r="M19" s="693">
        <f t="shared" si="2"/>
        <v>0</v>
      </c>
      <c r="N19" s="693">
        <f t="shared" si="3"/>
        <v>2189058</v>
      </c>
      <c r="O19" s="695">
        <f t="shared" si="4"/>
        <v>2189058</v>
      </c>
      <c r="P19" s="695">
        <f t="shared" si="5"/>
        <v>94572</v>
      </c>
      <c r="Q19" s="697">
        <f t="shared" si="6"/>
        <v>7.3792099869999996E-4</v>
      </c>
      <c r="R19" s="694">
        <f t="shared" si="7"/>
        <v>3.3319226199999999E-5</v>
      </c>
      <c r="S19" s="693">
        <v>0</v>
      </c>
      <c r="T19" s="695">
        <f t="shared" si="8"/>
        <v>2189058</v>
      </c>
      <c r="U19" s="695">
        <f t="shared" si="9"/>
        <v>2189058</v>
      </c>
      <c r="V19" s="693">
        <f t="shared" si="10"/>
        <v>94572</v>
      </c>
      <c r="W19" s="697"/>
      <c r="X19" s="698" t="s">
        <v>27</v>
      </c>
      <c r="Y19" s="678">
        <v>0</v>
      </c>
      <c r="Z19" s="678">
        <v>1715493</v>
      </c>
      <c r="AA19" s="678">
        <v>1715493</v>
      </c>
      <c r="AB19" s="699">
        <f t="shared" si="15"/>
        <v>1.2760518404913339</v>
      </c>
      <c r="AC19" s="700"/>
      <c r="AD19" s="701"/>
    </row>
    <row r="20" spans="1:30" s="639" customFormat="1" x14ac:dyDescent="0.25">
      <c r="A20" s="639">
        <v>14</v>
      </c>
      <c r="B20" s="639">
        <f>+'_DATA STT PAGOS_'!M20</f>
        <v>2203</v>
      </c>
      <c r="C20" s="639" t="str">
        <f>+'_DATA STT PAGOS_'!O20</f>
        <v>SAN PEDRO DE ATACAMA</v>
      </c>
      <c r="D20" s="693">
        <f>+'_DATA STT PAGOS_'!G20</f>
        <v>0</v>
      </c>
      <c r="E20" s="693">
        <f>+'_DATA STT PAGOS_'!J20</f>
        <v>7737828.6370000001</v>
      </c>
      <c r="F20" s="694">
        <f>+COEF_FCM!AG22</f>
        <v>2.257144319E-3</v>
      </c>
      <c r="G20" s="693">
        <f t="shared" si="11"/>
        <v>6406591</v>
      </c>
      <c r="H20" s="695">
        <f t="shared" si="12"/>
        <v>-1331237.6370000001</v>
      </c>
      <c r="I20" s="641">
        <f t="shared" si="13"/>
        <v>-1331238</v>
      </c>
      <c r="J20" s="696">
        <f t="shared" si="14"/>
        <v>0</v>
      </c>
      <c r="K20" s="693">
        <f t="shared" si="0"/>
        <v>0</v>
      </c>
      <c r="L20" s="695">
        <f t="shared" si="1"/>
        <v>0</v>
      </c>
      <c r="M20" s="693">
        <f t="shared" si="2"/>
        <v>0</v>
      </c>
      <c r="N20" s="693">
        <f t="shared" si="3"/>
        <v>7737829</v>
      </c>
      <c r="O20" s="695">
        <f t="shared" si="4"/>
        <v>7737829</v>
      </c>
      <c r="P20" s="695">
        <f t="shared" si="5"/>
        <v>1331238</v>
      </c>
      <c r="Q20" s="697">
        <f t="shared" si="6"/>
        <v>2.257144319E-3</v>
      </c>
      <c r="R20" s="694">
        <f t="shared" si="7"/>
        <v>4.6901641119999999E-4</v>
      </c>
      <c r="S20" s="693">
        <v>0</v>
      </c>
      <c r="T20" s="695">
        <f t="shared" si="8"/>
        <v>7737829</v>
      </c>
      <c r="U20" s="695">
        <f t="shared" si="9"/>
        <v>7737829</v>
      </c>
      <c r="V20" s="693">
        <f t="shared" si="10"/>
        <v>1331238</v>
      </c>
      <c r="W20" s="697"/>
      <c r="X20" s="698" t="s">
        <v>69</v>
      </c>
      <c r="Y20" s="678">
        <v>0</v>
      </c>
      <c r="Z20" s="678">
        <v>5286242</v>
      </c>
      <c r="AA20" s="678">
        <v>5286242</v>
      </c>
      <c r="AB20" s="699">
        <f t="shared" si="15"/>
        <v>1.4637674552167683</v>
      </c>
      <c r="AC20" s="700"/>
      <c r="AD20" s="701"/>
    </row>
    <row r="21" spans="1:30" s="639" customFormat="1" x14ac:dyDescent="0.25">
      <c r="A21" s="639">
        <v>15</v>
      </c>
      <c r="B21" s="639">
        <f>+'_DATA STT PAGOS_'!M21</f>
        <v>2301</v>
      </c>
      <c r="C21" s="639" t="str">
        <f>+'_DATA STT PAGOS_'!O21</f>
        <v>TOCOPILLA</v>
      </c>
      <c r="D21" s="693">
        <f>+'_DATA STT PAGOS_'!G21</f>
        <v>0</v>
      </c>
      <c r="E21" s="693">
        <f>+'_DATA STT PAGOS_'!J21</f>
        <v>6173909.557</v>
      </c>
      <c r="F21" s="694">
        <f>+COEF_FCM!AG23</f>
        <v>2.5825681232E-3</v>
      </c>
      <c r="G21" s="693">
        <f t="shared" si="11"/>
        <v>7330261</v>
      </c>
      <c r="H21" s="695">
        <f t="shared" si="12"/>
        <v>1156351.443</v>
      </c>
      <c r="I21" s="641">
        <f t="shared" si="13"/>
        <v>0</v>
      </c>
      <c r="J21" s="696">
        <f t="shared" si="14"/>
        <v>1156351.443</v>
      </c>
      <c r="K21" s="693">
        <f t="shared" si="0"/>
        <v>630487</v>
      </c>
      <c r="L21" s="695">
        <f t="shared" si="1"/>
        <v>525864.44299999997</v>
      </c>
      <c r="M21" s="693">
        <f t="shared" si="2"/>
        <v>6699774</v>
      </c>
      <c r="N21" s="693">
        <f t="shared" si="3"/>
        <v>0</v>
      </c>
      <c r="O21" s="695">
        <f t="shared" si="4"/>
        <v>6699774</v>
      </c>
      <c r="P21" s="695">
        <f t="shared" si="5"/>
        <v>-630487</v>
      </c>
      <c r="Q21" s="697">
        <f t="shared" si="6"/>
        <v>2.5825681232E-3</v>
      </c>
      <c r="R21" s="694">
        <f t="shared" si="7"/>
        <v>-2.2213064079999999E-4</v>
      </c>
      <c r="S21" s="693">
        <v>0</v>
      </c>
      <c r="T21" s="695">
        <f t="shared" si="8"/>
        <v>6699774</v>
      </c>
      <c r="U21" s="695">
        <f t="shared" si="9"/>
        <v>6699774</v>
      </c>
      <c r="V21" s="693">
        <f t="shared" si="10"/>
        <v>0</v>
      </c>
      <c r="W21" s="697"/>
      <c r="X21" s="698" t="s">
        <v>63</v>
      </c>
      <c r="Y21" s="678">
        <v>0</v>
      </c>
      <c r="Z21" s="678">
        <v>3765757</v>
      </c>
      <c r="AA21" s="678">
        <v>3765757</v>
      </c>
      <c r="AB21" s="699">
        <f t="shared" si="15"/>
        <v>1.7791307298904311</v>
      </c>
      <c r="AC21" s="700"/>
      <c r="AD21" s="701"/>
    </row>
    <row r="22" spans="1:30" s="639" customFormat="1" x14ac:dyDescent="0.25">
      <c r="A22" s="639">
        <v>16</v>
      </c>
      <c r="B22" s="639">
        <f>+'_DATA STT PAGOS_'!M22</f>
        <v>2302</v>
      </c>
      <c r="C22" s="639" t="str">
        <f>+'_DATA STT PAGOS_'!O22</f>
        <v>MARÍA ELENA</v>
      </c>
      <c r="D22" s="693">
        <f>+'_DATA STT PAGOS_'!G22</f>
        <v>0</v>
      </c>
      <c r="E22" s="693">
        <f>+'_DATA STT PAGOS_'!J22</f>
        <v>2045180.247</v>
      </c>
      <c r="F22" s="694">
        <f>+COEF_FCM!AG24</f>
        <v>7.8278413350000003E-4</v>
      </c>
      <c r="G22" s="693">
        <f t="shared" si="11"/>
        <v>2221824</v>
      </c>
      <c r="H22" s="695">
        <f t="shared" si="12"/>
        <v>176643.75300000003</v>
      </c>
      <c r="I22" s="641">
        <f t="shared" si="13"/>
        <v>0</v>
      </c>
      <c r="J22" s="696">
        <f t="shared" si="14"/>
        <v>176643.75300000003</v>
      </c>
      <c r="K22" s="693">
        <f t="shared" si="0"/>
        <v>96313</v>
      </c>
      <c r="L22" s="695">
        <f t="shared" si="1"/>
        <v>80330.753000000026</v>
      </c>
      <c r="M22" s="693">
        <f t="shared" si="2"/>
        <v>2125511</v>
      </c>
      <c r="N22" s="693">
        <f t="shared" si="3"/>
        <v>0</v>
      </c>
      <c r="O22" s="695">
        <f t="shared" si="4"/>
        <v>2125511</v>
      </c>
      <c r="P22" s="695">
        <f t="shared" si="5"/>
        <v>-96313</v>
      </c>
      <c r="Q22" s="697">
        <f t="shared" si="6"/>
        <v>7.8278413350000003E-4</v>
      </c>
      <c r="R22" s="694">
        <f t="shared" si="7"/>
        <v>-3.3932608299999998E-5</v>
      </c>
      <c r="S22" s="693">
        <v>0</v>
      </c>
      <c r="T22" s="695">
        <f t="shared" si="8"/>
        <v>2125511</v>
      </c>
      <c r="U22" s="695">
        <f t="shared" si="9"/>
        <v>2125511</v>
      </c>
      <c r="V22" s="693">
        <f t="shared" si="10"/>
        <v>0</v>
      </c>
      <c r="W22" s="697"/>
      <c r="X22" s="698" t="s">
        <v>374</v>
      </c>
      <c r="Y22" s="678">
        <v>0</v>
      </c>
      <c r="Z22" s="678">
        <v>1326601</v>
      </c>
      <c r="AA22" s="678">
        <v>1326601</v>
      </c>
      <c r="AB22" s="699">
        <f t="shared" si="15"/>
        <v>1.6022232758757156</v>
      </c>
      <c r="AC22" s="700"/>
      <c r="AD22" s="701"/>
    </row>
    <row r="23" spans="1:30" s="639" customFormat="1" x14ac:dyDescent="0.25">
      <c r="A23" s="639">
        <v>17</v>
      </c>
      <c r="B23" s="639">
        <f>+'_DATA STT PAGOS_'!M23</f>
        <v>3101</v>
      </c>
      <c r="C23" s="639" t="str">
        <f>+'_DATA STT PAGOS_'!O23</f>
        <v>COPIAPÓ</v>
      </c>
      <c r="D23" s="693">
        <f>+'_DATA STT PAGOS_'!G23</f>
        <v>0</v>
      </c>
      <c r="E23" s="693">
        <f>+'_DATA STT PAGOS_'!J23</f>
        <v>16633220.783999998</v>
      </c>
      <c r="F23" s="694">
        <f>+COEF_FCM!AG25</f>
        <v>4.7529314079000004E-3</v>
      </c>
      <c r="G23" s="693">
        <f t="shared" si="11"/>
        <v>13490536</v>
      </c>
      <c r="H23" s="695">
        <f t="shared" si="12"/>
        <v>-3142684.7839999981</v>
      </c>
      <c r="I23" s="641">
        <f t="shared" si="13"/>
        <v>-3142685</v>
      </c>
      <c r="J23" s="696">
        <f t="shared" si="14"/>
        <v>0</v>
      </c>
      <c r="K23" s="693">
        <f t="shared" si="0"/>
        <v>0</v>
      </c>
      <c r="L23" s="695">
        <f t="shared" si="1"/>
        <v>0</v>
      </c>
      <c r="M23" s="693">
        <f t="shared" si="2"/>
        <v>0</v>
      </c>
      <c r="N23" s="693">
        <f t="shared" si="3"/>
        <v>16633221</v>
      </c>
      <c r="O23" s="695">
        <f t="shared" si="4"/>
        <v>16633221</v>
      </c>
      <c r="P23" s="695">
        <f t="shared" si="5"/>
        <v>3142685</v>
      </c>
      <c r="Q23" s="697">
        <f t="shared" si="6"/>
        <v>4.7529314079000004E-3</v>
      </c>
      <c r="R23" s="694">
        <f t="shared" si="7"/>
        <v>1.1072181233000001E-3</v>
      </c>
      <c r="S23" s="693">
        <v>0</v>
      </c>
      <c r="T23" s="695">
        <f t="shared" si="8"/>
        <v>16633221</v>
      </c>
      <c r="U23" s="695">
        <f t="shared" si="9"/>
        <v>16633221</v>
      </c>
      <c r="V23" s="693">
        <f t="shared" si="10"/>
        <v>3142685</v>
      </c>
      <c r="W23" s="697"/>
      <c r="X23" s="698" t="s">
        <v>375</v>
      </c>
      <c r="Y23" s="678">
        <v>0</v>
      </c>
      <c r="Z23" s="678">
        <v>10887738</v>
      </c>
      <c r="AA23" s="678">
        <v>10887738</v>
      </c>
      <c r="AB23" s="699">
        <f t="shared" si="15"/>
        <v>1.527702172848024</v>
      </c>
      <c r="AC23" s="700"/>
      <c r="AD23" s="701"/>
    </row>
    <row r="24" spans="1:30" s="639" customFormat="1" x14ac:dyDescent="0.25">
      <c r="A24" s="639">
        <v>18</v>
      </c>
      <c r="B24" s="639">
        <f>+'_DATA STT PAGOS_'!M24</f>
        <v>3102</v>
      </c>
      <c r="C24" s="639" t="str">
        <f>+'_DATA STT PAGOS_'!O24</f>
        <v>CALDERA</v>
      </c>
      <c r="D24" s="693">
        <f>+'_DATA STT PAGOS_'!G24</f>
        <v>0</v>
      </c>
      <c r="E24" s="693">
        <f>+'_DATA STT PAGOS_'!J24</f>
        <v>10056871.368999999</v>
      </c>
      <c r="F24" s="694">
        <f>+COEF_FCM!AG26</f>
        <v>4.2317975907E-3</v>
      </c>
      <c r="G24" s="693">
        <f t="shared" si="11"/>
        <v>12011370</v>
      </c>
      <c r="H24" s="695">
        <f t="shared" si="12"/>
        <v>1954498.631000001</v>
      </c>
      <c r="I24" s="641">
        <f t="shared" si="13"/>
        <v>0</v>
      </c>
      <c r="J24" s="696">
        <f t="shared" si="14"/>
        <v>1954498.631000001</v>
      </c>
      <c r="K24" s="693">
        <f t="shared" si="0"/>
        <v>1065667</v>
      </c>
      <c r="L24" s="695">
        <f t="shared" si="1"/>
        <v>888831.63100000098</v>
      </c>
      <c r="M24" s="693">
        <f t="shared" si="2"/>
        <v>10945703</v>
      </c>
      <c r="N24" s="693">
        <f t="shared" si="3"/>
        <v>0</v>
      </c>
      <c r="O24" s="695">
        <f t="shared" si="4"/>
        <v>10945703</v>
      </c>
      <c r="P24" s="695">
        <f t="shared" si="5"/>
        <v>-1065667</v>
      </c>
      <c r="Q24" s="697">
        <f t="shared" si="6"/>
        <v>4.2317975907E-3</v>
      </c>
      <c r="R24" s="694">
        <f t="shared" si="7"/>
        <v>-3.7545150590000001E-4</v>
      </c>
      <c r="S24" s="693">
        <v>0</v>
      </c>
      <c r="T24" s="695">
        <f t="shared" si="8"/>
        <v>10945703</v>
      </c>
      <c r="U24" s="695">
        <f t="shared" si="9"/>
        <v>10945703</v>
      </c>
      <c r="V24" s="693">
        <f t="shared" si="10"/>
        <v>0</v>
      </c>
      <c r="W24" s="697"/>
      <c r="X24" s="698" t="s">
        <v>72</v>
      </c>
      <c r="Y24" s="678">
        <v>0</v>
      </c>
      <c r="Z24" s="678">
        <v>6568221</v>
      </c>
      <c r="AA24" s="678">
        <v>6568221</v>
      </c>
      <c r="AB24" s="699">
        <f t="shared" si="15"/>
        <v>1.6664638720286664</v>
      </c>
      <c r="AC24" s="700"/>
      <c r="AD24" s="701"/>
    </row>
    <row r="25" spans="1:30" s="639" customFormat="1" x14ac:dyDescent="0.25">
      <c r="A25" s="639">
        <v>19</v>
      </c>
      <c r="B25" s="639">
        <f>+'_DATA STT PAGOS_'!M25</f>
        <v>3103</v>
      </c>
      <c r="C25" s="639" t="str">
        <f>+'_DATA STT PAGOS_'!O25</f>
        <v>TIERRA AMARILLA</v>
      </c>
      <c r="D25" s="693">
        <f>+'_DATA STT PAGOS_'!G25</f>
        <v>0</v>
      </c>
      <c r="E25" s="693">
        <f>+'_DATA STT PAGOS_'!J25</f>
        <v>2685199.1659999997</v>
      </c>
      <c r="F25" s="694">
        <f>+COEF_FCM!AG27</f>
        <v>1.0339601286E-3</v>
      </c>
      <c r="G25" s="693">
        <f t="shared" si="11"/>
        <v>2934752</v>
      </c>
      <c r="H25" s="695">
        <f t="shared" si="12"/>
        <v>249552.83400000026</v>
      </c>
      <c r="I25" s="641">
        <f t="shared" si="13"/>
        <v>0</v>
      </c>
      <c r="J25" s="696">
        <f t="shared" si="14"/>
        <v>249552.83400000026</v>
      </c>
      <c r="K25" s="693">
        <f t="shared" si="0"/>
        <v>136066</v>
      </c>
      <c r="L25" s="695">
        <f t="shared" si="1"/>
        <v>113486.83400000026</v>
      </c>
      <c r="M25" s="693">
        <f t="shared" si="2"/>
        <v>2798686</v>
      </c>
      <c r="N25" s="693">
        <f t="shared" si="3"/>
        <v>0</v>
      </c>
      <c r="O25" s="695">
        <f t="shared" si="4"/>
        <v>2798686</v>
      </c>
      <c r="P25" s="695">
        <f t="shared" si="5"/>
        <v>-136066</v>
      </c>
      <c r="Q25" s="697">
        <f t="shared" si="6"/>
        <v>1.0339601286E-3</v>
      </c>
      <c r="R25" s="694">
        <f t="shared" si="7"/>
        <v>-4.7938225199999999E-5</v>
      </c>
      <c r="S25" s="693">
        <v>0</v>
      </c>
      <c r="T25" s="695">
        <f t="shared" si="8"/>
        <v>2798686</v>
      </c>
      <c r="U25" s="695">
        <f t="shared" si="9"/>
        <v>2798686</v>
      </c>
      <c r="V25" s="693">
        <f t="shared" si="10"/>
        <v>0</v>
      </c>
      <c r="W25" s="697"/>
      <c r="X25" s="698" t="s">
        <v>73</v>
      </c>
      <c r="Y25" s="678">
        <v>0</v>
      </c>
      <c r="Z25" s="678">
        <v>1855371</v>
      </c>
      <c r="AA25" s="678">
        <v>1855371</v>
      </c>
      <c r="AB25" s="699">
        <f t="shared" si="15"/>
        <v>1.5084239216846658</v>
      </c>
      <c r="AC25" s="700"/>
      <c r="AD25" s="701"/>
    </row>
    <row r="26" spans="1:30" s="639" customFormat="1" x14ac:dyDescent="0.25">
      <c r="A26" s="639">
        <v>20</v>
      </c>
      <c r="B26" s="639">
        <f>+'_DATA STT PAGOS_'!M26</f>
        <v>3201</v>
      </c>
      <c r="C26" s="639" t="str">
        <f>+'_DATA STT PAGOS_'!O26</f>
        <v>CHAÑARAL</v>
      </c>
      <c r="D26" s="693">
        <f>+'_DATA STT PAGOS_'!G26</f>
        <v>0</v>
      </c>
      <c r="E26" s="693">
        <f>+'_DATA STT PAGOS_'!J26</f>
        <v>3782637.95</v>
      </c>
      <c r="F26" s="694">
        <f>+COEF_FCM!AG28</f>
        <v>1.5931253803E-3</v>
      </c>
      <c r="G26" s="693">
        <f t="shared" si="11"/>
        <v>4521865</v>
      </c>
      <c r="H26" s="695">
        <f t="shared" si="12"/>
        <v>739227.04999999981</v>
      </c>
      <c r="I26" s="641">
        <f t="shared" si="13"/>
        <v>0</v>
      </c>
      <c r="J26" s="696">
        <f t="shared" si="14"/>
        <v>739227.04999999981</v>
      </c>
      <c r="K26" s="693">
        <f t="shared" si="0"/>
        <v>403055</v>
      </c>
      <c r="L26" s="695">
        <f t="shared" si="1"/>
        <v>336172.04999999981</v>
      </c>
      <c r="M26" s="693">
        <f t="shared" si="2"/>
        <v>4118810</v>
      </c>
      <c r="N26" s="693">
        <f t="shared" si="3"/>
        <v>0</v>
      </c>
      <c r="O26" s="695">
        <f t="shared" si="4"/>
        <v>4118810</v>
      </c>
      <c r="P26" s="695">
        <f t="shared" si="5"/>
        <v>-403055</v>
      </c>
      <c r="Q26" s="697">
        <f t="shared" si="6"/>
        <v>1.5931253803E-3</v>
      </c>
      <c r="R26" s="694">
        <f t="shared" si="7"/>
        <v>-1.420027145E-4</v>
      </c>
      <c r="S26" s="693">
        <v>0</v>
      </c>
      <c r="T26" s="695">
        <f t="shared" si="8"/>
        <v>4118810</v>
      </c>
      <c r="U26" s="695">
        <f t="shared" si="9"/>
        <v>4118810</v>
      </c>
      <c r="V26" s="693">
        <f t="shared" si="10"/>
        <v>0</v>
      </c>
      <c r="W26" s="697"/>
      <c r="X26" s="698" t="s">
        <v>70</v>
      </c>
      <c r="Y26" s="678">
        <v>0</v>
      </c>
      <c r="Z26" s="678">
        <v>2311016</v>
      </c>
      <c r="AA26" s="678">
        <v>2311016</v>
      </c>
      <c r="AB26" s="699">
        <f t="shared" si="15"/>
        <v>1.7822507503193401</v>
      </c>
      <c r="AC26" s="700"/>
      <c r="AD26" s="701"/>
    </row>
    <row r="27" spans="1:30" s="639" customFormat="1" x14ac:dyDescent="0.25">
      <c r="A27" s="639">
        <v>21</v>
      </c>
      <c r="B27" s="639">
        <f>+'_DATA STT PAGOS_'!M27</f>
        <v>3202</v>
      </c>
      <c r="C27" s="639" t="str">
        <f>+'_DATA STT PAGOS_'!O27</f>
        <v>DIEGO DE ALMAGRO</v>
      </c>
      <c r="D27" s="693">
        <f>+'_DATA STT PAGOS_'!G27</f>
        <v>0</v>
      </c>
      <c r="E27" s="693">
        <f>+'_DATA STT PAGOS_'!J27</f>
        <v>2839952.64</v>
      </c>
      <c r="F27" s="694">
        <f>+COEF_FCM!AG29</f>
        <v>9.9839454279999993E-4</v>
      </c>
      <c r="G27" s="693">
        <f t="shared" si="11"/>
        <v>2833804</v>
      </c>
      <c r="H27" s="695">
        <f t="shared" si="12"/>
        <v>-6148.6400000001304</v>
      </c>
      <c r="I27" s="641">
        <f t="shared" si="13"/>
        <v>-6149</v>
      </c>
      <c r="J27" s="696">
        <f t="shared" si="14"/>
        <v>0</v>
      </c>
      <c r="K27" s="693">
        <f t="shared" si="0"/>
        <v>0</v>
      </c>
      <c r="L27" s="695">
        <f t="shared" si="1"/>
        <v>0</v>
      </c>
      <c r="M27" s="693">
        <f t="shared" si="2"/>
        <v>0</v>
      </c>
      <c r="N27" s="693">
        <f t="shared" si="3"/>
        <v>2839953</v>
      </c>
      <c r="O27" s="695">
        <f t="shared" si="4"/>
        <v>2839953</v>
      </c>
      <c r="P27" s="695">
        <f t="shared" si="5"/>
        <v>6149</v>
      </c>
      <c r="Q27" s="697">
        <f t="shared" si="6"/>
        <v>9.9839454279999993E-4</v>
      </c>
      <c r="R27" s="694">
        <f t="shared" si="7"/>
        <v>2.1663909000000002E-6</v>
      </c>
      <c r="S27" s="693">
        <v>0</v>
      </c>
      <c r="T27" s="695">
        <f t="shared" si="8"/>
        <v>2839953</v>
      </c>
      <c r="U27" s="695">
        <f t="shared" si="9"/>
        <v>2839953</v>
      </c>
      <c r="V27" s="693">
        <f t="shared" si="10"/>
        <v>6149</v>
      </c>
      <c r="W27" s="697"/>
      <c r="X27" s="698" t="s">
        <v>71</v>
      </c>
      <c r="Y27" s="678">
        <v>0</v>
      </c>
      <c r="Z27" s="678">
        <v>1775482</v>
      </c>
      <c r="AA27" s="678">
        <v>1775482</v>
      </c>
      <c r="AB27" s="699">
        <f t="shared" si="15"/>
        <v>1.5995391673922912</v>
      </c>
      <c r="AC27" s="700"/>
      <c r="AD27" s="701"/>
    </row>
    <row r="28" spans="1:30" s="639" customFormat="1" x14ac:dyDescent="0.25">
      <c r="A28" s="639">
        <v>22</v>
      </c>
      <c r="B28" s="639">
        <f>+'_DATA STT PAGOS_'!M28</f>
        <v>3301</v>
      </c>
      <c r="C28" s="639" t="str">
        <f>+'_DATA STT PAGOS_'!O28</f>
        <v>VALLENAR</v>
      </c>
      <c r="D28" s="693">
        <f>+'_DATA STT PAGOS_'!G28</f>
        <v>0</v>
      </c>
      <c r="E28" s="693">
        <f>+'_DATA STT PAGOS_'!J28</f>
        <v>10180143.746000001</v>
      </c>
      <c r="F28" s="694">
        <f>+COEF_FCM!AG30</f>
        <v>4.3485102512999998E-3</v>
      </c>
      <c r="G28" s="693">
        <f t="shared" si="11"/>
        <v>12342643</v>
      </c>
      <c r="H28" s="695">
        <f t="shared" si="12"/>
        <v>2162499.2539999988</v>
      </c>
      <c r="I28" s="641">
        <f t="shared" si="13"/>
        <v>0</v>
      </c>
      <c r="J28" s="696">
        <f t="shared" si="14"/>
        <v>2162499.2539999988</v>
      </c>
      <c r="K28" s="693">
        <f t="shared" si="0"/>
        <v>1179077</v>
      </c>
      <c r="L28" s="695">
        <f t="shared" si="1"/>
        <v>983422.25399999879</v>
      </c>
      <c r="M28" s="693">
        <f t="shared" si="2"/>
        <v>11163566</v>
      </c>
      <c r="N28" s="693">
        <f t="shared" si="3"/>
        <v>0</v>
      </c>
      <c r="O28" s="695">
        <f t="shared" si="4"/>
        <v>11163566</v>
      </c>
      <c r="P28" s="695">
        <f t="shared" si="5"/>
        <v>-1179077</v>
      </c>
      <c r="Q28" s="697">
        <f t="shared" si="6"/>
        <v>4.3485102512999998E-3</v>
      </c>
      <c r="R28" s="694">
        <f t="shared" si="7"/>
        <v>-4.154076604E-4</v>
      </c>
      <c r="S28" s="693">
        <v>0</v>
      </c>
      <c r="T28" s="695">
        <f t="shared" si="8"/>
        <v>11163566</v>
      </c>
      <c r="U28" s="695">
        <f t="shared" si="9"/>
        <v>11163566</v>
      </c>
      <c r="V28" s="693">
        <f t="shared" si="10"/>
        <v>0</v>
      </c>
      <c r="W28" s="697"/>
      <c r="X28" s="698" t="s">
        <v>74</v>
      </c>
      <c r="Y28" s="678">
        <v>0</v>
      </c>
      <c r="Z28" s="678">
        <v>6051298</v>
      </c>
      <c r="AA28" s="678">
        <v>6051298</v>
      </c>
      <c r="AB28" s="699">
        <f t="shared" si="15"/>
        <v>1.8448217225461381</v>
      </c>
      <c r="AC28" s="700"/>
      <c r="AD28" s="701"/>
    </row>
    <row r="29" spans="1:30" s="639" customFormat="1" x14ac:dyDescent="0.25">
      <c r="A29" s="639">
        <v>23</v>
      </c>
      <c r="B29" s="639">
        <f>+'_DATA STT PAGOS_'!M29</f>
        <v>3302</v>
      </c>
      <c r="C29" s="639" t="str">
        <f>+'_DATA STT PAGOS_'!O29</f>
        <v>ALTO DEL CARMEN</v>
      </c>
      <c r="D29" s="693">
        <f>+'_DATA STT PAGOS_'!G29</f>
        <v>0</v>
      </c>
      <c r="E29" s="693">
        <f>+'_DATA STT PAGOS_'!J29</f>
        <v>2886748.9539999999</v>
      </c>
      <c r="F29" s="694">
        <f>+COEF_FCM!AG31</f>
        <v>1.0982444626999998E-3</v>
      </c>
      <c r="G29" s="693">
        <f t="shared" si="11"/>
        <v>3117215</v>
      </c>
      <c r="H29" s="695">
        <f t="shared" si="12"/>
        <v>230466.04600000009</v>
      </c>
      <c r="I29" s="641">
        <f t="shared" si="13"/>
        <v>0</v>
      </c>
      <c r="J29" s="696">
        <f t="shared" si="14"/>
        <v>230466.04600000009</v>
      </c>
      <c r="K29" s="693">
        <f t="shared" si="0"/>
        <v>125659</v>
      </c>
      <c r="L29" s="695">
        <f t="shared" si="1"/>
        <v>104807.04600000009</v>
      </c>
      <c r="M29" s="693">
        <f t="shared" si="2"/>
        <v>2991556</v>
      </c>
      <c r="N29" s="693">
        <f t="shared" si="3"/>
        <v>0</v>
      </c>
      <c r="O29" s="695">
        <f t="shared" si="4"/>
        <v>2991556</v>
      </c>
      <c r="P29" s="695">
        <f t="shared" si="5"/>
        <v>-125659</v>
      </c>
      <c r="Q29" s="697">
        <f t="shared" si="6"/>
        <v>1.0982444626999998E-3</v>
      </c>
      <c r="R29" s="694">
        <f t="shared" si="7"/>
        <v>-4.4271672800000001E-5</v>
      </c>
      <c r="S29" s="693">
        <v>0</v>
      </c>
      <c r="T29" s="695">
        <f t="shared" si="8"/>
        <v>2991556</v>
      </c>
      <c r="U29" s="695">
        <f t="shared" si="9"/>
        <v>2991556</v>
      </c>
      <c r="V29" s="693">
        <f t="shared" si="10"/>
        <v>0</v>
      </c>
      <c r="W29" s="697"/>
      <c r="X29" s="698" t="s">
        <v>77</v>
      </c>
      <c r="Y29" s="678">
        <v>0</v>
      </c>
      <c r="Z29" s="678">
        <v>2149651</v>
      </c>
      <c r="AA29" s="678">
        <v>2149651</v>
      </c>
      <c r="AB29" s="699">
        <f t="shared" si="15"/>
        <v>1.3916472953051449</v>
      </c>
      <c r="AC29" s="700"/>
      <c r="AD29" s="701"/>
    </row>
    <row r="30" spans="1:30" s="639" customFormat="1" x14ac:dyDescent="0.25">
      <c r="A30" s="639">
        <v>24</v>
      </c>
      <c r="B30" s="639">
        <f>+'_DATA STT PAGOS_'!M30</f>
        <v>3303</v>
      </c>
      <c r="C30" s="639" t="str">
        <f>+'_DATA STT PAGOS_'!O30</f>
        <v>FREIRINA</v>
      </c>
      <c r="D30" s="693">
        <f>+'_DATA STT PAGOS_'!G30</f>
        <v>0</v>
      </c>
      <c r="E30" s="693">
        <f>+'_DATA STT PAGOS_'!J30</f>
        <v>2799992.2420000001</v>
      </c>
      <c r="F30" s="694">
        <f>+COEF_FCM!AG32</f>
        <v>1.0675685584999998E-3</v>
      </c>
      <c r="G30" s="693">
        <f t="shared" si="11"/>
        <v>3030145</v>
      </c>
      <c r="H30" s="695">
        <f t="shared" si="12"/>
        <v>230152.75799999991</v>
      </c>
      <c r="I30" s="641">
        <f t="shared" si="13"/>
        <v>0</v>
      </c>
      <c r="J30" s="696">
        <f t="shared" si="14"/>
        <v>230152.75799999991</v>
      </c>
      <c r="K30" s="693">
        <f t="shared" si="0"/>
        <v>125488</v>
      </c>
      <c r="L30" s="695">
        <f t="shared" si="1"/>
        <v>104664.75799999991</v>
      </c>
      <c r="M30" s="693">
        <f t="shared" si="2"/>
        <v>2904657</v>
      </c>
      <c r="N30" s="693">
        <f t="shared" si="3"/>
        <v>0</v>
      </c>
      <c r="O30" s="695">
        <f t="shared" si="4"/>
        <v>2904657</v>
      </c>
      <c r="P30" s="695">
        <f t="shared" si="5"/>
        <v>-125488</v>
      </c>
      <c r="Q30" s="697">
        <f t="shared" si="6"/>
        <v>1.0675685584999998E-3</v>
      </c>
      <c r="R30" s="694">
        <f t="shared" si="7"/>
        <v>-4.4211426799999999E-5</v>
      </c>
      <c r="S30" s="693">
        <v>0</v>
      </c>
      <c r="T30" s="695">
        <f t="shared" si="8"/>
        <v>2904657</v>
      </c>
      <c r="U30" s="695">
        <f t="shared" si="9"/>
        <v>2904657</v>
      </c>
      <c r="V30" s="693">
        <f t="shared" si="10"/>
        <v>0</v>
      </c>
      <c r="W30" s="697"/>
      <c r="X30" s="698" t="s">
        <v>75</v>
      </c>
      <c r="Y30" s="678">
        <v>0</v>
      </c>
      <c r="Z30" s="678">
        <v>2019470</v>
      </c>
      <c r="AA30" s="678">
        <v>2019470</v>
      </c>
      <c r="AB30" s="699">
        <f t="shared" si="15"/>
        <v>1.4383263925683472</v>
      </c>
      <c r="AC30" s="700"/>
      <c r="AD30" s="701"/>
    </row>
    <row r="31" spans="1:30" s="639" customFormat="1" x14ac:dyDescent="0.25">
      <c r="A31" s="639">
        <v>25</v>
      </c>
      <c r="B31" s="639">
        <f>+'_DATA STT PAGOS_'!M31</f>
        <v>3304</v>
      </c>
      <c r="C31" s="639" t="str">
        <f>+'_DATA STT PAGOS_'!O31</f>
        <v>HUASCO</v>
      </c>
      <c r="D31" s="693">
        <f>+'_DATA STT PAGOS_'!G31</f>
        <v>0</v>
      </c>
      <c r="E31" s="693">
        <f>+'_DATA STT PAGOS_'!J31</f>
        <v>4019100.35</v>
      </c>
      <c r="F31" s="694">
        <f>+COEF_FCM!AG33</f>
        <v>1.6927900738999998E-3</v>
      </c>
      <c r="G31" s="693">
        <f t="shared" si="11"/>
        <v>4804750</v>
      </c>
      <c r="H31" s="695">
        <f t="shared" si="12"/>
        <v>785649.64999999991</v>
      </c>
      <c r="I31" s="641">
        <f t="shared" si="13"/>
        <v>0</v>
      </c>
      <c r="J31" s="696">
        <f t="shared" si="14"/>
        <v>785649.64999999991</v>
      </c>
      <c r="K31" s="693">
        <f t="shared" si="0"/>
        <v>428366</v>
      </c>
      <c r="L31" s="695">
        <f t="shared" si="1"/>
        <v>357283.64999999991</v>
      </c>
      <c r="M31" s="693">
        <f t="shared" si="2"/>
        <v>4376384</v>
      </c>
      <c r="N31" s="693">
        <f t="shared" si="3"/>
        <v>0</v>
      </c>
      <c r="O31" s="695">
        <f t="shared" si="4"/>
        <v>4376384</v>
      </c>
      <c r="P31" s="695">
        <f t="shared" si="5"/>
        <v>-428366</v>
      </c>
      <c r="Q31" s="697">
        <f t="shared" si="6"/>
        <v>1.6927900738999998E-3</v>
      </c>
      <c r="R31" s="694">
        <f t="shared" si="7"/>
        <v>-1.509201841E-4</v>
      </c>
      <c r="S31" s="693">
        <v>0</v>
      </c>
      <c r="T31" s="695">
        <f t="shared" si="8"/>
        <v>4376384</v>
      </c>
      <c r="U31" s="695">
        <f t="shared" si="9"/>
        <v>4376384</v>
      </c>
      <c r="V31" s="693">
        <f t="shared" si="10"/>
        <v>0</v>
      </c>
      <c r="W31" s="697"/>
      <c r="X31" s="698" t="s">
        <v>76</v>
      </c>
      <c r="Y31" s="678">
        <v>0</v>
      </c>
      <c r="Z31" s="678">
        <v>2139793</v>
      </c>
      <c r="AA31" s="678">
        <v>2139793</v>
      </c>
      <c r="AB31" s="699">
        <f t="shared" si="15"/>
        <v>2.0452370860171989</v>
      </c>
      <c r="AC31" s="700"/>
      <c r="AD31" s="701"/>
    </row>
    <row r="32" spans="1:30" s="639" customFormat="1" x14ac:dyDescent="0.25">
      <c r="A32" s="639">
        <v>26</v>
      </c>
      <c r="B32" s="639">
        <f>+'_DATA STT PAGOS_'!M32</f>
        <v>4101</v>
      </c>
      <c r="C32" s="639" t="str">
        <f>+'_DATA STT PAGOS_'!O32</f>
        <v>LA SERENA</v>
      </c>
      <c r="D32" s="693">
        <f>+'_DATA STT PAGOS_'!G32</f>
        <v>0</v>
      </c>
      <c r="E32" s="693">
        <f>+'_DATA STT PAGOS_'!J32</f>
        <v>15618801.604000002</v>
      </c>
      <c r="F32" s="694">
        <f>+COEF_FCM!AG34</f>
        <v>4.2805304101000002E-3</v>
      </c>
      <c r="G32" s="693">
        <f t="shared" si="11"/>
        <v>12149692</v>
      </c>
      <c r="H32" s="695">
        <f t="shared" si="12"/>
        <v>-3469109.6040000021</v>
      </c>
      <c r="I32" s="641">
        <f t="shared" si="13"/>
        <v>-3469110</v>
      </c>
      <c r="J32" s="696">
        <f t="shared" si="14"/>
        <v>0</v>
      </c>
      <c r="K32" s="693">
        <f t="shared" si="0"/>
        <v>0</v>
      </c>
      <c r="L32" s="695">
        <f t="shared" si="1"/>
        <v>0</v>
      </c>
      <c r="M32" s="693">
        <f t="shared" si="2"/>
        <v>0</v>
      </c>
      <c r="N32" s="693">
        <f t="shared" si="3"/>
        <v>15618802</v>
      </c>
      <c r="O32" s="695">
        <f t="shared" si="4"/>
        <v>15618802</v>
      </c>
      <c r="P32" s="695">
        <f t="shared" si="5"/>
        <v>3469110</v>
      </c>
      <c r="Q32" s="697">
        <f t="shared" si="6"/>
        <v>4.2805304101000002E-3</v>
      </c>
      <c r="R32" s="694">
        <f t="shared" si="7"/>
        <v>1.2222228648000001E-3</v>
      </c>
      <c r="S32" s="693">
        <v>0</v>
      </c>
      <c r="T32" s="695">
        <f t="shared" si="8"/>
        <v>15618802</v>
      </c>
      <c r="U32" s="695">
        <f t="shared" si="9"/>
        <v>15618802</v>
      </c>
      <c r="V32" s="693">
        <f t="shared" si="10"/>
        <v>3469110</v>
      </c>
      <c r="W32" s="697"/>
      <c r="X32" s="698" t="s">
        <v>78</v>
      </c>
      <c r="Y32" s="678">
        <v>0</v>
      </c>
      <c r="Z32" s="678">
        <v>12239937</v>
      </c>
      <c r="AA32" s="678">
        <v>12239937</v>
      </c>
      <c r="AB32" s="699">
        <f t="shared" si="15"/>
        <v>1.2760524829498714</v>
      </c>
      <c r="AC32" s="700"/>
      <c r="AD32" s="701"/>
    </row>
    <row r="33" spans="1:30" s="639" customFormat="1" x14ac:dyDescent="0.25">
      <c r="A33" s="639">
        <v>27</v>
      </c>
      <c r="B33" s="639">
        <f>+'_DATA STT PAGOS_'!M33</f>
        <v>4102</v>
      </c>
      <c r="C33" s="639" t="str">
        <f>+'_DATA STT PAGOS_'!O33</f>
        <v>COQUIMBO</v>
      </c>
      <c r="D33" s="693">
        <f>+'_DATA STT PAGOS_'!G33</f>
        <v>0</v>
      </c>
      <c r="E33" s="693">
        <f>+'_DATA STT PAGOS_'!J33</f>
        <v>31940954.115000002</v>
      </c>
      <c r="F33" s="694">
        <f>+COEF_FCM!AG35</f>
        <v>1.2365458046400001E-2</v>
      </c>
      <c r="G33" s="693">
        <f t="shared" si="11"/>
        <v>35097637</v>
      </c>
      <c r="H33" s="695">
        <f t="shared" si="12"/>
        <v>3156682.8849999979</v>
      </c>
      <c r="I33" s="641">
        <f t="shared" si="13"/>
        <v>0</v>
      </c>
      <c r="J33" s="696">
        <f t="shared" si="14"/>
        <v>3156682.8849999979</v>
      </c>
      <c r="K33" s="693">
        <f t="shared" si="0"/>
        <v>1721143</v>
      </c>
      <c r="L33" s="695">
        <f t="shared" si="1"/>
        <v>1435539.8849999979</v>
      </c>
      <c r="M33" s="693">
        <f t="shared" si="2"/>
        <v>33376494</v>
      </c>
      <c r="N33" s="693">
        <f t="shared" si="3"/>
        <v>0</v>
      </c>
      <c r="O33" s="695">
        <f t="shared" si="4"/>
        <v>33376494</v>
      </c>
      <c r="P33" s="695">
        <f t="shared" si="5"/>
        <v>-1721143</v>
      </c>
      <c r="Q33" s="697">
        <f t="shared" si="6"/>
        <v>1.2365458046400001E-2</v>
      </c>
      <c r="R33" s="694">
        <f t="shared" si="7"/>
        <v>-6.0638617060000005E-4</v>
      </c>
      <c r="S33" s="693">
        <v>0</v>
      </c>
      <c r="T33" s="695">
        <f t="shared" si="8"/>
        <v>33376494</v>
      </c>
      <c r="U33" s="695">
        <f t="shared" si="9"/>
        <v>33376494</v>
      </c>
      <c r="V33" s="693">
        <f t="shared" si="10"/>
        <v>0</v>
      </c>
      <c r="W33" s="697"/>
      <c r="X33" s="698" t="s">
        <v>80</v>
      </c>
      <c r="Y33" s="678">
        <v>0</v>
      </c>
      <c r="Z33" s="678">
        <v>22491306</v>
      </c>
      <c r="AA33" s="678">
        <v>22491306</v>
      </c>
      <c r="AB33" s="699">
        <f t="shared" si="15"/>
        <v>1.4839731405548438</v>
      </c>
      <c r="AC33" s="700"/>
      <c r="AD33" s="701"/>
    </row>
    <row r="34" spans="1:30" s="639" customFormat="1" x14ac:dyDescent="0.25">
      <c r="A34" s="639">
        <v>28</v>
      </c>
      <c r="B34" s="639">
        <f>+'_DATA STT PAGOS_'!M34</f>
        <v>4103</v>
      </c>
      <c r="C34" s="639" t="str">
        <f>+'_DATA STT PAGOS_'!O34</f>
        <v>ANDACOLLO</v>
      </c>
      <c r="D34" s="693">
        <f>+'_DATA STT PAGOS_'!G34</f>
        <v>0</v>
      </c>
      <c r="E34" s="693">
        <f>+'_DATA STT PAGOS_'!J34</f>
        <v>3553857.9780000001</v>
      </c>
      <c r="F34" s="694">
        <f>+COEF_FCM!AG36</f>
        <v>1.4634594166E-3</v>
      </c>
      <c r="G34" s="693">
        <f t="shared" si="11"/>
        <v>4153826</v>
      </c>
      <c r="H34" s="695">
        <f t="shared" si="12"/>
        <v>599968.02199999988</v>
      </c>
      <c r="I34" s="641">
        <f t="shared" si="13"/>
        <v>0</v>
      </c>
      <c r="J34" s="696">
        <f t="shared" si="14"/>
        <v>599968.02199999988</v>
      </c>
      <c r="K34" s="693">
        <f t="shared" si="0"/>
        <v>327125</v>
      </c>
      <c r="L34" s="695">
        <f t="shared" si="1"/>
        <v>272843.02199999988</v>
      </c>
      <c r="M34" s="693">
        <f t="shared" si="2"/>
        <v>3826701</v>
      </c>
      <c r="N34" s="693">
        <f t="shared" si="3"/>
        <v>0</v>
      </c>
      <c r="O34" s="695">
        <f t="shared" si="4"/>
        <v>3826701</v>
      </c>
      <c r="P34" s="695">
        <f t="shared" si="5"/>
        <v>-327125</v>
      </c>
      <c r="Q34" s="697">
        <f t="shared" si="6"/>
        <v>1.4634594166E-3</v>
      </c>
      <c r="R34" s="694">
        <f t="shared" si="7"/>
        <v>-1.152513626E-4</v>
      </c>
      <c r="S34" s="693">
        <v>0</v>
      </c>
      <c r="T34" s="695">
        <f t="shared" si="8"/>
        <v>3826701</v>
      </c>
      <c r="U34" s="695">
        <f t="shared" si="9"/>
        <v>3826701</v>
      </c>
      <c r="V34" s="693">
        <f t="shared" si="10"/>
        <v>0</v>
      </c>
      <c r="W34" s="697"/>
      <c r="X34" s="698" t="s">
        <v>81</v>
      </c>
      <c r="Y34" s="678">
        <v>0</v>
      </c>
      <c r="Z34" s="678">
        <v>2329741</v>
      </c>
      <c r="AA34" s="678">
        <v>2329741</v>
      </c>
      <c r="AB34" s="699">
        <f t="shared" si="15"/>
        <v>1.642543527370639</v>
      </c>
      <c r="AC34" s="700"/>
      <c r="AD34" s="701"/>
    </row>
    <row r="35" spans="1:30" s="639" customFormat="1" x14ac:dyDescent="0.25">
      <c r="A35" s="639">
        <v>29</v>
      </c>
      <c r="B35" s="639">
        <f>+'_DATA STT PAGOS_'!M35</f>
        <v>4104</v>
      </c>
      <c r="C35" s="639" t="str">
        <f>+'_DATA STT PAGOS_'!O35</f>
        <v>LA HIGUERA</v>
      </c>
      <c r="D35" s="693">
        <f>+'_DATA STT PAGOS_'!G35</f>
        <v>0</v>
      </c>
      <c r="E35" s="693">
        <f>+'_DATA STT PAGOS_'!J35</f>
        <v>3061305.4210000001</v>
      </c>
      <c r="F35" s="694">
        <f>+COEF_FCM!AG37</f>
        <v>1.5283578196999999E-3</v>
      </c>
      <c r="G35" s="693">
        <f t="shared" si="11"/>
        <v>4338032</v>
      </c>
      <c r="H35" s="695">
        <f t="shared" si="12"/>
        <v>1276726.5789999999</v>
      </c>
      <c r="I35" s="641">
        <f t="shared" si="13"/>
        <v>0</v>
      </c>
      <c r="J35" s="696">
        <f t="shared" si="14"/>
        <v>1276726.5789999999</v>
      </c>
      <c r="K35" s="693">
        <f t="shared" si="0"/>
        <v>696120</v>
      </c>
      <c r="L35" s="695">
        <f t="shared" si="1"/>
        <v>580606.57899999991</v>
      </c>
      <c r="M35" s="693">
        <f t="shared" si="2"/>
        <v>3641912</v>
      </c>
      <c r="N35" s="693">
        <f t="shared" si="3"/>
        <v>0</v>
      </c>
      <c r="O35" s="695">
        <f t="shared" si="4"/>
        <v>3641912</v>
      </c>
      <c r="P35" s="695">
        <f t="shared" si="5"/>
        <v>-696120</v>
      </c>
      <c r="Q35" s="697">
        <f t="shared" si="6"/>
        <v>1.5283578196999999E-3</v>
      </c>
      <c r="R35" s="694">
        <f t="shared" si="7"/>
        <v>-2.4525419509999999E-4</v>
      </c>
      <c r="S35" s="693">
        <v>0</v>
      </c>
      <c r="T35" s="695">
        <f t="shared" si="8"/>
        <v>3641912</v>
      </c>
      <c r="U35" s="695">
        <f t="shared" si="9"/>
        <v>3641912</v>
      </c>
      <c r="V35" s="693">
        <f t="shared" si="10"/>
        <v>0</v>
      </c>
      <c r="W35" s="697"/>
      <c r="X35" s="698" t="s">
        <v>79</v>
      </c>
      <c r="Y35" s="678">
        <v>0</v>
      </c>
      <c r="Z35" s="678">
        <v>1897798</v>
      </c>
      <c r="AA35" s="678">
        <v>1897798</v>
      </c>
      <c r="AB35" s="699">
        <f t="shared" si="15"/>
        <v>1.9190198324584598</v>
      </c>
      <c r="AC35" s="700"/>
      <c r="AD35" s="701"/>
    </row>
    <row r="36" spans="1:30" s="639" customFormat="1" x14ac:dyDescent="0.25">
      <c r="A36" s="639">
        <v>30</v>
      </c>
      <c r="B36" s="639">
        <f>+'_DATA STT PAGOS_'!M36</f>
        <v>4105</v>
      </c>
      <c r="C36" s="639" t="str">
        <f>+'_DATA STT PAGOS_'!O36</f>
        <v>PAIGUANO</v>
      </c>
      <c r="D36" s="693">
        <f>+'_DATA STT PAGOS_'!G36</f>
        <v>0</v>
      </c>
      <c r="E36" s="693">
        <f>+'_DATA STT PAGOS_'!J36</f>
        <v>3533634.3550000004</v>
      </c>
      <c r="F36" s="694">
        <f>+COEF_FCM!AG38</f>
        <v>1.2652333860999998E-3</v>
      </c>
      <c r="G36" s="693">
        <f t="shared" si="11"/>
        <v>3591189</v>
      </c>
      <c r="H36" s="695">
        <f t="shared" si="12"/>
        <v>57554.644999999553</v>
      </c>
      <c r="I36" s="641">
        <f t="shared" si="13"/>
        <v>0</v>
      </c>
      <c r="J36" s="696">
        <f t="shared" si="14"/>
        <v>57554.644999999553</v>
      </c>
      <c r="K36" s="693">
        <f t="shared" si="0"/>
        <v>31381</v>
      </c>
      <c r="L36" s="695">
        <f t="shared" si="1"/>
        <v>26173.644999999553</v>
      </c>
      <c r="M36" s="693">
        <f t="shared" si="2"/>
        <v>3559808</v>
      </c>
      <c r="N36" s="693">
        <f t="shared" si="3"/>
        <v>0</v>
      </c>
      <c r="O36" s="695">
        <f t="shared" si="4"/>
        <v>3559808</v>
      </c>
      <c r="P36" s="695">
        <f t="shared" si="5"/>
        <v>-31381</v>
      </c>
      <c r="Q36" s="697">
        <f t="shared" si="6"/>
        <v>1.2652333860999998E-3</v>
      </c>
      <c r="R36" s="694">
        <f t="shared" si="7"/>
        <v>-1.1056027500000001E-5</v>
      </c>
      <c r="S36" s="693">
        <v>0</v>
      </c>
      <c r="T36" s="695">
        <f t="shared" si="8"/>
        <v>3559808</v>
      </c>
      <c r="U36" s="695">
        <f t="shared" si="9"/>
        <v>3559808</v>
      </c>
      <c r="V36" s="693">
        <f t="shared" si="10"/>
        <v>0</v>
      </c>
      <c r="W36" s="697"/>
      <c r="X36" s="698" t="s">
        <v>28</v>
      </c>
      <c r="Y36" s="678">
        <v>0</v>
      </c>
      <c r="Z36" s="678">
        <v>2341216</v>
      </c>
      <c r="AA36" s="678">
        <v>2341216</v>
      </c>
      <c r="AB36" s="699">
        <f t="shared" si="15"/>
        <v>1.5204953323401174</v>
      </c>
      <c r="AC36" s="700"/>
      <c r="AD36" s="701"/>
    </row>
    <row r="37" spans="1:30" s="639" customFormat="1" x14ac:dyDescent="0.25">
      <c r="A37" s="639">
        <v>31</v>
      </c>
      <c r="B37" s="639">
        <f>+'_DATA STT PAGOS_'!M37</f>
        <v>4106</v>
      </c>
      <c r="C37" s="639" t="str">
        <f>+'_DATA STT PAGOS_'!O37</f>
        <v>VICUÑA</v>
      </c>
      <c r="D37" s="693">
        <f>+'_DATA STT PAGOS_'!G37</f>
        <v>0</v>
      </c>
      <c r="E37" s="693">
        <f>+'_DATA STT PAGOS_'!J37</f>
        <v>9262927.4979999997</v>
      </c>
      <c r="F37" s="694">
        <f>+COEF_FCM!AG39</f>
        <v>3.9204895318E-3</v>
      </c>
      <c r="G37" s="693">
        <f t="shared" si="11"/>
        <v>11127765</v>
      </c>
      <c r="H37" s="695">
        <f t="shared" si="12"/>
        <v>1864837.5020000003</v>
      </c>
      <c r="I37" s="641">
        <f t="shared" si="13"/>
        <v>0</v>
      </c>
      <c r="J37" s="696">
        <f t="shared" si="14"/>
        <v>1864837.5020000003</v>
      </c>
      <c r="K37" s="693">
        <f t="shared" si="0"/>
        <v>1016780</v>
      </c>
      <c r="L37" s="695">
        <f t="shared" si="1"/>
        <v>848057.50200000033</v>
      </c>
      <c r="M37" s="693">
        <f t="shared" si="2"/>
        <v>10110985</v>
      </c>
      <c r="N37" s="693">
        <f t="shared" si="3"/>
        <v>0</v>
      </c>
      <c r="O37" s="695">
        <f t="shared" si="4"/>
        <v>10110985</v>
      </c>
      <c r="P37" s="695">
        <f t="shared" si="5"/>
        <v>-1016780</v>
      </c>
      <c r="Q37" s="697">
        <f t="shared" si="6"/>
        <v>3.9204895318E-3</v>
      </c>
      <c r="R37" s="694">
        <f t="shared" si="7"/>
        <v>-3.5822783490000002E-4</v>
      </c>
      <c r="S37" s="693">
        <v>0</v>
      </c>
      <c r="T37" s="695">
        <f t="shared" si="8"/>
        <v>10110985</v>
      </c>
      <c r="U37" s="695">
        <f t="shared" si="9"/>
        <v>10110985</v>
      </c>
      <c r="V37" s="693">
        <f t="shared" si="10"/>
        <v>0</v>
      </c>
      <c r="W37" s="697"/>
      <c r="X37" s="698" t="s">
        <v>82</v>
      </c>
      <c r="Y37" s="678">
        <v>0</v>
      </c>
      <c r="Z37" s="678">
        <v>5756575</v>
      </c>
      <c r="AA37" s="678">
        <v>5756575</v>
      </c>
      <c r="AB37" s="699">
        <f t="shared" si="15"/>
        <v>1.7564237415477084</v>
      </c>
      <c r="AC37" s="700"/>
      <c r="AD37" s="701"/>
    </row>
    <row r="38" spans="1:30" s="639" customFormat="1" x14ac:dyDescent="0.25">
      <c r="A38" s="639">
        <v>32</v>
      </c>
      <c r="B38" s="639">
        <f>+'_DATA STT PAGOS_'!M38</f>
        <v>4201</v>
      </c>
      <c r="C38" s="639" t="str">
        <f>+'_DATA STT PAGOS_'!O38</f>
        <v>ILLAPEL</v>
      </c>
      <c r="D38" s="693">
        <f>+'_DATA STT PAGOS_'!G38</f>
        <v>0</v>
      </c>
      <c r="E38" s="693">
        <f>+'_DATA STT PAGOS_'!J38</f>
        <v>7490051.2749999994</v>
      </c>
      <c r="F38" s="694">
        <f>+COEF_FCM!AG40</f>
        <v>2.9426147622999997E-3</v>
      </c>
      <c r="G38" s="693">
        <f t="shared" si="11"/>
        <v>8352204</v>
      </c>
      <c r="H38" s="695">
        <f t="shared" si="12"/>
        <v>862152.72500000056</v>
      </c>
      <c r="I38" s="641">
        <f t="shared" si="13"/>
        <v>0</v>
      </c>
      <c r="J38" s="696">
        <f t="shared" si="14"/>
        <v>862152.72500000056</v>
      </c>
      <c r="K38" s="693">
        <f t="shared" si="0"/>
        <v>470078</v>
      </c>
      <c r="L38" s="695">
        <f t="shared" si="1"/>
        <v>392074.72500000056</v>
      </c>
      <c r="M38" s="693">
        <f t="shared" si="2"/>
        <v>7882126</v>
      </c>
      <c r="N38" s="693">
        <f t="shared" si="3"/>
        <v>0</v>
      </c>
      <c r="O38" s="695">
        <f t="shared" si="4"/>
        <v>7882126</v>
      </c>
      <c r="P38" s="695">
        <f t="shared" si="5"/>
        <v>-470078</v>
      </c>
      <c r="Q38" s="697">
        <f t="shared" si="6"/>
        <v>2.9426147622999997E-3</v>
      </c>
      <c r="R38" s="694">
        <f t="shared" si="7"/>
        <v>-1.6561598790000001E-4</v>
      </c>
      <c r="S38" s="693">
        <v>0</v>
      </c>
      <c r="T38" s="695">
        <f t="shared" si="8"/>
        <v>7882126</v>
      </c>
      <c r="U38" s="695">
        <f t="shared" si="9"/>
        <v>7882126</v>
      </c>
      <c r="V38" s="693">
        <f t="shared" si="10"/>
        <v>0</v>
      </c>
      <c r="W38" s="697"/>
      <c r="X38" s="698" t="s">
        <v>86</v>
      </c>
      <c r="Y38" s="678">
        <v>0</v>
      </c>
      <c r="Z38" s="678">
        <v>4880130</v>
      </c>
      <c r="AA38" s="678">
        <v>4880130</v>
      </c>
      <c r="AB38" s="699">
        <f t="shared" si="15"/>
        <v>1.6151467276486486</v>
      </c>
      <c r="AC38" s="700"/>
      <c r="AD38" s="701"/>
    </row>
    <row r="39" spans="1:30" s="639" customFormat="1" x14ac:dyDescent="0.25">
      <c r="A39" s="639">
        <v>33</v>
      </c>
      <c r="B39" s="639">
        <f>+'_DATA STT PAGOS_'!M39</f>
        <v>4202</v>
      </c>
      <c r="C39" s="639" t="str">
        <f>+'_DATA STT PAGOS_'!O39</f>
        <v>CANELA</v>
      </c>
      <c r="D39" s="693">
        <f>+'_DATA STT PAGOS_'!G39</f>
        <v>0</v>
      </c>
      <c r="E39" s="693">
        <f>+'_DATA STT PAGOS_'!J39</f>
        <v>4034471.3739999998</v>
      </c>
      <c r="F39" s="694">
        <f>+COEF_FCM!AG41</f>
        <v>2.2312945272999997E-3</v>
      </c>
      <c r="G39" s="693">
        <f t="shared" si="11"/>
        <v>6333220</v>
      </c>
      <c r="H39" s="695">
        <f t="shared" si="12"/>
        <v>2298748.6260000002</v>
      </c>
      <c r="I39" s="641">
        <f t="shared" si="13"/>
        <v>0</v>
      </c>
      <c r="J39" s="696">
        <f t="shared" si="14"/>
        <v>2298748.6260000002</v>
      </c>
      <c r="K39" s="693">
        <f t="shared" si="0"/>
        <v>1253365</v>
      </c>
      <c r="L39" s="695">
        <f t="shared" si="1"/>
        <v>1045383.6260000002</v>
      </c>
      <c r="M39" s="693">
        <f t="shared" si="2"/>
        <v>5079855</v>
      </c>
      <c r="N39" s="693">
        <f t="shared" si="3"/>
        <v>0</v>
      </c>
      <c r="O39" s="695">
        <f t="shared" si="4"/>
        <v>5079855</v>
      </c>
      <c r="P39" s="695">
        <f t="shared" si="5"/>
        <v>-1253365</v>
      </c>
      <c r="Q39" s="697">
        <f t="shared" si="6"/>
        <v>2.2312945272999997E-3</v>
      </c>
      <c r="R39" s="694">
        <f t="shared" si="7"/>
        <v>-4.415805094E-4</v>
      </c>
      <c r="S39" s="693">
        <v>0</v>
      </c>
      <c r="T39" s="695">
        <f t="shared" si="8"/>
        <v>5079855</v>
      </c>
      <c r="U39" s="695">
        <f t="shared" si="9"/>
        <v>5079855</v>
      </c>
      <c r="V39" s="693">
        <f t="shared" si="10"/>
        <v>0</v>
      </c>
      <c r="W39" s="697"/>
      <c r="X39" s="698" t="s">
        <v>89</v>
      </c>
      <c r="Y39" s="678">
        <v>0</v>
      </c>
      <c r="Z39" s="678">
        <v>2212277</v>
      </c>
      <c r="AA39" s="678">
        <v>2212277</v>
      </c>
      <c r="AB39" s="699">
        <f t="shared" si="15"/>
        <v>2.2962110983389512</v>
      </c>
      <c r="AC39" s="700"/>
      <c r="AD39" s="701"/>
    </row>
    <row r="40" spans="1:30" s="639" customFormat="1" x14ac:dyDescent="0.25">
      <c r="A40" s="639">
        <v>34</v>
      </c>
      <c r="B40" s="639">
        <f>+'_DATA STT PAGOS_'!M40</f>
        <v>4203</v>
      </c>
      <c r="C40" s="639" t="str">
        <f>+'_DATA STT PAGOS_'!O40</f>
        <v>LOS VILOS</v>
      </c>
      <c r="D40" s="693">
        <f>+'_DATA STT PAGOS_'!G40</f>
        <v>0</v>
      </c>
      <c r="E40" s="693">
        <f>+'_DATA STT PAGOS_'!J40</f>
        <v>12414869.785</v>
      </c>
      <c r="F40" s="694">
        <f>+COEF_FCM!AG42</f>
        <v>5.3683452994999995E-3</v>
      </c>
      <c r="G40" s="693">
        <f t="shared" si="11"/>
        <v>15237303</v>
      </c>
      <c r="H40" s="695">
        <f t="shared" si="12"/>
        <v>2822433.2149999999</v>
      </c>
      <c r="I40" s="641">
        <f t="shared" si="13"/>
        <v>0</v>
      </c>
      <c r="J40" s="696">
        <f t="shared" si="14"/>
        <v>2822433.2149999999</v>
      </c>
      <c r="K40" s="693">
        <f t="shared" si="0"/>
        <v>1538898</v>
      </c>
      <c r="L40" s="695">
        <f t="shared" si="1"/>
        <v>1283535.2149999999</v>
      </c>
      <c r="M40" s="693">
        <f t="shared" si="2"/>
        <v>13698405</v>
      </c>
      <c r="N40" s="693">
        <f t="shared" si="3"/>
        <v>0</v>
      </c>
      <c r="O40" s="695">
        <f t="shared" si="4"/>
        <v>13698405</v>
      </c>
      <c r="P40" s="695">
        <f t="shared" si="5"/>
        <v>-1538898</v>
      </c>
      <c r="Q40" s="697">
        <f t="shared" si="6"/>
        <v>5.3683452994999995E-3</v>
      </c>
      <c r="R40" s="694">
        <f t="shared" si="7"/>
        <v>-5.4217834610000004E-4</v>
      </c>
      <c r="S40" s="693">
        <v>0</v>
      </c>
      <c r="T40" s="695">
        <f t="shared" si="8"/>
        <v>13698405</v>
      </c>
      <c r="U40" s="695">
        <f t="shared" si="9"/>
        <v>13698405</v>
      </c>
      <c r="V40" s="693">
        <f t="shared" si="10"/>
        <v>0</v>
      </c>
      <c r="W40" s="697"/>
      <c r="X40" s="698" t="s">
        <v>88</v>
      </c>
      <c r="Y40" s="678">
        <v>0</v>
      </c>
      <c r="Z40" s="678">
        <v>6944819</v>
      </c>
      <c r="AA40" s="678">
        <v>6944819</v>
      </c>
      <c r="AB40" s="699">
        <f t="shared" si="15"/>
        <v>1.9724639331852998</v>
      </c>
      <c r="AC40" s="700"/>
      <c r="AD40" s="701"/>
    </row>
    <row r="41" spans="1:30" s="639" customFormat="1" x14ac:dyDescent="0.25">
      <c r="A41" s="639">
        <v>35</v>
      </c>
      <c r="B41" s="639">
        <f>+'_DATA STT PAGOS_'!M41</f>
        <v>4204</v>
      </c>
      <c r="C41" s="639" t="str">
        <f>+'_DATA STT PAGOS_'!O41</f>
        <v>SALAMANCA</v>
      </c>
      <c r="D41" s="693">
        <f>+'_DATA STT PAGOS_'!G41</f>
        <v>0</v>
      </c>
      <c r="E41" s="693">
        <f>+'_DATA STT PAGOS_'!J41</f>
        <v>6121725.1579999998</v>
      </c>
      <c r="F41" s="694">
        <f>+COEF_FCM!AG43</f>
        <v>2.7171629085E-3</v>
      </c>
      <c r="G41" s="693">
        <f t="shared" si="11"/>
        <v>7712290</v>
      </c>
      <c r="H41" s="695">
        <f t="shared" si="12"/>
        <v>1590564.8420000002</v>
      </c>
      <c r="I41" s="641">
        <f t="shared" si="13"/>
        <v>0</v>
      </c>
      <c r="J41" s="696">
        <f t="shared" si="14"/>
        <v>1590564.8420000002</v>
      </c>
      <c r="K41" s="693">
        <f t="shared" si="0"/>
        <v>867236</v>
      </c>
      <c r="L41" s="695">
        <f t="shared" si="1"/>
        <v>723328.84200000018</v>
      </c>
      <c r="M41" s="693">
        <f t="shared" si="2"/>
        <v>6845054</v>
      </c>
      <c r="N41" s="693">
        <f t="shared" si="3"/>
        <v>0</v>
      </c>
      <c r="O41" s="695">
        <f t="shared" si="4"/>
        <v>6845054</v>
      </c>
      <c r="P41" s="695">
        <f t="shared" si="5"/>
        <v>-867236</v>
      </c>
      <c r="Q41" s="697">
        <f t="shared" si="6"/>
        <v>2.7171629085E-3</v>
      </c>
      <c r="R41" s="694">
        <f t="shared" si="7"/>
        <v>-3.0554109510000003E-4</v>
      </c>
      <c r="S41" s="693">
        <v>0</v>
      </c>
      <c r="T41" s="695">
        <f t="shared" si="8"/>
        <v>6845054</v>
      </c>
      <c r="U41" s="695">
        <f t="shared" si="9"/>
        <v>6845054</v>
      </c>
      <c r="V41" s="693">
        <f t="shared" si="10"/>
        <v>0</v>
      </c>
      <c r="W41" s="697"/>
      <c r="X41" s="698" t="s">
        <v>87</v>
      </c>
      <c r="Y41" s="678">
        <v>0</v>
      </c>
      <c r="Z41" s="678">
        <v>3277446</v>
      </c>
      <c r="AA41" s="678">
        <v>3277446</v>
      </c>
      <c r="AB41" s="699">
        <f t="shared" si="15"/>
        <v>2.0885329613363575</v>
      </c>
      <c r="AC41" s="700"/>
      <c r="AD41" s="701"/>
    </row>
    <row r="42" spans="1:30" s="639" customFormat="1" x14ac:dyDescent="0.25">
      <c r="A42" s="639">
        <v>36</v>
      </c>
      <c r="B42" s="639">
        <f>+'_DATA STT PAGOS_'!M42</f>
        <v>4301</v>
      </c>
      <c r="C42" s="639" t="str">
        <f>+'_DATA STT PAGOS_'!O42</f>
        <v>OVALLE</v>
      </c>
      <c r="D42" s="693">
        <f>+'_DATA STT PAGOS_'!G42</f>
        <v>0</v>
      </c>
      <c r="E42" s="693">
        <f>+'_DATA STT PAGOS_'!J42</f>
        <v>20071999.322999999</v>
      </c>
      <c r="F42" s="694">
        <f>+COEF_FCM!AG44</f>
        <v>8.1640494396000001E-3</v>
      </c>
      <c r="G42" s="693">
        <f t="shared" si="11"/>
        <v>23172521</v>
      </c>
      <c r="H42" s="695">
        <f t="shared" si="12"/>
        <v>3100521.6770000011</v>
      </c>
      <c r="I42" s="641">
        <f t="shared" si="13"/>
        <v>0</v>
      </c>
      <c r="J42" s="696">
        <f t="shared" si="14"/>
        <v>3100521.6770000011</v>
      </c>
      <c r="K42" s="693">
        <f t="shared" si="0"/>
        <v>1690522</v>
      </c>
      <c r="L42" s="695">
        <f t="shared" si="1"/>
        <v>1409999.6770000011</v>
      </c>
      <c r="M42" s="693">
        <f t="shared" si="2"/>
        <v>21481999</v>
      </c>
      <c r="N42" s="693">
        <f t="shared" si="3"/>
        <v>0</v>
      </c>
      <c r="O42" s="695">
        <f t="shared" si="4"/>
        <v>21481999</v>
      </c>
      <c r="P42" s="695">
        <f t="shared" si="5"/>
        <v>-1690522</v>
      </c>
      <c r="Q42" s="697">
        <f t="shared" si="6"/>
        <v>8.1640494396000001E-3</v>
      </c>
      <c r="R42" s="694">
        <f t="shared" si="7"/>
        <v>-5.9559790320000004E-4</v>
      </c>
      <c r="S42" s="693">
        <v>0</v>
      </c>
      <c r="T42" s="695">
        <f t="shared" si="8"/>
        <v>21481999</v>
      </c>
      <c r="U42" s="695">
        <f t="shared" si="9"/>
        <v>21481999</v>
      </c>
      <c r="V42" s="693">
        <f t="shared" si="10"/>
        <v>0</v>
      </c>
      <c r="W42" s="697"/>
      <c r="X42" s="698" t="s">
        <v>83</v>
      </c>
      <c r="Y42" s="678">
        <v>0</v>
      </c>
      <c r="Z42" s="678">
        <v>15126452</v>
      </c>
      <c r="AA42" s="678">
        <v>15126452</v>
      </c>
      <c r="AB42" s="699">
        <f t="shared" si="15"/>
        <v>1.420161119078023</v>
      </c>
      <c r="AC42" s="700"/>
      <c r="AD42" s="701"/>
    </row>
    <row r="43" spans="1:30" s="639" customFormat="1" x14ac:dyDescent="0.25">
      <c r="A43" s="639">
        <v>37</v>
      </c>
      <c r="B43" s="639">
        <f>+'_DATA STT PAGOS_'!M43</f>
        <v>4302</v>
      </c>
      <c r="C43" s="639" t="str">
        <f>+'_DATA STT PAGOS_'!O43</f>
        <v>COMBARBALÁ</v>
      </c>
      <c r="D43" s="693">
        <f>+'_DATA STT PAGOS_'!G43</f>
        <v>0</v>
      </c>
      <c r="E43" s="693">
        <f>+'_DATA STT PAGOS_'!J43</f>
        <v>5281604.0240000002</v>
      </c>
      <c r="F43" s="694">
        <f>+COEF_FCM!AG45</f>
        <v>2.1829226593999998E-3</v>
      </c>
      <c r="G43" s="693">
        <f t="shared" si="11"/>
        <v>6195923</v>
      </c>
      <c r="H43" s="695">
        <f t="shared" si="12"/>
        <v>914318.97599999979</v>
      </c>
      <c r="I43" s="641">
        <f t="shared" si="13"/>
        <v>0</v>
      </c>
      <c r="J43" s="696">
        <f t="shared" si="14"/>
        <v>914318.97599999979</v>
      </c>
      <c r="K43" s="693">
        <f t="shared" si="0"/>
        <v>498521</v>
      </c>
      <c r="L43" s="695">
        <f t="shared" si="1"/>
        <v>415797.97599999979</v>
      </c>
      <c r="M43" s="693">
        <f t="shared" si="2"/>
        <v>5697402</v>
      </c>
      <c r="N43" s="693">
        <f t="shared" si="3"/>
        <v>0</v>
      </c>
      <c r="O43" s="695">
        <f t="shared" si="4"/>
        <v>5697402</v>
      </c>
      <c r="P43" s="695">
        <f t="shared" si="5"/>
        <v>-498521</v>
      </c>
      <c r="Q43" s="697">
        <f t="shared" si="6"/>
        <v>2.1829226593999998E-3</v>
      </c>
      <c r="R43" s="694">
        <f t="shared" si="7"/>
        <v>-1.7563691110000001E-4</v>
      </c>
      <c r="S43" s="693">
        <v>0</v>
      </c>
      <c r="T43" s="695">
        <f t="shared" si="8"/>
        <v>5697402</v>
      </c>
      <c r="U43" s="695">
        <f t="shared" si="9"/>
        <v>5697402</v>
      </c>
      <c r="V43" s="693">
        <f t="shared" si="10"/>
        <v>0</v>
      </c>
      <c r="W43" s="697"/>
      <c r="X43" s="698" t="s">
        <v>376</v>
      </c>
      <c r="Y43" s="678">
        <v>0</v>
      </c>
      <c r="Z43" s="678">
        <v>3454323</v>
      </c>
      <c r="AA43" s="678">
        <v>3454323</v>
      </c>
      <c r="AB43" s="699">
        <f t="shared" si="15"/>
        <v>1.6493541570953267</v>
      </c>
      <c r="AC43" s="700"/>
      <c r="AD43" s="701"/>
    </row>
    <row r="44" spans="1:30" s="639" customFormat="1" x14ac:dyDescent="0.25">
      <c r="A44" s="639">
        <v>38</v>
      </c>
      <c r="B44" s="639">
        <f>+'_DATA STT PAGOS_'!M44</f>
        <v>4303</v>
      </c>
      <c r="C44" s="639" t="str">
        <f>+'_DATA STT PAGOS_'!O44</f>
        <v>MONTE PATRIA</v>
      </c>
      <c r="D44" s="693">
        <f>+'_DATA STT PAGOS_'!G44</f>
        <v>0</v>
      </c>
      <c r="E44" s="693">
        <f>+'_DATA STT PAGOS_'!J44</f>
        <v>8907587.807</v>
      </c>
      <c r="F44" s="694">
        <f>+COEF_FCM!AG46</f>
        <v>3.5552917356999995E-3</v>
      </c>
      <c r="G44" s="693">
        <f t="shared" si="11"/>
        <v>10091202</v>
      </c>
      <c r="H44" s="695">
        <f t="shared" si="12"/>
        <v>1183614.193</v>
      </c>
      <c r="I44" s="641">
        <f t="shared" si="13"/>
        <v>0</v>
      </c>
      <c r="J44" s="696">
        <f t="shared" si="14"/>
        <v>1183614.193</v>
      </c>
      <c r="K44" s="693">
        <f t="shared" si="0"/>
        <v>645351</v>
      </c>
      <c r="L44" s="695">
        <f t="shared" si="1"/>
        <v>538263.19299999997</v>
      </c>
      <c r="M44" s="693">
        <f t="shared" si="2"/>
        <v>9445851</v>
      </c>
      <c r="N44" s="693">
        <f t="shared" si="3"/>
        <v>0</v>
      </c>
      <c r="O44" s="695">
        <f t="shared" si="4"/>
        <v>9445851</v>
      </c>
      <c r="P44" s="695">
        <f t="shared" si="5"/>
        <v>-645351</v>
      </c>
      <c r="Q44" s="697">
        <f t="shared" si="6"/>
        <v>3.5552917356999995E-3</v>
      </c>
      <c r="R44" s="694">
        <f t="shared" si="7"/>
        <v>-2.273674654E-4</v>
      </c>
      <c r="S44" s="693">
        <v>0</v>
      </c>
      <c r="T44" s="695">
        <f t="shared" si="8"/>
        <v>9445851</v>
      </c>
      <c r="U44" s="695">
        <f t="shared" si="9"/>
        <v>9445851</v>
      </c>
      <c r="V44" s="693">
        <f t="shared" si="10"/>
        <v>0</v>
      </c>
      <c r="W44" s="697"/>
      <c r="X44" s="698" t="s">
        <v>84</v>
      </c>
      <c r="Y44" s="678">
        <v>0</v>
      </c>
      <c r="Z44" s="678">
        <v>6001969</v>
      </c>
      <c r="AA44" s="678">
        <v>6001969</v>
      </c>
      <c r="AB44" s="699">
        <f t="shared" si="15"/>
        <v>1.5737920339142037</v>
      </c>
      <c r="AC44" s="700"/>
      <c r="AD44" s="701"/>
    </row>
    <row r="45" spans="1:30" s="639" customFormat="1" x14ac:dyDescent="0.25">
      <c r="A45" s="639">
        <v>39</v>
      </c>
      <c r="B45" s="639">
        <f>+'_DATA STT PAGOS_'!M45</f>
        <v>4304</v>
      </c>
      <c r="C45" s="639" t="str">
        <f>+'_DATA STT PAGOS_'!O45</f>
        <v>PUNITAQUI</v>
      </c>
      <c r="D45" s="693">
        <f>+'_DATA STT PAGOS_'!G45</f>
        <v>0</v>
      </c>
      <c r="E45" s="693">
        <f>+'_DATA STT PAGOS_'!J45</f>
        <v>4217744.6610000003</v>
      </c>
      <c r="F45" s="694">
        <f>+COEF_FCM!AG47</f>
        <v>1.787320059E-3</v>
      </c>
      <c r="G45" s="693">
        <f t="shared" si="11"/>
        <v>5073060</v>
      </c>
      <c r="H45" s="695">
        <f t="shared" si="12"/>
        <v>855315.33899999969</v>
      </c>
      <c r="I45" s="641">
        <f t="shared" si="13"/>
        <v>0</v>
      </c>
      <c r="J45" s="696">
        <f t="shared" si="14"/>
        <v>855315.33899999969</v>
      </c>
      <c r="K45" s="693">
        <f t="shared" si="0"/>
        <v>466350</v>
      </c>
      <c r="L45" s="695">
        <f t="shared" si="1"/>
        <v>388965.33899999969</v>
      </c>
      <c r="M45" s="693">
        <f t="shared" si="2"/>
        <v>4606710</v>
      </c>
      <c r="N45" s="693">
        <f t="shared" si="3"/>
        <v>0</v>
      </c>
      <c r="O45" s="695">
        <f t="shared" si="4"/>
        <v>4606710</v>
      </c>
      <c r="P45" s="695">
        <f t="shared" si="5"/>
        <v>-466350</v>
      </c>
      <c r="Q45" s="697">
        <f t="shared" si="6"/>
        <v>1.787320059E-3</v>
      </c>
      <c r="R45" s="694">
        <f t="shared" si="7"/>
        <v>-1.64302554E-4</v>
      </c>
      <c r="S45" s="693">
        <v>0</v>
      </c>
      <c r="T45" s="695">
        <f t="shared" si="8"/>
        <v>4606710</v>
      </c>
      <c r="U45" s="695">
        <f t="shared" si="9"/>
        <v>4606710</v>
      </c>
      <c r="V45" s="693">
        <f t="shared" si="10"/>
        <v>0</v>
      </c>
      <c r="W45" s="697"/>
      <c r="X45" s="698" t="s">
        <v>85</v>
      </c>
      <c r="Y45" s="678">
        <v>0</v>
      </c>
      <c r="Z45" s="678">
        <v>2622236</v>
      </c>
      <c r="AA45" s="678">
        <v>2622236</v>
      </c>
      <c r="AB45" s="699">
        <f t="shared" si="15"/>
        <v>1.7567869558651472</v>
      </c>
      <c r="AC45" s="700"/>
      <c r="AD45" s="701"/>
    </row>
    <row r="46" spans="1:30" s="639" customFormat="1" x14ac:dyDescent="0.25">
      <c r="A46" s="639">
        <v>40</v>
      </c>
      <c r="B46" s="639">
        <f>+'_DATA STT PAGOS_'!M46</f>
        <v>4305</v>
      </c>
      <c r="C46" s="639" t="str">
        <f>+'_DATA STT PAGOS_'!O46</f>
        <v>RÍO HURTADO</v>
      </c>
      <c r="D46" s="693">
        <f>+'_DATA STT PAGOS_'!G46</f>
        <v>0</v>
      </c>
      <c r="E46" s="693">
        <f>+'_DATA STT PAGOS_'!J46</f>
        <v>3101976.9219999998</v>
      </c>
      <c r="F46" s="694">
        <f>+COEF_FCM!AG48</f>
        <v>1.3949360636000001E-3</v>
      </c>
      <c r="G46" s="693">
        <f t="shared" si="11"/>
        <v>3959332</v>
      </c>
      <c r="H46" s="695">
        <f t="shared" si="12"/>
        <v>857355.07800000021</v>
      </c>
      <c r="I46" s="641">
        <f t="shared" si="13"/>
        <v>0</v>
      </c>
      <c r="J46" s="696">
        <f t="shared" si="14"/>
        <v>857355.07800000021</v>
      </c>
      <c r="K46" s="693">
        <f t="shared" si="0"/>
        <v>467462</v>
      </c>
      <c r="L46" s="695">
        <f t="shared" si="1"/>
        <v>389893.07800000021</v>
      </c>
      <c r="M46" s="693">
        <f t="shared" si="2"/>
        <v>3491870</v>
      </c>
      <c r="N46" s="693">
        <f t="shared" si="3"/>
        <v>0</v>
      </c>
      <c r="O46" s="695">
        <f t="shared" si="4"/>
        <v>3491870</v>
      </c>
      <c r="P46" s="695">
        <f t="shared" si="5"/>
        <v>-467462</v>
      </c>
      <c r="Q46" s="697">
        <f t="shared" si="6"/>
        <v>1.3949360636000001E-3</v>
      </c>
      <c r="R46" s="694">
        <f t="shared" si="7"/>
        <v>-1.6469432930000001E-4</v>
      </c>
      <c r="S46" s="693">
        <v>0</v>
      </c>
      <c r="T46" s="695">
        <f t="shared" si="8"/>
        <v>3491870</v>
      </c>
      <c r="U46" s="695">
        <f t="shared" si="9"/>
        <v>3491870</v>
      </c>
      <c r="V46" s="693">
        <f t="shared" si="10"/>
        <v>0</v>
      </c>
      <c r="W46" s="697"/>
      <c r="X46" s="698" t="s">
        <v>377</v>
      </c>
      <c r="Y46" s="678">
        <v>0</v>
      </c>
      <c r="Z46" s="678">
        <v>1901378</v>
      </c>
      <c r="AA46" s="678">
        <v>1901378</v>
      </c>
      <c r="AB46" s="699">
        <f t="shared" si="15"/>
        <v>1.8364943740802724</v>
      </c>
      <c r="AC46" s="700"/>
      <c r="AD46" s="701"/>
    </row>
    <row r="47" spans="1:30" s="639" customFormat="1" x14ac:dyDescent="0.25">
      <c r="A47" s="639">
        <v>41</v>
      </c>
      <c r="B47" s="639">
        <f>+'_DATA STT PAGOS_'!M47</f>
        <v>5101</v>
      </c>
      <c r="C47" s="639" t="str">
        <f>+'_DATA STT PAGOS_'!O47</f>
        <v>VALPARAÍSO</v>
      </c>
      <c r="D47" s="693">
        <f>+'_DATA STT PAGOS_'!G47</f>
        <v>0</v>
      </c>
      <c r="E47" s="693">
        <f>+'_DATA STT PAGOS_'!J47</f>
        <v>40710292.370999999</v>
      </c>
      <c r="F47" s="694">
        <f>+COEF_FCM!AG49</f>
        <v>1.64346343247E-2</v>
      </c>
      <c r="G47" s="693">
        <f t="shared" si="11"/>
        <v>46647429</v>
      </c>
      <c r="H47" s="695">
        <f t="shared" si="12"/>
        <v>5937136.6290000007</v>
      </c>
      <c r="I47" s="641">
        <f t="shared" si="13"/>
        <v>0</v>
      </c>
      <c r="J47" s="696">
        <f t="shared" si="14"/>
        <v>5937136.6290000007</v>
      </c>
      <c r="K47" s="693">
        <f t="shared" si="0"/>
        <v>3237152</v>
      </c>
      <c r="L47" s="695">
        <f t="shared" si="1"/>
        <v>2699984.6290000007</v>
      </c>
      <c r="M47" s="693">
        <f t="shared" si="2"/>
        <v>43410277</v>
      </c>
      <c r="N47" s="693">
        <f t="shared" si="3"/>
        <v>0</v>
      </c>
      <c r="O47" s="695">
        <f t="shared" si="4"/>
        <v>43410277</v>
      </c>
      <c r="P47" s="695">
        <f t="shared" si="5"/>
        <v>-3237152</v>
      </c>
      <c r="Q47" s="697">
        <f t="shared" si="6"/>
        <v>1.64346343247E-2</v>
      </c>
      <c r="R47" s="694">
        <f t="shared" si="7"/>
        <v>-1.1405003564E-3</v>
      </c>
      <c r="S47" s="693">
        <v>0</v>
      </c>
      <c r="T47" s="695">
        <f t="shared" si="8"/>
        <v>43410277</v>
      </c>
      <c r="U47" s="695">
        <f t="shared" si="9"/>
        <v>43410277</v>
      </c>
      <c r="V47" s="693">
        <f t="shared" si="10"/>
        <v>0</v>
      </c>
      <c r="W47" s="697"/>
      <c r="X47" s="698" t="s">
        <v>378</v>
      </c>
      <c r="Y47" s="678">
        <v>0</v>
      </c>
      <c r="Z47" s="678">
        <v>23129822</v>
      </c>
      <c r="AA47" s="678">
        <v>23129822</v>
      </c>
      <c r="AB47" s="699">
        <f t="shared" si="15"/>
        <v>1.8768098172134657</v>
      </c>
      <c r="AC47" s="700"/>
      <c r="AD47" s="701"/>
    </row>
    <row r="48" spans="1:30" s="639" customFormat="1" x14ac:dyDescent="0.25">
      <c r="A48" s="639">
        <v>42</v>
      </c>
      <c r="B48" s="639">
        <f>+'_DATA STT PAGOS_'!M48</f>
        <v>5102</v>
      </c>
      <c r="C48" s="639" t="str">
        <f>+'_DATA STT PAGOS_'!O48</f>
        <v>CASABLANCA</v>
      </c>
      <c r="D48" s="693">
        <f>+'_DATA STT PAGOS_'!G48</f>
        <v>0</v>
      </c>
      <c r="E48" s="693">
        <f>+'_DATA STT PAGOS_'!J48</f>
        <v>3071532.6979999999</v>
      </c>
      <c r="F48" s="694">
        <f>+COEF_FCM!AG50</f>
        <v>1.2395388461000001E-3</v>
      </c>
      <c r="G48" s="693">
        <f t="shared" si="11"/>
        <v>3518259</v>
      </c>
      <c r="H48" s="695">
        <f t="shared" si="12"/>
        <v>446726.30200000014</v>
      </c>
      <c r="I48" s="641">
        <f t="shared" si="13"/>
        <v>0</v>
      </c>
      <c r="J48" s="696">
        <f t="shared" si="14"/>
        <v>446726.30200000014</v>
      </c>
      <c r="K48" s="693">
        <f t="shared" si="0"/>
        <v>243572</v>
      </c>
      <c r="L48" s="695">
        <f t="shared" si="1"/>
        <v>203154.30200000014</v>
      </c>
      <c r="M48" s="693">
        <f t="shared" si="2"/>
        <v>3274687</v>
      </c>
      <c r="N48" s="693">
        <f t="shared" si="3"/>
        <v>0</v>
      </c>
      <c r="O48" s="695">
        <f t="shared" si="4"/>
        <v>3274687</v>
      </c>
      <c r="P48" s="695">
        <f t="shared" si="5"/>
        <v>-243572</v>
      </c>
      <c r="Q48" s="697">
        <f t="shared" si="6"/>
        <v>1.2395388461000001E-3</v>
      </c>
      <c r="R48" s="694">
        <f t="shared" si="7"/>
        <v>-8.5814306199999996E-5</v>
      </c>
      <c r="S48" s="693">
        <v>0</v>
      </c>
      <c r="T48" s="695">
        <f t="shared" si="8"/>
        <v>3274687</v>
      </c>
      <c r="U48" s="695">
        <f t="shared" si="9"/>
        <v>3274687</v>
      </c>
      <c r="V48" s="693">
        <f t="shared" si="10"/>
        <v>0</v>
      </c>
      <c r="W48" s="697"/>
      <c r="X48" s="698" t="s">
        <v>97</v>
      </c>
      <c r="Y48" s="678">
        <v>0</v>
      </c>
      <c r="Z48" s="678">
        <v>2043971</v>
      </c>
      <c r="AA48" s="678">
        <v>2043971</v>
      </c>
      <c r="AB48" s="699">
        <f t="shared" si="15"/>
        <v>1.6021200887879525</v>
      </c>
      <c r="AC48" s="700"/>
      <c r="AD48" s="701"/>
    </row>
    <row r="49" spans="1:30" s="639" customFormat="1" x14ac:dyDescent="0.25">
      <c r="A49" s="639">
        <v>43</v>
      </c>
      <c r="B49" s="639">
        <f>+'_DATA STT PAGOS_'!M49</f>
        <v>5103</v>
      </c>
      <c r="C49" s="639" t="str">
        <f>+'_DATA STT PAGOS_'!O49</f>
        <v>CONCÓN</v>
      </c>
      <c r="D49" s="693">
        <f>+'_DATA STT PAGOS_'!G49</f>
        <v>0</v>
      </c>
      <c r="E49" s="693">
        <f>+'_DATA STT PAGOS_'!J49</f>
        <v>2574411.2939999998</v>
      </c>
      <c r="F49" s="694">
        <f>+COEF_FCM!AG51</f>
        <v>9.3301419669999995E-4</v>
      </c>
      <c r="G49" s="693">
        <f t="shared" si="11"/>
        <v>2648231</v>
      </c>
      <c r="H49" s="695">
        <f t="shared" si="12"/>
        <v>73819.706000000238</v>
      </c>
      <c r="I49" s="641">
        <f t="shared" si="13"/>
        <v>0</v>
      </c>
      <c r="J49" s="696">
        <f t="shared" si="14"/>
        <v>73819.706000000238</v>
      </c>
      <c r="K49" s="693">
        <f t="shared" si="0"/>
        <v>40249</v>
      </c>
      <c r="L49" s="695">
        <f t="shared" si="1"/>
        <v>33570.706000000238</v>
      </c>
      <c r="M49" s="693">
        <f t="shared" si="2"/>
        <v>2607982</v>
      </c>
      <c r="N49" s="693">
        <f t="shared" si="3"/>
        <v>0</v>
      </c>
      <c r="O49" s="695">
        <f t="shared" si="4"/>
        <v>2607982</v>
      </c>
      <c r="P49" s="695">
        <f t="shared" si="5"/>
        <v>-40249</v>
      </c>
      <c r="Q49" s="697">
        <f t="shared" si="6"/>
        <v>9.3301419669999995E-4</v>
      </c>
      <c r="R49" s="694">
        <f t="shared" si="7"/>
        <v>-1.41803656E-5</v>
      </c>
      <c r="S49" s="693">
        <v>0</v>
      </c>
      <c r="T49" s="695">
        <f t="shared" si="8"/>
        <v>2607982</v>
      </c>
      <c r="U49" s="695">
        <f t="shared" si="9"/>
        <v>2607982</v>
      </c>
      <c r="V49" s="693">
        <f t="shared" si="10"/>
        <v>0</v>
      </c>
      <c r="W49" s="697"/>
      <c r="X49" s="698" t="s">
        <v>379</v>
      </c>
      <c r="Y49" s="678">
        <v>0</v>
      </c>
      <c r="Z49" s="678">
        <v>1876984</v>
      </c>
      <c r="AA49" s="678">
        <v>1876984</v>
      </c>
      <c r="AB49" s="699">
        <f t="shared" si="15"/>
        <v>1.3894535062632394</v>
      </c>
      <c r="AC49" s="700"/>
      <c r="AD49" s="701"/>
    </row>
    <row r="50" spans="1:30" s="639" customFormat="1" x14ac:dyDescent="0.25">
      <c r="A50" s="639">
        <v>44</v>
      </c>
      <c r="B50" s="639">
        <f>+'_DATA STT PAGOS_'!M50</f>
        <v>5104</v>
      </c>
      <c r="C50" s="639" t="str">
        <f>+'_DATA STT PAGOS_'!O50</f>
        <v>JUAN FERNÁNDEZ</v>
      </c>
      <c r="D50" s="693">
        <f>+'_DATA STT PAGOS_'!G50</f>
        <v>0</v>
      </c>
      <c r="E50" s="693">
        <f>+'_DATA STT PAGOS_'!J50</f>
        <v>2113528.1320000002</v>
      </c>
      <c r="F50" s="694">
        <f>+COEF_FCM!AG52</f>
        <v>7.8309284159999997E-4</v>
      </c>
      <c r="G50" s="693">
        <f t="shared" si="11"/>
        <v>2222700</v>
      </c>
      <c r="H50" s="695">
        <f t="shared" si="12"/>
        <v>109171.86799999978</v>
      </c>
      <c r="I50" s="641">
        <f t="shared" si="13"/>
        <v>0</v>
      </c>
      <c r="J50" s="696">
        <f t="shared" si="14"/>
        <v>109171.86799999978</v>
      </c>
      <c r="K50" s="693">
        <f t="shared" si="0"/>
        <v>59525</v>
      </c>
      <c r="L50" s="695">
        <f t="shared" si="1"/>
        <v>49646.867999999784</v>
      </c>
      <c r="M50" s="693">
        <f t="shared" si="2"/>
        <v>2163175</v>
      </c>
      <c r="N50" s="693">
        <f t="shared" si="3"/>
        <v>0</v>
      </c>
      <c r="O50" s="695">
        <f t="shared" si="4"/>
        <v>2163175</v>
      </c>
      <c r="P50" s="695">
        <f t="shared" si="5"/>
        <v>-59525</v>
      </c>
      <c r="Q50" s="697">
        <f t="shared" si="6"/>
        <v>7.8309284159999997E-4</v>
      </c>
      <c r="R50" s="694">
        <f t="shared" si="7"/>
        <v>-2.0971608300000001E-5</v>
      </c>
      <c r="S50" s="693">
        <v>0</v>
      </c>
      <c r="T50" s="695">
        <f t="shared" si="8"/>
        <v>2163175</v>
      </c>
      <c r="U50" s="695">
        <f t="shared" si="9"/>
        <v>2163175</v>
      </c>
      <c r="V50" s="693">
        <f t="shared" si="10"/>
        <v>0</v>
      </c>
      <c r="W50" s="697"/>
      <c r="X50" s="698" t="s">
        <v>380</v>
      </c>
      <c r="Y50" s="678">
        <v>0</v>
      </c>
      <c r="Z50" s="678">
        <v>1633394</v>
      </c>
      <c r="AA50" s="678">
        <v>1633394</v>
      </c>
      <c r="AB50" s="699">
        <f t="shared" si="15"/>
        <v>1.3243436672352169</v>
      </c>
      <c r="AC50" s="700"/>
      <c r="AD50" s="701"/>
    </row>
    <row r="51" spans="1:30" s="639" customFormat="1" x14ac:dyDescent="0.25">
      <c r="A51" s="639">
        <v>45</v>
      </c>
      <c r="B51" s="639">
        <f>+'_DATA STT PAGOS_'!M51</f>
        <v>5105</v>
      </c>
      <c r="C51" s="639" t="str">
        <f>+'_DATA STT PAGOS_'!O51</f>
        <v>PUCHUNCAVÍ</v>
      </c>
      <c r="D51" s="693">
        <f>+'_DATA STT PAGOS_'!G51</f>
        <v>0</v>
      </c>
      <c r="E51" s="693">
        <f>+'_DATA STT PAGOS_'!J51</f>
        <v>2940412.6069999998</v>
      </c>
      <c r="F51" s="694">
        <f>+COEF_FCM!AG53</f>
        <v>1.0823682633000001E-3</v>
      </c>
      <c r="G51" s="693">
        <f t="shared" si="11"/>
        <v>3072152</v>
      </c>
      <c r="H51" s="695">
        <f t="shared" si="12"/>
        <v>131739.39300000016</v>
      </c>
      <c r="I51" s="641">
        <f t="shared" si="13"/>
        <v>0</v>
      </c>
      <c r="J51" s="696">
        <f t="shared" si="14"/>
        <v>131739.39300000016</v>
      </c>
      <c r="K51" s="693">
        <f t="shared" si="0"/>
        <v>71829</v>
      </c>
      <c r="L51" s="695">
        <f t="shared" si="1"/>
        <v>59910.393000000156</v>
      </c>
      <c r="M51" s="693">
        <f t="shared" si="2"/>
        <v>3000323</v>
      </c>
      <c r="N51" s="693">
        <f t="shared" si="3"/>
        <v>0</v>
      </c>
      <c r="O51" s="695">
        <f t="shared" si="4"/>
        <v>3000323</v>
      </c>
      <c r="P51" s="695">
        <f t="shared" si="5"/>
        <v>-71829</v>
      </c>
      <c r="Q51" s="697">
        <f t="shared" si="6"/>
        <v>1.0823682633000001E-3</v>
      </c>
      <c r="R51" s="694">
        <f t="shared" si="7"/>
        <v>-2.5306504E-5</v>
      </c>
      <c r="S51" s="693">
        <v>0</v>
      </c>
      <c r="T51" s="695">
        <f t="shared" si="8"/>
        <v>3000323</v>
      </c>
      <c r="U51" s="695">
        <f t="shared" si="9"/>
        <v>3000323</v>
      </c>
      <c r="V51" s="693">
        <f t="shared" si="10"/>
        <v>0</v>
      </c>
      <c r="W51" s="697"/>
      <c r="X51" s="698" t="s">
        <v>381</v>
      </c>
      <c r="Y51" s="678">
        <v>0</v>
      </c>
      <c r="Z51" s="678">
        <v>2085487</v>
      </c>
      <c r="AA51" s="678">
        <v>2085487</v>
      </c>
      <c r="AB51" s="699">
        <f t="shared" si="15"/>
        <v>1.4386678027722062</v>
      </c>
      <c r="AC51" s="700"/>
      <c r="AD51" s="701"/>
    </row>
    <row r="52" spans="1:30" s="639" customFormat="1" x14ac:dyDescent="0.25">
      <c r="A52" s="639">
        <v>46</v>
      </c>
      <c r="B52" s="639">
        <f>+'_DATA STT PAGOS_'!M52</f>
        <v>5107</v>
      </c>
      <c r="C52" s="639" t="str">
        <f>+'_DATA STT PAGOS_'!O52</f>
        <v>QUINTERO</v>
      </c>
      <c r="D52" s="693">
        <f>+'_DATA STT PAGOS_'!G52</f>
        <v>0</v>
      </c>
      <c r="E52" s="693">
        <f>+'_DATA STT PAGOS_'!J52</f>
        <v>18032214.719000001</v>
      </c>
      <c r="F52" s="694">
        <f>+COEF_FCM!AG54</f>
        <v>5.7572828316999995E-3</v>
      </c>
      <c r="G52" s="693">
        <f t="shared" si="11"/>
        <v>16341248</v>
      </c>
      <c r="H52" s="695">
        <f t="shared" si="12"/>
        <v>-1690966.7190000005</v>
      </c>
      <c r="I52" s="641">
        <f t="shared" si="13"/>
        <v>-1690967</v>
      </c>
      <c r="J52" s="696">
        <f t="shared" si="14"/>
        <v>0</v>
      </c>
      <c r="K52" s="693">
        <f t="shared" si="0"/>
        <v>0</v>
      </c>
      <c r="L52" s="695">
        <f t="shared" si="1"/>
        <v>0</v>
      </c>
      <c r="M52" s="693">
        <f t="shared" si="2"/>
        <v>0</v>
      </c>
      <c r="N52" s="693">
        <f t="shared" si="3"/>
        <v>18032215</v>
      </c>
      <c r="O52" s="695">
        <f t="shared" si="4"/>
        <v>18032215</v>
      </c>
      <c r="P52" s="695">
        <f t="shared" si="5"/>
        <v>1690967</v>
      </c>
      <c r="Q52" s="697">
        <f t="shared" si="6"/>
        <v>5.7572828316999995E-3</v>
      </c>
      <c r="R52" s="694">
        <f t="shared" si="7"/>
        <v>5.9575468380000001E-4</v>
      </c>
      <c r="S52" s="693">
        <v>0</v>
      </c>
      <c r="T52" s="695">
        <f t="shared" si="8"/>
        <v>18032215</v>
      </c>
      <c r="U52" s="695">
        <f t="shared" si="9"/>
        <v>18032215</v>
      </c>
      <c r="V52" s="693">
        <f t="shared" si="10"/>
        <v>1690967</v>
      </c>
      <c r="W52" s="697"/>
      <c r="X52" s="698" t="s">
        <v>98</v>
      </c>
      <c r="Y52" s="678">
        <v>0</v>
      </c>
      <c r="Z52" s="678">
        <v>10526588</v>
      </c>
      <c r="AA52" s="678">
        <v>10526588</v>
      </c>
      <c r="AB52" s="699">
        <f t="shared" si="15"/>
        <v>1.7130161264029713</v>
      </c>
      <c r="AC52" s="700"/>
      <c r="AD52" s="701"/>
    </row>
    <row r="53" spans="1:30" s="639" customFormat="1" x14ac:dyDescent="0.25">
      <c r="A53" s="639">
        <v>47</v>
      </c>
      <c r="B53" s="639">
        <f>+'_DATA STT PAGOS_'!M53</f>
        <v>5109</v>
      </c>
      <c r="C53" s="639" t="str">
        <f>+'_DATA STT PAGOS_'!O53</f>
        <v>VIÑA DEL MAR</v>
      </c>
      <c r="D53" s="693">
        <f>+'_DATA STT PAGOS_'!G53</f>
        <v>0</v>
      </c>
      <c r="E53" s="693">
        <f>+'_DATA STT PAGOS_'!J53</f>
        <v>13452550.673999999</v>
      </c>
      <c r="F53" s="694">
        <f>+COEF_FCM!AG55</f>
        <v>5.2970879269000001E-3</v>
      </c>
      <c r="G53" s="693">
        <f t="shared" si="11"/>
        <v>15035049</v>
      </c>
      <c r="H53" s="695">
        <f t="shared" si="12"/>
        <v>1582498.3260000013</v>
      </c>
      <c r="I53" s="641">
        <f t="shared" si="13"/>
        <v>0</v>
      </c>
      <c r="J53" s="696">
        <f t="shared" si="14"/>
        <v>1582498.3260000013</v>
      </c>
      <c r="K53" s="693">
        <f t="shared" si="0"/>
        <v>862838</v>
      </c>
      <c r="L53" s="695">
        <f t="shared" si="1"/>
        <v>719660.32600000128</v>
      </c>
      <c r="M53" s="693">
        <f t="shared" si="2"/>
        <v>14172211</v>
      </c>
      <c r="N53" s="693">
        <f t="shared" si="3"/>
        <v>0</v>
      </c>
      <c r="O53" s="695">
        <f t="shared" si="4"/>
        <v>14172211</v>
      </c>
      <c r="P53" s="695">
        <f t="shared" si="5"/>
        <v>-862838</v>
      </c>
      <c r="Q53" s="697">
        <f t="shared" si="6"/>
        <v>5.2970879269000001E-3</v>
      </c>
      <c r="R53" s="694">
        <f t="shared" si="7"/>
        <v>-3.0399160940000001E-4</v>
      </c>
      <c r="S53" s="693">
        <v>0</v>
      </c>
      <c r="T53" s="695">
        <f t="shared" si="8"/>
        <v>14172211</v>
      </c>
      <c r="U53" s="695">
        <f t="shared" si="9"/>
        <v>14172211</v>
      </c>
      <c r="V53" s="693">
        <f t="shared" si="10"/>
        <v>0</v>
      </c>
      <c r="W53" s="697"/>
      <c r="X53" s="698" t="s">
        <v>95</v>
      </c>
      <c r="Y53" s="678">
        <v>0</v>
      </c>
      <c r="Z53" s="678">
        <v>8639007</v>
      </c>
      <c r="AA53" s="678">
        <v>8639007</v>
      </c>
      <c r="AB53" s="699">
        <f t="shared" si="15"/>
        <v>1.6404907415863883</v>
      </c>
      <c r="AC53" s="700"/>
      <c r="AD53" s="701"/>
    </row>
    <row r="54" spans="1:30" s="639" customFormat="1" x14ac:dyDescent="0.25">
      <c r="A54" s="639">
        <v>48</v>
      </c>
      <c r="B54" s="639">
        <f>+'_DATA STT PAGOS_'!M54</f>
        <v>5201</v>
      </c>
      <c r="C54" s="639" t="str">
        <f>+'_DATA STT PAGOS_'!O54</f>
        <v>ISLA DE PASCUA</v>
      </c>
      <c r="D54" s="693">
        <f>+'_DATA STT PAGOS_'!G54</f>
        <v>22097766</v>
      </c>
      <c r="E54" s="693">
        <f>+'_DATA STT PAGOS_'!J54</f>
        <v>5776794.9620000012</v>
      </c>
      <c r="F54" s="694">
        <f>+COEF_FCM!AG56</f>
        <v>2.1928367904999998E-3</v>
      </c>
      <c r="G54" s="693">
        <f t="shared" si="11"/>
        <v>6224063</v>
      </c>
      <c r="H54" s="695">
        <f t="shared" si="12"/>
        <v>447268.03799999878</v>
      </c>
      <c r="I54" s="641">
        <f t="shared" si="13"/>
        <v>0</v>
      </c>
      <c r="J54" s="696">
        <f t="shared" si="14"/>
        <v>447268.03799999878</v>
      </c>
      <c r="K54" s="693">
        <f t="shared" si="0"/>
        <v>243867</v>
      </c>
      <c r="L54" s="695">
        <f t="shared" si="1"/>
        <v>203401.03799999878</v>
      </c>
      <c r="M54" s="693">
        <f t="shared" si="2"/>
        <v>5980196</v>
      </c>
      <c r="N54" s="693">
        <f t="shared" si="3"/>
        <v>0</v>
      </c>
      <c r="O54" s="695">
        <f t="shared" si="4"/>
        <v>5980196</v>
      </c>
      <c r="P54" s="695">
        <f t="shared" si="5"/>
        <v>-243867</v>
      </c>
      <c r="Q54" s="697">
        <f t="shared" si="6"/>
        <v>2.1928367904999998E-3</v>
      </c>
      <c r="R54" s="694">
        <f t="shared" si="7"/>
        <v>-8.59182394E-5</v>
      </c>
      <c r="S54" s="693">
        <f>+'DATA UIM IPASCUA DETCOMP'!D29</f>
        <v>28237700</v>
      </c>
      <c r="T54" s="695">
        <f t="shared" si="8"/>
        <v>34217896</v>
      </c>
      <c r="U54" s="695">
        <f t="shared" si="9"/>
        <v>5980196</v>
      </c>
      <c r="V54" s="693">
        <f t="shared" si="10"/>
        <v>0</v>
      </c>
      <c r="W54" s="697"/>
      <c r="X54" s="698" t="s">
        <v>504</v>
      </c>
      <c r="Y54" s="678">
        <v>12424884</v>
      </c>
      <c r="Z54" s="678">
        <v>15310950</v>
      </c>
      <c r="AA54" s="678">
        <v>2886066</v>
      </c>
      <c r="AB54" s="699">
        <f t="shared" si="15"/>
        <v>2.2348643291239276</v>
      </c>
      <c r="AC54" s="700"/>
      <c r="AD54" s="701"/>
    </row>
    <row r="55" spans="1:30" s="639" customFormat="1" x14ac:dyDescent="0.25">
      <c r="A55" s="639">
        <v>49</v>
      </c>
      <c r="B55" s="639">
        <f>+'_DATA STT PAGOS_'!M55</f>
        <v>5301</v>
      </c>
      <c r="C55" s="639" t="str">
        <f>+'_DATA STT PAGOS_'!O55</f>
        <v>LOS ANDES</v>
      </c>
      <c r="D55" s="693">
        <f>+'_DATA STT PAGOS_'!G55</f>
        <v>0</v>
      </c>
      <c r="E55" s="693">
        <f>+'_DATA STT PAGOS_'!J55</f>
        <v>10711505.232999999</v>
      </c>
      <c r="F55" s="694">
        <f>+COEF_FCM!AG57</f>
        <v>4.6656279228999998E-3</v>
      </c>
      <c r="G55" s="693">
        <f t="shared" si="11"/>
        <v>13242737</v>
      </c>
      <c r="H55" s="695">
        <f t="shared" si="12"/>
        <v>2531231.7670000009</v>
      </c>
      <c r="I55" s="641">
        <f t="shared" si="13"/>
        <v>0</v>
      </c>
      <c r="J55" s="696">
        <f t="shared" si="14"/>
        <v>2531231.7670000009</v>
      </c>
      <c r="K55" s="693">
        <f t="shared" si="0"/>
        <v>1380124</v>
      </c>
      <c r="L55" s="695">
        <f t="shared" si="1"/>
        <v>1151107.7670000009</v>
      </c>
      <c r="M55" s="693">
        <f t="shared" si="2"/>
        <v>11862613</v>
      </c>
      <c r="N55" s="693">
        <f t="shared" si="3"/>
        <v>0</v>
      </c>
      <c r="O55" s="695">
        <f t="shared" si="4"/>
        <v>11862613</v>
      </c>
      <c r="P55" s="695">
        <f t="shared" si="5"/>
        <v>-1380124</v>
      </c>
      <c r="Q55" s="697">
        <f t="shared" si="6"/>
        <v>4.6656279228999998E-3</v>
      </c>
      <c r="R55" s="694">
        <f t="shared" si="7"/>
        <v>-4.8623972980000002E-4</v>
      </c>
      <c r="S55" s="693">
        <v>0</v>
      </c>
      <c r="T55" s="695">
        <f t="shared" si="8"/>
        <v>11862613</v>
      </c>
      <c r="U55" s="695">
        <f t="shared" si="9"/>
        <v>11862613</v>
      </c>
      <c r="V55" s="693">
        <f t="shared" si="10"/>
        <v>0</v>
      </c>
      <c r="W55" s="697"/>
      <c r="X55" s="698" t="s">
        <v>115</v>
      </c>
      <c r="Y55" s="678">
        <v>0</v>
      </c>
      <c r="Z55" s="678">
        <v>6789443</v>
      </c>
      <c r="AA55" s="678">
        <v>6789443</v>
      </c>
      <c r="AB55" s="699">
        <f t="shared" si="15"/>
        <v>1.7472144622172983</v>
      </c>
      <c r="AC55" s="700"/>
      <c r="AD55" s="701"/>
    </row>
    <row r="56" spans="1:30" s="639" customFormat="1" x14ac:dyDescent="0.25">
      <c r="A56" s="639">
        <v>50</v>
      </c>
      <c r="B56" s="639">
        <f>+'_DATA STT PAGOS_'!M56</f>
        <v>5302</v>
      </c>
      <c r="C56" s="639" t="str">
        <f>+'_DATA STT PAGOS_'!O56</f>
        <v>CALLE LARGA</v>
      </c>
      <c r="D56" s="693">
        <f>+'_DATA STT PAGOS_'!G56</f>
        <v>0</v>
      </c>
      <c r="E56" s="693">
        <f>+'_DATA STT PAGOS_'!J56</f>
        <v>2787611.7080000001</v>
      </c>
      <c r="F56" s="694">
        <f>+COEF_FCM!AG58</f>
        <v>1.0876570388999999E-3</v>
      </c>
      <c r="G56" s="693">
        <f t="shared" si="11"/>
        <v>3087164</v>
      </c>
      <c r="H56" s="695">
        <f t="shared" si="12"/>
        <v>299552.2919999999</v>
      </c>
      <c r="I56" s="641">
        <f t="shared" si="13"/>
        <v>0</v>
      </c>
      <c r="J56" s="696">
        <f t="shared" si="14"/>
        <v>299552.2919999999</v>
      </c>
      <c r="K56" s="693">
        <f t="shared" si="0"/>
        <v>163327</v>
      </c>
      <c r="L56" s="695">
        <f t="shared" si="1"/>
        <v>136225.2919999999</v>
      </c>
      <c r="M56" s="693">
        <f t="shared" si="2"/>
        <v>2923837</v>
      </c>
      <c r="N56" s="693">
        <f t="shared" si="3"/>
        <v>0</v>
      </c>
      <c r="O56" s="695">
        <f t="shared" si="4"/>
        <v>2923837</v>
      </c>
      <c r="P56" s="695">
        <f t="shared" si="5"/>
        <v>-163327</v>
      </c>
      <c r="Q56" s="697">
        <f t="shared" si="6"/>
        <v>1.0876570388999999E-3</v>
      </c>
      <c r="R56" s="694">
        <f t="shared" si="7"/>
        <v>-5.7542710899999999E-5</v>
      </c>
      <c r="S56" s="693">
        <v>0</v>
      </c>
      <c r="T56" s="695">
        <f t="shared" si="8"/>
        <v>2923837</v>
      </c>
      <c r="U56" s="695">
        <f t="shared" si="9"/>
        <v>2923837</v>
      </c>
      <c r="V56" s="693">
        <f t="shared" si="10"/>
        <v>0</v>
      </c>
      <c r="W56" s="697"/>
      <c r="X56" s="698" t="s">
        <v>116</v>
      </c>
      <c r="Y56" s="678">
        <v>0</v>
      </c>
      <c r="Z56" s="678">
        <v>1998440</v>
      </c>
      <c r="AA56" s="678">
        <v>1998440</v>
      </c>
      <c r="AB56" s="699">
        <f t="shared" si="15"/>
        <v>1.4630596865555132</v>
      </c>
      <c r="AC56" s="700"/>
      <c r="AD56" s="701"/>
    </row>
    <row r="57" spans="1:30" s="639" customFormat="1" x14ac:dyDescent="0.25">
      <c r="A57" s="639">
        <v>51</v>
      </c>
      <c r="B57" s="639">
        <f>+'_DATA STT PAGOS_'!M57</f>
        <v>5303</v>
      </c>
      <c r="C57" s="639" t="str">
        <f>+'_DATA STT PAGOS_'!O57</f>
        <v>RINCONADA</v>
      </c>
      <c r="D57" s="693">
        <f>+'_DATA STT PAGOS_'!G57</f>
        <v>0</v>
      </c>
      <c r="E57" s="693">
        <f>+'_DATA STT PAGOS_'!J57</f>
        <v>2444458.838</v>
      </c>
      <c r="F57" s="694">
        <f>+COEF_FCM!AG59</f>
        <v>9.7180654209999995E-4</v>
      </c>
      <c r="G57" s="693">
        <f t="shared" si="11"/>
        <v>2758338</v>
      </c>
      <c r="H57" s="695">
        <f t="shared" si="12"/>
        <v>313879.16200000001</v>
      </c>
      <c r="I57" s="641">
        <f t="shared" si="13"/>
        <v>0</v>
      </c>
      <c r="J57" s="696">
        <f t="shared" si="14"/>
        <v>313879.16200000001</v>
      </c>
      <c r="K57" s="693">
        <f t="shared" si="0"/>
        <v>171139</v>
      </c>
      <c r="L57" s="695">
        <f t="shared" si="1"/>
        <v>142740.16200000001</v>
      </c>
      <c r="M57" s="693">
        <f t="shared" si="2"/>
        <v>2587199</v>
      </c>
      <c r="N57" s="693">
        <f t="shared" si="3"/>
        <v>0</v>
      </c>
      <c r="O57" s="695">
        <f t="shared" si="4"/>
        <v>2587199</v>
      </c>
      <c r="P57" s="695">
        <f t="shared" si="5"/>
        <v>-171139</v>
      </c>
      <c r="Q57" s="697">
        <f t="shared" si="6"/>
        <v>9.7180654209999995E-4</v>
      </c>
      <c r="R57" s="694">
        <f t="shared" si="7"/>
        <v>-6.0295003300000001E-5</v>
      </c>
      <c r="S57" s="693">
        <v>0</v>
      </c>
      <c r="T57" s="695">
        <f t="shared" si="8"/>
        <v>2587199</v>
      </c>
      <c r="U57" s="695">
        <f t="shared" si="9"/>
        <v>2587199</v>
      </c>
      <c r="V57" s="693">
        <f t="shared" si="10"/>
        <v>0</v>
      </c>
      <c r="W57" s="697"/>
      <c r="X57" s="698" t="s">
        <v>118</v>
      </c>
      <c r="Y57" s="678">
        <v>0</v>
      </c>
      <c r="Z57" s="678">
        <v>1651973</v>
      </c>
      <c r="AA57" s="678">
        <v>1651973</v>
      </c>
      <c r="AB57" s="699">
        <f t="shared" si="15"/>
        <v>1.5661266860899059</v>
      </c>
      <c r="AC57" s="700"/>
      <c r="AD57" s="701"/>
    </row>
    <row r="58" spans="1:30" s="639" customFormat="1" x14ac:dyDescent="0.25">
      <c r="A58" s="639">
        <v>52</v>
      </c>
      <c r="B58" s="639">
        <f>+'_DATA STT PAGOS_'!M58</f>
        <v>5304</v>
      </c>
      <c r="C58" s="639" t="str">
        <f>+'_DATA STT PAGOS_'!O58</f>
        <v>SAN ESTEBAN</v>
      </c>
      <c r="D58" s="693">
        <f>+'_DATA STT PAGOS_'!G58</f>
        <v>0</v>
      </c>
      <c r="E58" s="693">
        <f>+'_DATA STT PAGOS_'!J58</f>
        <v>4465224.6439999994</v>
      </c>
      <c r="F58" s="694">
        <f>+COEF_FCM!AG60</f>
        <v>1.7360543605999998E-3</v>
      </c>
      <c r="G58" s="693">
        <f t="shared" si="11"/>
        <v>4927549</v>
      </c>
      <c r="H58" s="695">
        <f t="shared" si="12"/>
        <v>462324.35600000061</v>
      </c>
      <c r="I58" s="641">
        <f t="shared" si="13"/>
        <v>0</v>
      </c>
      <c r="J58" s="696">
        <f t="shared" si="14"/>
        <v>462324.35600000061</v>
      </c>
      <c r="K58" s="693">
        <f t="shared" si="0"/>
        <v>252077</v>
      </c>
      <c r="L58" s="695">
        <f t="shared" si="1"/>
        <v>210247.35600000061</v>
      </c>
      <c r="M58" s="693">
        <f t="shared" si="2"/>
        <v>4675472</v>
      </c>
      <c r="N58" s="693">
        <f t="shared" si="3"/>
        <v>0</v>
      </c>
      <c r="O58" s="695">
        <f t="shared" si="4"/>
        <v>4675472</v>
      </c>
      <c r="P58" s="695">
        <f t="shared" si="5"/>
        <v>-252077</v>
      </c>
      <c r="Q58" s="697">
        <f t="shared" si="6"/>
        <v>1.7360543605999998E-3</v>
      </c>
      <c r="R58" s="694">
        <f t="shared" si="7"/>
        <v>-8.8810753499999996E-5</v>
      </c>
      <c r="S58" s="693">
        <v>0</v>
      </c>
      <c r="T58" s="695">
        <f t="shared" si="8"/>
        <v>4675472</v>
      </c>
      <c r="U58" s="695">
        <f t="shared" si="9"/>
        <v>4675472</v>
      </c>
      <c r="V58" s="693">
        <f t="shared" si="10"/>
        <v>0</v>
      </c>
      <c r="W58" s="697"/>
      <c r="X58" s="698" t="s">
        <v>117</v>
      </c>
      <c r="Y58" s="678">
        <v>0</v>
      </c>
      <c r="Z58" s="678">
        <v>2975751</v>
      </c>
      <c r="AA58" s="678">
        <v>2975751</v>
      </c>
      <c r="AB58" s="699">
        <f t="shared" si="15"/>
        <v>1.571190600288801</v>
      </c>
      <c r="AC58" s="700"/>
      <c r="AD58" s="701"/>
    </row>
    <row r="59" spans="1:30" s="639" customFormat="1" x14ac:dyDescent="0.25">
      <c r="A59" s="639">
        <v>53</v>
      </c>
      <c r="B59" s="639">
        <f>+'_DATA STT PAGOS_'!M59</f>
        <v>5401</v>
      </c>
      <c r="C59" s="639" t="str">
        <f>+'_DATA STT PAGOS_'!O59</f>
        <v>LA LIGUA</v>
      </c>
      <c r="D59" s="693">
        <f>+'_DATA STT PAGOS_'!G59</f>
        <v>0</v>
      </c>
      <c r="E59" s="693">
        <f>+'_DATA STT PAGOS_'!J59</f>
        <v>9912126.3489999995</v>
      </c>
      <c r="F59" s="694">
        <f>+COEF_FCM!AG61</f>
        <v>5.1423304400000005E-3</v>
      </c>
      <c r="G59" s="693">
        <f t="shared" si="11"/>
        <v>14595791</v>
      </c>
      <c r="H59" s="695">
        <f t="shared" si="12"/>
        <v>4683664.6510000005</v>
      </c>
      <c r="I59" s="641">
        <f t="shared" si="13"/>
        <v>0</v>
      </c>
      <c r="J59" s="696">
        <f t="shared" si="14"/>
        <v>4683664.6510000005</v>
      </c>
      <c r="K59" s="693">
        <f t="shared" si="0"/>
        <v>2553712</v>
      </c>
      <c r="L59" s="695">
        <f t="shared" si="1"/>
        <v>2129952.6510000005</v>
      </c>
      <c r="M59" s="693">
        <f t="shared" si="2"/>
        <v>12042079</v>
      </c>
      <c r="N59" s="693">
        <f t="shared" si="3"/>
        <v>0</v>
      </c>
      <c r="O59" s="695">
        <f t="shared" si="4"/>
        <v>12042079</v>
      </c>
      <c r="P59" s="695">
        <f t="shared" si="5"/>
        <v>-2553712</v>
      </c>
      <c r="Q59" s="697">
        <f t="shared" si="6"/>
        <v>5.1423304400000005E-3</v>
      </c>
      <c r="R59" s="694">
        <f t="shared" si="7"/>
        <v>-8.997135278E-4</v>
      </c>
      <c r="S59" s="693">
        <v>0</v>
      </c>
      <c r="T59" s="695">
        <f t="shared" si="8"/>
        <v>12042079</v>
      </c>
      <c r="U59" s="695">
        <f t="shared" si="9"/>
        <v>12042079</v>
      </c>
      <c r="V59" s="693">
        <f t="shared" si="10"/>
        <v>0</v>
      </c>
      <c r="W59" s="697"/>
      <c r="X59" s="698" t="s">
        <v>90</v>
      </c>
      <c r="Y59" s="678">
        <v>0</v>
      </c>
      <c r="Z59" s="678">
        <v>5377384</v>
      </c>
      <c r="AA59" s="678">
        <v>5377384</v>
      </c>
      <c r="AB59" s="699">
        <f t="shared" si="15"/>
        <v>2.2393935415436204</v>
      </c>
      <c r="AC59" s="700"/>
      <c r="AD59" s="701"/>
    </row>
    <row r="60" spans="1:30" s="639" customFormat="1" x14ac:dyDescent="0.25">
      <c r="A60" s="639">
        <v>54</v>
      </c>
      <c r="B60" s="639">
        <f>+'_DATA STT PAGOS_'!M60</f>
        <v>5402</v>
      </c>
      <c r="C60" s="639" t="str">
        <f>+'_DATA STT PAGOS_'!O60</f>
        <v>CABILDO</v>
      </c>
      <c r="D60" s="693">
        <f>+'_DATA STT PAGOS_'!G60</f>
        <v>0</v>
      </c>
      <c r="E60" s="693">
        <f>+'_DATA STT PAGOS_'!J60</f>
        <v>4568086.4619999994</v>
      </c>
      <c r="F60" s="694">
        <f>+COEF_FCM!AG62</f>
        <v>1.9136556924999998E-3</v>
      </c>
      <c r="G60" s="693">
        <f t="shared" si="11"/>
        <v>5431646</v>
      </c>
      <c r="H60" s="695">
        <f t="shared" si="12"/>
        <v>863559.53800000064</v>
      </c>
      <c r="I60" s="641">
        <f t="shared" si="13"/>
        <v>0</v>
      </c>
      <c r="J60" s="696">
        <f t="shared" si="14"/>
        <v>863559.53800000064</v>
      </c>
      <c r="K60" s="693">
        <f t="shared" si="0"/>
        <v>470845</v>
      </c>
      <c r="L60" s="695">
        <f t="shared" si="1"/>
        <v>392714.53800000064</v>
      </c>
      <c r="M60" s="693">
        <f t="shared" si="2"/>
        <v>4960801</v>
      </c>
      <c r="N60" s="693">
        <f t="shared" si="3"/>
        <v>0</v>
      </c>
      <c r="O60" s="695">
        <f t="shared" si="4"/>
        <v>4960801</v>
      </c>
      <c r="P60" s="695">
        <f t="shared" si="5"/>
        <v>-470845</v>
      </c>
      <c r="Q60" s="697">
        <f t="shared" si="6"/>
        <v>1.9136556924999998E-3</v>
      </c>
      <c r="R60" s="694">
        <f t="shared" si="7"/>
        <v>-1.6588621429999999E-4</v>
      </c>
      <c r="S60" s="693">
        <v>0</v>
      </c>
      <c r="T60" s="695">
        <f t="shared" si="8"/>
        <v>4960801</v>
      </c>
      <c r="U60" s="695">
        <f t="shared" si="9"/>
        <v>4960801</v>
      </c>
      <c r="V60" s="693">
        <f t="shared" si="10"/>
        <v>0</v>
      </c>
      <c r="W60" s="697"/>
      <c r="X60" s="698" t="s">
        <v>92</v>
      </c>
      <c r="Y60" s="678">
        <v>0</v>
      </c>
      <c r="Z60" s="678">
        <v>3062073</v>
      </c>
      <c r="AA60" s="678">
        <v>3062073</v>
      </c>
      <c r="AB60" s="699">
        <f t="shared" si="15"/>
        <v>1.6200792730937505</v>
      </c>
      <c r="AC60" s="700"/>
      <c r="AD60" s="701"/>
    </row>
    <row r="61" spans="1:30" s="639" customFormat="1" x14ac:dyDescent="0.25">
      <c r="A61" s="639">
        <v>55</v>
      </c>
      <c r="B61" s="639">
        <f>+'_DATA STT PAGOS_'!M61</f>
        <v>5403</v>
      </c>
      <c r="C61" s="639" t="str">
        <f>+'_DATA STT PAGOS_'!O61</f>
        <v>PAPUDO</v>
      </c>
      <c r="D61" s="693">
        <f>+'_DATA STT PAGOS_'!G61</f>
        <v>0</v>
      </c>
      <c r="E61" s="693">
        <f>+'_DATA STT PAGOS_'!J61</f>
        <v>2127857.0580000002</v>
      </c>
      <c r="F61" s="694">
        <f>+COEF_FCM!AG63</f>
        <v>8.3977310849999993E-4</v>
      </c>
      <c r="G61" s="693">
        <f t="shared" si="11"/>
        <v>2383579</v>
      </c>
      <c r="H61" s="695">
        <f t="shared" si="12"/>
        <v>255721.94199999981</v>
      </c>
      <c r="I61" s="641">
        <f t="shared" si="13"/>
        <v>0</v>
      </c>
      <c r="J61" s="696">
        <f t="shared" si="14"/>
        <v>255721.94199999981</v>
      </c>
      <c r="K61" s="693">
        <f t="shared" si="0"/>
        <v>139429</v>
      </c>
      <c r="L61" s="695">
        <f t="shared" si="1"/>
        <v>116292.94199999981</v>
      </c>
      <c r="M61" s="693">
        <f t="shared" si="2"/>
        <v>2244150</v>
      </c>
      <c r="N61" s="693">
        <f t="shared" si="3"/>
        <v>0</v>
      </c>
      <c r="O61" s="695">
        <f t="shared" si="4"/>
        <v>2244150</v>
      </c>
      <c r="P61" s="695">
        <f t="shared" si="5"/>
        <v>-139429</v>
      </c>
      <c r="Q61" s="697">
        <f t="shared" si="6"/>
        <v>8.3977310849999993E-4</v>
      </c>
      <c r="R61" s="694">
        <f t="shared" si="7"/>
        <v>-4.9123063800000002E-5</v>
      </c>
      <c r="S61" s="693">
        <v>0</v>
      </c>
      <c r="T61" s="695">
        <f t="shared" si="8"/>
        <v>2244150</v>
      </c>
      <c r="U61" s="695">
        <f t="shared" si="9"/>
        <v>2244150</v>
      </c>
      <c r="V61" s="693">
        <f t="shared" si="10"/>
        <v>0</v>
      </c>
      <c r="W61" s="697"/>
      <c r="X61" s="698" t="s">
        <v>94</v>
      </c>
      <c r="Y61" s="678">
        <v>0</v>
      </c>
      <c r="Z61" s="678">
        <v>1437756</v>
      </c>
      <c r="AA61" s="678">
        <v>1437756</v>
      </c>
      <c r="AB61" s="699">
        <f t="shared" si="15"/>
        <v>1.5608698555248595</v>
      </c>
      <c r="AC61" s="700"/>
      <c r="AD61" s="701"/>
    </row>
    <row r="62" spans="1:30" s="639" customFormat="1" x14ac:dyDescent="0.25">
      <c r="A62" s="639">
        <v>56</v>
      </c>
      <c r="B62" s="639">
        <f>+'_DATA STT PAGOS_'!M62</f>
        <v>5404</v>
      </c>
      <c r="C62" s="639" t="str">
        <f>+'_DATA STT PAGOS_'!O62</f>
        <v>PETORCA</v>
      </c>
      <c r="D62" s="693">
        <f>+'_DATA STT PAGOS_'!G62</f>
        <v>0</v>
      </c>
      <c r="E62" s="693">
        <f>+'_DATA STT PAGOS_'!J62</f>
        <v>3122210.0109999995</v>
      </c>
      <c r="F62" s="694">
        <f>+COEF_FCM!AG64</f>
        <v>1.3164872482999998E-3</v>
      </c>
      <c r="G62" s="693">
        <f t="shared" si="11"/>
        <v>3736666</v>
      </c>
      <c r="H62" s="695">
        <f t="shared" si="12"/>
        <v>614455.98900000053</v>
      </c>
      <c r="I62" s="641">
        <f t="shared" si="13"/>
        <v>0</v>
      </c>
      <c r="J62" s="696">
        <f t="shared" si="14"/>
        <v>614455.98900000053</v>
      </c>
      <c r="K62" s="693">
        <f t="shared" si="0"/>
        <v>335025</v>
      </c>
      <c r="L62" s="695">
        <f t="shared" si="1"/>
        <v>279430.98900000053</v>
      </c>
      <c r="M62" s="693">
        <f t="shared" si="2"/>
        <v>3401641</v>
      </c>
      <c r="N62" s="693">
        <f t="shared" si="3"/>
        <v>0</v>
      </c>
      <c r="O62" s="695">
        <f t="shared" si="4"/>
        <v>3401641</v>
      </c>
      <c r="P62" s="695">
        <f t="shared" si="5"/>
        <v>-335025</v>
      </c>
      <c r="Q62" s="697">
        <f t="shared" si="6"/>
        <v>1.3164872482999998E-3</v>
      </c>
      <c r="R62" s="694">
        <f t="shared" si="7"/>
        <v>-1.180346588E-4</v>
      </c>
      <c r="S62" s="693">
        <v>0</v>
      </c>
      <c r="T62" s="695">
        <f t="shared" si="8"/>
        <v>3401641</v>
      </c>
      <c r="U62" s="695">
        <f t="shared" si="9"/>
        <v>3401641</v>
      </c>
      <c r="V62" s="693">
        <f t="shared" si="10"/>
        <v>0</v>
      </c>
      <c r="W62" s="697"/>
      <c r="X62" s="698" t="s">
        <v>91</v>
      </c>
      <c r="Y62" s="678">
        <v>0</v>
      </c>
      <c r="Z62" s="678">
        <v>2123764</v>
      </c>
      <c r="AA62" s="678">
        <v>2123764</v>
      </c>
      <c r="AB62" s="699">
        <f t="shared" si="15"/>
        <v>1.6017038616343435</v>
      </c>
      <c r="AC62" s="700"/>
      <c r="AD62" s="701"/>
    </row>
    <row r="63" spans="1:30" s="639" customFormat="1" x14ac:dyDescent="0.25">
      <c r="A63" s="639">
        <v>57</v>
      </c>
      <c r="B63" s="639">
        <f>+'_DATA STT PAGOS_'!M63</f>
        <v>5405</v>
      </c>
      <c r="C63" s="639" t="str">
        <f>+'_DATA STT PAGOS_'!O63</f>
        <v>ZAPALLAR</v>
      </c>
      <c r="D63" s="693">
        <f>+'_DATA STT PAGOS_'!G63</f>
        <v>0</v>
      </c>
      <c r="E63" s="693">
        <f>+'_DATA STT PAGOS_'!J63</f>
        <v>2033373.1980000001</v>
      </c>
      <c r="F63" s="694">
        <f>+COEF_FCM!AG65</f>
        <v>7.8789411909999997E-4</v>
      </c>
      <c r="G63" s="693">
        <f t="shared" si="11"/>
        <v>2236328</v>
      </c>
      <c r="H63" s="695">
        <f t="shared" si="12"/>
        <v>202954.80199999991</v>
      </c>
      <c r="I63" s="641">
        <f t="shared" si="13"/>
        <v>0</v>
      </c>
      <c r="J63" s="696">
        <f t="shared" si="14"/>
        <v>202954.80199999991</v>
      </c>
      <c r="K63" s="693">
        <f t="shared" si="0"/>
        <v>110659</v>
      </c>
      <c r="L63" s="695">
        <f t="shared" si="1"/>
        <v>92295.801999999909</v>
      </c>
      <c r="M63" s="693">
        <f t="shared" si="2"/>
        <v>2125669</v>
      </c>
      <c r="N63" s="693">
        <f t="shared" si="3"/>
        <v>0</v>
      </c>
      <c r="O63" s="695">
        <f t="shared" si="4"/>
        <v>2125669</v>
      </c>
      <c r="P63" s="695">
        <f t="shared" si="5"/>
        <v>-110659</v>
      </c>
      <c r="Q63" s="697">
        <f t="shared" si="6"/>
        <v>7.8789411909999997E-4</v>
      </c>
      <c r="R63" s="694">
        <f t="shared" si="7"/>
        <v>-3.8986933199999998E-5</v>
      </c>
      <c r="S63" s="693">
        <v>0</v>
      </c>
      <c r="T63" s="695">
        <f t="shared" si="8"/>
        <v>2125669</v>
      </c>
      <c r="U63" s="695">
        <f t="shared" si="9"/>
        <v>2125669</v>
      </c>
      <c r="V63" s="693">
        <f t="shared" si="10"/>
        <v>0</v>
      </c>
      <c r="W63" s="697"/>
      <c r="X63" s="698" t="s">
        <v>93</v>
      </c>
      <c r="Y63" s="678">
        <v>0</v>
      </c>
      <c r="Z63" s="678">
        <v>1361609</v>
      </c>
      <c r="AA63" s="678">
        <v>1361609</v>
      </c>
      <c r="AB63" s="699">
        <f t="shared" si="15"/>
        <v>1.5611449395531316</v>
      </c>
      <c r="AC63" s="700"/>
      <c r="AD63" s="701"/>
    </row>
    <row r="64" spans="1:30" s="639" customFormat="1" x14ac:dyDescent="0.25">
      <c r="A64" s="639">
        <v>58</v>
      </c>
      <c r="B64" s="639">
        <f>+'_DATA STT PAGOS_'!M64</f>
        <v>5501</v>
      </c>
      <c r="C64" s="639" t="str">
        <f>+'_DATA STT PAGOS_'!O64</f>
        <v>QUILLOTA</v>
      </c>
      <c r="D64" s="693">
        <f>+'_DATA STT PAGOS_'!G64</f>
        <v>0</v>
      </c>
      <c r="E64" s="693">
        <f>+'_DATA STT PAGOS_'!J64</f>
        <v>12864497.853</v>
      </c>
      <c r="F64" s="694">
        <f>+COEF_FCM!AG66</f>
        <v>4.9125323882999996E-3</v>
      </c>
      <c r="G64" s="693">
        <f t="shared" si="11"/>
        <v>13943541</v>
      </c>
      <c r="H64" s="695">
        <f t="shared" si="12"/>
        <v>1079043.1469999999</v>
      </c>
      <c r="I64" s="641">
        <f t="shared" si="13"/>
        <v>0</v>
      </c>
      <c r="J64" s="696">
        <f t="shared" si="14"/>
        <v>1079043.1469999999</v>
      </c>
      <c r="K64" s="693">
        <f t="shared" si="0"/>
        <v>588335</v>
      </c>
      <c r="L64" s="695">
        <f t="shared" si="1"/>
        <v>490708.14699999988</v>
      </c>
      <c r="M64" s="693">
        <f t="shared" si="2"/>
        <v>13355206</v>
      </c>
      <c r="N64" s="693">
        <f t="shared" si="3"/>
        <v>0</v>
      </c>
      <c r="O64" s="695">
        <f t="shared" si="4"/>
        <v>13355206</v>
      </c>
      <c r="P64" s="695">
        <f t="shared" si="5"/>
        <v>-588335</v>
      </c>
      <c r="Q64" s="697">
        <f t="shared" si="6"/>
        <v>4.9125323882999996E-3</v>
      </c>
      <c r="R64" s="694">
        <f t="shared" si="7"/>
        <v>-2.072798179E-4</v>
      </c>
      <c r="S64" s="693">
        <v>0</v>
      </c>
      <c r="T64" s="695">
        <f t="shared" si="8"/>
        <v>13355206</v>
      </c>
      <c r="U64" s="695">
        <f t="shared" si="9"/>
        <v>13355206</v>
      </c>
      <c r="V64" s="693">
        <f t="shared" si="10"/>
        <v>0</v>
      </c>
      <c r="W64" s="697"/>
      <c r="X64" s="698" t="s">
        <v>105</v>
      </c>
      <c r="Y64" s="678">
        <v>0</v>
      </c>
      <c r="Z64" s="678">
        <v>8703540</v>
      </c>
      <c r="AA64" s="678">
        <v>8703540</v>
      </c>
      <c r="AB64" s="699">
        <f t="shared" si="15"/>
        <v>1.534456784251006</v>
      </c>
      <c r="AC64" s="700"/>
      <c r="AD64" s="701"/>
    </row>
    <row r="65" spans="1:30" s="639" customFormat="1" x14ac:dyDescent="0.25">
      <c r="A65" s="639">
        <v>59</v>
      </c>
      <c r="B65" s="639">
        <f>+'_DATA STT PAGOS_'!M65</f>
        <v>5502</v>
      </c>
      <c r="C65" s="639" t="str">
        <f>+'_DATA STT PAGOS_'!O65</f>
        <v>CALERA</v>
      </c>
      <c r="D65" s="693">
        <f>+'_DATA STT PAGOS_'!G65</f>
        <v>0</v>
      </c>
      <c r="E65" s="693">
        <f>+'_DATA STT PAGOS_'!J65</f>
        <v>8476844.7980000004</v>
      </c>
      <c r="F65" s="694">
        <f>+COEF_FCM!AG67</f>
        <v>3.0011270000000001E-3</v>
      </c>
      <c r="G65" s="693">
        <f t="shared" si="11"/>
        <v>8518283</v>
      </c>
      <c r="H65" s="695">
        <f t="shared" si="12"/>
        <v>41438.201999999583</v>
      </c>
      <c r="I65" s="641">
        <f t="shared" si="13"/>
        <v>0</v>
      </c>
      <c r="J65" s="696">
        <f t="shared" si="14"/>
        <v>41438.201999999583</v>
      </c>
      <c r="K65" s="693">
        <f t="shared" si="0"/>
        <v>22594</v>
      </c>
      <c r="L65" s="695">
        <f t="shared" si="1"/>
        <v>18844.201999999583</v>
      </c>
      <c r="M65" s="693">
        <f t="shared" si="2"/>
        <v>8495689</v>
      </c>
      <c r="N65" s="693">
        <f t="shared" si="3"/>
        <v>0</v>
      </c>
      <c r="O65" s="695">
        <f t="shared" si="4"/>
        <v>8495689</v>
      </c>
      <c r="P65" s="695">
        <f t="shared" si="5"/>
        <v>-22594</v>
      </c>
      <c r="Q65" s="697">
        <f t="shared" si="6"/>
        <v>3.0011270000000001E-3</v>
      </c>
      <c r="R65" s="694">
        <f t="shared" si="7"/>
        <v>-7.9602270999999992E-6</v>
      </c>
      <c r="S65" s="693">
        <v>0</v>
      </c>
      <c r="T65" s="695">
        <f t="shared" si="8"/>
        <v>8495689</v>
      </c>
      <c r="U65" s="695">
        <f t="shared" si="9"/>
        <v>8495689</v>
      </c>
      <c r="V65" s="693">
        <f t="shared" si="10"/>
        <v>0</v>
      </c>
      <c r="W65" s="697"/>
      <c r="X65" s="698" t="s">
        <v>108</v>
      </c>
      <c r="Y65" s="678">
        <v>0</v>
      </c>
      <c r="Z65" s="678">
        <v>6032852</v>
      </c>
      <c r="AA65" s="678">
        <v>6032852</v>
      </c>
      <c r="AB65" s="699">
        <f t="shared" si="15"/>
        <v>1.4082375964137692</v>
      </c>
      <c r="AC65" s="700"/>
      <c r="AD65" s="701"/>
    </row>
    <row r="66" spans="1:30" s="639" customFormat="1" x14ac:dyDescent="0.25">
      <c r="A66" s="639">
        <v>60</v>
      </c>
      <c r="B66" s="639">
        <f>+'_DATA STT PAGOS_'!M66</f>
        <v>5503</v>
      </c>
      <c r="C66" s="639" t="str">
        <f>+'_DATA STT PAGOS_'!O66</f>
        <v>HIJUELAS</v>
      </c>
      <c r="D66" s="693">
        <f>+'_DATA STT PAGOS_'!G66</f>
        <v>0</v>
      </c>
      <c r="E66" s="693">
        <f>+'_DATA STT PAGOS_'!J66</f>
        <v>3853502.2779999999</v>
      </c>
      <c r="F66" s="694">
        <f>+COEF_FCM!AG68</f>
        <v>1.5758481016999999E-3</v>
      </c>
      <c r="G66" s="693">
        <f t="shared" si="11"/>
        <v>4472826</v>
      </c>
      <c r="H66" s="695">
        <f t="shared" si="12"/>
        <v>619323.72200000007</v>
      </c>
      <c r="I66" s="641">
        <f t="shared" si="13"/>
        <v>0</v>
      </c>
      <c r="J66" s="696">
        <f t="shared" si="14"/>
        <v>619323.72200000007</v>
      </c>
      <c r="K66" s="693">
        <f t="shared" si="0"/>
        <v>337679</v>
      </c>
      <c r="L66" s="695">
        <f t="shared" si="1"/>
        <v>281644.72200000007</v>
      </c>
      <c r="M66" s="693">
        <f t="shared" si="2"/>
        <v>4135147</v>
      </c>
      <c r="N66" s="693">
        <f t="shared" si="3"/>
        <v>0</v>
      </c>
      <c r="O66" s="695">
        <f t="shared" si="4"/>
        <v>4135147</v>
      </c>
      <c r="P66" s="695">
        <f t="shared" si="5"/>
        <v>-337679</v>
      </c>
      <c r="Q66" s="697">
        <f t="shared" si="6"/>
        <v>1.5758481016999999E-3</v>
      </c>
      <c r="R66" s="694">
        <f t="shared" si="7"/>
        <v>-1.189697054E-4</v>
      </c>
      <c r="S66" s="693">
        <v>0</v>
      </c>
      <c r="T66" s="695">
        <f t="shared" si="8"/>
        <v>4135147</v>
      </c>
      <c r="U66" s="695">
        <f t="shared" si="9"/>
        <v>4135147</v>
      </c>
      <c r="V66" s="693">
        <f t="shared" si="10"/>
        <v>0</v>
      </c>
      <c r="W66" s="697"/>
      <c r="X66" s="698" t="s">
        <v>107</v>
      </c>
      <c r="Y66" s="678">
        <v>0</v>
      </c>
      <c r="Z66" s="678">
        <v>2300452</v>
      </c>
      <c r="AA66" s="678">
        <v>2300452</v>
      </c>
      <c r="AB66" s="699">
        <f t="shared" si="15"/>
        <v>1.7975367449527311</v>
      </c>
      <c r="AC66" s="700"/>
      <c r="AD66" s="701"/>
    </row>
    <row r="67" spans="1:30" s="639" customFormat="1" x14ac:dyDescent="0.25">
      <c r="A67" s="639">
        <v>61</v>
      </c>
      <c r="B67" s="639">
        <f>+'_DATA STT PAGOS_'!M67</f>
        <v>5504</v>
      </c>
      <c r="C67" s="639" t="str">
        <f>+'_DATA STT PAGOS_'!O67</f>
        <v>LA CRUZ</v>
      </c>
      <c r="D67" s="693">
        <f>+'_DATA STT PAGOS_'!G67</f>
        <v>0</v>
      </c>
      <c r="E67" s="693">
        <f>+'_DATA STT PAGOS_'!J67</f>
        <v>3929495.3259999999</v>
      </c>
      <c r="F67" s="694">
        <f>+COEF_FCM!AG69</f>
        <v>1.5442511086E-3</v>
      </c>
      <c r="G67" s="693">
        <f t="shared" si="11"/>
        <v>4383142</v>
      </c>
      <c r="H67" s="695">
        <f t="shared" si="12"/>
        <v>453646.67400000012</v>
      </c>
      <c r="I67" s="641">
        <f t="shared" si="13"/>
        <v>0</v>
      </c>
      <c r="J67" s="696">
        <f t="shared" si="14"/>
        <v>453646.67400000012</v>
      </c>
      <c r="K67" s="693">
        <f t="shared" si="0"/>
        <v>247345</v>
      </c>
      <c r="L67" s="695">
        <f t="shared" si="1"/>
        <v>206301.67400000012</v>
      </c>
      <c r="M67" s="693">
        <f t="shared" si="2"/>
        <v>4135797</v>
      </c>
      <c r="N67" s="693">
        <f t="shared" si="3"/>
        <v>0</v>
      </c>
      <c r="O67" s="695">
        <f t="shared" si="4"/>
        <v>4135797</v>
      </c>
      <c r="P67" s="695">
        <f t="shared" si="5"/>
        <v>-247345</v>
      </c>
      <c r="Q67" s="697">
        <f t="shared" si="6"/>
        <v>1.5442511086E-3</v>
      </c>
      <c r="R67" s="694">
        <f t="shared" si="7"/>
        <v>-8.7143594300000002E-5</v>
      </c>
      <c r="S67" s="693">
        <v>0</v>
      </c>
      <c r="T67" s="695">
        <f t="shared" si="8"/>
        <v>4135797</v>
      </c>
      <c r="U67" s="695">
        <f t="shared" si="9"/>
        <v>4135797</v>
      </c>
      <c r="V67" s="693">
        <f t="shared" si="10"/>
        <v>0</v>
      </c>
      <c r="W67" s="697"/>
      <c r="X67" s="698" t="s">
        <v>109</v>
      </c>
      <c r="Y67" s="678">
        <v>0</v>
      </c>
      <c r="Z67" s="678">
        <v>2528697</v>
      </c>
      <c r="AA67" s="678">
        <v>2528697</v>
      </c>
      <c r="AB67" s="699">
        <f t="shared" si="15"/>
        <v>1.6355447093898556</v>
      </c>
      <c r="AC67" s="700"/>
      <c r="AD67" s="701"/>
    </row>
    <row r="68" spans="1:30" s="639" customFormat="1" x14ac:dyDescent="0.25">
      <c r="A68" s="639">
        <v>62</v>
      </c>
      <c r="B68" s="639">
        <f>+'_DATA STT PAGOS_'!M68</f>
        <v>5506</v>
      </c>
      <c r="C68" s="639" t="str">
        <f>+'_DATA STT PAGOS_'!O68</f>
        <v>NOGALES</v>
      </c>
      <c r="D68" s="693">
        <f>+'_DATA STT PAGOS_'!G68</f>
        <v>0</v>
      </c>
      <c r="E68" s="693">
        <f>+'_DATA STT PAGOS_'!J68</f>
        <v>4364199.2719999999</v>
      </c>
      <c r="F68" s="694">
        <f>+COEF_FCM!AG70</f>
        <v>1.6896458145E-3</v>
      </c>
      <c r="G68" s="693">
        <f t="shared" si="11"/>
        <v>4795825</v>
      </c>
      <c r="H68" s="695">
        <f t="shared" si="12"/>
        <v>431625.72800000012</v>
      </c>
      <c r="I68" s="641">
        <f t="shared" si="13"/>
        <v>0</v>
      </c>
      <c r="J68" s="696">
        <f t="shared" si="14"/>
        <v>431625.72800000012</v>
      </c>
      <c r="K68" s="693">
        <f t="shared" si="0"/>
        <v>235339</v>
      </c>
      <c r="L68" s="695">
        <f t="shared" si="1"/>
        <v>196286.72800000012</v>
      </c>
      <c r="M68" s="693">
        <f t="shared" si="2"/>
        <v>4560486</v>
      </c>
      <c r="N68" s="693">
        <f t="shared" si="3"/>
        <v>0</v>
      </c>
      <c r="O68" s="695">
        <f t="shared" si="4"/>
        <v>4560486</v>
      </c>
      <c r="P68" s="695">
        <f t="shared" si="5"/>
        <v>-235339</v>
      </c>
      <c r="Q68" s="697">
        <f t="shared" si="6"/>
        <v>1.6896458145E-3</v>
      </c>
      <c r="R68" s="694">
        <f t="shared" si="7"/>
        <v>-8.2913688799999999E-5</v>
      </c>
      <c r="S68" s="693">
        <v>0</v>
      </c>
      <c r="T68" s="695">
        <f t="shared" si="8"/>
        <v>4560486</v>
      </c>
      <c r="U68" s="695">
        <f t="shared" si="9"/>
        <v>4560486</v>
      </c>
      <c r="V68" s="693">
        <f t="shared" si="10"/>
        <v>0</v>
      </c>
      <c r="W68" s="697"/>
      <c r="X68" s="698" t="s">
        <v>106</v>
      </c>
      <c r="Y68" s="678">
        <v>0</v>
      </c>
      <c r="Z68" s="678">
        <v>2890915</v>
      </c>
      <c r="AA68" s="678">
        <v>2890915</v>
      </c>
      <c r="AB68" s="699">
        <f t="shared" si="15"/>
        <v>1.5775233792761116</v>
      </c>
      <c r="AC68" s="700"/>
      <c r="AD68" s="701"/>
    </row>
    <row r="69" spans="1:30" s="639" customFormat="1" x14ac:dyDescent="0.25">
      <c r="A69" s="639">
        <v>63</v>
      </c>
      <c r="B69" s="639">
        <f>+'_DATA STT PAGOS_'!M69</f>
        <v>5601</v>
      </c>
      <c r="C69" s="639" t="str">
        <f>+'_DATA STT PAGOS_'!O69</f>
        <v>SAN ANTONIO</v>
      </c>
      <c r="D69" s="693">
        <f>+'_DATA STT PAGOS_'!G69</f>
        <v>0</v>
      </c>
      <c r="E69" s="693">
        <f>+'_DATA STT PAGOS_'!J69</f>
        <v>13109146.607999999</v>
      </c>
      <c r="F69" s="694">
        <f>+COEF_FCM!AG71</f>
        <v>5.7598125402999996E-3</v>
      </c>
      <c r="G69" s="693">
        <f t="shared" si="11"/>
        <v>16348429</v>
      </c>
      <c r="H69" s="695">
        <f t="shared" si="12"/>
        <v>3239282.3920000009</v>
      </c>
      <c r="I69" s="641">
        <f t="shared" si="13"/>
        <v>0</v>
      </c>
      <c r="J69" s="696">
        <f t="shared" si="14"/>
        <v>3239282.3920000009</v>
      </c>
      <c r="K69" s="693">
        <f t="shared" si="0"/>
        <v>1766180</v>
      </c>
      <c r="L69" s="695">
        <f t="shared" si="1"/>
        <v>1473102.3920000009</v>
      </c>
      <c r="M69" s="693">
        <f t="shared" si="2"/>
        <v>14582249</v>
      </c>
      <c r="N69" s="693">
        <f t="shared" si="3"/>
        <v>0</v>
      </c>
      <c r="O69" s="695">
        <f t="shared" si="4"/>
        <v>14582249</v>
      </c>
      <c r="P69" s="695">
        <f t="shared" si="5"/>
        <v>-1766180</v>
      </c>
      <c r="Q69" s="697">
        <f t="shared" si="6"/>
        <v>5.7598125402999996E-3</v>
      </c>
      <c r="R69" s="694">
        <f t="shared" si="7"/>
        <v>-6.2225342499999995E-4</v>
      </c>
      <c r="S69" s="693">
        <v>0</v>
      </c>
      <c r="T69" s="695">
        <f t="shared" si="8"/>
        <v>14582249</v>
      </c>
      <c r="U69" s="695">
        <f t="shared" si="9"/>
        <v>14582249</v>
      </c>
      <c r="V69" s="693">
        <f t="shared" si="10"/>
        <v>0</v>
      </c>
      <c r="W69" s="697"/>
      <c r="X69" s="698" t="s">
        <v>99</v>
      </c>
      <c r="Y69" s="678">
        <v>0</v>
      </c>
      <c r="Z69" s="678">
        <v>9732709</v>
      </c>
      <c r="AA69" s="678">
        <v>9732709</v>
      </c>
      <c r="AB69" s="699">
        <f t="shared" si="15"/>
        <v>1.4982723720600297</v>
      </c>
      <c r="AC69" s="700"/>
      <c r="AD69" s="701"/>
    </row>
    <row r="70" spans="1:30" s="639" customFormat="1" x14ac:dyDescent="0.25">
      <c r="A70" s="639">
        <v>64</v>
      </c>
      <c r="B70" s="639">
        <f>+'_DATA STT PAGOS_'!M70</f>
        <v>5602</v>
      </c>
      <c r="C70" s="639" t="str">
        <f>+'_DATA STT PAGOS_'!O70</f>
        <v>ALGARROBO</v>
      </c>
      <c r="D70" s="693">
        <f>+'_DATA STT PAGOS_'!G70</f>
        <v>0</v>
      </c>
      <c r="E70" s="693">
        <f>+'_DATA STT PAGOS_'!J70</f>
        <v>2473005.5690000001</v>
      </c>
      <c r="F70" s="694">
        <f>+COEF_FCM!AG72</f>
        <v>9.5929743669999996E-4</v>
      </c>
      <c r="G70" s="693">
        <f t="shared" si="11"/>
        <v>2722833</v>
      </c>
      <c r="H70" s="695">
        <f t="shared" si="12"/>
        <v>249827.43099999987</v>
      </c>
      <c r="I70" s="641">
        <f t="shared" si="13"/>
        <v>0</v>
      </c>
      <c r="J70" s="696">
        <f t="shared" si="14"/>
        <v>249827.43099999987</v>
      </c>
      <c r="K70" s="693">
        <f t="shared" si="0"/>
        <v>136215</v>
      </c>
      <c r="L70" s="695">
        <f t="shared" si="1"/>
        <v>113612.43099999987</v>
      </c>
      <c r="M70" s="693">
        <f t="shared" si="2"/>
        <v>2586618</v>
      </c>
      <c r="N70" s="693">
        <f t="shared" si="3"/>
        <v>0</v>
      </c>
      <c r="O70" s="695">
        <f t="shared" si="4"/>
        <v>2586618</v>
      </c>
      <c r="P70" s="695">
        <f t="shared" si="5"/>
        <v>-136215</v>
      </c>
      <c r="Q70" s="697">
        <f t="shared" si="6"/>
        <v>9.5929743669999996E-4</v>
      </c>
      <c r="R70" s="694">
        <f t="shared" si="7"/>
        <v>-4.7990720299999997E-5</v>
      </c>
      <c r="S70" s="693">
        <v>0</v>
      </c>
      <c r="T70" s="695">
        <f t="shared" si="8"/>
        <v>2586618</v>
      </c>
      <c r="U70" s="695">
        <f t="shared" si="9"/>
        <v>2586618</v>
      </c>
      <c r="V70" s="693">
        <f t="shared" si="10"/>
        <v>0</v>
      </c>
      <c r="W70" s="697"/>
      <c r="X70" s="698" t="s">
        <v>104</v>
      </c>
      <c r="Y70" s="678">
        <v>0</v>
      </c>
      <c r="Z70" s="678">
        <v>1591364</v>
      </c>
      <c r="AA70" s="678">
        <v>1591364</v>
      </c>
      <c r="AB70" s="699">
        <f t="shared" si="15"/>
        <v>1.6254093972215031</v>
      </c>
      <c r="AC70" s="700"/>
      <c r="AD70" s="701"/>
    </row>
    <row r="71" spans="1:30" s="639" customFormat="1" x14ac:dyDescent="0.25">
      <c r="A71" s="639">
        <v>65</v>
      </c>
      <c r="B71" s="639">
        <f>+'_DATA STT PAGOS_'!M71</f>
        <v>5603</v>
      </c>
      <c r="C71" s="639" t="str">
        <f>+'_DATA STT PAGOS_'!O71</f>
        <v>CARTAGENA</v>
      </c>
      <c r="D71" s="693">
        <f>+'_DATA STT PAGOS_'!G71</f>
        <v>0</v>
      </c>
      <c r="E71" s="693">
        <f>+'_DATA STT PAGOS_'!J71</f>
        <v>15242571.33</v>
      </c>
      <c r="F71" s="694">
        <f>+COEF_FCM!AG73</f>
        <v>6.0738851694000003E-3</v>
      </c>
      <c r="G71" s="693">
        <f t="shared" ref="G71:G134" si="16">ROUND(F71*$G$4,0)</f>
        <v>17239880</v>
      </c>
      <c r="H71" s="695">
        <f t="shared" si="12"/>
        <v>1997308.67</v>
      </c>
      <c r="I71" s="641">
        <f t="shared" si="13"/>
        <v>0</v>
      </c>
      <c r="J71" s="696">
        <f t="shared" si="14"/>
        <v>1997308.67</v>
      </c>
      <c r="K71" s="693">
        <f t="shared" ref="K71:K134" si="17">IF(J71&gt;0,ROUND(J71*$J$3,0),0)</f>
        <v>1089008</v>
      </c>
      <c r="L71" s="695">
        <f t="shared" ref="L71:L134" si="18">+J71-K71</f>
        <v>908300.66999999993</v>
      </c>
      <c r="M71" s="693">
        <f t="shared" ref="M71:M134" si="19">IF(L71&gt;0,ROUND(G71-K71,0),0)</f>
        <v>16150872</v>
      </c>
      <c r="N71" s="693">
        <f t="shared" ref="N71:N134" si="20">IF(I71&lt;0,ROUND(E71,0),0)</f>
        <v>0</v>
      </c>
      <c r="O71" s="695">
        <f t="shared" ref="O71:O134" si="21">ROUND(M71+N71,0)</f>
        <v>16150872</v>
      </c>
      <c r="P71" s="695">
        <f t="shared" ref="P71:P134" si="22">+O71-G71</f>
        <v>-1089008</v>
      </c>
      <c r="Q71" s="697">
        <f t="shared" ref="Q71:Q134" si="23">+F71</f>
        <v>6.0738851694000003E-3</v>
      </c>
      <c r="R71" s="694">
        <f t="shared" ref="R71:R134" si="24">ROUND(P71/$O$4,DEC)</f>
        <v>-3.8367491300000001E-4</v>
      </c>
      <c r="S71" s="693">
        <v>0</v>
      </c>
      <c r="T71" s="695">
        <f t="shared" ref="T71:T134" si="25">+O71+S71</f>
        <v>16150872</v>
      </c>
      <c r="U71" s="695">
        <f t="shared" ref="U71:U134" si="26">+O71</f>
        <v>16150872</v>
      </c>
      <c r="V71" s="693">
        <f t="shared" ref="V71:V134" si="27">IF(I71&lt;0,ROUND(ABS(I71),0),0)</f>
        <v>0</v>
      </c>
      <c r="W71" s="697"/>
      <c r="X71" s="698" t="s">
        <v>101</v>
      </c>
      <c r="Y71" s="678">
        <v>0</v>
      </c>
      <c r="Z71" s="678">
        <v>10788076</v>
      </c>
      <c r="AA71" s="678">
        <v>10788076</v>
      </c>
      <c r="AB71" s="699">
        <f t="shared" si="15"/>
        <v>1.4971040248511411</v>
      </c>
      <c r="AC71" s="700"/>
      <c r="AD71" s="701"/>
    </row>
    <row r="72" spans="1:30" s="639" customFormat="1" x14ac:dyDescent="0.25">
      <c r="A72" s="639">
        <v>66</v>
      </c>
      <c r="B72" s="639">
        <f>+'_DATA STT PAGOS_'!M72</f>
        <v>5604</v>
      </c>
      <c r="C72" s="639" t="str">
        <f>+'_DATA STT PAGOS_'!O72</f>
        <v>EL QUISCO</v>
      </c>
      <c r="D72" s="693">
        <f>+'_DATA STT PAGOS_'!G72</f>
        <v>0</v>
      </c>
      <c r="E72" s="693">
        <f>+'_DATA STT PAGOS_'!J72</f>
        <v>21220256.642999999</v>
      </c>
      <c r="F72" s="694">
        <f>+COEF_FCM!AG74</f>
        <v>9.0897504326999997E-3</v>
      </c>
      <c r="G72" s="693">
        <f t="shared" si="16"/>
        <v>25799995</v>
      </c>
      <c r="H72" s="695">
        <f t="shared" ref="H72:H135" si="28">G72-E72</f>
        <v>4579738.3570000008</v>
      </c>
      <c r="I72" s="641">
        <f t="shared" ref="I72:I135" si="29">IF(H72&lt;0,ROUND(H72,0),0)</f>
        <v>0</v>
      </c>
      <c r="J72" s="696">
        <f t="shared" ref="J72:J135" si="30">IF(H72&gt;0,H72,0)</f>
        <v>4579738.3570000008</v>
      </c>
      <c r="K72" s="693">
        <f t="shared" si="17"/>
        <v>2497047</v>
      </c>
      <c r="L72" s="695">
        <f t="shared" si="18"/>
        <v>2082691.3570000008</v>
      </c>
      <c r="M72" s="693">
        <f t="shared" si="19"/>
        <v>23302948</v>
      </c>
      <c r="N72" s="693">
        <f t="shared" si="20"/>
        <v>0</v>
      </c>
      <c r="O72" s="695">
        <f t="shared" si="21"/>
        <v>23302948</v>
      </c>
      <c r="P72" s="695">
        <f t="shared" si="22"/>
        <v>-2497047</v>
      </c>
      <c r="Q72" s="697">
        <f t="shared" si="23"/>
        <v>9.0897504326999997E-3</v>
      </c>
      <c r="R72" s="694">
        <f t="shared" si="24"/>
        <v>-8.7974954320000005E-4</v>
      </c>
      <c r="S72" s="693">
        <v>0</v>
      </c>
      <c r="T72" s="695">
        <f t="shared" si="25"/>
        <v>23302948</v>
      </c>
      <c r="U72" s="695">
        <f t="shared" si="26"/>
        <v>23302948</v>
      </c>
      <c r="V72" s="693">
        <f t="shared" si="27"/>
        <v>0</v>
      </c>
      <c r="W72" s="697"/>
      <c r="X72" s="698" t="s">
        <v>103</v>
      </c>
      <c r="Y72" s="678">
        <v>0</v>
      </c>
      <c r="Z72" s="678">
        <v>13152034</v>
      </c>
      <c r="AA72" s="678">
        <v>13152034</v>
      </c>
      <c r="AB72" s="699">
        <f t="shared" ref="AB72:AB135" si="31">T72/Z72</f>
        <v>1.7718132419669839</v>
      </c>
      <c r="AC72" s="700"/>
      <c r="AD72" s="701"/>
    </row>
    <row r="73" spans="1:30" s="639" customFormat="1" x14ac:dyDescent="0.25">
      <c r="A73" s="639">
        <v>67</v>
      </c>
      <c r="B73" s="639">
        <f>+'_DATA STT PAGOS_'!M73</f>
        <v>5605</v>
      </c>
      <c r="C73" s="639" t="str">
        <f>+'_DATA STT PAGOS_'!O73</f>
        <v>EL TABO</v>
      </c>
      <c r="D73" s="693">
        <f>+'_DATA STT PAGOS_'!G73</f>
        <v>0</v>
      </c>
      <c r="E73" s="693">
        <f>+'_DATA STT PAGOS_'!J73</f>
        <v>21688459.668000001</v>
      </c>
      <c r="F73" s="694">
        <f>+COEF_FCM!AG75</f>
        <v>1.0296521052200001E-2</v>
      </c>
      <c r="G73" s="693">
        <f t="shared" si="16"/>
        <v>29225246</v>
      </c>
      <c r="H73" s="695">
        <f t="shared" si="28"/>
        <v>7536786.3319999985</v>
      </c>
      <c r="I73" s="641">
        <f t="shared" si="29"/>
        <v>0</v>
      </c>
      <c r="J73" s="696">
        <f t="shared" si="30"/>
        <v>7536786.3319999985</v>
      </c>
      <c r="K73" s="693">
        <f t="shared" si="17"/>
        <v>4109342</v>
      </c>
      <c r="L73" s="695">
        <f t="shared" si="18"/>
        <v>3427444.3319999985</v>
      </c>
      <c r="M73" s="693">
        <f t="shared" si="19"/>
        <v>25115904</v>
      </c>
      <c r="N73" s="693">
        <f t="shared" si="20"/>
        <v>0</v>
      </c>
      <c r="O73" s="695">
        <f t="shared" si="21"/>
        <v>25115904</v>
      </c>
      <c r="P73" s="695">
        <f t="shared" si="22"/>
        <v>-4109342</v>
      </c>
      <c r="Q73" s="697">
        <f t="shared" si="23"/>
        <v>1.0296521052200001E-2</v>
      </c>
      <c r="R73" s="694">
        <f t="shared" si="24"/>
        <v>-1.4477868248E-3</v>
      </c>
      <c r="S73" s="693">
        <v>0</v>
      </c>
      <c r="T73" s="695">
        <f t="shared" si="25"/>
        <v>25115904</v>
      </c>
      <c r="U73" s="695">
        <f t="shared" si="26"/>
        <v>25115904</v>
      </c>
      <c r="V73" s="693">
        <f t="shared" si="27"/>
        <v>0</v>
      </c>
      <c r="W73" s="697"/>
      <c r="X73" s="698" t="s">
        <v>102</v>
      </c>
      <c r="Y73" s="678">
        <v>0</v>
      </c>
      <c r="Z73" s="678">
        <v>11226311</v>
      </c>
      <c r="AA73" s="678">
        <v>11226311</v>
      </c>
      <c r="AB73" s="699">
        <f t="shared" si="31"/>
        <v>2.2372357224024881</v>
      </c>
      <c r="AC73" s="700"/>
      <c r="AD73" s="701"/>
    </row>
    <row r="74" spans="1:30" s="639" customFormat="1" x14ac:dyDescent="0.25">
      <c r="A74" s="639">
        <v>68</v>
      </c>
      <c r="B74" s="639">
        <f>+'_DATA STT PAGOS_'!M74</f>
        <v>5606</v>
      </c>
      <c r="C74" s="639" t="str">
        <f>+'_DATA STT PAGOS_'!O74</f>
        <v>SANTO DOMINGO</v>
      </c>
      <c r="D74" s="693">
        <f>+'_DATA STT PAGOS_'!G74</f>
        <v>0</v>
      </c>
      <c r="E74" s="693">
        <f>+'_DATA STT PAGOS_'!J74</f>
        <v>2597872.92</v>
      </c>
      <c r="F74" s="694">
        <f>+COEF_FCM!AG76</f>
        <v>1.0024095685E-3</v>
      </c>
      <c r="G74" s="693">
        <f t="shared" si="16"/>
        <v>2845200</v>
      </c>
      <c r="H74" s="695">
        <f t="shared" si="28"/>
        <v>247327.08000000007</v>
      </c>
      <c r="I74" s="641">
        <f t="shared" si="29"/>
        <v>0</v>
      </c>
      <c r="J74" s="696">
        <f t="shared" si="30"/>
        <v>247327.08000000007</v>
      </c>
      <c r="K74" s="693">
        <f t="shared" si="17"/>
        <v>134852</v>
      </c>
      <c r="L74" s="695">
        <f t="shared" si="18"/>
        <v>112475.08000000007</v>
      </c>
      <c r="M74" s="693">
        <f t="shared" si="19"/>
        <v>2710348</v>
      </c>
      <c r="N74" s="693">
        <f t="shared" si="20"/>
        <v>0</v>
      </c>
      <c r="O74" s="695">
        <f t="shared" si="21"/>
        <v>2710348</v>
      </c>
      <c r="P74" s="695">
        <f t="shared" si="22"/>
        <v>-134852</v>
      </c>
      <c r="Q74" s="697">
        <f t="shared" si="23"/>
        <v>1.0024095685E-3</v>
      </c>
      <c r="R74" s="694">
        <f t="shared" si="24"/>
        <v>-4.7510513599999997E-5</v>
      </c>
      <c r="S74" s="693">
        <v>0</v>
      </c>
      <c r="T74" s="695">
        <f t="shared" si="25"/>
        <v>2710348</v>
      </c>
      <c r="U74" s="695">
        <f t="shared" si="26"/>
        <v>2710348</v>
      </c>
      <c r="V74" s="693">
        <f t="shared" si="27"/>
        <v>0</v>
      </c>
      <c r="W74" s="697"/>
      <c r="X74" s="698" t="s">
        <v>100</v>
      </c>
      <c r="Y74" s="678">
        <v>0</v>
      </c>
      <c r="Z74" s="678">
        <v>1622142</v>
      </c>
      <c r="AA74" s="678">
        <v>1622142</v>
      </c>
      <c r="AB74" s="699">
        <f t="shared" si="31"/>
        <v>1.670845092476491</v>
      </c>
      <c r="AC74" s="700"/>
      <c r="AD74" s="701"/>
    </row>
    <row r="75" spans="1:30" s="639" customFormat="1" x14ac:dyDescent="0.25">
      <c r="A75" s="639">
        <v>69</v>
      </c>
      <c r="B75" s="639">
        <f>+'_DATA STT PAGOS_'!M75</f>
        <v>5701</v>
      </c>
      <c r="C75" s="639" t="str">
        <f>+'_DATA STT PAGOS_'!O75</f>
        <v>SAN FELIPE</v>
      </c>
      <c r="D75" s="693">
        <f>+'_DATA STT PAGOS_'!G75</f>
        <v>0</v>
      </c>
      <c r="E75" s="693">
        <f>+'_DATA STT PAGOS_'!J75</f>
        <v>12169651.806</v>
      </c>
      <c r="F75" s="694">
        <f>+COEF_FCM!AG77</f>
        <v>4.5369317958999997E-3</v>
      </c>
      <c r="G75" s="693">
        <f t="shared" si="16"/>
        <v>12877451</v>
      </c>
      <c r="H75" s="695">
        <f t="shared" si="28"/>
        <v>707799.19400000013</v>
      </c>
      <c r="I75" s="641">
        <f t="shared" si="29"/>
        <v>0</v>
      </c>
      <c r="J75" s="696">
        <f t="shared" si="30"/>
        <v>707799.19400000013</v>
      </c>
      <c r="K75" s="693">
        <f t="shared" si="17"/>
        <v>385919</v>
      </c>
      <c r="L75" s="695">
        <f t="shared" si="18"/>
        <v>321880.19400000013</v>
      </c>
      <c r="M75" s="693">
        <f t="shared" si="19"/>
        <v>12491532</v>
      </c>
      <c r="N75" s="693">
        <f t="shared" si="20"/>
        <v>0</v>
      </c>
      <c r="O75" s="695">
        <f t="shared" si="21"/>
        <v>12491532</v>
      </c>
      <c r="P75" s="695">
        <f t="shared" si="22"/>
        <v>-385919</v>
      </c>
      <c r="Q75" s="697">
        <f t="shared" si="23"/>
        <v>4.5369317958999997E-3</v>
      </c>
      <c r="R75" s="694">
        <f t="shared" si="24"/>
        <v>-1.3596542799999999E-4</v>
      </c>
      <c r="S75" s="693">
        <v>0</v>
      </c>
      <c r="T75" s="695">
        <f t="shared" si="25"/>
        <v>12491532</v>
      </c>
      <c r="U75" s="695">
        <f t="shared" si="26"/>
        <v>12491532</v>
      </c>
      <c r="V75" s="693">
        <f t="shared" si="27"/>
        <v>0</v>
      </c>
      <c r="W75" s="697"/>
      <c r="X75" s="698" t="s">
        <v>111</v>
      </c>
      <c r="Y75" s="678">
        <v>0</v>
      </c>
      <c r="Z75" s="678">
        <v>7573992</v>
      </c>
      <c r="AA75" s="678">
        <v>7573992</v>
      </c>
      <c r="AB75" s="699">
        <f t="shared" si="31"/>
        <v>1.6492665954756751</v>
      </c>
      <c r="AC75" s="700"/>
      <c r="AD75" s="701"/>
    </row>
    <row r="76" spans="1:30" s="639" customFormat="1" x14ac:dyDescent="0.25">
      <c r="A76" s="639">
        <v>70</v>
      </c>
      <c r="B76" s="639">
        <f>+'_DATA STT PAGOS_'!M76</f>
        <v>5702</v>
      </c>
      <c r="C76" s="639" t="str">
        <f>+'_DATA STT PAGOS_'!O76</f>
        <v>CATEMU</v>
      </c>
      <c r="D76" s="693">
        <f>+'_DATA STT PAGOS_'!G76</f>
        <v>0</v>
      </c>
      <c r="E76" s="693">
        <f>+'_DATA STT PAGOS_'!J76</f>
        <v>3554628.4339999994</v>
      </c>
      <c r="F76" s="694">
        <f>+COEF_FCM!AG78</f>
        <v>1.3345881378E-3</v>
      </c>
      <c r="G76" s="693">
        <f t="shared" si="16"/>
        <v>3788043</v>
      </c>
      <c r="H76" s="695">
        <f t="shared" si="28"/>
        <v>233414.56600000057</v>
      </c>
      <c r="I76" s="641">
        <f t="shared" si="29"/>
        <v>0</v>
      </c>
      <c r="J76" s="696">
        <f t="shared" si="30"/>
        <v>233414.56600000057</v>
      </c>
      <c r="K76" s="693">
        <f t="shared" si="17"/>
        <v>127266</v>
      </c>
      <c r="L76" s="695">
        <f t="shared" si="18"/>
        <v>106148.56600000057</v>
      </c>
      <c r="M76" s="693">
        <f t="shared" si="19"/>
        <v>3660777</v>
      </c>
      <c r="N76" s="693">
        <f t="shared" si="20"/>
        <v>0</v>
      </c>
      <c r="O76" s="695">
        <f t="shared" si="21"/>
        <v>3660777</v>
      </c>
      <c r="P76" s="695">
        <f t="shared" si="22"/>
        <v>-127266</v>
      </c>
      <c r="Q76" s="697">
        <f t="shared" si="23"/>
        <v>1.3345881378E-3</v>
      </c>
      <c r="R76" s="694">
        <f t="shared" si="24"/>
        <v>-4.4837844600000003E-5</v>
      </c>
      <c r="S76" s="693">
        <v>0</v>
      </c>
      <c r="T76" s="695">
        <f t="shared" si="25"/>
        <v>3660777</v>
      </c>
      <c r="U76" s="695">
        <f t="shared" si="26"/>
        <v>3660777</v>
      </c>
      <c r="V76" s="693">
        <f t="shared" si="27"/>
        <v>0</v>
      </c>
      <c r="W76" s="697"/>
      <c r="X76" s="698" t="s">
        <v>113</v>
      </c>
      <c r="Y76" s="678">
        <v>0</v>
      </c>
      <c r="Z76" s="678">
        <v>2490678</v>
      </c>
      <c r="AA76" s="678">
        <v>2490678</v>
      </c>
      <c r="AB76" s="699">
        <f t="shared" si="31"/>
        <v>1.4697913580157691</v>
      </c>
      <c r="AC76" s="700"/>
      <c r="AD76" s="701"/>
    </row>
    <row r="77" spans="1:30" s="639" customFormat="1" x14ac:dyDescent="0.25">
      <c r="A77" s="639">
        <v>71</v>
      </c>
      <c r="B77" s="639">
        <f>+'_DATA STT PAGOS_'!M77</f>
        <v>5703</v>
      </c>
      <c r="C77" s="639" t="str">
        <f>+'_DATA STT PAGOS_'!O77</f>
        <v>LLAILLAY</v>
      </c>
      <c r="D77" s="693">
        <f>+'_DATA STT PAGOS_'!G77</f>
        <v>0</v>
      </c>
      <c r="E77" s="693">
        <f>+'_DATA STT PAGOS_'!J77</f>
        <v>5416366.8399999999</v>
      </c>
      <c r="F77" s="694">
        <f>+COEF_FCM!AG79</f>
        <v>2.5505791692000002E-3</v>
      </c>
      <c r="G77" s="693">
        <f t="shared" si="16"/>
        <v>7239465</v>
      </c>
      <c r="H77" s="695">
        <f t="shared" si="28"/>
        <v>1823098.1600000001</v>
      </c>
      <c r="I77" s="641">
        <f t="shared" si="29"/>
        <v>0</v>
      </c>
      <c r="J77" s="696">
        <f t="shared" si="30"/>
        <v>1823098.1600000001</v>
      </c>
      <c r="K77" s="693">
        <f t="shared" si="17"/>
        <v>994022</v>
      </c>
      <c r="L77" s="695">
        <f t="shared" si="18"/>
        <v>829076.16000000015</v>
      </c>
      <c r="M77" s="693">
        <f t="shared" si="19"/>
        <v>6245443</v>
      </c>
      <c r="N77" s="693">
        <f t="shared" si="20"/>
        <v>0</v>
      </c>
      <c r="O77" s="695">
        <f t="shared" si="21"/>
        <v>6245443</v>
      </c>
      <c r="P77" s="695">
        <f t="shared" si="22"/>
        <v>-994022</v>
      </c>
      <c r="Q77" s="697">
        <f t="shared" si="23"/>
        <v>2.5505791692000002E-3</v>
      </c>
      <c r="R77" s="694">
        <f t="shared" si="24"/>
        <v>-3.5020982799999998E-4</v>
      </c>
      <c r="S77" s="693">
        <v>0</v>
      </c>
      <c r="T77" s="695">
        <f t="shared" si="25"/>
        <v>6245443</v>
      </c>
      <c r="U77" s="695">
        <f t="shared" si="26"/>
        <v>6245443</v>
      </c>
      <c r="V77" s="693">
        <f t="shared" si="27"/>
        <v>0</v>
      </c>
      <c r="W77" s="697"/>
      <c r="X77" s="698" t="s">
        <v>0</v>
      </c>
      <c r="Y77" s="678">
        <v>0</v>
      </c>
      <c r="Z77" s="678">
        <v>3243981</v>
      </c>
      <c r="AA77" s="678">
        <v>3243981</v>
      </c>
      <c r="AB77" s="699">
        <f t="shared" si="31"/>
        <v>1.9252403142928396</v>
      </c>
      <c r="AC77" s="700"/>
      <c r="AD77" s="701"/>
    </row>
    <row r="78" spans="1:30" s="639" customFormat="1" x14ac:dyDescent="0.25">
      <c r="A78" s="639">
        <v>72</v>
      </c>
      <c r="B78" s="639">
        <f>+'_DATA STT PAGOS_'!M78</f>
        <v>5704</v>
      </c>
      <c r="C78" s="639" t="str">
        <f>+'_DATA STT PAGOS_'!O78</f>
        <v>PANQUEHUE</v>
      </c>
      <c r="D78" s="693">
        <f>+'_DATA STT PAGOS_'!G78</f>
        <v>0</v>
      </c>
      <c r="E78" s="693">
        <f>+'_DATA STT PAGOS_'!J78</f>
        <v>2253954.3939999999</v>
      </c>
      <c r="F78" s="694">
        <f>+COEF_FCM!AG80</f>
        <v>8.8600442689999997E-4</v>
      </c>
      <c r="G78" s="693">
        <f t="shared" si="16"/>
        <v>2514801</v>
      </c>
      <c r="H78" s="695">
        <f t="shared" si="28"/>
        <v>260846.60600000015</v>
      </c>
      <c r="I78" s="641">
        <f t="shared" si="29"/>
        <v>0</v>
      </c>
      <c r="J78" s="696">
        <f t="shared" si="30"/>
        <v>260846.60600000015</v>
      </c>
      <c r="K78" s="693">
        <f t="shared" si="17"/>
        <v>142223</v>
      </c>
      <c r="L78" s="695">
        <f t="shared" si="18"/>
        <v>118623.60600000015</v>
      </c>
      <c r="M78" s="693">
        <f t="shared" si="19"/>
        <v>2372578</v>
      </c>
      <c r="N78" s="693">
        <f t="shared" si="20"/>
        <v>0</v>
      </c>
      <c r="O78" s="695">
        <f t="shared" si="21"/>
        <v>2372578</v>
      </c>
      <c r="P78" s="695">
        <f t="shared" si="22"/>
        <v>-142223</v>
      </c>
      <c r="Q78" s="697">
        <f t="shared" si="23"/>
        <v>8.8600442689999997E-4</v>
      </c>
      <c r="R78" s="694">
        <f t="shared" si="24"/>
        <v>-5.0107434599999997E-5</v>
      </c>
      <c r="S78" s="693">
        <v>0</v>
      </c>
      <c r="T78" s="695">
        <f t="shared" si="25"/>
        <v>2372578</v>
      </c>
      <c r="U78" s="695">
        <f t="shared" si="26"/>
        <v>2372578</v>
      </c>
      <c r="V78" s="693">
        <f t="shared" si="27"/>
        <v>0</v>
      </c>
      <c r="W78" s="697"/>
      <c r="X78" s="698" t="s">
        <v>112</v>
      </c>
      <c r="Y78" s="678">
        <v>0</v>
      </c>
      <c r="Z78" s="678">
        <v>1546634</v>
      </c>
      <c r="AA78" s="678">
        <v>1546634</v>
      </c>
      <c r="AB78" s="699">
        <f t="shared" si="31"/>
        <v>1.5340267962556107</v>
      </c>
      <c r="AC78" s="700"/>
      <c r="AD78" s="701"/>
    </row>
    <row r="79" spans="1:30" s="639" customFormat="1" x14ac:dyDescent="0.25">
      <c r="A79" s="639">
        <v>73</v>
      </c>
      <c r="B79" s="639">
        <f>+'_DATA STT PAGOS_'!M79</f>
        <v>5705</v>
      </c>
      <c r="C79" s="639" t="str">
        <f>+'_DATA STT PAGOS_'!O79</f>
        <v>PUTAENDO</v>
      </c>
      <c r="D79" s="693">
        <f>+'_DATA STT PAGOS_'!G79</f>
        <v>0</v>
      </c>
      <c r="E79" s="693">
        <f>+'_DATA STT PAGOS_'!J79</f>
        <v>4613688.2479999997</v>
      </c>
      <c r="F79" s="694">
        <f>+COEF_FCM!AG81</f>
        <v>1.831114653E-3</v>
      </c>
      <c r="G79" s="693">
        <f t="shared" si="16"/>
        <v>5197365</v>
      </c>
      <c r="H79" s="695">
        <f t="shared" si="28"/>
        <v>583676.75200000033</v>
      </c>
      <c r="I79" s="641">
        <f t="shared" si="29"/>
        <v>0</v>
      </c>
      <c r="J79" s="696">
        <f t="shared" si="30"/>
        <v>583676.75200000033</v>
      </c>
      <c r="K79" s="693">
        <f t="shared" si="17"/>
        <v>318243</v>
      </c>
      <c r="L79" s="695">
        <f t="shared" si="18"/>
        <v>265433.75200000033</v>
      </c>
      <c r="M79" s="693">
        <f t="shared" si="19"/>
        <v>4879122</v>
      </c>
      <c r="N79" s="693">
        <f t="shared" si="20"/>
        <v>0</v>
      </c>
      <c r="O79" s="695">
        <f t="shared" si="21"/>
        <v>4879122</v>
      </c>
      <c r="P79" s="695">
        <f t="shared" si="22"/>
        <v>-318243</v>
      </c>
      <c r="Q79" s="697">
        <f t="shared" si="23"/>
        <v>1.831114653E-3</v>
      </c>
      <c r="R79" s="694">
        <f t="shared" si="24"/>
        <v>-1.121220922E-4</v>
      </c>
      <c r="S79" s="693">
        <v>0</v>
      </c>
      <c r="T79" s="695">
        <f t="shared" si="25"/>
        <v>4879122</v>
      </c>
      <c r="U79" s="695">
        <f t="shared" si="26"/>
        <v>4879122</v>
      </c>
      <c r="V79" s="693">
        <f t="shared" si="27"/>
        <v>0</v>
      </c>
      <c r="W79" s="697"/>
      <c r="X79" s="698" t="s">
        <v>114</v>
      </c>
      <c r="Y79" s="678">
        <v>0</v>
      </c>
      <c r="Z79" s="678">
        <v>3020711</v>
      </c>
      <c r="AA79" s="678">
        <v>3020711</v>
      </c>
      <c r="AB79" s="699">
        <f t="shared" si="31"/>
        <v>1.6152230385495336</v>
      </c>
      <c r="AC79" s="700"/>
      <c r="AD79" s="701"/>
    </row>
    <row r="80" spans="1:30" s="639" customFormat="1" x14ac:dyDescent="0.25">
      <c r="A80" s="639">
        <v>74</v>
      </c>
      <c r="B80" s="639">
        <f>+'_DATA STT PAGOS_'!M80</f>
        <v>5706</v>
      </c>
      <c r="C80" s="639" t="str">
        <f>+'_DATA STT PAGOS_'!O80</f>
        <v>SANTA MARÍA</v>
      </c>
      <c r="D80" s="693">
        <f>+'_DATA STT PAGOS_'!G80</f>
        <v>0</v>
      </c>
      <c r="E80" s="693">
        <f>+'_DATA STT PAGOS_'!J80</f>
        <v>3702652.4040000001</v>
      </c>
      <c r="F80" s="694">
        <f>+COEF_FCM!AG82</f>
        <v>1.5418469723999999E-3</v>
      </c>
      <c r="G80" s="693">
        <f t="shared" si="16"/>
        <v>4376319</v>
      </c>
      <c r="H80" s="695">
        <f t="shared" si="28"/>
        <v>673666.5959999999</v>
      </c>
      <c r="I80" s="641">
        <f t="shared" si="29"/>
        <v>0</v>
      </c>
      <c r="J80" s="696">
        <f t="shared" si="30"/>
        <v>673666.5959999999</v>
      </c>
      <c r="K80" s="693">
        <f t="shared" si="17"/>
        <v>367309</v>
      </c>
      <c r="L80" s="695">
        <f t="shared" si="18"/>
        <v>306357.5959999999</v>
      </c>
      <c r="M80" s="693">
        <f t="shared" si="19"/>
        <v>4009010</v>
      </c>
      <c r="N80" s="693">
        <f t="shared" si="20"/>
        <v>0</v>
      </c>
      <c r="O80" s="695">
        <f t="shared" si="21"/>
        <v>4009010</v>
      </c>
      <c r="P80" s="695">
        <f t="shared" si="22"/>
        <v>-367309</v>
      </c>
      <c r="Q80" s="697">
        <f t="shared" si="23"/>
        <v>1.5418469723999999E-3</v>
      </c>
      <c r="R80" s="694">
        <f t="shared" si="24"/>
        <v>-1.294088277E-4</v>
      </c>
      <c r="S80" s="693">
        <v>0</v>
      </c>
      <c r="T80" s="695">
        <f t="shared" si="25"/>
        <v>4009010</v>
      </c>
      <c r="U80" s="695">
        <f t="shared" si="26"/>
        <v>4009010</v>
      </c>
      <c r="V80" s="693">
        <f t="shared" si="27"/>
        <v>0</v>
      </c>
      <c r="W80" s="697"/>
      <c r="X80" s="698" t="s">
        <v>382</v>
      </c>
      <c r="Y80" s="678">
        <v>0</v>
      </c>
      <c r="Z80" s="678">
        <v>2539103</v>
      </c>
      <c r="AA80" s="678">
        <v>2539103</v>
      </c>
      <c r="AB80" s="699">
        <f t="shared" si="31"/>
        <v>1.5789079844338729</v>
      </c>
      <c r="AC80" s="700"/>
      <c r="AD80" s="701"/>
    </row>
    <row r="81" spans="1:30" s="639" customFormat="1" x14ac:dyDescent="0.25">
      <c r="A81" s="639">
        <v>75</v>
      </c>
      <c r="B81" s="639">
        <f>+'_DATA STT PAGOS_'!M81</f>
        <v>5801</v>
      </c>
      <c r="C81" s="639" t="str">
        <f>+'_DATA STT PAGOS_'!O81</f>
        <v>QUILPUÉ</v>
      </c>
      <c r="D81" s="693">
        <f>+'_DATA STT PAGOS_'!G81</f>
        <v>0</v>
      </c>
      <c r="E81" s="693">
        <f>+'_DATA STT PAGOS_'!J81</f>
        <v>21329710.710000001</v>
      </c>
      <c r="F81" s="694">
        <f>+COEF_FCM!AG83</f>
        <v>8.6961211084000019E-3</v>
      </c>
      <c r="G81" s="693">
        <f t="shared" si="16"/>
        <v>24682733</v>
      </c>
      <c r="H81" s="695">
        <f t="shared" si="28"/>
        <v>3353022.2899999991</v>
      </c>
      <c r="I81" s="641">
        <f t="shared" si="29"/>
        <v>0</v>
      </c>
      <c r="J81" s="696">
        <f t="shared" si="30"/>
        <v>3353022.2899999991</v>
      </c>
      <c r="K81" s="693">
        <f t="shared" si="17"/>
        <v>1828195</v>
      </c>
      <c r="L81" s="695">
        <f t="shared" si="18"/>
        <v>1524827.2899999991</v>
      </c>
      <c r="M81" s="693">
        <f t="shared" si="19"/>
        <v>22854538</v>
      </c>
      <c r="N81" s="693">
        <f t="shared" si="20"/>
        <v>0</v>
      </c>
      <c r="O81" s="695">
        <f t="shared" si="21"/>
        <v>22854538</v>
      </c>
      <c r="P81" s="695">
        <f t="shared" si="22"/>
        <v>-1828195</v>
      </c>
      <c r="Q81" s="697">
        <f t="shared" si="23"/>
        <v>8.6961211084000019E-3</v>
      </c>
      <c r="R81" s="694">
        <f t="shared" si="24"/>
        <v>-6.4410230009999999E-4</v>
      </c>
      <c r="S81" s="693">
        <v>0</v>
      </c>
      <c r="T81" s="695">
        <f t="shared" si="25"/>
        <v>22854538</v>
      </c>
      <c r="U81" s="695">
        <f t="shared" si="26"/>
        <v>22854538</v>
      </c>
      <c r="V81" s="693">
        <f t="shared" si="27"/>
        <v>0</v>
      </c>
      <c r="W81" s="697"/>
      <c r="X81" s="698" t="s">
        <v>383</v>
      </c>
      <c r="Y81" s="678">
        <v>0</v>
      </c>
      <c r="Z81" s="678">
        <v>14051185</v>
      </c>
      <c r="AA81" s="678">
        <v>14051185</v>
      </c>
      <c r="AB81" s="699">
        <f t="shared" si="31"/>
        <v>1.6265203255099125</v>
      </c>
      <c r="AC81" s="700"/>
      <c r="AD81" s="701"/>
    </row>
    <row r="82" spans="1:30" s="639" customFormat="1" x14ac:dyDescent="0.25">
      <c r="A82" s="639">
        <v>76</v>
      </c>
      <c r="B82" s="639">
        <f>+'_DATA STT PAGOS_'!M82</f>
        <v>5802</v>
      </c>
      <c r="C82" s="639" t="str">
        <f>+'_DATA STT PAGOS_'!O82</f>
        <v>LIMACHE</v>
      </c>
      <c r="D82" s="693">
        <f>+'_DATA STT PAGOS_'!G82</f>
        <v>0</v>
      </c>
      <c r="E82" s="693">
        <f>+'_DATA STT PAGOS_'!J82</f>
        <v>7996278.7750000004</v>
      </c>
      <c r="F82" s="694">
        <f>+COEF_FCM!AG84</f>
        <v>3.0663077543999998E-3</v>
      </c>
      <c r="G82" s="693">
        <f t="shared" si="16"/>
        <v>8703289</v>
      </c>
      <c r="H82" s="695">
        <f t="shared" si="28"/>
        <v>707010.22499999963</v>
      </c>
      <c r="I82" s="641">
        <f t="shared" si="29"/>
        <v>0</v>
      </c>
      <c r="J82" s="696">
        <f t="shared" si="30"/>
        <v>707010.22499999963</v>
      </c>
      <c r="K82" s="693">
        <f t="shared" si="17"/>
        <v>385489</v>
      </c>
      <c r="L82" s="695">
        <f t="shared" si="18"/>
        <v>321521.22499999963</v>
      </c>
      <c r="M82" s="693">
        <f t="shared" si="19"/>
        <v>8317800</v>
      </c>
      <c r="N82" s="693">
        <f t="shared" si="20"/>
        <v>0</v>
      </c>
      <c r="O82" s="695">
        <f t="shared" si="21"/>
        <v>8317800</v>
      </c>
      <c r="P82" s="695">
        <f t="shared" si="22"/>
        <v>-385489</v>
      </c>
      <c r="Q82" s="697">
        <f t="shared" si="23"/>
        <v>3.0663077543999998E-3</v>
      </c>
      <c r="R82" s="694">
        <f t="shared" si="24"/>
        <v>-1.358139321E-4</v>
      </c>
      <c r="S82" s="693">
        <v>0</v>
      </c>
      <c r="T82" s="695">
        <f t="shared" si="25"/>
        <v>8317800</v>
      </c>
      <c r="U82" s="695">
        <f t="shared" si="26"/>
        <v>8317800</v>
      </c>
      <c r="V82" s="693">
        <f t="shared" si="27"/>
        <v>0</v>
      </c>
      <c r="W82" s="697"/>
      <c r="X82" s="698" t="s">
        <v>110</v>
      </c>
      <c r="Y82" s="678">
        <v>0</v>
      </c>
      <c r="Z82" s="678">
        <v>5564922</v>
      </c>
      <c r="AA82" s="678">
        <v>5564922</v>
      </c>
      <c r="AB82" s="699">
        <f t="shared" si="31"/>
        <v>1.494684022525383</v>
      </c>
      <c r="AC82" s="700"/>
      <c r="AD82" s="701"/>
    </row>
    <row r="83" spans="1:30" s="639" customFormat="1" x14ac:dyDescent="0.25">
      <c r="A83" s="639">
        <v>77</v>
      </c>
      <c r="B83" s="639">
        <f>+'_DATA STT PAGOS_'!M83</f>
        <v>5803</v>
      </c>
      <c r="C83" s="639" t="str">
        <f>+'_DATA STT PAGOS_'!O83</f>
        <v>OLMUÉ</v>
      </c>
      <c r="D83" s="693">
        <f>+'_DATA STT PAGOS_'!G83</f>
        <v>0</v>
      </c>
      <c r="E83" s="693">
        <f>+'_DATA STT PAGOS_'!J83</f>
        <v>3205999.0470000003</v>
      </c>
      <c r="F83" s="694">
        <f>+COEF_FCM!AG85</f>
        <v>1.1035310834000001E-3</v>
      </c>
      <c r="G83" s="693">
        <f t="shared" si="16"/>
        <v>3132220</v>
      </c>
      <c r="H83" s="695">
        <f t="shared" si="28"/>
        <v>-73779.047000000253</v>
      </c>
      <c r="I83" s="641">
        <f t="shared" si="29"/>
        <v>-73779</v>
      </c>
      <c r="J83" s="696">
        <f t="shared" si="30"/>
        <v>0</v>
      </c>
      <c r="K83" s="693">
        <f t="shared" si="17"/>
        <v>0</v>
      </c>
      <c r="L83" s="695">
        <f t="shared" si="18"/>
        <v>0</v>
      </c>
      <c r="M83" s="693">
        <f t="shared" si="19"/>
        <v>0</v>
      </c>
      <c r="N83" s="693">
        <f t="shared" si="20"/>
        <v>3205999</v>
      </c>
      <c r="O83" s="695">
        <f t="shared" si="21"/>
        <v>3205999</v>
      </c>
      <c r="P83" s="695">
        <f t="shared" si="22"/>
        <v>73779</v>
      </c>
      <c r="Q83" s="697">
        <f t="shared" si="23"/>
        <v>1.1035310834000001E-3</v>
      </c>
      <c r="R83" s="694">
        <f t="shared" si="24"/>
        <v>2.5993520199999999E-5</v>
      </c>
      <c r="S83" s="693">
        <v>0</v>
      </c>
      <c r="T83" s="695">
        <f t="shared" si="25"/>
        <v>3205999</v>
      </c>
      <c r="U83" s="695">
        <f t="shared" si="26"/>
        <v>3205999</v>
      </c>
      <c r="V83" s="693">
        <f t="shared" si="27"/>
        <v>73779</v>
      </c>
      <c r="W83" s="697"/>
      <c r="X83" s="698" t="s">
        <v>384</v>
      </c>
      <c r="Y83" s="678">
        <v>0</v>
      </c>
      <c r="Z83" s="678">
        <v>2512435</v>
      </c>
      <c r="AA83" s="678">
        <v>2512435</v>
      </c>
      <c r="AB83" s="699">
        <f t="shared" si="31"/>
        <v>1.2760525147914275</v>
      </c>
      <c r="AC83" s="700"/>
      <c r="AD83" s="701"/>
    </row>
    <row r="84" spans="1:30" s="639" customFormat="1" x14ac:dyDescent="0.25">
      <c r="A84" s="639">
        <v>78</v>
      </c>
      <c r="B84" s="639">
        <f>+'_DATA STT PAGOS_'!M84</f>
        <v>5804</v>
      </c>
      <c r="C84" s="639" t="str">
        <f>+'_DATA STT PAGOS_'!O84</f>
        <v>VILLA ALEMANA</v>
      </c>
      <c r="D84" s="693">
        <f>+'_DATA STT PAGOS_'!G84</f>
        <v>0</v>
      </c>
      <c r="E84" s="693">
        <f>+'_DATA STT PAGOS_'!J84</f>
        <v>19838573.588</v>
      </c>
      <c r="F84" s="694">
        <f>+COEF_FCM!AG86</f>
        <v>7.2492652494000002E-3</v>
      </c>
      <c r="G84" s="693">
        <f t="shared" si="16"/>
        <v>20576033</v>
      </c>
      <c r="H84" s="695">
        <f t="shared" si="28"/>
        <v>737459.41200000048</v>
      </c>
      <c r="I84" s="641">
        <f t="shared" si="29"/>
        <v>0</v>
      </c>
      <c r="J84" s="696">
        <f t="shared" si="30"/>
        <v>737459.41200000048</v>
      </c>
      <c r="K84" s="693">
        <f t="shared" si="17"/>
        <v>402091</v>
      </c>
      <c r="L84" s="695">
        <f t="shared" si="18"/>
        <v>335368.41200000048</v>
      </c>
      <c r="M84" s="693">
        <f t="shared" si="19"/>
        <v>20173942</v>
      </c>
      <c r="N84" s="693">
        <f t="shared" si="20"/>
        <v>0</v>
      </c>
      <c r="O84" s="695">
        <f t="shared" si="21"/>
        <v>20173942</v>
      </c>
      <c r="P84" s="695">
        <f t="shared" si="22"/>
        <v>-402091</v>
      </c>
      <c r="Q84" s="697">
        <f t="shared" si="23"/>
        <v>7.2492652494000002E-3</v>
      </c>
      <c r="R84" s="694">
        <f t="shared" si="24"/>
        <v>-1.4166308190000001E-4</v>
      </c>
      <c r="S84" s="693">
        <v>0</v>
      </c>
      <c r="T84" s="695">
        <f t="shared" si="25"/>
        <v>20173942</v>
      </c>
      <c r="U84" s="695">
        <f t="shared" si="26"/>
        <v>20173942</v>
      </c>
      <c r="V84" s="693">
        <f t="shared" si="27"/>
        <v>0</v>
      </c>
      <c r="W84" s="697"/>
      <c r="X84" s="698" t="s">
        <v>96</v>
      </c>
      <c r="Y84" s="678">
        <v>0</v>
      </c>
      <c r="Z84" s="678">
        <v>13780190</v>
      </c>
      <c r="AA84" s="678">
        <v>13780190</v>
      </c>
      <c r="AB84" s="699">
        <f t="shared" si="31"/>
        <v>1.4639814109965101</v>
      </c>
      <c r="AC84" s="700"/>
      <c r="AD84" s="701"/>
    </row>
    <row r="85" spans="1:30" s="639" customFormat="1" x14ac:dyDescent="0.25">
      <c r="A85" s="639">
        <v>79</v>
      </c>
      <c r="B85" s="639">
        <f>+'_DATA STT PAGOS_'!M85</f>
        <v>6101</v>
      </c>
      <c r="C85" s="639" t="str">
        <f>+'_DATA STT PAGOS_'!O85</f>
        <v>RANCAGUA</v>
      </c>
      <c r="D85" s="693">
        <f>+'_DATA STT PAGOS_'!G85</f>
        <v>0</v>
      </c>
      <c r="E85" s="693">
        <f>+'_DATA STT PAGOS_'!J85</f>
        <v>27443923.140000001</v>
      </c>
      <c r="F85" s="694">
        <f>+COEF_FCM!AG87</f>
        <v>1.13868389505E-2</v>
      </c>
      <c r="G85" s="693">
        <f t="shared" si="16"/>
        <v>32319962</v>
      </c>
      <c r="H85" s="695">
        <f t="shared" si="28"/>
        <v>4876038.8599999994</v>
      </c>
      <c r="I85" s="641">
        <f t="shared" si="29"/>
        <v>0</v>
      </c>
      <c r="J85" s="696">
        <f t="shared" si="30"/>
        <v>4876038.8599999994</v>
      </c>
      <c r="K85" s="693">
        <f t="shared" si="17"/>
        <v>2658601</v>
      </c>
      <c r="L85" s="695">
        <f t="shared" si="18"/>
        <v>2217437.8599999994</v>
      </c>
      <c r="M85" s="693">
        <f t="shared" si="19"/>
        <v>29661361</v>
      </c>
      <c r="N85" s="693">
        <f t="shared" si="20"/>
        <v>0</v>
      </c>
      <c r="O85" s="695">
        <f t="shared" si="21"/>
        <v>29661361</v>
      </c>
      <c r="P85" s="695">
        <f t="shared" si="22"/>
        <v>-2658601</v>
      </c>
      <c r="Q85" s="697">
        <f t="shared" si="23"/>
        <v>1.13868389505E-2</v>
      </c>
      <c r="R85" s="694">
        <f t="shared" si="24"/>
        <v>-9.3666759789999999E-4</v>
      </c>
      <c r="S85" s="693">
        <v>0</v>
      </c>
      <c r="T85" s="695">
        <f t="shared" si="25"/>
        <v>29661361</v>
      </c>
      <c r="U85" s="695">
        <f t="shared" si="26"/>
        <v>29661361</v>
      </c>
      <c r="V85" s="693">
        <f t="shared" si="27"/>
        <v>0</v>
      </c>
      <c r="W85" s="697"/>
      <c r="X85" s="698" t="s">
        <v>119</v>
      </c>
      <c r="Y85" s="678">
        <v>0</v>
      </c>
      <c r="Z85" s="678">
        <v>16324237</v>
      </c>
      <c r="AA85" s="678">
        <v>16324237</v>
      </c>
      <c r="AB85" s="699">
        <f t="shared" si="31"/>
        <v>1.8170136221374389</v>
      </c>
      <c r="AC85" s="700"/>
      <c r="AD85" s="701"/>
    </row>
    <row r="86" spans="1:30" s="639" customFormat="1" x14ac:dyDescent="0.25">
      <c r="A86" s="639">
        <v>80</v>
      </c>
      <c r="B86" s="639">
        <f>+'_DATA STT PAGOS_'!M86</f>
        <v>6102</v>
      </c>
      <c r="C86" s="639" t="str">
        <f>+'_DATA STT PAGOS_'!O86</f>
        <v>CODEGUA</v>
      </c>
      <c r="D86" s="693">
        <f>+'_DATA STT PAGOS_'!G86</f>
        <v>0</v>
      </c>
      <c r="E86" s="693">
        <f>+'_DATA STT PAGOS_'!J86</f>
        <v>2863598.8829999999</v>
      </c>
      <c r="F86" s="694">
        <f>+COEF_FCM!AG88</f>
        <v>1.0002736970000001E-3</v>
      </c>
      <c r="G86" s="693">
        <f t="shared" si="16"/>
        <v>2839138</v>
      </c>
      <c r="H86" s="695">
        <f t="shared" si="28"/>
        <v>-24460.882999999914</v>
      </c>
      <c r="I86" s="641">
        <f t="shared" si="29"/>
        <v>-24461</v>
      </c>
      <c r="J86" s="696">
        <f t="shared" si="30"/>
        <v>0</v>
      </c>
      <c r="K86" s="693">
        <f t="shared" si="17"/>
        <v>0</v>
      </c>
      <c r="L86" s="695">
        <f t="shared" si="18"/>
        <v>0</v>
      </c>
      <c r="M86" s="693">
        <f t="shared" si="19"/>
        <v>0</v>
      </c>
      <c r="N86" s="693">
        <f t="shared" si="20"/>
        <v>2863599</v>
      </c>
      <c r="O86" s="695">
        <f t="shared" si="21"/>
        <v>2863599</v>
      </c>
      <c r="P86" s="695">
        <f t="shared" si="22"/>
        <v>24461</v>
      </c>
      <c r="Q86" s="697">
        <f t="shared" si="23"/>
        <v>1.0002736970000001E-3</v>
      </c>
      <c r="R86" s="694">
        <f t="shared" si="24"/>
        <v>8.6180010000000006E-6</v>
      </c>
      <c r="S86" s="693">
        <v>0</v>
      </c>
      <c r="T86" s="695">
        <f t="shared" si="25"/>
        <v>2863599</v>
      </c>
      <c r="U86" s="695">
        <f t="shared" si="26"/>
        <v>2863599</v>
      </c>
      <c r="V86" s="693">
        <f t="shared" si="27"/>
        <v>24461</v>
      </c>
      <c r="W86" s="697"/>
      <c r="X86" s="698" t="s">
        <v>124</v>
      </c>
      <c r="Y86" s="678">
        <v>0</v>
      </c>
      <c r="Z86" s="678">
        <v>1979373</v>
      </c>
      <c r="AA86" s="678">
        <v>1979373</v>
      </c>
      <c r="AB86" s="699">
        <f t="shared" si="31"/>
        <v>1.4467202492910634</v>
      </c>
      <c r="AC86" s="700"/>
      <c r="AD86" s="701"/>
    </row>
    <row r="87" spans="1:30" s="639" customFormat="1" x14ac:dyDescent="0.25">
      <c r="A87" s="639">
        <v>81</v>
      </c>
      <c r="B87" s="639">
        <f>+'_DATA STT PAGOS_'!M87</f>
        <v>6103</v>
      </c>
      <c r="C87" s="639" t="str">
        <f>+'_DATA STT PAGOS_'!O87</f>
        <v>COINCO</v>
      </c>
      <c r="D87" s="693">
        <f>+'_DATA STT PAGOS_'!G87</f>
        <v>0</v>
      </c>
      <c r="E87" s="693">
        <f>+'_DATA STT PAGOS_'!J87</f>
        <v>2904019.5079999999</v>
      </c>
      <c r="F87" s="694">
        <f>+COEF_FCM!AG89</f>
        <v>1.1514581380999999E-3</v>
      </c>
      <c r="G87" s="693">
        <f t="shared" si="16"/>
        <v>3268254</v>
      </c>
      <c r="H87" s="695">
        <f t="shared" si="28"/>
        <v>364234.49200000009</v>
      </c>
      <c r="I87" s="641">
        <f t="shared" si="29"/>
        <v>0</v>
      </c>
      <c r="J87" s="696">
        <f t="shared" si="30"/>
        <v>364234.49200000009</v>
      </c>
      <c r="K87" s="693">
        <f t="shared" si="17"/>
        <v>198594</v>
      </c>
      <c r="L87" s="695">
        <f t="shared" si="18"/>
        <v>165640.49200000009</v>
      </c>
      <c r="M87" s="693">
        <f t="shared" si="19"/>
        <v>3069660</v>
      </c>
      <c r="N87" s="693">
        <f t="shared" si="20"/>
        <v>0</v>
      </c>
      <c r="O87" s="695">
        <f t="shared" si="21"/>
        <v>3069660</v>
      </c>
      <c r="P87" s="695">
        <f t="shared" si="22"/>
        <v>-198594</v>
      </c>
      <c r="Q87" s="697">
        <f t="shared" si="23"/>
        <v>1.1514581380999999E-3</v>
      </c>
      <c r="R87" s="694">
        <f t="shared" si="24"/>
        <v>-6.9967838300000003E-5</v>
      </c>
      <c r="S87" s="693">
        <v>0</v>
      </c>
      <c r="T87" s="695">
        <f t="shared" si="25"/>
        <v>3069660</v>
      </c>
      <c r="U87" s="695">
        <f t="shared" si="26"/>
        <v>3069660</v>
      </c>
      <c r="V87" s="693">
        <f t="shared" si="27"/>
        <v>0</v>
      </c>
      <c r="W87" s="697"/>
      <c r="X87" s="698" t="s">
        <v>131</v>
      </c>
      <c r="Y87" s="678">
        <v>0</v>
      </c>
      <c r="Z87" s="678">
        <v>1836691</v>
      </c>
      <c r="AA87" s="678">
        <v>1836691</v>
      </c>
      <c r="AB87" s="699">
        <f t="shared" si="31"/>
        <v>1.6712990916817254</v>
      </c>
      <c r="AC87" s="700"/>
      <c r="AD87" s="701"/>
    </row>
    <row r="88" spans="1:30" s="639" customFormat="1" x14ac:dyDescent="0.25">
      <c r="A88" s="639">
        <v>82</v>
      </c>
      <c r="B88" s="639">
        <f>+'_DATA STT PAGOS_'!M88</f>
        <v>6104</v>
      </c>
      <c r="C88" s="639" t="str">
        <f>+'_DATA STT PAGOS_'!O88</f>
        <v>COLTAUCO</v>
      </c>
      <c r="D88" s="693">
        <f>+'_DATA STT PAGOS_'!G88</f>
        <v>0</v>
      </c>
      <c r="E88" s="693">
        <f>+'_DATA STT PAGOS_'!J88</f>
        <v>5390967.7390000001</v>
      </c>
      <c r="F88" s="694">
        <f>+COEF_FCM!AG90</f>
        <v>2.1624887142000001E-3</v>
      </c>
      <c r="G88" s="693">
        <f t="shared" si="16"/>
        <v>6137924</v>
      </c>
      <c r="H88" s="695">
        <f t="shared" si="28"/>
        <v>746956.26099999994</v>
      </c>
      <c r="I88" s="641">
        <f t="shared" si="29"/>
        <v>0</v>
      </c>
      <c r="J88" s="696">
        <f t="shared" si="30"/>
        <v>746956.26099999994</v>
      </c>
      <c r="K88" s="693">
        <f t="shared" si="17"/>
        <v>407269</v>
      </c>
      <c r="L88" s="695">
        <f t="shared" si="18"/>
        <v>339687.26099999994</v>
      </c>
      <c r="M88" s="693">
        <f t="shared" si="19"/>
        <v>5730655</v>
      </c>
      <c r="N88" s="693">
        <f t="shared" si="20"/>
        <v>0</v>
      </c>
      <c r="O88" s="695">
        <f t="shared" si="21"/>
        <v>5730655</v>
      </c>
      <c r="P88" s="695">
        <f t="shared" si="22"/>
        <v>-407269</v>
      </c>
      <c r="Q88" s="697">
        <f t="shared" si="23"/>
        <v>2.1624887142000001E-3</v>
      </c>
      <c r="R88" s="694">
        <f t="shared" si="24"/>
        <v>-1.43487374E-4</v>
      </c>
      <c r="S88" s="693">
        <v>0</v>
      </c>
      <c r="T88" s="695">
        <f t="shared" si="25"/>
        <v>5730655</v>
      </c>
      <c r="U88" s="695">
        <f t="shared" si="26"/>
        <v>5730655</v>
      </c>
      <c r="V88" s="693">
        <f t="shared" si="27"/>
        <v>0</v>
      </c>
      <c r="W88" s="697"/>
      <c r="X88" s="698" t="s">
        <v>123</v>
      </c>
      <c r="Y88" s="678">
        <v>0</v>
      </c>
      <c r="Z88" s="678">
        <v>3388079</v>
      </c>
      <c r="AA88" s="678">
        <v>3388079</v>
      </c>
      <c r="AB88" s="699">
        <f t="shared" si="31"/>
        <v>1.6914171717955808</v>
      </c>
      <c r="AC88" s="700"/>
      <c r="AD88" s="701"/>
    </row>
    <row r="89" spans="1:30" s="639" customFormat="1" x14ac:dyDescent="0.25">
      <c r="A89" s="639">
        <v>83</v>
      </c>
      <c r="B89" s="639">
        <f>+'_DATA STT PAGOS_'!M89</f>
        <v>6105</v>
      </c>
      <c r="C89" s="639" t="str">
        <f>+'_DATA STT PAGOS_'!O89</f>
        <v>DOÑIHUE</v>
      </c>
      <c r="D89" s="693">
        <f>+'_DATA STT PAGOS_'!G89</f>
        <v>0</v>
      </c>
      <c r="E89" s="693">
        <f>+'_DATA STT PAGOS_'!J89</f>
        <v>4597074.193</v>
      </c>
      <c r="F89" s="694">
        <f>+COEF_FCM!AG91</f>
        <v>1.9262410641999999E-3</v>
      </c>
      <c r="G89" s="693">
        <f t="shared" si="16"/>
        <v>5467368</v>
      </c>
      <c r="H89" s="695">
        <f t="shared" si="28"/>
        <v>870293.80700000003</v>
      </c>
      <c r="I89" s="641">
        <f t="shared" si="29"/>
        <v>0</v>
      </c>
      <c r="J89" s="696">
        <f t="shared" si="30"/>
        <v>870293.80700000003</v>
      </c>
      <c r="K89" s="693">
        <f t="shared" si="17"/>
        <v>474517</v>
      </c>
      <c r="L89" s="695">
        <f t="shared" si="18"/>
        <v>395776.80700000003</v>
      </c>
      <c r="M89" s="693">
        <f t="shared" si="19"/>
        <v>4992851</v>
      </c>
      <c r="N89" s="693">
        <f t="shared" si="20"/>
        <v>0</v>
      </c>
      <c r="O89" s="695">
        <f t="shared" si="21"/>
        <v>4992851</v>
      </c>
      <c r="P89" s="695">
        <f t="shared" si="22"/>
        <v>-474517</v>
      </c>
      <c r="Q89" s="697">
        <f t="shared" si="23"/>
        <v>1.9262410641999999E-3</v>
      </c>
      <c r="R89" s="694">
        <f t="shared" si="24"/>
        <v>-1.6717991850000001E-4</v>
      </c>
      <c r="S89" s="693">
        <v>0</v>
      </c>
      <c r="T89" s="695">
        <f t="shared" si="25"/>
        <v>4992851</v>
      </c>
      <c r="U89" s="695">
        <f t="shared" si="26"/>
        <v>4992851</v>
      </c>
      <c r="V89" s="693">
        <f t="shared" si="27"/>
        <v>0</v>
      </c>
      <c r="W89" s="697"/>
      <c r="X89" s="698" t="s">
        <v>122</v>
      </c>
      <c r="Y89" s="678">
        <v>0</v>
      </c>
      <c r="Z89" s="678">
        <v>3135271</v>
      </c>
      <c r="AA89" s="678">
        <v>3135271</v>
      </c>
      <c r="AB89" s="699">
        <f t="shared" si="31"/>
        <v>1.5924782897554948</v>
      </c>
      <c r="AC89" s="700"/>
      <c r="AD89" s="701"/>
    </row>
    <row r="90" spans="1:30" s="639" customFormat="1" x14ac:dyDescent="0.25">
      <c r="A90" s="639">
        <v>84</v>
      </c>
      <c r="B90" s="639">
        <f>+'_DATA STT PAGOS_'!M90</f>
        <v>6106</v>
      </c>
      <c r="C90" s="639" t="str">
        <f>+'_DATA STT PAGOS_'!O90</f>
        <v>GRANEROS</v>
      </c>
      <c r="D90" s="693">
        <f>+'_DATA STT PAGOS_'!G90</f>
        <v>0</v>
      </c>
      <c r="E90" s="693">
        <f>+'_DATA STT PAGOS_'!J90</f>
        <v>6213573.0130000003</v>
      </c>
      <c r="F90" s="694">
        <f>+COEF_FCM!AG92</f>
        <v>2.6043275477E-3</v>
      </c>
      <c r="G90" s="693">
        <f t="shared" si="16"/>
        <v>7392022</v>
      </c>
      <c r="H90" s="695">
        <f t="shared" si="28"/>
        <v>1178448.9869999997</v>
      </c>
      <c r="I90" s="641">
        <f t="shared" si="29"/>
        <v>0</v>
      </c>
      <c r="J90" s="696">
        <f t="shared" si="30"/>
        <v>1178448.9869999997</v>
      </c>
      <c r="K90" s="693">
        <f t="shared" si="17"/>
        <v>642535</v>
      </c>
      <c r="L90" s="695">
        <f t="shared" si="18"/>
        <v>535913.98699999973</v>
      </c>
      <c r="M90" s="693">
        <f t="shared" si="19"/>
        <v>6749487</v>
      </c>
      <c r="N90" s="693">
        <f t="shared" si="20"/>
        <v>0</v>
      </c>
      <c r="O90" s="695">
        <f t="shared" si="21"/>
        <v>6749487</v>
      </c>
      <c r="P90" s="695">
        <f t="shared" si="22"/>
        <v>-642535</v>
      </c>
      <c r="Q90" s="697">
        <f t="shared" si="23"/>
        <v>2.6043275477E-3</v>
      </c>
      <c r="R90" s="694">
        <f t="shared" si="24"/>
        <v>-2.2637534370000001E-4</v>
      </c>
      <c r="S90" s="693">
        <v>0</v>
      </c>
      <c r="T90" s="695">
        <f t="shared" si="25"/>
        <v>6749487</v>
      </c>
      <c r="U90" s="695">
        <f t="shared" si="26"/>
        <v>6749487</v>
      </c>
      <c r="V90" s="693">
        <f t="shared" si="27"/>
        <v>0</v>
      </c>
      <c r="W90" s="697"/>
      <c r="X90" s="698" t="s">
        <v>120</v>
      </c>
      <c r="Y90" s="678">
        <v>0</v>
      </c>
      <c r="Z90" s="678">
        <v>3841976</v>
      </c>
      <c r="AA90" s="678">
        <v>3841976</v>
      </c>
      <c r="AB90" s="699">
        <f t="shared" si="31"/>
        <v>1.7567748991664707</v>
      </c>
      <c r="AC90" s="700"/>
      <c r="AD90" s="701"/>
    </row>
    <row r="91" spans="1:30" s="639" customFormat="1" x14ac:dyDescent="0.25">
      <c r="A91" s="639">
        <v>85</v>
      </c>
      <c r="B91" s="639">
        <f>+'_DATA STT PAGOS_'!M91</f>
        <v>6107</v>
      </c>
      <c r="C91" s="639" t="str">
        <f>+'_DATA STT PAGOS_'!O91</f>
        <v>LAS CABRAS</v>
      </c>
      <c r="D91" s="693">
        <f>+'_DATA STT PAGOS_'!G91</f>
        <v>0</v>
      </c>
      <c r="E91" s="693">
        <f>+'_DATA STT PAGOS_'!J91</f>
        <v>3309113.3889999995</v>
      </c>
      <c r="F91" s="694">
        <f>+COEF_FCM!AG93</f>
        <v>1.3048628945999999E-3</v>
      </c>
      <c r="G91" s="693">
        <f t="shared" si="16"/>
        <v>3703672</v>
      </c>
      <c r="H91" s="695">
        <f t="shared" si="28"/>
        <v>394558.6110000005</v>
      </c>
      <c r="I91" s="641">
        <f t="shared" si="29"/>
        <v>0</v>
      </c>
      <c r="J91" s="696">
        <f t="shared" si="30"/>
        <v>394558.6110000005</v>
      </c>
      <c r="K91" s="693">
        <f t="shared" si="17"/>
        <v>215128</v>
      </c>
      <c r="L91" s="695">
        <f t="shared" si="18"/>
        <v>179430.6110000005</v>
      </c>
      <c r="M91" s="693">
        <f t="shared" si="19"/>
        <v>3488544</v>
      </c>
      <c r="N91" s="693">
        <f t="shared" si="20"/>
        <v>0</v>
      </c>
      <c r="O91" s="695">
        <f t="shared" si="21"/>
        <v>3488544</v>
      </c>
      <c r="P91" s="695">
        <f t="shared" si="22"/>
        <v>-215128</v>
      </c>
      <c r="Q91" s="697">
        <f t="shared" si="23"/>
        <v>1.3048628945999999E-3</v>
      </c>
      <c r="R91" s="694">
        <f t="shared" si="24"/>
        <v>-7.5793030600000003E-5</v>
      </c>
      <c r="S91" s="693">
        <v>0</v>
      </c>
      <c r="T91" s="695">
        <f t="shared" si="25"/>
        <v>3488544</v>
      </c>
      <c r="U91" s="695">
        <f t="shared" si="26"/>
        <v>3488544</v>
      </c>
      <c r="V91" s="693">
        <f t="shared" si="27"/>
        <v>0</v>
      </c>
      <c r="W91" s="697"/>
      <c r="X91" s="698" t="s">
        <v>126</v>
      </c>
      <c r="Y91" s="678">
        <v>0</v>
      </c>
      <c r="Z91" s="678">
        <v>2338446</v>
      </c>
      <c r="AA91" s="678">
        <v>2338446</v>
      </c>
      <c r="AB91" s="699">
        <f t="shared" si="31"/>
        <v>1.4918214917085961</v>
      </c>
      <c r="AC91" s="700"/>
      <c r="AD91" s="701"/>
    </row>
    <row r="92" spans="1:30" s="639" customFormat="1" x14ac:dyDescent="0.25">
      <c r="A92" s="639">
        <v>86</v>
      </c>
      <c r="B92" s="639">
        <f>+'_DATA STT PAGOS_'!M92</f>
        <v>6108</v>
      </c>
      <c r="C92" s="639" t="str">
        <f>+'_DATA STT PAGOS_'!O92</f>
        <v>MACHALÍ</v>
      </c>
      <c r="D92" s="693">
        <f>+'_DATA STT PAGOS_'!G92</f>
        <v>0</v>
      </c>
      <c r="E92" s="693">
        <f>+'_DATA STT PAGOS_'!J92</f>
        <v>3484787.068</v>
      </c>
      <c r="F92" s="694">
        <f>+COEF_FCM!AG94</f>
        <v>1.3483327160999999E-3</v>
      </c>
      <c r="G92" s="693">
        <f t="shared" si="16"/>
        <v>3827055</v>
      </c>
      <c r="H92" s="695">
        <f t="shared" si="28"/>
        <v>342267.93200000003</v>
      </c>
      <c r="I92" s="641">
        <f t="shared" si="29"/>
        <v>0</v>
      </c>
      <c r="J92" s="696">
        <f t="shared" si="30"/>
        <v>342267.93200000003</v>
      </c>
      <c r="K92" s="693">
        <f t="shared" si="17"/>
        <v>186617</v>
      </c>
      <c r="L92" s="695">
        <f t="shared" si="18"/>
        <v>155650.93200000003</v>
      </c>
      <c r="M92" s="693">
        <f t="shared" si="19"/>
        <v>3640438</v>
      </c>
      <c r="N92" s="693">
        <f t="shared" si="20"/>
        <v>0</v>
      </c>
      <c r="O92" s="695">
        <f t="shared" si="21"/>
        <v>3640438</v>
      </c>
      <c r="P92" s="695">
        <f t="shared" si="22"/>
        <v>-186617</v>
      </c>
      <c r="Q92" s="697">
        <f t="shared" si="23"/>
        <v>1.3483327160999999E-3</v>
      </c>
      <c r="R92" s="694">
        <f t="shared" si="24"/>
        <v>-6.57481499E-5</v>
      </c>
      <c r="S92" s="693">
        <v>0</v>
      </c>
      <c r="T92" s="695">
        <f t="shared" si="25"/>
        <v>3640438</v>
      </c>
      <c r="U92" s="695">
        <f t="shared" si="26"/>
        <v>3640438</v>
      </c>
      <c r="V92" s="693">
        <f t="shared" si="27"/>
        <v>0</v>
      </c>
      <c r="W92" s="697"/>
      <c r="X92" s="698" t="s">
        <v>385</v>
      </c>
      <c r="Y92" s="678">
        <v>0</v>
      </c>
      <c r="Z92" s="678">
        <v>2307300</v>
      </c>
      <c r="AA92" s="678">
        <v>2307300</v>
      </c>
      <c r="AB92" s="699">
        <f t="shared" si="31"/>
        <v>1.5777913578641702</v>
      </c>
      <c r="AC92" s="700"/>
      <c r="AD92" s="701"/>
    </row>
    <row r="93" spans="1:30" s="639" customFormat="1" x14ac:dyDescent="0.25">
      <c r="A93" s="639">
        <v>87</v>
      </c>
      <c r="B93" s="639">
        <f>+'_DATA STT PAGOS_'!M93</f>
        <v>6109</v>
      </c>
      <c r="C93" s="639" t="str">
        <f>+'_DATA STT PAGOS_'!O93</f>
        <v>MALLOA</v>
      </c>
      <c r="D93" s="693">
        <f>+'_DATA STT PAGOS_'!G93</f>
        <v>0</v>
      </c>
      <c r="E93" s="693">
        <f>+'_DATA STT PAGOS_'!J93</f>
        <v>3992191.9249999998</v>
      </c>
      <c r="F93" s="694">
        <f>+COEF_FCM!AG95</f>
        <v>1.6197581979999999E-3</v>
      </c>
      <c r="G93" s="693">
        <f t="shared" si="16"/>
        <v>4597459</v>
      </c>
      <c r="H93" s="695">
        <f t="shared" si="28"/>
        <v>605267.07500000019</v>
      </c>
      <c r="I93" s="641">
        <f t="shared" si="29"/>
        <v>0</v>
      </c>
      <c r="J93" s="696">
        <f t="shared" si="30"/>
        <v>605267.07500000019</v>
      </c>
      <c r="K93" s="693">
        <f t="shared" si="17"/>
        <v>330015</v>
      </c>
      <c r="L93" s="695">
        <f t="shared" si="18"/>
        <v>275252.07500000019</v>
      </c>
      <c r="M93" s="693">
        <f t="shared" si="19"/>
        <v>4267444</v>
      </c>
      <c r="N93" s="693">
        <f t="shared" si="20"/>
        <v>0</v>
      </c>
      <c r="O93" s="695">
        <f t="shared" si="21"/>
        <v>4267444</v>
      </c>
      <c r="P93" s="695">
        <f t="shared" si="22"/>
        <v>-330015</v>
      </c>
      <c r="Q93" s="697">
        <f t="shared" si="23"/>
        <v>1.6197581979999999E-3</v>
      </c>
      <c r="R93" s="694">
        <f t="shared" si="24"/>
        <v>-1.162695558E-4</v>
      </c>
      <c r="S93" s="693">
        <v>0</v>
      </c>
      <c r="T93" s="695">
        <f t="shared" si="25"/>
        <v>4267444</v>
      </c>
      <c r="U93" s="695">
        <f t="shared" si="26"/>
        <v>4267444</v>
      </c>
      <c r="V93" s="693">
        <f t="shared" si="27"/>
        <v>0</v>
      </c>
      <c r="W93" s="697"/>
      <c r="X93" s="698" t="s">
        <v>130</v>
      </c>
      <c r="Y93" s="678">
        <v>0</v>
      </c>
      <c r="Z93" s="678">
        <v>2550009</v>
      </c>
      <c r="AA93" s="678">
        <v>2550009</v>
      </c>
      <c r="AB93" s="699">
        <f t="shared" si="31"/>
        <v>1.6735015445043526</v>
      </c>
      <c r="AC93" s="700"/>
      <c r="AD93" s="701"/>
    </row>
    <row r="94" spans="1:30" s="639" customFormat="1" x14ac:dyDescent="0.25">
      <c r="A94" s="639">
        <v>88</v>
      </c>
      <c r="B94" s="639">
        <f>+'_DATA STT PAGOS_'!M94</f>
        <v>6110</v>
      </c>
      <c r="C94" s="639" t="str">
        <f>+'_DATA STT PAGOS_'!O94</f>
        <v>MOSTAZAL</v>
      </c>
      <c r="D94" s="693">
        <f>+'_DATA STT PAGOS_'!G94</f>
        <v>0</v>
      </c>
      <c r="E94" s="693">
        <f>+'_DATA STT PAGOS_'!J94</f>
        <v>3340700.585</v>
      </c>
      <c r="F94" s="694">
        <f>+COEF_FCM!AG96</f>
        <v>1.2792245402E-3</v>
      </c>
      <c r="G94" s="693">
        <f t="shared" si="16"/>
        <v>3630901</v>
      </c>
      <c r="H94" s="695">
        <f t="shared" si="28"/>
        <v>290200.41500000004</v>
      </c>
      <c r="I94" s="641">
        <f t="shared" si="29"/>
        <v>0</v>
      </c>
      <c r="J94" s="696">
        <f t="shared" si="30"/>
        <v>290200.41500000004</v>
      </c>
      <c r="K94" s="693">
        <f t="shared" si="17"/>
        <v>158228</v>
      </c>
      <c r="L94" s="695">
        <f t="shared" si="18"/>
        <v>131972.41500000004</v>
      </c>
      <c r="M94" s="693">
        <f t="shared" si="19"/>
        <v>3472673</v>
      </c>
      <c r="N94" s="693">
        <f t="shared" si="20"/>
        <v>0</v>
      </c>
      <c r="O94" s="695">
        <f t="shared" si="21"/>
        <v>3472673</v>
      </c>
      <c r="P94" s="695">
        <f t="shared" si="22"/>
        <v>-158228</v>
      </c>
      <c r="Q94" s="697">
        <f t="shared" si="23"/>
        <v>1.2792245402E-3</v>
      </c>
      <c r="R94" s="694">
        <f t="shared" si="24"/>
        <v>-5.5746251799999997E-5</v>
      </c>
      <c r="S94" s="693">
        <v>0</v>
      </c>
      <c r="T94" s="695">
        <f t="shared" si="25"/>
        <v>3472673</v>
      </c>
      <c r="U94" s="695">
        <f t="shared" si="26"/>
        <v>3472673</v>
      </c>
      <c r="V94" s="693">
        <f t="shared" si="27"/>
        <v>0</v>
      </c>
      <c r="W94" s="697"/>
      <c r="X94" s="698" t="s">
        <v>121</v>
      </c>
      <c r="Y94" s="678">
        <v>0</v>
      </c>
      <c r="Z94" s="678">
        <v>2465934</v>
      </c>
      <c r="AA94" s="678">
        <v>2465934</v>
      </c>
      <c r="AB94" s="699">
        <f t="shared" si="31"/>
        <v>1.408258696299252</v>
      </c>
      <c r="AC94" s="700"/>
      <c r="AD94" s="701"/>
    </row>
    <row r="95" spans="1:30" s="639" customFormat="1" x14ac:dyDescent="0.25">
      <c r="A95" s="639">
        <v>89</v>
      </c>
      <c r="B95" s="639">
        <f>+'_DATA STT PAGOS_'!M95</f>
        <v>6111</v>
      </c>
      <c r="C95" s="639" t="str">
        <f>+'_DATA STT PAGOS_'!O95</f>
        <v>OLIVAR</v>
      </c>
      <c r="D95" s="693">
        <f>+'_DATA STT PAGOS_'!G95</f>
        <v>0</v>
      </c>
      <c r="E95" s="693">
        <f>+'_DATA STT PAGOS_'!J95</f>
        <v>2545227.8160000001</v>
      </c>
      <c r="F95" s="694">
        <f>+COEF_FCM!AG97</f>
        <v>9.6531806979999993E-4</v>
      </c>
      <c r="G95" s="693">
        <f t="shared" si="16"/>
        <v>2739921</v>
      </c>
      <c r="H95" s="695">
        <f t="shared" si="28"/>
        <v>194693.18399999989</v>
      </c>
      <c r="I95" s="641">
        <f t="shared" si="29"/>
        <v>0</v>
      </c>
      <c r="J95" s="696">
        <f t="shared" si="30"/>
        <v>194693.18399999989</v>
      </c>
      <c r="K95" s="693">
        <f t="shared" si="17"/>
        <v>106154</v>
      </c>
      <c r="L95" s="695">
        <f t="shared" si="18"/>
        <v>88539.183999999892</v>
      </c>
      <c r="M95" s="693">
        <f t="shared" si="19"/>
        <v>2633767</v>
      </c>
      <c r="N95" s="693">
        <f t="shared" si="20"/>
        <v>0</v>
      </c>
      <c r="O95" s="695">
        <f t="shared" si="21"/>
        <v>2633767</v>
      </c>
      <c r="P95" s="695">
        <f t="shared" si="22"/>
        <v>-106154</v>
      </c>
      <c r="Q95" s="697">
        <f t="shared" si="23"/>
        <v>9.6531806979999993E-4</v>
      </c>
      <c r="R95" s="694">
        <f t="shared" si="24"/>
        <v>-3.7399749800000001E-5</v>
      </c>
      <c r="S95" s="693">
        <v>0</v>
      </c>
      <c r="T95" s="695">
        <f t="shared" si="25"/>
        <v>2633767</v>
      </c>
      <c r="U95" s="695">
        <f t="shared" si="26"/>
        <v>2633767</v>
      </c>
      <c r="V95" s="693">
        <f t="shared" si="27"/>
        <v>0</v>
      </c>
      <c r="W95" s="697"/>
      <c r="X95" s="698" t="s">
        <v>129</v>
      </c>
      <c r="Y95" s="678">
        <v>0</v>
      </c>
      <c r="Z95" s="678">
        <v>1787895</v>
      </c>
      <c r="AA95" s="678">
        <v>1787895</v>
      </c>
      <c r="AB95" s="699">
        <f t="shared" si="31"/>
        <v>1.4731105573873187</v>
      </c>
      <c r="AC95" s="700"/>
      <c r="AD95" s="701"/>
    </row>
    <row r="96" spans="1:30" s="639" customFormat="1" x14ac:dyDescent="0.25">
      <c r="A96" s="639">
        <v>90</v>
      </c>
      <c r="B96" s="639">
        <f>+'_DATA STT PAGOS_'!M96</f>
        <v>6112</v>
      </c>
      <c r="C96" s="639" t="str">
        <f>+'_DATA STT PAGOS_'!O96</f>
        <v>PEUMO</v>
      </c>
      <c r="D96" s="693">
        <f>+'_DATA STT PAGOS_'!G96</f>
        <v>0</v>
      </c>
      <c r="E96" s="693">
        <f>+'_DATA STT PAGOS_'!J96</f>
        <v>3582954.0889999997</v>
      </c>
      <c r="F96" s="694">
        <f>+COEF_FCM!AG98</f>
        <v>1.5856656995999999E-3</v>
      </c>
      <c r="G96" s="693">
        <f t="shared" si="16"/>
        <v>4500692</v>
      </c>
      <c r="H96" s="695">
        <f t="shared" si="28"/>
        <v>917737.91100000031</v>
      </c>
      <c r="I96" s="641">
        <f t="shared" si="29"/>
        <v>0</v>
      </c>
      <c r="J96" s="696">
        <f t="shared" si="30"/>
        <v>917737.91100000031</v>
      </c>
      <c r="K96" s="693">
        <f t="shared" si="17"/>
        <v>500386</v>
      </c>
      <c r="L96" s="695">
        <f t="shared" si="18"/>
        <v>417351.91100000031</v>
      </c>
      <c r="M96" s="693">
        <f t="shared" si="19"/>
        <v>4000306</v>
      </c>
      <c r="N96" s="693">
        <f t="shared" si="20"/>
        <v>0</v>
      </c>
      <c r="O96" s="695">
        <f t="shared" si="21"/>
        <v>4000306</v>
      </c>
      <c r="P96" s="695">
        <f t="shared" si="22"/>
        <v>-500386</v>
      </c>
      <c r="Q96" s="697">
        <f t="shared" si="23"/>
        <v>1.5856656995999999E-3</v>
      </c>
      <c r="R96" s="694">
        <f t="shared" si="24"/>
        <v>-1.7629398040000001E-4</v>
      </c>
      <c r="S96" s="693">
        <v>0</v>
      </c>
      <c r="T96" s="695">
        <f t="shared" si="25"/>
        <v>4000306</v>
      </c>
      <c r="U96" s="695">
        <f t="shared" si="26"/>
        <v>4000306</v>
      </c>
      <c r="V96" s="693">
        <f t="shared" si="27"/>
        <v>0</v>
      </c>
      <c r="W96" s="697"/>
      <c r="X96" s="698" t="s">
        <v>125</v>
      </c>
      <c r="Y96" s="678">
        <v>0</v>
      </c>
      <c r="Z96" s="678">
        <v>2227015</v>
      </c>
      <c r="AA96" s="678">
        <v>2227015</v>
      </c>
      <c r="AB96" s="699">
        <f t="shared" si="31"/>
        <v>1.7962636084624486</v>
      </c>
      <c r="AC96" s="700"/>
      <c r="AD96" s="701"/>
    </row>
    <row r="97" spans="1:30" s="639" customFormat="1" x14ac:dyDescent="0.25">
      <c r="A97" s="639">
        <v>91</v>
      </c>
      <c r="B97" s="639">
        <f>+'_DATA STT PAGOS_'!M97</f>
        <v>6113</v>
      </c>
      <c r="C97" s="639" t="str">
        <f>+'_DATA STT PAGOS_'!O97</f>
        <v>PICHIDEGUA</v>
      </c>
      <c r="D97" s="693">
        <f>+'_DATA STT PAGOS_'!G97</f>
        <v>0</v>
      </c>
      <c r="E97" s="693">
        <f>+'_DATA STT PAGOS_'!J97</f>
        <v>4967663.58</v>
      </c>
      <c r="F97" s="694">
        <f>+COEF_FCM!AG99</f>
        <v>2.2538442124E-3</v>
      </c>
      <c r="G97" s="693">
        <f t="shared" si="16"/>
        <v>6397224</v>
      </c>
      <c r="H97" s="695">
        <f t="shared" si="28"/>
        <v>1429560.42</v>
      </c>
      <c r="I97" s="641">
        <f t="shared" si="29"/>
        <v>0</v>
      </c>
      <c r="J97" s="696">
        <f t="shared" si="30"/>
        <v>1429560.42</v>
      </c>
      <c r="K97" s="693">
        <f t="shared" si="17"/>
        <v>779451</v>
      </c>
      <c r="L97" s="695">
        <f t="shared" si="18"/>
        <v>650109.41999999993</v>
      </c>
      <c r="M97" s="693">
        <f t="shared" si="19"/>
        <v>5617773</v>
      </c>
      <c r="N97" s="693">
        <f t="shared" si="20"/>
        <v>0</v>
      </c>
      <c r="O97" s="695">
        <f t="shared" si="21"/>
        <v>5617773</v>
      </c>
      <c r="P97" s="695">
        <f t="shared" si="22"/>
        <v>-779451</v>
      </c>
      <c r="Q97" s="697">
        <f t="shared" si="23"/>
        <v>2.2538442124E-3</v>
      </c>
      <c r="R97" s="694">
        <f t="shared" si="24"/>
        <v>-2.7461303739999998E-4</v>
      </c>
      <c r="S97" s="693">
        <v>0</v>
      </c>
      <c r="T97" s="695">
        <f t="shared" si="25"/>
        <v>5617773</v>
      </c>
      <c r="U97" s="695">
        <f t="shared" si="26"/>
        <v>5617773</v>
      </c>
      <c r="V97" s="693">
        <f t="shared" si="27"/>
        <v>0</v>
      </c>
      <c r="W97" s="697"/>
      <c r="X97" s="698" t="s">
        <v>127</v>
      </c>
      <c r="Y97" s="678">
        <v>0</v>
      </c>
      <c r="Z97" s="678">
        <v>3029498</v>
      </c>
      <c r="AA97" s="678">
        <v>3029498</v>
      </c>
      <c r="AB97" s="699">
        <f t="shared" si="31"/>
        <v>1.8543577186715423</v>
      </c>
      <c r="AC97" s="700"/>
      <c r="AD97" s="701"/>
    </row>
    <row r="98" spans="1:30" s="639" customFormat="1" x14ac:dyDescent="0.25">
      <c r="A98" s="639">
        <v>92</v>
      </c>
      <c r="B98" s="639">
        <f>+'_DATA STT PAGOS_'!M98</f>
        <v>6114</v>
      </c>
      <c r="C98" s="639" t="str">
        <f>+'_DATA STT PAGOS_'!O98</f>
        <v>QUINTA DE TILCOCO</v>
      </c>
      <c r="D98" s="693">
        <f>+'_DATA STT PAGOS_'!G98</f>
        <v>0</v>
      </c>
      <c r="E98" s="693">
        <f>+'_DATA STT PAGOS_'!J98</f>
        <v>3543673.557</v>
      </c>
      <c r="F98" s="694">
        <f>+COEF_FCM!AG100</f>
        <v>1.3709855323E-3</v>
      </c>
      <c r="G98" s="693">
        <f t="shared" si="16"/>
        <v>3891352</v>
      </c>
      <c r="H98" s="695">
        <f t="shared" si="28"/>
        <v>347678.44299999997</v>
      </c>
      <c r="I98" s="641">
        <f t="shared" si="29"/>
        <v>0</v>
      </c>
      <c r="J98" s="696">
        <f t="shared" si="30"/>
        <v>347678.44299999997</v>
      </c>
      <c r="K98" s="693">
        <f t="shared" si="17"/>
        <v>189567</v>
      </c>
      <c r="L98" s="695">
        <f t="shared" si="18"/>
        <v>158111.44299999997</v>
      </c>
      <c r="M98" s="693">
        <f t="shared" si="19"/>
        <v>3701785</v>
      </c>
      <c r="N98" s="693">
        <f t="shared" si="20"/>
        <v>0</v>
      </c>
      <c r="O98" s="695">
        <f t="shared" si="21"/>
        <v>3701785</v>
      </c>
      <c r="P98" s="695">
        <f t="shared" si="22"/>
        <v>-189567</v>
      </c>
      <c r="Q98" s="697">
        <f t="shared" si="23"/>
        <v>1.3709855323E-3</v>
      </c>
      <c r="R98" s="694">
        <f t="shared" si="24"/>
        <v>-6.6787481999999994E-5</v>
      </c>
      <c r="S98" s="693">
        <v>0</v>
      </c>
      <c r="T98" s="695">
        <f t="shared" si="25"/>
        <v>3701785</v>
      </c>
      <c r="U98" s="695">
        <f t="shared" si="26"/>
        <v>3701785</v>
      </c>
      <c r="V98" s="693">
        <f t="shared" si="27"/>
        <v>0</v>
      </c>
      <c r="W98" s="697"/>
      <c r="X98" s="698" t="s">
        <v>132</v>
      </c>
      <c r="Y98" s="678">
        <v>0</v>
      </c>
      <c r="Z98" s="678">
        <v>2268441</v>
      </c>
      <c r="AA98" s="678">
        <v>2268441</v>
      </c>
      <c r="AB98" s="699">
        <f t="shared" si="31"/>
        <v>1.6318630283970357</v>
      </c>
      <c r="AC98" s="700"/>
      <c r="AD98" s="701"/>
    </row>
    <row r="99" spans="1:30" s="639" customFormat="1" x14ac:dyDescent="0.25">
      <c r="A99" s="639">
        <v>93</v>
      </c>
      <c r="B99" s="639">
        <f>+'_DATA STT PAGOS_'!M99</f>
        <v>6115</v>
      </c>
      <c r="C99" s="639" t="str">
        <f>+'_DATA STT PAGOS_'!O99</f>
        <v>RENGO</v>
      </c>
      <c r="D99" s="693">
        <f>+'_DATA STT PAGOS_'!G99</f>
        <v>0</v>
      </c>
      <c r="E99" s="693">
        <f>+'_DATA STT PAGOS_'!J99</f>
        <v>10113103.675000001</v>
      </c>
      <c r="F99" s="694">
        <f>+COEF_FCM!AG101</f>
        <v>4.0675989789999995E-3</v>
      </c>
      <c r="G99" s="693">
        <f t="shared" si="16"/>
        <v>11545315</v>
      </c>
      <c r="H99" s="695">
        <f t="shared" si="28"/>
        <v>1432211.3249999993</v>
      </c>
      <c r="I99" s="641">
        <f t="shared" si="29"/>
        <v>0</v>
      </c>
      <c r="J99" s="696">
        <f t="shared" si="30"/>
        <v>1432211.3249999993</v>
      </c>
      <c r="K99" s="693">
        <f t="shared" si="17"/>
        <v>780896</v>
      </c>
      <c r="L99" s="695">
        <f t="shared" si="18"/>
        <v>651315.32499999925</v>
      </c>
      <c r="M99" s="693">
        <f t="shared" si="19"/>
        <v>10764419</v>
      </c>
      <c r="N99" s="693">
        <f t="shared" si="20"/>
        <v>0</v>
      </c>
      <c r="O99" s="695">
        <f t="shared" si="21"/>
        <v>10764419</v>
      </c>
      <c r="P99" s="695">
        <f t="shared" si="22"/>
        <v>-780896</v>
      </c>
      <c r="Q99" s="697">
        <f t="shared" si="23"/>
        <v>4.0675989789999995E-3</v>
      </c>
      <c r="R99" s="694">
        <f t="shared" si="24"/>
        <v>-2.7512213399999999E-4</v>
      </c>
      <c r="S99" s="693">
        <v>0</v>
      </c>
      <c r="T99" s="695">
        <f t="shared" si="25"/>
        <v>10764419</v>
      </c>
      <c r="U99" s="695">
        <f t="shared" si="26"/>
        <v>10764419</v>
      </c>
      <c r="V99" s="693">
        <f t="shared" si="27"/>
        <v>0</v>
      </c>
      <c r="W99" s="697"/>
      <c r="X99" s="698" t="s">
        <v>128</v>
      </c>
      <c r="Y99" s="678">
        <v>0</v>
      </c>
      <c r="Z99" s="678">
        <v>6497917</v>
      </c>
      <c r="AA99" s="678">
        <v>6497917</v>
      </c>
      <c r="AB99" s="699">
        <f t="shared" si="31"/>
        <v>1.6565953366286457</v>
      </c>
      <c r="AC99" s="700"/>
      <c r="AD99" s="701"/>
    </row>
    <row r="100" spans="1:30" s="639" customFormat="1" x14ac:dyDescent="0.25">
      <c r="A100" s="639">
        <v>94</v>
      </c>
      <c r="B100" s="639">
        <f>+'_DATA STT PAGOS_'!M100</f>
        <v>6116</v>
      </c>
      <c r="C100" s="639" t="str">
        <f>+'_DATA STT PAGOS_'!O100</f>
        <v>REQUÍNOA</v>
      </c>
      <c r="D100" s="693">
        <f>+'_DATA STT PAGOS_'!G100</f>
        <v>0</v>
      </c>
      <c r="E100" s="693">
        <f>+'_DATA STT PAGOS_'!J100</f>
        <v>3084993.6210000003</v>
      </c>
      <c r="F100" s="694">
        <f>+COEF_FCM!AG102</f>
        <v>1.1739041094999999E-3</v>
      </c>
      <c r="G100" s="693">
        <f t="shared" si="16"/>
        <v>3331964</v>
      </c>
      <c r="H100" s="695">
        <f t="shared" si="28"/>
        <v>246970.37899999972</v>
      </c>
      <c r="I100" s="641">
        <f t="shared" si="29"/>
        <v>0</v>
      </c>
      <c r="J100" s="696">
        <f t="shared" si="30"/>
        <v>246970.37899999972</v>
      </c>
      <c r="K100" s="693">
        <f t="shared" si="17"/>
        <v>134658</v>
      </c>
      <c r="L100" s="695">
        <f t="shared" si="18"/>
        <v>112312.37899999972</v>
      </c>
      <c r="M100" s="693">
        <f t="shared" si="19"/>
        <v>3197306</v>
      </c>
      <c r="N100" s="693">
        <f t="shared" si="20"/>
        <v>0</v>
      </c>
      <c r="O100" s="695">
        <f t="shared" si="21"/>
        <v>3197306</v>
      </c>
      <c r="P100" s="695">
        <f t="shared" si="22"/>
        <v>-134658</v>
      </c>
      <c r="Q100" s="697">
        <f t="shared" si="23"/>
        <v>1.1739041094999999E-3</v>
      </c>
      <c r="R100" s="694">
        <f t="shared" si="24"/>
        <v>-4.7442164300000001E-5</v>
      </c>
      <c r="S100" s="693">
        <v>0</v>
      </c>
      <c r="T100" s="695">
        <f t="shared" si="25"/>
        <v>3197306</v>
      </c>
      <c r="U100" s="695">
        <f t="shared" si="26"/>
        <v>3197306</v>
      </c>
      <c r="V100" s="693">
        <f t="shared" si="27"/>
        <v>0</v>
      </c>
      <c r="W100" s="697"/>
      <c r="X100" s="698" t="s">
        <v>499</v>
      </c>
      <c r="Y100" s="678">
        <v>0</v>
      </c>
      <c r="Z100" s="678">
        <v>2098872</v>
      </c>
      <c r="AA100" s="678">
        <v>2098872</v>
      </c>
      <c r="AB100" s="699">
        <f t="shared" si="31"/>
        <v>1.5233449205096834</v>
      </c>
      <c r="AC100" s="700"/>
      <c r="AD100" s="701"/>
    </row>
    <row r="101" spans="1:30" s="639" customFormat="1" x14ac:dyDescent="0.25">
      <c r="A101" s="639">
        <v>95</v>
      </c>
      <c r="B101" s="639">
        <f>+'_DATA STT PAGOS_'!M101</f>
        <v>6117</v>
      </c>
      <c r="C101" s="639" t="str">
        <f>+'_DATA STT PAGOS_'!O101</f>
        <v>SAN VICENTE</v>
      </c>
      <c r="D101" s="693">
        <f>+'_DATA STT PAGOS_'!G101</f>
        <v>0</v>
      </c>
      <c r="E101" s="693">
        <f>+'_DATA STT PAGOS_'!J101</f>
        <v>9639361.6850000005</v>
      </c>
      <c r="F101" s="694">
        <f>+COEF_FCM!AG103</f>
        <v>3.8095670810999998E-3</v>
      </c>
      <c r="G101" s="693">
        <f t="shared" si="16"/>
        <v>10812927</v>
      </c>
      <c r="H101" s="695">
        <f t="shared" si="28"/>
        <v>1173565.3149999995</v>
      </c>
      <c r="I101" s="641">
        <f t="shared" si="29"/>
        <v>0</v>
      </c>
      <c r="J101" s="696">
        <f t="shared" si="30"/>
        <v>1173565.3149999995</v>
      </c>
      <c r="K101" s="693">
        <f t="shared" si="17"/>
        <v>639872</v>
      </c>
      <c r="L101" s="695">
        <f t="shared" si="18"/>
        <v>533693.31499999948</v>
      </c>
      <c r="M101" s="693">
        <f t="shared" si="19"/>
        <v>10173055</v>
      </c>
      <c r="N101" s="693">
        <f t="shared" si="20"/>
        <v>0</v>
      </c>
      <c r="O101" s="695">
        <f t="shared" si="21"/>
        <v>10173055</v>
      </c>
      <c r="P101" s="695">
        <f t="shared" si="22"/>
        <v>-639872</v>
      </c>
      <c r="Q101" s="697">
        <f t="shared" si="23"/>
        <v>3.8095670810999998E-3</v>
      </c>
      <c r="R101" s="694">
        <f t="shared" si="24"/>
        <v>-2.2543712620000001E-4</v>
      </c>
      <c r="S101" s="693">
        <v>0</v>
      </c>
      <c r="T101" s="695">
        <f t="shared" si="25"/>
        <v>10173055</v>
      </c>
      <c r="U101" s="695">
        <f t="shared" si="26"/>
        <v>10173055</v>
      </c>
      <c r="V101" s="693">
        <f t="shared" si="27"/>
        <v>0</v>
      </c>
      <c r="W101" s="697"/>
      <c r="X101" s="698" t="s">
        <v>316</v>
      </c>
      <c r="Y101" s="678">
        <v>0</v>
      </c>
      <c r="Z101" s="678">
        <v>5988004</v>
      </c>
      <c r="AA101" s="678">
        <v>5988004</v>
      </c>
      <c r="AB101" s="699">
        <f t="shared" si="31"/>
        <v>1.6989058457542781</v>
      </c>
      <c r="AC101" s="700"/>
      <c r="AD101" s="701"/>
    </row>
    <row r="102" spans="1:30" s="639" customFormat="1" x14ac:dyDescent="0.25">
      <c r="A102" s="639">
        <v>96</v>
      </c>
      <c r="B102" s="639">
        <f>+'_DATA STT PAGOS_'!M102</f>
        <v>6201</v>
      </c>
      <c r="C102" s="639" t="str">
        <f>+'_DATA STT PAGOS_'!O102</f>
        <v>PICHILEMU</v>
      </c>
      <c r="D102" s="693">
        <f>+'_DATA STT PAGOS_'!G102</f>
        <v>0</v>
      </c>
      <c r="E102" s="693">
        <f>+'_DATA STT PAGOS_'!J102</f>
        <v>12334849.558999998</v>
      </c>
      <c r="F102" s="694">
        <f>+COEF_FCM!AG104</f>
        <v>1.2854716422999999E-3</v>
      </c>
      <c r="G102" s="693">
        <f t="shared" si="16"/>
        <v>3648633</v>
      </c>
      <c r="H102" s="695">
        <f t="shared" si="28"/>
        <v>-8686216.5589999985</v>
      </c>
      <c r="I102" s="641">
        <f t="shared" si="29"/>
        <v>-8686217</v>
      </c>
      <c r="J102" s="696">
        <f t="shared" si="30"/>
        <v>0</v>
      </c>
      <c r="K102" s="693">
        <f t="shared" si="17"/>
        <v>0</v>
      </c>
      <c r="L102" s="695">
        <f t="shared" si="18"/>
        <v>0</v>
      </c>
      <c r="M102" s="693">
        <f t="shared" si="19"/>
        <v>0</v>
      </c>
      <c r="N102" s="693">
        <f t="shared" si="20"/>
        <v>12334850</v>
      </c>
      <c r="O102" s="695">
        <f t="shared" si="21"/>
        <v>12334850</v>
      </c>
      <c r="P102" s="695">
        <f t="shared" si="22"/>
        <v>8686217</v>
      </c>
      <c r="Q102" s="697">
        <f t="shared" si="23"/>
        <v>1.2854716422999999E-3</v>
      </c>
      <c r="R102" s="694">
        <f t="shared" si="24"/>
        <v>3.0602929933E-3</v>
      </c>
      <c r="S102" s="693">
        <v>0</v>
      </c>
      <c r="T102" s="695">
        <f t="shared" si="25"/>
        <v>12334850</v>
      </c>
      <c r="U102" s="695">
        <f t="shared" si="26"/>
        <v>12334850</v>
      </c>
      <c r="V102" s="693">
        <f t="shared" si="27"/>
        <v>8686217</v>
      </c>
      <c r="W102" s="697"/>
      <c r="X102" s="698" t="s">
        <v>142</v>
      </c>
      <c r="Y102" s="678">
        <v>0</v>
      </c>
      <c r="Z102" s="678">
        <v>9357619</v>
      </c>
      <c r="AA102" s="678">
        <v>9357619</v>
      </c>
      <c r="AB102" s="699">
        <f t="shared" si="31"/>
        <v>1.3181611689896757</v>
      </c>
      <c r="AC102" s="700"/>
      <c r="AD102" s="701"/>
    </row>
    <row r="103" spans="1:30" s="639" customFormat="1" x14ac:dyDescent="0.25">
      <c r="A103" s="639">
        <v>97</v>
      </c>
      <c r="B103" s="639">
        <f>+'_DATA STT PAGOS_'!M103</f>
        <v>6202</v>
      </c>
      <c r="C103" s="639" t="str">
        <f>+'_DATA STT PAGOS_'!O103</f>
        <v>LA ESTRELLA</v>
      </c>
      <c r="D103" s="693">
        <f>+'_DATA STT PAGOS_'!G103</f>
        <v>0</v>
      </c>
      <c r="E103" s="693">
        <f>+'_DATA STT PAGOS_'!J103</f>
        <v>2052578.4039999999</v>
      </c>
      <c r="F103" s="694">
        <f>+COEF_FCM!AG105</f>
        <v>8.0153208889999997E-4</v>
      </c>
      <c r="G103" s="693">
        <f t="shared" si="16"/>
        <v>2275038</v>
      </c>
      <c r="H103" s="695">
        <f t="shared" si="28"/>
        <v>222459.59600000014</v>
      </c>
      <c r="I103" s="641">
        <f t="shared" si="29"/>
        <v>0</v>
      </c>
      <c r="J103" s="696">
        <f t="shared" si="30"/>
        <v>222459.59600000014</v>
      </c>
      <c r="K103" s="693">
        <f t="shared" si="17"/>
        <v>121293</v>
      </c>
      <c r="L103" s="695">
        <f t="shared" si="18"/>
        <v>101166.59600000014</v>
      </c>
      <c r="M103" s="693">
        <f t="shared" si="19"/>
        <v>2153745</v>
      </c>
      <c r="N103" s="693">
        <f t="shared" si="20"/>
        <v>0</v>
      </c>
      <c r="O103" s="695">
        <f t="shared" si="21"/>
        <v>2153745</v>
      </c>
      <c r="P103" s="695">
        <f t="shared" si="22"/>
        <v>-121293</v>
      </c>
      <c r="Q103" s="697">
        <f t="shared" si="23"/>
        <v>8.0153208889999997E-4</v>
      </c>
      <c r="R103" s="694">
        <f t="shared" si="24"/>
        <v>-4.2733461300000002E-5</v>
      </c>
      <c r="S103" s="693">
        <v>0</v>
      </c>
      <c r="T103" s="695">
        <f t="shared" si="25"/>
        <v>2153745</v>
      </c>
      <c r="U103" s="695">
        <f t="shared" si="26"/>
        <v>2153745</v>
      </c>
      <c r="V103" s="693">
        <f t="shared" si="27"/>
        <v>0</v>
      </c>
      <c r="W103" s="697"/>
      <c r="X103" s="698" t="s">
        <v>145</v>
      </c>
      <c r="Y103" s="678">
        <v>0</v>
      </c>
      <c r="Z103" s="678">
        <v>1437780</v>
      </c>
      <c r="AA103" s="678">
        <v>1437780</v>
      </c>
      <c r="AB103" s="699">
        <f t="shared" si="31"/>
        <v>1.4979656136543837</v>
      </c>
      <c r="AC103" s="700"/>
      <c r="AD103" s="701"/>
    </row>
    <row r="104" spans="1:30" s="639" customFormat="1" x14ac:dyDescent="0.25">
      <c r="A104" s="639">
        <v>98</v>
      </c>
      <c r="B104" s="639">
        <f>+'_DATA STT PAGOS_'!M104</f>
        <v>6203</v>
      </c>
      <c r="C104" s="639" t="str">
        <f>+'_DATA STT PAGOS_'!O104</f>
        <v>LITUECHE</v>
      </c>
      <c r="D104" s="693">
        <f>+'_DATA STT PAGOS_'!G104</f>
        <v>0</v>
      </c>
      <c r="E104" s="693">
        <f>+'_DATA STT PAGOS_'!J104</f>
        <v>2206136.0970000001</v>
      </c>
      <c r="F104" s="694">
        <f>+COEF_FCM!AG106</f>
        <v>8.5458872600000001E-4</v>
      </c>
      <c r="G104" s="693">
        <f t="shared" si="16"/>
        <v>2425632</v>
      </c>
      <c r="H104" s="695">
        <f t="shared" si="28"/>
        <v>219495.90299999993</v>
      </c>
      <c r="I104" s="641">
        <f t="shared" si="29"/>
        <v>0</v>
      </c>
      <c r="J104" s="696">
        <f t="shared" si="30"/>
        <v>219495.90299999993</v>
      </c>
      <c r="K104" s="693">
        <f t="shared" si="17"/>
        <v>119677</v>
      </c>
      <c r="L104" s="695">
        <f t="shared" si="18"/>
        <v>99818.902999999933</v>
      </c>
      <c r="M104" s="693">
        <f t="shared" si="19"/>
        <v>2305955</v>
      </c>
      <c r="N104" s="693">
        <f t="shared" si="20"/>
        <v>0</v>
      </c>
      <c r="O104" s="695">
        <f t="shared" si="21"/>
        <v>2305955</v>
      </c>
      <c r="P104" s="695">
        <f t="shared" si="22"/>
        <v>-119677</v>
      </c>
      <c r="Q104" s="697">
        <f t="shared" si="23"/>
        <v>8.5458872600000001E-4</v>
      </c>
      <c r="R104" s="694">
        <f t="shared" si="24"/>
        <v>-4.2164118700000002E-5</v>
      </c>
      <c r="S104" s="693">
        <v>0</v>
      </c>
      <c r="T104" s="695">
        <f t="shared" si="25"/>
        <v>2305955</v>
      </c>
      <c r="U104" s="695">
        <f t="shared" si="26"/>
        <v>2305955</v>
      </c>
      <c r="V104" s="693">
        <f t="shared" si="27"/>
        <v>0</v>
      </c>
      <c r="W104" s="697"/>
      <c r="X104" s="698" t="s">
        <v>144</v>
      </c>
      <c r="Y104" s="678">
        <v>0</v>
      </c>
      <c r="Z104" s="678">
        <v>1538292</v>
      </c>
      <c r="AA104" s="678">
        <v>1538292</v>
      </c>
      <c r="AB104" s="699">
        <f t="shared" si="31"/>
        <v>1.4990359437610024</v>
      </c>
      <c r="AC104" s="700"/>
      <c r="AD104" s="701"/>
    </row>
    <row r="105" spans="1:30" s="639" customFormat="1" x14ac:dyDescent="0.25">
      <c r="A105" s="639">
        <v>99</v>
      </c>
      <c r="B105" s="639">
        <f>+'_DATA STT PAGOS_'!M105</f>
        <v>6204</v>
      </c>
      <c r="C105" s="639" t="str">
        <f>+'_DATA STT PAGOS_'!O105</f>
        <v>MARCHIHUE</v>
      </c>
      <c r="D105" s="693">
        <f>+'_DATA STT PAGOS_'!G105</f>
        <v>0</v>
      </c>
      <c r="E105" s="693">
        <f>+'_DATA STT PAGOS_'!J105</f>
        <v>2345834.4920000001</v>
      </c>
      <c r="F105" s="694">
        <f>+COEF_FCM!AG107</f>
        <v>9.0775546249999989E-4</v>
      </c>
      <c r="G105" s="693">
        <f t="shared" si="16"/>
        <v>2576538</v>
      </c>
      <c r="H105" s="695">
        <f t="shared" si="28"/>
        <v>230703.50799999991</v>
      </c>
      <c r="I105" s="641">
        <f t="shared" si="29"/>
        <v>0</v>
      </c>
      <c r="J105" s="696">
        <f t="shared" si="30"/>
        <v>230703.50799999991</v>
      </c>
      <c r="K105" s="693">
        <f t="shared" si="17"/>
        <v>125788</v>
      </c>
      <c r="L105" s="695">
        <f t="shared" si="18"/>
        <v>104915.50799999991</v>
      </c>
      <c r="M105" s="693">
        <f t="shared" si="19"/>
        <v>2450750</v>
      </c>
      <c r="N105" s="693">
        <f t="shared" si="20"/>
        <v>0</v>
      </c>
      <c r="O105" s="695">
        <f t="shared" si="21"/>
        <v>2450750</v>
      </c>
      <c r="P105" s="695">
        <f t="shared" si="22"/>
        <v>-125788</v>
      </c>
      <c r="Q105" s="697">
        <f t="shared" si="23"/>
        <v>9.0775546249999989E-4</v>
      </c>
      <c r="R105" s="694">
        <f t="shared" si="24"/>
        <v>-4.4317121599999997E-5</v>
      </c>
      <c r="S105" s="693">
        <v>0</v>
      </c>
      <c r="T105" s="695">
        <f t="shared" si="25"/>
        <v>2450750</v>
      </c>
      <c r="U105" s="695">
        <f t="shared" si="26"/>
        <v>2450750</v>
      </c>
      <c r="V105" s="693">
        <f t="shared" si="27"/>
        <v>0</v>
      </c>
      <c r="W105" s="697"/>
      <c r="X105" s="698" t="s">
        <v>29</v>
      </c>
      <c r="Y105" s="678">
        <v>0</v>
      </c>
      <c r="Z105" s="678">
        <v>1661753</v>
      </c>
      <c r="AA105" s="678">
        <v>1661753</v>
      </c>
      <c r="AB105" s="699">
        <f t="shared" si="31"/>
        <v>1.474797999462014</v>
      </c>
      <c r="AC105" s="700"/>
      <c r="AD105" s="701"/>
    </row>
    <row r="106" spans="1:30" s="639" customFormat="1" x14ac:dyDescent="0.25">
      <c r="A106" s="639">
        <v>100</v>
      </c>
      <c r="B106" s="639">
        <f>+'_DATA STT PAGOS_'!M106</f>
        <v>6205</v>
      </c>
      <c r="C106" s="639" t="str">
        <f>+'_DATA STT PAGOS_'!O106</f>
        <v>NAVIDAD</v>
      </c>
      <c r="D106" s="693">
        <f>+'_DATA STT PAGOS_'!G106</f>
        <v>0</v>
      </c>
      <c r="E106" s="693">
        <f>+'_DATA STT PAGOS_'!J106</f>
        <v>7256150.5420000004</v>
      </c>
      <c r="F106" s="694">
        <f>+COEF_FCM!AG108</f>
        <v>1.0376677706999998E-3</v>
      </c>
      <c r="G106" s="693">
        <f t="shared" si="16"/>
        <v>2945276</v>
      </c>
      <c r="H106" s="695">
        <f t="shared" si="28"/>
        <v>-4310874.5420000004</v>
      </c>
      <c r="I106" s="641">
        <f t="shared" si="29"/>
        <v>-4310875</v>
      </c>
      <c r="J106" s="696">
        <f t="shared" si="30"/>
        <v>0</v>
      </c>
      <c r="K106" s="693">
        <f t="shared" si="17"/>
        <v>0</v>
      </c>
      <c r="L106" s="695">
        <f t="shared" si="18"/>
        <v>0</v>
      </c>
      <c r="M106" s="693">
        <f t="shared" si="19"/>
        <v>0</v>
      </c>
      <c r="N106" s="693">
        <f t="shared" si="20"/>
        <v>7256151</v>
      </c>
      <c r="O106" s="695">
        <f t="shared" si="21"/>
        <v>7256151</v>
      </c>
      <c r="P106" s="695">
        <f t="shared" si="22"/>
        <v>4310875</v>
      </c>
      <c r="Q106" s="697">
        <f t="shared" si="23"/>
        <v>1.0376677706999998E-3</v>
      </c>
      <c r="R106" s="694">
        <f t="shared" si="24"/>
        <v>1.5187901197999999E-3</v>
      </c>
      <c r="S106" s="693">
        <v>0</v>
      </c>
      <c r="T106" s="695">
        <f t="shared" si="25"/>
        <v>7256151</v>
      </c>
      <c r="U106" s="695">
        <f t="shared" si="26"/>
        <v>7256151</v>
      </c>
      <c r="V106" s="693">
        <f t="shared" si="27"/>
        <v>4310875</v>
      </c>
      <c r="W106" s="697"/>
      <c r="X106" s="698" t="s">
        <v>143</v>
      </c>
      <c r="Y106" s="678">
        <v>0</v>
      </c>
      <c r="Z106" s="678">
        <v>5686405</v>
      </c>
      <c r="AA106" s="678">
        <v>5686405</v>
      </c>
      <c r="AB106" s="699">
        <f t="shared" si="31"/>
        <v>1.2760524443826988</v>
      </c>
      <c r="AC106" s="700"/>
      <c r="AD106" s="701"/>
    </row>
    <row r="107" spans="1:30" s="639" customFormat="1" x14ac:dyDescent="0.25">
      <c r="A107" s="639">
        <v>101</v>
      </c>
      <c r="B107" s="639">
        <f>+'_DATA STT PAGOS_'!M107</f>
        <v>6206</v>
      </c>
      <c r="C107" s="639" t="str">
        <f>+'_DATA STT PAGOS_'!O107</f>
        <v>PAREDONES</v>
      </c>
      <c r="D107" s="693">
        <f>+'_DATA STT PAGOS_'!G107</f>
        <v>0</v>
      </c>
      <c r="E107" s="693">
        <f>+'_DATA STT PAGOS_'!J107</f>
        <v>3909213.2359999996</v>
      </c>
      <c r="F107" s="694">
        <f>+COEF_FCM!AG109</f>
        <v>9.7232352999999992E-4</v>
      </c>
      <c r="G107" s="693">
        <f t="shared" si="16"/>
        <v>2759805</v>
      </c>
      <c r="H107" s="695">
        <f t="shared" si="28"/>
        <v>-1149408.2359999996</v>
      </c>
      <c r="I107" s="641">
        <f t="shared" si="29"/>
        <v>-1149408</v>
      </c>
      <c r="J107" s="696">
        <f t="shared" si="30"/>
        <v>0</v>
      </c>
      <c r="K107" s="693">
        <f t="shared" si="17"/>
        <v>0</v>
      </c>
      <c r="L107" s="695">
        <f t="shared" si="18"/>
        <v>0</v>
      </c>
      <c r="M107" s="693">
        <f t="shared" si="19"/>
        <v>0</v>
      </c>
      <c r="N107" s="693">
        <f t="shared" si="20"/>
        <v>3909213</v>
      </c>
      <c r="O107" s="695">
        <f t="shared" si="21"/>
        <v>3909213</v>
      </c>
      <c r="P107" s="695">
        <f t="shared" si="22"/>
        <v>1149408</v>
      </c>
      <c r="Q107" s="697">
        <f t="shared" si="23"/>
        <v>9.7232352999999992E-4</v>
      </c>
      <c r="R107" s="694">
        <f t="shared" si="24"/>
        <v>4.0495479780000001E-4</v>
      </c>
      <c r="S107" s="693">
        <v>0</v>
      </c>
      <c r="T107" s="695">
        <f t="shared" si="25"/>
        <v>3909213</v>
      </c>
      <c r="U107" s="695">
        <f t="shared" si="26"/>
        <v>3909213</v>
      </c>
      <c r="V107" s="693">
        <f t="shared" si="27"/>
        <v>1149408</v>
      </c>
      <c r="W107" s="697"/>
      <c r="X107" s="698" t="s">
        <v>146</v>
      </c>
      <c r="Y107" s="678">
        <v>0</v>
      </c>
      <c r="Z107" s="678">
        <v>2967721</v>
      </c>
      <c r="AA107" s="678">
        <v>2967721</v>
      </c>
      <c r="AB107" s="699">
        <f t="shared" si="31"/>
        <v>1.3172441075154975</v>
      </c>
      <c r="AC107" s="700"/>
      <c r="AD107" s="701"/>
    </row>
    <row r="108" spans="1:30" s="639" customFormat="1" x14ac:dyDescent="0.25">
      <c r="A108" s="639">
        <v>102</v>
      </c>
      <c r="B108" s="639">
        <f>+'_DATA STT PAGOS_'!M108</f>
        <v>6301</v>
      </c>
      <c r="C108" s="639" t="str">
        <f>+'_DATA STT PAGOS_'!O108</f>
        <v>SAN FERNANDO</v>
      </c>
      <c r="D108" s="693">
        <f>+'_DATA STT PAGOS_'!G108</f>
        <v>0</v>
      </c>
      <c r="E108" s="693">
        <f>+'_DATA STT PAGOS_'!J108</f>
        <v>10064127.697000001</v>
      </c>
      <c r="F108" s="694">
        <f>+COEF_FCM!AG110</f>
        <v>4.0257945061999995E-3</v>
      </c>
      <c r="G108" s="693">
        <f t="shared" si="16"/>
        <v>11426659</v>
      </c>
      <c r="H108" s="695">
        <f t="shared" si="28"/>
        <v>1362531.3029999994</v>
      </c>
      <c r="I108" s="641">
        <f t="shared" si="29"/>
        <v>0</v>
      </c>
      <c r="J108" s="696">
        <f t="shared" si="30"/>
        <v>1362531.3029999994</v>
      </c>
      <c r="K108" s="693">
        <f t="shared" si="17"/>
        <v>742904</v>
      </c>
      <c r="L108" s="695">
        <f t="shared" si="18"/>
        <v>619627.30299999937</v>
      </c>
      <c r="M108" s="693">
        <f t="shared" si="19"/>
        <v>10683755</v>
      </c>
      <c r="N108" s="693">
        <f t="shared" si="20"/>
        <v>0</v>
      </c>
      <c r="O108" s="695">
        <f t="shared" si="21"/>
        <v>10683755</v>
      </c>
      <c r="P108" s="695">
        <f t="shared" si="22"/>
        <v>-742904</v>
      </c>
      <c r="Q108" s="697">
        <f t="shared" si="23"/>
        <v>4.0257945061999995E-3</v>
      </c>
      <c r="R108" s="694">
        <f t="shared" si="24"/>
        <v>-2.6173694550000001E-4</v>
      </c>
      <c r="S108" s="693">
        <v>0</v>
      </c>
      <c r="T108" s="695">
        <f t="shared" si="25"/>
        <v>10683755</v>
      </c>
      <c r="U108" s="695">
        <f t="shared" si="26"/>
        <v>10683755</v>
      </c>
      <c r="V108" s="693">
        <f t="shared" si="27"/>
        <v>0</v>
      </c>
      <c r="W108" s="697"/>
      <c r="X108" s="698" t="s">
        <v>133</v>
      </c>
      <c r="Y108" s="678">
        <v>0</v>
      </c>
      <c r="Z108" s="678">
        <v>6364088</v>
      </c>
      <c r="AA108" s="678">
        <v>6364088</v>
      </c>
      <c r="AB108" s="699">
        <f t="shared" si="31"/>
        <v>1.6787566419571822</v>
      </c>
      <c r="AC108" s="700"/>
      <c r="AD108" s="701"/>
    </row>
    <row r="109" spans="1:30" s="639" customFormat="1" x14ac:dyDescent="0.25">
      <c r="A109" s="639">
        <v>103</v>
      </c>
      <c r="B109" s="639">
        <f>+'_DATA STT PAGOS_'!M109</f>
        <v>6302</v>
      </c>
      <c r="C109" s="639" t="str">
        <f>+'_DATA STT PAGOS_'!O109</f>
        <v>CHÉPICA</v>
      </c>
      <c r="D109" s="693">
        <f>+'_DATA STT PAGOS_'!G109</f>
        <v>0</v>
      </c>
      <c r="E109" s="693">
        <f>+'_DATA STT PAGOS_'!J109</f>
        <v>4297661.9950000001</v>
      </c>
      <c r="F109" s="694">
        <f>+COEF_FCM!AG111</f>
        <v>1.8415178653E-3</v>
      </c>
      <c r="G109" s="693">
        <f t="shared" si="16"/>
        <v>5226893</v>
      </c>
      <c r="H109" s="695">
        <f t="shared" si="28"/>
        <v>929231.00499999989</v>
      </c>
      <c r="I109" s="641">
        <f t="shared" si="29"/>
        <v>0</v>
      </c>
      <c r="J109" s="696">
        <f t="shared" si="30"/>
        <v>929231.00499999989</v>
      </c>
      <c r="K109" s="693">
        <f t="shared" si="17"/>
        <v>506652</v>
      </c>
      <c r="L109" s="695">
        <f t="shared" si="18"/>
        <v>422579.00499999989</v>
      </c>
      <c r="M109" s="693">
        <f t="shared" si="19"/>
        <v>4720241</v>
      </c>
      <c r="N109" s="693">
        <f t="shared" si="20"/>
        <v>0</v>
      </c>
      <c r="O109" s="695">
        <f t="shared" si="21"/>
        <v>4720241</v>
      </c>
      <c r="P109" s="695">
        <f t="shared" si="22"/>
        <v>-506652</v>
      </c>
      <c r="Q109" s="697">
        <f t="shared" si="23"/>
        <v>1.8415178653E-3</v>
      </c>
      <c r="R109" s="694">
        <f t="shared" si="24"/>
        <v>-1.785015923E-4</v>
      </c>
      <c r="S109" s="693">
        <v>0</v>
      </c>
      <c r="T109" s="695">
        <f t="shared" si="25"/>
        <v>4720241</v>
      </c>
      <c r="U109" s="695">
        <f t="shared" si="26"/>
        <v>4720241</v>
      </c>
      <c r="V109" s="693">
        <f t="shared" si="27"/>
        <v>0</v>
      </c>
      <c r="W109" s="697"/>
      <c r="X109" s="698" t="s">
        <v>386</v>
      </c>
      <c r="Y109" s="678">
        <v>0</v>
      </c>
      <c r="Z109" s="678">
        <v>2790657</v>
      </c>
      <c r="AA109" s="678">
        <v>2790657</v>
      </c>
      <c r="AB109" s="699">
        <f t="shared" si="31"/>
        <v>1.6914443444679872</v>
      </c>
      <c r="AC109" s="700"/>
      <c r="AD109" s="701"/>
    </row>
    <row r="110" spans="1:30" s="639" customFormat="1" x14ac:dyDescent="0.25">
      <c r="A110" s="639">
        <v>104</v>
      </c>
      <c r="B110" s="639">
        <f>+'_DATA STT PAGOS_'!M110</f>
        <v>6303</v>
      </c>
      <c r="C110" s="639" t="str">
        <f>+'_DATA STT PAGOS_'!O110</f>
        <v>CHIMBARONGO</v>
      </c>
      <c r="D110" s="693">
        <f>+'_DATA STT PAGOS_'!G110</f>
        <v>0</v>
      </c>
      <c r="E110" s="693">
        <f>+'_DATA STT PAGOS_'!J110</f>
        <v>7893098.1910000006</v>
      </c>
      <c r="F110" s="694">
        <f>+COEF_FCM!AG112</f>
        <v>3.2989639376000001E-3</v>
      </c>
      <c r="G110" s="693">
        <f t="shared" si="16"/>
        <v>9363651</v>
      </c>
      <c r="H110" s="695">
        <f t="shared" si="28"/>
        <v>1470552.8089999994</v>
      </c>
      <c r="I110" s="641">
        <f t="shared" si="29"/>
        <v>0</v>
      </c>
      <c r="J110" s="696">
        <f t="shared" si="30"/>
        <v>1470552.8089999994</v>
      </c>
      <c r="K110" s="693">
        <f t="shared" si="17"/>
        <v>801801</v>
      </c>
      <c r="L110" s="695">
        <f t="shared" si="18"/>
        <v>668751.80899999943</v>
      </c>
      <c r="M110" s="693">
        <f t="shared" si="19"/>
        <v>8561850</v>
      </c>
      <c r="N110" s="693">
        <f t="shared" si="20"/>
        <v>0</v>
      </c>
      <c r="O110" s="695">
        <f t="shared" si="21"/>
        <v>8561850</v>
      </c>
      <c r="P110" s="695">
        <f t="shared" si="22"/>
        <v>-801801</v>
      </c>
      <c r="Q110" s="697">
        <f t="shared" si="23"/>
        <v>3.2989639376000001E-3</v>
      </c>
      <c r="R110" s="694">
        <f t="shared" si="24"/>
        <v>-2.8248729940000001E-4</v>
      </c>
      <c r="S110" s="693">
        <v>0</v>
      </c>
      <c r="T110" s="695">
        <f t="shared" si="25"/>
        <v>8561850</v>
      </c>
      <c r="U110" s="695">
        <f t="shared" si="26"/>
        <v>8561850</v>
      </c>
      <c r="V110" s="693">
        <f t="shared" si="27"/>
        <v>0</v>
      </c>
      <c r="W110" s="697"/>
      <c r="X110" s="698" t="s">
        <v>134</v>
      </c>
      <c r="Y110" s="678">
        <v>0</v>
      </c>
      <c r="Z110" s="678">
        <v>4882257</v>
      </c>
      <c r="AA110" s="678">
        <v>4882257</v>
      </c>
      <c r="AB110" s="699">
        <f t="shared" si="31"/>
        <v>1.7536663883117993</v>
      </c>
      <c r="AC110" s="700"/>
      <c r="AD110" s="701"/>
    </row>
    <row r="111" spans="1:30" s="639" customFormat="1" x14ac:dyDescent="0.25">
      <c r="A111" s="639">
        <v>105</v>
      </c>
      <c r="B111" s="639">
        <f>+'_DATA STT PAGOS_'!M111</f>
        <v>6304</v>
      </c>
      <c r="C111" s="639" t="str">
        <f>+'_DATA STT PAGOS_'!O111</f>
        <v>LOLOL</v>
      </c>
      <c r="D111" s="693">
        <f>+'_DATA STT PAGOS_'!G111</f>
        <v>0</v>
      </c>
      <c r="E111" s="693">
        <f>+'_DATA STT PAGOS_'!J111</f>
        <v>2529708.2179999999</v>
      </c>
      <c r="F111" s="694">
        <f>+COEF_FCM!AG113</f>
        <v>9.8639088509999999E-4</v>
      </c>
      <c r="G111" s="693">
        <f t="shared" si="16"/>
        <v>2799734</v>
      </c>
      <c r="H111" s="695">
        <f t="shared" si="28"/>
        <v>270025.78200000012</v>
      </c>
      <c r="I111" s="641">
        <f t="shared" si="29"/>
        <v>0</v>
      </c>
      <c r="J111" s="696">
        <f t="shared" si="30"/>
        <v>270025.78200000012</v>
      </c>
      <c r="K111" s="693">
        <f t="shared" si="17"/>
        <v>147228</v>
      </c>
      <c r="L111" s="695">
        <f t="shared" si="18"/>
        <v>122797.78200000012</v>
      </c>
      <c r="M111" s="693">
        <f t="shared" si="19"/>
        <v>2652506</v>
      </c>
      <c r="N111" s="693">
        <f t="shared" si="20"/>
        <v>0</v>
      </c>
      <c r="O111" s="695">
        <f t="shared" si="21"/>
        <v>2652506</v>
      </c>
      <c r="P111" s="695">
        <f t="shared" si="22"/>
        <v>-147228</v>
      </c>
      <c r="Q111" s="697">
        <f t="shared" si="23"/>
        <v>9.8639088509999999E-4</v>
      </c>
      <c r="R111" s="694">
        <f t="shared" si="24"/>
        <v>-5.1870776099999997E-5</v>
      </c>
      <c r="S111" s="693">
        <v>0</v>
      </c>
      <c r="T111" s="695">
        <f t="shared" si="25"/>
        <v>2652506</v>
      </c>
      <c r="U111" s="695">
        <f t="shared" si="26"/>
        <v>2652506</v>
      </c>
      <c r="V111" s="693">
        <f t="shared" si="27"/>
        <v>0</v>
      </c>
      <c r="W111" s="697"/>
      <c r="X111" s="698" t="s">
        <v>138</v>
      </c>
      <c r="Y111" s="678">
        <v>0</v>
      </c>
      <c r="Z111" s="678">
        <v>1766613</v>
      </c>
      <c r="AA111" s="678">
        <v>1766613</v>
      </c>
      <c r="AB111" s="699">
        <f t="shared" si="31"/>
        <v>1.5014641010792968</v>
      </c>
      <c r="AC111" s="700"/>
      <c r="AD111" s="701"/>
    </row>
    <row r="112" spans="1:30" s="639" customFormat="1" x14ac:dyDescent="0.25">
      <c r="A112" s="639">
        <v>106</v>
      </c>
      <c r="B112" s="639">
        <f>+'_DATA STT PAGOS_'!M112</f>
        <v>6305</v>
      </c>
      <c r="C112" s="639" t="str">
        <f>+'_DATA STT PAGOS_'!O112</f>
        <v>NANCAGUA</v>
      </c>
      <c r="D112" s="693">
        <f>+'_DATA STT PAGOS_'!G112</f>
        <v>0</v>
      </c>
      <c r="E112" s="693">
        <f>+'_DATA STT PAGOS_'!J112</f>
        <v>4100878.8909999998</v>
      </c>
      <c r="F112" s="694">
        <f>+COEF_FCM!AG114</f>
        <v>1.6886186238E-3</v>
      </c>
      <c r="G112" s="693">
        <f t="shared" si="16"/>
        <v>4792910</v>
      </c>
      <c r="H112" s="695">
        <f t="shared" si="28"/>
        <v>692031.10900000017</v>
      </c>
      <c r="I112" s="641">
        <f t="shared" si="29"/>
        <v>0</v>
      </c>
      <c r="J112" s="696">
        <f t="shared" si="30"/>
        <v>692031.10900000017</v>
      </c>
      <c r="K112" s="693">
        <f t="shared" si="17"/>
        <v>377322</v>
      </c>
      <c r="L112" s="695">
        <f t="shared" si="18"/>
        <v>314709.10900000017</v>
      </c>
      <c r="M112" s="693">
        <f t="shared" si="19"/>
        <v>4415588</v>
      </c>
      <c r="N112" s="693">
        <f t="shared" si="20"/>
        <v>0</v>
      </c>
      <c r="O112" s="695">
        <f t="shared" si="21"/>
        <v>4415588</v>
      </c>
      <c r="P112" s="695">
        <f t="shared" si="22"/>
        <v>-377322</v>
      </c>
      <c r="Q112" s="697">
        <f t="shared" si="23"/>
        <v>1.6886186238E-3</v>
      </c>
      <c r="R112" s="694">
        <f t="shared" si="24"/>
        <v>-1.3293656750000001E-4</v>
      </c>
      <c r="S112" s="693">
        <v>0</v>
      </c>
      <c r="T112" s="695">
        <f t="shared" si="25"/>
        <v>4415588</v>
      </c>
      <c r="U112" s="695">
        <f t="shared" si="26"/>
        <v>4415588</v>
      </c>
      <c r="V112" s="693">
        <f t="shared" si="27"/>
        <v>0</v>
      </c>
      <c r="W112" s="697"/>
      <c r="X112" s="698" t="s">
        <v>135</v>
      </c>
      <c r="Y112" s="678">
        <v>0</v>
      </c>
      <c r="Z112" s="678">
        <v>2375544</v>
      </c>
      <c r="AA112" s="678">
        <v>2375544</v>
      </c>
      <c r="AB112" s="699">
        <f t="shared" si="31"/>
        <v>1.8587691913936344</v>
      </c>
      <c r="AC112" s="700"/>
      <c r="AD112" s="701"/>
    </row>
    <row r="113" spans="1:30" s="639" customFormat="1" x14ac:dyDescent="0.25">
      <c r="A113" s="639">
        <v>107</v>
      </c>
      <c r="B113" s="639">
        <f>+'_DATA STT PAGOS_'!M113</f>
        <v>6306</v>
      </c>
      <c r="C113" s="639" t="str">
        <f>+'_DATA STT PAGOS_'!O113</f>
        <v>PALMILLA</v>
      </c>
      <c r="D113" s="693">
        <f>+'_DATA STT PAGOS_'!G113</f>
        <v>0</v>
      </c>
      <c r="E113" s="693">
        <f>+'_DATA STT PAGOS_'!J113</f>
        <v>2624282.352</v>
      </c>
      <c r="F113" s="694">
        <f>+COEF_FCM!AG115</f>
        <v>1.0309553058999998E-3</v>
      </c>
      <c r="G113" s="693">
        <f t="shared" si="16"/>
        <v>2926224</v>
      </c>
      <c r="H113" s="695">
        <f t="shared" si="28"/>
        <v>301941.64800000004</v>
      </c>
      <c r="I113" s="641">
        <f t="shared" si="29"/>
        <v>0</v>
      </c>
      <c r="J113" s="696">
        <f t="shared" si="30"/>
        <v>301941.64800000004</v>
      </c>
      <c r="K113" s="693">
        <f t="shared" si="17"/>
        <v>164630</v>
      </c>
      <c r="L113" s="695">
        <f t="shared" si="18"/>
        <v>137311.64800000004</v>
      </c>
      <c r="M113" s="693">
        <f t="shared" si="19"/>
        <v>2761594</v>
      </c>
      <c r="N113" s="693">
        <f t="shared" si="20"/>
        <v>0</v>
      </c>
      <c r="O113" s="695">
        <f t="shared" si="21"/>
        <v>2761594</v>
      </c>
      <c r="P113" s="695">
        <f t="shared" si="22"/>
        <v>-164630</v>
      </c>
      <c r="Q113" s="697">
        <f t="shared" si="23"/>
        <v>1.0309553058999998E-3</v>
      </c>
      <c r="R113" s="694">
        <f t="shared" si="24"/>
        <v>-5.80017786E-5</v>
      </c>
      <c r="S113" s="693">
        <v>0</v>
      </c>
      <c r="T113" s="695">
        <f t="shared" si="25"/>
        <v>2761594</v>
      </c>
      <c r="U113" s="695">
        <f t="shared" si="26"/>
        <v>2761594</v>
      </c>
      <c r="V113" s="693">
        <f t="shared" si="27"/>
        <v>0</v>
      </c>
      <c r="W113" s="697"/>
      <c r="X113" s="698" t="s">
        <v>139</v>
      </c>
      <c r="Y113" s="678">
        <v>0</v>
      </c>
      <c r="Z113" s="678">
        <v>1811602</v>
      </c>
      <c r="AA113" s="678">
        <v>1811602</v>
      </c>
      <c r="AB113" s="699">
        <f t="shared" si="31"/>
        <v>1.5243933270111205</v>
      </c>
      <c r="AC113" s="700"/>
      <c r="AD113" s="701"/>
    </row>
    <row r="114" spans="1:30" s="639" customFormat="1" x14ac:dyDescent="0.25">
      <c r="A114" s="639">
        <v>108</v>
      </c>
      <c r="B114" s="639">
        <f>+'_DATA STT PAGOS_'!M114</f>
        <v>6307</v>
      </c>
      <c r="C114" s="639" t="str">
        <f>+'_DATA STT PAGOS_'!O114</f>
        <v>PERALILLO</v>
      </c>
      <c r="D114" s="693">
        <f>+'_DATA STT PAGOS_'!G114</f>
        <v>0</v>
      </c>
      <c r="E114" s="693">
        <f>+'_DATA STT PAGOS_'!J114</f>
        <v>2691227.3939999999</v>
      </c>
      <c r="F114" s="694">
        <f>+COEF_FCM!AG116</f>
        <v>9.9508797219999994E-4</v>
      </c>
      <c r="G114" s="693">
        <f t="shared" si="16"/>
        <v>2824419</v>
      </c>
      <c r="H114" s="695">
        <f t="shared" si="28"/>
        <v>133191.60600000015</v>
      </c>
      <c r="I114" s="641">
        <f t="shared" si="29"/>
        <v>0</v>
      </c>
      <c r="J114" s="696">
        <f t="shared" si="30"/>
        <v>133191.60600000015</v>
      </c>
      <c r="K114" s="693">
        <f t="shared" si="17"/>
        <v>72621</v>
      </c>
      <c r="L114" s="695">
        <f t="shared" si="18"/>
        <v>60570.606000000145</v>
      </c>
      <c r="M114" s="693">
        <f t="shared" si="19"/>
        <v>2751798</v>
      </c>
      <c r="N114" s="693">
        <f t="shared" si="20"/>
        <v>0</v>
      </c>
      <c r="O114" s="695">
        <f t="shared" si="21"/>
        <v>2751798</v>
      </c>
      <c r="P114" s="695">
        <f t="shared" si="22"/>
        <v>-72621</v>
      </c>
      <c r="Q114" s="697">
        <f t="shared" si="23"/>
        <v>9.9508797219999994E-4</v>
      </c>
      <c r="R114" s="694">
        <f t="shared" si="24"/>
        <v>-2.55855383E-5</v>
      </c>
      <c r="S114" s="693">
        <v>0</v>
      </c>
      <c r="T114" s="695">
        <f t="shared" si="25"/>
        <v>2751798</v>
      </c>
      <c r="U114" s="695">
        <f t="shared" si="26"/>
        <v>2751798</v>
      </c>
      <c r="V114" s="693">
        <f t="shared" si="27"/>
        <v>0</v>
      </c>
      <c r="W114" s="697"/>
      <c r="X114" s="698" t="s">
        <v>140</v>
      </c>
      <c r="Y114" s="678">
        <v>0</v>
      </c>
      <c r="Z114" s="678">
        <v>1860156</v>
      </c>
      <c r="AA114" s="678">
        <v>1860156</v>
      </c>
      <c r="AB114" s="699">
        <f t="shared" si="31"/>
        <v>1.4793372168785843</v>
      </c>
      <c r="AC114" s="700"/>
      <c r="AD114" s="701"/>
    </row>
    <row r="115" spans="1:30" s="639" customFormat="1" x14ac:dyDescent="0.25">
      <c r="A115" s="639">
        <v>109</v>
      </c>
      <c r="B115" s="639">
        <f>+'_DATA STT PAGOS_'!M115</f>
        <v>6308</v>
      </c>
      <c r="C115" s="639" t="str">
        <f>+'_DATA STT PAGOS_'!O115</f>
        <v>PLACILLA</v>
      </c>
      <c r="D115" s="693">
        <f>+'_DATA STT PAGOS_'!G115</f>
        <v>0</v>
      </c>
      <c r="E115" s="693">
        <f>+'_DATA STT PAGOS_'!J115</f>
        <v>2880280.781</v>
      </c>
      <c r="F115" s="694">
        <f>+COEF_FCM!AG117</f>
        <v>1.2180609219999998E-3</v>
      </c>
      <c r="G115" s="693">
        <f t="shared" si="16"/>
        <v>3457297</v>
      </c>
      <c r="H115" s="695">
        <f t="shared" si="28"/>
        <v>577016.21900000004</v>
      </c>
      <c r="I115" s="641">
        <f t="shared" si="29"/>
        <v>0</v>
      </c>
      <c r="J115" s="696">
        <f t="shared" si="30"/>
        <v>577016.21900000004</v>
      </c>
      <c r="K115" s="693">
        <f t="shared" si="17"/>
        <v>314611</v>
      </c>
      <c r="L115" s="695">
        <f t="shared" si="18"/>
        <v>262405.21900000004</v>
      </c>
      <c r="M115" s="693">
        <f t="shared" si="19"/>
        <v>3142686</v>
      </c>
      <c r="N115" s="693">
        <f t="shared" si="20"/>
        <v>0</v>
      </c>
      <c r="O115" s="695">
        <f t="shared" si="21"/>
        <v>3142686</v>
      </c>
      <c r="P115" s="695">
        <f t="shared" si="22"/>
        <v>-314611</v>
      </c>
      <c r="Q115" s="697">
        <f t="shared" si="23"/>
        <v>1.2180609219999998E-3</v>
      </c>
      <c r="R115" s="694">
        <f t="shared" si="24"/>
        <v>-1.108424806E-4</v>
      </c>
      <c r="S115" s="693">
        <v>0</v>
      </c>
      <c r="T115" s="695">
        <f t="shared" si="25"/>
        <v>3142686</v>
      </c>
      <c r="U115" s="695">
        <f t="shared" si="26"/>
        <v>3142686</v>
      </c>
      <c r="V115" s="693">
        <f t="shared" si="27"/>
        <v>0</v>
      </c>
      <c r="W115" s="697"/>
      <c r="X115" s="698" t="s">
        <v>136</v>
      </c>
      <c r="Y115" s="678">
        <v>0</v>
      </c>
      <c r="Z115" s="678">
        <v>1833316</v>
      </c>
      <c r="AA115" s="678">
        <v>1833316</v>
      </c>
      <c r="AB115" s="699">
        <f t="shared" si="31"/>
        <v>1.7142085706992138</v>
      </c>
      <c r="AC115" s="700"/>
      <c r="AD115" s="701"/>
    </row>
    <row r="116" spans="1:30" s="639" customFormat="1" x14ac:dyDescent="0.25">
      <c r="A116" s="639">
        <v>110</v>
      </c>
      <c r="B116" s="639">
        <f>+'_DATA STT PAGOS_'!M116</f>
        <v>6309</v>
      </c>
      <c r="C116" s="639" t="str">
        <f>+'_DATA STT PAGOS_'!O116</f>
        <v>PUMANQUE</v>
      </c>
      <c r="D116" s="693">
        <f>+'_DATA STT PAGOS_'!G116</f>
        <v>0</v>
      </c>
      <c r="E116" s="693">
        <f>+'_DATA STT PAGOS_'!J116</f>
        <v>2141591.088</v>
      </c>
      <c r="F116" s="694">
        <f>+COEF_FCM!AG118</f>
        <v>8.3034264169999997E-4</v>
      </c>
      <c r="G116" s="693">
        <f t="shared" si="16"/>
        <v>2356812</v>
      </c>
      <c r="H116" s="695">
        <f t="shared" si="28"/>
        <v>215220.91200000001</v>
      </c>
      <c r="I116" s="641">
        <f t="shared" si="29"/>
        <v>0</v>
      </c>
      <c r="J116" s="696">
        <f t="shared" si="30"/>
        <v>215220.91200000001</v>
      </c>
      <c r="K116" s="693">
        <f t="shared" si="17"/>
        <v>117347</v>
      </c>
      <c r="L116" s="695">
        <f t="shared" si="18"/>
        <v>97873.912000000011</v>
      </c>
      <c r="M116" s="693">
        <f t="shared" si="19"/>
        <v>2239465</v>
      </c>
      <c r="N116" s="693">
        <f t="shared" si="20"/>
        <v>0</v>
      </c>
      <c r="O116" s="695">
        <f t="shared" si="21"/>
        <v>2239465</v>
      </c>
      <c r="P116" s="695">
        <f t="shared" si="22"/>
        <v>-117347</v>
      </c>
      <c r="Q116" s="697">
        <f t="shared" si="23"/>
        <v>8.3034264169999997E-4</v>
      </c>
      <c r="R116" s="694">
        <f t="shared" si="24"/>
        <v>-4.1343222499999999E-5</v>
      </c>
      <c r="S116" s="693">
        <v>0</v>
      </c>
      <c r="T116" s="695">
        <f t="shared" si="25"/>
        <v>2239465</v>
      </c>
      <c r="U116" s="695">
        <f t="shared" si="26"/>
        <v>2239465</v>
      </c>
      <c r="V116" s="693">
        <f t="shared" si="27"/>
        <v>0</v>
      </c>
      <c r="W116" s="697"/>
      <c r="X116" s="698" t="s">
        <v>141</v>
      </c>
      <c r="Y116" s="678">
        <v>0</v>
      </c>
      <c r="Z116" s="678">
        <v>1479304</v>
      </c>
      <c r="AA116" s="678">
        <v>1479304</v>
      </c>
      <c r="AB116" s="699">
        <f t="shared" si="31"/>
        <v>1.5138639522369979</v>
      </c>
      <c r="AC116" s="700"/>
      <c r="AD116" s="701"/>
    </row>
    <row r="117" spans="1:30" s="639" customFormat="1" x14ac:dyDescent="0.25">
      <c r="A117" s="639">
        <v>111</v>
      </c>
      <c r="B117" s="639">
        <f>+'_DATA STT PAGOS_'!M117</f>
        <v>6310</v>
      </c>
      <c r="C117" s="639" t="str">
        <f>+'_DATA STT PAGOS_'!O117</f>
        <v>SANTA CRUZ</v>
      </c>
      <c r="D117" s="693">
        <f>+'_DATA STT PAGOS_'!G117</f>
        <v>0</v>
      </c>
      <c r="E117" s="693">
        <f>+'_DATA STT PAGOS_'!J117</f>
        <v>6195913.8899999997</v>
      </c>
      <c r="F117" s="694">
        <f>+COEF_FCM!AG119</f>
        <v>2.4258128340999999E-3</v>
      </c>
      <c r="G117" s="693">
        <f t="shared" si="16"/>
        <v>6885333</v>
      </c>
      <c r="H117" s="695">
        <f t="shared" si="28"/>
        <v>689419.11000000034</v>
      </c>
      <c r="I117" s="641">
        <f t="shared" si="29"/>
        <v>0</v>
      </c>
      <c r="J117" s="696">
        <f t="shared" si="30"/>
        <v>689419.11000000034</v>
      </c>
      <c r="K117" s="693">
        <f t="shared" si="17"/>
        <v>375897</v>
      </c>
      <c r="L117" s="695">
        <f t="shared" si="18"/>
        <v>313522.11000000034</v>
      </c>
      <c r="M117" s="693">
        <f t="shared" si="19"/>
        <v>6509436</v>
      </c>
      <c r="N117" s="693">
        <f t="shared" si="20"/>
        <v>0</v>
      </c>
      <c r="O117" s="695">
        <f t="shared" si="21"/>
        <v>6509436</v>
      </c>
      <c r="P117" s="695">
        <f t="shared" si="22"/>
        <v>-375897</v>
      </c>
      <c r="Q117" s="697">
        <f t="shared" si="23"/>
        <v>2.4258128340999999E-3</v>
      </c>
      <c r="R117" s="694">
        <f t="shared" si="24"/>
        <v>-1.324345173E-4</v>
      </c>
      <c r="S117" s="693">
        <v>0</v>
      </c>
      <c r="T117" s="695">
        <f t="shared" si="25"/>
        <v>6509436</v>
      </c>
      <c r="U117" s="695">
        <f t="shared" si="26"/>
        <v>6509436</v>
      </c>
      <c r="V117" s="693">
        <f t="shared" si="27"/>
        <v>0</v>
      </c>
      <c r="W117" s="697"/>
      <c r="X117" s="698" t="s">
        <v>137</v>
      </c>
      <c r="Y117" s="678">
        <v>0</v>
      </c>
      <c r="Z117" s="678">
        <v>3732020</v>
      </c>
      <c r="AA117" s="678">
        <v>3732020</v>
      </c>
      <c r="AB117" s="699">
        <f t="shared" si="31"/>
        <v>1.7442125176178049</v>
      </c>
      <c r="AC117" s="700"/>
      <c r="AD117" s="701"/>
    </row>
    <row r="118" spans="1:30" s="639" customFormat="1" x14ac:dyDescent="0.25">
      <c r="A118" s="639">
        <v>112</v>
      </c>
      <c r="B118" s="639">
        <f>+'_DATA STT PAGOS_'!M118</f>
        <v>7101</v>
      </c>
      <c r="C118" s="639" t="str">
        <f>+'_DATA STT PAGOS_'!O118</f>
        <v>TALCA</v>
      </c>
      <c r="D118" s="693">
        <f>+'_DATA STT PAGOS_'!G118</f>
        <v>0</v>
      </c>
      <c r="E118" s="693">
        <f>+'_DATA STT PAGOS_'!J118</f>
        <v>25470210.201000001</v>
      </c>
      <c r="F118" s="694">
        <f>+COEF_FCM!AG120</f>
        <v>1.04558091619E-2</v>
      </c>
      <c r="G118" s="693">
        <f t="shared" si="16"/>
        <v>29677363</v>
      </c>
      <c r="H118" s="695">
        <f t="shared" si="28"/>
        <v>4207152.7989999987</v>
      </c>
      <c r="I118" s="641">
        <f t="shared" si="29"/>
        <v>0</v>
      </c>
      <c r="J118" s="696">
        <f t="shared" si="30"/>
        <v>4207152.7989999987</v>
      </c>
      <c r="K118" s="693">
        <f t="shared" si="17"/>
        <v>2293899</v>
      </c>
      <c r="L118" s="695">
        <f t="shared" si="18"/>
        <v>1913253.7989999987</v>
      </c>
      <c r="M118" s="693">
        <f t="shared" si="19"/>
        <v>27383464</v>
      </c>
      <c r="N118" s="693">
        <f t="shared" si="20"/>
        <v>0</v>
      </c>
      <c r="O118" s="695">
        <f t="shared" si="21"/>
        <v>27383464</v>
      </c>
      <c r="P118" s="695">
        <f t="shared" si="22"/>
        <v>-2293899</v>
      </c>
      <c r="Q118" s="697">
        <f t="shared" si="23"/>
        <v>1.04558091619E-2</v>
      </c>
      <c r="R118" s="694">
        <f t="shared" si="24"/>
        <v>-8.0817725800000004E-4</v>
      </c>
      <c r="S118" s="693">
        <v>0</v>
      </c>
      <c r="T118" s="695">
        <f t="shared" si="25"/>
        <v>27383464</v>
      </c>
      <c r="U118" s="695">
        <f t="shared" si="26"/>
        <v>27383464</v>
      </c>
      <c r="V118" s="693">
        <f t="shared" si="27"/>
        <v>0</v>
      </c>
      <c r="W118" s="697"/>
      <c r="X118" s="698" t="s">
        <v>152</v>
      </c>
      <c r="Y118" s="678">
        <v>0</v>
      </c>
      <c r="Z118" s="678">
        <v>17131454</v>
      </c>
      <c r="AA118" s="678">
        <v>17131454</v>
      </c>
      <c r="AB118" s="699">
        <f t="shared" si="31"/>
        <v>1.5984319836483232</v>
      </c>
      <c r="AC118" s="700"/>
      <c r="AD118" s="701"/>
    </row>
    <row r="119" spans="1:30" s="639" customFormat="1" x14ac:dyDescent="0.25">
      <c r="A119" s="639">
        <v>113</v>
      </c>
      <c r="B119" s="639">
        <f>+'_DATA STT PAGOS_'!M119</f>
        <v>7102</v>
      </c>
      <c r="C119" s="639" t="str">
        <f>+'_DATA STT PAGOS_'!O119</f>
        <v>CONSTITUCIÓN</v>
      </c>
      <c r="D119" s="693">
        <f>+'_DATA STT PAGOS_'!G119</f>
        <v>0</v>
      </c>
      <c r="E119" s="693">
        <f>+'_DATA STT PAGOS_'!J119</f>
        <v>13118675.991999999</v>
      </c>
      <c r="F119" s="694">
        <f>+COEF_FCM!AG121</f>
        <v>5.4013265379000003E-3</v>
      </c>
      <c r="G119" s="693">
        <f t="shared" si="16"/>
        <v>15330916</v>
      </c>
      <c r="H119" s="695">
        <f t="shared" si="28"/>
        <v>2212240.0080000013</v>
      </c>
      <c r="I119" s="641">
        <f t="shared" si="29"/>
        <v>0</v>
      </c>
      <c r="J119" s="696">
        <f t="shared" si="30"/>
        <v>2212240.0080000013</v>
      </c>
      <c r="K119" s="693">
        <f t="shared" si="17"/>
        <v>1206197</v>
      </c>
      <c r="L119" s="695">
        <f t="shared" si="18"/>
        <v>1006043.0080000013</v>
      </c>
      <c r="M119" s="693">
        <f t="shared" si="19"/>
        <v>14124719</v>
      </c>
      <c r="N119" s="693">
        <f t="shared" si="20"/>
        <v>0</v>
      </c>
      <c r="O119" s="695">
        <f t="shared" si="21"/>
        <v>14124719</v>
      </c>
      <c r="P119" s="695">
        <f t="shared" si="22"/>
        <v>-1206197</v>
      </c>
      <c r="Q119" s="697">
        <f t="shared" si="23"/>
        <v>5.4013265379000003E-3</v>
      </c>
      <c r="R119" s="694">
        <f t="shared" si="24"/>
        <v>-4.2496246959999997E-4</v>
      </c>
      <c r="S119" s="693">
        <v>0</v>
      </c>
      <c r="T119" s="695">
        <f t="shared" si="25"/>
        <v>14124719</v>
      </c>
      <c r="U119" s="695">
        <f t="shared" si="26"/>
        <v>14124719</v>
      </c>
      <c r="V119" s="693">
        <f t="shared" si="27"/>
        <v>0</v>
      </c>
      <c r="W119" s="697"/>
      <c r="X119" s="698" t="s">
        <v>387</v>
      </c>
      <c r="Y119" s="678">
        <v>0</v>
      </c>
      <c r="Z119" s="678">
        <v>9266453</v>
      </c>
      <c r="AA119" s="678">
        <v>9266453</v>
      </c>
      <c r="AB119" s="699">
        <f t="shared" si="31"/>
        <v>1.5242853980913733</v>
      </c>
      <c r="AC119" s="700"/>
      <c r="AD119" s="701"/>
    </row>
    <row r="120" spans="1:30" s="639" customFormat="1" x14ac:dyDescent="0.25">
      <c r="A120" s="639">
        <v>114</v>
      </c>
      <c r="B120" s="639">
        <f>+'_DATA STT PAGOS_'!M120</f>
        <v>7103</v>
      </c>
      <c r="C120" s="639" t="str">
        <f>+'_DATA STT PAGOS_'!O120</f>
        <v>CUREPTO</v>
      </c>
      <c r="D120" s="693">
        <f>+'_DATA STT PAGOS_'!G120</f>
        <v>0</v>
      </c>
      <c r="E120" s="693">
        <f>+'_DATA STT PAGOS_'!J120</f>
        <v>4826605.5010000002</v>
      </c>
      <c r="F120" s="694">
        <f>+COEF_FCM!AG122</f>
        <v>2.2029037592000002E-3</v>
      </c>
      <c r="G120" s="693">
        <f t="shared" si="16"/>
        <v>6252637</v>
      </c>
      <c r="H120" s="695">
        <f t="shared" si="28"/>
        <v>1426031.4989999998</v>
      </c>
      <c r="I120" s="641">
        <f t="shared" si="29"/>
        <v>0</v>
      </c>
      <c r="J120" s="696">
        <f t="shared" si="30"/>
        <v>1426031.4989999998</v>
      </c>
      <c r="K120" s="693">
        <f t="shared" si="17"/>
        <v>777526</v>
      </c>
      <c r="L120" s="695">
        <f t="shared" si="18"/>
        <v>648505.49899999984</v>
      </c>
      <c r="M120" s="693">
        <f t="shared" si="19"/>
        <v>5475111</v>
      </c>
      <c r="N120" s="693">
        <f t="shared" si="20"/>
        <v>0</v>
      </c>
      <c r="O120" s="695">
        <f t="shared" si="21"/>
        <v>5475111</v>
      </c>
      <c r="P120" s="695">
        <f t="shared" si="22"/>
        <v>-777526</v>
      </c>
      <c r="Q120" s="697">
        <f t="shared" si="23"/>
        <v>2.2029037592000002E-3</v>
      </c>
      <c r="R120" s="694">
        <f t="shared" si="24"/>
        <v>-2.7393482919999999E-4</v>
      </c>
      <c r="S120" s="693">
        <v>0</v>
      </c>
      <c r="T120" s="695">
        <f t="shared" si="25"/>
        <v>5475111</v>
      </c>
      <c r="U120" s="695">
        <f t="shared" si="26"/>
        <v>5475111</v>
      </c>
      <c r="V120" s="693">
        <f t="shared" si="27"/>
        <v>0</v>
      </c>
      <c r="W120" s="697"/>
      <c r="X120" s="698" t="s">
        <v>157</v>
      </c>
      <c r="Y120" s="678">
        <v>0</v>
      </c>
      <c r="Z120" s="678">
        <v>3031572</v>
      </c>
      <c r="AA120" s="678">
        <v>3031572</v>
      </c>
      <c r="AB120" s="699">
        <f t="shared" si="31"/>
        <v>1.8060303367361883</v>
      </c>
      <c r="AC120" s="700"/>
      <c r="AD120" s="701"/>
    </row>
    <row r="121" spans="1:30" s="639" customFormat="1" x14ac:dyDescent="0.25">
      <c r="A121" s="639">
        <v>115</v>
      </c>
      <c r="B121" s="639">
        <f>+'_DATA STT PAGOS_'!M121</f>
        <v>7104</v>
      </c>
      <c r="C121" s="639" t="str">
        <f>+'_DATA STT PAGOS_'!O121</f>
        <v>EMPEDRADO</v>
      </c>
      <c r="D121" s="693">
        <f>+'_DATA STT PAGOS_'!G121</f>
        <v>0</v>
      </c>
      <c r="E121" s="693">
        <f>+'_DATA STT PAGOS_'!J121</f>
        <v>3414387.8169999998</v>
      </c>
      <c r="F121" s="694">
        <f>+COEF_FCM!AG123</f>
        <v>1.4472452520999999E-3</v>
      </c>
      <c r="G121" s="693">
        <f t="shared" si="16"/>
        <v>4107805</v>
      </c>
      <c r="H121" s="695">
        <f t="shared" si="28"/>
        <v>693417.18300000019</v>
      </c>
      <c r="I121" s="641">
        <f t="shared" si="29"/>
        <v>0</v>
      </c>
      <c r="J121" s="696">
        <f t="shared" si="30"/>
        <v>693417.18300000019</v>
      </c>
      <c r="K121" s="693">
        <f t="shared" si="17"/>
        <v>378077</v>
      </c>
      <c r="L121" s="695">
        <f t="shared" si="18"/>
        <v>315340.18300000019</v>
      </c>
      <c r="M121" s="693">
        <f t="shared" si="19"/>
        <v>3729728</v>
      </c>
      <c r="N121" s="693">
        <f t="shared" si="20"/>
        <v>0</v>
      </c>
      <c r="O121" s="695">
        <f t="shared" si="21"/>
        <v>3729728</v>
      </c>
      <c r="P121" s="695">
        <f t="shared" si="22"/>
        <v>-378077</v>
      </c>
      <c r="Q121" s="697">
        <f t="shared" si="23"/>
        <v>1.4472452520999999E-3</v>
      </c>
      <c r="R121" s="694">
        <f t="shared" si="24"/>
        <v>-1.3320256610000001E-4</v>
      </c>
      <c r="S121" s="693">
        <v>0</v>
      </c>
      <c r="T121" s="695">
        <f t="shared" si="25"/>
        <v>3729728</v>
      </c>
      <c r="U121" s="695">
        <f t="shared" si="26"/>
        <v>3729728</v>
      </c>
      <c r="V121" s="693">
        <f t="shared" si="27"/>
        <v>0</v>
      </c>
      <c r="W121" s="697"/>
      <c r="X121" s="698" t="s">
        <v>158</v>
      </c>
      <c r="Y121" s="678">
        <v>0</v>
      </c>
      <c r="Z121" s="678">
        <v>2073131</v>
      </c>
      <c r="AA121" s="678">
        <v>2073131</v>
      </c>
      <c r="AB121" s="699">
        <f t="shared" si="31"/>
        <v>1.7990797494224919</v>
      </c>
      <c r="AC121" s="700"/>
      <c r="AD121" s="701"/>
    </row>
    <row r="122" spans="1:30" s="639" customFormat="1" x14ac:dyDescent="0.25">
      <c r="A122" s="639">
        <v>116</v>
      </c>
      <c r="B122" s="639">
        <f>+'_DATA STT PAGOS_'!M122</f>
        <v>7105</v>
      </c>
      <c r="C122" s="639" t="str">
        <f>+'_DATA STT PAGOS_'!O122</f>
        <v>MAULE</v>
      </c>
      <c r="D122" s="693">
        <f>+'_DATA STT PAGOS_'!G122</f>
        <v>0</v>
      </c>
      <c r="E122" s="693">
        <f>+'_DATA STT PAGOS_'!J122</f>
        <v>11438556.956</v>
      </c>
      <c r="F122" s="694">
        <f>+COEF_FCM!AG124</f>
        <v>4.8413198428000001E-3</v>
      </c>
      <c r="G122" s="693">
        <f t="shared" si="16"/>
        <v>13741415</v>
      </c>
      <c r="H122" s="695">
        <f t="shared" si="28"/>
        <v>2302858.0439999998</v>
      </c>
      <c r="I122" s="641">
        <f t="shared" si="29"/>
        <v>0</v>
      </c>
      <c r="J122" s="696">
        <f t="shared" si="30"/>
        <v>2302858.0439999998</v>
      </c>
      <c r="K122" s="693">
        <f t="shared" si="17"/>
        <v>1255606</v>
      </c>
      <c r="L122" s="695">
        <f t="shared" si="18"/>
        <v>1047252.0439999998</v>
      </c>
      <c r="M122" s="693">
        <f t="shared" si="19"/>
        <v>12485809</v>
      </c>
      <c r="N122" s="693">
        <f t="shared" si="20"/>
        <v>0</v>
      </c>
      <c r="O122" s="695">
        <f t="shared" si="21"/>
        <v>12485809</v>
      </c>
      <c r="P122" s="695">
        <f t="shared" si="22"/>
        <v>-1255606</v>
      </c>
      <c r="Q122" s="697">
        <f t="shared" si="23"/>
        <v>4.8413198428000001E-3</v>
      </c>
      <c r="R122" s="694">
        <f t="shared" si="24"/>
        <v>-4.423700495E-4</v>
      </c>
      <c r="S122" s="693">
        <v>0</v>
      </c>
      <c r="T122" s="695">
        <f t="shared" si="25"/>
        <v>12485809</v>
      </c>
      <c r="U122" s="695">
        <f t="shared" si="26"/>
        <v>12485809</v>
      </c>
      <c r="V122" s="693">
        <f t="shared" si="27"/>
        <v>0</v>
      </c>
      <c r="W122" s="697"/>
      <c r="X122" s="698" t="s">
        <v>156</v>
      </c>
      <c r="Y122" s="678">
        <v>0</v>
      </c>
      <c r="Z122" s="678">
        <v>6449823</v>
      </c>
      <c r="AA122" s="678">
        <v>6449823</v>
      </c>
      <c r="AB122" s="699">
        <f t="shared" si="31"/>
        <v>1.9358374640668434</v>
      </c>
      <c r="AC122" s="700"/>
      <c r="AD122" s="701"/>
    </row>
    <row r="123" spans="1:30" s="639" customFormat="1" x14ac:dyDescent="0.25">
      <c r="A123" s="639">
        <v>117</v>
      </c>
      <c r="B123" s="639">
        <f>+'_DATA STT PAGOS_'!M123</f>
        <v>7106</v>
      </c>
      <c r="C123" s="639" t="str">
        <f>+'_DATA STT PAGOS_'!O123</f>
        <v>PELARCO</v>
      </c>
      <c r="D123" s="693">
        <f>+'_DATA STT PAGOS_'!G123</f>
        <v>0</v>
      </c>
      <c r="E123" s="693">
        <f>+'_DATA STT PAGOS_'!J123</f>
        <v>2631492.8450000002</v>
      </c>
      <c r="F123" s="694">
        <f>+COEF_FCM!AG125</f>
        <v>1.0246384169999999E-3</v>
      </c>
      <c r="G123" s="693">
        <f t="shared" si="16"/>
        <v>2908294</v>
      </c>
      <c r="H123" s="695">
        <f t="shared" si="28"/>
        <v>276801.1549999998</v>
      </c>
      <c r="I123" s="641">
        <f t="shared" si="29"/>
        <v>0</v>
      </c>
      <c r="J123" s="696">
        <f t="shared" si="30"/>
        <v>276801.1549999998</v>
      </c>
      <c r="K123" s="693">
        <f t="shared" si="17"/>
        <v>150922</v>
      </c>
      <c r="L123" s="695">
        <f t="shared" si="18"/>
        <v>125879.1549999998</v>
      </c>
      <c r="M123" s="693">
        <f t="shared" si="19"/>
        <v>2757372</v>
      </c>
      <c r="N123" s="693">
        <f t="shared" si="20"/>
        <v>0</v>
      </c>
      <c r="O123" s="695">
        <f t="shared" si="21"/>
        <v>2757372</v>
      </c>
      <c r="P123" s="695">
        <f t="shared" si="22"/>
        <v>-150922</v>
      </c>
      <c r="Q123" s="697">
        <f t="shared" si="23"/>
        <v>1.0246384169999999E-3</v>
      </c>
      <c r="R123" s="694">
        <f t="shared" si="24"/>
        <v>-5.3172231299999999E-5</v>
      </c>
      <c r="S123" s="693">
        <v>0</v>
      </c>
      <c r="T123" s="695">
        <f t="shared" si="25"/>
        <v>2757372</v>
      </c>
      <c r="U123" s="695">
        <f t="shared" si="26"/>
        <v>2757372</v>
      </c>
      <c r="V123" s="693">
        <f t="shared" si="27"/>
        <v>0</v>
      </c>
      <c r="W123" s="697"/>
      <c r="X123" s="698" t="s">
        <v>154</v>
      </c>
      <c r="Y123" s="678">
        <v>0</v>
      </c>
      <c r="Z123" s="678">
        <v>1758541</v>
      </c>
      <c r="AA123" s="678">
        <v>1758541</v>
      </c>
      <c r="AB123" s="699">
        <f t="shared" si="31"/>
        <v>1.5679884631634975</v>
      </c>
      <c r="AC123" s="700"/>
      <c r="AD123" s="701"/>
    </row>
    <row r="124" spans="1:30" s="639" customFormat="1" x14ac:dyDescent="0.25">
      <c r="A124" s="639">
        <v>118</v>
      </c>
      <c r="B124" s="639">
        <f>+'_DATA STT PAGOS_'!M124</f>
        <v>7107</v>
      </c>
      <c r="C124" s="639" t="str">
        <f>+'_DATA STT PAGOS_'!O124</f>
        <v>PENCAHUE</v>
      </c>
      <c r="D124" s="693">
        <f>+'_DATA STT PAGOS_'!G124</f>
        <v>0</v>
      </c>
      <c r="E124" s="693">
        <f>+'_DATA STT PAGOS_'!J124</f>
        <v>2730778.4010000001</v>
      </c>
      <c r="F124" s="694">
        <f>+COEF_FCM!AG126</f>
        <v>1.0735078122E-3</v>
      </c>
      <c r="G124" s="693">
        <f t="shared" si="16"/>
        <v>3047003</v>
      </c>
      <c r="H124" s="695">
        <f t="shared" si="28"/>
        <v>316224.59899999993</v>
      </c>
      <c r="I124" s="641">
        <f t="shared" si="29"/>
        <v>0</v>
      </c>
      <c r="J124" s="696">
        <f t="shared" si="30"/>
        <v>316224.59899999993</v>
      </c>
      <c r="K124" s="693">
        <f t="shared" si="17"/>
        <v>172418</v>
      </c>
      <c r="L124" s="695">
        <f t="shared" si="18"/>
        <v>143806.59899999993</v>
      </c>
      <c r="M124" s="693">
        <f t="shared" si="19"/>
        <v>2874585</v>
      </c>
      <c r="N124" s="693">
        <f t="shared" si="20"/>
        <v>0</v>
      </c>
      <c r="O124" s="695">
        <f t="shared" si="21"/>
        <v>2874585</v>
      </c>
      <c r="P124" s="695">
        <f t="shared" si="22"/>
        <v>-172418</v>
      </c>
      <c r="Q124" s="697">
        <f t="shared" si="23"/>
        <v>1.0735078122E-3</v>
      </c>
      <c r="R124" s="694">
        <f t="shared" si="24"/>
        <v>-6.0745615399999997E-5</v>
      </c>
      <c r="S124" s="693">
        <v>0</v>
      </c>
      <c r="T124" s="695">
        <f t="shared" si="25"/>
        <v>2874585</v>
      </c>
      <c r="U124" s="695">
        <f t="shared" si="26"/>
        <v>2874585</v>
      </c>
      <c r="V124" s="693">
        <f t="shared" si="27"/>
        <v>0</v>
      </c>
      <c r="W124" s="697"/>
      <c r="X124" s="698" t="s">
        <v>155</v>
      </c>
      <c r="Y124" s="678">
        <v>0</v>
      </c>
      <c r="Z124" s="678">
        <v>1830505</v>
      </c>
      <c r="AA124" s="678">
        <v>1830505</v>
      </c>
      <c r="AB124" s="699">
        <f t="shared" si="31"/>
        <v>1.5703781196992086</v>
      </c>
      <c r="AC124" s="700"/>
      <c r="AD124" s="701"/>
    </row>
    <row r="125" spans="1:30" s="639" customFormat="1" x14ac:dyDescent="0.25">
      <c r="A125" s="639">
        <v>119</v>
      </c>
      <c r="B125" s="639">
        <f>+'_DATA STT PAGOS_'!M125</f>
        <v>7108</v>
      </c>
      <c r="C125" s="639" t="str">
        <f>+'_DATA STT PAGOS_'!O125</f>
        <v>RÍO CLARO</v>
      </c>
      <c r="D125" s="693">
        <f>+'_DATA STT PAGOS_'!G125</f>
        <v>0</v>
      </c>
      <c r="E125" s="693">
        <f>+'_DATA STT PAGOS_'!J125</f>
        <v>2953748.8969999999</v>
      </c>
      <c r="F125" s="694">
        <f>+COEF_FCM!AG127</f>
        <v>1.1591268333000001E-3</v>
      </c>
      <c r="G125" s="693">
        <f t="shared" si="16"/>
        <v>3290021</v>
      </c>
      <c r="H125" s="695">
        <f t="shared" si="28"/>
        <v>336272.10300000012</v>
      </c>
      <c r="I125" s="641">
        <f t="shared" si="29"/>
        <v>0</v>
      </c>
      <c r="J125" s="696">
        <f t="shared" si="30"/>
        <v>336272.10300000012</v>
      </c>
      <c r="K125" s="693">
        <f t="shared" si="17"/>
        <v>183348</v>
      </c>
      <c r="L125" s="695">
        <f t="shared" si="18"/>
        <v>152924.10300000012</v>
      </c>
      <c r="M125" s="693">
        <f t="shared" si="19"/>
        <v>3106673</v>
      </c>
      <c r="N125" s="693">
        <f t="shared" si="20"/>
        <v>0</v>
      </c>
      <c r="O125" s="695">
        <f t="shared" si="21"/>
        <v>3106673</v>
      </c>
      <c r="P125" s="695">
        <f t="shared" si="22"/>
        <v>-183348</v>
      </c>
      <c r="Q125" s="697">
        <f t="shared" si="23"/>
        <v>1.1591268333000001E-3</v>
      </c>
      <c r="R125" s="694">
        <f t="shared" si="24"/>
        <v>-6.4596428999999996E-5</v>
      </c>
      <c r="S125" s="693">
        <v>0</v>
      </c>
      <c r="T125" s="695">
        <f t="shared" si="25"/>
        <v>3106673</v>
      </c>
      <c r="U125" s="695">
        <f t="shared" si="26"/>
        <v>3106673</v>
      </c>
      <c r="V125" s="693">
        <f t="shared" si="27"/>
        <v>0</v>
      </c>
      <c r="W125" s="697"/>
      <c r="X125" s="698" t="s">
        <v>388</v>
      </c>
      <c r="Y125" s="678">
        <v>0</v>
      </c>
      <c r="Z125" s="678">
        <v>1986448</v>
      </c>
      <c r="AA125" s="678">
        <v>1986448</v>
      </c>
      <c r="AB125" s="699">
        <f t="shared" si="31"/>
        <v>1.563933714851836</v>
      </c>
      <c r="AC125" s="700"/>
      <c r="AD125" s="701"/>
    </row>
    <row r="126" spans="1:30" s="639" customFormat="1" x14ac:dyDescent="0.25">
      <c r="A126" s="639">
        <v>120</v>
      </c>
      <c r="B126" s="639">
        <f>+'_DATA STT PAGOS_'!M126</f>
        <v>7109</v>
      </c>
      <c r="C126" s="639" t="str">
        <f>+'_DATA STT PAGOS_'!O126</f>
        <v>SAN CLEMENTE</v>
      </c>
      <c r="D126" s="693">
        <f>+'_DATA STT PAGOS_'!G126</f>
        <v>0</v>
      </c>
      <c r="E126" s="693">
        <f>+'_DATA STT PAGOS_'!J126</f>
        <v>10673583.765000001</v>
      </c>
      <c r="F126" s="694">
        <f>+COEF_FCM!AG128</f>
        <v>4.3620063973999999E-3</v>
      </c>
      <c r="G126" s="693">
        <f t="shared" si="16"/>
        <v>12380950</v>
      </c>
      <c r="H126" s="695">
        <f t="shared" si="28"/>
        <v>1707366.2349999994</v>
      </c>
      <c r="I126" s="641">
        <f t="shared" si="29"/>
        <v>0</v>
      </c>
      <c r="J126" s="696">
        <f t="shared" si="30"/>
        <v>1707366.2349999994</v>
      </c>
      <c r="K126" s="693">
        <f t="shared" si="17"/>
        <v>930921</v>
      </c>
      <c r="L126" s="695">
        <f t="shared" si="18"/>
        <v>776445.2349999994</v>
      </c>
      <c r="M126" s="693">
        <f t="shared" si="19"/>
        <v>11450029</v>
      </c>
      <c r="N126" s="693">
        <f t="shared" si="20"/>
        <v>0</v>
      </c>
      <c r="O126" s="695">
        <f t="shared" si="21"/>
        <v>11450029</v>
      </c>
      <c r="P126" s="695">
        <f t="shared" si="22"/>
        <v>-930921</v>
      </c>
      <c r="Q126" s="697">
        <f t="shared" si="23"/>
        <v>4.3620063973999999E-3</v>
      </c>
      <c r="R126" s="694">
        <f t="shared" si="24"/>
        <v>-3.2797833779999998E-4</v>
      </c>
      <c r="S126" s="693">
        <v>0</v>
      </c>
      <c r="T126" s="695">
        <f t="shared" si="25"/>
        <v>11450029</v>
      </c>
      <c r="U126" s="695">
        <f t="shared" si="26"/>
        <v>11450029</v>
      </c>
      <c r="V126" s="693">
        <f t="shared" si="27"/>
        <v>0</v>
      </c>
      <c r="W126" s="697"/>
      <c r="X126" s="698" t="s">
        <v>153</v>
      </c>
      <c r="Y126" s="678">
        <v>0</v>
      </c>
      <c r="Z126" s="678">
        <v>6563606</v>
      </c>
      <c r="AA126" s="678">
        <v>6563606</v>
      </c>
      <c r="AB126" s="699">
        <f t="shared" si="31"/>
        <v>1.7444723220741769</v>
      </c>
      <c r="AC126" s="700"/>
      <c r="AD126" s="701"/>
    </row>
    <row r="127" spans="1:30" s="639" customFormat="1" x14ac:dyDescent="0.25">
      <c r="A127" s="639">
        <v>121</v>
      </c>
      <c r="B127" s="639">
        <f>+'_DATA STT PAGOS_'!M127</f>
        <v>7110</v>
      </c>
      <c r="C127" s="639" t="str">
        <f>+'_DATA STT PAGOS_'!O127</f>
        <v>SAN RAFAEL</v>
      </c>
      <c r="D127" s="693">
        <f>+'_DATA STT PAGOS_'!G127</f>
        <v>0</v>
      </c>
      <c r="E127" s="693">
        <f>+'_DATA STT PAGOS_'!J127</f>
        <v>3397092.4180000005</v>
      </c>
      <c r="F127" s="694">
        <f>+COEF_FCM!AG129</f>
        <v>1.5138876982E-3</v>
      </c>
      <c r="G127" s="693">
        <f t="shared" si="16"/>
        <v>4296960</v>
      </c>
      <c r="H127" s="695">
        <f t="shared" si="28"/>
        <v>899867.58199999947</v>
      </c>
      <c r="I127" s="641">
        <f t="shared" si="29"/>
        <v>0</v>
      </c>
      <c r="J127" s="696">
        <f t="shared" si="30"/>
        <v>899867.58199999947</v>
      </c>
      <c r="K127" s="693">
        <f t="shared" si="17"/>
        <v>490642</v>
      </c>
      <c r="L127" s="695">
        <f t="shared" si="18"/>
        <v>409225.58199999947</v>
      </c>
      <c r="M127" s="693">
        <f t="shared" si="19"/>
        <v>3806318</v>
      </c>
      <c r="N127" s="693">
        <f t="shared" si="20"/>
        <v>0</v>
      </c>
      <c r="O127" s="695">
        <f t="shared" si="21"/>
        <v>3806318</v>
      </c>
      <c r="P127" s="695">
        <f t="shared" si="22"/>
        <v>-490642</v>
      </c>
      <c r="Q127" s="697">
        <f t="shared" si="23"/>
        <v>1.5138876982E-3</v>
      </c>
      <c r="R127" s="694">
        <f t="shared" si="24"/>
        <v>-1.7286101359999999E-4</v>
      </c>
      <c r="S127" s="693">
        <v>0</v>
      </c>
      <c r="T127" s="695">
        <f t="shared" si="25"/>
        <v>3806318</v>
      </c>
      <c r="U127" s="695">
        <f t="shared" si="26"/>
        <v>3806318</v>
      </c>
      <c r="V127" s="693">
        <f t="shared" si="27"/>
        <v>0</v>
      </c>
      <c r="W127" s="697"/>
      <c r="X127" s="698" t="s">
        <v>159</v>
      </c>
      <c r="Y127" s="678">
        <v>0</v>
      </c>
      <c r="Z127" s="678">
        <v>1949149</v>
      </c>
      <c r="AA127" s="678">
        <v>1949149</v>
      </c>
      <c r="AB127" s="699">
        <f t="shared" si="31"/>
        <v>1.9528101751071878</v>
      </c>
      <c r="AC127" s="700"/>
      <c r="AD127" s="701"/>
    </row>
    <row r="128" spans="1:30" s="639" customFormat="1" x14ac:dyDescent="0.25">
      <c r="A128" s="639">
        <v>122</v>
      </c>
      <c r="B128" s="639">
        <f>+'_DATA STT PAGOS_'!M128</f>
        <v>7201</v>
      </c>
      <c r="C128" s="639" t="str">
        <f>+'_DATA STT PAGOS_'!O128</f>
        <v>CAUQUENES</v>
      </c>
      <c r="D128" s="693">
        <f>+'_DATA STT PAGOS_'!G128</f>
        <v>0</v>
      </c>
      <c r="E128" s="693">
        <f>+'_DATA STT PAGOS_'!J128</f>
        <v>11340846.133000001</v>
      </c>
      <c r="F128" s="694">
        <f>+COEF_FCM!AG130</f>
        <v>4.6867938209000006E-3</v>
      </c>
      <c r="G128" s="693">
        <f t="shared" si="16"/>
        <v>13302814</v>
      </c>
      <c r="H128" s="695">
        <f t="shared" si="28"/>
        <v>1961967.8669999987</v>
      </c>
      <c r="I128" s="641">
        <f t="shared" si="29"/>
        <v>0</v>
      </c>
      <c r="J128" s="696">
        <f t="shared" si="30"/>
        <v>1961967.8669999987</v>
      </c>
      <c r="K128" s="693">
        <f t="shared" si="17"/>
        <v>1069739</v>
      </c>
      <c r="L128" s="695">
        <f t="shared" si="18"/>
        <v>892228.86699999869</v>
      </c>
      <c r="M128" s="693">
        <f t="shared" si="19"/>
        <v>12233075</v>
      </c>
      <c r="N128" s="693">
        <f t="shared" si="20"/>
        <v>0</v>
      </c>
      <c r="O128" s="695">
        <f t="shared" si="21"/>
        <v>12233075</v>
      </c>
      <c r="P128" s="695">
        <f t="shared" si="22"/>
        <v>-1069739</v>
      </c>
      <c r="Q128" s="697">
        <f t="shared" si="23"/>
        <v>4.6867938209000006E-3</v>
      </c>
      <c r="R128" s="694">
        <f t="shared" si="24"/>
        <v>-3.7688613660000002E-4</v>
      </c>
      <c r="S128" s="693">
        <v>0</v>
      </c>
      <c r="T128" s="695">
        <f t="shared" si="25"/>
        <v>12233075</v>
      </c>
      <c r="U128" s="695">
        <f t="shared" si="26"/>
        <v>12233075</v>
      </c>
      <c r="V128" s="693">
        <f t="shared" si="27"/>
        <v>0</v>
      </c>
      <c r="W128" s="697"/>
      <c r="X128" s="698" t="s">
        <v>166</v>
      </c>
      <c r="Y128" s="678">
        <v>0</v>
      </c>
      <c r="Z128" s="678">
        <v>7219339</v>
      </c>
      <c r="AA128" s="678">
        <v>7219339</v>
      </c>
      <c r="AB128" s="699">
        <f t="shared" si="31"/>
        <v>1.6944868498348671</v>
      </c>
      <c r="AC128" s="700"/>
      <c r="AD128" s="701"/>
    </row>
    <row r="129" spans="1:30" s="639" customFormat="1" x14ac:dyDescent="0.25">
      <c r="A129" s="639">
        <v>123</v>
      </c>
      <c r="B129" s="639">
        <f>+'_DATA STT PAGOS_'!M129</f>
        <v>7202</v>
      </c>
      <c r="C129" s="639" t="str">
        <f>+'_DATA STT PAGOS_'!O129</f>
        <v>CHANCO</v>
      </c>
      <c r="D129" s="693">
        <f>+'_DATA STT PAGOS_'!G129</f>
        <v>0</v>
      </c>
      <c r="E129" s="693">
        <f>+'_DATA STT PAGOS_'!J129</f>
        <v>4438929.1940000001</v>
      </c>
      <c r="F129" s="694">
        <f>+COEF_FCM!AG131</f>
        <v>2.0052715777000001E-3</v>
      </c>
      <c r="G129" s="693">
        <f t="shared" si="16"/>
        <v>5691685</v>
      </c>
      <c r="H129" s="695">
        <f t="shared" si="28"/>
        <v>1252755.8059999999</v>
      </c>
      <c r="I129" s="641">
        <f t="shared" si="29"/>
        <v>0</v>
      </c>
      <c r="J129" s="696">
        <f t="shared" si="30"/>
        <v>1252755.8059999999</v>
      </c>
      <c r="K129" s="693">
        <f t="shared" si="17"/>
        <v>683050</v>
      </c>
      <c r="L129" s="695">
        <f t="shared" si="18"/>
        <v>569705.80599999987</v>
      </c>
      <c r="M129" s="693">
        <f t="shared" si="19"/>
        <v>5008635</v>
      </c>
      <c r="N129" s="693">
        <f t="shared" si="20"/>
        <v>0</v>
      </c>
      <c r="O129" s="695">
        <f t="shared" si="21"/>
        <v>5008635</v>
      </c>
      <c r="P129" s="695">
        <f t="shared" si="22"/>
        <v>-683050</v>
      </c>
      <c r="Q129" s="697">
        <f t="shared" si="23"/>
        <v>2.0052715777000001E-3</v>
      </c>
      <c r="R129" s="694">
        <f t="shared" si="24"/>
        <v>-2.406494253E-4</v>
      </c>
      <c r="S129" s="693">
        <v>0</v>
      </c>
      <c r="T129" s="695">
        <f t="shared" si="25"/>
        <v>5008635</v>
      </c>
      <c r="U129" s="695">
        <f t="shared" si="26"/>
        <v>5008635</v>
      </c>
      <c r="V129" s="693">
        <f t="shared" si="27"/>
        <v>0</v>
      </c>
      <c r="W129" s="697"/>
      <c r="X129" s="698" t="s">
        <v>168</v>
      </c>
      <c r="Y129" s="678">
        <v>0</v>
      </c>
      <c r="Z129" s="678">
        <v>2677546</v>
      </c>
      <c r="AA129" s="678">
        <v>2677546</v>
      </c>
      <c r="AB129" s="699">
        <f t="shared" si="31"/>
        <v>1.870606518057953</v>
      </c>
      <c r="AC129" s="700"/>
      <c r="AD129" s="701"/>
    </row>
    <row r="130" spans="1:30" s="639" customFormat="1" x14ac:dyDescent="0.25">
      <c r="A130" s="639">
        <v>124</v>
      </c>
      <c r="B130" s="639">
        <f>+'_DATA STT PAGOS_'!M130</f>
        <v>7203</v>
      </c>
      <c r="C130" s="639" t="str">
        <f>+'_DATA STT PAGOS_'!O130</f>
        <v>PELLUHUE</v>
      </c>
      <c r="D130" s="693">
        <f>+'_DATA STT PAGOS_'!G130</f>
        <v>0</v>
      </c>
      <c r="E130" s="693">
        <f>+'_DATA STT PAGOS_'!J130</f>
        <v>9333862.682</v>
      </c>
      <c r="F130" s="694">
        <f>+COEF_FCM!AG132</f>
        <v>3.5421451146999999E-3</v>
      </c>
      <c r="G130" s="693">
        <f t="shared" si="16"/>
        <v>10053887</v>
      </c>
      <c r="H130" s="695">
        <f t="shared" si="28"/>
        <v>720024.31799999997</v>
      </c>
      <c r="I130" s="641">
        <f t="shared" si="29"/>
        <v>0</v>
      </c>
      <c r="J130" s="696">
        <f t="shared" si="30"/>
        <v>720024.31799999997</v>
      </c>
      <c r="K130" s="693">
        <f t="shared" si="17"/>
        <v>392585</v>
      </c>
      <c r="L130" s="695">
        <f t="shared" si="18"/>
        <v>327439.31799999997</v>
      </c>
      <c r="M130" s="693">
        <f t="shared" si="19"/>
        <v>9661302</v>
      </c>
      <c r="N130" s="693">
        <f t="shared" si="20"/>
        <v>0</v>
      </c>
      <c r="O130" s="695">
        <f t="shared" si="21"/>
        <v>9661302</v>
      </c>
      <c r="P130" s="695">
        <f t="shared" si="22"/>
        <v>-392585</v>
      </c>
      <c r="Q130" s="697">
        <f t="shared" si="23"/>
        <v>3.5421451146999999E-3</v>
      </c>
      <c r="R130" s="694">
        <f t="shared" si="24"/>
        <v>-1.3831396619999999E-4</v>
      </c>
      <c r="S130" s="693">
        <v>0</v>
      </c>
      <c r="T130" s="695">
        <f t="shared" si="25"/>
        <v>9661302</v>
      </c>
      <c r="U130" s="695">
        <f t="shared" si="26"/>
        <v>9661302</v>
      </c>
      <c r="V130" s="693">
        <f t="shared" si="27"/>
        <v>0</v>
      </c>
      <c r="W130" s="697"/>
      <c r="X130" s="698" t="s">
        <v>167</v>
      </c>
      <c r="Y130" s="678">
        <v>0</v>
      </c>
      <c r="Z130" s="678">
        <v>5763036</v>
      </c>
      <c r="AA130" s="678">
        <v>5763036</v>
      </c>
      <c r="AB130" s="699">
        <f t="shared" si="31"/>
        <v>1.676425758922901</v>
      </c>
      <c r="AC130" s="700"/>
      <c r="AD130" s="701"/>
    </row>
    <row r="131" spans="1:30" s="639" customFormat="1" x14ac:dyDescent="0.25">
      <c r="A131" s="639">
        <v>125</v>
      </c>
      <c r="B131" s="639">
        <f>+'_DATA STT PAGOS_'!M131</f>
        <v>7301</v>
      </c>
      <c r="C131" s="639" t="str">
        <f>+'_DATA STT PAGOS_'!O131</f>
        <v>CURICÓ</v>
      </c>
      <c r="D131" s="693">
        <f>+'_DATA STT PAGOS_'!G131</f>
        <v>0</v>
      </c>
      <c r="E131" s="693">
        <f>+'_DATA STT PAGOS_'!J131</f>
        <v>19027009.155000001</v>
      </c>
      <c r="F131" s="694">
        <f>+COEF_FCM!AG133</f>
        <v>7.5967165720999992E-3</v>
      </c>
      <c r="G131" s="693">
        <f t="shared" si="16"/>
        <v>21562226</v>
      </c>
      <c r="H131" s="695">
        <f t="shared" si="28"/>
        <v>2535216.8449999988</v>
      </c>
      <c r="I131" s="641">
        <f t="shared" si="29"/>
        <v>0</v>
      </c>
      <c r="J131" s="696">
        <f t="shared" si="30"/>
        <v>2535216.8449999988</v>
      </c>
      <c r="K131" s="693">
        <f t="shared" si="17"/>
        <v>1382296</v>
      </c>
      <c r="L131" s="695">
        <f t="shared" si="18"/>
        <v>1152920.8449999988</v>
      </c>
      <c r="M131" s="693">
        <f t="shared" si="19"/>
        <v>20179930</v>
      </c>
      <c r="N131" s="693">
        <f t="shared" si="20"/>
        <v>0</v>
      </c>
      <c r="O131" s="695">
        <f t="shared" si="21"/>
        <v>20179930</v>
      </c>
      <c r="P131" s="695">
        <f t="shared" si="22"/>
        <v>-1382296</v>
      </c>
      <c r="Q131" s="697">
        <f t="shared" si="23"/>
        <v>7.5967165720999992E-3</v>
      </c>
      <c r="R131" s="694">
        <f t="shared" si="24"/>
        <v>-4.8700496010000002E-4</v>
      </c>
      <c r="S131" s="693">
        <v>0</v>
      </c>
      <c r="T131" s="695">
        <f t="shared" si="25"/>
        <v>20179930</v>
      </c>
      <c r="U131" s="695">
        <f t="shared" si="26"/>
        <v>20179930</v>
      </c>
      <c r="V131" s="693">
        <f t="shared" si="27"/>
        <v>0</v>
      </c>
      <c r="W131" s="697"/>
      <c r="X131" s="698" t="s">
        <v>389</v>
      </c>
      <c r="Y131" s="678">
        <v>0</v>
      </c>
      <c r="Z131" s="678">
        <v>12571838</v>
      </c>
      <c r="AA131" s="678">
        <v>12571838</v>
      </c>
      <c r="AB131" s="699">
        <f t="shared" si="31"/>
        <v>1.605169427095704</v>
      </c>
      <c r="AC131" s="700"/>
      <c r="AD131" s="701"/>
    </row>
    <row r="132" spans="1:30" s="639" customFormat="1" x14ac:dyDescent="0.25">
      <c r="A132" s="639">
        <v>126</v>
      </c>
      <c r="B132" s="639">
        <f>+'_DATA STT PAGOS_'!M132</f>
        <v>7302</v>
      </c>
      <c r="C132" s="639" t="str">
        <f>+'_DATA STT PAGOS_'!O132</f>
        <v>HUALAÑÉ</v>
      </c>
      <c r="D132" s="693">
        <f>+'_DATA STT PAGOS_'!G132</f>
        <v>0</v>
      </c>
      <c r="E132" s="693">
        <f>+'_DATA STT PAGOS_'!J132</f>
        <v>3482455.8380000005</v>
      </c>
      <c r="F132" s="694">
        <f>+COEF_FCM!AG134</f>
        <v>1.6096853984999999E-3</v>
      </c>
      <c r="G132" s="693">
        <f t="shared" si="16"/>
        <v>4568869</v>
      </c>
      <c r="H132" s="695">
        <f t="shared" si="28"/>
        <v>1086413.1619999995</v>
      </c>
      <c r="I132" s="641">
        <f t="shared" si="29"/>
        <v>0</v>
      </c>
      <c r="J132" s="696">
        <f t="shared" si="30"/>
        <v>1086413.1619999995</v>
      </c>
      <c r="K132" s="693">
        <f t="shared" si="17"/>
        <v>592354</v>
      </c>
      <c r="L132" s="695">
        <f t="shared" si="18"/>
        <v>494059.16199999955</v>
      </c>
      <c r="M132" s="693">
        <f t="shared" si="19"/>
        <v>3976515</v>
      </c>
      <c r="N132" s="693">
        <f t="shared" si="20"/>
        <v>0</v>
      </c>
      <c r="O132" s="695">
        <f t="shared" si="21"/>
        <v>3976515</v>
      </c>
      <c r="P132" s="695">
        <f t="shared" si="22"/>
        <v>-592354</v>
      </c>
      <c r="Q132" s="697">
        <f t="shared" si="23"/>
        <v>1.6096853984999999E-3</v>
      </c>
      <c r="R132" s="694">
        <f t="shared" si="24"/>
        <v>-2.0869577580000001E-4</v>
      </c>
      <c r="S132" s="693">
        <v>0</v>
      </c>
      <c r="T132" s="695">
        <f t="shared" si="25"/>
        <v>3976515</v>
      </c>
      <c r="U132" s="695">
        <f t="shared" si="26"/>
        <v>3976515</v>
      </c>
      <c r="V132" s="693">
        <f t="shared" si="27"/>
        <v>0</v>
      </c>
      <c r="W132" s="697"/>
      <c r="X132" s="698" t="s">
        <v>390</v>
      </c>
      <c r="Y132" s="678">
        <v>0</v>
      </c>
      <c r="Z132" s="678">
        <v>2159549</v>
      </c>
      <c r="AA132" s="678">
        <v>2159549</v>
      </c>
      <c r="AB132" s="699">
        <f t="shared" si="31"/>
        <v>1.8413636365741179</v>
      </c>
      <c r="AC132" s="700"/>
      <c r="AD132" s="701"/>
    </row>
    <row r="133" spans="1:30" s="639" customFormat="1" x14ac:dyDescent="0.25">
      <c r="A133" s="639">
        <v>127</v>
      </c>
      <c r="B133" s="639">
        <f>+'_DATA STT PAGOS_'!M133</f>
        <v>7303</v>
      </c>
      <c r="C133" s="639" t="str">
        <f>+'_DATA STT PAGOS_'!O133</f>
        <v>LICANTÉN</v>
      </c>
      <c r="D133" s="693">
        <f>+'_DATA STT PAGOS_'!G133</f>
        <v>0</v>
      </c>
      <c r="E133" s="693">
        <f>+'_DATA STT PAGOS_'!J133</f>
        <v>6093110.7259999998</v>
      </c>
      <c r="F133" s="694">
        <f>+COEF_FCM!AG135</f>
        <v>2.6870040972E-3</v>
      </c>
      <c r="G133" s="693">
        <f t="shared" si="16"/>
        <v>7626688</v>
      </c>
      <c r="H133" s="695">
        <f t="shared" si="28"/>
        <v>1533577.2740000002</v>
      </c>
      <c r="I133" s="641">
        <f t="shared" si="29"/>
        <v>0</v>
      </c>
      <c r="J133" s="696">
        <f t="shared" si="30"/>
        <v>1533577.2740000002</v>
      </c>
      <c r="K133" s="693">
        <f t="shared" si="17"/>
        <v>836164</v>
      </c>
      <c r="L133" s="695">
        <f t="shared" si="18"/>
        <v>697413.27400000021</v>
      </c>
      <c r="M133" s="693">
        <f t="shared" si="19"/>
        <v>6790524</v>
      </c>
      <c r="N133" s="693">
        <f t="shared" si="20"/>
        <v>0</v>
      </c>
      <c r="O133" s="695">
        <f t="shared" si="21"/>
        <v>6790524</v>
      </c>
      <c r="P133" s="695">
        <f t="shared" si="22"/>
        <v>-836164</v>
      </c>
      <c r="Q133" s="697">
        <f t="shared" si="23"/>
        <v>2.6870040972E-3</v>
      </c>
      <c r="R133" s="694">
        <f t="shared" si="24"/>
        <v>-2.9459393320000003E-4</v>
      </c>
      <c r="S133" s="693">
        <v>0</v>
      </c>
      <c r="T133" s="695">
        <f t="shared" si="25"/>
        <v>6790524</v>
      </c>
      <c r="U133" s="695">
        <f t="shared" si="26"/>
        <v>6790524</v>
      </c>
      <c r="V133" s="693">
        <f t="shared" si="27"/>
        <v>0</v>
      </c>
      <c r="W133" s="697"/>
      <c r="X133" s="698" t="s">
        <v>391</v>
      </c>
      <c r="Y133" s="678">
        <v>0</v>
      </c>
      <c r="Z133" s="678">
        <v>3487671</v>
      </c>
      <c r="AA133" s="678">
        <v>3487671</v>
      </c>
      <c r="AB133" s="699">
        <f t="shared" si="31"/>
        <v>1.947008189705967</v>
      </c>
      <c r="AC133" s="700"/>
      <c r="AD133" s="701"/>
    </row>
    <row r="134" spans="1:30" s="639" customFormat="1" x14ac:dyDescent="0.25">
      <c r="A134" s="639">
        <v>128</v>
      </c>
      <c r="B134" s="639">
        <f>+'_DATA STT PAGOS_'!M134</f>
        <v>7304</v>
      </c>
      <c r="C134" s="639" t="str">
        <f>+'_DATA STT PAGOS_'!O134</f>
        <v>MOLINA</v>
      </c>
      <c r="D134" s="693">
        <f>+'_DATA STT PAGOS_'!G134</f>
        <v>0</v>
      </c>
      <c r="E134" s="693">
        <f>+'_DATA STT PAGOS_'!J134</f>
        <v>10636629.773</v>
      </c>
      <c r="F134" s="694">
        <f>+COEF_FCM!AG136</f>
        <v>4.0427139414000004E-3</v>
      </c>
      <c r="G134" s="693">
        <f t="shared" si="16"/>
        <v>11474683</v>
      </c>
      <c r="H134" s="695">
        <f t="shared" si="28"/>
        <v>838053.22699999996</v>
      </c>
      <c r="I134" s="641">
        <f t="shared" si="29"/>
        <v>0</v>
      </c>
      <c r="J134" s="696">
        <f t="shared" si="30"/>
        <v>838053.22699999996</v>
      </c>
      <c r="K134" s="693">
        <f t="shared" si="17"/>
        <v>456938</v>
      </c>
      <c r="L134" s="695">
        <f t="shared" si="18"/>
        <v>381115.22699999996</v>
      </c>
      <c r="M134" s="693">
        <f t="shared" si="19"/>
        <v>11017745</v>
      </c>
      <c r="N134" s="693">
        <f t="shared" si="20"/>
        <v>0</v>
      </c>
      <c r="O134" s="695">
        <f t="shared" si="21"/>
        <v>11017745</v>
      </c>
      <c r="P134" s="695">
        <f t="shared" si="22"/>
        <v>-456938</v>
      </c>
      <c r="Q134" s="697">
        <f t="shared" si="23"/>
        <v>4.0427139414000004E-3</v>
      </c>
      <c r="R134" s="694">
        <f t="shared" si="24"/>
        <v>-1.6098655600000001E-4</v>
      </c>
      <c r="S134" s="693">
        <v>0</v>
      </c>
      <c r="T134" s="695">
        <f t="shared" si="25"/>
        <v>11017745</v>
      </c>
      <c r="U134" s="695">
        <f t="shared" si="26"/>
        <v>11017745</v>
      </c>
      <c r="V134" s="693">
        <f t="shared" si="27"/>
        <v>0</v>
      </c>
      <c r="W134" s="697"/>
      <c r="X134" s="698" t="s">
        <v>150</v>
      </c>
      <c r="Y134" s="678">
        <v>0</v>
      </c>
      <c r="Z134" s="678">
        <v>6586491</v>
      </c>
      <c r="AA134" s="678">
        <v>6586491</v>
      </c>
      <c r="AB134" s="699">
        <f t="shared" si="31"/>
        <v>1.6727791778657255</v>
      </c>
      <c r="AC134" s="700"/>
      <c r="AD134" s="701"/>
    </row>
    <row r="135" spans="1:30" s="639" customFormat="1" x14ac:dyDescent="0.25">
      <c r="A135" s="639">
        <v>129</v>
      </c>
      <c r="B135" s="639">
        <f>+'_DATA STT PAGOS_'!M135</f>
        <v>7305</v>
      </c>
      <c r="C135" s="639" t="str">
        <f>+'_DATA STT PAGOS_'!O135</f>
        <v>RAUCO</v>
      </c>
      <c r="D135" s="693">
        <f>+'_DATA STT PAGOS_'!G135</f>
        <v>0</v>
      </c>
      <c r="E135" s="693">
        <f>+'_DATA STT PAGOS_'!J135</f>
        <v>3208070.4869999997</v>
      </c>
      <c r="F135" s="694">
        <f>+COEF_FCM!AG137</f>
        <v>1.3537412263000001E-3</v>
      </c>
      <c r="G135" s="693">
        <f t="shared" ref="G135:G198" si="32">ROUND(F135*$G$4,0)</f>
        <v>3842407</v>
      </c>
      <c r="H135" s="695">
        <f t="shared" si="28"/>
        <v>634336.51300000027</v>
      </c>
      <c r="I135" s="641">
        <f t="shared" si="29"/>
        <v>0</v>
      </c>
      <c r="J135" s="696">
        <f t="shared" si="30"/>
        <v>634336.51300000027</v>
      </c>
      <c r="K135" s="693">
        <f t="shared" ref="K135:K198" si="33">IF(J135&gt;0,ROUND(J135*$J$3,0),0)</f>
        <v>345864</v>
      </c>
      <c r="L135" s="695">
        <f t="shared" ref="L135:L198" si="34">+J135-K135</f>
        <v>288472.51300000027</v>
      </c>
      <c r="M135" s="693">
        <f t="shared" ref="M135:M198" si="35">IF(L135&gt;0,ROUND(G135-K135,0),0)</f>
        <v>3496543</v>
      </c>
      <c r="N135" s="693">
        <f t="shared" ref="N135:N198" si="36">IF(I135&lt;0,ROUND(E135,0),0)</f>
        <v>0</v>
      </c>
      <c r="O135" s="695">
        <f t="shared" ref="O135:O198" si="37">ROUND(M135+N135,0)</f>
        <v>3496543</v>
      </c>
      <c r="P135" s="695">
        <f t="shared" ref="P135:P198" si="38">+O135-G135</f>
        <v>-345864</v>
      </c>
      <c r="Q135" s="697">
        <f t="shared" ref="Q135:Q198" si="39">+F135</f>
        <v>1.3537412263000001E-3</v>
      </c>
      <c r="R135" s="694">
        <f t="shared" ref="R135:R198" si="40">ROUND(P135/$O$4,DEC)</f>
        <v>-1.2185341170000001E-4</v>
      </c>
      <c r="S135" s="693">
        <v>0</v>
      </c>
      <c r="T135" s="695">
        <f t="shared" ref="T135:T198" si="41">+O135+S135</f>
        <v>3496543</v>
      </c>
      <c r="U135" s="695">
        <f t="shared" ref="U135:U198" si="42">+O135</f>
        <v>3496543</v>
      </c>
      <c r="V135" s="693">
        <f t="shared" ref="V135:V198" si="43">IF(I135&lt;0,ROUND(ABS(I135),0),0)</f>
        <v>0</v>
      </c>
      <c r="W135" s="697"/>
      <c r="X135" s="698" t="s">
        <v>149</v>
      </c>
      <c r="Y135" s="678">
        <v>0</v>
      </c>
      <c r="Z135" s="678">
        <v>2077141</v>
      </c>
      <c r="AA135" s="678">
        <v>2077141</v>
      </c>
      <c r="AB135" s="699">
        <f t="shared" si="31"/>
        <v>1.6833440772677444</v>
      </c>
      <c r="AC135" s="700"/>
      <c r="AD135" s="701"/>
    </row>
    <row r="136" spans="1:30" s="639" customFormat="1" x14ac:dyDescent="0.25">
      <c r="A136" s="639">
        <v>130</v>
      </c>
      <c r="B136" s="639">
        <f>+'_DATA STT PAGOS_'!M136</f>
        <v>7306</v>
      </c>
      <c r="C136" s="639" t="str">
        <f>+'_DATA STT PAGOS_'!O136</f>
        <v>ROMERAL</v>
      </c>
      <c r="D136" s="693">
        <f>+'_DATA STT PAGOS_'!G136</f>
        <v>0</v>
      </c>
      <c r="E136" s="693">
        <f>+'_DATA STT PAGOS_'!J136</f>
        <v>2989233.0829999996</v>
      </c>
      <c r="F136" s="694">
        <f>+COEF_FCM!AG138</f>
        <v>1.1743211574999999E-3</v>
      </c>
      <c r="G136" s="693">
        <f t="shared" si="32"/>
        <v>3333148</v>
      </c>
      <c r="H136" s="695">
        <f t="shared" ref="H136:H199" si="44">G136-E136</f>
        <v>343914.91700000037</v>
      </c>
      <c r="I136" s="641">
        <f t="shared" ref="I136:I199" si="45">IF(H136&lt;0,ROUND(H136,0),0)</f>
        <v>0</v>
      </c>
      <c r="J136" s="696">
        <f t="shared" ref="J136:J199" si="46">IF(H136&gt;0,H136,0)</f>
        <v>343914.91700000037</v>
      </c>
      <c r="K136" s="693">
        <f t="shared" si="33"/>
        <v>187515</v>
      </c>
      <c r="L136" s="695">
        <f t="shared" si="34"/>
        <v>156399.91700000037</v>
      </c>
      <c r="M136" s="693">
        <f t="shared" si="35"/>
        <v>3145633</v>
      </c>
      <c r="N136" s="693">
        <f t="shared" si="36"/>
        <v>0</v>
      </c>
      <c r="O136" s="695">
        <f t="shared" si="37"/>
        <v>3145633</v>
      </c>
      <c r="P136" s="695">
        <f t="shared" si="38"/>
        <v>-187515</v>
      </c>
      <c r="Q136" s="697">
        <f t="shared" si="39"/>
        <v>1.1743211574999999E-3</v>
      </c>
      <c r="R136" s="694">
        <f t="shared" si="40"/>
        <v>-6.6064529700000005E-5</v>
      </c>
      <c r="S136" s="693">
        <v>0</v>
      </c>
      <c r="T136" s="695">
        <f t="shared" si="41"/>
        <v>3145633</v>
      </c>
      <c r="U136" s="695">
        <f t="shared" si="42"/>
        <v>3145633</v>
      </c>
      <c r="V136" s="693">
        <f t="shared" si="43"/>
        <v>0</v>
      </c>
      <c r="W136" s="697"/>
      <c r="X136" s="698" t="s">
        <v>148</v>
      </c>
      <c r="Y136" s="678">
        <v>0</v>
      </c>
      <c r="Z136" s="678">
        <v>1915070</v>
      </c>
      <c r="AA136" s="678">
        <v>1915070</v>
      </c>
      <c r="AB136" s="699">
        <f t="shared" ref="AB136:AB199" si="47">T136/Z136</f>
        <v>1.642568156777559</v>
      </c>
      <c r="AC136" s="700"/>
      <c r="AD136" s="701"/>
    </row>
    <row r="137" spans="1:30" s="639" customFormat="1" x14ac:dyDescent="0.25">
      <c r="A137" s="639">
        <v>131</v>
      </c>
      <c r="B137" s="639">
        <f>+'_DATA STT PAGOS_'!M137</f>
        <v>7307</v>
      </c>
      <c r="C137" s="639" t="str">
        <f>+'_DATA STT PAGOS_'!O137</f>
        <v>SAGRADA FAMILIA</v>
      </c>
      <c r="D137" s="693">
        <f>+'_DATA STT PAGOS_'!G137</f>
        <v>0</v>
      </c>
      <c r="E137" s="693">
        <f>+'_DATA STT PAGOS_'!J137</f>
        <v>3276572.9689999996</v>
      </c>
      <c r="F137" s="694">
        <f>+COEF_FCM!AG139</f>
        <v>1.2380469707999999E-3</v>
      </c>
      <c r="G137" s="693">
        <f t="shared" si="32"/>
        <v>3514025</v>
      </c>
      <c r="H137" s="695">
        <f t="shared" si="44"/>
        <v>237452.03100000042</v>
      </c>
      <c r="I137" s="641">
        <f t="shared" si="45"/>
        <v>0</v>
      </c>
      <c r="J137" s="696">
        <f t="shared" si="46"/>
        <v>237452.03100000042</v>
      </c>
      <c r="K137" s="693">
        <f t="shared" si="33"/>
        <v>129468</v>
      </c>
      <c r="L137" s="695">
        <f t="shared" si="34"/>
        <v>107984.03100000042</v>
      </c>
      <c r="M137" s="693">
        <f t="shared" si="35"/>
        <v>3384557</v>
      </c>
      <c r="N137" s="693">
        <f t="shared" si="36"/>
        <v>0</v>
      </c>
      <c r="O137" s="695">
        <f t="shared" si="37"/>
        <v>3384557</v>
      </c>
      <c r="P137" s="695">
        <f t="shared" si="38"/>
        <v>-129468</v>
      </c>
      <c r="Q137" s="697">
        <f t="shared" si="39"/>
        <v>1.2380469707999999E-3</v>
      </c>
      <c r="R137" s="694">
        <f t="shared" si="40"/>
        <v>-4.56136444E-5</v>
      </c>
      <c r="S137" s="693">
        <v>0</v>
      </c>
      <c r="T137" s="695">
        <f t="shared" si="41"/>
        <v>3384557</v>
      </c>
      <c r="U137" s="695">
        <f t="shared" si="42"/>
        <v>3384557</v>
      </c>
      <c r="V137" s="693">
        <f t="shared" si="43"/>
        <v>0</v>
      </c>
      <c r="W137" s="697"/>
      <c r="X137" s="698" t="s">
        <v>151</v>
      </c>
      <c r="Y137" s="678">
        <v>0</v>
      </c>
      <c r="Z137" s="678">
        <v>2536749</v>
      </c>
      <c r="AA137" s="678">
        <v>2536749</v>
      </c>
      <c r="AB137" s="699">
        <f t="shared" si="47"/>
        <v>1.3342104402130444</v>
      </c>
      <c r="AC137" s="700"/>
      <c r="AD137" s="701"/>
    </row>
    <row r="138" spans="1:30" s="639" customFormat="1" x14ac:dyDescent="0.25">
      <c r="A138" s="639">
        <v>132</v>
      </c>
      <c r="B138" s="639">
        <f>+'_DATA STT PAGOS_'!M138</f>
        <v>7308</v>
      </c>
      <c r="C138" s="639" t="str">
        <f>+'_DATA STT PAGOS_'!O138</f>
        <v>TENO</v>
      </c>
      <c r="D138" s="693">
        <f>+'_DATA STT PAGOS_'!G138</f>
        <v>0</v>
      </c>
      <c r="E138" s="693">
        <f>+'_DATA STT PAGOS_'!J138</f>
        <v>4342797.3770000003</v>
      </c>
      <c r="F138" s="694">
        <f>+COEF_FCM!AG140</f>
        <v>1.5149075508999999E-3</v>
      </c>
      <c r="G138" s="693">
        <f t="shared" si="32"/>
        <v>4299855</v>
      </c>
      <c r="H138" s="695">
        <f t="shared" si="44"/>
        <v>-42942.377000000328</v>
      </c>
      <c r="I138" s="641">
        <f t="shared" si="45"/>
        <v>-42942</v>
      </c>
      <c r="J138" s="696">
        <f t="shared" si="46"/>
        <v>0</v>
      </c>
      <c r="K138" s="693">
        <f t="shared" si="33"/>
        <v>0</v>
      </c>
      <c r="L138" s="695">
        <f t="shared" si="34"/>
        <v>0</v>
      </c>
      <c r="M138" s="693">
        <f t="shared" si="35"/>
        <v>0</v>
      </c>
      <c r="N138" s="693">
        <f t="shared" si="36"/>
        <v>4342797</v>
      </c>
      <c r="O138" s="695">
        <f t="shared" si="37"/>
        <v>4342797</v>
      </c>
      <c r="P138" s="695">
        <f t="shared" si="38"/>
        <v>42942</v>
      </c>
      <c r="Q138" s="697">
        <f t="shared" si="39"/>
        <v>1.5149075508999999E-3</v>
      </c>
      <c r="R138" s="694">
        <f t="shared" si="40"/>
        <v>1.5129152500000001E-5</v>
      </c>
      <c r="S138" s="693">
        <v>0</v>
      </c>
      <c r="T138" s="695">
        <f t="shared" si="41"/>
        <v>4342797</v>
      </c>
      <c r="U138" s="695">
        <f t="shared" si="42"/>
        <v>4342797</v>
      </c>
      <c r="V138" s="693">
        <f t="shared" si="43"/>
        <v>42942</v>
      </c>
      <c r="W138" s="697"/>
      <c r="X138" s="698" t="s">
        <v>147</v>
      </c>
      <c r="Y138" s="678">
        <v>0</v>
      </c>
      <c r="Z138" s="678">
        <v>3052551</v>
      </c>
      <c r="AA138" s="678">
        <v>3052551</v>
      </c>
      <c r="AB138" s="699">
        <f t="shared" si="47"/>
        <v>1.4226779503438272</v>
      </c>
      <c r="AC138" s="700"/>
      <c r="AD138" s="701"/>
    </row>
    <row r="139" spans="1:30" s="639" customFormat="1" x14ac:dyDescent="0.25">
      <c r="A139" s="639">
        <v>133</v>
      </c>
      <c r="B139" s="639">
        <f>+'_DATA STT PAGOS_'!M139</f>
        <v>7309</v>
      </c>
      <c r="C139" s="639" t="str">
        <f>+'_DATA STT PAGOS_'!O139</f>
        <v>VICHUQUÉN</v>
      </c>
      <c r="D139" s="693">
        <f>+'_DATA STT PAGOS_'!G139</f>
        <v>0</v>
      </c>
      <c r="E139" s="693">
        <f>+'_DATA STT PAGOS_'!J139</f>
        <v>2280336.4720000001</v>
      </c>
      <c r="F139" s="694">
        <f>+COEF_FCM!AG141</f>
        <v>8.7353440619999999E-4</v>
      </c>
      <c r="G139" s="693">
        <f t="shared" si="32"/>
        <v>2479406</v>
      </c>
      <c r="H139" s="695">
        <f t="shared" si="44"/>
        <v>199069.52799999993</v>
      </c>
      <c r="I139" s="641">
        <f t="shared" si="45"/>
        <v>0</v>
      </c>
      <c r="J139" s="696">
        <f t="shared" si="46"/>
        <v>199069.52799999993</v>
      </c>
      <c r="K139" s="693">
        <f t="shared" si="33"/>
        <v>108540</v>
      </c>
      <c r="L139" s="695">
        <f t="shared" si="34"/>
        <v>90529.527999999933</v>
      </c>
      <c r="M139" s="693">
        <f t="shared" si="35"/>
        <v>2370866</v>
      </c>
      <c r="N139" s="693">
        <f t="shared" si="36"/>
        <v>0</v>
      </c>
      <c r="O139" s="695">
        <f t="shared" si="37"/>
        <v>2370866</v>
      </c>
      <c r="P139" s="695">
        <f t="shared" si="38"/>
        <v>-108540</v>
      </c>
      <c r="Q139" s="697">
        <f t="shared" si="39"/>
        <v>8.7353440619999999E-4</v>
      </c>
      <c r="R139" s="694">
        <f t="shared" si="40"/>
        <v>-3.82403757E-5</v>
      </c>
      <c r="S139" s="693">
        <v>0</v>
      </c>
      <c r="T139" s="695">
        <f t="shared" si="41"/>
        <v>2370866</v>
      </c>
      <c r="U139" s="695">
        <f t="shared" si="42"/>
        <v>2370866</v>
      </c>
      <c r="V139" s="693">
        <f t="shared" si="43"/>
        <v>0</v>
      </c>
      <c r="W139" s="697"/>
      <c r="X139" s="698" t="s">
        <v>392</v>
      </c>
      <c r="Y139" s="678">
        <v>0</v>
      </c>
      <c r="Z139" s="678">
        <v>1586766</v>
      </c>
      <c r="AA139" s="678">
        <v>1586766</v>
      </c>
      <c r="AB139" s="699">
        <f t="shared" si="47"/>
        <v>1.4941497360039224</v>
      </c>
      <c r="AC139" s="700"/>
      <c r="AD139" s="701"/>
    </row>
    <row r="140" spans="1:30" s="639" customFormat="1" x14ac:dyDescent="0.25">
      <c r="A140" s="639">
        <v>134</v>
      </c>
      <c r="B140" s="639">
        <f>+'_DATA STT PAGOS_'!M140</f>
        <v>7401</v>
      </c>
      <c r="C140" s="639" t="str">
        <f>+'_DATA STT PAGOS_'!O140</f>
        <v>LINARES</v>
      </c>
      <c r="D140" s="693">
        <f>+'_DATA STT PAGOS_'!G140</f>
        <v>0</v>
      </c>
      <c r="E140" s="693">
        <f>+'_DATA STT PAGOS_'!J140</f>
        <v>18570239.379000001</v>
      </c>
      <c r="F140" s="694">
        <f>+COEF_FCM!AG142</f>
        <v>7.6644937901000007E-3</v>
      </c>
      <c r="G140" s="693">
        <f t="shared" si="32"/>
        <v>21754602</v>
      </c>
      <c r="H140" s="695">
        <f t="shared" si="44"/>
        <v>3184362.6209999993</v>
      </c>
      <c r="I140" s="641">
        <f t="shared" si="45"/>
        <v>0</v>
      </c>
      <c r="J140" s="696">
        <f t="shared" si="46"/>
        <v>3184362.6209999993</v>
      </c>
      <c r="K140" s="693">
        <f t="shared" si="33"/>
        <v>1736235</v>
      </c>
      <c r="L140" s="695">
        <f t="shared" si="34"/>
        <v>1448127.6209999993</v>
      </c>
      <c r="M140" s="693">
        <f t="shared" si="35"/>
        <v>20018367</v>
      </c>
      <c r="N140" s="693">
        <f t="shared" si="36"/>
        <v>0</v>
      </c>
      <c r="O140" s="695">
        <f t="shared" si="37"/>
        <v>20018367</v>
      </c>
      <c r="P140" s="695">
        <f t="shared" si="38"/>
        <v>-1736235</v>
      </c>
      <c r="Q140" s="697">
        <f t="shared" si="39"/>
        <v>7.6644937901000007E-3</v>
      </c>
      <c r="R140" s="694">
        <f t="shared" si="40"/>
        <v>-6.1170332319999997E-4</v>
      </c>
      <c r="S140" s="693">
        <v>0</v>
      </c>
      <c r="T140" s="695">
        <f t="shared" si="41"/>
        <v>20018367</v>
      </c>
      <c r="U140" s="695">
        <f t="shared" si="42"/>
        <v>20018367</v>
      </c>
      <c r="V140" s="693">
        <f t="shared" si="43"/>
        <v>0</v>
      </c>
      <c r="W140" s="697"/>
      <c r="X140" s="698" t="s">
        <v>160</v>
      </c>
      <c r="Y140" s="678">
        <v>0</v>
      </c>
      <c r="Z140" s="678">
        <v>11466405</v>
      </c>
      <c r="AA140" s="678">
        <v>11466405</v>
      </c>
      <c r="AB140" s="699">
        <f t="shared" si="47"/>
        <v>1.7458276591486173</v>
      </c>
      <c r="AC140" s="700"/>
      <c r="AD140" s="701"/>
    </row>
    <row r="141" spans="1:30" s="639" customFormat="1" x14ac:dyDescent="0.25">
      <c r="A141" s="639">
        <v>135</v>
      </c>
      <c r="B141" s="639">
        <f>+'_DATA STT PAGOS_'!M141</f>
        <v>7402</v>
      </c>
      <c r="C141" s="639" t="str">
        <f>+'_DATA STT PAGOS_'!O141</f>
        <v>COLBÚN</v>
      </c>
      <c r="D141" s="693">
        <f>+'_DATA STT PAGOS_'!G141</f>
        <v>0</v>
      </c>
      <c r="E141" s="693">
        <f>+'_DATA STT PAGOS_'!J141</f>
        <v>4840258.8590000002</v>
      </c>
      <c r="F141" s="694">
        <f>+COEF_FCM!AG143</f>
        <v>1.5009283708E-3</v>
      </c>
      <c r="G141" s="693">
        <f t="shared" si="32"/>
        <v>4260177</v>
      </c>
      <c r="H141" s="695">
        <f t="shared" si="44"/>
        <v>-580081.85900000017</v>
      </c>
      <c r="I141" s="641">
        <f t="shared" si="45"/>
        <v>-580082</v>
      </c>
      <c r="J141" s="696">
        <f t="shared" si="46"/>
        <v>0</v>
      </c>
      <c r="K141" s="693">
        <f t="shared" si="33"/>
        <v>0</v>
      </c>
      <c r="L141" s="695">
        <f t="shared" si="34"/>
        <v>0</v>
      </c>
      <c r="M141" s="693">
        <f t="shared" si="35"/>
        <v>0</v>
      </c>
      <c r="N141" s="693">
        <f t="shared" si="36"/>
        <v>4840259</v>
      </c>
      <c r="O141" s="695">
        <f t="shared" si="37"/>
        <v>4840259</v>
      </c>
      <c r="P141" s="695">
        <f t="shared" si="38"/>
        <v>580082</v>
      </c>
      <c r="Q141" s="697">
        <f t="shared" si="39"/>
        <v>1.5009283708E-3</v>
      </c>
      <c r="R141" s="694">
        <f t="shared" si="40"/>
        <v>2.0437215419999999E-4</v>
      </c>
      <c r="S141" s="693">
        <v>0</v>
      </c>
      <c r="T141" s="695">
        <f t="shared" si="41"/>
        <v>4840259</v>
      </c>
      <c r="U141" s="695">
        <f t="shared" si="42"/>
        <v>4840259</v>
      </c>
      <c r="V141" s="693">
        <f t="shared" si="43"/>
        <v>580082</v>
      </c>
      <c r="W141" s="697"/>
      <c r="X141" s="698" t="s">
        <v>393</v>
      </c>
      <c r="Y141" s="678">
        <v>0</v>
      </c>
      <c r="Z141" s="678">
        <v>3793150</v>
      </c>
      <c r="AA141" s="678">
        <v>3793150</v>
      </c>
      <c r="AB141" s="699">
        <f t="shared" si="47"/>
        <v>1.2760526211723766</v>
      </c>
      <c r="AC141" s="700"/>
      <c r="AD141" s="701"/>
    </row>
    <row r="142" spans="1:30" s="639" customFormat="1" x14ac:dyDescent="0.25">
      <c r="A142" s="639">
        <v>136</v>
      </c>
      <c r="B142" s="639">
        <f>+'_DATA STT PAGOS_'!M142</f>
        <v>7403</v>
      </c>
      <c r="C142" s="639" t="str">
        <f>+'_DATA STT PAGOS_'!O142</f>
        <v>LONGAVÍ</v>
      </c>
      <c r="D142" s="693">
        <f>+'_DATA STT PAGOS_'!G142</f>
        <v>0</v>
      </c>
      <c r="E142" s="693">
        <f>+'_DATA STT PAGOS_'!J142</f>
        <v>9068126.807</v>
      </c>
      <c r="F142" s="694">
        <f>+COEF_FCM!AG144</f>
        <v>3.9041869848999997E-3</v>
      </c>
      <c r="G142" s="693">
        <f t="shared" si="32"/>
        <v>11081493</v>
      </c>
      <c r="H142" s="695">
        <f t="shared" si="44"/>
        <v>2013366.193</v>
      </c>
      <c r="I142" s="641">
        <f t="shared" si="45"/>
        <v>0</v>
      </c>
      <c r="J142" s="696">
        <f t="shared" si="46"/>
        <v>2013366.193</v>
      </c>
      <c r="K142" s="693">
        <f t="shared" si="33"/>
        <v>1097764</v>
      </c>
      <c r="L142" s="695">
        <f t="shared" si="34"/>
        <v>915602.19299999997</v>
      </c>
      <c r="M142" s="693">
        <f t="shared" si="35"/>
        <v>9983729</v>
      </c>
      <c r="N142" s="693">
        <f t="shared" si="36"/>
        <v>0</v>
      </c>
      <c r="O142" s="695">
        <f t="shared" si="37"/>
        <v>9983729</v>
      </c>
      <c r="P142" s="695">
        <f t="shared" si="38"/>
        <v>-1097764</v>
      </c>
      <c r="Q142" s="697">
        <f t="shared" si="39"/>
        <v>3.9041869848999997E-3</v>
      </c>
      <c r="R142" s="694">
        <f t="shared" si="40"/>
        <v>-3.8675979170000002E-4</v>
      </c>
      <c r="S142" s="693">
        <v>0</v>
      </c>
      <c r="T142" s="695">
        <f t="shared" si="41"/>
        <v>9983729</v>
      </c>
      <c r="U142" s="695">
        <f t="shared" si="42"/>
        <v>9983729</v>
      </c>
      <c r="V142" s="693">
        <f t="shared" si="43"/>
        <v>0</v>
      </c>
      <c r="W142" s="697"/>
      <c r="X142" s="698" t="s">
        <v>394</v>
      </c>
      <c r="Y142" s="678">
        <v>0</v>
      </c>
      <c r="Z142" s="678">
        <v>5169277</v>
      </c>
      <c r="AA142" s="678">
        <v>5169277</v>
      </c>
      <c r="AB142" s="699">
        <f t="shared" si="47"/>
        <v>1.9313588728172237</v>
      </c>
      <c r="AC142" s="700"/>
      <c r="AD142" s="701"/>
    </row>
    <row r="143" spans="1:30" s="639" customFormat="1" x14ac:dyDescent="0.25">
      <c r="A143" s="639">
        <v>137</v>
      </c>
      <c r="B143" s="639">
        <f>+'_DATA STT PAGOS_'!M143</f>
        <v>7404</v>
      </c>
      <c r="C143" s="639" t="str">
        <f>+'_DATA STT PAGOS_'!O143</f>
        <v>PARRAL</v>
      </c>
      <c r="D143" s="693">
        <f>+'_DATA STT PAGOS_'!G143</f>
        <v>0</v>
      </c>
      <c r="E143" s="693">
        <f>+'_DATA STT PAGOS_'!J143</f>
        <v>10779907.026000001</v>
      </c>
      <c r="F143" s="694">
        <f>+COEF_FCM!AG145</f>
        <v>4.6730238431999995E-3</v>
      </c>
      <c r="G143" s="693">
        <f t="shared" si="32"/>
        <v>13263730</v>
      </c>
      <c r="H143" s="695">
        <f t="shared" si="44"/>
        <v>2483822.9739999995</v>
      </c>
      <c r="I143" s="641">
        <f t="shared" si="45"/>
        <v>0</v>
      </c>
      <c r="J143" s="696">
        <f t="shared" si="46"/>
        <v>2483822.9739999995</v>
      </c>
      <c r="K143" s="693">
        <f t="shared" si="33"/>
        <v>1354274</v>
      </c>
      <c r="L143" s="695">
        <f t="shared" si="34"/>
        <v>1129548.9739999995</v>
      </c>
      <c r="M143" s="693">
        <f t="shared" si="35"/>
        <v>11909456</v>
      </c>
      <c r="N143" s="693">
        <f t="shared" si="36"/>
        <v>0</v>
      </c>
      <c r="O143" s="695">
        <f t="shared" si="37"/>
        <v>11909456</v>
      </c>
      <c r="P143" s="695">
        <f t="shared" si="38"/>
        <v>-1354274</v>
      </c>
      <c r="Q143" s="697">
        <f t="shared" si="39"/>
        <v>4.6730238431999995E-3</v>
      </c>
      <c r="R143" s="694">
        <f t="shared" si="40"/>
        <v>-4.771323619E-4</v>
      </c>
      <c r="S143" s="693">
        <v>0</v>
      </c>
      <c r="T143" s="695">
        <f t="shared" si="41"/>
        <v>11909456</v>
      </c>
      <c r="U143" s="695">
        <f t="shared" si="42"/>
        <v>11909456</v>
      </c>
      <c r="V143" s="693">
        <f t="shared" si="43"/>
        <v>0</v>
      </c>
      <c r="W143" s="697"/>
      <c r="X143" s="698" t="s">
        <v>162</v>
      </c>
      <c r="Y143" s="678">
        <v>0</v>
      </c>
      <c r="Z143" s="678">
        <v>6319532</v>
      </c>
      <c r="AA143" s="678">
        <v>6319532</v>
      </c>
      <c r="AB143" s="699">
        <f t="shared" si="47"/>
        <v>1.8845471468456843</v>
      </c>
      <c r="AC143" s="700"/>
      <c r="AD143" s="701"/>
    </row>
    <row r="144" spans="1:30" s="639" customFormat="1" x14ac:dyDescent="0.25">
      <c r="A144" s="639">
        <v>138</v>
      </c>
      <c r="B144" s="639">
        <f>+'_DATA STT PAGOS_'!M144</f>
        <v>7405</v>
      </c>
      <c r="C144" s="639" t="str">
        <f>+'_DATA STT PAGOS_'!O144</f>
        <v>RETIRO</v>
      </c>
      <c r="D144" s="693">
        <f>+'_DATA STT PAGOS_'!G144</f>
        <v>0</v>
      </c>
      <c r="E144" s="693">
        <f>+'_DATA STT PAGOS_'!J144</f>
        <v>6075462.1529999999</v>
      </c>
      <c r="F144" s="694">
        <f>+COEF_FCM!AG146</f>
        <v>2.8021869564999998E-3</v>
      </c>
      <c r="G144" s="693">
        <f t="shared" si="32"/>
        <v>7953619</v>
      </c>
      <c r="H144" s="695">
        <f t="shared" si="44"/>
        <v>1878156.8470000001</v>
      </c>
      <c r="I144" s="641">
        <f t="shared" si="45"/>
        <v>0</v>
      </c>
      <c r="J144" s="696">
        <f t="shared" si="46"/>
        <v>1878156.8470000001</v>
      </c>
      <c r="K144" s="693">
        <f t="shared" si="33"/>
        <v>1024042</v>
      </c>
      <c r="L144" s="695">
        <f t="shared" si="34"/>
        <v>854114.84700000007</v>
      </c>
      <c r="M144" s="693">
        <f t="shared" si="35"/>
        <v>6929577</v>
      </c>
      <c r="N144" s="693">
        <f t="shared" si="36"/>
        <v>0</v>
      </c>
      <c r="O144" s="695">
        <f t="shared" si="37"/>
        <v>6929577</v>
      </c>
      <c r="P144" s="695">
        <f t="shared" si="38"/>
        <v>-1024042</v>
      </c>
      <c r="Q144" s="697">
        <f t="shared" si="39"/>
        <v>2.8021869564999998E-3</v>
      </c>
      <c r="R144" s="694">
        <f t="shared" si="40"/>
        <v>-3.6078635349999998E-4</v>
      </c>
      <c r="S144" s="693">
        <v>0</v>
      </c>
      <c r="T144" s="695">
        <f t="shared" si="41"/>
        <v>6929577</v>
      </c>
      <c r="U144" s="695">
        <f t="shared" si="42"/>
        <v>6929577</v>
      </c>
      <c r="V144" s="693">
        <f t="shared" si="43"/>
        <v>0</v>
      </c>
      <c r="W144" s="697"/>
      <c r="X144" s="698" t="s">
        <v>163</v>
      </c>
      <c r="Y144" s="678">
        <v>0</v>
      </c>
      <c r="Z144" s="678">
        <v>3408766</v>
      </c>
      <c r="AA144" s="678">
        <v>3408766</v>
      </c>
      <c r="AB144" s="699">
        <f t="shared" si="47"/>
        <v>2.0328696660316372</v>
      </c>
      <c r="AC144" s="700"/>
      <c r="AD144" s="701"/>
    </row>
    <row r="145" spans="1:30" s="639" customFormat="1" x14ac:dyDescent="0.25">
      <c r="A145" s="639">
        <v>139</v>
      </c>
      <c r="B145" s="639">
        <f>+'_DATA STT PAGOS_'!M145</f>
        <v>7406</v>
      </c>
      <c r="C145" s="639" t="str">
        <f>+'_DATA STT PAGOS_'!O145</f>
        <v>SAN JAVIER</v>
      </c>
      <c r="D145" s="693">
        <f>+'_DATA STT PAGOS_'!G145</f>
        <v>0</v>
      </c>
      <c r="E145" s="693">
        <f>+'_DATA STT PAGOS_'!J145</f>
        <v>11181774.929000001</v>
      </c>
      <c r="F145" s="694">
        <f>+COEF_FCM!AG147</f>
        <v>4.5767027183999994E-3</v>
      </c>
      <c r="G145" s="693">
        <f t="shared" si="32"/>
        <v>12990336</v>
      </c>
      <c r="H145" s="695">
        <f t="shared" si="44"/>
        <v>1808561.0709999986</v>
      </c>
      <c r="I145" s="641">
        <f t="shared" si="45"/>
        <v>0</v>
      </c>
      <c r="J145" s="696">
        <f t="shared" si="46"/>
        <v>1808561.0709999986</v>
      </c>
      <c r="K145" s="693">
        <f t="shared" si="33"/>
        <v>986096</v>
      </c>
      <c r="L145" s="695">
        <f t="shared" si="34"/>
        <v>822465.0709999986</v>
      </c>
      <c r="M145" s="693">
        <f t="shared" si="35"/>
        <v>12004240</v>
      </c>
      <c r="N145" s="693">
        <f t="shared" si="36"/>
        <v>0</v>
      </c>
      <c r="O145" s="695">
        <f t="shared" si="37"/>
        <v>12004240</v>
      </c>
      <c r="P145" s="695">
        <f t="shared" si="38"/>
        <v>-986096</v>
      </c>
      <c r="Q145" s="697">
        <f t="shared" si="39"/>
        <v>4.5767027183999994E-3</v>
      </c>
      <c r="R145" s="694">
        <f t="shared" si="40"/>
        <v>-3.474173716E-4</v>
      </c>
      <c r="S145" s="693">
        <v>0</v>
      </c>
      <c r="T145" s="695">
        <f t="shared" si="41"/>
        <v>12004240</v>
      </c>
      <c r="U145" s="695">
        <f t="shared" si="42"/>
        <v>12004240</v>
      </c>
      <c r="V145" s="693">
        <f t="shared" si="43"/>
        <v>0</v>
      </c>
      <c r="W145" s="697"/>
      <c r="X145" s="698" t="s">
        <v>165</v>
      </c>
      <c r="Y145" s="678">
        <v>0</v>
      </c>
      <c r="Z145" s="678">
        <v>6952547</v>
      </c>
      <c r="AA145" s="678">
        <v>6952547</v>
      </c>
      <c r="AB145" s="699">
        <f t="shared" si="47"/>
        <v>1.726596023011423</v>
      </c>
      <c r="AC145" s="700"/>
      <c r="AD145" s="701"/>
    </row>
    <row r="146" spans="1:30" s="639" customFormat="1" x14ac:dyDescent="0.25">
      <c r="A146" s="639">
        <v>140</v>
      </c>
      <c r="B146" s="639">
        <f>+'_DATA STT PAGOS_'!M146</f>
        <v>7407</v>
      </c>
      <c r="C146" s="639" t="str">
        <f>+'_DATA STT PAGOS_'!O146</f>
        <v>VILLA ALEGRE</v>
      </c>
      <c r="D146" s="693">
        <f>+'_DATA STT PAGOS_'!G146</f>
        <v>0</v>
      </c>
      <c r="E146" s="693">
        <f>+'_DATA STT PAGOS_'!J146</f>
        <v>5072423.6579999998</v>
      </c>
      <c r="F146" s="694">
        <f>+COEF_FCM!AG148</f>
        <v>2.2303250383999998E-3</v>
      </c>
      <c r="G146" s="693">
        <f t="shared" si="32"/>
        <v>6330468</v>
      </c>
      <c r="H146" s="695">
        <f t="shared" si="44"/>
        <v>1258044.3420000002</v>
      </c>
      <c r="I146" s="641">
        <f t="shared" si="45"/>
        <v>0</v>
      </c>
      <c r="J146" s="696">
        <f t="shared" si="46"/>
        <v>1258044.3420000002</v>
      </c>
      <c r="K146" s="693">
        <f t="shared" si="33"/>
        <v>685933</v>
      </c>
      <c r="L146" s="695">
        <f t="shared" si="34"/>
        <v>572111.34200000018</v>
      </c>
      <c r="M146" s="693">
        <f t="shared" si="35"/>
        <v>5644535</v>
      </c>
      <c r="N146" s="693">
        <f t="shared" si="36"/>
        <v>0</v>
      </c>
      <c r="O146" s="695">
        <f t="shared" si="37"/>
        <v>5644535</v>
      </c>
      <c r="P146" s="695">
        <f t="shared" si="38"/>
        <v>-685933</v>
      </c>
      <c r="Q146" s="697">
        <f t="shared" si="39"/>
        <v>2.2303250383999998E-3</v>
      </c>
      <c r="R146" s="694">
        <f t="shared" si="40"/>
        <v>-2.4166515229999999E-4</v>
      </c>
      <c r="S146" s="693">
        <v>0</v>
      </c>
      <c r="T146" s="695">
        <f t="shared" si="41"/>
        <v>5644535</v>
      </c>
      <c r="U146" s="695">
        <f t="shared" si="42"/>
        <v>5644535</v>
      </c>
      <c r="V146" s="693">
        <f t="shared" si="43"/>
        <v>0</v>
      </c>
      <c r="W146" s="697"/>
      <c r="X146" s="698" t="s">
        <v>164</v>
      </c>
      <c r="Y146" s="678">
        <v>0</v>
      </c>
      <c r="Z146" s="678">
        <v>3017036</v>
      </c>
      <c r="AA146" s="678">
        <v>3017036</v>
      </c>
      <c r="AB146" s="699">
        <f t="shared" si="47"/>
        <v>1.870887520069366</v>
      </c>
      <c r="AC146" s="700"/>
      <c r="AD146" s="701"/>
    </row>
    <row r="147" spans="1:30" s="639" customFormat="1" x14ac:dyDescent="0.25">
      <c r="A147" s="639">
        <v>141</v>
      </c>
      <c r="B147" s="639">
        <f>+'_DATA STT PAGOS_'!M147</f>
        <v>7408</v>
      </c>
      <c r="C147" s="639" t="str">
        <f>+'_DATA STT PAGOS_'!O147</f>
        <v>YERBAS BUENAS</v>
      </c>
      <c r="D147" s="693">
        <f>+'_DATA STT PAGOS_'!G147</f>
        <v>0</v>
      </c>
      <c r="E147" s="693">
        <f>+'_DATA STT PAGOS_'!J147</f>
        <v>4540206.3380000005</v>
      </c>
      <c r="F147" s="694">
        <f>+COEF_FCM!AG149</f>
        <v>2.0152649739999997E-3</v>
      </c>
      <c r="G147" s="693">
        <f t="shared" si="32"/>
        <v>5720050</v>
      </c>
      <c r="H147" s="695">
        <f t="shared" si="44"/>
        <v>1179843.6619999995</v>
      </c>
      <c r="I147" s="641">
        <f t="shared" si="45"/>
        <v>0</v>
      </c>
      <c r="J147" s="696">
        <f t="shared" si="46"/>
        <v>1179843.6619999995</v>
      </c>
      <c r="K147" s="693">
        <f t="shared" si="33"/>
        <v>643296</v>
      </c>
      <c r="L147" s="695">
        <f t="shared" si="34"/>
        <v>536547.66199999955</v>
      </c>
      <c r="M147" s="693">
        <f t="shared" si="35"/>
        <v>5076754</v>
      </c>
      <c r="N147" s="693">
        <f t="shared" si="36"/>
        <v>0</v>
      </c>
      <c r="O147" s="695">
        <f t="shared" si="37"/>
        <v>5076754</v>
      </c>
      <c r="P147" s="695">
        <f t="shared" si="38"/>
        <v>-643296</v>
      </c>
      <c r="Q147" s="697">
        <f t="shared" si="39"/>
        <v>2.0152649739999997E-3</v>
      </c>
      <c r="R147" s="694">
        <f t="shared" si="40"/>
        <v>-2.266434561E-4</v>
      </c>
      <c r="S147" s="693">
        <v>0</v>
      </c>
      <c r="T147" s="695">
        <f t="shared" si="41"/>
        <v>5076754</v>
      </c>
      <c r="U147" s="695">
        <f t="shared" si="42"/>
        <v>5076754</v>
      </c>
      <c r="V147" s="693">
        <f t="shared" si="43"/>
        <v>0</v>
      </c>
      <c r="W147" s="697"/>
      <c r="X147" s="698" t="s">
        <v>161</v>
      </c>
      <c r="Y147" s="678">
        <v>0</v>
      </c>
      <c r="Z147" s="678">
        <v>2801440</v>
      </c>
      <c r="AA147" s="678">
        <v>2801440</v>
      </c>
      <c r="AB147" s="699">
        <f t="shared" si="47"/>
        <v>1.8121944428579588</v>
      </c>
      <c r="AC147" s="700"/>
      <c r="AD147" s="701"/>
    </row>
    <row r="148" spans="1:30" s="639" customFormat="1" x14ac:dyDescent="0.25">
      <c r="A148" s="639">
        <v>142</v>
      </c>
      <c r="B148" s="639">
        <f>+'_DATA STT PAGOS_'!M148</f>
        <v>8101</v>
      </c>
      <c r="C148" s="639" t="str">
        <f>+'_DATA STT PAGOS_'!O148</f>
        <v>CONCEPCIÓN</v>
      </c>
      <c r="D148" s="693">
        <f>+'_DATA STT PAGOS_'!G148</f>
        <v>0</v>
      </c>
      <c r="E148" s="693">
        <f>+'_DATA STT PAGOS_'!J148</f>
        <v>11027436.349000001</v>
      </c>
      <c r="F148" s="694">
        <f>+COEF_FCM!AG150</f>
        <v>4.3736955486E-3</v>
      </c>
      <c r="G148" s="693">
        <f t="shared" si="32"/>
        <v>12414128</v>
      </c>
      <c r="H148" s="695">
        <f t="shared" si="44"/>
        <v>1386691.6509999987</v>
      </c>
      <c r="I148" s="641">
        <f t="shared" si="45"/>
        <v>0</v>
      </c>
      <c r="J148" s="696">
        <f t="shared" si="46"/>
        <v>1386691.6509999987</v>
      </c>
      <c r="K148" s="693">
        <f t="shared" si="33"/>
        <v>756077</v>
      </c>
      <c r="L148" s="695">
        <f t="shared" si="34"/>
        <v>630614.65099999867</v>
      </c>
      <c r="M148" s="693">
        <f t="shared" si="35"/>
        <v>11658051</v>
      </c>
      <c r="N148" s="693">
        <f t="shared" si="36"/>
        <v>0</v>
      </c>
      <c r="O148" s="695">
        <f t="shared" si="37"/>
        <v>11658051</v>
      </c>
      <c r="P148" s="695">
        <f t="shared" si="38"/>
        <v>-756077</v>
      </c>
      <c r="Q148" s="697">
        <f t="shared" si="39"/>
        <v>4.3736955486E-3</v>
      </c>
      <c r="R148" s="694">
        <f t="shared" si="40"/>
        <v>-2.6637800390000001E-4</v>
      </c>
      <c r="S148" s="693">
        <v>0</v>
      </c>
      <c r="T148" s="695">
        <f t="shared" si="41"/>
        <v>11658051</v>
      </c>
      <c r="U148" s="695">
        <f t="shared" si="42"/>
        <v>11658051</v>
      </c>
      <c r="V148" s="693">
        <f t="shared" si="43"/>
        <v>0</v>
      </c>
      <c r="W148" s="697"/>
      <c r="X148" s="698" t="s">
        <v>395</v>
      </c>
      <c r="Y148" s="678">
        <v>0</v>
      </c>
      <c r="Z148" s="678">
        <v>6652798</v>
      </c>
      <c r="AA148" s="678">
        <v>6652798</v>
      </c>
      <c r="AB148" s="699">
        <f t="shared" si="47"/>
        <v>1.7523530700917118</v>
      </c>
      <c r="AC148" s="700"/>
      <c r="AD148" s="701"/>
    </row>
    <row r="149" spans="1:30" s="639" customFormat="1" x14ac:dyDescent="0.25">
      <c r="A149" s="639">
        <v>143</v>
      </c>
      <c r="B149" s="639">
        <f>+'_DATA STT PAGOS_'!M149</f>
        <v>8102</v>
      </c>
      <c r="C149" s="639" t="str">
        <f>+'_DATA STT PAGOS_'!O149</f>
        <v>CORONEL</v>
      </c>
      <c r="D149" s="693">
        <f>+'_DATA STT PAGOS_'!G149</f>
        <v>0</v>
      </c>
      <c r="E149" s="693">
        <f>+'_DATA STT PAGOS_'!J149</f>
        <v>17615868.076000001</v>
      </c>
      <c r="F149" s="694">
        <f>+COEF_FCM!AG151</f>
        <v>4.7426669317999996E-3</v>
      </c>
      <c r="G149" s="693">
        <f t="shared" si="32"/>
        <v>13461402</v>
      </c>
      <c r="H149" s="695">
        <f t="shared" si="44"/>
        <v>-4154466.0760000013</v>
      </c>
      <c r="I149" s="641">
        <f t="shared" si="45"/>
        <v>-4154466</v>
      </c>
      <c r="J149" s="696">
        <f t="shared" si="46"/>
        <v>0</v>
      </c>
      <c r="K149" s="693">
        <f t="shared" si="33"/>
        <v>0</v>
      </c>
      <c r="L149" s="695">
        <f t="shared" si="34"/>
        <v>0</v>
      </c>
      <c r="M149" s="693">
        <f t="shared" si="35"/>
        <v>0</v>
      </c>
      <c r="N149" s="693">
        <f t="shared" si="36"/>
        <v>17615868</v>
      </c>
      <c r="O149" s="695">
        <f t="shared" si="37"/>
        <v>17615868</v>
      </c>
      <c r="P149" s="695">
        <f t="shared" si="38"/>
        <v>4154466</v>
      </c>
      <c r="Q149" s="697">
        <f t="shared" si="39"/>
        <v>4.7426669317999996E-3</v>
      </c>
      <c r="R149" s="694">
        <f t="shared" si="40"/>
        <v>1.4636847307000001E-3</v>
      </c>
      <c r="S149" s="693">
        <v>0</v>
      </c>
      <c r="T149" s="695">
        <f t="shared" si="41"/>
        <v>17615868</v>
      </c>
      <c r="U149" s="695">
        <f t="shared" si="42"/>
        <v>17615868</v>
      </c>
      <c r="V149" s="693">
        <f t="shared" si="43"/>
        <v>4154466</v>
      </c>
      <c r="W149" s="697"/>
      <c r="X149" s="698" t="s">
        <v>187</v>
      </c>
      <c r="Y149" s="678">
        <v>0</v>
      </c>
      <c r="Z149" s="678">
        <v>12797241</v>
      </c>
      <c r="AA149" s="678">
        <v>12797241</v>
      </c>
      <c r="AB149" s="699">
        <f t="shared" si="47"/>
        <v>1.3765363956183994</v>
      </c>
      <c r="AC149" s="700"/>
      <c r="AD149" s="701"/>
    </row>
    <row r="150" spans="1:30" s="639" customFormat="1" x14ac:dyDescent="0.25">
      <c r="A150" s="639">
        <v>144</v>
      </c>
      <c r="B150" s="639">
        <f>+'_DATA STT PAGOS_'!M150</f>
        <v>8103</v>
      </c>
      <c r="C150" s="639" t="str">
        <f>+'_DATA STT PAGOS_'!O150</f>
        <v>CHIGUAYANTE</v>
      </c>
      <c r="D150" s="693">
        <f>+'_DATA STT PAGOS_'!G150</f>
        <v>0</v>
      </c>
      <c r="E150" s="693">
        <f>+'_DATA STT PAGOS_'!J150</f>
        <v>12606216.755999999</v>
      </c>
      <c r="F150" s="694">
        <f>+COEF_FCM!AG152</f>
        <v>3.8164753161999999E-3</v>
      </c>
      <c r="G150" s="693">
        <f t="shared" si="32"/>
        <v>10832536</v>
      </c>
      <c r="H150" s="695">
        <f t="shared" si="44"/>
        <v>-1773680.7559999991</v>
      </c>
      <c r="I150" s="641">
        <f t="shared" si="45"/>
        <v>-1773681</v>
      </c>
      <c r="J150" s="696">
        <f t="shared" si="46"/>
        <v>0</v>
      </c>
      <c r="K150" s="693">
        <f t="shared" si="33"/>
        <v>0</v>
      </c>
      <c r="L150" s="695">
        <f t="shared" si="34"/>
        <v>0</v>
      </c>
      <c r="M150" s="693">
        <f t="shared" si="35"/>
        <v>0</v>
      </c>
      <c r="N150" s="693">
        <f t="shared" si="36"/>
        <v>12606217</v>
      </c>
      <c r="O150" s="695">
        <f t="shared" si="37"/>
        <v>12606217</v>
      </c>
      <c r="P150" s="695">
        <f t="shared" si="38"/>
        <v>1773681</v>
      </c>
      <c r="Q150" s="697">
        <f t="shared" si="39"/>
        <v>3.8164753161999999E-3</v>
      </c>
      <c r="R150" s="694">
        <f t="shared" si="40"/>
        <v>6.2489614720000002E-4</v>
      </c>
      <c r="S150" s="693">
        <v>0</v>
      </c>
      <c r="T150" s="695">
        <f t="shared" si="41"/>
        <v>12606217</v>
      </c>
      <c r="U150" s="695">
        <f t="shared" si="42"/>
        <v>12606217</v>
      </c>
      <c r="V150" s="693">
        <f t="shared" si="43"/>
        <v>1773681</v>
      </c>
      <c r="W150" s="697"/>
      <c r="X150" s="698" t="s">
        <v>191</v>
      </c>
      <c r="Y150" s="678">
        <v>0</v>
      </c>
      <c r="Z150" s="678">
        <v>9879076</v>
      </c>
      <c r="AA150" s="678">
        <v>9879076</v>
      </c>
      <c r="AB150" s="699">
        <f t="shared" si="47"/>
        <v>1.276052234034843</v>
      </c>
      <c r="AC150" s="700"/>
      <c r="AD150" s="701"/>
    </row>
    <row r="151" spans="1:30" s="639" customFormat="1" x14ac:dyDescent="0.25">
      <c r="A151" s="639">
        <v>145</v>
      </c>
      <c r="B151" s="639">
        <f>+'_DATA STT PAGOS_'!M151</f>
        <v>8104</v>
      </c>
      <c r="C151" s="639" t="str">
        <f>+'_DATA STT PAGOS_'!O151</f>
        <v>FLORIDA</v>
      </c>
      <c r="D151" s="693">
        <f>+'_DATA STT PAGOS_'!G151</f>
        <v>0</v>
      </c>
      <c r="E151" s="693">
        <f>+'_DATA STT PAGOS_'!J151</f>
        <v>4476772.3229999999</v>
      </c>
      <c r="F151" s="694">
        <f>+COEF_FCM!AG153</f>
        <v>2.0428292539999998E-3</v>
      </c>
      <c r="G151" s="693">
        <f t="shared" si="32"/>
        <v>5798287</v>
      </c>
      <c r="H151" s="695">
        <f t="shared" si="44"/>
        <v>1321514.6770000001</v>
      </c>
      <c r="I151" s="641">
        <f t="shared" si="45"/>
        <v>0</v>
      </c>
      <c r="J151" s="696">
        <f t="shared" si="46"/>
        <v>1321514.6770000001</v>
      </c>
      <c r="K151" s="693">
        <f t="shared" si="33"/>
        <v>720540</v>
      </c>
      <c r="L151" s="695">
        <f t="shared" si="34"/>
        <v>600974.67700000014</v>
      </c>
      <c r="M151" s="693">
        <f t="shared" si="35"/>
        <v>5077747</v>
      </c>
      <c r="N151" s="693">
        <f t="shared" si="36"/>
        <v>0</v>
      </c>
      <c r="O151" s="695">
        <f t="shared" si="37"/>
        <v>5077747</v>
      </c>
      <c r="P151" s="695">
        <f t="shared" si="38"/>
        <v>-720540</v>
      </c>
      <c r="Q151" s="697">
        <f t="shared" si="39"/>
        <v>2.0428292539999998E-3</v>
      </c>
      <c r="R151" s="694">
        <f t="shared" si="40"/>
        <v>-2.5385775109999998E-4</v>
      </c>
      <c r="S151" s="693">
        <v>0</v>
      </c>
      <c r="T151" s="695">
        <f t="shared" si="41"/>
        <v>5077747</v>
      </c>
      <c r="U151" s="695">
        <f t="shared" si="42"/>
        <v>5077747</v>
      </c>
      <c r="V151" s="693">
        <f t="shared" si="43"/>
        <v>0</v>
      </c>
      <c r="W151" s="697"/>
      <c r="X151" s="698" t="s">
        <v>185</v>
      </c>
      <c r="Y151" s="678">
        <v>0</v>
      </c>
      <c r="Z151" s="678">
        <v>3065801</v>
      </c>
      <c r="AA151" s="678">
        <v>3065801</v>
      </c>
      <c r="AB151" s="699">
        <f t="shared" si="47"/>
        <v>1.6562545970857208</v>
      </c>
      <c r="AC151" s="700"/>
      <c r="AD151" s="701"/>
    </row>
    <row r="152" spans="1:30" s="639" customFormat="1" x14ac:dyDescent="0.25">
      <c r="A152" s="639">
        <v>146</v>
      </c>
      <c r="B152" s="639">
        <f>+'_DATA STT PAGOS_'!M152</f>
        <v>8105</v>
      </c>
      <c r="C152" s="639" t="str">
        <f>+'_DATA STT PAGOS_'!O152</f>
        <v>HUALQUI</v>
      </c>
      <c r="D152" s="693">
        <f>+'_DATA STT PAGOS_'!G152</f>
        <v>0</v>
      </c>
      <c r="E152" s="693">
        <f>+'_DATA STT PAGOS_'!J152</f>
        <v>6825252.3320000004</v>
      </c>
      <c r="F152" s="694">
        <f>+COEF_FCM!AG154</f>
        <v>2.7543084669E-3</v>
      </c>
      <c r="G152" s="693">
        <f t="shared" si="32"/>
        <v>7817722</v>
      </c>
      <c r="H152" s="695">
        <f t="shared" si="44"/>
        <v>992469.6679999996</v>
      </c>
      <c r="I152" s="641">
        <f t="shared" si="45"/>
        <v>0</v>
      </c>
      <c r="J152" s="696">
        <f t="shared" si="46"/>
        <v>992469.6679999996</v>
      </c>
      <c r="K152" s="693">
        <f t="shared" si="33"/>
        <v>541132</v>
      </c>
      <c r="L152" s="695">
        <f t="shared" si="34"/>
        <v>451337.6679999996</v>
      </c>
      <c r="M152" s="693">
        <f t="shared" si="35"/>
        <v>7276590</v>
      </c>
      <c r="N152" s="693">
        <f t="shared" si="36"/>
        <v>0</v>
      </c>
      <c r="O152" s="695">
        <f t="shared" si="37"/>
        <v>7276590</v>
      </c>
      <c r="P152" s="695">
        <f t="shared" si="38"/>
        <v>-541132</v>
      </c>
      <c r="Q152" s="697">
        <f t="shared" si="39"/>
        <v>2.7543084669E-3</v>
      </c>
      <c r="R152" s="694">
        <f t="shared" si="40"/>
        <v>-1.9064944709999999E-4</v>
      </c>
      <c r="S152" s="693">
        <v>0</v>
      </c>
      <c r="T152" s="695">
        <f t="shared" si="41"/>
        <v>7276590</v>
      </c>
      <c r="U152" s="695">
        <f t="shared" si="42"/>
        <v>7276590</v>
      </c>
      <c r="V152" s="693">
        <f t="shared" si="43"/>
        <v>0</v>
      </c>
      <c r="W152" s="697"/>
      <c r="X152" s="698" t="s">
        <v>184</v>
      </c>
      <c r="Y152" s="678">
        <v>0</v>
      </c>
      <c r="Z152" s="678">
        <v>4778904</v>
      </c>
      <c r="AA152" s="678">
        <v>4778904</v>
      </c>
      <c r="AB152" s="699">
        <f t="shared" si="47"/>
        <v>1.522648289231171</v>
      </c>
      <c r="AC152" s="700"/>
      <c r="AD152" s="701"/>
    </row>
    <row r="153" spans="1:30" s="639" customFormat="1" x14ac:dyDescent="0.25">
      <c r="A153" s="639">
        <v>147</v>
      </c>
      <c r="B153" s="639">
        <f>+'_DATA STT PAGOS_'!M153</f>
        <v>8106</v>
      </c>
      <c r="C153" s="639" t="str">
        <f>+'_DATA STT PAGOS_'!O153</f>
        <v>LOTA</v>
      </c>
      <c r="D153" s="693">
        <f>+'_DATA STT PAGOS_'!G153</f>
        <v>0</v>
      </c>
      <c r="E153" s="693">
        <f>+'_DATA STT PAGOS_'!J153</f>
        <v>11425335.445999999</v>
      </c>
      <c r="F153" s="694">
        <f>+COEF_FCM!AG155</f>
        <v>3.5619149424000003E-3</v>
      </c>
      <c r="G153" s="693">
        <f t="shared" si="32"/>
        <v>10110001</v>
      </c>
      <c r="H153" s="695">
        <f t="shared" si="44"/>
        <v>-1315334.4459999986</v>
      </c>
      <c r="I153" s="641">
        <f t="shared" si="45"/>
        <v>-1315334</v>
      </c>
      <c r="J153" s="696">
        <f t="shared" si="46"/>
        <v>0</v>
      </c>
      <c r="K153" s="693">
        <f t="shared" si="33"/>
        <v>0</v>
      </c>
      <c r="L153" s="695">
        <f t="shared" si="34"/>
        <v>0</v>
      </c>
      <c r="M153" s="693">
        <f t="shared" si="35"/>
        <v>0</v>
      </c>
      <c r="N153" s="693">
        <f t="shared" si="36"/>
        <v>11425335</v>
      </c>
      <c r="O153" s="695">
        <f t="shared" si="37"/>
        <v>11425335</v>
      </c>
      <c r="P153" s="695">
        <f t="shared" si="38"/>
        <v>1315334</v>
      </c>
      <c r="Q153" s="697">
        <f t="shared" si="39"/>
        <v>3.5619149424000003E-3</v>
      </c>
      <c r="R153" s="694">
        <f t="shared" si="40"/>
        <v>4.6341317789999999E-4</v>
      </c>
      <c r="S153" s="693">
        <v>0</v>
      </c>
      <c r="T153" s="695">
        <f t="shared" si="41"/>
        <v>11425335</v>
      </c>
      <c r="U153" s="695">
        <f t="shared" si="42"/>
        <v>11425335</v>
      </c>
      <c r="V153" s="693">
        <f t="shared" si="43"/>
        <v>1315334</v>
      </c>
      <c r="W153" s="697"/>
      <c r="X153" s="698" t="s">
        <v>188</v>
      </c>
      <c r="Y153" s="678">
        <v>0</v>
      </c>
      <c r="Z153" s="678">
        <v>8202862</v>
      </c>
      <c r="AA153" s="678">
        <v>8202862</v>
      </c>
      <c r="AB153" s="699">
        <f t="shared" si="47"/>
        <v>1.392847398871272</v>
      </c>
      <c r="AC153" s="700"/>
      <c r="AD153" s="701"/>
    </row>
    <row r="154" spans="1:30" s="639" customFormat="1" x14ac:dyDescent="0.25">
      <c r="A154" s="639">
        <v>148</v>
      </c>
      <c r="B154" s="639">
        <f>+'_DATA STT PAGOS_'!M154</f>
        <v>8107</v>
      </c>
      <c r="C154" s="639" t="str">
        <f>+'_DATA STT PAGOS_'!O154</f>
        <v>PENCO</v>
      </c>
      <c r="D154" s="693">
        <f>+'_DATA STT PAGOS_'!G154</f>
        <v>0</v>
      </c>
      <c r="E154" s="693">
        <f>+'_DATA STT PAGOS_'!J154</f>
        <v>8511589.2300000004</v>
      </c>
      <c r="F154" s="694">
        <f>+COEF_FCM!AG156</f>
        <v>3.4427829025000002E-3</v>
      </c>
      <c r="G154" s="693">
        <f t="shared" si="32"/>
        <v>9771862</v>
      </c>
      <c r="H154" s="695">
        <f t="shared" si="44"/>
        <v>1260272.7699999996</v>
      </c>
      <c r="I154" s="641">
        <f t="shared" si="45"/>
        <v>0</v>
      </c>
      <c r="J154" s="696">
        <f t="shared" si="46"/>
        <v>1260272.7699999996</v>
      </c>
      <c r="K154" s="693">
        <f t="shared" si="33"/>
        <v>687149</v>
      </c>
      <c r="L154" s="695">
        <f t="shared" si="34"/>
        <v>573123.76999999955</v>
      </c>
      <c r="M154" s="693">
        <f t="shared" si="35"/>
        <v>9084713</v>
      </c>
      <c r="N154" s="693">
        <f t="shared" si="36"/>
        <v>0</v>
      </c>
      <c r="O154" s="695">
        <f t="shared" si="37"/>
        <v>9084713</v>
      </c>
      <c r="P154" s="695">
        <f t="shared" si="38"/>
        <v>-687149</v>
      </c>
      <c r="Q154" s="697">
        <f t="shared" si="39"/>
        <v>3.4427829025000002E-3</v>
      </c>
      <c r="R154" s="694">
        <f t="shared" si="40"/>
        <v>-2.4209356850000001E-4</v>
      </c>
      <c r="S154" s="693">
        <v>0</v>
      </c>
      <c r="T154" s="695">
        <f t="shared" si="41"/>
        <v>9084713</v>
      </c>
      <c r="U154" s="695">
        <f t="shared" si="42"/>
        <v>9084713</v>
      </c>
      <c r="V154" s="693">
        <f t="shared" si="43"/>
        <v>0</v>
      </c>
      <c r="W154" s="697"/>
      <c r="X154" s="698" t="s">
        <v>183</v>
      </c>
      <c r="Y154" s="678">
        <v>0</v>
      </c>
      <c r="Z154" s="678">
        <v>5793341</v>
      </c>
      <c r="AA154" s="678">
        <v>5793341</v>
      </c>
      <c r="AB154" s="699">
        <f t="shared" si="47"/>
        <v>1.568130203279938</v>
      </c>
      <c r="AC154" s="700"/>
      <c r="AD154" s="701"/>
    </row>
    <row r="155" spans="1:30" s="639" customFormat="1" x14ac:dyDescent="0.25">
      <c r="A155" s="639">
        <v>149</v>
      </c>
      <c r="B155" s="639">
        <f>+'_DATA STT PAGOS_'!M155</f>
        <v>8108</v>
      </c>
      <c r="C155" s="639" t="str">
        <f>+'_DATA STT PAGOS_'!O155</f>
        <v>SAN PEDRO DE LA PAZ</v>
      </c>
      <c r="D155" s="693">
        <f>+'_DATA STT PAGOS_'!G155</f>
        <v>0</v>
      </c>
      <c r="E155" s="693">
        <f>+'_DATA STT PAGOS_'!J155</f>
        <v>11903690.157</v>
      </c>
      <c r="F155" s="694">
        <f>+COEF_FCM!AG157</f>
        <v>4.9137246795999999E-3</v>
      </c>
      <c r="G155" s="693">
        <f t="shared" si="32"/>
        <v>13946926</v>
      </c>
      <c r="H155" s="695">
        <f t="shared" si="44"/>
        <v>2043235.8430000003</v>
      </c>
      <c r="I155" s="641">
        <f t="shared" si="45"/>
        <v>0</v>
      </c>
      <c r="J155" s="696">
        <f t="shared" si="46"/>
        <v>2043235.8430000003</v>
      </c>
      <c r="K155" s="693">
        <f t="shared" si="33"/>
        <v>1114050</v>
      </c>
      <c r="L155" s="695">
        <f t="shared" si="34"/>
        <v>929185.84300000034</v>
      </c>
      <c r="M155" s="693">
        <f t="shared" si="35"/>
        <v>12832876</v>
      </c>
      <c r="N155" s="693">
        <f t="shared" si="36"/>
        <v>0</v>
      </c>
      <c r="O155" s="695">
        <f t="shared" si="37"/>
        <v>12832876</v>
      </c>
      <c r="P155" s="695">
        <f t="shared" si="38"/>
        <v>-1114050</v>
      </c>
      <c r="Q155" s="697">
        <f t="shared" si="39"/>
        <v>4.9137246795999999E-3</v>
      </c>
      <c r="R155" s="694">
        <f t="shared" si="40"/>
        <v>-3.9249760959999999E-4</v>
      </c>
      <c r="S155" s="693">
        <v>0</v>
      </c>
      <c r="T155" s="695">
        <f t="shared" si="41"/>
        <v>12832876</v>
      </c>
      <c r="U155" s="695">
        <f t="shared" si="42"/>
        <v>12832876</v>
      </c>
      <c r="V155" s="693">
        <f t="shared" si="43"/>
        <v>0</v>
      </c>
      <c r="W155" s="697"/>
      <c r="X155" s="698" t="s">
        <v>190</v>
      </c>
      <c r="Y155" s="678">
        <v>0</v>
      </c>
      <c r="Z155" s="678">
        <v>6781988</v>
      </c>
      <c r="AA155" s="678">
        <v>6781988</v>
      </c>
      <c r="AB155" s="699">
        <f t="shared" si="47"/>
        <v>1.8921997502797114</v>
      </c>
      <c r="AC155" s="700"/>
      <c r="AD155" s="701"/>
    </row>
    <row r="156" spans="1:30" s="639" customFormat="1" x14ac:dyDescent="0.25">
      <c r="A156" s="639">
        <v>150</v>
      </c>
      <c r="B156" s="639">
        <f>+'_DATA STT PAGOS_'!M156</f>
        <v>8109</v>
      </c>
      <c r="C156" s="639" t="str">
        <f>+'_DATA STT PAGOS_'!O156</f>
        <v>SANTA JUANA</v>
      </c>
      <c r="D156" s="693">
        <f>+'_DATA STT PAGOS_'!G156</f>
        <v>0</v>
      </c>
      <c r="E156" s="693">
        <f>+'_DATA STT PAGOS_'!J156</f>
        <v>5536463.5829999996</v>
      </c>
      <c r="F156" s="694">
        <f>+COEF_FCM!AG158</f>
        <v>2.1955347509999999E-3</v>
      </c>
      <c r="G156" s="693">
        <f t="shared" si="32"/>
        <v>6231721</v>
      </c>
      <c r="H156" s="695">
        <f t="shared" si="44"/>
        <v>695257.41700000037</v>
      </c>
      <c r="I156" s="641">
        <f t="shared" si="45"/>
        <v>0</v>
      </c>
      <c r="J156" s="696">
        <f t="shared" si="46"/>
        <v>695257.41700000037</v>
      </c>
      <c r="K156" s="693">
        <f t="shared" si="33"/>
        <v>379081</v>
      </c>
      <c r="L156" s="695">
        <f t="shared" si="34"/>
        <v>316176.41700000037</v>
      </c>
      <c r="M156" s="693">
        <f t="shared" si="35"/>
        <v>5852640</v>
      </c>
      <c r="N156" s="693">
        <f t="shared" si="36"/>
        <v>0</v>
      </c>
      <c r="O156" s="695">
        <f t="shared" si="37"/>
        <v>5852640</v>
      </c>
      <c r="P156" s="695">
        <f t="shared" si="38"/>
        <v>-379081</v>
      </c>
      <c r="Q156" s="697">
        <f t="shared" si="39"/>
        <v>2.1955347509999999E-3</v>
      </c>
      <c r="R156" s="694">
        <f t="shared" si="40"/>
        <v>-1.335562913E-4</v>
      </c>
      <c r="S156" s="693">
        <v>0</v>
      </c>
      <c r="T156" s="695">
        <f t="shared" si="41"/>
        <v>5852640</v>
      </c>
      <c r="U156" s="695">
        <f t="shared" si="42"/>
        <v>5852640</v>
      </c>
      <c r="V156" s="693">
        <f t="shared" si="43"/>
        <v>0</v>
      </c>
      <c r="W156" s="697"/>
      <c r="X156" s="698" t="s">
        <v>189</v>
      </c>
      <c r="Y156" s="678">
        <v>0</v>
      </c>
      <c r="Z156" s="678">
        <v>3820822</v>
      </c>
      <c r="AA156" s="678">
        <v>3820822</v>
      </c>
      <c r="AB156" s="699">
        <f t="shared" si="47"/>
        <v>1.5317750997036763</v>
      </c>
      <c r="AC156" s="700"/>
      <c r="AD156" s="701"/>
    </row>
    <row r="157" spans="1:30" s="639" customFormat="1" x14ac:dyDescent="0.25">
      <c r="A157" s="639">
        <v>151</v>
      </c>
      <c r="B157" s="639">
        <f>+'_DATA STT PAGOS_'!M157</f>
        <v>8110</v>
      </c>
      <c r="C157" s="639" t="str">
        <f>+'_DATA STT PAGOS_'!O157</f>
        <v>TALCAHUANO</v>
      </c>
      <c r="D157" s="693">
        <f>+'_DATA STT PAGOS_'!G157</f>
        <v>0</v>
      </c>
      <c r="E157" s="693">
        <f>+'_DATA STT PAGOS_'!J157</f>
        <v>11155197.868999999</v>
      </c>
      <c r="F157" s="694">
        <f>+COEF_FCM!AG159</f>
        <v>4.0761487618999996E-3</v>
      </c>
      <c r="G157" s="693">
        <f t="shared" si="32"/>
        <v>11569583</v>
      </c>
      <c r="H157" s="695">
        <f t="shared" si="44"/>
        <v>414385.13100000098</v>
      </c>
      <c r="I157" s="641">
        <f t="shared" si="45"/>
        <v>0</v>
      </c>
      <c r="J157" s="696">
        <f t="shared" si="46"/>
        <v>414385.13100000098</v>
      </c>
      <c r="K157" s="693">
        <f t="shared" si="33"/>
        <v>225938</v>
      </c>
      <c r="L157" s="695">
        <f t="shared" si="34"/>
        <v>188447.13100000098</v>
      </c>
      <c r="M157" s="693">
        <f t="shared" si="35"/>
        <v>11343645</v>
      </c>
      <c r="N157" s="693">
        <f t="shared" si="36"/>
        <v>0</v>
      </c>
      <c r="O157" s="695">
        <f t="shared" si="37"/>
        <v>11343645</v>
      </c>
      <c r="P157" s="695">
        <f t="shared" si="38"/>
        <v>-225938</v>
      </c>
      <c r="Q157" s="697">
        <f t="shared" si="39"/>
        <v>4.0761487618999996E-3</v>
      </c>
      <c r="R157" s="694">
        <f t="shared" si="40"/>
        <v>-7.9601566300000002E-5</v>
      </c>
      <c r="S157" s="693">
        <v>0</v>
      </c>
      <c r="T157" s="695">
        <f t="shared" si="41"/>
        <v>11343645</v>
      </c>
      <c r="U157" s="695">
        <f t="shared" si="42"/>
        <v>11343645</v>
      </c>
      <c r="V157" s="693">
        <f t="shared" si="43"/>
        <v>0</v>
      </c>
      <c r="W157" s="697"/>
      <c r="X157" s="698" t="s">
        <v>186</v>
      </c>
      <c r="Y157" s="678">
        <v>0</v>
      </c>
      <c r="Z157" s="678">
        <v>8156952</v>
      </c>
      <c r="AA157" s="678">
        <v>8156952</v>
      </c>
      <c r="AB157" s="699">
        <f t="shared" si="47"/>
        <v>1.3906720304348978</v>
      </c>
      <c r="AC157" s="700"/>
      <c r="AD157" s="701"/>
    </row>
    <row r="158" spans="1:30" s="639" customFormat="1" x14ac:dyDescent="0.25">
      <c r="A158" s="639">
        <v>152</v>
      </c>
      <c r="B158" s="639">
        <f>+'_DATA STT PAGOS_'!M158</f>
        <v>8111</v>
      </c>
      <c r="C158" s="639" t="str">
        <f>+'_DATA STT PAGOS_'!O158</f>
        <v>TOMÉ</v>
      </c>
      <c r="D158" s="693">
        <f>+'_DATA STT PAGOS_'!G158</f>
        <v>0</v>
      </c>
      <c r="E158" s="693">
        <f>+'_DATA STT PAGOS_'!J158</f>
        <v>17341843.792999998</v>
      </c>
      <c r="F158" s="694">
        <f>+COEF_FCM!AG160</f>
        <v>7.4373609294000002E-3</v>
      </c>
      <c r="G158" s="693">
        <f t="shared" si="32"/>
        <v>21109917</v>
      </c>
      <c r="H158" s="695">
        <f t="shared" si="44"/>
        <v>3768073.2070000023</v>
      </c>
      <c r="I158" s="641">
        <f t="shared" si="45"/>
        <v>0</v>
      </c>
      <c r="J158" s="696">
        <f t="shared" si="46"/>
        <v>3768073.2070000023</v>
      </c>
      <c r="K158" s="693">
        <f t="shared" si="33"/>
        <v>2054496</v>
      </c>
      <c r="L158" s="695">
        <f t="shared" si="34"/>
        <v>1713577.2070000023</v>
      </c>
      <c r="M158" s="693">
        <f t="shared" si="35"/>
        <v>19055421</v>
      </c>
      <c r="N158" s="693">
        <f t="shared" si="36"/>
        <v>0</v>
      </c>
      <c r="O158" s="695">
        <f t="shared" si="37"/>
        <v>19055421</v>
      </c>
      <c r="P158" s="695">
        <f t="shared" si="38"/>
        <v>-2054496</v>
      </c>
      <c r="Q158" s="697">
        <f t="shared" si="39"/>
        <v>7.4373609294000002E-3</v>
      </c>
      <c r="R158" s="694">
        <f t="shared" si="40"/>
        <v>-7.2383175709999996E-4</v>
      </c>
      <c r="S158" s="693">
        <v>0</v>
      </c>
      <c r="T158" s="695">
        <f t="shared" si="41"/>
        <v>19055421</v>
      </c>
      <c r="U158" s="695">
        <f t="shared" si="42"/>
        <v>19055421</v>
      </c>
      <c r="V158" s="693">
        <f t="shared" si="43"/>
        <v>0</v>
      </c>
      <c r="W158" s="697"/>
      <c r="X158" s="698" t="s">
        <v>396</v>
      </c>
      <c r="Y158" s="678">
        <v>0</v>
      </c>
      <c r="Z158" s="678">
        <v>10995059</v>
      </c>
      <c r="AA158" s="678">
        <v>10995059</v>
      </c>
      <c r="AB158" s="699">
        <f t="shared" si="47"/>
        <v>1.7330894722802306</v>
      </c>
      <c r="AC158" s="700"/>
      <c r="AD158" s="701"/>
    </row>
    <row r="159" spans="1:30" s="639" customFormat="1" x14ac:dyDescent="0.25">
      <c r="A159" s="639">
        <v>153</v>
      </c>
      <c r="B159" s="639">
        <f>+'_DATA STT PAGOS_'!M159</f>
        <v>8112</v>
      </c>
      <c r="C159" s="639" t="str">
        <f>+'_DATA STT PAGOS_'!O159</f>
        <v>HUALPÉN</v>
      </c>
      <c r="D159" s="693">
        <f>+'_DATA STT PAGOS_'!G159</f>
        <v>0</v>
      </c>
      <c r="E159" s="693">
        <f>+'_DATA STT PAGOS_'!J159</f>
        <v>10944689.143999999</v>
      </c>
      <c r="F159" s="694">
        <f>+COEF_FCM!AG161</f>
        <v>4.0182093655999999E-3</v>
      </c>
      <c r="G159" s="693">
        <f t="shared" si="32"/>
        <v>11405130</v>
      </c>
      <c r="H159" s="695">
        <f t="shared" si="44"/>
        <v>460440.85600000061</v>
      </c>
      <c r="I159" s="641">
        <f t="shared" si="45"/>
        <v>0</v>
      </c>
      <c r="J159" s="696">
        <f t="shared" si="46"/>
        <v>460440.85600000061</v>
      </c>
      <c r="K159" s="693">
        <f t="shared" si="33"/>
        <v>251050</v>
      </c>
      <c r="L159" s="695">
        <f t="shared" si="34"/>
        <v>209390.85600000061</v>
      </c>
      <c r="M159" s="693">
        <f t="shared" si="35"/>
        <v>11154080</v>
      </c>
      <c r="N159" s="693">
        <f t="shared" si="36"/>
        <v>0</v>
      </c>
      <c r="O159" s="695">
        <f t="shared" si="37"/>
        <v>11154080</v>
      </c>
      <c r="P159" s="695">
        <f t="shared" si="38"/>
        <v>-251050</v>
      </c>
      <c r="Q159" s="697">
        <f t="shared" si="39"/>
        <v>4.0182093655999999E-3</v>
      </c>
      <c r="R159" s="694">
        <f t="shared" si="40"/>
        <v>-8.8448924999999994E-5</v>
      </c>
      <c r="S159" s="693">
        <v>0</v>
      </c>
      <c r="T159" s="695">
        <f t="shared" si="41"/>
        <v>11154080</v>
      </c>
      <c r="U159" s="695">
        <f t="shared" si="42"/>
        <v>11154080</v>
      </c>
      <c r="V159" s="693">
        <f t="shared" si="43"/>
        <v>0</v>
      </c>
      <c r="W159" s="697"/>
      <c r="X159" s="698" t="s">
        <v>397</v>
      </c>
      <c r="Y159" s="678">
        <v>0</v>
      </c>
      <c r="Z159" s="678">
        <v>8153180</v>
      </c>
      <c r="AA159" s="678">
        <v>8153180</v>
      </c>
      <c r="AB159" s="699">
        <f t="shared" si="47"/>
        <v>1.3680649758744441</v>
      </c>
      <c r="AC159" s="700"/>
      <c r="AD159" s="701"/>
    </row>
    <row r="160" spans="1:30" s="639" customFormat="1" x14ac:dyDescent="0.25">
      <c r="A160" s="639">
        <v>154</v>
      </c>
      <c r="B160" s="639">
        <f>+'_DATA STT PAGOS_'!M160</f>
        <v>8201</v>
      </c>
      <c r="C160" s="639" t="str">
        <f>+'_DATA STT PAGOS_'!O160</f>
        <v>LEBU</v>
      </c>
      <c r="D160" s="693">
        <f>+'_DATA STT PAGOS_'!G160</f>
        <v>0</v>
      </c>
      <c r="E160" s="693">
        <f>+'_DATA STT PAGOS_'!J160</f>
        <v>7153835.1860000007</v>
      </c>
      <c r="F160" s="694">
        <f>+COEF_FCM!AG162</f>
        <v>2.7736417827999996E-3</v>
      </c>
      <c r="G160" s="693">
        <f t="shared" si="32"/>
        <v>7872597</v>
      </c>
      <c r="H160" s="695">
        <f t="shared" si="44"/>
        <v>718761.81399999931</v>
      </c>
      <c r="I160" s="641">
        <f t="shared" si="45"/>
        <v>0</v>
      </c>
      <c r="J160" s="696">
        <f t="shared" si="46"/>
        <v>718761.81399999931</v>
      </c>
      <c r="K160" s="693">
        <f t="shared" si="33"/>
        <v>391896</v>
      </c>
      <c r="L160" s="695">
        <f t="shared" si="34"/>
        <v>326865.81399999931</v>
      </c>
      <c r="M160" s="693">
        <f t="shared" si="35"/>
        <v>7480701</v>
      </c>
      <c r="N160" s="693">
        <f t="shared" si="36"/>
        <v>0</v>
      </c>
      <c r="O160" s="695">
        <f t="shared" si="37"/>
        <v>7480701</v>
      </c>
      <c r="P160" s="695">
        <f t="shared" si="38"/>
        <v>-391896</v>
      </c>
      <c r="Q160" s="697">
        <f t="shared" si="39"/>
        <v>2.7736417827999996E-3</v>
      </c>
      <c r="R160" s="694">
        <f t="shared" si="40"/>
        <v>-1.3807122050000001E-4</v>
      </c>
      <c r="S160" s="693">
        <v>0</v>
      </c>
      <c r="T160" s="695">
        <f t="shared" si="41"/>
        <v>7480701</v>
      </c>
      <c r="U160" s="695">
        <f t="shared" si="42"/>
        <v>7480701</v>
      </c>
      <c r="V160" s="693">
        <f t="shared" si="43"/>
        <v>0</v>
      </c>
      <c r="W160" s="697"/>
      <c r="X160" s="698" t="s">
        <v>194</v>
      </c>
      <c r="Y160" s="678">
        <v>0</v>
      </c>
      <c r="Z160" s="678">
        <v>4866804</v>
      </c>
      <c r="AA160" s="678">
        <v>4866804</v>
      </c>
      <c r="AB160" s="699">
        <f t="shared" si="47"/>
        <v>1.5370869671349001</v>
      </c>
      <c r="AC160" s="700"/>
      <c r="AD160" s="701"/>
    </row>
    <row r="161" spans="1:30" s="639" customFormat="1" x14ac:dyDescent="0.25">
      <c r="A161" s="639">
        <v>155</v>
      </c>
      <c r="B161" s="639">
        <f>+'_DATA STT PAGOS_'!M161</f>
        <v>8202</v>
      </c>
      <c r="C161" s="639" t="str">
        <f>+'_DATA STT PAGOS_'!O161</f>
        <v>ARAUCO</v>
      </c>
      <c r="D161" s="693">
        <f>+'_DATA STT PAGOS_'!G161</f>
        <v>0</v>
      </c>
      <c r="E161" s="693">
        <f>+'_DATA STT PAGOS_'!J161</f>
        <v>9506707.188000001</v>
      </c>
      <c r="F161" s="694">
        <f>+COEF_FCM!AG163</f>
        <v>3.2963600729000002E-3</v>
      </c>
      <c r="G161" s="693">
        <f t="shared" si="32"/>
        <v>9356261</v>
      </c>
      <c r="H161" s="695">
        <f t="shared" si="44"/>
        <v>-150446.18800000101</v>
      </c>
      <c r="I161" s="641">
        <f t="shared" si="45"/>
        <v>-150446</v>
      </c>
      <c r="J161" s="696">
        <f t="shared" si="46"/>
        <v>0</v>
      </c>
      <c r="K161" s="693">
        <f t="shared" si="33"/>
        <v>0</v>
      </c>
      <c r="L161" s="695">
        <f t="shared" si="34"/>
        <v>0</v>
      </c>
      <c r="M161" s="693">
        <f t="shared" si="35"/>
        <v>0</v>
      </c>
      <c r="N161" s="693">
        <f t="shared" si="36"/>
        <v>9506707</v>
      </c>
      <c r="O161" s="695">
        <f t="shared" si="37"/>
        <v>9506707</v>
      </c>
      <c r="P161" s="695">
        <f t="shared" si="38"/>
        <v>150446</v>
      </c>
      <c r="Q161" s="697">
        <f t="shared" si="39"/>
        <v>3.2963600729000002E-3</v>
      </c>
      <c r="R161" s="694">
        <f t="shared" si="40"/>
        <v>5.3004528899999998E-5</v>
      </c>
      <c r="S161" s="693">
        <v>0</v>
      </c>
      <c r="T161" s="695">
        <f t="shared" si="41"/>
        <v>9506707</v>
      </c>
      <c r="U161" s="695">
        <f t="shared" si="42"/>
        <v>9506707</v>
      </c>
      <c r="V161" s="693">
        <f t="shared" si="43"/>
        <v>150446</v>
      </c>
      <c r="W161" s="697"/>
      <c r="X161" s="698" t="s">
        <v>192</v>
      </c>
      <c r="Y161" s="678">
        <v>0</v>
      </c>
      <c r="Z161" s="678">
        <v>6251280</v>
      </c>
      <c r="AA161" s="678">
        <v>6251280</v>
      </c>
      <c r="AB161" s="699">
        <f t="shared" si="47"/>
        <v>1.5207616680103915</v>
      </c>
      <c r="AC161" s="700"/>
      <c r="AD161" s="701"/>
    </row>
    <row r="162" spans="1:30" s="639" customFormat="1" x14ac:dyDescent="0.25">
      <c r="A162" s="639">
        <v>156</v>
      </c>
      <c r="B162" s="639">
        <f>+'_DATA STT PAGOS_'!M162</f>
        <v>8203</v>
      </c>
      <c r="C162" s="639" t="str">
        <f>+'_DATA STT PAGOS_'!O162</f>
        <v>CAÑETE</v>
      </c>
      <c r="D162" s="693">
        <f>+'_DATA STT PAGOS_'!G162</f>
        <v>0</v>
      </c>
      <c r="E162" s="693">
        <f>+'_DATA STT PAGOS_'!J162</f>
        <v>9970838.7630000003</v>
      </c>
      <c r="F162" s="694">
        <f>+COEF_FCM!AG164</f>
        <v>3.954477128E-3</v>
      </c>
      <c r="G162" s="693">
        <f t="shared" si="32"/>
        <v>11224235</v>
      </c>
      <c r="H162" s="695">
        <f t="shared" si="44"/>
        <v>1253396.2369999997</v>
      </c>
      <c r="I162" s="641">
        <f t="shared" si="45"/>
        <v>0</v>
      </c>
      <c r="J162" s="696">
        <f t="shared" si="46"/>
        <v>1253396.2369999997</v>
      </c>
      <c r="K162" s="693">
        <f t="shared" si="33"/>
        <v>683399</v>
      </c>
      <c r="L162" s="695">
        <f t="shared" si="34"/>
        <v>569997.23699999973</v>
      </c>
      <c r="M162" s="693">
        <f t="shared" si="35"/>
        <v>10540836</v>
      </c>
      <c r="N162" s="693">
        <f t="shared" si="36"/>
        <v>0</v>
      </c>
      <c r="O162" s="695">
        <f t="shared" si="37"/>
        <v>10540836</v>
      </c>
      <c r="P162" s="695">
        <f t="shared" si="38"/>
        <v>-683399</v>
      </c>
      <c r="Q162" s="697">
        <f t="shared" si="39"/>
        <v>3.954477128E-3</v>
      </c>
      <c r="R162" s="694">
        <f t="shared" si="40"/>
        <v>-2.4077238360000001E-4</v>
      </c>
      <c r="S162" s="693">
        <v>0</v>
      </c>
      <c r="T162" s="695">
        <f t="shared" si="41"/>
        <v>10540836</v>
      </c>
      <c r="U162" s="695">
        <f t="shared" si="42"/>
        <v>10540836</v>
      </c>
      <c r="V162" s="693">
        <f t="shared" si="43"/>
        <v>0</v>
      </c>
      <c r="W162" s="697"/>
      <c r="X162" s="698" t="s">
        <v>195</v>
      </c>
      <c r="Y162" s="678">
        <v>0</v>
      </c>
      <c r="Z162" s="678">
        <v>6613170</v>
      </c>
      <c r="AA162" s="678">
        <v>6613170</v>
      </c>
      <c r="AB162" s="699">
        <f t="shared" si="47"/>
        <v>1.5939157771537704</v>
      </c>
      <c r="AC162" s="700"/>
      <c r="AD162" s="701"/>
    </row>
    <row r="163" spans="1:30" s="639" customFormat="1" x14ac:dyDescent="0.25">
      <c r="A163" s="639">
        <v>157</v>
      </c>
      <c r="B163" s="639">
        <f>+'_DATA STT PAGOS_'!M163</f>
        <v>8204</v>
      </c>
      <c r="C163" s="639" t="str">
        <f>+'_DATA STT PAGOS_'!O163</f>
        <v>CONTULMO</v>
      </c>
      <c r="D163" s="693">
        <f>+'_DATA STT PAGOS_'!G163</f>
        <v>0</v>
      </c>
      <c r="E163" s="693">
        <f>+'_DATA STT PAGOS_'!J163</f>
        <v>4627220.9220000003</v>
      </c>
      <c r="F163" s="694">
        <f>+COEF_FCM!AG165</f>
        <v>1.6586089373999999E-3</v>
      </c>
      <c r="G163" s="693">
        <f t="shared" si="32"/>
        <v>4707731</v>
      </c>
      <c r="H163" s="695">
        <f t="shared" si="44"/>
        <v>80510.077999999747</v>
      </c>
      <c r="I163" s="641">
        <f t="shared" si="45"/>
        <v>0</v>
      </c>
      <c r="J163" s="696">
        <f t="shared" si="46"/>
        <v>80510.077999999747</v>
      </c>
      <c r="K163" s="693">
        <f t="shared" si="33"/>
        <v>43897</v>
      </c>
      <c r="L163" s="695">
        <f t="shared" si="34"/>
        <v>36613.077999999747</v>
      </c>
      <c r="M163" s="693">
        <f t="shared" si="35"/>
        <v>4663834</v>
      </c>
      <c r="N163" s="693">
        <f t="shared" si="36"/>
        <v>0</v>
      </c>
      <c r="O163" s="695">
        <f t="shared" si="37"/>
        <v>4663834</v>
      </c>
      <c r="P163" s="695">
        <f t="shared" si="38"/>
        <v>-43897</v>
      </c>
      <c r="Q163" s="697">
        <f t="shared" si="39"/>
        <v>1.6586089373999999E-3</v>
      </c>
      <c r="R163" s="694">
        <f t="shared" si="40"/>
        <v>-1.54656143E-5</v>
      </c>
      <c r="S163" s="693">
        <v>0</v>
      </c>
      <c r="T163" s="695">
        <f t="shared" si="41"/>
        <v>4663834</v>
      </c>
      <c r="U163" s="695">
        <f t="shared" si="42"/>
        <v>4663834</v>
      </c>
      <c r="V163" s="693">
        <f t="shared" si="43"/>
        <v>0</v>
      </c>
      <c r="W163" s="697"/>
      <c r="X163" s="698" t="s">
        <v>196</v>
      </c>
      <c r="Y163" s="678">
        <v>0</v>
      </c>
      <c r="Z163" s="678">
        <v>2923975</v>
      </c>
      <c r="AA163" s="678">
        <v>2923975</v>
      </c>
      <c r="AB163" s="699">
        <f t="shared" si="47"/>
        <v>1.5950321052676579</v>
      </c>
      <c r="AC163" s="700"/>
      <c r="AD163" s="701"/>
    </row>
    <row r="164" spans="1:30" s="639" customFormat="1" x14ac:dyDescent="0.25">
      <c r="A164" s="639">
        <v>158</v>
      </c>
      <c r="B164" s="639">
        <f>+'_DATA STT PAGOS_'!M164</f>
        <v>8205</v>
      </c>
      <c r="C164" s="639" t="str">
        <f>+'_DATA STT PAGOS_'!O164</f>
        <v>CURANILAHUE</v>
      </c>
      <c r="D164" s="693">
        <f>+'_DATA STT PAGOS_'!G164</f>
        <v>0</v>
      </c>
      <c r="E164" s="693">
        <f>+'_DATA STT PAGOS_'!J164</f>
        <v>7564569.165</v>
      </c>
      <c r="F164" s="694">
        <f>+COEF_FCM!AG166</f>
        <v>2.9532465244999995E-3</v>
      </c>
      <c r="G164" s="693">
        <f t="shared" si="32"/>
        <v>8382380</v>
      </c>
      <c r="H164" s="695">
        <f t="shared" si="44"/>
        <v>817810.83499999996</v>
      </c>
      <c r="I164" s="641">
        <f t="shared" si="45"/>
        <v>0</v>
      </c>
      <c r="J164" s="696">
        <f t="shared" si="46"/>
        <v>817810.83499999996</v>
      </c>
      <c r="K164" s="693">
        <f t="shared" si="33"/>
        <v>445901</v>
      </c>
      <c r="L164" s="695">
        <f t="shared" si="34"/>
        <v>371909.83499999996</v>
      </c>
      <c r="M164" s="693">
        <f t="shared" si="35"/>
        <v>7936479</v>
      </c>
      <c r="N164" s="693">
        <f t="shared" si="36"/>
        <v>0</v>
      </c>
      <c r="O164" s="695">
        <f t="shared" si="37"/>
        <v>7936479</v>
      </c>
      <c r="P164" s="695">
        <f t="shared" si="38"/>
        <v>-445901</v>
      </c>
      <c r="Q164" s="697">
        <f t="shared" si="39"/>
        <v>2.9532465244999995E-3</v>
      </c>
      <c r="R164" s="694">
        <f t="shared" si="40"/>
        <v>-1.5709804460000001E-4</v>
      </c>
      <c r="S164" s="693">
        <v>0</v>
      </c>
      <c r="T164" s="695">
        <f t="shared" si="41"/>
        <v>7936479</v>
      </c>
      <c r="U164" s="695">
        <f t="shared" si="42"/>
        <v>7936479</v>
      </c>
      <c r="V164" s="693">
        <f t="shared" si="43"/>
        <v>0</v>
      </c>
      <c r="W164" s="697"/>
      <c r="X164" s="698" t="s">
        <v>193</v>
      </c>
      <c r="Y164" s="678">
        <v>0</v>
      </c>
      <c r="Z164" s="678">
        <v>5114046</v>
      </c>
      <c r="AA164" s="678">
        <v>5114046</v>
      </c>
      <c r="AB164" s="699">
        <f t="shared" si="47"/>
        <v>1.5518982426047792</v>
      </c>
      <c r="AC164" s="700"/>
      <c r="AD164" s="701"/>
    </row>
    <row r="165" spans="1:30" s="639" customFormat="1" x14ac:dyDescent="0.25">
      <c r="A165" s="639">
        <v>159</v>
      </c>
      <c r="B165" s="639">
        <f>+'_DATA STT PAGOS_'!M165</f>
        <v>8206</v>
      </c>
      <c r="C165" s="639" t="str">
        <f>+'_DATA STT PAGOS_'!O165</f>
        <v>LOS ÁLAMOS</v>
      </c>
      <c r="D165" s="693">
        <f>+'_DATA STT PAGOS_'!G165</f>
        <v>0</v>
      </c>
      <c r="E165" s="693">
        <f>+'_DATA STT PAGOS_'!J165</f>
        <v>5802088.1219999995</v>
      </c>
      <c r="F165" s="694">
        <f>+COEF_FCM!AG167</f>
        <v>2.3911340834999999E-3</v>
      </c>
      <c r="G165" s="693">
        <f t="shared" si="32"/>
        <v>6786902</v>
      </c>
      <c r="H165" s="695">
        <f t="shared" si="44"/>
        <v>984813.87800000049</v>
      </c>
      <c r="I165" s="641">
        <f t="shared" si="45"/>
        <v>0</v>
      </c>
      <c r="J165" s="696">
        <f t="shared" si="46"/>
        <v>984813.87800000049</v>
      </c>
      <c r="K165" s="693">
        <f t="shared" si="33"/>
        <v>536958</v>
      </c>
      <c r="L165" s="695">
        <f t="shared" si="34"/>
        <v>447855.87800000049</v>
      </c>
      <c r="M165" s="693">
        <f t="shared" si="35"/>
        <v>6249944</v>
      </c>
      <c r="N165" s="693">
        <f t="shared" si="36"/>
        <v>0</v>
      </c>
      <c r="O165" s="695">
        <f t="shared" si="37"/>
        <v>6249944</v>
      </c>
      <c r="P165" s="695">
        <f t="shared" si="38"/>
        <v>-536958</v>
      </c>
      <c r="Q165" s="697">
        <f t="shared" si="39"/>
        <v>2.3911340834999999E-3</v>
      </c>
      <c r="R165" s="694">
        <f t="shared" si="40"/>
        <v>-1.8917888019999999E-4</v>
      </c>
      <c r="S165" s="693">
        <v>0</v>
      </c>
      <c r="T165" s="695">
        <f t="shared" si="41"/>
        <v>6249944</v>
      </c>
      <c r="U165" s="695">
        <f t="shared" si="42"/>
        <v>6249944</v>
      </c>
      <c r="V165" s="693">
        <f t="shared" si="43"/>
        <v>0</v>
      </c>
      <c r="W165" s="697"/>
      <c r="X165" s="698" t="s">
        <v>30</v>
      </c>
      <c r="Y165" s="678">
        <v>0</v>
      </c>
      <c r="Z165" s="678">
        <v>3820330</v>
      </c>
      <c r="AA165" s="678">
        <v>3820330</v>
      </c>
      <c r="AB165" s="699">
        <f t="shared" si="47"/>
        <v>1.6359696675418092</v>
      </c>
      <c r="AC165" s="700"/>
      <c r="AD165" s="701"/>
    </row>
    <row r="166" spans="1:30" s="639" customFormat="1" x14ac:dyDescent="0.25">
      <c r="A166" s="639">
        <v>160</v>
      </c>
      <c r="B166" s="639">
        <f>+'_DATA STT PAGOS_'!M166</f>
        <v>8207</v>
      </c>
      <c r="C166" s="639" t="str">
        <f>+'_DATA STT PAGOS_'!O166</f>
        <v>TIRÚA</v>
      </c>
      <c r="D166" s="693">
        <f>+'_DATA STT PAGOS_'!G166</f>
        <v>0</v>
      </c>
      <c r="E166" s="693">
        <f>+'_DATA STT PAGOS_'!J166</f>
        <v>4843905.6669999994</v>
      </c>
      <c r="F166" s="694">
        <f>+COEF_FCM!AG168</f>
        <v>2.1010341002000001E-3</v>
      </c>
      <c r="G166" s="693">
        <f t="shared" si="32"/>
        <v>5963494</v>
      </c>
      <c r="H166" s="695">
        <f t="shared" si="44"/>
        <v>1119588.3330000006</v>
      </c>
      <c r="I166" s="641">
        <f t="shared" si="45"/>
        <v>0</v>
      </c>
      <c r="J166" s="696">
        <f t="shared" si="46"/>
        <v>1119588.3330000006</v>
      </c>
      <c r="K166" s="693">
        <f t="shared" si="33"/>
        <v>610442</v>
      </c>
      <c r="L166" s="695">
        <f t="shared" si="34"/>
        <v>509146.33300000057</v>
      </c>
      <c r="M166" s="693">
        <f t="shared" si="35"/>
        <v>5353052</v>
      </c>
      <c r="N166" s="693">
        <f t="shared" si="36"/>
        <v>0</v>
      </c>
      <c r="O166" s="695">
        <f t="shared" si="37"/>
        <v>5353052</v>
      </c>
      <c r="P166" s="695">
        <f t="shared" si="38"/>
        <v>-610442</v>
      </c>
      <c r="Q166" s="697">
        <f t="shared" si="39"/>
        <v>2.1010341002000001E-3</v>
      </c>
      <c r="R166" s="694">
        <f t="shared" si="40"/>
        <v>-2.1506846709999999E-4</v>
      </c>
      <c r="S166" s="693">
        <v>0</v>
      </c>
      <c r="T166" s="695">
        <f t="shared" si="41"/>
        <v>5353052</v>
      </c>
      <c r="U166" s="695">
        <f t="shared" si="42"/>
        <v>5353052</v>
      </c>
      <c r="V166" s="693">
        <f t="shared" si="43"/>
        <v>0</v>
      </c>
      <c r="W166" s="697"/>
      <c r="X166" s="698" t="s">
        <v>31</v>
      </c>
      <c r="Y166" s="678">
        <v>0</v>
      </c>
      <c r="Z166" s="678">
        <v>3305465</v>
      </c>
      <c r="AA166" s="678">
        <v>3305465</v>
      </c>
      <c r="AB166" s="699">
        <f t="shared" si="47"/>
        <v>1.6194550539787897</v>
      </c>
      <c r="AC166" s="700"/>
      <c r="AD166" s="701"/>
    </row>
    <row r="167" spans="1:30" s="639" customFormat="1" x14ac:dyDescent="0.25">
      <c r="A167" s="639">
        <v>161</v>
      </c>
      <c r="B167" s="639">
        <f>+'_DATA STT PAGOS_'!M167</f>
        <v>8301</v>
      </c>
      <c r="C167" s="639" t="str">
        <f>+'_DATA STT PAGOS_'!O167</f>
        <v>LOS ÁNGELES</v>
      </c>
      <c r="D167" s="693">
        <f>+'_DATA STT PAGOS_'!G167</f>
        <v>0</v>
      </c>
      <c r="E167" s="693">
        <f>+'_DATA STT PAGOS_'!J167</f>
        <v>29951667.398000002</v>
      </c>
      <c r="F167" s="694">
        <f>+COEF_FCM!AG169</f>
        <v>1.25853502273E-2</v>
      </c>
      <c r="G167" s="693">
        <f t="shared" si="32"/>
        <v>35721770</v>
      </c>
      <c r="H167" s="695">
        <f t="shared" si="44"/>
        <v>5770102.6019999981</v>
      </c>
      <c r="I167" s="641">
        <f t="shared" si="45"/>
        <v>0</v>
      </c>
      <c r="J167" s="696">
        <f t="shared" si="46"/>
        <v>5770102.6019999981</v>
      </c>
      <c r="K167" s="693">
        <f t="shared" si="33"/>
        <v>3146079</v>
      </c>
      <c r="L167" s="695">
        <f t="shared" si="34"/>
        <v>2624023.6019999981</v>
      </c>
      <c r="M167" s="693">
        <f t="shared" si="35"/>
        <v>32575691</v>
      </c>
      <c r="N167" s="693">
        <f t="shared" si="36"/>
        <v>0</v>
      </c>
      <c r="O167" s="695">
        <f t="shared" si="37"/>
        <v>32575691</v>
      </c>
      <c r="P167" s="695">
        <f t="shared" si="38"/>
        <v>-3146079</v>
      </c>
      <c r="Q167" s="697">
        <f t="shared" si="39"/>
        <v>1.25853502273E-2</v>
      </c>
      <c r="R167" s="694">
        <f t="shared" si="40"/>
        <v>-1.1084138837999999E-3</v>
      </c>
      <c r="S167" s="693">
        <v>0</v>
      </c>
      <c r="T167" s="695">
        <f t="shared" si="41"/>
        <v>32575691</v>
      </c>
      <c r="U167" s="695">
        <f t="shared" si="42"/>
        <v>32575691</v>
      </c>
      <c r="V167" s="693">
        <f t="shared" si="43"/>
        <v>0</v>
      </c>
      <c r="W167" s="697"/>
      <c r="X167" s="698" t="s">
        <v>32</v>
      </c>
      <c r="Y167" s="678">
        <v>0</v>
      </c>
      <c r="Z167" s="678">
        <v>19159163</v>
      </c>
      <c r="AA167" s="678">
        <v>19159163</v>
      </c>
      <c r="AB167" s="699">
        <f t="shared" si="47"/>
        <v>1.700266916670629</v>
      </c>
      <c r="AC167" s="700"/>
      <c r="AD167" s="701"/>
    </row>
    <row r="168" spans="1:30" s="639" customFormat="1" x14ac:dyDescent="0.25">
      <c r="A168" s="639">
        <v>162</v>
      </c>
      <c r="B168" s="639">
        <f>+'_DATA STT PAGOS_'!M168</f>
        <v>8302</v>
      </c>
      <c r="C168" s="639" t="str">
        <f>+'_DATA STT PAGOS_'!O168</f>
        <v>ANTUCO</v>
      </c>
      <c r="D168" s="693">
        <f>+'_DATA STT PAGOS_'!G168</f>
        <v>0</v>
      </c>
      <c r="E168" s="693">
        <f>+'_DATA STT PAGOS_'!J168</f>
        <v>4561602.5260000005</v>
      </c>
      <c r="F168" s="694">
        <f>+COEF_FCM!AG170</f>
        <v>1.3668074751E-3</v>
      </c>
      <c r="G168" s="693">
        <f t="shared" si="32"/>
        <v>3879493</v>
      </c>
      <c r="H168" s="695">
        <f t="shared" si="44"/>
        <v>-682109.52600000054</v>
      </c>
      <c r="I168" s="641">
        <f t="shared" si="45"/>
        <v>-682110</v>
      </c>
      <c r="J168" s="696">
        <f t="shared" si="46"/>
        <v>0</v>
      </c>
      <c r="K168" s="693">
        <f t="shared" si="33"/>
        <v>0</v>
      </c>
      <c r="L168" s="695">
        <f t="shared" si="34"/>
        <v>0</v>
      </c>
      <c r="M168" s="693">
        <f t="shared" si="35"/>
        <v>0</v>
      </c>
      <c r="N168" s="693">
        <f t="shared" si="36"/>
        <v>4561603</v>
      </c>
      <c r="O168" s="695">
        <f t="shared" si="37"/>
        <v>4561603</v>
      </c>
      <c r="P168" s="695">
        <f t="shared" si="38"/>
        <v>682110</v>
      </c>
      <c r="Q168" s="697">
        <f t="shared" si="39"/>
        <v>1.3668074751E-3</v>
      </c>
      <c r="R168" s="694">
        <f t="shared" si="40"/>
        <v>2.403182483E-4</v>
      </c>
      <c r="S168" s="693">
        <v>0</v>
      </c>
      <c r="T168" s="695">
        <f t="shared" si="41"/>
        <v>4561603</v>
      </c>
      <c r="U168" s="695">
        <f t="shared" si="42"/>
        <v>4561603</v>
      </c>
      <c r="V168" s="693">
        <f t="shared" si="43"/>
        <v>682110</v>
      </c>
      <c r="W168" s="697"/>
      <c r="X168" s="698" t="s">
        <v>206</v>
      </c>
      <c r="Y168" s="678">
        <v>0</v>
      </c>
      <c r="Z168" s="678">
        <v>2716095</v>
      </c>
      <c r="AA168" s="678">
        <v>2716095</v>
      </c>
      <c r="AB168" s="699">
        <f t="shared" si="47"/>
        <v>1.6794710788834706</v>
      </c>
      <c r="AC168" s="700"/>
      <c r="AD168" s="701"/>
    </row>
    <row r="169" spans="1:30" s="639" customFormat="1" x14ac:dyDescent="0.25">
      <c r="A169" s="639">
        <v>163</v>
      </c>
      <c r="B169" s="639">
        <f>+'_DATA STT PAGOS_'!M169</f>
        <v>8303</v>
      </c>
      <c r="C169" s="639" t="str">
        <f>+'_DATA STT PAGOS_'!O169</f>
        <v>CABRERO</v>
      </c>
      <c r="D169" s="693">
        <f>+'_DATA STT PAGOS_'!G169</f>
        <v>0</v>
      </c>
      <c r="E169" s="693">
        <f>+'_DATA STT PAGOS_'!J169</f>
        <v>9996113.5669999998</v>
      </c>
      <c r="F169" s="694">
        <f>+COEF_FCM!AG171</f>
        <v>3.7180747424E-3</v>
      </c>
      <c r="G169" s="693">
        <f t="shared" si="32"/>
        <v>10553239</v>
      </c>
      <c r="H169" s="695">
        <f t="shared" si="44"/>
        <v>557125.43300000019</v>
      </c>
      <c r="I169" s="641">
        <f t="shared" si="45"/>
        <v>0</v>
      </c>
      <c r="J169" s="696">
        <f t="shared" si="46"/>
        <v>557125.43300000019</v>
      </c>
      <c r="K169" s="693">
        <f t="shared" si="33"/>
        <v>303766</v>
      </c>
      <c r="L169" s="695">
        <f t="shared" si="34"/>
        <v>253359.43300000019</v>
      </c>
      <c r="M169" s="693">
        <f t="shared" si="35"/>
        <v>10249473</v>
      </c>
      <c r="N169" s="693">
        <f t="shared" si="36"/>
        <v>0</v>
      </c>
      <c r="O169" s="695">
        <f t="shared" si="37"/>
        <v>10249473</v>
      </c>
      <c r="P169" s="695">
        <f t="shared" si="38"/>
        <v>-303766</v>
      </c>
      <c r="Q169" s="697">
        <f t="shared" si="39"/>
        <v>3.7180747424E-3</v>
      </c>
      <c r="R169" s="694">
        <f t="shared" si="40"/>
        <v>-1.0702161379999999E-4</v>
      </c>
      <c r="S169" s="693">
        <v>0</v>
      </c>
      <c r="T169" s="695">
        <f t="shared" si="41"/>
        <v>10249473</v>
      </c>
      <c r="U169" s="695">
        <f t="shared" si="42"/>
        <v>10249473</v>
      </c>
      <c r="V169" s="693">
        <f t="shared" si="43"/>
        <v>0</v>
      </c>
      <c r="W169" s="697"/>
      <c r="X169" s="698" t="s">
        <v>203</v>
      </c>
      <c r="Y169" s="678">
        <v>0</v>
      </c>
      <c r="Z169" s="678">
        <v>6256282</v>
      </c>
      <c r="AA169" s="678">
        <v>6256282</v>
      </c>
      <c r="AB169" s="699">
        <f t="shared" si="47"/>
        <v>1.6382690230395625</v>
      </c>
      <c r="AC169" s="700"/>
      <c r="AD169" s="701"/>
    </row>
    <row r="170" spans="1:30" s="639" customFormat="1" x14ac:dyDescent="0.25">
      <c r="A170" s="639">
        <v>164</v>
      </c>
      <c r="B170" s="639">
        <f>+'_DATA STT PAGOS_'!M170</f>
        <v>8304</v>
      </c>
      <c r="C170" s="639" t="str">
        <f>+'_DATA STT PAGOS_'!O170</f>
        <v>LAJA</v>
      </c>
      <c r="D170" s="693">
        <f>+'_DATA STT PAGOS_'!G170</f>
        <v>0</v>
      </c>
      <c r="E170" s="693">
        <f>+'_DATA STT PAGOS_'!J170</f>
        <v>6513451.2690000003</v>
      </c>
      <c r="F170" s="694">
        <f>+COEF_FCM!AG172</f>
        <v>2.6795338677E-3</v>
      </c>
      <c r="G170" s="693">
        <f t="shared" si="32"/>
        <v>7605485</v>
      </c>
      <c r="H170" s="695">
        <f t="shared" si="44"/>
        <v>1092033.7309999997</v>
      </c>
      <c r="I170" s="641">
        <f t="shared" si="45"/>
        <v>0</v>
      </c>
      <c r="J170" s="696">
        <f t="shared" si="46"/>
        <v>1092033.7309999997</v>
      </c>
      <c r="K170" s="693">
        <f t="shared" si="33"/>
        <v>595418</v>
      </c>
      <c r="L170" s="695">
        <f t="shared" si="34"/>
        <v>496615.73099999968</v>
      </c>
      <c r="M170" s="693">
        <f t="shared" si="35"/>
        <v>7010067</v>
      </c>
      <c r="N170" s="693">
        <f t="shared" si="36"/>
        <v>0</v>
      </c>
      <c r="O170" s="695">
        <f t="shared" si="37"/>
        <v>7010067</v>
      </c>
      <c r="P170" s="695">
        <f t="shared" si="38"/>
        <v>-595418</v>
      </c>
      <c r="Q170" s="697">
        <f t="shared" si="39"/>
        <v>2.6795338677E-3</v>
      </c>
      <c r="R170" s="694">
        <f t="shared" si="40"/>
        <v>-2.0977527199999999E-4</v>
      </c>
      <c r="S170" s="693">
        <v>0</v>
      </c>
      <c r="T170" s="695">
        <f t="shared" si="41"/>
        <v>7010067</v>
      </c>
      <c r="U170" s="695">
        <f t="shared" si="42"/>
        <v>7010067</v>
      </c>
      <c r="V170" s="693">
        <f t="shared" si="43"/>
        <v>0</v>
      </c>
      <c r="W170" s="697"/>
      <c r="X170" s="698" t="s">
        <v>197</v>
      </c>
      <c r="Y170" s="678">
        <v>0</v>
      </c>
      <c r="Z170" s="678">
        <v>4300641</v>
      </c>
      <c r="AA170" s="678">
        <v>4300641</v>
      </c>
      <c r="AB170" s="699">
        <f t="shared" si="47"/>
        <v>1.6300051550454921</v>
      </c>
      <c r="AC170" s="700"/>
      <c r="AD170" s="701"/>
    </row>
    <row r="171" spans="1:30" s="639" customFormat="1" x14ac:dyDescent="0.25">
      <c r="A171" s="639">
        <v>165</v>
      </c>
      <c r="B171" s="639">
        <f>+'_DATA STT PAGOS_'!M171</f>
        <v>8305</v>
      </c>
      <c r="C171" s="639" t="str">
        <f>+'_DATA STT PAGOS_'!O171</f>
        <v>MULCHÉN</v>
      </c>
      <c r="D171" s="693">
        <f>+'_DATA STT PAGOS_'!G171</f>
        <v>0</v>
      </c>
      <c r="E171" s="693">
        <f>+'_DATA STT PAGOS_'!J171</f>
        <v>5491839.6009999998</v>
      </c>
      <c r="F171" s="694">
        <f>+COEF_FCM!AG173</f>
        <v>1.9041084119999999E-3</v>
      </c>
      <c r="G171" s="693">
        <f t="shared" si="32"/>
        <v>5404547</v>
      </c>
      <c r="H171" s="695">
        <f t="shared" si="44"/>
        <v>-87292.600999999791</v>
      </c>
      <c r="I171" s="641">
        <f t="shared" si="45"/>
        <v>-87293</v>
      </c>
      <c r="J171" s="696">
        <f t="shared" si="46"/>
        <v>0</v>
      </c>
      <c r="K171" s="693">
        <f t="shared" si="33"/>
        <v>0</v>
      </c>
      <c r="L171" s="695">
        <f t="shared" si="34"/>
        <v>0</v>
      </c>
      <c r="M171" s="693">
        <f t="shared" si="35"/>
        <v>0</v>
      </c>
      <c r="N171" s="693">
        <f t="shared" si="36"/>
        <v>5491840</v>
      </c>
      <c r="O171" s="695">
        <f t="shared" si="37"/>
        <v>5491840</v>
      </c>
      <c r="P171" s="695">
        <f t="shared" si="38"/>
        <v>87293</v>
      </c>
      <c r="Q171" s="697">
        <f t="shared" si="39"/>
        <v>1.9041084119999999E-3</v>
      </c>
      <c r="R171" s="694">
        <f t="shared" si="40"/>
        <v>3.0754718199999998E-5</v>
      </c>
      <c r="S171" s="693">
        <v>0</v>
      </c>
      <c r="T171" s="695">
        <f t="shared" si="41"/>
        <v>5491840</v>
      </c>
      <c r="U171" s="695">
        <f t="shared" si="42"/>
        <v>5491840</v>
      </c>
      <c r="V171" s="693">
        <f t="shared" si="43"/>
        <v>87293</v>
      </c>
      <c r="W171" s="697"/>
      <c r="X171" s="698" t="s">
        <v>398</v>
      </c>
      <c r="Y171" s="678">
        <v>0</v>
      </c>
      <c r="Z171" s="678">
        <v>4302487</v>
      </c>
      <c r="AA171" s="678">
        <v>4302487</v>
      </c>
      <c r="AB171" s="699">
        <f t="shared" si="47"/>
        <v>1.2764338393120072</v>
      </c>
      <c r="AC171" s="700"/>
      <c r="AD171" s="701"/>
    </row>
    <row r="172" spans="1:30" s="639" customFormat="1" x14ac:dyDescent="0.25">
      <c r="A172" s="639">
        <v>166</v>
      </c>
      <c r="B172" s="639">
        <f>+'_DATA STT PAGOS_'!M172</f>
        <v>8306</v>
      </c>
      <c r="C172" s="639" t="str">
        <f>+'_DATA STT PAGOS_'!O172</f>
        <v>NACIMIENTO</v>
      </c>
      <c r="D172" s="693">
        <f>+'_DATA STT PAGOS_'!G172</f>
        <v>0</v>
      </c>
      <c r="E172" s="693">
        <f>+'_DATA STT PAGOS_'!J172</f>
        <v>6088613.6359999999</v>
      </c>
      <c r="F172" s="694">
        <f>+COEF_FCM!AG174</f>
        <v>2.6372971153999997E-3</v>
      </c>
      <c r="G172" s="693">
        <f t="shared" si="32"/>
        <v>7485602</v>
      </c>
      <c r="H172" s="695">
        <f t="shared" si="44"/>
        <v>1396988.3640000001</v>
      </c>
      <c r="I172" s="641">
        <f t="shared" si="45"/>
        <v>0</v>
      </c>
      <c r="J172" s="696">
        <f t="shared" si="46"/>
        <v>1396988.3640000001</v>
      </c>
      <c r="K172" s="693">
        <f t="shared" si="33"/>
        <v>761691</v>
      </c>
      <c r="L172" s="695">
        <f t="shared" si="34"/>
        <v>635297.36400000006</v>
      </c>
      <c r="M172" s="693">
        <f t="shared" si="35"/>
        <v>6723911</v>
      </c>
      <c r="N172" s="693">
        <f t="shared" si="36"/>
        <v>0</v>
      </c>
      <c r="O172" s="695">
        <f t="shared" si="37"/>
        <v>6723911</v>
      </c>
      <c r="P172" s="695">
        <f t="shared" si="38"/>
        <v>-761691</v>
      </c>
      <c r="Q172" s="697">
        <f t="shared" si="39"/>
        <v>2.6372971153999997E-3</v>
      </c>
      <c r="R172" s="694">
        <f t="shared" si="40"/>
        <v>-2.6835590569999998E-4</v>
      </c>
      <c r="S172" s="693">
        <v>0</v>
      </c>
      <c r="T172" s="695">
        <f t="shared" si="41"/>
        <v>6723911</v>
      </c>
      <c r="U172" s="695">
        <f t="shared" si="42"/>
        <v>6723911</v>
      </c>
      <c r="V172" s="693">
        <f t="shared" si="43"/>
        <v>0</v>
      </c>
      <c r="W172" s="697"/>
      <c r="X172" s="698" t="s">
        <v>199</v>
      </c>
      <c r="Y172" s="678">
        <v>0</v>
      </c>
      <c r="Z172" s="678">
        <v>3857921</v>
      </c>
      <c r="AA172" s="678">
        <v>3857921</v>
      </c>
      <c r="AB172" s="699">
        <f t="shared" si="47"/>
        <v>1.7428845743601282</v>
      </c>
      <c r="AC172" s="700"/>
      <c r="AD172" s="701"/>
    </row>
    <row r="173" spans="1:30" s="639" customFormat="1" x14ac:dyDescent="0.25">
      <c r="A173" s="639">
        <v>167</v>
      </c>
      <c r="B173" s="639">
        <f>+'_DATA STT PAGOS_'!M173</f>
        <v>8307</v>
      </c>
      <c r="C173" s="639" t="str">
        <f>+'_DATA STT PAGOS_'!O173</f>
        <v>NEGRETE</v>
      </c>
      <c r="D173" s="693">
        <f>+'_DATA STT PAGOS_'!G173</f>
        <v>0</v>
      </c>
      <c r="E173" s="693">
        <f>+'_DATA STT PAGOS_'!J173</f>
        <v>3352083.1129999999</v>
      </c>
      <c r="F173" s="694">
        <f>+COEF_FCM!AG175</f>
        <v>1.4121244970999999E-3</v>
      </c>
      <c r="G173" s="693">
        <f t="shared" si="32"/>
        <v>4008119</v>
      </c>
      <c r="H173" s="695">
        <f t="shared" si="44"/>
        <v>656035.8870000001</v>
      </c>
      <c r="I173" s="641">
        <f t="shared" si="45"/>
        <v>0</v>
      </c>
      <c r="J173" s="696">
        <f t="shared" si="46"/>
        <v>656035.8870000001</v>
      </c>
      <c r="K173" s="693">
        <f t="shared" si="33"/>
        <v>357696</v>
      </c>
      <c r="L173" s="695">
        <f t="shared" si="34"/>
        <v>298339.8870000001</v>
      </c>
      <c r="M173" s="693">
        <f t="shared" si="35"/>
        <v>3650423</v>
      </c>
      <c r="N173" s="693">
        <f t="shared" si="36"/>
        <v>0</v>
      </c>
      <c r="O173" s="695">
        <f t="shared" si="37"/>
        <v>3650423</v>
      </c>
      <c r="P173" s="695">
        <f t="shared" si="38"/>
        <v>-357696</v>
      </c>
      <c r="Q173" s="697">
        <f t="shared" si="39"/>
        <v>1.4121244970999999E-3</v>
      </c>
      <c r="R173" s="694">
        <f t="shared" si="40"/>
        <v>-1.260220142E-4</v>
      </c>
      <c r="S173" s="693">
        <v>0</v>
      </c>
      <c r="T173" s="695">
        <f t="shared" si="41"/>
        <v>3650423</v>
      </c>
      <c r="U173" s="695">
        <f t="shared" si="42"/>
        <v>3650423</v>
      </c>
      <c r="V173" s="693">
        <f t="shared" si="43"/>
        <v>0</v>
      </c>
      <c r="W173" s="697"/>
      <c r="X173" s="698" t="s">
        <v>200</v>
      </c>
      <c r="Y173" s="678">
        <v>0</v>
      </c>
      <c r="Z173" s="678">
        <v>2251290</v>
      </c>
      <c r="AA173" s="678">
        <v>2251290</v>
      </c>
      <c r="AB173" s="699">
        <f t="shared" si="47"/>
        <v>1.6214805733601625</v>
      </c>
      <c r="AC173" s="700"/>
      <c r="AD173" s="701"/>
    </row>
    <row r="174" spans="1:30" s="639" customFormat="1" x14ac:dyDescent="0.25">
      <c r="A174" s="639">
        <v>168</v>
      </c>
      <c r="B174" s="639">
        <f>+'_DATA STT PAGOS_'!M174</f>
        <v>8308</v>
      </c>
      <c r="C174" s="639" t="str">
        <f>+'_DATA STT PAGOS_'!O174</f>
        <v>QUILACO</v>
      </c>
      <c r="D174" s="693">
        <f>+'_DATA STT PAGOS_'!G174</f>
        <v>0</v>
      </c>
      <c r="E174" s="693">
        <f>+'_DATA STT PAGOS_'!J174</f>
        <v>2348109.1690000002</v>
      </c>
      <c r="F174" s="694">
        <f>+COEF_FCM!AG176</f>
        <v>9.058392305999999E-4</v>
      </c>
      <c r="G174" s="693">
        <f t="shared" si="32"/>
        <v>2571099</v>
      </c>
      <c r="H174" s="695">
        <f t="shared" si="44"/>
        <v>222989.83099999977</v>
      </c>
      <c r="I174" s="641">
        <f t="shared" si="45"/>
        <v>0</v>
      </c>
      <c r="J174" s="696">
        <f t="shared" si="46"/>
        <v>222989.83099999977</v>
      </c>
      <c r="K174" s="693">
        <f t="shared" si="33"/>
        <v>121583</v>
      </c>
      <c r="L174" s="695">
        <f t="shared" si="34"/>
        <v>101406.83099999977</v>
      </c>
      <c r="M174" s="693">
        <f t="shared" si="35"/>
        <v>2449516</v>
      </c>
      <c r="N174" s="693">
        <f t="shared" si="36"/>
        <v>0</v>
      </c>
      <c r="O174" s="695">
        <f t="shared" si="37"/>
        <v>2449516</v>
      </c>
      <c r="P174" s="695">
        <f t="shared" si="38"/>
        <v>-121583</v>
      </c>
      <c r="Q174" s="697">
        <f t="shared" si="39"/>
        <v>9.058392305999999E-4</v>
      </c>
      <c r="R174" s="694">
        <f t="shared" si="40"/>
        <v>-4.2835632899999999E-5</v>
      </c>
      <c r="S174" s="693">
        <v>0</v>
      </c>
      <c r="T174" s="695">
        <f t="shared" si="41"/>
        <v>2449516</v>
      </c>
      <c r="U174" s="695">
        <f t="shared" si="42"/>
        <v>2449516</v>
      </c>
      <c r="V174" s="693">
        <f t="shared" si="43"/>
        <v>0</v>
      </c>
      <c r="W174" s="697"/>
      <c r="X174" s="698" t="s">
        <v>201</v>
      </c>
      <c r="Y174" s="678">
        <v>0</v>
      </c>
      <c r="Z174" s="678">
        <v>1584554</v>
      </c>
      <c r="AA174" s="678">
        <v>1584554</v>
      </c>
      <c r="AB174" s="699">
        <f t="shared" si="47"/>
        <v>1.5458709516999736</v>
      </c>
      <c r="AC174" s="700"/>
      <c r="AD174" s="701"/>
    </row>
    <row r="175" spans="1:30" s="639" customFormat="1" x14ac:dyDescent="0.25">
      <c r="A175" s="639">
        <v>169</v>
      </c>
      <c r="B175" s="639">
        <f>+'_DATA STT PAGOS_'!M175</f>
        <v>8309</v>
      </c>
      <c r="C175" s="639" t="str">
        <f>+'_DATA STT PAGOS_'!O175</f>
        <v>QUILLECO</v>
      </c>
      <c r="D175" s="693">
        <f>+'_DATA STT PAGOS_'!G175</f>
        <v>0</v>
      </c>
      <c r="E175" s="693">
        <f>+'_DATA STT PAGOS_'!J175</f>
        <v>3277657.3369999998</v>
      </c>
      <c r="F175" s="694">
        <f>+COEF_FCM!AG177</f>
        <v>1.1970073828E-3</v>
      </c>
      <c r="G175" s="693">
        <f t="shared" si="32"/>
        <v>3397539</v>
      </c>
      <c r="H175" s="695">
        <f t="shared" si="44"/>
        <v>119881.66300000018</v>
      </c>
      <c r="I175" s="641">
        <f t="shared" si="45"/>
        <v>0</v>
      </c>
      <c r="J175" s="696">
        <f t="shared" si="46"/>
        <v>119881.66300000018</v>
      </c>
      <c r="K175" s="693">
        <f t="shared" si="33"/>
        <v>65364</v>
      </c>
      <c r="L175" s="695">
        <f t="shared" si="34"/>
        <v>54517.663000000175</v>
      </c>
      <c r="M175" s="693">
        <f t="shared" si="35"/>
        <v>3332175</v>
      </c>
      <c r="N175" s="693">
        <f t="shared" si="36"/>
        <v>0</v>
      </c>
      <c r="O175" s="695">
        <f t="shared" si="37"/>
        <v>3332175</v>
      </c>
      <c r="P175" s="695">
        <f t="shared" si="38"/>
        <v>-65364</v>
      </c>
      <c r="Q175" s="697">
        <f t="shared" si="39"/>
        <v>1.1970073828E-3</v>
      </c>
      <c r="R175" s="694">
        <f t="shared" si="40"/>
        <v>-2.3028781300000002E-5</v>
      </c>
      <c r="S175" s="693">
        <v>0</v>
      </c>
      <c r="T175" s="695">
        <f t="shared" si="41"/>
        <v>3332175</v>
      </c>
      <c r="U175" s="695">
        <f t="shared" si="42"/>
        <v>3332175</v>
      </c>
      <c r="V175" s="693">
        <f t="shared" si="43"/>
        <v>0</v>
      </c>
      <c r="W175" s="697"/>
      <c r="X175" s="698" t="s">
        <v>198</v>
      </c>
      <c r="Y175" s="678">
        <v>0</v>
      </c>
      <c r="Z175" s="678">
        <v>2304781</v>
      </c>
      <c r="AA175" s="678">
        <v>2304781</v>
      </c>
      <c r="AB175" s="699">
        <f t="shared" si="47"/>
        <v>1.4457664307368032</v>
      </c>
      <c r="AC175" s="700"/>
      <c r="AD175" s="701"/>
    </row>
    <row r="176" spans="1:30" s="639" customFormat="1" x14ac:dyDescent="0.25">
      <c r="A176" s="639">
        <v>170</v>
      </c>
      <c r="B176" s="639">
        <f>+'_DATA STT PAGOS_'!M176</f>
        <v>8310</v>
      </c>
      <c r="C176" s="639" t="str">
        <f>+'_DATA STT PAGOS_'!O176</f>
        <v>SAN ROSENDO</v>
      </c>
      <c r="D176" s="693">
        <f>+'_DATA STT PAGOS_'!G176</f>
        <v>0</v>
      </c>
      <c r="E176" s="693">
        <f>+'_DATA STT PAGOS_'!J176</f>
        <v>2956133.5700000003</v>
      </c>
      <c r="F176" s="694">
        <f>+COEF_FCM!AG178</f>
        <v>1.0484229606E-3</v>
      </c>
      <c r="G176" s="693">
        <f t="shared" si="32"/>
        <v>2975803</v>
      </c>
      <c r="H176" s="695">
        <f t="shared" si="44"/>
        <v>19669.429999999702</v>
      </c>
      <c r="I176" s="641">
        <f t="shared" si="45"/>
        <v>0</v>
      </c>
      <c r="J176" s="696">
        <f t="shared" si="46"/>
        <v>19669.429999999702</v>
      </c>
      <c r="K176" s="693">
        <f t="shared" si="33"/>
        <v>10725</v>
      </c>
      <c r="L176" s="695">
        <f t="shared" si="34"/>
        <v>8944.429999999702</v>
      </c>
      <c r="M176" s="693">
        <f t="shared" si="35"/>
        <v>2965078</v>
      </c>
      <c r="N176" s="693">
        <f t="shared" si="36"/>
        <v>0</v>
      </c>
      <c r="O176" s="695">
        <f t="shared" si="37"/>
        <v>2965078</v>
      </c>
      <c r="P176" s="695">
        <f t="shared" si="38"/>
        <v>-10725</v>
      </c>
      <c r="Q176" s="697">
        <f t="shared" si="39"/>
        <v>1.0484229606E-3</v>
      </c>
      <c r="R176" s="694">
        <f t="shared" si="40"/>
        <v>-3.7785888000000002E-6</v>
      </c>
      <c r="S176" s="693">
        <v>0</v>
      </c>
      <c r="T176" s="695">
        <f t="shared" si="41"/>
        <v>2965078</v>
      </c>
      <c r="U176" s="695">
        <f t="shared" si="42"/>
        <v>2965078</v>
      </c>
      <c r="V176" s="693">
        <f t="shared" si="43"/>
        <v>0</v>
      </c>
      <c r="W176" s="697"/>
      <c r="X176" s="698" t="s">
        <v>204</v>
      </c>
      <c r="Y176" s="678">
        <v>0</v>
      </c>
      <c r="Z176" s="678">
        <v>2008318</v>
      </c>
      <c r="AA176" s="678">
        <v>2008318</v>
      </c>
      <c r="AB176" s="699">
        <f t="shared" si="47"/>
        <v>1.4763986579814552</v>
      </c>
      <c r="AC176" s="700"/>
      <c r="AD176" s="701"/>
    </row>
    <row r="177" spans="1:30" s="639" customFormat="1" x14ac:dyDescent="0.25">
      <c r="A177" s="639">
        <v>171</v>
      </c>
      <c r="B177" s="639">
        <f>+'_DATA STT PAGOS_'!M177</f>
        <v>8311</v>
      </c>
      <c r="C177" s="639" t="str">
        <f>+'_DATA STT PAGOS_'!O177</f>
        <v>SANTA BÁRBARA</v>
      </c>
      <c r="D177" s="693">
        <f>+'_DATA STT PAGOS_'!G177</f>
        <v>0</v>
      </c>
      <c r="E177" s="693">
        <f>+'_DATA STT PAGOS_'!J177</f>
        <v>3577774.6529999999</v>
      </c>
      <c r="F177" s="694">
        <f>+COEF_FCM!AG179</f>
        <v>1.3357340684E-3</v>
      </c>
      <c r="G177" s="693">
        <f t="shared" si="32"/>
        <v>3791296</v>
      </c>
      <c r="H177" s="695">
        <f t="shared" si="44"/>
        <v>213521.34700000007</v>
      </c>
      <c r="I177" s="641">
        <f t="shared" si="45"/>
        <v>0</v>
      </c>
      <c r="J177" s="696">
        <f t="shared" si="46"/>
        <v>213521.34700000007</v>
      </c>
      <c r="K177" s="693">
        <f t="shared" si="33"/>
        <v>116420</v>
      </c>
      <c r="L177" s="695">
        <f t="shared" si="34"/>
        <v>97101.347000000067</v>
      </c>
      <c r="M177" s="693">
        <f t="shared" si="35"/>
        <v>3674876</v>
      </c>
      <c r="N177" s="693">
        <f t="shared" si="36"/>
        <v>0</v>
      </c>
      <c r="O177" s="695">
        <f t="shared" si="37"/>
        <v>3674876</v>
      </c>
      <c r="P177" s="695">
        <f t="shared" si="38"/>
        <v>-116420</v>
      </c>
      <c r="Q177" s="697">
        <f t="shared" si="39"/>
        <v>1.3357340684E-3</v>
      </c>
      <c r="R177" s="694">
        <f t="shared" si="40"/>
        <v>-4.1016625600000001E-5</v>
      </c>
      <c r="S177" s="693">
        <v>0</v>
      </c>
      <c r="T177" s="695">
        <f t="shared" si="41"/>
        <v>3674876</v>
      </c>
      <c r="U177" s="695">
        <f t="shared" si="42"/>
        <v>3674876</v>
      </c>
      <c r="V177" s="693">
        <f t="shared" si="43"/>
        <v>0</v>
      </c>
      <c r="W177" s="697"/>
      <c r="X177" s="698" t="s">
        <v>399</v>
      </c>
      <c r="Y177" s="678">
        <v>0</v>
      </c>
      <c r="Z177" s="678">
        <v>2516381</v>
      </c>
      <c r="AA177" s="678">
        <v>2516381</v>
      </c>
      <c r="AB177" s="699">
        <f t="shared" si="47"/>
        <v>1.460381396934725</v>
      </c>
      <c r="AC177" s="700"/>
      <c r="AD177" s="701"/>
    </row>
    <row r="178" spans="1:30" s="639" customFormat="1" x14ac:dyDescent="0.25">
      <c r="A178" s="639">
        <v>172</v>
      </c>
      <c r="B178" s="639">
        <f>+'_DATA STT PAGOS_'!M178</f>
        <v>8312</v>
      </c>
      <c r="C178" s="639" t="str">
        <f>+'_DATA STT PAGOS_'!O178</f>
        <v>TUCAPEL</v>
      </c>
      <c r="D178" s="693">
        <f>+'_DATA STT PAGOS_'!G178</f>
        <v>0</v>
      </c>
      <c r="E178" s="693">
        <f>+'_DATA STT PAGOS_'!J178</f>
        <v>4711206.0580000002</v>
      </c>
      <c r="F178" s="694">
        <f>+COEF_FCM!AG180</f>
        <v>2.081820409E-3</v>
      </c>
      <c r="G178" s="693">
        <f t="shared" si="32"/>
        <v>5908958</v>
      </c>
      <c r="H178" s="695">
        <f t="shared" si="44"/>
        <v>1197751.9419999998</v>
      </c>
      <c r="I178" s="641">
        <f t="shared" si="45"/>
        <v>0</v>
      </c>
      <c r="J178" s="696">
        <f t="shared" si="46"/>
        <v>1197751.9419999998</v>
      </c>
      <c r="K178" s="693">
        <f t="shared" si="33"/>
        <v>653060</v>
      </c>
      <c r="L178" s="695">
        <f t="shared" si="34"/>
        <v>544691.94199999981</v>
      </c>
      <c r="M178" s="693">
        <f t="shared" si="35"/>
        <v>5255898</v>
      </c>
      <c r="N178" s="693">
        <f t="shared" si="36"/>
        <v>0</v>
      </c>
      <c r="O178" s="695">
        <f t="shared" si="37"/>
        <v>5255898</v>
      </c>
      <c r="P178" s="695">
        <f t="shared" si="38"/>
        <v>-653060</v>
      </c>
      <c r="Q178" s="697">
        <f t="shared" si="39"/>
        <v>2.081820409E-3</v>
      </c>
      <c r="R178" s="694">
        <f t="shared" si="40"/>
        <v>-2.300834693E-4</v>
      </c>
      <c r="S178" s="693">
        <v>0</v>
      </c>
      <c r="T178" s="695">
        <f t="shared" si="41"/>
        <v>5255898</v>
      </c>
      <c r="U178" s="695">
        <f t="shared" si="42"/>
        <v>5255898</v>
      </c>
      <c r="V178" s="693">
        <f t="shared" si="43"/>
        <v>0</v>
      </c>
      <c r="W178" s="697"/>
      <c r="X178" s="698" t="s">
        <v>205</v>
      </c>
      <c r="Y178" s="678">
        <v>0</v>
      </c>
      <c r="Z178" s="678">
        <v>2901105</v>
      </c>
      <c r="AA178" s="678">
        <v>2901105</v>
      </c>
      <c r="AB178" s="699">
        <f t="shared" si="47"/>
        <v>1.8116883049734498</v>
      </c>
      <c r="AC178" s="700"/>
      <c r="AD178" s="701"/>
    </row>
    <row r="179" spans="1:30" s="639" customFormat="1" x14ac:dyDescent="0.25">
      <c r="A179" s="639">
        <v>173</v>
      </c>
      <c r="B179" s="639">
        <f>+'_DATA STT PAGOS_'!M179</f>
        <v>8313</v>
      </c>
      <c r="C179" s="639" t="str">
        <f>+'_DATA STT PAGOS_'!O179</f>
        <v>YUMBEL</v>
      </c>
      <c r="D179" s="693">
        <f>+'_DATA STT PAGOS_'!G179</f>
        <v>0</v>
      </c>
      <c r="E179" s="693">
        <f>+'_DATA STT PAGOS_'!J179</f>
        <v>9239145.5779999997</v>
      </c>
      <c r="F179" s="694">
        <f>+COEF_FCM!AG181</f>
        <v>4.3441790906999997E-3</v>
      </c>
      <c r="G179" s="693">
        <f t="shared" si="32"/>
        <v>12330349</v>
      </c>
      <c r="H179" s="695">
        <f t="shared" si="44"/>
        <v>3091203.4220000003</v>
      </c>
      <c r="I179" s="641">
        <f t="shared" si="45"/>
        <v>0</v>
      </c>
      <c r="J179" s="696">
        <f t="shared" si="46"/>
        <v>3091203.4220000003</v>
      </c>
      <c r="K179" s="693">
        <f t="shared" si="33"/>
        <v>1685441</v>
      </c>
      <c r="L179" s="695">
        <f t="shared" si="34"/>
        <v>1405762.4220000003</v>
      </c>
      <c r="M179" s="693">
        <f t="shared" si="35"/>
        <v>10644908</v>
      </c>
      <c r="N179" s="693">
        <f t="shared" si="36"/>
        <v>0</v>
      </c>
      <c r="O179" s="695">
        <f t="shared" si="37"/>
        <v>10644908</v>
      </c>
      <c r="P179" s="695">
        <f t="shared" si="38"/>
        <v>-1685441</v>
      </c>
      <c r="Q179" s="697">
        <f t="shared" si="39"/>
        <v>4.3441790906999997E-3</v>
      </c>
      <c r="R179" s="694">
        <f t="shared" si="40"/>
        <v>-5.9380778569999998E-4</v>
      </c>
      <c r="S179" s="693">
        <v>0</v>
      </c>
      <c r="T179" s="695">
        <f t="shared" si="41"/>
        <v>10644908</v>
      </c>
      <c r="U179" s="695">
        <f t="shared" si="42"/>
        <v>10644908</v>
      </c>
      <c r="V179" s="693">
        <f t="shared" si="43"/>
        <v>0</v>
      </c>
      <c r="W179" s="697"/>
      <c r="X179" s="698" t="s">
        <v>202</v>
      </c>
      <c r="Y179" s="678">
        <v>0</v>
      </c>
      <c r="Z179" s="678">
        <v>5778632</v>
      </c>
      <c r="AA179" s="678">
        <v>5778632</v>
      </c>
      <c r="AB179" s="699">
        <f t="shared" si="47"/>
        <v>1.8421155733744596</v>
      </c>
      <c r="AC179" s="700"/>
      <c r="AD179" s="701"/>
    </row>
    <row r="180" spans="1:30" s="639" customFormat="1" x14ac:dyDescent="0.25">
      <c r="A180" s="639">
        <v>174</v>
      </c>
      <c r="B180" s="639">
        <f>+'_DATA STT PAGOS_'!M180</f>
        <v>8314</v>
      </c>
      <c r="C180" s="639" t="str">
        <f>+'_DATA STT PAGOS_'!O180</f>
        <v>ALTO BIOBÍO</v>
      </c>
      <c r="D180" s="693">
        <f>+'_DATA STT PAGOS_'!G180</f>
        <v>0</v>
      </c>
      <c r="E180" s="693">
        <f>+'_DATA STT PAGOS_'!J180</f>
        <v>3035121.3329999996</v>
      </c>
      <c r="F180" s="694">
        <f>+COEF_FCM!AG182</f>
        <v>1.1859718866000001E-3</v>
      </c>
      <c r="G180" s="693">
        <f t="shared" si="32"/>
        <v>3366217</v>
      </c>
      <c r="H180" s="695">
        <f t="shared" si="44"/>
        <v>331095.66700000037</v>
      </c>
      <c r="I180" s="641">
        <f t="shared" si="45"/>
        <v>0</v>
      </c>
      <c r="J180" s="696">
        <f t="shared" si="46"/>
        <v>331095.66700000037</v>
      </c>
      <c r="K180" s="693">
        <f t="shared" si="33"/>
        <v>180526</v>
      </c>
      <c r="L180" s="695">
        <f t="shared" si="34"/>
        <v>150569.66700000037</v>
      </c>
      <c r="M180" s="693">
        <f t="shared" si="35"/>
        <v>3185691</v>
      </c>
      <c r="N180" s="693">
        <f t="shared" si="36"/>
        <v>0</v>
      </c>
      <c r="O180" s="695">
        <f t="shared" si="37"/>
        <v>3185691</v>
      </c>
      <c r="P180" s="695">
        <f t="shared" si="38"/>
        <v>-180526</v>
      </c>
      <c r="Q180" s="697">
        <f t="shared" si="39"/>
        <v>1.1859718866000001E-3</v>
      </c>
      <c r="R180" s="694">
        <f t="shared" si="40"/>
        <v>-6.3602193299999995E-5</v>
      </c>
      <c r="S180" s="693">
        <v>0</v>
      </c>
      <c r="T180" s="695">
        <f t="shared" si="41"/>
        <v>3185691</v>
      </c>
      <c r="U180" s="695">
        <f t="shared" si="42"/>
        <v>3185691</v>
      </c>
      <c r="V180" s="693">
        <f t="shared" si="43"/>
        <v>0</v>
      </c>
      <c r="W180" s="697"/>
      <c r="X180" s="698" t="s">
        <v>400</v>
      </c>
      <c r="Y180" s="678">
        <v>0</v>
      </c>
      <c r="Z180" s="678">
        <v>2117646</v>
      </c>
      <c r="AA180" s="678">
        <v>2117646</v>
      </c>
      <c r="AB180" s="699">
        <f t="shared" si="47"/>
        <v>1.504354835510751</v>
      </c>
      <c r="AC180" s="700"/>
      <c r="AD180" s="701"/>
    </row>
    <row r="181" spans="1:30" s="639" customFormat="1" x14ac:dyDescent="0.25">
      <c r="A181" s="639">
        <v>175</v>
      </c>
      <c r="B181" s="639">
        <f>+'_DATA STT PAGOS_'!M181</f>
        <v>9101</v>
      </c>
      <c r="C181" s="639" t="str">
        <f>+'_DATA STT PAGOS_'!O181</f>
        <v>TEMUCO</v>
      </c>
      <c r="D181" s="693">
        <f>+'_DATA STT PAGOS_'!G181</f>
        <v>0</v>
      </c>
      <c r="E181" s="693">
        <f>+'_DATA STT PAGOS_'!J181</f>
        <v>35040141.961000003</v>
      </c>
      <c r="F181" s="694">
        <f>+COEF_FCM!AG183</f>
        <v>1.15398987641E-2</v>
      </c>
      <c r="G181" s="693">
        <f t="shared" si="32"/>
        <v>32754401</v>
      </c>
      <c r="H181" s="695">
        <f t="shared" si="44"/>
        <v>-2285740.9610000029</v>
      </c>
      <c r="I181" s="641">
        <f t="shared" si="45"/>
        <v>-2285741</v>
      </c>
      <c r="J181" s="696">
        <f t="shared" si="46"/>
        <v>0</v>
      </c>
      <c r="K181" s="693">
        <f t="shared" si="33"/>
        <v>0</v>
      </c>
      <c r="L181" s="695">
        <f t="shared" si="34"/>
        <v>0</v>
      </c>
      <c r="M181" s="693">
        <f t="shared" si="35"/>
        <v>0</v>
      </c>
      <c r="N181" s="693">
        <f t="shared" si="36"/>
        <v>35040142</v>
      </c>
      <c r="O181" s="695">
        <f t="shared" si="37"/>
        <v>35040142</v>
      </c>
      <c r="P181" s="695">
        <f t="shared" si="38"/>
        <v>2285741</v>
      </c>
      <c r="Q181" s="697">
        <f t="shared" si="39"/>
        <v>1.15398987641E-2</v>
      </c>
      <c r="R181" s="694">
        <f t="shared" si="40"/>
        <v>8.0530306429999995E-4</v>
      </c>
      <c r="S181" s="693">
        <v>0</v>
      </c>
      <c r="T181" s="695">
        <f t="shared" si="41"/>
        <v>35040142</v>
      </c>
      <c r="U181" s="695">
        <f t="shared" si="42"/>
        <v>35040142</v>
      </c>
      <c r="V181" s="693">
        <f t="shared" si="43"/>
        <v>2285741</v>
      </c>
      <c r="W181" s="697"/>
      <c r="X181" s="698" t="s">
        <v>215</v>
      </c>
      <c r="Y181" s="678">
        <v>0</v>
      </c>
      <c r="Z181" s="678">
        <v>23249769</v>
      </c>
      <c r="AA181" s="678">
        <v>23249769</v>
      </c>
      <c r="AB181" s="699">
        <f t="shared" si="47"/>
        <v>1.5071178556655767</v>
      </c>
      <c r="AC181" s="700"/>
      <c r="AD181" s="701"/>
    </row>
    <row r="182" spans="1:30" s="639" customFormat="1" x14ac:dyDescent="0.25">
      <c r="A182" s="639">
        <v>176</v>
      </c>
      <c r="B182" s="639">
        <f>+'_DATA STT PAGOS_'!M182</f>
        <v>9102</v>
      </c>
      <c r="C182" s="639" t="str">
        <f>+'_DATA STT PAGOS_'!O182</f>
        <v>CARAHUE</v>
      </c>
      <c r="D182" s="693">
        <f>+'_DATA STT PAGOS_'!G182</f>
        <v>0</v>
      </c>
      <c r="E182" s="693">
        <f>+'_DATA STT PAGOS_'!J182</f>
        <v>8904532.2379999999</v>
      </c>
      <c r="F182" s="694">
        <f>+COEF_FCM!AG184</f>
        <v>3.4926426515000004E-3</v>
      </c>
      <c r="G182" s="693">
        <f t="shared" si="32"/>
        <v>9913381</v>
      </c>
      <c r="H182" s="695">
        <f t="shared" si="44"/>
        <v>1008848.7620000001</v>
      </c>
      <c r="I182" s="641">
        <f t="shared" si="45"/>
        <v>0</v>
      </c>
      <c r="J182" s="696">
        <f t="shared" si="46"/>
        <v>1008848.7620000001</v>
      </c>
      <c r="K182" s="693">
        <f t="shared" si="33"/>
        <v>550063</v>
      </c>
      <c r="L182" s="695">
        <f t="shared" si="34"/>
        <v>458785.7620000001</v>
      </c>
      <c r="M182" s="693">
        <f t="shared" si="35"/>
        <v>9363318</v>
      </c>
      <c r="N182" s="693">
        <f t="shared" si="36"/>
        <v>0</v>
      </c>
      <c r="O182" s="695">
        <f t="shared" si="37"/>
        <v>9363318</v>
      </c>
      <c r="P182" s="695">
        <f t="shared" si="38"/>
        <v>-550063</v>
      </c>
      <c r="Q182" s="697">
        <f t="shared" si="39"/>
        <v>3.4926426515000004E-3</v>
      </c>
      <c r="R182" s="694">
        <f t="shared" si="40"/>
        <v>-1.9379598100000001E-4</v>
      </c>
      <c r="S182" s="693">
        <v>0</v>
      </c>
      <c r="T182" s="695">
        <f t="shared" si="41"/>
        <v>9363318</v>
      </c>
      <c r="U182" s="695">
        <f t="shared" si="42"/>
        <v>9363318</v>
      </c>
      <c r="V182" s="693">
        <f t="shared" si="43"/>
        <v>0</v>
      </c>
      <c r="W182" s="697"/>
      <c r="X182" s="698" t="s">
        <v>222</v>
      </c>
      <c r="Y182" s="678">
        <v>0</v>
      </c>
      <c r="Z182" s="678">
        <v>5980790</v>
      </c>
      <c r="AA182" s="678">
        <v>5980790</v>
      </c>
      <c r="AB182" s="699">
        <f t="shared" si="47"/>
        <v>1.5655654186152665</v>
      </c>
      <c r="AC182" s="700"/>
      <c r="AD182" s="701"/>
    </row>
    <row r="183" spans="1:30" s="639" customFormat="1" x14ac:dyDescent="0.25">
      <c r="A183" s="639">
        <v>177</v>
      </c>
      <c r="B183" s="639">
        <f>+'_DATA STT PAGOS_'!M183</f>
        <v>9103</v>
      </c>
      <c r="C183" s="639" t="str">
        <f>+'_DATA STT PAGOS_'!O183</f>
        <v>CUNCO</v>
      </c>
      <c r="D183" s="693">
        <f>+'_DATA STT PAGOS_'!G183</f>
        <v>0</v>
      </c>
      <c r="E183" s="693">
        <f>+'_DATA STT PAGOS_'!J183</f>
        <v>5746579.7480000006</v>
      </c>
      <c r="F183" s="694">
        <f>+COEF_FCM!AG185</f>
        <v>2.7078737123999996E-3</v>
      </c>
      <c r="G183" s="693">
        <f t="shared" si="32"/>
        <v>7685924</v>
      </c>
      <c r="H183" s="695">
        <f t="shared" si="44"/>
        <v>1939344.2519999994</v>
      </c>
      <c r="I183" s="641">
        <f t="shared" si="45"/>
        <v>0</v>
      </c>
      <c r="J183" s="696">
        <f t="shared" si="46"/>
        <v>1939344.2519999994</v>
      </c>
      <c r="K183" s="693">
        <f t="shared" si="33"/>
        <v>1057404</v>
      </c>
      <c r="L183" s="695">
        <f t="shared" si="34"/>
        <v>881940.2519999994</v>
      </c>
      <c r="M183" s="693">
        <f t="shared" si="35"/>
        <v>6628520</v>
      </c>
      <c r="N183" s="693">
        <f t="shared" si="36"/>
        <v>0</v>
      </c>
      <c r="O183" s="695">
        <f t="shared" si="37"/>
        <v>6628520</v>
      </c>
      <c r="P183" s="695">
        <f t="shared" si="38"/>
        <v>-1057404</v>
      </c>
      <c r="Q183" s="697">
        <f t="shared" si="39"/>
        <v>2.7078737123999996E-3</v>
      </c>
      <c r="R183" s="694">
        <f t="shared" si="40"/>
        <v>-3.7254031900000001E-4</v>
      </c>
      <c r="S183" s="693">
        <v>0</v>
      </c>
      <c r="T183" s="695">
        <f t="shared" si="41"/>
        <v>6628520</v>
      </c>
      <c r="U183" s="695">
        <f t="shared" si="42"/>
        <v>6628520</v>
      </c>
      <c r="V183" s="693">
        <f t="shared" si="43"/>
        <v>0</v>
      </c>
      <c r="W183" s="697"/>
      <c r="X183" s="698" t="s">
        <v>217</v>
      </c>
      <c r="Y183" s="678">
        <v>0</v>
      </c>
      <c r="Z183" s="678">
        <v>3551531</v>
      </c>
      <c r="AA183" s="678">
        <v>3551531</v>
      </c>
      <c r="AB183" s="699">
        <f t="shared" si="47"/>
        <v>1.8663838215124688</v>
      </c>
      <c r="AC183" s="700"/>
      <c r="AD183" s="701"/>
    </row>
    <row r="184" spans="1:30" s="639" customFormat="1" x14ac:dyDescent="0.25">
      <c r="A184" s="639">
        <v>178</v>
      </c>
      <c r="B184" s="639">
        <f>+'_DATA STT PAGOS_'!M184</f>
        <v>9104</v>
      </c>
      <c r="C184" s="639" t="str">
        <f>+'_DATA STT PAGOS_'!O184</f>
        <v>CURARREHUE</v>
      </c>
      <c r="D184" s="693">
        <f>+'_DATA STT PAGOS_'!G184</f>
        <v>0</v>
      </c>
      <c r="E184" s="693">
        <f>+'_DATA STT PAGOS_'!J184</f>
        <v>3391526.2510000002</v>
      </c>
      <c r="F184" s="694">
        <f>+COEF_FCM!AG186</f>
        <v>1.3686223852999999E-3</v>
      </c>
      <c r="G184" s="693">
        <f t="shared" si="32"/>
        <v>3884645</v>
      </c>
      <c r="H184" s="695">
        <f t="shared" si="44"/>
        <v>493118.74899999984</v>
      </c>
      <c r="I184" s="641">
        <f t="shared" si="45"/>
        <v>0</v>
      </c>
      <c r="J184" s="696">
        <f t="shared" si="46"/>
        <v>493118.74899999984</v>
      </c>
      <c r="K184" s="693">
        <f t="shared" si="33"/>
        <v>268867</v>
      </c>
      <c r="L184" s="695">
        <f t="shared" si="34"/>
        <v>224251.74899999984</v>
      </c>
      <c r="M184" s="693">
        <f t="shared" si="35"/>
        <v>3615778</v>
      </c>
      <c r="N184" s="693">
        <f t="shared" si="36"/>
        <v>0</v>
      </c>
      <c r="O184" s="695">
        <f t="shared" si="37"/>
        <v>3615778</v>
      </c>
      <c r="P184" s="695">
        <f t="shared" si="38"/>
        <v>-268867</v>
      </c>
      <c r="Q184" s="697">
        <f t="shared" si="39"/>
        <v>1.3686223852999999E-3</v>
      </c>
      <c r="R184" s="694">
        <f t="shared" si="40"/>
        <v>-9.4726138699999999E-5</v>
      </c>
      <c r="S184" s="693">
        <v>0</v>
      </c>
      <c r="T184" s="695">
        <f t="shared" si="41"/>
        <v>3615778</v>
      </c>
      <c r="U184" s="695">
        <f t="shared" si="42"/>
        <v>3615778</v>
      </c>
      <c r="V184" s="693">
        <f t="shared" si="43"/>
        <v>0</v>
      </c>
      <c r="W184" s="697"/>
      <c r="X184" s="698" t="s">
        <v>228</v>
      </c>
      <c r="Y184" s="678">
        <v>0</v>
      </c>
      <c r="Z184" s="678">
        <v>2251036</v>
      </c>
      <c r="AA184" s="678">
        <v>2251036</v>
      </c>
      <c r="AB184" s="699">
        <f t="shared" si="47"/>
        <v>1.6062728450366854</v>
      </c>
      <c r="AC184" s="700"/>
      <c r="AD184" s="701"/>
    </row>
    <row r="185" spans="1:30" s="639" customFormat="1" x14ac:dyDescent="0.25">
      <c r="A185" s="639">
        <v>179</v>
      </c>
      <c r="B185" s="639">
        <f>+'_DATA STT PAGOS_'!M185</f>
        <v>9105</v>
      </c>
      <c r="C185" s="639" t="str">
        <f>+'_DATA STT PAGOS_'!O185</f>
        <v>FREIRE</v>
      </c>
      <c r="D185" s="693">
        <f>+'_DATA STT PAGOS_'!G185</f>
        <v>0</v>
      </c>
      <c r="E185" s="693">
        <f>+'_DATA STT PAGOS_'!J185</f>
        <v>6715666.9890000001</v>
      </c>
      <c r="F185" s="694">
        <f>+COEF_FCM!AG187</f>
        <v>2.7452955138999998E-3</v>
      </c>
      <c r="G185" s="693">
        <f t="shared" si="32"/>
        <v>7792140</v>
      </c>
      <c r="H185" s="695">
        <f t="shared" si="44"/>
        <v>1076473.0109999999</v>
      </c>
      <c r="I185" s="641">
        <f t="shared" si="45"/>
        <v>0</v>
      </c>
      <c r="J185" s="696">
        <f t="shared" si="46"/>
        <v>1076473.0109999999</v>
      </c>
      <c r="K185" s="693">
        <f t="shared" si="33"/>
        <v>586934</v>
      </c>
      <c r="L185" s="695">
        <f t="shared" si="34"/>
        <v>489539.01099999994</v>
      </c>
      <c r="M185" s="693">
        <f t="shared" si="35"/>
        <v>7205206</v>
      </c>
      <c r="N185" s="693">
        <f t="shared" si="36"/>
        <v>0</v>
      </c>
      <c r="O185" s="695">
        <f t="shared" si="37"/>
        <v>7205206</v>
      </c>
      <c r="P185" s="695">
        <f t="shared" si="38"/>
        <v>-586934</v>
      </c>
      <c r="Q185" s="697">
        <f t="shared" si="39"/>
        <v>2.7452955138999998E-3</v>
      </c>
      <c r="R185" s="694">
        <f t="shared" si="40"/>
        <v>-2.0678622319999999E-4</v>
      </c>
      <c r="S185" s="693">
        <v>0</v>
      </c>
      <c r="T185" s="695">
        <f t="shared" si="41"/>
        <v>7205206</v>
      </c>
      <c r="U185" s="695">
        <f t="shared" si="42"/>
        <v>7205206</v>
      </c>
      <c r="V185" s="693">
        <f t="shared" si="43"/>
        <v>0</v>
      </c>
      <c r="W185" s="697"/>
      <c r="X185" s="698" t="s">
        <v>216</v>
      </c>
      <c r="Y185" s="678">
        <v>0</v>
      </c>
      <c r="Z185" s="678">
        <v>4721552</v>
      </c>
      <c r="AA185" s="678">
        <v>4721552</v>
      </c>
      <c r="AB185" s="699">
        <f t="shared" si="47"/>
        <v>1.5260249172306055</v>
      </c>
      <c r="AC185" s="700"/>
      <c r="AD185" s="701"/>
    </row>
    <row r="186" spans="1:30" s="639" customFormat="1" x14ac:dyDescent="0.25">
      <c r="A186" s="639">
        <v>180</v>
      </c>
      <c r="B186" s="639">
        <f>+'_DATA STT PAGOS_'!M186</f>
        <v>9106</v>
      </c>
      <c r="C186" s="639" t="str">
        <f>+'_DATA STT PAGOS_'!O186</f>
        <v>GALVARINO</v>
      </c>
      <c r="D186" s="693">
        <f>+'_DATA STT PAGOS_'!G186</f>
        <v>0</v>
      </c>
      <c r="E186" s="693">
        <f>+'_DATA STT PAGOS_'!J186</f>
        <v>4750550.0720000006</v>
      </c>
      <c r="F186" s="694">
        <f>+COEF_FCM!AG188</f>
        <v>1.9027357841999999E-3</v>
      </c>
      <c r="G186" s="693">
        <f t="shared" si="32"/>
        <v>5400651</v>
      </c>
      <c r="H186" s="695">
        <f t="shared" si="44"/>
        <v>650100.92799999937</v>
      </c>
      <c r="I186" s="641">
        <f t="shared" si="45"/>
        <v>0</v>
      </c>
      <c r="J186" s="696">
        <f t="shared" si="46"/>
        <v>650100.92799999937</v>
      </c>
      <c r="K186" s="693">
        <f t="shared" si="33"/>
        <v>354460</v>
      </c>
      <c r="L186" s="695">
        <f t="shared" si="34"/>
        <v>295640.92799999937</v>
      </c>
      <c r="M186" s="693">
        <f t="shared" si="35"/>
        <v>5046191</v>
      </c>
      <c r="N186" s="693">
        <f t="shared" si="36"/>
        <v>0</v>
      </c>
      <c r="O186" s="695">
        <f t="shared" si="37"/>
        <v>5046191</v>
      </c>
      <c r="P186" s="695">
        <f t="shared" si="38"/>
        <v>-354460</v>
      </c>
      <c r="Q186" s="697">
        <f t="shared" si="39"/>
        <v>1.9027357841999999E-3</v>
      </c>
      <c r="R186" s="694">
        <f t="shared" si="40"/>
        <v>-1.248819198E-4</v>
      </c>
      <c r="S186" s="693">
        <v>0</v>
      </c>
      <c r="T186" s="695">
        <f t="shared" si="41"/>
        <v>5046191</v>
      </c>
      <c r="U186" s="695">
        <f t="shared" si="42"/>
        <v>5046191</v>
      </c>
      <c r="V186" s="693">
        <f t="shared" si="43"/>
        <v>0</v>
      </c>
      <c r="W186" s="697"/>
      <c r="X186" s="698" t="s">
        <v>220</v>
      </c>
      <c r="Y186" s="678">
        <v>0</v>
      </c>
      <c r="Z186" s="678">
        <v>3276881</v>
      </c>
      <c r="AA186" s="678">
        <v>3276881</v>
      </c>
      <c r="AB186" s="699">
        <f t="shared" si="47"/>
        <v>1.5399372146867707</v>
      </c>
      <c r="AC186" s="700"/>
      <c r="AD186" s="701"/>
    </row>
    <row r="187" spans="1:30" s="639" customFormat="1" x14ac:dyDescent="0.25">
      <c r="A187" s="639">
        <v>181</v>
      </c>
      <c r="B187" s="639">
        <f>+'_DATA STT PAGOS_'!M187</f>
        <v>9107</v>
      </c>
      <c r="C187" s="639" t="str">
        <f>+'_DATA STT PAGOS_'!O187</f>
        <v>GORBEA</v>
      </c>
      <c r="D187" s="693">
        <f>+'_DATA STT PAGOS_'!G187</f>
        <v>0</v>
      </c>
      <c r="E187" s="693">
        <f>+'_DATA STT PAGOS_'!J187</f>
        <v>5211837.5049999999</v>
      </c>
      <c r="F187" s="694">
        <f>+COEF_FCM!AG189</f>
        <v>2.1380771390000003E-3</v>
      </c>
      <c r="G187" s="693">
        <f t="shared" si="32"/>
        <v>6068635</v>
      </c>
      <c r="H187" s="695">
        <f t="shared" si="44"/>
        <v>856797.49500000011</v>
      </c>
      <c r="I187" s="641">
        <f t="shared" si="45"/>
        <v>0</v>
      </c>
      <c r="J187" s="696">
        <f t="shared" si="46"/>
        <v>856797.49500000011</v>
      </c>
      <c r="K187" s="693">
        <f t="shared" si="33"/>
        <v>467158</v>
      </c>
      <c r="L187" s="695">
        <f t="shared" si="34"/>
        <v>389639.49500000011</v>
      </c>
      <c r="M187" s="693">
        <f t="shared" si="35"/>
        <v>5601477</v>
      </c>
      <c r="N187" s="693">
        <f t="shared" si="36"/>
        <v>0</v>
      </c>
      <c r="O187" s="695">
        <f t="shared" si="37"/>
        <v>5601477</v>
      </c>
      <c r="P187" s="695">
        <f t="shared" si="38"/>
        <v>-467158</v>
      </c>
      <c r="Q187" s="697">
        <f t="shared" si="39"/>
        <v>2.1380771390000003E-3</v>
      </c>
      <c r="R187" s="694">
        <f t="shared" si="40"/>
        <v>-1.6458722530000001E-4</v>
      </c>
      <c r="S187" s="693">
        <v>0</v>
      </c>
      <c r="T187" s="695">
        <f t="shared" si="41"/>
        <v>5601477</v>
      </c>
      <c r="U187" s="695">
        <f t="shared" si="42"/>
        <v>5601477</v>
      </c>
      <c r="V187" s="693">
        <f t="shared" si="43"/>
        <v>0</v>
      </c>
      <c r="W187" s="697"/>
      <c r="X187" s="698" t="s">
        <v>224</v>
      </c>
      <c r="Y187" s="678">
        <v>0</v>
      </c>
      <c r="Z187" s="678">
        <v>3230199</v>
      </c>
      <c r="AA187" s="678">
        <v>3230199</v>
      </c>
      <c r="AB187" s="699">
        <f t="shared" si="47"/>
        <v>1.7340965680442597</v>
      </c>
      <c r="AC187" s="700"/>
      <c r="AD187" s="701"/>
    </row>
    <row r="188" spans="1:30" s="639" customFormat="1" x14ac:dyDescent="0.25">
      <c r="A188" s="639">
        <v>182</v>
      </c>
      <c r="B188" s="639">
        <f>+'_DATA STT PAGOS_'!M188</f>
        <v>9108</v>
      </c>
      <c r="C188" s="639" t="str">
        <f>+'_DATA STT PAGOS_'!O188</f>
        <v>LAUTARO</v>
      </c>
      <c r="D188" s="693">
        <f>+'_DATA STT PAGOS_'!G188</f>
        <v>0</v>
      </c>
      <c r="E188" s="693">
        <f>+'_DATA STT PAGOS_'!J188</f>
        <v>6829749.6059999997</v>
      </c>
      <c r="F188" s="694">
        <f>+COEF_FCM!AG190</f>
        <v>3.0484550660999999E-3</v>
      </c>
      <c r="G188" s="693">
        <f t="shared" si="32"/>
        <v>8652617</v>
      </c>
      <c r="H188" s="695">
        <f t="shared" si="44"/>
        <v>1822867.3940000003</v>
      </c>
      <c r="I188" s="641">
        <f t="shared" si="45"/>
        <v>0</v>
      </c>
      <c r="J188" s="696">
        <f t="shared" si="46"/>
        <v>1822867.3940000003</v>
      </c>
      <c r="K188" s="693">
        <f t="shared" si="33"/>
        <v>993896</v>
      </c>
      <c r="L188" s="695">
        <f t="shared" si="34"/>
        <v>828971.39400000032</v>
      </c>
      <c r="M188" s="693">
        <f t="shared" si="35"/>
        <v>7658721</v>
      </c>
      <c r="N188" s="693">
        <f t="shared" si="36"/>
        <v>0</v>
      </c>
      <c r="O188" s="695">
        <f t="shared" si="37"/>
        <v>7658721</v>
      </c>
      <c r="P188" s="695">
        <f t="shared" si="38"/>
        <v>-993896</v>
      </c>
      <c r="Q188" s="697">
        <f t="shared" si="39"/>
        <v>3.0484550660999999E-3</v>
      </c>
      <c r="R188" s="694">
        <f t="shared" si="40"/>
        <v>-3.5016543619999999E-4</v>
      </c>
      <c r="S188" s="693">
        <v>0</v>
      </c>
      <c r="T188" s="695">
        <f t="shared" si="41"/>
        <v>7658721</v>
      </c>
      <c r="U188" s="695">
        <f t="shared" si="42"/>
        <v>7658721</v>
      </c>
      <c r="V188" s="693">
        <f t="shared" si="43"/>
        <v>0</v>
      </c>
      <c r="W188" s="697"/>
      <c r="X188" s="698" t="s">
        <v>218</v>
      </c>
      <c r="Y188" s="678">
        <v>0</v>
      </c>
      <c r="Z188" s="678">
        <v>4802052</v>
      </c>
      <c r="AA188" s="678">
        <v>4802052</v>
      </c>
      <c r="AB188" s="699">
        <f t="shared" si="47"/>
        <v>1.5948850616361505</v>
      </c>
      <c r="AC188" s="700"/>
      <c r="AD188" s="701"/>
    </row>
    <row r="189" spans="1:30" s="639" customFormat="1" x14ac:dyDescent="0.25">
      <c r="A189" s="639">
        <v>183</v>
      </c>
      <c r="B189" s="639">
        <f>+'_DATA STT PAGOS_'!M189</f>
        <v>9109</v>
      </c>
      <c r="C189" s="639" t="str">
        <f>+'_DATA STT PAGOS_'!O189</f>
        <v>LONCOCHE</v>
      </c>
      <c r="D189" s="693">
        <f>+'_DATA STT PAGOS_'!G189</f>
        <v>0</v>
      </c>
      <c r="E189" s="693">
        <f>+'_DATA STT PAGOS_'!J189</f>
        <v>6759271.5869999994</v>
      </c>
      <c r="F189" s="694">
        <f>+COEF_FCM!AG191</f>
        <v>3.0133857353999999E-3</v>
      </c>
      <c r="G189" s="693">
        <f t="shared" si="32"/>
        <v>8553077</v>
      </c>
      <c r="H189" s="695">
        <f t="shared" si="44"/>
        <v>1793805.4130000006</v>
      </c>
      <c r="I189" s="641">
        <f t="shared" si="45"/>
        <v>0</v>
      </c>
      <c r="J189" s="696">
        <f t="shared" si="46"/>
        <v>1793805.4130000006</v>
      </c>
      <c r="K189" s="693">
        <f t="shared" si="33"/>
        <v>978051</v>
      </c>
      <c r="L189" s="695">
        <f t="shared" si="34"/>
        <v>815754.41300000064</v>
      </c>
      <c r="M189" s="693">
        <f t="shared" si="35"/>
        <v>7575026</v>
      </c>
      <c r="N189" s="693">
        <f t="shared" si="36"/>
        <v>0</v>
      </c>
      <c r="O189" s="695">
        <f t="shared" si="37"/>
        <v>7575026</v>
      </c>
      <c r="P189" s="695">
        <f t="shared" si="38"/>
        <v>-978051</v>
      </c>
      <c r="Q189" s="697">
        <f t="shared" si="39"/>
        <v>3.0133857353999999E-3</v>
      </c>
      <c r="R189" s="694">
        <f t="shared" si="40"/>
        <v>-3.445829896E-4</v>
      </c>
      <c r="S189" s="693">
        <v>0</v>
      </c>
      <c r="T189" s="695">
        <f t="shared" si="41"/>
        <v>7575026</v>
      </c>
      <c r="U189" s="695">
        <f t="shared" si="42"/>
        <v>7575026</v>
      </c>
      <c r="V189" s="693">
        <f t="shared" si="43"/>
        <v>0</v>
      </c>
      <c r="W189" s="697"/>
      <c r="X189" s="698" t="s">
        <v>225</v>
      </c>
      <c r="Y189" s="678">
        <v>0</v>
      </c>
      <c r="Z189" s="678">
        <v>4411450</v>
      </c>
      <c r="AA189" s="678">
        <v>4411450</v>
      </c>
      <c r="AB189" s="699">
        <f t="shared" si="47"/>
        <v>1.7171283818245702</v>
      </c>
      <c r="AC189" s="700"/>
      <c r="AD189" s="701"/>
    </row>
    <row r="190" spans="1:30" s="639" customFormat="1" x14ac:dyDescent="0.25">
      <c r="A190" s="639">
        <v>184</v>
      </c>
      <c r="B190" s="639">
        <f>+'_DATA STT PAGOS_'!M190</f>
        <v>9110</v>
      </c>
      <c r="C190" s="639" t="str">
        <f>+'_DATA STT PAGOS_'!O190</f>
        <v>MELIPEUCO</v>
      </c>
      <c r="D190" s="693">
        <f>+'_DATA STT PAGOS_'!G190</f>
        <v>0</v>
      </c>
      <c r="E190" s="693">
        <f>+'_DATA STT PAGOS_'!J190</f>
        <v>4796848.4029999999</v>
      </c>
      <c r="F190" s="694">
        <f>+COEF_FCM!AG192</f>
        <v>1.9087254317999998E-3</v>
      </c>
      <c r="G190" s="693">
        <f t="shared" si="32"/>
        <v>5417652</v>
      </c>
      <c r="H190" s="695">
        <f t="shared" si="44"/>
        <v>620803.59700000007</v>
      </c>
      <c r="I190" s="641">
        <f t="shared" si="45"/>
        <v>0</v>
      </c>
      <c r="J190" s="696">
        <f t="shared" si="46"/>
        <v>620803.59700000007</v>
      </c>
      <c r="K190" s="693">
        <f t="shared" si="33"/>
        <v>338486</v>
      </c>
      <c r="L190" s="695">
        <f t="shared" si="34"/>
        <v>282317.59700000007</v>
      </c>
      <c r="M190" s="693">
        <f t="shared" si="35"/>
        <v>5079166</v>
      </c>
      <c r="N190" s="693">
        <f t="shared" si="36"/>
        <v>0</v>
      </c>
      <c r="O190" s="695">
        <f t="shared" si="37"/>
        <v>5079166</v>
      </c>
      <c r="P190" s="695">
        <f t="shared" si="38"/>
        <v>-338486</v>
      </c>
      <c r="Q190" s="697">
        <f t="shared" si="39"/>
        <v>1.9087254317999998E-3</v>
      </c>
      <c r="R190" s="694">
        <f t="shared" si="40"/>
        <v>-1.192540244E-4</v>
      </c>
      <c r="S190" s="693">
        <v>0</v>
      </c>
      <c r="T190" s="695">
        <f t="shared" si="41"/>
        <v>5079166</v>
      </c>
      <c r="U190" s="695">
        <f t="shared" si="42"/>
        <v>5079166</v>
      </c>
      <c r="V190" s="693">
        <f t="shared" si="43"/>
        <v>0</v>
      </c>
      <c r="W190" s="697"/>
      <c r="X190" s="698" t="s">
        <v>227</v>
      </c>
      <c r="Y190" s="678">
        <v>0</v>
      </c>
      <c r="Z190" s="678">
        <v>2836463</v>
      </c>
      <c r="AA190" s="678">
        <v>2836463</v>
      </c>
      <c r="AB190" s="699">
        <f t="shared" si="47"/>
        <v>1.7906688717603578</v>
      </c>
      <c r="AC190" s="700"/>
      <c r="AD190" s="701"/>
    </row>
    <row r="191" spans="1:30" s="639" customFormat="1" x14ac:dyDescent="0.25">
      <c r="A191" s="639">
        <v>185</v>
      </c>
      <c r="B191" s="639">
        <f>+'_DATA STT PAGOS_'!M191</f>
        <v>9111</v>
      </c>
      <c r="C191" s="639" t="str">
        <f>+'_DATA STT PAGOS_'!O191</f>
        <v>NUEVA IMPERIAL</v>
      </c>
      <c r="D191" s="693">
        <f>+'_DATA STT PAGOS_'!G191</f>
        <v>0</v>
      </c>
      <c r="E191" s="693">
        <f>+'_DATA STT PAGOS_'!J191</f>
        <v>9196647.1229999997</v>
      </c>
      <c r="F191" s="694">
        <f>+COEF_FCM!AG193</f>
        <v>3.6590878179000004E-3</v>
      </c>
      <c r="G191" s="693">
        <f t="shared" si="32"/>
        <v>10385813</v>
      </c>
      <c r="H191" s="695">
        <f t="shared" si="44"/>
        <v>1189165.8770000003</v>
      </c>
      <c r="I191" s="641">
        <f t="shared" si="45"/>
        <v>0</v>
      </c>
      <c r="J191" s="696">
        <f t="shared" si="46"/>
        <v>1189165.8770000003</v>
      </c>
      <c r="K191" s="693">
        <f t="shared" si="33"/>
        <v>648378</v>
      </c>
      <c r="L191" s="695">
        <f t="shared" si="34"/>
        <v>540787.87700000033</v>
      </c>
      <c r="M191" s="693">
        <f t="shared" si="35"/>
        <v>9737435</v>
      </c>
      <c r="N191" s="693">
        <f t="shared" si="36"/>
        <v>0</v>
      </c>
      <c r="O191" s="695">
        <f t="shared" si="37"/>
        <v>9737435</v>
      </c>
      <c r="P191" s="695">
        <f t="shared" si="38"/>
        <v>-648378</v>
      </c>
      <c r="Q191" s="697">
        <f t="shared" si="39"/>
        <v>3.6590878179000004E-3</v>
      </c>
      <c r="R191" s="694">
        <f t="shared" si="40"/>
        <v>-2.2843392590000001E-4</v>
      </c>
      <c r="S191" s="693">
        <v>0</v>
      </c>
      <c r="T191" s="695">
        <f t="shared" si="41"/>
        <v>9737435</v>
      </c>
      <c r="U191" s="695">
        <f t="shared" si="42"/>
        <v>9737435</v>
      </c>
      <c r="V191" s="693">
        <f t="shared" si="43"/>
        <v>0</v>
      </c>
      <c r="W191" s="697"/>
      <c r="X191" s="698" t="s">
        <v>221</v>
      </c>
      <c r="Y191" s="678">
        <v>0</v>
      </c>
      <c r="Z191" s="678">
        <v>6540407</v>
      </c>
      <c r="AA191" s="678">
        <v>6540407</v>
      </c>
      <c r="AB191" s="699">
        <f t="shared" si="47"/>
        <v>1.4888117818967535</v>
      </c>
      <c r="AC191" s="700"/>
      <c r="AD191" s="701"/>
    </row>
    <row r="192" spans="1:30" s="639" customFormat="1" x14ac:dyDescent="0.25">
      <c r="A192" s="639">
        <v>186</v>
      </c>
      <c r="B192" s="639">
        <f>+'_DATA STT PAGOS_'!M192</f>
        <v>9112</v>
      </c>
      <c r="C192" s="639" t="str">
        <f>+'_DATA STT PAGOS_'!O192</f>
        <v>PADRE LAS CASAS</v>
      </c>
      <c r="D192" s="693">
        <f>+'_DATA STT PAGOS_'!G192</f>
        <v>0</v>
      </c>
      <c r="E192" s="693">
        <f>+'_DATA STT PAGOS_'!J192</f>
        <v>15419922.08</v>
      </c>
      <c r="F192" s="694">
        <f>+COEF_FCM!AG194</f>
        <v>6.3460495326999999E-3</v>
      </c>
      <c r="G192" s="693">
        <f t="shared" si="32"/>
        <v>18012381</v>
      </c>
      <c r="H192" s="695">
        <f t="shared" si="44"/>
        <v>2592458.92</v>
      </c>
      <c r="I192" s="641">
        <f t="shared" si="45"/>
        <v>0</v>
      </c>
      <c r="J192" s="696">
        <f t="shared" si="46"/>
        <v>2592458.92</v>
      </c>
      <c r="K192" s="693">
        <f t="shared" si="33"/>
        <v>1413507</v>
      </c>
      <c r="L192" s="695">
        <f t="shared" si="34"/>
        <v>1178951.92</v>
      </c>
      <c r="M192" s="693">
        <f t="shared" si="35"/>
        <v>16598874</v>
      </c>
      <c r="N192" s="693">
        <f t="shared" si="36"/>
        <v>0</v>
      </c>
      <c r="O192" s="695">
        <f t="shared" si="37"/>
        <v>16598874</v>
      </c>
      <c r="P192" s="695">
        <f t="shared" si="38"/>
        <v>-1413507</v>
      </c>
      <c r="Q192" s="697">
        <f t="shared" si="39"/>
        <v>6.3460495326999999E-3</v>
      </c>
      <c r="R192" s="694">
        <f t="shared" si="40"/>
        <v>-4.9800109389999995E-4</v>
      </c>
      <c r="S192" s="693">
        <v>0</v>
      </c>
      <c r="T192" s="695">
        <f t="shared" si="41"/>
        <v>16598874</v>
      </c>
      <c r="U192" s="695">
        <f t="shared" si="42"/>
        <v>16598874</v>
      </c>
      <c r="V192" s="693">
        <f t="shared" si="43"/>
        <v>0</v>
      </c>
      <c r="W192" s="697"/>
      <c r="X192" s="698" t="s">
        <v>230</v>
      </c>
      <c r="Y192" s="678">
        <v>0</v>
      </c>
      <c r="Z192" s="678">
        <v>10587436</v>
      </c>
      <c r="AA192" s="678">
        <v>10587436</v>
      </c>
      <c r="AB192" s="699">
        <f t="shared" si="47"/>
        <v>1.567789784042142</v>
      </c>
      <c r="AC192" s="700"/>
      <c r="AD192" s="701"/>
    </row>
    <row r="193" spans="1:30" s="639" customFormat="1" x14ac:dyDescent="0.25">
      <c r="A193" s="639">
        <v>187</v>
      </c>
      <c r="B193" s="639">
        <f>+'_DATA STT PAGOS_'!M193</f>
        <v>9113</v>
      </c>
      <c r="C193" s="639" t="str">
        <f>+'_DATA STT PAGOS_'!O193</f>
        <v>PERQUENCO</v>
      </c>
      <c r="D193" s="693">
        <f>+'_DATA STT PAGOS_'!G193</f>
        <v>0</v>
      </c>
      <c r="E193" s="693">
        <f>+'_DATA STT PAGOS_'!J193</f>
        <v>3373856.6329999999</v>
      </c>
      <c r="F193" s="694">
        <f>+COEF_FCM!AG195</f>
        <v>1.4009704862999999E-3</v>
      </c>
      <c r="G193" s="693">
        <f t="shared" si="32"/>
        <v>3976460</v>
      </c>
      <c r="H193" s="695">
        <f t="shared" si="44"/>
        <v>602603.36700000009</v>
      </c>
      <c r="I193" s="641">
        <f t="shared" si="45"/>
        <v>0</v>
      </c>
      <c r="J193" s="696">
        <f t="shared" si="46"/>
        <v>602603.36700000009</v>
      </c>
      <c r="K193" s="693">
        <f t="shared" si="33"/>
        <v>328562</v>
      </c>
      <c r="L193" s="695">
        <f t="shared" si="34"/>
        <v>274041.36700000009</v>
      </c>
      <c r="M193" s="693">
        <f t="shared" si="35"/>
        <v>3647898</v>
      </c>
      <c r="N193" s="693">
        <f t="shared" si="36"/>
        <v>0</v>
      </c>
      <c r="O193" s="695">
        <f t="shared" si="37"/>
        <v>3647898</v>
      </c>
      <c r="P193" s="695">
        <f t="shared" si="38"/>
        <v>-328562</v>
      </c>
      <c r="Q193" s="697">
        <f t="shared" si="39"/>
        <v>1.4009704862999999E-3</v>
      </c>
      <c r="R193" s="694">
        <f t="shared" si="40"/>
        <v>-1.157576407E-4</v>
      </c>
      <c r="S193" s="693">
        <v>0</v>
      </c>
      <c r="T193" s="695">
        <f t="shared" si="41"/>
        <v>3647898</v>
      </c>
      <c r="U193" s="695">
        <f t="shared" si="42"/>
        <v>3647898</v>
      </c>
      <c r="V193" s="693">
        <f t="shared" si="43"/>
        <v>0</v>
      </c>
      <c r="W193" s="697"/>
      <c r="X193" s="698" t="s">
        <v>219</v>
      </c>
      <c r="Y193" s="678">
        <v>0</v>
      </c>
      <c r="Z193" s="678">
        <v>2539120</v>
      </c>
      <c r="AA193" s="678">
        <v>2539120</v>
      </c>
      <c r="AB193" s="699">
        <f t="shared" si="47"/>
        <v>1.4366780616906645</v>
      </c>
      <c r="AC193" s="700"/>
      <c r="AD193" s="701"/>
    </row>
    <row r="194" spans="1:30" s="639" customFormat="1" x14ac:dyDescent="0.25">
      <c r="A194" s="639">
        <v>188</v>
      </c>
      <c r="B194" s="639">
        <f>+'_DATA STT PAGOS_'!M194</f>
        <v>9114</v>
      </c>
      <c r="C194" s="639" t="str">
        <f>+'_DATA STT PAGOS_'!O194</f>
        <v>PITRUFQUÉN</v>
      </c>
      <c r="D194" s="693">
        <f>+'_DATA STT PAGOS_'!G194</f>
        <v>0</v>
      </c>
      <c r="E194" s="693">
        <f>+'_DATA STT PAGOS_'!J194</f>
        <v>7608089.0659999996</v>
      </c>
      <c r="F194" s="694">
        <f>+COEF_FCM!AG196</f>
        <v>3.0795621891999999E-3</v>
      </c>
      <c r="G194" s="693">
        <f t="shared" si="32"/>
        <v>8740910</v>
      </c>
      <c r="H194" s="695">
        <f t="shared" si="44"/>
        <v>1132820.9340000004</v>
      </c>
      <c r="I194" s="641">
        <f t="shared" si="45"/>
        <v>0</v>
      </c>
      <c r="J194" s="696">
        <f t="shared" si="46"/>
        <v>1132820.9340000004</v>
      </c>
      <c r="K194" s="693">
        <f t="shared" si="33"/>
        <v>617657</v>
      </c>
      <c r="L194" s="695">
        <f t="shared" si="34"/>
        <v>515163.93400000036</v>
      </c>
      <c r="M194" s="693">
        <f t="shared" si="35"/>
        <v>8123253</v>
      </c>
      <c r="N194" s="693">
        <f t="shared" si="36"/>
        <v>0</v>
      </c>
      <c r="O194" s="695">
        <f t="shared" si="37"/>
        <v>8123253</v>
      </c>
      <c r="P194" s="695">
        <f t="shared" si="38"/>
        <v>-617657</v>
      </c>
      <c r="Q194" s="697">
        <f t="shared" si="39"/>
        <v>3.0795621891999999E-3</v>
      </c>
      <c r="R194" s="694">
        <f t="shared" si="40"/>
        <v>-2.1761042689999999E-4</v>
      </c>
      <c r="S194" s="693">
        <v>0</v>
      </c>
      <c r="T194" s="695">
        <f t="shared" si="41"/>
        <v>8123253</v>
      </c>
      <c r="U194" s="695">
        <f t="shared" si="42"/>
        <v>8123253</v>
      </c>
      <c r="V194" s="693">
        <f t="shared" si="43"/>
        <v>0</v>
      </c>
      <c r="W194" s="697"/>
      <c r="X194" s="698" t="s">
        <v>407</v>
      </c>
      <c r="Y194" s="678">
        <v>0</v>
      </c>
      <c r="Z194" s="678">
        <v>4795070</v>
      </c>
      <c r="AA194" s="678">
        <v>4795070</v>
      </c>
      <c r="AB194" s="699">
        <f t="shared" si="47"/>
        <v>1.6940843407916881</v>
      </c>
      <c r="AC194" s="700"/>
      <c r="AD194" s="701"/>
    </row>
    <row r="195" spans="1:30" s="639" customFormat="1" x14ac:dyDescent="0.25">
      <c r="A195" s="639">
        <v>189</v>
      </c>
      <c r="B195" s="639">
        <f>+'_DATA STT PAGOS_'!M195</f>
        <v>9115</v>
      </c>
      <c r="C195" s="639" t="str">
        <f>+'_DATA STT PAGOS_'!O195</f>
        <v>PUCÓN</v>
      </c>
      <c r="D195" s="693">
        <f>+'_DATA STT PAGOS_'!G195</f>
        <v>0</v>
      </c>
      <c r="E195" s="693">
        <f>+'_DATA STT PAGOS_'!J195</f>
        <v>3135337.1339999996</v>
      </c>
      <c r="F195" s="694">
        <f>+COEF_FCM!AG197</f>
        <v>1.2212778014E-3</v>
      </c>
      <c r="G195" s="693">
        <f t="shared" si="32"/>
        <v>3466428</v>
      </c>
      <c r="H195" s="695">
        <f t="shared" si="44"/>
        <v>331090.86600000039</v>
      </c>
      <c r="I195" s="641">
        <f t="shared" si="45"/>
        <v>0</v>
      </c>
      <c r="J195" s="696">
        <f t="shared" si="46"/>
        <v>331090.86600000039</v>
      </c>
      <c r="K195" s="693">
        <f t="shared" si="33"/>
        <v>180523</v>
      </c>
      <c r="L195" s="695">
        <f t="shared" si="34"/>
        <v>150567.86600000039</v>
      </c>
      <c r="M195" s="693">
        <f t="shared" si="35"/>
        <v>3285905</v>
      </c>
      <c r="N195" s="693">
        <f t="shared" si="36"/>
        <v>0</v>
      </c>
      <c r="O195" s="695">
        <f t="shared" si="37"/>
        <v>3285905</v>
      </c>
      <c r="P195" s="695">
        <f t="shared" si="38"/>
        <v>-180523</v>
      </c>
      <c r="Q195" s="697">
        <f t="shared" si="39"/>
        <v>1.2212778014E-3</v>
      </c>
      <c r="R195" s="694">
        <f t="shared" si="40"/>
        <v>-6.3601136399999995E-5</v>
      </c>
      <c r="S195" s="693">
        <v>0</v>
      </c>
      <c r="T195" s="695">
        <f t="shared" si="41"/>
        <v>3285905</v>
      </c>
      <c r="U195" s="695">
        <f t="shared" si="42"/>
        <v>3285905</v>
      </c>
      <c r="V195" s="693">
        <f t="shared" si="43"/>
        <v>0</v>
      </c>
      <c r="W195" s="697"/>
      <c r="X195" s="698" t="s">
        <v>408</v>
      </c>
      <c r="Y195" s="678">
        <v>0</v>
      </c>
      <c r="Z195" s="678">
        <v>2104875</v>
      </c>
      <c r="AA195" s="678">
        <v>2104875</v>
      </c>
      <c r="AB195" s="699">
        <f t="shared" si="47"/>
        <v>1.561092701466833</v>
      </c>
      <c r="AC195" s="700"/>
      <c r="AD195" s="701"/>
    </row>
    <row r="196" spans="1:30" s="639" customFormat="1" x14ac:dyDescent="0.25">
      <c r="A196" s="639">
        <v>190</v>
      </c>
      <c r="B196" s="639">
        <f>+'_DATA STT PAGOS_'!M196</f>
        <v>9116</v>
      </c>
      <c r="C196" s="639" t="str">
        <f>+'_DATA STT PAGOS_'!O196</f>
        <v>SAAVEDRA</v>
      </c>
      <c r="D196" s="693">
        <f>+'_DATA STT PAGOS_'!G196</f>
        <v>0</v>
      </c>
      <c r="E196" s="693">
        <f>+'_DATA STT PAGOS_'!J196</f>
        <v>6170485.1609999994</v>
      </c>
      <c r="F196" s="694">
        <f>+COEF_FCM!AG198</f>
        <v>2.7115601981999998E-3</v>
      </c>
      <c r="G196" s="693">
        <f t="shared" si="32"/>
        <v>7696387</v>
      </c>
      <c r="H196" s="695">
        <f t="shared" si="44"/>
        <v>1525901.8390000006</v>
      </c>
      <c r="I196" s="641">
        <f t="shared" si="45"/>
        <v>0</v>
      </c>
      <c r="J196" s="696">
        <f t="shared" si="46"/>
        <v>1525901.8390000006</v>
      </c>
      <c r="K196" s="693">
        <f t="shared" si="33"/>
        <v>831980</v>
      </c>
      <c r="L196" s="695">
        <f t="shared" si="34"/>
        <v>693921.83900000062</v>
      </c>
      <c r="M196" s="693">
        <f t="shared" si="35"/>
        <v>6864407</v>
      </c>
      <c r="N196" s="693">
        <f t="shared" si="36"/>
        <v>0</v>
      </c>
      <c r="O196" s="695">
        <f t="shared" si="37"/>
        <v>6864407</v>
      </c>
      <c r="P196" s="695">
        <f t="shared" si="38"/>
        <v>-831980</v>
      </c>
      <c r="Q196" s="697">
        <f t="shared" si="39"/>
        <v>2.7115601981999998E-3</v>
      </c>
      <c r="R196" s="694">
        <f t="shared" si="40"/>
        <v>-2.9311984310000002E-4</v>
      </c>
      <c r="S196" s="693">
        <v>0</v>
      </c>
      <c r="T196" s="695">
        <f t="shared" si="41"/>
        <v>6864407</v>
      </c>
      <c r="U196" s="695">
        <f t="shared" si="42"/>
        <v>6864407</v>
      </c>
      <c r="V196" s="693">
        <f t="shared" si="43"/>
        <v>0</v>
      </c>
      <c r="W196" s="697"/>
      <c r="X196" s="698" t="s">
        <v>223</v>
      </c>
      <c r="Y196" s="678">
        <v>0</v>
      </c>
      <c r="Z196" s="678">
        <v>4133418</v>
      </c>
      <c r="AA196" s="678">
        <v>4133418</v>
      </c>
      <c r="AB196" s="699">
        <f t="shared" si="47"/>
        <v>1.6607096112708659</v>
      </c>
      <c r="AC196" s="700"/>
      <c r="AD196" s="701"/>
    </row>
    <row r="197" spans="1:30" s="639" customFormat="1" x14ac:dyDescent="0.25">
      <c r="A197" s="639">
        <v>191</v>
      </c>
      <c r="B197" s="639">
        <f>+'_DATA STT PAGOS_'!M197</f>
        <v>9117</v>
      </c>
      <c r="C197" s="639" t="str">
        <f>+'_DATA STT PAGOS_'!O197</f>
        <v>TEODORO SCHMIDT</v>
      </c>
      <c r="D197" s="693">
        <f>+'_DATA STT PAGOS_'!G197</f>
        <v>0</v>
      </c>
      <c r="E197" s="693">
        <f>+'_DATA STT PAGOS_'!J197</f>
        <v>6064019.227</v>
      </c>
      <c r="F197" s="694">
        <f>+COEF_FCM!AG199</f>
        <v>2.6638900212E-3</v>
      </c>
      <c r="G197" s="693">
        <f t="shared" si="32"/>
        <v>7561082</v>
      </c>
      <c r="H197" s="695">
        <f t="shared" si="44"/>
        <v>1497062.773</v>
      </c>
      <c r="I197" s="641">
        <f t="shared" si="45"/>
        <v>0</v>
      </c>
      <c r="J197" s="696">
        <f t="shared" si="46"/>
        <v>1497062.773</v>
      </c>
      <c r="K197" s="693">
        <f t="shared" si="33"/>
        <v>816255</v>
      </c>
      <c r="L197" s="695">
        <f t="shared" si="34"/>
        <v>680807.77300000004</v>
      </c>
      <c r="M197" s="693">
        <f t="shared" si="35"/>
        <v>6744827</v>
      </c>
      <c r="N197" s="693">
        <f t="shared" si="36"/>
        <v>0</v>
      </c>
      <c r="O197" s="695">
        <f t="shared" si="37"/>
        <v>6744827</v>
      </c>
      <c r="P197" s="695">
        <f t="shared" si="38"/>
        <v>-816255</v>
      </c>
      <c r="Q197" s="697">
        <f t="shared" si="39"/>
        <v>2.6638900212E-3</v>
      </c>
      <c r="R197" s="694">
        <f t="shared" si="40"/>
        <v>-2.8757967450000001E-4</v>
      </c>
      <c r="S197" s="693">
        <v>0</v>
      </c>
      <c r="T197" s="695">
        <f t="shared" si="41"/>
        <v>6744827</v>
      </c>
      <c r="U197" s="695">
        <f t="shared" si="42"/>
        <v>6744827</v>
      </c>
      <c r="V197" s="693">
        <f t="shared" si="43"/>
        <v>0</v>
      </c>
      <c r="W197" s="697"/>
      <c r="X197" s="698" t="s">
        <v>229</v>
      </c>
      <c r="Y197" s="678">
        <v>0</v>
      </c>
      <c r="Z197" s="678">
        <v>3833427</v>
      </c>
      <c r="AA197" s="678">
        <v>3833427</v>
      </c>
      <c r="AB197" s="699">
        <f t="shared" si="47"/>
        <v>1.7594770945162121</v>
      </c>
      <c r="AC197" s="700"/>
      <c r="AD197" s="701"/>
    </row>
    <row r="198" spans="1:30" s="639" customFormat="1" x14ac:dyDescent="0.25">
      <c r="A198" s="639">
        <v>192</v>
      </c>
      <c r="B198" s="639">
        <f>+'_DATA STT PAGOS_'!M198</f>
        <v>9118</v>
      </c>
      <c r="C198" s="639" t="str">
        <f>+'_DATA STT PAGOS_'!O198</f>
        <v>TOLTÉN</v>
      </c>
      <c r="D198" s="693">
        <f>+'_DATA STT PAGOS_'!G198</f>
        <v>0</v>
      </c>
      <c r="E198" s="693">
        <f>+'_DATA STT PAGOS_'!J198</f>
        <v>5040662.0310000004</v>
      </c>
      <c r="F198" s="694">
        <f>+COEF_FCM!AG200</f>
        <v>2.0478180833E-3</v>
      </c>
      <c r="G198" s="693">
        <f t="shared" si="32"/>
        <v>5812447</v>
      </c>
      <c r="H198" s="695">
        <f t="shared" si="44"/>
        <v>771784.96899999958</v>
      </c>
      <c r="I198" s="641">
        <f t="shared" si="45"/>
        <v>0</v>
      </c>
      <c r="J198" s="696">
        <f t="shared" si="46"/>
        <v>771784.96899999958</v>
      </c>
      <c r="K198" s="693">
        <f t="shared" si="33"/>
        <v>420806</v>
      </c>
      <c r="L198" s="695">
        <f t="shared" si="34"/>
        <v>350978.96899999958</v>
      </c>
      <c r="M198" s="693">
        <f t="shared" si="35"/>
        <v>5391641</v>
      </c>
      <c r="N198" s="693">
        <f t="shared" si="36"/>
        <v>0</v>
      </c>
      <c r="O198" s="695">
        <f t="shared" si="37"/>
        <v>5391641</v>
      </c>
      <c r="P198" s="695">
        <f t="shared" si="38"/>
        <v>-420806</v>
      </c>
      <c r="Q198" s="697">
        <f t="shared" si="39"/>
        <v>2.0478180833E-3</v>
      </c>
      <c r="R198" s="694">
        <f t="shared" si="40"/>
        <v>-1.4825667530000001E-4</v>
      </c>
      <c r="S198" s="693">
        <v>0</v>
      </c>
      <c r="T198" s="695">
        <f t="shared" si="41"/>
        <v>5391641</v>
      </c>
      <c r="U198" s="695">
        <f t="shared" si="42"/>
        <v>5391641</v>
      </c>
      <c r="V198" s="693">
        <f t="shared" si="43"/>
        <v>0</v>
      </c>
      <c r="W198" s="697"/>
      <c r="X198" s="698" t="s">
        <v>409</v>
      </c>
      <c r="Y198" s="678">
        <v>0</v>
      </c>
      <c r="Z198" s="678">
        <v>3294867</v>
      </c>
      <c r="AA198" s="678">
        <v>3294867</v>
      </c>
      <c r="AB198" s="699">
        <f t="shared" si="47"/>
        <v>1.6363759144147549</v>
      </c>
      <c r="AC198" s="700"/>
      <c r="AD198" s="701"/>
    </row>
    <row r="199" spans="1:30" s="639" customFormat="1" x14ac:dyDescent="0.25">
      <c r="A199" s="639">
        <v>193</v>
      </c>
      <c r="B199" s="639">
        <f>+'_DATA STT PAGOS_'!M199</f>
        <v>9119</v>
      </c>
      <c r="C199" s="639" t="str">
        <f>+'_DATA STT PAGOS_'!O199</f>
        <v>VILCÚN</v>
      </c>
      <c r="D199" s="693">
        <f>+'_DATA STT PAGOS_'!G199</f>
        <v>0</v>
      </c>
      <c r="E199" s="693">
        <f>+'_DATA STT PAGOS_'!J199</f>
        <v>7880602.0020000003</v>
      </c>
      <c r="F199" s="694">
        <f>+COEF_FCM!AG201</f>
        <v>3.5019801381000002E-3</v>
      </c>
      <c r="G199" s="693">
        <f t="shared" ref="G199:G262" si="48">ROUND(F199*$G$4,0)</f>
        <v>9939885</v>
      </c>
      <c r="H199" s="695">
        <f t="shared" si="44"/>
        <v>2059282.9979999997</v>
      </c>
      <c r="I199" s="641">
        <f t="shared" si="45"/>
        <v>0</v>
      </c>
      <c r="J199" s="696">
        <f t="shared" si="46"/>
        <v>2059282.9979999997</v>
      </c>
      <c r="K199" s="693">
        <f t="shared" ref="K199:K262" si="49">IF(J199&gt;0,ROUND(J199*$J$3,0),0)</f>
        <v>1122799</v>
      </c>
      <c r="L199" s="695">
        <f t="shared" ref="L199:L262" si="50">+J199-K199</f>
        <v>936483.99799999967</v>
      </c>
      <c r="M199" s="693">
        <f t="shared" ref="M199:M262" si="51">IF(L199&gt;0,ROUND(G199-K199,0),0)</f>
        <v>8817086</v>
      </c>
      <c r="N199" s="693">
        <f t="shared" ref="N199:N262" si="52">IF(I199&lt;0,ROUND(E199,0),0)</f>
        <v>0</v>
      </c>
      <c r="O199" s="695">
        <f t="shared" ref="O199:O262" si="53">ROUND(M199+N199,0)</f>
        <v>8817086</v>
      </c>
      <c r="P199" s="695">
        <f t="shared" ref="P199:P262" si="54">+O199-G199</f>
        <v>-1122799</v>
      </c>
      <c r="Q199" s="697">
        <f t="shared" ref="Q199:Q262" si="55">+F199</f>
        <v>3.5019801381000002E-3</v>
      </c>
      <c r="R199" s="694">
        <f t="shared" ref="R199:R262" si="56">ROUND(P199/$O$4,DEC)</f>
        <v>-3.9558002209999998E-4</v>
      </c>
      <c r="S199" s="693">
        <v>0</v>
      </c>
      <c r="T199" s="695">
        <f t="shared" ref="T199:T262" si="57">+O199+S199</f>
        <v>8817086</v>
      </c>
      <c r="U199" s="695">
        <f t="shared" ref="U199:U262" si="58">+O199</f>
        <v>8817086</v>
      </c>
      <c r="V199" s="693">
        <f t="shared" ref="V199:V262" si="59">IF(I199&lt;0,ROUND(ABS(I199),0),0)</f>
        <v>0</v>
      </c>
      <c r="W199" s="697"/>
      <c r="X199" s="698" t="s">
        <v>410</v>
      </c>
      <c r="Y199" s="678">
        <v>0</v>
      </c>
      <c r="Z199" s="678">
        <v>5239319</v>
      </c>
      <c r="AA199" s="678">
        <v>5239319</v>
      </c>
      <c r="AB199" s="699">
        <f t="shared" si="47"/>
        <v>1.682868708700501</v>
      </c>
      <c r="AC199" s="700"/>
      <c r="AD199" s="701"/>
    </row>
    <row r="200" spans="1:30" s="639" customFormat="1" x14ac:dyDescent="0.25">
      <c r="A200" s="639">
        <v>194</v>
      </c>
      <c r="B200" s="639">
        <f>+'_DATA STT PAGOS_'!M200</f>
        <v>9120</v>
      </c>
      <c r="C200" s="639" t="str">
        <f>+'_DATA STT PAGOS_'!O200</f>
        <v>VILLARRICA</v>
      </c>
      <c r="D200" s="693">
        <f>+'_DATA STT PAGOS_'!G200</f>
        <v>0</v>
      </c>
      <c r="E200" s="693">
        <f>+'_DATA STT PAGOS_'!J200</f>
        <v>6257033.4950000001</v>
      </c>
      <c r="F200" s="694">
        <f>+COEF_FCM!AG202</f>
        <v>2.0876693739999997E-3</v>
      </c>
      <c r="G200" s="693">
        <f t="shared" si="48"/>
        <v>5925560</v>
      </c>
      <c r="H200" s="695">
        <f t="shared" ref="H200:H263" si="60">G200-E200</f>
        <v>-331473.49500000011</v>
      </c>
      <c r="I200" s="641">
        <f t="shared" ref="I200:I263" si="61">IF(H200&lt;0,ROUND(H200,0),0)</f>
        <v>-331473</v>
      </c>
      <c r="J200" s="696">
        <f t="shared" ref="J200:J263" si="62">IF(H200&gt;0,H200,0)</f>
        <v>0</v>
      </c>
      <c r="K200" s="693">
        <f t="shared" si="49"/>
        <v>0</v>
      </c>
      <c r="L200" s="695">
        <f t="shared" si="50"/>
        <v>0</v>
      </c>
      <c r="M200" s="693">
        <f t="shared" si="51"/>
        <v>0</v>
      </c>
      <c r="N200" s="693">
        <f t="shared" si="52"/>
        <v>6257033</v>
      </c>
      <c r="O200" s="695">
        <f t="shared" si="53"/>
        <v>6257033</v>
      </c>
      <c r="P200" s="695">
        <f t="shared" si="54"/>
        <v>331473</v>
      </c>
      <c r="Q200" s="697">
        <f t="shared" si="55"/>
        <v>2.0876693739999997E-3</v>
      </c>
      <c r="R200" s="694">
        <f t="shared" si="56"/>
        <v>1.167832325E-4</v>
      </c>
      <c r="S200" s="693">
        <v>0</v>
      </c>
      <c r="T200" s="695">
        <f t="shared" si="57"/>
        <v>6257033</v>
      </c>
      <c r="U200" s="695">
        <f t="shared" si="58"/>
        <v>6257033</v>
      </c>
      <c r="V200" s="693">
        <f t="shared" si="59"/>
        <v>331473</v>
      </c>
      <c r="W200" s="697"/>
      <c r="X200" s="698" t="s">
        <v>226</v>
      </c>
      <c r="Y200" s="678">
        <v>0</v>
      </c>
      <c r="Z200" s="678">
        <v>4903429</v>
      </c>
      <c r="AA200" s="678">
        <v>4903429</v>
      </c>
      <c r="AB200" s="699">
        <f t="shared" ref="AB200:AB263" si="63">T200/Z200</f>
        <v>1.2760525338492716</v>
      </c>
      <c r="AC200" s="700"/>
      <c r="AD200" s="701"/>
    </row>
    <row r="201" spans="1:30" s="639" customFormat="1" x14ac:dyDescent="0.25">
      <c r="A201" s="639">
        <v>195</v>
      </c>
      <c r="B201" s="639">
        <f>+'_DATA STT PAGOS_'!M201</f>
        <v>9121</v>
      </c>
      <c r="C201" s="639" t="str">
        <f>+'_DATA STT PAGOS_'!O201</f>
        <v>CHOLCHOL</v>
      </c>
      <c r="D201" s="693">
        <f>+'_DATA STT PAGOS_'!G201</f>
        <v>0</v>
      </c>
      <c r="E201" s="693">
        <f>+'_DATA STT PAGOS_'!J201</f>
        <v>4753009.7420000006</v>
      </c>
      <c r="F201" s="694">
        <f>+COEF_FCM!AG203</f>
        <v>1.9580187297999997E-3</v>
      </c>
      <c r="G201" s="693">
        <f t="shared" si="48"/>
        <v>5557564</v>
      </c>
      <c r="H201" s="695">
        <f t="shared" si="60"/>
        <v>804554.25799999945</v>
      </c>
      <c r="I201" s="641">
        <f t="shared" si="61"/>
        <v>0</v>
      </c>
      <c r="J201" s="696">
        <f t="shared" si="62"/>
        <v>804554.25799999945</v>
      </c>
      <c r="K201" s="693">
        <f t="shared" si="49"/>
        <v>438673</v>
      </c>
      <c r="L201" s="695">
        <f t="shared" si="50"/>
        <v>365881.25799999945</v>
      </c>
      <c r="M201" s="693">
        <f t="shared" si="51"/>
        <v>5118891</v>
      </c>
      <c r="N201" s="693">
        <f t="shared" si="52"/>
        <v>0</v>
      </c>
      <c r="O201" s="695">
        <f t="shared" si="53"/>
        <v>5118891</v>
      </c>
      <c r="P201" s="695">
        <f t="shared" si="54"/>
        <v>-438673</v>
      </c>
      <c r="Q201" s="697">
        <f t="shared" si="55"/>
        <v>1.9580187297999997E-3</v>
      </c>
      <c r="R201" s="694">
        <f t="shared" si="56"/>
        <v>-1.5455150480000001E-4</v>
      </c>
      <c r="S201" s="693">
        <v>0</v>
      </c>
      <c r="T201" s="695">
        <f t="shared" si="57"/>
        <v>5118891</v>
      </c>
      <c r="U201" s="695">
        <f t="shared" si="58"/>
        <v>5118891</v>
      </c>
      <c r="V201" s="693">
        <f t="shared" si="59"/>
        <v>0</v>
      </c>
      <c r="W201" s="697"/>
      <c r="X201" s="698" t="s">
        <v>231</v>
      </c>
      <c r="Y201" s="678">
        <v>0</v>
      </c>
      <c r="Z201" s="678">
        <v>3211461</v>
      </c>
      <c r="AA201" s="678">
        <v>3211461</v>
      </c>
      <c r="AB201" s="699">
        <f t="shared" si="63"/>
        <v>1.5939446252032954</v>
      </c>
      <c r="AC201" s="700"/>
      <c r="AD201" s="701"/>
    </row>
    <row r="202" spans="1:30" s="639" customFormat="1" x14ac:dyDescent="0.25">
      <c r="A202" s="639">
        <v>196</v>
      </c>
      <c r="B202" s="639">
        <f>+'_DATA STT PAGOS_'!M202</f>
        <v>9201</v>
      </c>
      <c r="C202" s="639" t="str">
        <f>+'_DATA STT PAGOS_'!O202</f>
        <v>ANGOL</v>
      </c>
      <c r="D202" s="693">
        <f>+'_DATA STT PAGOS_'!G202</f>
        <v>0</v>
      </c>
      <c r="E202" s="693">
        <f>+'_DATA STT PAGOS_'!J202</f>
        <v>12510291.507000001</v>
      </c>
      <c r="F202" s="694">
        <f>+COEF_FCM!AG204</f>
        <v>4.7473647202999998E-3</v>
      </c>
      <c r="G202" s="693">
        <f t="shared" si="48"/>
        <v>13474736</v>
      </c>
      <c r="H202" s="695">
        <f t="shared" si="60"/>
        <v>964444.49299999885</v>
      </c>
      <c r="I202" s="641">
        <f t="shared" si="61"/>
        <v>0</v>
      </c>
      <c r="J202" s="696">
        <f t="shared" si="62"/>
        <v>964444.49299999885</v>
      </c>
      <c r="K202" s="693">
        <f t="shared" si="49"/>
        <v>525852</v>
      </c>
      <c r="L202" s="695">
        <f t="shared" si="50"/>
        <v>438592.49299999885</v>
      </c>
      <c r="M202" s="693">
        <f t="shared" si="51"/>
        <v>12948884</v>
      </c>
      <c r="N202" s="693">
        <f t="shared" si="52"/>
        <v>0</v>
      </c>
      <c r="O202" s="695">
        <f t="shared" si="53"/>
        <v>12948884</v>
      </c>
      <c r="P202" s="695">
        <f t="shared" si="54"/>
        <v>-525852</v>
      </c>
      <c r="Q202" s="697">
        <f t="shared" si="55"/>
        <v>4.7473647202999998E-3</v>
      </c>
      <c r="R202" s="694">
        <f t="shared" si="56"/>
        <v>-1.8526605899999999E-4</v>
      </c>
      <c r="S202" s="693">
        <v>0</v>
      </c>
      <c r="T202" s="695">
        <f t="shared" si="57"/>
        <v>12948884</v>
      </c>
      <c r="U202" s="695">
        <f t="shared" si="58"/>
        <v>12948884</v>
      </c>
      <c r="V202" s="693">
        <f t="shared" si="59"/>
        <v>0</v>
      </c>
      <c r="W202" s="697"/>
      <c r="X202" s="698" t="s">
        <v>207</v>
      </c>
      <c r="Y202" s="678">
        <v>0</v>
      </c>
      <c r="Z202" s="678">
        <v>8500664</v>
      </c>
      <c r="AA202" s="678">
        <v>8500664</v>
      </c>
      <c r="AB202" s="699">
        <f t="shared" si="63"/>
        <v>1.5232791226661824</v>
      </c>
      <c r="AC202" s="700"/>
      <c r="AD202" s="701"/>
    </row>
    <row r="203" spans="1:30" s="639" customFormat="1" x14ac:dyDescent="0.25">
      <c r="A203" s="639">
        <v>197</v>
      </c>
      <c r="B203" s="639">
        <f>+'_DATA STT PAGOS_'!M203</f>
        <v>9202</v>
      </c>
      <c r="C203" s="639" t="str">
        <f>+'_DATA STT PAGOS_'!O203</f>
        <v>COLLIPULLI</v>
      </c>
      <c r="D203" s="693">
        <f>+'_DATA STT PAGOS_'!G203</f>
        <v>0</v>
      </c>
      <c r="E203" s="693">
        <f>+'_DATA STT PAGOS_'!J203</f>
        <v>5703802.5120000001</v>
      </c>
      <c r="F203" s="694">
        <f>+COEF_FCM!AG205</f>
        <v>2.4549750041000002E-3</v>
      </c>
      <c r="G203" s="693">
        <f t="shared" si="48"/>
        <v>6968106</v>
      </c>
      <c r="H203" s="695">
        <f t="shared" si="60"/>
        <v>1264303.4879999999</v>
      </c>
      <c r="I203" s="641">
        <f t="shared" si="61"/>
        <v>0</v>
      </c>
      <c r="J203" s="696">
        <f t="shared" si="62"/>
        <v>1264303.4879999999</v>
      </c>
      <c r="K203" s="693">
        <f t="shared" si="49"/>
        <v>689346</v>
      </c>
      <c r="L203" s="695">
        <f t="shared" si="50"/>
        <v>574957.4879999999</v>
      </c>
      <c r="M203" s="693">
        <f t="shared" si="51"/>
        <v>6278760</v>
      </c>
      <c r="N203" s="693">
        <f t="shared" si="52"/>
        <v>0</v>
      </c>
      <c r="O203" s="695">
        <f t="shared" si="53"/>
        <v>6278760</v>
      </c>
      <c r="P203" s="695">
        <f t="shared" si="54"/>
        <v>-689346</v>
      </c>
      <c r="Q203" s="697">
        <f t="shared" si="55"/>
        <v>2.4549750041000002E-3</v>
      </c>
      <c r="R203" s="694">
        <f t="shared" si="56"/>
        <v>-2.4286760669999999E-4</v>
      </c>
      <c r="S203" s="693">
        <v>0</v>
      </c>
      <c r="T203" s="695">
        <f t="shared" si="57"/>
        <v>6278760</v>
      </c>
      <c r="U203" s="695">
        <f t="shared" si="58"/>
        <v>6278760</v>
      </c>
      <c r="V203" s="693">
        <f t="shared" si="59"/>
        <v>0</v>
      </c>
      <c r="W203" s="697"/>
      <c r="X203" s="698" t="s">
        <v>210</v>
      </c>
      <c r="Y203" s="678">
        <v>0</v>
      </c>
      <c r="Z203" s="678">
        <v>3988416</v>
      </c>
      <c r="AA203" s="678">
        <v>3988416</v>
      </c>
      <c r="AB203" s="699">
        <f t="shared" si="63"/>
        <v>1.5742490251769123</v>
      </c>
      <c r="AC203" s="700"/>
      <c r="AD203" s="701"/>
    </row>
    <row r="204" spans="1:30" s="639" customFormat="1" x14ac:dyDescent="0.25">
      <c r="A204" s="639">
        <v>198</v>
      </c>
      <c r="B204" s="639">
        <f>+'_DATA STT PAGOS_'!M204</f>
        <v>9203</v>
      </c>
      <c r="C204" s="639" t="str">
        <f>+'_DATA STT PAGOS_'!O204</f>
        <v>CURACAUTÍN</v>
      </c>
      <c r="D204" s="693">
        <f>+'_DATA STT PAGOS_'!G204</f>
        <v>0</v>
      </c>
      <c r="E204" s="693">
        <f>+'_DATA STT PAGOS_'!J204</f>
        <v>7718090.3119999999</v>
      </c>
      <c r="F204" s="694">
        <f>+COEF_FCM!AG206</f>
        <v>3.7299494420000002E-3</v>
      </c>
      <c r="G204" s="693">
        <f t="shared" si="48"/>
        <v>10586944</v>
      </c>
      <c r="H204" s="695">
        <f t="shared" si="60"/>
        <v>2868853.6880000001</v>
      </c>
      <c r="I204" s="641">
        <f t="shared" si="61"/>
        <v>0</v>
      </c>
      <c r="J204" s="696">
        <f t="shared" si="62"/>
        <v>2868853.6880000001</v>
      </c>
      <c r="K204" s="693">
        <f t="shared" si="49"/>
        <v>1564208</v>
      </c>
      <c r="L204" s="695">
        <f t="shared" si="50"/>
        <v>1304645.6880000001</v>
      </c>
      <c r="M204" s="693">
        <f t="shared" si="51"/>
        <v>9022736</v>
      </c>
      <c r="N204" s="693">
        <f t="shared" si="52"/>
        <v>0</v>
      </c>
      <c r="O204" s="695">
        <f t="shared" si="53"/>
        <v>9022736</v>
      </c>
      <c r="P204" s="695">
        <f t="shared" si="54"/>
        <v>-1564208</v>
      </c>
      <c r="Q204" s="697">
        <f t="shared" si="55"/>
        <v>3.7299494420000002E-3</v>
      </c>
      <c r="R204" s="694">
        <f t="shared" si="56"/>
        <v>-5.5109546340000005E-4</v>
      </c>
      <c r="S204" s="693">
        <v>0</v>
      </c>
      <c r="T204" s="695">
        <f t="shared" si="57"/>
        <v>9022736</v>
      </c>
      <c r="U204" s="695">
        <f t="shared" si="58"/>
        <v>9022736</v>
      </c>
      <c r="V204" s="693">
        <f t="shared" si="59"/>
        <v>0</v>
      </c>
      <c r="W204" s="697"/>
      <c r="X204" s="698" t="s">
        <v>411</v>
      </c>
      <c r="Y204" s="678">
        <v>0</v>
      </c>
      <c r="Z204" s="678">
        <v>4086787</v>
      </c>
      <c r="AA204" s="678">
        <v>4086787</v>
      </c>
      <c r="AB204" s="699">
        <f t="shared" si="63"/>
        <v>2.2077822993955887</v>
      </c>
      <c r="AC204" s="700"/>
      <c r="AD204" s="701"/>
    </row>
    <row r="205" spans="1:30" s="639" customFormat="1" x14ac:dyDescent="0.25">
      <c r="A205" s="639">
        <v>199</v>
      </c>
      <c r="B205" s="639">
        <f>+'_DATA STT PAGOS_'!M205</f>
        <v>9204</v>
      </c>
      <c r="C205" s="639" t="str">
        <f>+'_DATA STT PAGOS_'!O205</f>
        <v>ERCILLA</v>
      </c>
      <c r="D205" s="693">
        <f>+'_DATA STT PAGOS_'!G205</f>
        <v>0</v>
      </c>
      <c r="E205" s="693">
        <f>+'_DATA STT PAGOS_'!J205</f>
        <v>3781884.4810000001</v>
      </c>
      <c r="F205" s="694">
        <f>+COEF_FCM!AG207</f>
        <v>1.6268306062E-3</v>
      </c>
      <c r="G205" s="693">
        <f t="shared" si="48"/>
        <v>4617533</v>
      </c>
      <c r="H205" s="695">
        <f t="shared" si="60"/>
        <v>835648.51899999985</v>
      </c>
      <c r="I205" s="641">
        <f t="shared" si="61"/>
        <v>0</v>
      </c>
      <c r="J205" s="696">
        <f t="shared" si="62"/>
        <v>835648.51899999985</v>
      </c>
      <c r="K205" s="693">
        <f t="shared" si="49"/>
        <v>455627</v>
      </c>
      <c r="L205" s="695">
        <f t="shared" si="50"/>
        <v>380021.51899999985</v>
      </c>
      <c r="M205" s="693">
        <f t="shared" si="51"/>
        <v>4161906</v>
      </c>
      <c r="N205" s="693">
        <f t="shared" si="52"/>
        <v>0</v>
      </c>
      <c r="O205" s="695">
        <f t="shared" si="53"/>
        <v>4161906</v>
      </c>
      <c r="P205" s="695">
        <f t="shared" si="54"/>
        <v>-455627</v>
      </c>
      <c r="Q205" s="697">
        <f t="shared" si="55"/>
        <v>1.6268306062E-3</v>
      </c>
      <c r="R205" s="694">
        <f t="shared" si="56"/>
        <v>-1.6052466979999999E-4</v>
      </c>
      <c r="S205" s="693">
        <v>0</v>
      </c>
      <c r="T205" s="695">
        <f t="shared" si="57"/>
        <v>4161906</v>
      </c>
      <c r="U205" s="695">
        <f t="shared" si="58"/>
        <v>4161906</v>
      </c>
      <c r="V205" s="693">
        <f t="shared" si="59"/>
        <v>0</v>
      </c>
      <c r="W205" s="697"/>
      <c r="X205" s="698" t="s">
        <v>211</v>
      </c>
      <c r="Y205" s="678">
        <v>0</v>
      </c>
      <c r="Z205" s="678">
        <v>2436785</v>
      </c>
      <c r="AA205" s="678">
        <v>2436785</v>
      </c>
      <c r="AB205" s="699">
        <f t="shared" si="63"/>
        <v>1.7079496139380372</v>
      </c>
      <c r="AC205" s="700"/>
      <c r="AD205" s="701"/>
    </row>
    <row r="206" spans="1:30" s="639" customFormat="1" x14ac:dyDescent="0.25">
      <c r="A206" s="639">
        <v>200</v>
      </c>
      <c r="B206" s="639">
        <f>+'_DATA STT PAGOS_'!M206</f>
        <v>9205</v>
      </c>
      <c r="C206" s="639" t="str">
        <f>+'_DATA STT PAGOS_'!O206</f>
        <v>LONQUIMAY</v>
      </c>
      <c r="D206" s="693">
        <f>+'_DATA STT PAGOS_'!G206</f>
        <v>0</v>
      </c>
      <c r="E206" s="693">
        <f>+'_DATA STT PAGOS_'!J206</f>
        <v>5332079.7949999999</v>
      </c>
      <c r="F206" s="694">
        <f>+COEF_FCM!AG208</f>
        <v>2.1462341981999997E-3</v>
      </c>
      <c r="G206" s="693">
        <f t="shared" si="48"/>
        <v>6091788</v>
      </c>
      <c r="H206" s="695">
        <f t="shared" si="60"/>
        <v>759708.20500000007</v>
      </c>
      <c r="I206" s="641">
        <f t="shared" si="61"/>
        <v>0</v>
      </c>
      <c r="J206" s="696">
        <f t="shared" si="62"/>
        <v>759708.20500000007</v>
      </c>
      <c r="K206" s="693">
        <f t="shared" si="49"/>
        <v>414222</v>
      </c>
      <c r="L206" s="695">
        <f t="shared" si="50"/>
        <v>345486.20500000007</v>
      </c>
      <c r="M206" s="693">
        <f t="shared" si="51"/>
        <v>5677566</v>
      </c>
      <c r="N206" s="693">
        <f t="shared" si="52"/>
        <v>0</v>
      </c>
      <c r="O206" s="695">
        <f t="shared" si="53"/>
        <v>5677566</v>
      </c>
      <c r="P206" s="695">
        <f t="shared" si="54"/>
        <v>-414222</v>
      </c>
      <c r="Q206" s="697">
        <f t="shared" si="55"/>
        <v>2.1462341981999997E-3</v>
      </c>
      <c r="R206" s="694">
        <f t="shared" si="56"/>
        <v>-1.459370269E-4</v>
      </c>
      <c r="S206" s="693">
        <v>0</v>
      </c>
      <c r="T206" s="695">
        <f t="shared" si="57"/>
        <v>5677566</v>
      </c>
      <c r="U206" s="695">
        <f t="shared" si="58"/>
        <v>5677566</v>
      </c>
      <c r="V206" s="693">
        <f t="shared" si="59"/>
        <v>0</v>
      </c>
      <c r="W206" s="697"/>
      <c r="X206" s="698" t="s">
        <v>214</v>
      </c>
      <c r="Y206" s="678">
        <v>0</v>
      </c>
      <c r="Z206" s="678">
        <v>3438737</v>
      </c>
      <c r="AA206" s="678">
        <v>3438737</v>
      </c>
      <c r="AB206" s="699">
        <f t="shared" si="63"/>
        <v>1.6510614216789479</v>
      </c>
      <c r="AC206" s="700"/>
      <c r="AD206" s="701"/>
    </row>
    <row r="207" spans="1:30" s="639" customFormat="1" x14ac:dyDescent="0.25">
      <c r="A207" s="639">
        <v>201</v>
      </c>
      <c r="B207" s="639">
        <f>+'_DATA STT PAGOS_'!M207</f>
        <v>9206</v>
      </c>
      <c r="C207" s="639" t="str">
        <f>+'_DATA STT PAGOS_'!O207</f>
        <v>LOS SAUCES</v>
      </c>
      <c r="D207" s="693">
        <f>+'_DATA STT PAGOS_'!G207</f>
        <v>0</v>
      </c>
      <c r="E207" s="693">
        <f>+'_DATA STT PAGOS_'!J207</f>
        <v>3525305.3940000003</v>
      </c>
      <c r="F207" s="694">
        <f>+COEF_FCM!AG209</f>
        <v>1.4300422417999998E-3</v>
      </c>
      <c r="G207" s="693">
        <f t="shared" si="48"/>
        <v>4058976</v>
      </c>
      <c r="H207" s="695">
        <f t="shared" si="60"/>
        <v>533670.60599999968</v>
      </c>
      <c r="I207" s="641">
        <f t="shared" si="61"/>
        <v>0</v>
      </c>
      <c r="J207" s="696">
        <f t="shared" si="62"/>
        <v>533670.60599999968</v>
      </c>
      <c r="K207" s="693">
        <f t="shared" si="49"/>
        <v>290977</v>
      </c>
      <c r="L207" s="695">
        <f t="shared" si="50"/>
        <v>242693.60599999968</v>
      </c>
      <c r="M207" s="693">
        <f t="shared" si="51"/>
        <v>3767999</v>
      </c>
      <c r="N207" s="693">
        <f t="shared" si="52"/>
        <v>0</v>
      </c>
      <c r="O207" s="695">
        <f t="shared" si="53"/>
        <v>3767999</v>
      </c>
      <c r="P207" s="695">
        <f t="shared" si="54"/>
        <v>-290977</v>
      </c>
      <c r="Q207" s="697">
        <f t="shared" si="55"/>
        <v>1.4300422417999998E-3</v>
      </c>
      <c r="R207" s="694">
        <f t="shared" si="56"/>
        <v>-1.025158449E-4</v>
      </c>
      <c r="S207" s="693">
        <v>0</v>
      </c>
      <c r="T207" s="695">
        <f t="shared" si="57"/>
        <v>3767999</v>
      </c>
      <c r="U207" s="695">
        <f t="shared" si="58"/>
        <v>3767999</v>
      </c>
      <c r="V207" s="693">
        <f t="shared" si="59"/>
        <v>0</v>
      </c>
      <c r="W207" s="697"/>
      <c r="X207" s="698" t="s">
        <v>208</v>
      </c>
      <c r="Y207" s="678">
        <v>0</v>
      </c>
      <c r="Z207" s="678">
        <v>2422327</v>
      </c>
      <c r="AA207" s="678">
        <v>2422327</v>
      </c>
      <c r="AB207" s="699">
        <f t="shared" si="63"/>
        <v>1.5555286301147615</v>
      </c>
      <c r="AC207" s="700"/>
      <c r="AD207" s="701"/>
    </row>
    <row r="208" spans="1:30" s="639" customFormat="1" x14ac:dyDescent="0.25">
      <c r="A208" s="639">
        <v>202</v>
      </c>
      <c r="B208" s="639">
        <f>+'_DATA STT PAGOS_'!M208</f>
        <v>9207</v>
      </c>
      <c r="C208" s="639" t="str">
        <f>+'_DATA STT PAGOS_'!O208</f>
        <v>LUMACO</v>
      </c>
      <c r="D208" s="693">
        <f>+'_DATA STT PAGOS_'!G208</f>
        <v>0</v>
      </c>
      <c r="E208" s="693">
        <f>+'_DATA STT PAGOS_'!J208</f>
        <v>4185930.6340000005</v>
      </c>
      <c r="F208" s="694">
        <f>+COEF_FCM!AG210</f>
        <v>1.7798239346000001E-3</v>
      </c>
      <c r="G208" s="693">
        <f t="shared" si="48"/>
        <v>5051783</v>
      </c>
      <c r="H208" s="695">
        <f t="shared" si="60"/>
        <v>865852.36599999946</v>
      </c>
      <c r="I208" s="641">
        <f t="shared" si="61"/>
        <v>0</v>
      </c>
      <c r="J208" s="696">
        <f t="shared" si="62"/>
        <v>865852.36599999946</v>
      </c>
      <c r="K208" s="693">
        <f t="shared" si="49"/>
        <v>472096</v>
      </c>
      <c r="L208" s="695">
        <f t="shared" si="50"/>
        <v>393756.36599999946</v>
      </c>
      <c r="M208" s="693">
        <f t="shared" si="51"/>
        <v>4579687</v>
      </c>
      <c r="N208" s="693">
        <f t="shared" si="52"/>
        <v>0</v>
      </c>
      <c r="O208" s="695">
        <f t="shared" si="53"/>
        <v>4579687</v>
      </c>
      <c r="P208" s="695">
        <f t="shared" si="54"/>
        <v>-472096</v>
      </c>
      <c r="Q208" s="697">
        <f t="shared" si="55"/>
        <v>1.7798239346000001E-3</v>
      </c>
      <c r="R208" s="694">
        <f t="shared" si="56"/>
        <v>-1.6632696159999999E-4</v>
      </c>
      <c r="S208" s="693">
        <v>0</v>
      </c>
      <c r="T208" s="695">
        <f t="shared" si="57"/>
        <v>4579687</v>
      </c>
      <c r="U208" s="695">
        <f t="shared" si="58"/>
        <v>4579687</v>
      </c>
      <c r="V208" s="693">
        <f t="shared" si="59"/>
        <v>0</v>
      </c>
      <c r="W208" s="697"/>
      <c r="X208" s="698" t="s">
        <v>212</v>
      </c>
      <c r="Y208" s="678">
        <v>0</v>
      </c>
      <c r="Z208" s="678">
        <v>2825568</v>
      </c>
      <c r="AA208" s="678">
        <v>2825568</v>
      </c>
      <c r="AB208" s="699">
        <f t="shared" si="63"/>
        <v>1.6208022599349936</v>
      </c>
      <c r="AC208" s="700"/>
      <c r="AD208" s="701"/>
    </row>
    <row r="209" spans="1:30" s="639" customFormat="1" x14ac:dyDescent="0.25">
      <c r="A209" s="639">
        <v>203</v>
      </c>
      <c r="B209" s="639">
        <f>+'_DATA STT PAGOS_'!M209</f>
        <v>9208</v>
      </c>
      <c r="C209" s="639" t="str">
        <f>+'_DATA STT PAGOS_'!O209</f>
        <v>PURÉN</v>
      </c>
      <c r="D209" s="693">
        <f>+'_DATA STT PAGOS_'!G209</f>
        <v>0</v>
      </c>
      <c r="E209" s="693">
        <f>+'_DATA STT PAGOS_'!J209</f>
        <v>4747457.642</v>
      </c>
      <c r="F209" s="694">
        <f>+COEF_FCM!AG211</f>
        <v>1.9433562439000001E-3</v>
      </c>
      <c r="G209" s="693">
        <f t="shared" si="48"/>
        <v>5515947</v>
      </c>
      <c r="H209" s="695">
        <f t="shared" si="60"/>
        <v>768489.35800000001</v>
      </c>
      <c r="I209" s="641">
        <f t="shared" si="61"/>
        <v>0</v>
      </c>
      <c r="J209" s="696">
        <f t="shared" si="62"/>
        <v>768489.35800000001</v>
      </c>
      <c r="K209" s="693">
        <f t="shared" si="49"/>
        <v>419010</v>
      </c>
      <c r="L209" s="695">
        <f t="shared" si="50"/>
        <v>349479.35800000001</v>
      </c>
      <c r="M209" s="693">
        <f t="shared" si="51"/>
        <v>5096937</v>
      </c>
      <c r="N209" s="693">
        <f t="shared" si="52"/>
        <v>0</v>
      </c>
      <c r="O209" s="695">
        <f t="shared" si="53"/>
        <v>5096937</v>
      </c>
      <c r="P209" s="695">
        <f t="shared" si="54"/>
        <v>-419010</v>
      </c>
      <c r="Q209" s="697">
        <f t="shared" si="55"/>
        <v>1.9433562439000001E-3</v>
      </c>
      <c r="R209" s="694">
        <f t="shared" si="56"/>
        <v>-1.4762391580000001E-4</v>
      </c>
      <c r="S209" s="693">
        <v>0</v>
      </c>
      <c r="T209" s="695">
        <f t="shared" si="57"/>
        <v>5096937</v>
      </c>
      <c r="U209" s="695">
        <f t="shared" si="58"/>
        <v>5096937</v>
      </c>
      <c r="V209" s="693">
        <f t="shared" si="59"/>
        <v>0</v>
      </c>
      <c r="W209" s="697"/>
      <c r="X209" s="698" t="s">
        <v>412</v>
      </c>
      <c r="Y209" s="678">
        <v>0</v>
      </c>
      <c r="Z209" s="678">
        <v>3206328</v>
      </c>
      <c r="AA209" s="678">
        <v>3206328</v>
      </c>
      <c r="AB209" s="699">
        <f t="shared" si="63"/>
        <v>1.5896492810467302</v>
      </c>
      <c r="AC209" s="700"/>
      <c r="AD209" s="701"/>
    </row>
    <row r="210" spans="1:30" s="639" customFormat="1" x14ac:dyDescent="0.25">
      <c r="A210" s="639">
        <v>204</v>
      </c>
      <c r="B210" s="639">
        <f>+'_DATA STT PAGOS_'!M210</f>
        <v>9209</v>
      </c>
      <c r="C210" s="639" t="str">
        <f>+'_DATA STT PAGOS_'!O210</f>
        <v>RENAICO</v>
      </c>
      <c r="D210" s="693">
        <f>+'_DATA STT PAGOS_'!G210</f>
        <v>0</v>
      </c>
      <c r="E210" s="693">
        <f>+'_DATA STT PAGOS_'!J210</f>
        <v>3435098.2359999996</v>
      </c>
      <c r="F210" s="694">
        <f>+COEF_FCM!AG212</f>
        <v>1.4019406018999999E-3</v>
      </c>
      <c r="G210" s="693">
        <f t="shared" si="48"/>
        <v>3979214</v>
      </c>
      <c r="H210" s="695">
        <f t="shared" si="60"/>
        <v>544115.76400000043</v>
      </c>
      <c r="I210" s="641">
        <f t="shared" si="61"/>
        <v>0</v>
      </c>
      <c r="J210" s="696">
        <f t="shared" si="62"/>
        <v>544115.76400000043</v>
      </c>
      <c r="K210" s="693">
        <f t="shared" si="49"/>
        <v>296673</v>
      </c>
      <c r="L210" s="695">
        <f t="shared" si="50"/>
        <v>247442.76400000043</v>
      </c>
      <c r="M210" s="693">
        <f t="shared" si="51"/>
        <v>3682541</v>
      </c>
      <c r="N210" s="693">
        <f t="shared" si="52"/>
        <v>0</v>
      </c>
      <c r="O210" s="695">
        <f t="shared" si="53"/>
        <v>3682541</v>
      </c>
      <c r="P210" s="695">
        <f t="shared" si="54"/>
        <v>-296673</v>
      </c>
      <c r="Q210" s="697">
        <f t="shared" si="55"/>
        <v>1.4019406018999999E-3</v>
      </c>
      <c r="R210" s="694">
        <f t="shared" si="56"/>
        <v>-1.045226366E-4</v>
      </c>
      <c r="S210" s="693">
        <v>0</v>
      </c>
      <c r="T210" s="695">
        <f t="shared" si="57"/>
        <v>3682541</v>
      </c>
      <c r="U210" s="695">
        <f t="shared" si="58"/>
        <v>3682541</v>
      </c>
      <c r="V210" s="693">
        <f t="shared" si="59"/>
        <v>0</v>
      </c>
      <c r="W210" s="697"/>
      <c r="X210" s="698" t="s">
        <v>209</v>
      </c>
      <c r="Y210" s="678">
        <v>0</v>
      </c>
      <c r="Z210" s="678">
        <v>2399419</v>
      </c>
      <c r="AA210" s="678">
        <v>2399419</v>
      </c>
      <c r="AB210" s="699">
        <f t="shared" si="63"/>
        <v>1.5347636240273166</v>
      </c>
      <c r="AC210" s="700"/>
      <c r="AD210" s="701"/>
    </row>
    <row r="211" spans="1:30" s="639" customFormat="1" x14ac:dyDescent="0.25">
      <c r="A211" s="639">
        <v>205</v>
      </c>
      <c r="B211" s="639">
        <f>+'_DATA STT PAGOS_'!M211</f>
        <v>9210</v>
      </c>
      <c r="C211" s="639" t="str">
        <f>+'_DATA STT PAGOS_'!O211</f>
        <v>TRAIGUÉN</v>
      </c>
      <c r="D211" s="693">
        <f>+'_DATA STT PAGOS_'!G211</f>
        <v>0</v>
      </c>
      <c r="E211" s="693">
        <f>+'_DATA STT PAGOS_'!J211</f>
        <v>6215668.4840000002</v>
      </c>
      <c r="F211" s="694">
        <f>+COEF_FCM!AG213</f>
        <v>2.2078584959999998E-3</v>
      </c>
      <c r="G211" s="693">
        <f t="shared" si="48"/>
        <v>6266700</v>
      </c>
      <c r="H211" s="695">
        <f t="shared" si="60"/>
        <v>51031.515999999829</v>
      </c>
      <c r="I211" s="641">
        <f t="shared" si="61"/>
        <v>0</v>
      </c>
      <c r="J211" s="696">
        <f t="shared" si="62"/>
        <v>51031.515999999829</v>
      </c>
      <c r="K211" s="693">
        <f t="shared" si="49"/>
        <v>27824</v>
      </c>
      <c r="L211" s="695">
        <f t="shared" si="50"/>
        <v>23207.515999999829</v>
      </c>
      <c r="M211" s="693">
        <f t="shared" si="51"/>
        <v>6238876</v>
      </c>
      <c r="N211" s="693">
        <f t="shared" si="52"/>
        <v>0</v>
      </c>
      <c r="O211" s="695">
        <f t="shared" si="53"/>
        <v>6238876</v>
      </c>
      <c r="P211" s="695">
        <f t="shared" si="54"/>
        <v>-27824</v>
      </c>
      <c r="Q211" s="697">
        <f t="shared" si="55"/>
        <v>2.2078584959999998E-3</v>
      </c>
      <c r="R211" s="694">
        <f t="shared" si="56"/>
        <v>-9.8028396000000001E-6</v>
      </c>
      <c r="S211" s="693">
        <v>0</v>
      </c>
      <c r="T211" s="695">
        <f t="shared" si="57"/>
        <v>6238876</v>
      </c>
      <c r="U211" s="695">
        <f t="shared" si="58"/>
        <v>6238876</v>
      </c>
      <c r="V211" s="693">
        <f t="shared" si="59"/>
        <v>0</v>
      </c>
      <c r="W211" s="697"/>
      <c r="X211" s="698" t="s">
        <v>413</v>
      </c>
      <c r="Y211" s="678">
        <v>0</v>
      </c>
      <c r="Z211" s="678">
        <v>4138442</v>
      </c>
      <c r="AA211" s="678">
        <v>4138442</v>
      </c>
      <c r="AB211" s="699">
        <f t="shared" si="63"/>
        <v>1.5075422103293945</v>
      </c>
      <c r="AC211" s="700"/>
      <c r="AD211" s="701"/>
    </row>
    <row r="212" spans="1:30" s="639" customFormat="1" x14ac:dyDescent="0.25">
      <c r="A212" s="639">
        <v>206</v>
      </c>
      <c r="B212" s="639">
        <f>+'_DATA STT PAGOS_'!M212</f>
        <v>9211</v>
      </c>
      <c r="C212" s="639" t="str">
        <f>+'_DATA STT PAGOS_'!O212</f>
        <v>VICTORIA</v>
      </c>
      <c r="D212" s="693">
        <f>+'_DATA STT PAGOS_'!G212</f>
        <v>0</v>
      </c>
      <c r="E212" s="693">
        <f>+'_DATA STT PAGOS_'!J212</f>
        <v>8595825.618999999</v>
      </c>
      <c r="F212" s="694">
        <f>+COEF_FCM!AG214</f>
        <v>3.5992676399999998E-3</v>
      </c>
      <c r="G212" s="693">
        <f t="shared" si="48"/>
        <v>10216022</v>
      </c>
      <c r="H212" s="695">
        <f t="shared" si="60"/>
        <v>1620196.381000001</v>
      </c>
      <c r="I212" s="641">
        <f t="shared" si="61"/>
        <v>0</v>
      </c>
      <c r="J212" s="696">
        <f t="shared" si="62"/>
        <v>1620196.381000001</v>
      </c>
      <c r="K212" s="693">
        <f t="shared" si="49"/>
        <v>883393</v>
      </c>
      <c r="L212" s="695">
        <f t="shared" si="50"/>
        <v>736803.38100000098</v>
      </c>
      <c r="M212" s="693">
        <f t="shared" si="51"/>
        <v>9332629</v>
      </c>
      <c r="N212" s="693">
        <f t="shared" si="52"/>
        <v>0</v>
      </c>
      <c r="O212" s="695">
        <f t="shared" si="53"/>
        <v>9332629</v>
      </c>
      <c r="P212" s="695">
        <f t="shared" si="54"/>
        <v>-883393</v>
      </c>
      <c r="Q212" s="697">
        <f t="shared" si="55"/>
        <v>3.5992676399999998E-3</v>
      </c>
      <c r="R212" s="694">
        <f t="shared" si="56"/>
        <v>-3.1123346429999998E-4</v>
      </c>
      <c r="S212" s="693">
        <v>0</v>
      </c>
      <c r="T212" s="695">
        <f t="shared" si="57"/>
        <v>9332629</v>
      </c>
      <c r="U212" s="695">
        <f t="shared" si="58"/>
        <v>9332629</v>
      </c>
      <c r="V212" s="693">
        <f t="shared" si="59"/>
        <v>0</v>
      </c>
      <c r="W212" s="697"/>
      <c r="X212" s="698" t="s">
        <v>213</v>
      </c>
      <c r="Y212" s="678">
        <v>0</v>
      </c>
      <c r="Z212" s="678">
        <v>5482152</v>
      </c>
      <c r="AA212" s="678">
        <v>5482152</v>
      </c>
      <c r="AB212" s="699">
        <f t="shared" si="63"/>
        <v>1.7023659686925865</v>
      </c>
      <c r="AC212" s="700"/>
      <c r="AD212" s="701"/>
    </row>
    <row r="213" spans="1:30" s="639" customFormat="1" x14ac:dyDescent="0.25">
      <c r="A213" s="639">
        <v>207</v>
      </c>
      <c r="B213" s="639">
        <f>+'_DATA STT PAGOS_'!M213</f>
        <v>10101</v>
      </c>
      <c r="C213" s="639" t="str">
        <f>+'_DATA STT PAGOS_'!O213</f>
        <v>PUERTO MONTT</v>
      </c>
      <c r="D213" s="693">
        <f>+'_DATA STT PAGOS_'!G213</f>
        <v>0</v>
      </c>
      <c r="E213" s="693">
        <f>+'_DATA STT PAGOS_'!J213</f>
        <v>26404177.199000001</v>
      </c>
      <c r="F213" s="694">
        <f>+COEF_FCM!AG215</f>
        <v>9.2874398216000013E-3</v>
      </c>
      <c r="G213" s="693">
        <f t="shared" si="48"/>
        <v>26361109</v>
      </c>
      <c r="H213" s="695">
        <f t="shared" si="60"/>
        <v>-43068.199000000954</v>
      </c>
      <c r="I213" s="641">
        <f t="shared" si="61"/>
        <v>-43068</v>
      </c>
      <c r="J213" s="696">
        <f t="shared" si="62"/>
        <v>0</v>
      </c>
      <c r="K213" s="693">
        <f t="shared" si="49"/>
        <v>0</v>
      </c>
      <c r="L213" s="695">
        <f t="shared" si="50"/>
        <v>0</v>
      </c>
      <c r="M213" s="693">
        <f t="shared" si="51"/>
        <v>0</v>
      </c>
      <c r="N213" s="693">
        <f t="shared" si="52"/>
        <v>26404177</v>
      </c>
      <c r="O213" s="695">
        <f t="shared" si="53"/>
        <v>26404177</v>
      </c>
      <c r="P213" s="695">
        <f t="shared" si="54"/>
        <v>43068</v>
      </c>
      <c r="Q213" s="697">
        <f t="shared" si="55"/>
        <v>9.2874398216000013E-3</v>
      </c>
      <c r="R213" s="694">
        <f t="shared" si="56"/>
        <v>1.51735443E-5</v>
      </c>
      <c r="S213" s="693">
        <v>0</v>
      </c>
      <c r="T213" s="695">
        <f t="shared" si="57"/>
        <v>26404177</v>
      </c>
      <c r="U213" s="695">
        <f t="shared" si="58"/>
        <v>26404177</v>
      </c>
      <c r="V213" s="693">
        <f t="shared" si="59"/>
        <v>43068</v>
      </c>
      <c r="W213" s="697"/>
      <c r="X213" s="698" t="s">
        <v>246</v>
      </c>
      <c r="Y213" s="678">
        <v>0</v>
      </c>
      <c r="Z213" s="678">
        <v>20192760</v>
      </c>
      <c r="AA213" s="678">
        <v>20192760</v>
      </c>
      <c r="AB213" s="699">
        <f t="shared" si="63"/>
        <v>1.3076061420033716</v>
      </c>
      <c r="AC213" s="700"/>
      <c r="AD213" s="701"/>
    </row>
    <row r="214" spans="1:30" s="639" customFormat="1" x14ac:dyDescent="0.25">
      <c r="A214" s="639">
        <v>208</v>
      </c>
      <c r="B214" s="639">
        <f>+'_DATA STT PAGOS_'!M214</f>
        <v>10102</v>
      </c>
      <c r="C214" s="639" t="str">
        <f>+'_DATA STT PAGOS_'!O214</f>
        <v>CALBUCO</v>
      </c>
      <c r="D214" s="693">
        <f>+'_DATA STT PAGOS_'!G214</f>
        <v>0</v>
      </c>
      <c r="E214" s="693">
        <f>+'_DATA STT PAGOS_'!J214</f>
        <v>6745319.517</v>
      </c>
      <c r="F214" s="694">
        <f>+COEF_FCM!AG216</f>
        <v>2.6456999753000001E-3</v>
      </c>
      <c r="G214" s="693">
        <f t="shared" si="48"/>
        <v>7509452</v>
      </c>
      <c r="H214" s="695">
        <f t="shared" si="60"/>
        <v>764132.48300000001</v>
      </c>
      <c r="I214" s="641">
        <f t="shared" si="61"/>
        <v>0</v>
      </c>
      <c r="J214" s="696">
        <f t="shared" si="62"/>
        <v>764132.48300000001</v>
      </c>
      <c r="K214" s="693">
        <f t="shared" si="49"/>
        <v>416634</v>
      </c>
      <c r="L214" s="695">
        <f t="shared" si="50"/>
        <v>347498.48300000001</v>
      </c>
      <c r="M214" s="693">
        <f t="shared" si="51"/>
        <v>7092818</v>
      </c>
      <c r="N214" s="693">
        <f t="shared" si="52"/>
        <v>0</v>
      </c>
      <c r="O214" s="695">
        <f t="shared" si="53"/>
        <v>7092818</v>
      </c>
      <c r="P214" s="695">
        <f t="shared" si="54"/>
        <v>-416634</v>
      </c>
      <c r="Q214" s="697">
        <f t="shared" si="55"/>
        <v>2.6456999753000001E-3</v>
      </c>
      <c r="R214" s="694">
        <f t="shared" si="56"/>
        <v>-1.467868131E-4</v>
      </c>
      <c r="S214" s="693">
        <v>0</v>
      </c>
      <c r="T214" s="695">
        <f t="shared" si="57"/>
        <v>7092818</v>
      </c>
      <c r="U214" s="695">
        <f t="shared" si="58"/>
        <v>7092818</v>
      </c>
      <c r="V214" s="693">
        <f t="shared" si="59"/>
        <v>0</v>
      </c>
      <c r="W214" s="697"/>
      <c r="X214" s="698" t="s">
        <v>252</v>
      </c>
      <c r="Y214" s="678">
        <v>0</v>
      </c>
      <c r="Z214" s="678">
        <v>4434862</v>
      </c>
      <c r="AA214" s="678">
        <v>4434862</v>
      </c>
      <c r="AB214" s="699">
        <f t="shared" si="63"/>
        <v>1.5993322903846838</v>
      </c>
      <c r="AC214" s="700"/>
      <c r="AD214" s="701"/>
    </row>
    <row r="215" spans="1:30" s="639" customFormat="1" x14ac:dyDescent="0.25">
      <c r="A215" s="639">
        <v>209</v>
      </c>
      <c r="B215" s="639">
        <f>+'_DATA STT PAGOS_'!M215</f>
        <v>10103</v>
      </c>
      <c r="C215" s="639" t="str">
        <f>+'_DATA STT PAGOS_'!O215</f>
        <v>COCHAMÓ</v>
      </c>
      <c r="D215" s="693">
        <f>+'_DATA STT PAGOS_'!G215</f>
        <v>0</v>
      </c>
      <c r="E215" s="693">
        <f>+'_DATA STT PAGOS_'!J215</f>
        <v>2195215.764</v>
      </c>
      <c r="F215" s="694">
        <f>+COEF_FCM!AG217</f>
        <v>8.4630116429999997E-4</v>
      </c>
      <c r="G215" s="693">
        <f t="shared" si="48"/>
        <v>2402108</v>
      </c>
      <c r="H215" s="695">
        <f t="shared" si="60"/>
        <v>206892.23600000003</v>
      </c>
      <c r="I215" s="641">
        <f t="shared" si="61"/>
        <v>0</v>
      </c>
      <c r="J215" s="696">
        <f t="shared" si="62"/>
        <v>206892.23600000003</v>
      </c>
      <c r="K215" s="693">
        <f t="shared" si="49"/>
        <v>112805</v>
      </c>
      <c r="L215" s="695">
        <f t="shared" si="50"/>
        <v>94087.236000000034</v>
      </c>
      <c r="M215" s="693">
        <f t="shared" si="51"/>
        <v>2289303</v>
      </c>
      <c r="N215" s="693">
        <f t="shared" si="52"/>
        <v>0</v>
      </c>
      <c r="O215" s="695">
        <f t="shared" si="53"/>
        <v>2289303</v>
      </c>
      <c r="P215" s="695">
        <f t="shared" si="54"/>
        <v>-112805</v>
      </c>
      <c r="Q215" s="697">
        <f t="shared" si="55"/>
        <v>8.4630116429999997E-4</v>
      </c>
      <c r="R215" s="694">
        <f t="shared" si="56"/>
        <v>-3.9743003299999998E-5</v>
      </c>
      <c r="S215" s="693">
        <v>0</v>
      </c>
      <c r="T215" s="695">
        <f t="shared" si="57"/>
        <v>2289303</v>
      </c>
      <c r="U215" s="695">
        <f t="shared" si="58"/>
        <v>2289303</v>
      </c>
      <c r="V215" s="693">
        <f t="shared" si="59"/>
        <v>0</v>
      </c>
      <c r="W215" s="697"/>
      <c r="X215" s="698" t="s">
        <v>414</v>
      </c>
      <c r="Y215" s="678">
        <v>0</v>
      </c>
      <c r="Z215" s="678">
        <v>1584961</v>
      </c>
      <c r="AA215" s="678">
        <v>1584961</v>
      </c>
      <c r="AB215" s="699">
        <f t="shared" si="63"/>
        <v>1.4443907452612399</v>
      </c>
      <c r="AC215" s="700"/>
      <c r="AD215" s="701"/>
    </row>
    <row r="216" spans="1:30" s="639" customFormat="1" x14ac:dyDescent="0.25">
      <c r="A216" s="639">
        <v>210</v>
      </c>
      <c r="B216" s="639">
        <f>+'_DATA STT PAGOS_'!M216</f>
        <v>10104</v>
      </c>
      <c r="C216" s="639" t="str">
        <f>+'_DATA STT PAGOS_'!O216</f>
        <v>FRESIA</v>
      </c>
      <c r="D216" s="693">
        <f>+'_DATA STT PAGOS_'!G216</f>
        <v>0</v>
      </c>
      <c r="E216" s="693">
        <f>+'_DATA STT PAGOS_'!J216</f>
        <v>3277674.2190000005</v>
      </c>
      <c r="F216" s="694">
        <f>+COEF_FCM!AG218</f>
        <v>1.2241028465E-3</v>
      </c>
      <c r="G216" s="693">
        <f t="shared" si="48"/>
        <v>3474446</v>
      </c>
      <c r="H216" s="695">
        <f t="shared" si="60"/>
        <v>196771.78099999949</v>
      </c>
      <c r="I216" s="641">
        <f t="shared" si="61"/>
        <v>0</v>
      </c>
      <c r="J216" s="696">
        <f t="shared" si="62"/>
        <v>196771.78099999949</v>
      </c>
      <c r="K216" s="693">
        <f t="shared" si="49"/>
        <v>107287</v>
      </c>
      <c r="L216" s="695">
        <f t="shared" si="50"/>
        <v>89484.780999999493</v>
      </c>
      <c r="M216" s="693">
        <f t="shared" si="51"/>
        <v>3367159</v>
      </c>
      <c r="N216" s="693">
        <f t="shared" si="52"/>
        <v>0</v>
      </c>
      <c r="O216" s="695">
        <f t="shared" si="53"/>
        <v>3367159</v>
      </c>
      <c r="P216" s="695">
        <f t="shared" si="54"/>
        <v>-107287</v>
      </c>
      <c r="Q216" s="697">
        <f t="shared" si="55"/>
        <v>1.2241028465E-3</v>
      </c>
      <c r="R216" s="694">
        <f t="shared" si="56"/>
        <v>-3.7798923799999997E-5</v>
      </c>
      <c r="S216" s="693">
        <v>0</v>
      </c>
      <c r="T216" s="695">
        <f t="shared" si="57"/>
        <v>3367159</v>
      </c>
      <c r="U216" s="695">
        <f t="shared" si="58"/>
        <v>3367159</v>
      </c>
      <c r="V216" s="693">
        <f t="shared" si="59"/>
        <v>0</v>
      </c>
      <c r="W216" s="697"/>
      <c r="X216" s="698" t="s">
        <v>248</v>
      </c>
      <c r="Y216" s="678">
        <v>0</v>
      </c>
      <c r="Z216" s="678">
        <v>2346484</v>
      </c>
      <c r="AA216" s="678">
        <v>2346484</v>
      </c>
      <c r="AB216" s="699">
        <f t="shared" si="63"/>
        <v>1.4349805922392822</v>
      </c>
      <c r="AC216" s="700"/>
      <c r="AD216" s="701"/>
    </row>
    <row r="217" spans="1:30" s="639" customFormat="1" x14ac:dyDescent="0.25">
      <c r="A217" s="639">
        <v>211</v>
      </c>
      <c r="B217" s="639">
        <f>+'_DATA STT PAGOS_'!M217</f>
        <v>10105</v>
      </c>
      <c r="C217" s="639" t="str">
        <f>+'_DATA STT PAGOS_'!O217</f>
        <v>FRUTILLAR</v>
      </c>
      <c r="D217" s="693">
        <f>+'_DATA STT PAGOS_'!G217</f>
        <v>0</v>
      </c>
      <c r="E217" s="693">
        <f>+'_DATA STT PAGOS_'!J217</f>
        <v>2785358.7879999997</v>
      </c>
      <c r="F217" s="694">
        <f>+COEF_FCM!AG219</f>
        <v>1.0393933335999998E-3</v>
      </c>
      <c r="G217" s="693">
        <f t="shared" si="48"/>
        <v>2950174</v>
      </c>
      <c r="H217" s="695">
        <f t="shared" si="60"/>
        <v>164815.21200000029</v>
      </c>
      <c r="I217" s="641">
        <f t="shared" si="61"/>
        <v>0</v>
      </c>
      <c r="J217" s="696">
        <f t="shared" si="62"/>
        <v>164815.21200000029</v>
      </c>
      <c r="K217" s="693">
        <f t="shared" si="49"/>
        <v>89864</v>
      </c>
      <c r="L217" s="695">
        <f t="shared" si="50"/>
        <v>74951.212000000291</v>
      </c>
      <c r="M217" s="693">
        <f t="shared" si="51"/>
        <v>2860310</v>
      </c>
      <c r="N217" s="693">
        <f t="shared" si="52"/>
        <v>0</v>
      </c>
      <c r="O217" s="695">
        <f t="shared" si="53"/>
        <v>2860310</v>
      </c>
      <c r="P217" s="695">
        <f t="shared" si="54"/>
        <v>-89864</v>
      </c>
      <c r="Q217" s="697">
        <f t="shared" si="55"/>
        <v>1.0393933335999998E-3</v>
      </c>
      <c r="R217" s="694">
        <f t="shared" si="56"/>
        <v>-3.1660522600000003E-5</v>
      </c>
      <c r="S217" s="693">
        <v>0</v>
      </c>
      <c r="T217" s="695">
        <f t="shared" si="57"/>
        <v>2860310</v>
      </c>
      <c r="U217" s="695">
        <f t="shared" si="58"/>
        <v>2860310</v>
      </c>
      <c r="V217" s="693">
        <f t="shared" si="59"/>
        <v>0</v>
      </c>
      <c r="W217" s="697"/>
      <c r="X217" s="698" t="s">
        <v>249</v>
      </c>
      <c r="Y217" s="678">
        <v>0</v>
      </c>
      <c r="Z217" s="678">
        <v>2035187</v>
      </c>
      <c r="AA217" s="678">
        <v>2035187</v>
      </c>
      <c r="AB217" s="699">
        <f t="shared" si="63"/>
        <v>1.4054285920654956</v>
      </c>
      <c r="AC217" s="700"/>
      <c r="AD217" s="701"/>
    </row>
    <row r="218" spans="1:30" s="639" customFormat="1" x14ac:dyDescent="0.25">
      <c r="A218" s="639">
        <v>212</v>
      </c>
      <c r="B218" s="639">
        <f>+'_DATA STT PAGOS_'!M218</f>
        <v>10106</v>
      </c>
      <c r="C218" s="639" t="str">
        <f>+'_DATA STT PAGOS_'!O218</f>
        <v>LOS MUERMOS</v>
      </c>
      <c r="D218" s="693">
        <f>+'_DATA STT PAGOS_'!G218</f>
        <v>0</v>
      </c>
      <c r="E218" s="693">
        <f>+'_DATA STT PAGOS_'!J218</f>
        <v>3919395.1979999999</v>
      </c>
      <c r="F218" s="694">
        <f>+COEF_FCM!AG220</f>
        <v>1.3342067159E-3</v>
      </c>
      <c r="G218" s="693">
        <f t="shared" si="48"/>
        <v>3786961</v>
      </c>
      <c r="H218" s="695">
        <f t="shared" si="60"/>
        <v>-132434.19799999986</v>
      </c>
      <c r="I218" s="641">
        <f t="shared" si="61"/>
        <v>-132434</v>
      </c>
      <c r="J218" s="696">
        <f t="shared" si="62"/>
        <v>0</v>
      </c>
      <c r="K218" s="693">
        <f t="shared" si="49"/>
        <v>0</v>
      </c>
      <c r="L218" s="695">
        <f t="shared" si="50"/>
        <v>0</v>
      </c>
      <c r="M218" s="693">
        <f t="shared" si="51"/>
        <v>0</v>
      </c>
      <c r="N218" s="693">
        <f t="shared" si="52"/>
        <v>3919395</v>
      </c>
      <c r="O218" s="695">
        <f t="shared" si="53"/>
        <v>3919395</v>
      </c>
      <c r="P218" s="695">
        <f t="shared" si="54"/>
        <v>132434</v>
      </c>
      <c r="Q218" s="697">
        <f t="shared" si="55"/>
        <v>1.3342067159E-3</v>
      </c>
      <c r="R218" s="694">
        <f t="shared" si="56"/>
        <v>4.6658613599999999E-5</v>
      </c>
      <c r="S218" s="693">
        <v>0</v>
      </c>
      <c r="T218" s="695">
        <f t="shared" si="57"/>
        <v>3919395</v>
      </c>
      <c r="U218" s="695">
        <f t="shared" si="58"/>
        <v>3919395</v>
      </c>
      <c r="V218" s="693">
        <f t="shared" si="59"/>
        <v>132434</v>
      </c>
      <c r="W218" s="697"/>
      <c r="X218" s="698" t="s">
        <v>251</v>
      </c>
      <c r="Y218" s="678">
        <v>0</v>
      </c>
      <c r="Z218" s="678">
        <v>2744676</v>
      </c>
      <c r="AA218" s="678">
        <v>2744676</v>
      </c>
      <c r="AB218" s="699">
        <f t="shared" si="63"/>
        <v>1.4279991518124544</v>
      </c>
      <c r="AC218" s="700"/>
      <c r="AD218" s="701"/>
    </row>
    <row r="219" spans="1:30" s="639" customFormat="1" x14ac:dyDescent="0.25">
      <c r="A219" s="639">
        <v>213</v>
      </c>
      <c r="B219" s="639">
        <f>+'_DATA STT PAGOS_'!M219</f>
        <v>10107</v>
      </c>
      <c r="C219" s="639" t="str">
        <f>+'_DATA STT PAGOS_'!O219</f>
        <v>LLANQUIHUE</v>
      </c>
      <c r="D219" s="693">
        <f>+'_DATA STT PAGOS_'!G219</f>
        <v>0</v>
      </c>
      <c r="E219" s="693">
        <f>+'_DATA STT PAGOS_'!J219</f>
        <v>2881741.54</v>
      </c>
      <c r="F219" s="694">
        <f>+COEF_FCM!AG221</f>
        <v>1.03108395E-3</v>
      </c>
      <c r="G219" s="693">
        <f t="shared" si="48"/>
        <v>2926589</v>
      </c>
      <c r="H219" s="695">
        <f t="shared" si="60"/>
        <v>44847.459999999963</v>
      </c>
      <c r="I219" s="641">
        <f t="shared" si="61"/>
        <v>0</v>
      </c>
      <c r="J219" s="696">
        <f t="shared" si="62"/>
        <v>44847.459999999963</v>
      </c>
      <c r="K219" s="693">
        <f t="shared" si="49"/>
        <v>24453</v>
      </c>
      <c r="L219" s="695">
        <f t="shared" si="50"/>
        <v>20394.459999999963</v>
      </c>
      <c r="M219" s="693">
        <f t="shared" si="51"/>
        <v>2902136</v>
      </c>
      <c r="N219" s="693">
        <f t="shared" si="52"/>
        <v>0</v>
      </c>
      <c r="O219" s="695">
        <f t="shared" si="53"/>
        <v>2902136</v>
      </c>
      <c r="P219" s="695">
        <f t="shared" si="54"/>
        <v>-24453</v>
      </c>
      <c r="Q219" s="697">
        <f t="shared" si="55"/>
        <v>1.03108395E-3</v>
      </c>
      <c r="R219" s="694">
        <f t="shared" si="56"/>
        <v>-8.6151825000000006E-6</v>
      </c>
      <c r="S219" s="693">
        <v>0</v>
      </c>
      <c r="T219" s="695">
        <f t="shared" si="57"/>
        <v>2902136</v>
      </c>
      <c r="U219" s="695">
        <f t="shared" si="58"/>
        <v>2902136</v>
      </c>
      <c r="V219" s="693">
        <f t="shared" si="59"/>
        <v>0</v>
      </c>
      <c r="W219" s="697"/>
      <c r="X219" s="698" t="s">
        <v>250</v>
      </c>
      <c r="Y219" s="678">
        <v>0</v>
      </c>
      <c r="Z219" s="678">
        <v>2254725</v>
      </c>
      <c r="AA219" s="678">
        <v>2254725</v>
      </c>
      <c r="AB219" s="699">
        <f t="shared" si="63"/>
        <v>1.2871352382219561</v>
      </c>
      <c r="AC219" s="700"/>
      <c r="AD219" s="701"/>
    </row>
    <row r="220" spans="1:30" s="639" customFormat="1" x14ac:dyDescent="0.25">
      <c r="A220" s="639">
        <v>214</v>
      </c>
      <c r="B220" s="639">
        <f>+'_DATA STT PAGOS_'!M220</f>
        <v>10108</v>
      </c>
      <c r="C220" s="639" t="str">
        <f>+'_DATA STT PAGOS_'!O220</f>
        <v>MAULLÍN</v>
      </c>
      <c r="D220" s="693">
        <f>+'_DATA STT PAGOS_'!G220</f>
        <v>0</v>
      </c>
      <c r="E220" s="693">
        <f>+'_DATA STT PAGOS_'!J220</f>
        <v>4490931.5539999995</v>
      </c>
      <c r="F220" s="694">
        <f>+COEF_FCM!AG222</f>
        <v>2.0462577328999999E-3</v>
      </c>
      <c r="G220" s="693">
        <f t="shared" si="48"/>
        <v>5808019</v>
      </c>
      <c r="H220" s="695">
        <f t="shared" si="60"/>
        <v>1317087.4460000005</v>
      </c>
      <c r="I220" s="641">
        <f t="shared" si="61"/>
        <v>0</v>
      </c>
      <c r="J220" s="696">
        <f t="shared" si="62"/>
        <v>1317087.4460000005</v>
      </c>
      <c r="K220" s="693">
        <f t="shared" si="49"/>
        <v>718126</v>
      </c>
      <c r="L220" s="695">
        <f t="shared" si="50"/>
        <v>598961.44600000046</v>
      </c>
      <c r="M220" s="693">
        <f t="shared" si="51"/>
        <v>5089893</v>
      </c>
      <c r="N220" s="693">
        <f t="shared" si="52"/>
        <v>0</v>
      </c>
      <c r="O220" s="695">
        <f t="shared" si="53"/>
        <v>5089893</v>
      </c>
      <c r="P220" s="695">
        <f t="shared" si="54"/>
        <v>-718126</v>
      </c>
      <c r="Q220" s="697">
        <f t="shared" si="55"/>
        <v>2.0462577328999999E-3</v>
      </c>
      <c r="R220" s="694">
        <f t="shared" si="56"/>
        <v>-2.5300726039999998E-4</v>
      </c>
      <c r="S220" s="693">
        <v>0</v>
      </c>
      <c r="T220" s="695">
        <f t="shared" si="57"/>
        <v>5089893</v>
      </c>
      <c r="U220" s="695">
        <f t="shared" si="58"/>
        <v>5089893</v>
      </c>
      <c r="V220" s="693">
        <f t="shared" si="59"/>
        <v>0</v>
      </c>
      <c r="W220" s="697"/>
      <c r="X220" s="698" t="s">
        <v>415</v>
      </c>
      <c r="Y220" s="678">
        <v>0</v>
      </c>
      <c r="Z220" s="678">
        <v>2990419</v>
      </c>
      <c r="AA220" s="678">
        <v>2990419</v>
      </c>
      <c r="AB220" s="699">
        <f t="shared" si="63"/>
        <v>1.702066834112544</v>
      </c>
      <c r="AC220" s="700"/>
      <c r="AD220" s="701"/>
    </row>
    <row r="221" spans="1:30" s="639" customFormat="1" x14ac:dyDescent="0.25">
      <c r="A221" s="639">
        <v>215</v>
      </c>
      <c r="B221" s="639">
        <f>+'_DATA STT PAGOS_'!M221</f>
        <v>10109</v>
      </c>
      <c r="C221" s="639" t="str">
        <f>+'_DATA STT PAGOS_'!O221</f>
        <v>PUERTO VARAS</v>
      </c>
      <c r="D221" s="693">
        <f>+'_DATA STT PAGOS_'!G221</f>
        <v>0</v>
      </c>
      <c r="E221" s="693">
        <f>+'_DATA STT PAGOS_'!J221</f>
        <v>2910283.4690000005</v>
      </c>
      <c r="F221" s="694">
        <f>+COEF_FCM!AG223</f>
        <v>1.0382555286E-3</v>
      </c>
      <c r="G221" s="693">
        <f t="shared" si="48"/>
        <v>2946944</v>
      </c>
      <c r="H221" s="695">
        <f t="shared" si="60"/>
        <v>36660.530999999493</v>
      </c>
      <c r="I221" s="641">
        <f t="shared" si="61"/>
        <v>0</v>
      </c>
      <c r="J221" s="696">
        <f t="shared" si="62"/>
        <v>36660.530999999493</v>
      </c>
      <c r="K221" s="693">
        <f t="shared" si="49"/>
        <v>19989</v>
      </c>
      <c r="L221" s="695">
        <f t="shared" si="50"/>
        <v>16671.530999999493</v>
      </c>
      <c r="M221" s="693">
        <f t="shared" si="51"/>
        <v>2926955</v>
      </c>
      <c r="N221" s="693">
        <f t="shared" si="52"/>
        <v>0</v>
      </c>
      <c r="O221" s="695">
        <f t="shared" si="53"/>
        <v>2926955</v>
      </c>
      <c r="P221" s="695">
        <f t="shared" si="54"/>
        <v>-19989</v>
      </c>
      <c r="Q221" s="697">
        <f t="shared" si="55"/>
        <v>1.0382555286E-3</v>
      </c>
      <c r="R221" s="694">
        <f t="shared" si="56"/>
        <v>-7.0424440000000001E-6</v>
      </c>
      <c r="S221" s="693">
        <v>0</v>
      </c>
      <c r="T221" s="695">
        <f t="shared" si="57"/>
        <v>2926955</v>
      </c>
      <c r="U221" s="695">
        <f t="shared" si="58"/>
        <v>2926955</v>
      </c>
      <c r="V221" s="693">
        <f t="shared" si="59"/>
        <v>0</v>
      </c>
      <c r="W221" s="697"/>
      <c r="X221" s="698" t="s">
        <v>247</v>
      </c>
      <c r="Y221" s="678">
        <v>0</v>
      </c>
      <c r="Z221" s="678">
        <v>1975629</v>
      </c>
      <c r="AA221" s="678">
        <v>1975629</v>
      </c>
      <c r="AB221" s="699">
        <f t="shared" si="63"/>
        <v>1.4815306922504174</v>
      </c>
      <c r="AC221" s="700"/>
      <c r="AD221" s="701"/>
    </row>
    <row r="222" spans="1:30" s="639" customFormat="1" x14ac:dyDescent="0.25">
      <c r="A222" s="639">
        <v>216</v>
      </c>
      <c r="B222" s="639">
        <f>+'_DATA STT PAGOS_'!M222</f>
        <v>10201</v>
      </c>
      <c r="C222" s="639" t="str">
        <f>+'_DATA STT PAGOS_'!O222</f>
        <v>CASTRO</v>
      </c>
      <c r="D222" s="693">
        <f>+'_DATA STT PAGOS_'!G222</f>
        <v>0</v>
      </c>
      <c r="E222" s="693">
        <f>+'_DATA STT PAGOS_'!J222</f>
        <v>15463091.296</v>
      </c>
      <c r="F222" s="694">
        <f>+COEF_FCM!AG224</f>
        <v>3.9677600097000002E-3</v>
      </c>
      <c r="G222" s="693">
        <f t="shared" si="48"/>
        <v>11261936</v>
      </c>
      <c r="H222" s="695">
        <f t="shared" si="60"/>
        <v>-4201155.2960000001</v>
      </c>
      <c r="I222" s="641">
        <f t="shared" si="61"/>
        <v>-4201155</v>
      </c>
      <c r="J222" s="696">
        <f t="shared" si="62"/>
        <v>0</v>
      </c>
      <c r="K222" s="693">
        <f t="shared" si="49"/>
        <v>0</v>
      </c>
      <c r="L222" s="695">
        <f t="shared" si="50"/>
        <v>0</v>
      </c>
      <c r="M222" s="693">
        <f t="shared" si="51"/>
        <v>0</v>
      </c>
      <c r="N222" s="693">
        <f t="shared" si="52"/>
        <v>15463091</v>
      </c>
      <c r="O222" s="695">
        <f t="shared" si="53"/>
        <v>15463091</v>
      </c>
      <c r="P222" s="695">
        <f t="shared" si="54"/>
        <v>4201155</v>
      </c>
      <c r="Q222" s="697">
        <f t="shared" si="55"/>
        <v>3.9677600097000002E-3</v>
      </c>
      <c r="R222" s="694">
        <f t="shared" si="56"/>
        <v>1.4801340112E-3</v>
      </c>
      <c r="S222" s="693">
        <v>0</v>
      </c>
      <c r="T222" s="695">
        <f t="shared" si="57"/>
        <v>15463091</v>
      </c>
      <c r="U222" s="695">
        <f t="shared" si="58"/>
        <v>15463091</v>
      </c>
      <c r="V222" s="693">
        <f t="shared" si="59"/>
        <v>4201155</v>
      </c>
      <c r="W222" s="697"/>
      <c r="X222" s="698" t="s">
        <v>253</v>
      </c>
      <c r="Y222" s="678">
        <v>0</v>
      </c>
      <c r="Z222" s="678">
        <v>9900223</v>
      </c>
      <c r="AA222" s="678">
        <v>9900223</v>
      </c>
      <c r="AB222" s="699">
        <f t="shared" si="63"/>
        <v>1.5618932017995959</v>
      </c>
      <c r="AC222" s="700"/>
      <c r="AD222" s="701"/>
    </row>
    <row r="223" spans="1:30" s="639" customFormat="1" x14ac:dyDescent="0.25">
      <c r="A223" s="639">
        <v>217</v>
      </c>
      <c r="B223" s="639">
        <f>+'_DATA STT PAGOS_'!M223</f>
        <v>10202</v>
      </c>
      <c r="C223" s="639" t="str">
        <f>+'_DATA STT PAGOS_'!O223</f>
        <v>ANCUD</v>
      </c>
      <c r="D223" s="693">
        <f>+'_DATA STT PAGOS_'!G223</f>
        <v>0</v>
      </c>
      <c r="E223" s="693">
        <f>+'_DATA STT PAGOS_'!J223</f>
        <v>9940640.9299999997</v>
      </c>
      <c r="F223" s="694">
        <f>+COEF_FCM!AG225</f>
        <v>3.8136460450999997E-3</v>
      </c>
      <c r="G223" s="693">
        <f t="shared" si="48"/>
        <v>10824505</v>
      </c>
      <c r="H223" s="695">
        <f t="shared" si="60"/>
        <v>883864.0700000003</v>
      </c>
      <c r="I223" s="641">
        <f t="shared" si="61"/>
        <v>0</v>
      </c>
      <c r="J223" s="696">
        <f t="shared" si="62"/>
        <v>883864.0700000003</v>
      </c>
      <c r="K223" s="693">
        <f t="shared" si="49"/>
        <v>481916</v>
      </c>
      <c r="L223" s="695">
        <f t="shared" si="50"/>
        <v>401948.0700000003</v>
      </c>
      <c r="M223" s="693">
        <f t="shared" si="51"/>
        <v>10342589</v>
      </c>
      <c r="N223" s="693">
        <f t="shared" si="52"/>
        <v>0</v>
      </c>
      <c r="O223" s="695">
        <f t="shared" si="53"/>
        <v>10342589</v>
      </c>
      <c r="P223" s="695">
        <f t="shared" si="54"/>
        <v>-481916</v>
      </c>
      <c r="Q223" s="697">
        <f t="shared" si="55"/>
        <v>3.8136460450999997E-3</v>
      </c>
      <c r="R223" s="694">
        <f t="shared" si="56"/>
        <v>-1.697867044E-4</v>
      </c>
      <c r="S223" s="693">
        <v>0</v>
      </c>
      <c r="T223" s="695">
        <f t="shared" si="57"/>
        <v>10342589</v>
      </c>
      <c r="U223" s="695">
        <f t="shared" si="58"/>
        <v>10342589</v>
      </c>
      <c r="V223" s="693">
        <f t="shared" si="59"/>
        <v>0</v>
      </c>
      <c r="W223" s="697"/>
      <c r="X223" s="698" t="s">
        <v>255</v>
      </c>
      <c r="Y223" s="678">
        <v>0</v>
      </c>
      <c r="Z223" s="678">
        <v>6868867</v>
      </c>
      <c r="AA223" s="678">
        <v>6868867</v>
      </c>
      <c r="AB223" s="699">
        <f t="shared" si="63"/>
        <v>1.5057197933807716</v>
      </c>
      <c r="AC223" s="700"/>
      <c r="AD223" s="701"/>
    </row>
    <row r="224" spans="1:30" s="639" customFormat="1" x14ac:dyDescent="0.25">
      <c r="A224" s="639">
        <v>218</v>
      </c>
      <c r="B224" s="639">
        <f>+'_DATA STT PAGOS_'!M224</f>
        <v>10203</v>
      </c>
      <c r="C224" s="639" t="str">
        <f>+'_DATA STT PAGOS_'!O224</f>
        <v>CHONCHI</v>
      </c>
      <c r="D224" s="693">
        <f>+'_DATA STT PAGOS_'!G224</f>
        <v>0</v>
      </c>
      <c r="E224" s="693">
        <f>+'_DATA STT PAGOS_'!J224</f>
        <v>4181311.5860000001</v>
      </c>
      <c r="F224" s="694">
        <f>+COEF_FCM!AG226</f>
        <v>1.7443317520999999E-3</v>
      </c>
      <c r="G224" s="693">
        <f t="shared" si="48"/>
        <v>4951044</v>
      </c>
      <c r="H224" s="695">
        <f t="shared" si="60"/>
        <v>769732.41399999987</v>
      </c>
      <c r="I224" s="641">
        <f t="shared" si="61"/>
        <v>0</v>
      </c>
      <c r="J224" s="696">
        <f t="shared" si="62"/>
        <v>769732.41399999987</v>
      </c>
      <c r="K224" s="693">
        <f t="shared" si="49"/>
        <v>419687</v>
      </c>
      <c r="L224" s="695">
        <f t="shared" si="50"/>
        <v>350045.41399999987</v>
      </c>
      <c r="M224" s="693">
        <f t="shared" si="51"/>
        <v>4531357</v>
      </c>
      <c r="N224" s="693">
        <f t="shared" si="52"/>
        <v>0</v>
      </c>
      <c r="O224" s="695">
        <f t="shared" si="53"/>
        <v>4531357</v>
      </c>
      <c r="P224" s="695">
        <f t="shared" si="54"/>
        <v>-419687</v>
      </c>
      <c r="Q224" s="697">
        <f t="shared" si="55"/>
        <v>1.7443317520999999E-3</v>
      </c>
      <c r="R224" s="694">
        <f t="shared" si="56"/>
        <v>-1.478624337E-4</v>
      </c>
      <c r="S224" s="693">
        <v>0</v>
      </c>
      <c r="T224" s="695">
        <f t="shared" si="57"/>
        <v>4531357</v>
      </c>
      <c r="U224" s="695">
        <f t="shared" si="58"/>
        <v>4531357</v>
      </c>
      <c r="V224" s="693">
        <f t="shared" si="59"/>
        <v>0</v>
      </c>
      <c r="W224" s="697"/>
      <c r="X224" s="698" t="s">
        <v>254</v>
      </c>
      <c r="Y224" s="678">
        <v>0</v>
      </c>
      <c r="Z224" s="678">
        <v>2799537</v>
      </c>
      <c r="AA224" s="678">
        <v>2799537</v>
      </c>
      <c r="AB224" s="699">
        <f t="shared" si="63"/>
        <v>1.6186094343457507</v>
      </c>
      <c r="AC224" s="700"/>
      <c r="AD224" s="701"/>
    </row>
    <row r="225" spans="1:30" s="639" customFormat="1" x14ac:dyDescent="0.25">
      <c r="A225" s="639">
        <v>219</v>
      </c>
      <c r="B225" s="639">
        <f>+'_DATA STT PAGOS_'!M225</f>
        <v>10204</v>
      </c>
      <c r="C225" s="639" t="str">
        <f>+'_DATA STT PAGOS_'!O225</f>
        <v>CURACO DE VÉLEZ</v>
      </c>
      <c r="D225" s="693">
        <f>+'_DATA STT PAGOS_'!G225</f>
        <v>0</v>
      </c>
      <c r="E225" s="693">
        <f>+'_DATA STT PAGOS_'!J225</f>
        <v>2860667.1550000003</v>
      </c>
      <c r="F225" s="694">
        <f>+COEF_FCM!AG227</f>
        <v>1.1108845379000001E-3</v>
      </c>
      <c r="G225" s="693">
        <f t="shared" si="48"/>
        <v>3153092</v>
      </c>
      <c r="H225" s="695">
        <f t="shared" si="60"/>
        <v>292424.84499999974</v>
      </c>
      <c r="I225" s="641">
        <f t="shared" si="61"/>
        <v>0</v>
      </c>
      <c r="J225" s="696">
        <f t="shared" si="62"/>
        <v>292424.84499999974</v>
      </c>
      <c r="K225" s="693">
        <f t="shared" si="49"/>
        <v>159441</v>
      </c>
      <c r="L225" s="695">
        <f t="shared" si="50"/>
        <v>132983.84499999974</v>
      </c>
      <c r="M225" s="693">
        <f t="shared" si="51"/>
        <v>2993651</v>
      </c>
      <c r="N225" s="693">
        <f t="shared" si="52"/>
        <v>0</v>
      </c>
      <c r="O225" s="695">
        <f t="shared" si="53"/>
        <v>2993651</v>
      </c>
      <c r="P225" s="695">
        <f t="shared" si="54"/>
        <v>-159441</v>
      </c>
      <c r="Q225" s="697">
        <f t="shared" si="55"/>
        <v>1.1108845379000001E-3</v>
      </c>
      <c r="R225" s="694">
        <f t="shared" si="56"/>
        <v>-5.6173610999999997E-5</v>
      </c>
      <c r="S225" s="693">
        <v>0</v>
      </c>
      <c r="T225" s="695">
        <f t="shared" si="57"/>
        <v>2993651</v>
      </c>
      <c r="U225" s="695">
        <f t="shared" si="58"/>
        <v>2993651</v>
      </c>
      <c r="V225" s="693">
        <f t="shared" si="59"/>
        <v>0</v>
      </c>
      <c r="W225" s="697"/>
      <c r="X225" s="698" t="s">
        <v>416</v>
      </c>
      <c r="Y225" s="678">
        <v>0</v>
      </c>
      <c r="Z225" s="678">
        <v>1944199</v>
      </c>
      <c r="AA225" s="678">
        <v>1944199</v>
      </c>
      <c r="AB225" s="699">
        <f t="shared" si="63"/>
        <v>1.5397863078830922</v>
      </c>
      <c r="AC225" s="700"/>
      <c r="AD225" s="701"/>
    </row>
    <row r="226" spans="1:30" s="639" customFormat="1" x14ac:dyDescent="0.25">
      <c r="A226" s="639">
        <v>220</v>
      </c>
      <c r="B226" s="639">
        <f>+'_DATA STT PAGOS_'!M226</f>
        <v>10205</v>
      </c>
      <c r="C226" s="639" t="str">
        <f>+'_DATA STT PAGOS_'!O226</f>
        <v>DALCAHUE</v>
      </c>
      <c r="D226" s="693">
        <f>+'_DATA STT PAGOS_'!G226</f>
        <v>0</v>
      </c>
      <c r="E226" s="693">
        <f>+'_DATA STT PAGOS_'!J226</f>
        <v>4603564.7019999996</v>
      </c>
      <c r="F226" s="694">
        <f>+COEF_FCM!AG228</f>
        <v>1.8581377129999999E-3</v>
      </c>
      <c r="G226" s="693">
        <f t="shared" si="48"/>
        <v>5274066</v>
      </c>
      <c r="H226" s="695">
        <f t="shared" si="60"/>
        <v>670501.29800000042</v>
      </c>
      <c r="I226" s="641">
        <f t="shared" si="61"/>
        <v>0</v>
      </c>
      <c r="J226" s="696">
        <f t="shared" si="62"/>
        <v>670501.29800000042</v>
      </c>
      <c r="K226" s="693">
        <f t="shared" si="49"/>
        <v>365583</v>
      </c>
      <c r="L226" s="695">
        <f t="shared" si="50"/>
        <v>304918.29800000042</v>
      </c>
      <c r="M226" s="693">
        <f t="shared" si="51"/>
        <v>4908483</v>
      </c>
      <c r="N226" s="693">
        <f t="shared" si="52"/>
        <v>0</v>
      </c>
      <c r="O226" s="695">
        <f t="shared" si="53"/>
        <v>4908483</v>
      </c>
      <c r="P226" s="695">
        <f t="shared" si="54"/>
        <v>-365583</v>
      </c>
      <c r="Q226" s="697">
        <f t="shared" si="55"/>
        <v>1.8581377129999999E-3</v>
      </c>
      <c r="R226" s="694">
        <f t="shared" si="56"/>
        <v>-1.2880073030000001E-4</v>
      </c>
      <c r="S226" s="693">
        <v>0</v>
      </c>
      <c r="T226" s="695">
        <f t="shared" si="57"/>
        <v>4908483</v>
      </c>
      <c r="U226" s="695">
        <f t="shared" si="58"/>
        <v>4908483</v>
      </c>
      <c r="V226" s="693">
        <f t="shared" si="59"/>
        <v>0</v>
      </c>
      <c r="W226" s="697"/>
      <c r="X226" s="698" t="s">
        <v>257</v>
      </c>
      <c r="Y226" s="678">
        <v>0</v>
      </c>
      <c r="Z226" s="678">
        <v>2946234</v>
      </c>
      <c r="AA226" s="678">
        <v>2946234</v>
      </c>
      <c r="AB226" s="699">
        <f t="shared" si="63"/>
        <v>1.6660193996810844</v>
      </c>
      <c r="AC226" s="700"/>
      <c r="AD226" s="701"/>
    </row>
    <row r="227" spans="1:30" s="639" customFormat="1" x14ac:dyDescent="0.25">
      <c r="A227" s="639">
        <v>221</v>
      </c>
      <c r="B227" s="639">
        <f>+'_DATA STT PAGOS_'!M227</f>
        <v>10206</v>
      </c>
      <c r="C227" s="639" t="str">
        <f>+'_DATA STT PAGOS_'!O227</f>
        <v>PUQUELDÓN</v>
      </c>
      <c r="D227" s="693">
        <f>+'_DATA STT PAGOS_'!G227</f>
        <v>0</v>
      </c>
      <c r="E227" s="693">
        <f>+'_DATA STT PAGOS_'!J227</f>
        <v>2621981.2580000004</v>
      </c>
      <c r="F227" s="694">
        <f>+COEF_FCM!AG229</f>
        <v>1.0900185097999998E-3</v>
      </c>
      <c r="G227" s="693">
        <f t="shared" si="48"/>
        <v>3093866</v>
      </c>
      <c r="H227" s="695">
        <f t="shared" si="60"/>
        <v>471884.74199999962</v>
      </c>
      <c r="I227" s="641">
        <f t="shared" si="61"/>
        <v>0</v>
      </c>
      <c r="J227" s="696">
        <f t="shared" si="62"/>
        <v>471884.74199999962</v>
      </c>
      <c r="K227" s="693">
        <f t="shared" si="49"/>
        <v>257289</v>
      </c>
      <c r="L227" s="695">
        <f t="shared" si="50"/>
        <v>214595.74199999962</v>
      </c>
      <c r="M227" s="693">
        <f t="shared" si="51"/>
        <v>2836577</v>
      </c>
      <c r="N227" s="693">
        <f t="shared" si="52"/>
        <v>0</v>
      </c>
      <c r="O227" s="695">
        <f t="shared" si="53"/>
        <v>2836577</v>
      </c>
      <c r="P227" s="695">
        <f t="shared" si="54"/>
        <v>-257289</v>
      </c>
      <c r="Q227" s="697">
        <f t="shared" si="55"/>
        <v>1.0900185097999998E-3</v>
      </c>
      <c r="R227" s="694">
        <f t="shared" si="56"/>
        <v>-9.0647024399999993E-5</v>
      </c>
      <c r="S227" s="693">
        <v>0</v>
      </c>
      <c r="T227" s="695">
        <f t="shared" si="57"/>
        <v>2836577</v>
      </c>
      <c r="U227" s="695">
        <f t="shared" si="58"/>
        <v>2836577</v>
      </c>
      <c r="V227" s="693">
        <f t="shared" si="59"/>
        <v>0</v>
      </c>
      <c r="W227" s="697"/>
      <c r="X227" s="698" t="s">
        <v>417</v>
      </c>
      <c r="Y227" s="678">
        <v>0</v>
      </c>
      <c r="Z227" s="678">
        <v>1714750</v>
      </c>
      <c r="AA227" s="678">
        <v>1714750</v>
      </c>
      <c r="AB227" s="699">
        <f t="shared" si="63"/>
        <v>1.6542218982358945</v>
      </c>
      <c r="AC227" s="700"/>
      <c r="AD227" s="701"/>
    </row>
    <row r="228" spans="1:30" s="639" customFormat="1" x14ac:dyDescent="0.25">
      <c r="A228" s="639">
        <v>222</v>
      </c>
      <c r="B228" s="639">
        <f>+'_DATA STT PAGOS_'!M228</f>
        <v>10207</v>
      </c>
      <c r="C228" s="639" t="str">
        <f>+'_DATA STT PAGOS_'!O228</f>
        <v>QUEILÉN</v>
      </c>
      <c r="D228" s="693">
        <f>+'_DATA STT PAGOS_'!G228</f>
        <v>0</v>
      </c>
      <c r="E228" s="693">
        <f>+'_DATA STT PAGOS_'!J228</f>
        <v>3022625.324</v>
      </c>
      <c r="F228" s="694">
        <f>+COEF_FCM!AG230</f>
        <v>1.3413757572000001E-3</v>
      </c>
      <c r="G228" s="693">
        <f t="shared" si="48"/>
        <v>3807309</v>
      </c>
      <c r="H228" s="695">
        <f t="shared" si="60"/>
        <v>784683.67599999998</v>
      </c>
      <c r="I228" s="641">
        <f t="shared" si="61"/>
        <v>0</v>
      </c>
      <c r="J228" s="696">
        <f t="shared" si="62"/>
        <v>784683.67599999998</v>
      </c>
      <c r="K228" s="693">
        <f t="shared" si="49"/>
        <v>427839</v>
      </c>
      <c r="L228" s="695">
        <f t="shared" si="50"/>
        <v>356844.67599999998</v>
      </c>
      <c r="M228" s="693">
        <f t="shared" si="51"/>
        <v>3379470</v>
      </c>
      <c r="N228" s="693">
        <f t="shared" si="52"/>
        <v>0</v>
      </c>
      <c r="O228" s="695">
        <f t="shared" si="53"/>
        <v>3379470</v>
      </c>
      <c r="P228" s="695">
        <f t="shared" si="54"/>
        <v>-427839</v>
      </c>
      <c r="Q228" s="697">
        <f t="shared" si="55"/>
        <v>1.3413757572000001E-3</v>
      </c>
      <c r="R228" s="694">
        <f t="shared" si="56"/>
        <v>-1.5073451350000001E-4</v>
      </c>
      <c r="S228" s="693">
        <v>0</v>
      </c>
      <c r="T228" s="695">
        <f t="shared" si="57"/>
        <v>3379470</v>
      </c>
      <c r="U228" s="695">
        <f t="shared" si="58"/>
        <v>3379470</v>
      </c>
      <c r="V228" s="693">
        <f t="shared" si="59"/>
        <v>0</v>
      </c>
      <c r="W228" s="697"/>
      <c r="X228" s="698" t="s">
        <v>418</v>
      </c>
      <c r="Y228" s="678">
        <v>0</v>
      </c>
      <c r="Z228" s="678">
        <v>2041564</v>
      </c>
      <c r="AA228" s="678">
        <v>2041564</v>
      </c>
      <c r="AB228" s="699">
        <f t="shared" si="63"/>
        <v>1.6553338518900216</v>
      </c>
      <c r="AC228" s="700"/>
      <c r="AD228" s="701"/>
    </row>
    <row r="229" spans="1:30" s="639" customFormat="1" x14ac:dyDescent="0.25">
      <c r="A229" s="639">
        <v>223</v>
      </c>
      <c r="B229" s="639">
        <f>+'_DATA STT PAGOS_'!M229</f>
        <v>10208</v>
      </c>
      <c r="C229" s="639" t="str">
        <f>+'_DATA STT PAGOS_'!O229</f>
        <v>QUELLÓN</v>
      </c>
      <c r="D229" s="693">
        <f>+'_DATA STT PAGOS_'!G229</f>
        <v>0</v>
      </c>
      <c r="E229" s="693">
        <f>+'_DATA STT PAGOS_'!J229</f>
        <v>5810697.4469999997</v>
      </c>
      <c r="F229" s="694">
        <f>+COEF_FCM!AG231</f>
        <v>2.6517997271999997E-3</v>
      </c>
      <c r="G229" s="693">
        <f t="shared" si="48"/>
        <v>7526766</v>
      </c>
      <c r="H229" s="695">
        <f t="shared" si="60"/>
        <v>1716068.5530000003</v>
      </c>
      <c r="I229" s="641">
        <f t="shared" si="61"/>
        <v>0</v>
      </c>
      <c r="J229" s="696">
        <f t="shared" si="62"/>
        <v>1716068.5530000003</v>
      </c>
      <c r="K229" s="693">
        <f t="shared" si="49"/>
        <v>935666</v>
      </c>
      <c r="L229" s="695">
        <f t="shared" si="50"/>
        <v>780402.55300000031</v>
      </c>
      <c r="M229" s="693">
        <f t="shared" si="51"/>
        <v>6591100</v>
      </c>
      <c r="N229" s="693">
        <f t="shared" si="52"/>
        <v>0</v>
      </c>
      <c r="O229" s="695">
        <f t="shared" si="53"/>
        <v>6591100</v>
      </c>
      <c r="P229" s="695">
        <f t="shared" si="54"/>
        <v>-935666</v>
      </c>
      <c r="Q229" s="697">
        <f t="shared" si="55"/>
        <v>2.6517997271999997E-3</v>
      </c>
      <c r="R229" s="694">
        <f t="shared" si="56"/>
        <v>-3.2965007710000001E-4</v>
      </c>
      <c r="S229" s="693">
        <v>0</v>
      </c>
      <c r="T229" s="695">
        <f t="shared" si="57"/>
        <v>6591100</v>
      </c>
      <c r="U229" s="695">
        <f t="shared" si="58"/>
        <v>6591100</v>
      </c>
      <c r="V229" s="693">
        <f t="shared" si="59"/>
        <v>0</v>
      </c>
      <c r="W229" s="697"/>
      <c r="X229" s="698" t="s">
        <v>419</v>
      </c>
      <c r="Y229" s="678">
        <v>0</v>
      </c>
      <c r="Z229" s="678">
        <v>3739863</v>
      </c>
      <c r="AA229" s="678">
        <v>3739863</v>
      </c>
      <c r="AB229" s="699">
        <f t="shared" si="63"/>
        <v>1.7623907613728096</v>
      </c>
      <c r="AC229" s="700"/>
      <c r="AD229" s="701"/>
    </row>
    <row r="230" spans="1:30" s="639" customFormat="1" x14ac:dyDescent="0.25">
      <c r="A230" s="639">
        <v>224</v>
      </c>
      <c r="B230" s="639">
        <f>+'_DATA STT PAGOS_'!M230</f>
        <v>10209</v>
      </c>
      <c r="C230" s="639" t="str">
        <f>+'_DATA STT PAGOS_'!O230</f>
        <v>QUEMCHI</v>
      </c>
      <c r="D230" s="693">
        <f>+'_DATA STT PAGOS_'!G230</f>
        <v>0</v>
      </c>
      <c r="E230" s="693">
        <f>+'_DATA STT PAGOS_'!J230</f>
        <v>3696310.753</v>
      </c>
      <c r="F230" s="694">
        <f>+COEF_FCM!AG232</f>
        <v>1.558435041E-3</v>
      </c>
      <c r="G230" s="693">
        <f t="shared" si="48"/>
        <v>4423402</v>
      </c>
      <c r="H230" s="695">
        <f t="shared" si="60"/>
        <v>727091.24699999997</v>
      </c>
      <c r="I230" s="641">
        <f t="shared" si="61"/>
        <v>0</v>
      </c>
      <c r="J230" s="696">
        <f t="shared" si="62"/>
        <v>727091.24699999997</v>
      </c>
      <c r="K230" s="693">
        <f t="shared" si="49"/>
        <v>396438</v>
      </c>
      <c r="L230" s="695">
        <f t="shared" si="50"/>
        <v>330653.24699999997</v>
      </c>
      <c r="M230" s="693">
        <f t="shared" si="51"/>
        <v>4026964</v>
      </c>
      <c r="N230" s="693">
        <f t="shared" si="52"/>
        <v>0</v>
      </c>
      <c r="O230" s="695">
        <f t="shared" si="53"/>
        <v>4026964</v>
      </c>
      <c r="P230" s="695">
        <f t="shared" si="54"/>
        <v>-396438</v>
      </c>
      <c r="Q230" s="697">
        <f t="shared" si="55"/>
        <v>1.558435041E-3</v>
      </c>
      <c r="R230" s="694">
        <f t="shared" si="56"/>
        <v>-1.396714397E-4</v>
      </c>
      <c r="S230" s="693">
        <v>0</v>
      </c>
      <c r="T230" s="695">
        <f t="shared" si="57"/>
        <v>4026964</v>
      </c>
      <c r="U230" s="695">
        <f t="shared" si="58"/>
        <v>4026964</v>
      </c>
      <c r="V230" s="693">
        <f t="shared" si="59"/>
        <v>0</v>
      </c>
      <c r="W230" s="697"/>
      <c r="X230" s="698" t="s">
        <v>256</v>
      </c>
      <c r="Y230" s="678">
        <v>0</v>
      </c>
      <c r="Z230" s="678">
        <v>2655230</v>
      </c>
      <c r="AA230" s="678">
        <v>2655230</v>
      </c>
      <c r="AB230" s="699">
        <f t="shared" si="63"/>
        <v>1.5166158863827239</v>
      </c>
      <c r="AC230" s="700"/>
      <c r="AD230" s="701"/>
    </row>
    <row r="231" spans="1:30" s="639" customFormat="1" x14ac:dyDescent="0.25">
      <c r="A231" s="639">
        <v>225</v>
      </c>
      <c r="B231" s="639">
        <f>+'_DATA STT PAGOS_'!M231</f>
        <v>10210</v>
      </c>
      <c r="C231" s="639" t="str">
        <f>+'_DATA STT PAGOS_'!O231</f>
        <v>QUINCHAO</v>
      </c>
      <c r="D231" s="693">
        <f>+'_DATA STT PAGOS_'!G231</f>
        <v>0</v>
      </c>
      <c r="E231" s="693">
        <f>+'_DATA STT PAGOS_'!J231</f>
        <v>3512071.1910000001</v>
      </c>
      <c r="F231" s="694">
        <f>+COEF_FCM!AG233</f>
        <v>1.4172483634000001E-3</v>
      </c>
      <c r="G231" s="693">
        <f t="shared" si="48"/>
        <v>4022663</v>
      </c>
      <c r="H231" s="695">
        <f t="shared" si="60"/>
        <v>510591.80899999989</v>
      </c>
      <c r="I231" s="641">
        <f t="shared" si="61"/>
        <v>0</v>
      </c>
      <c r="J231" s="696">
        <f t="shared" si="62"/>
        <v>510591.80899999989</v>
      </c>
      <c r="K231" s="693">
        <f t="shared" si="49"/>
        <v>278394</v>
      </c>
      <c r="L231" s="695">
        <f t="shared" si="50"/>
        <v>232197.80899999989</v>
      </c>
      <c r="M231" s="693">
        <f t="shared" si="51"/>
        <v>3744269</v>
      </c>
      <c r="N231" s="693">
        <f t="shared" si="52"/>
        <v>0</v>
      </c>
      <c r="O231" s="695">
        <f t="shared" si="53"/>
        <v>3744269</v>
      </c>
      <c r="P231" s="695">
        <f t="shared" si="54"/>
        <v>-278394</v>
      </c>
      <c r="Q231" s="697">
        <f t="shared" si="55"/>
        <v>1.4172483634000001E-3</v>
      </c>
      <c r="R231" s="694">
        <f t="shared" si="56"/>
        <v>-9.8082652999999993E-5</v>
      </c>
      <c r="S231" s="693">
        <v>0</v>
      </c>
      <c r="T231" s="695">
        <f t="shared" si="57"/>
        <v>3744269</v>
      </c>
      <c r="U231" s="695">
        <f t="shared" si="58"/>
        <v>3744269</v>
      </c>
      <c r="V231" s="693">
        <f t="shared" si="59"/>
        <v>0</v>
      </c>
      <c r="W231" s="697"/>
      <c r="X231" s="698" t="s">
        <v>258</v>
      </c>
      <c r="Y231" s="678">
        <v>0</v>
      </c>
      <c r="Z231" s="678">
        <v>2598125</v>
      </c>
      <c r="AA231" s="678">
        <v>2598125</v>
      </c>
      <c r="AB231" s="699">
        <f t="shared" si="63"/>
        <v>1.4411427471734424</v>
      </c>
      <c r="AC231" s="700"/>
      <c r="AD231" s="701"/>
    </row>
    <row r="232" spans="1:30" s="639" customFormat="1" x14ac:dyDescent="0.25">
      <c r="A232" s="639">
        <v>226</v>
      </c>
      <c r="B232" s="639">
        <f>+'_DATA STT PAGOS_'!M232</f>
        <v>10301</v>
      </c>
      <c r="C232" s="639" t="str">
        <f>+'_DATA STT PAGOS_'!O232</f>
        <v>OSORNO</v>
      </c>
      <c r="D232" s="693">
        <f>+'_DATA STT PAGOS_'!G232</f>
        <v>0</v>
      </c>
      <c r="E232" s="693">
        <f>+'_DATA STT PAGOS_'!J232</f>
        <v>15346404.337000001</v>
      </c>
      <c r="F232" s="694">
        <f>+COEF_FCM!AG234</f>
        <v>5.6817189611000005E-3</v>
      </c>
      <c r="G232" s="693">
        <f t="shared" si="48"/>
        <v>16126771</v>
      </c>
      <c r="H232" s="695">
        <f t="shared" si="60"/>
        <v>780366.66299999878</v>
      </c>
      <c r="I232" s="641">
        <f t="shared" si="61"/>
        <v>0</v>
      </c>
      <c r="J232" s="696">
        <f t="shared" si="62"/>
        <v>780366.66299999878</v>
      </c>
      <c r="K232" s="693">
        <f t="shared" si="49"/>
        <v>425485</v>
      </c>
      <c r="L232" s="695">
        <f t="shared" si="50"/>
        <v>354881.66299999878</v>
      </c>
      <c r="M232" s="693">
        <f t="shared" si="51"/>
        <v>15701286</v>
      </c>
      <c r="N232" s="693">
        <f t="shared" si="52"/>
        <v>0</v>
      </c>
      <c r="O232" s="695">
        <f t="shared" si="53"/>
        <v>15701286</v>
      </c>
      <c r="P232" s="695">
        <f t="shared" si="54"/>
        <v>-425485</v>
      </c>
      <c r="Q232" s="697">
        <f t="shared" si="55"/>
        <v>5.6817189611000005E-3</v>
      </c>
      <c r="R232" s="694">
        <f t="shared" si="56"/>
        <v>-1.499051617E-4</v>
      </c>
      <c r="S232" s="693">
        <v>0</v>
      </c>
      <c r="T232" s="695">
        <f t="shared" si="57"/>
        <v>15701286</v>
      </c>
      <c r="U232" s="695">
        <f t="shared" si="58"/>
        <v>15701286</v>
      </c>
      <c r="V232" s="693">
        <f t="shared" si="59"/>
        <v>0</v>
      </c>
      <c r="W232" s="697"/>
      <c r="X232" s="698" t="s">
        <v>240</v>
      </c>
      <c r="Y232" s="678">
        <v>0</v>
      </c>
      <c r="Z232" s="678">
        <v>11003920</v>
      </c>
      <c r="AA232" s="678">
        <v>11003920</v>
      </c>
      <c r="AB232" s="699">
        <f t="shared" si="63"/>
        <v>1.4268811478091443</v>
      </c>
      <c r="AC232" s="700"/>
      <c r="AD232" s="701"/>
    </row>
    <row r="233" spans="1:30" s="639" customFormat="1" x14ac:dyDescent="0.25">
      <c r="A233" s="639">
        <v>227</v>
      </c>
      <c r="B233" s="639">
        <f>+'_DATA STT PAGOS_'!M233</f>
        <v>10302</v>
      </c>
      <c r="C233" s="639" t="str">
        <f>+'_DATA STT PAGOS_'!O233</f>
        <v>PUERTO OCTAY</v>
      </c>
      <c r="D233" s="693">
        <f>+'_DATA STT PAGOS_'!G233</f>
        <v>0</v>
      </c>
      <c r="E233" s="693">
        <f>+'_DATA STT PAGOS_'!J233</f>
        <v>2263480.5160000003</v>
      </c>
      <c r="F233" s="694">
        <f>+COEF_FCM!AG235</f>
        <v>8.7292722980000001E-4</v>
      </c>
      <c r="G233" s="693">
        <f t="shared" si="48"/>
        <v>2477683</v>
      </c>
      <c r="H233" s="695">
        <f t="shared" si="60"/>
        <v>214202.48399999971</v>
      </c>
      <c r="I233" s="641">
        <f t="shared" si="61"/>
        <v>0</v>
      </c>
      <c r="J233" s="696">
        <f t="shared" si="62"/>
        <v>214202.48399999971</v>
      </c>
      <c r="K233" s="693">
        <f t="shared" si="49"/>
        <v>116791</v>
      </c>
      <c r="L233" s="695">
        <f t="shared" si="50"/>
        <v>97411.483999999706</v>
      </c>
      <c r="M233" s="693">
        <f t="shared" si="51"/>
        <v>2360892</v>
      </c>
      <c r="N233" s="693">
        <f t="shared" si="52"/>
        <v>0</v>
      </c>
      <c r="O233" s="695">
        <f t="shared" si="53"/>
        <v>2360892</v>
      </c>
      <c r="P233" s="695">
        <f t="shared" si="54"/>
        <v>-116791</v>
      </c>
      <c r="Q233" s="697">
        <f t="shared" si="55"/>
        <v>8.7292722980000001E-4</v>
      </c>
      <c r="R233" s="694">
        <f t="shared" si="56"/>
        <v>-4.1147334799999997E-5</v>
      </c>
      <c r="S233" s="693">
        <v>0</v>
      </c>
      <c r="T233" s="695">
        <f t="shared" si="57"/>
        <v>2360892</v>
      </c>
      <c r="U233" s="695">
        <f t="shared" si="58"/>
        <v>2360892</v>
      </c>
      <c r="V233" s="693">
        <f t="shared" si="59"/>
        <v>0</v>
      </c>
      <c r="W233" s="697"/>
      <c r="X233" s="698" t="s">
        <v>242</v>
      </c>
      <c r="Y233" s="678">
        <v>0</v>
      </c>
      <c r="Z233" s="678">
        <v>1563169</v>
      </c>
      <c r="AA233" s="678">
        <v>1563169</v>
      </c>
      <c r="AB233" s="699">
        <f t="shared" si="63"/>
        <v>1.5103242195821438</v>
      </c>
      <c r="AC233" s="700"/>
      <c r="AD233" s="701"/>
    </row>
    <row r="234" spans="1:30" s="639" customFormat="1" x14ac:dyDescent="0.25">
      <c r="A234" s="639">
        <v>228</v>
      </c>
      <c r="B234" s="639">
        <f>+'_DATA STT PAGOS_'!M234</f>
        <v>10303</v>
      </c>
      <c r="C234" s="639" t="str">
        <f>+'_DATA STT PAGOS_'!O234</f>
        <v>PURRANQUE</v>
      </c>
      <c r="D234" s="693">
        <f>+'_DATA STT PAGOS_'!G234</f>
        <v>0</v>
      </c>
      <c r="E234" s="693">
        <f>+'_DATA STT PAGOS_'!J234</f>
        <v>3992394.8419999997</v>
      </c>
      <c r="F234" s="694">
        <f>+COEF_FCM!AG236</f>
        <v>1.2387615614999998E-3</v>
      </c>
      <c r="G234" s="693">
        <f t="shared" si="48"/>
        <v>3516053</v>
      </c>
      <c r="H234" s="695">
        <f t="shared" si="60"/>
        <v>-476341.84199999971</v>
      </c>
      <c r="I234" s="641">
        <f t="shared" si="61"/>
        <v>-476342</v>
      </c>
      <c r="J234" s="696">
        <f t="shared" si="62"/>
        <v>0</v>
      </c>
      <c r="K234" s="693">
        <f t="shared" si="49"/>
        <v>0</v>
      </c>
      <c r="L234" s="695">
        <f t="shared" si="50"/>
        <v>0</v>
      </c>
      <c r="M234" s="693">
        <f t="shared" si="51"/>
        <v>0</v>
      </c>
      <c r="N234" s="693">
        <f t="shared" si="52"/>
        <v>3992395</v>
      </c>
      <c r="O234" s="695">
        <f t="shared" si="53"/>
        <v>3992395</v>
      </c>
      <c r="P234" s="695">
        <f t="shared" si="54"/>
        <v>476342</v>
      </c>
      <c r="Q234" s="697">
        <f t="shared" si="55"/>
        <v>1.2387615614999998E-3</v>
      </c>
      <c r="R234" s="694">
        <f t="shared" si="56"/>
        <v>1.6782289519999999E-4</v>
      </c>
      <c r="S234" s="693">
        <v>0</v>
      </c>
      <c r="T234" s="695">
        <f t="shared" si="57"/>
        <v>3992395</v>
      </c>
      <c r="U234" s="695">
        <f t="shared" si="58"/>
        <v>3992395</v>
      </c>
      <c r="V234" s="693">
        <f t="shared" si="59"/>
        <v>476342</v>
      </c>
      <c r="W234" s="697"/>
      <c r="X234" s="698" t="s">
        <v>244</v>
      </c>
      <c r="Y234" s="678">
        <v>0</v>
      </c>
      <c r="Z234" s="678">
        <v>2817536</v>
      </c>
      <c r="AA234" s="678">
        <v>2817536</v>
      </c>
      <c r="AB234" s="699">
        <f t="shared" si="63"/>
        <v>1.4169810075186262</v>
      </c>
      <c r="AC234" s="700"/>
      <c r="AD234" s="701"/>
    </row>
    <row r="235" spans="1:30" s="639" customFormat="1" x14ac:dyDescent="0.25">
      <c r="A235" s="639">
        <v>229</v>
      </c>
      <c r="B235" s="639">
        <f>+'_DATA STT PAGOS_'!M235</f>
        <v>10304</v>
      </c>
      <c r="C235" s="639" t="str">
        <f>+'_DATA STT PAGOS_'!O235</f>
        <v>PUYEHUE</v>
      </c>
      <c r="D235" s="693">
        <f>+'_DATA STT PAGOS_'!G235</f>
        <v>0</v>
      </c>
      <c r="E235" s="693">
        <f>+'_DATA STT PAGOS_'!J235</f>
        <v>2530779.0590000004</v>
      </c>
      <c r="F235" s="694">
        <f>+COEF_FCM!AG237</f>
        <v>9.9469763619999992E-4</v>
      </c>
      <c r="G235" s="693">
        <f t="shared" si="48"/>
        <v>2823311</v>
      </c>
      <c r="H235" s="695">
        <f t="shared" si="60"/>
        <v>292531.94099999964</v>
      </c>
      <c r="I235" s="641">
        <f t="shared" si="61"/>
        <v>0</v>
      </c>
      <c r="J235" s="696">
        <f t="shared" si="62"/>
        <v>292531.94099999964</v>
      </c>
      <c r="K235" s="693">
        <f t="shared" si="49"/>
        <v>159500</v>
      </c>
      <c r="L235" s="695">
        <f t="shared" si="50"/>
        <v>133031.94099999964</v>
      </c>
      <c r="M235" s="693">
        <f t="shared" si="51"/>
        <v>2663811</v>
      </c>
      <c r="N235" s="693">
        <f t="shared" si="52"/>
        <v>0</v>
      </c>
      <c r="O235" s="695">
        <f t="shared" si="53"/>
        <v>2663811</v>
      </c>
      <c r="P235" s="695">
        <f t="shared" si="54"/>
        <v>-159500</v>
      </c>
      <c r="Q235" s="697">
        <f t="shared" si="55"/>
        <v>9.9469763619999992E-4</v>
      </c>
      <c r="R235" s="694">
        <f t="shared" si="56"/>
        <v>-5.6194397699999998E-5</v>
      </c>
      <c r="S235" s="693">
        <v>0</v>
      </c>
      <c r="T235" s="695">
        <f t="shared" si="57"/>
        <v>2663811</v>
      </c>
      <c r="U235" s="695">
        <f t="shared" si="58"/>
        <v>2663811</v>
      </c>
      <c r="V235" s="693">
        <f t="shared" si="59"/>
        <v>0</v>
      </c>
      <c r="W235" s="697"/>
      <c r="X235" s="698" t="s">
        <v>243</v>
      </c>
      <c r="Y235" s="678">
        <v>0</v>
      </c>
      <c r="Z235" s="678">
        <v>1678479</v>
      </c>
      <c r="AA235" s="678">
        <v>1678479</v>
      </c>
      <c r="AB235" s="699">
        <f t="shared" si="63"/>
        <v>1.5870386224671265</v>
      </c>
      <c r="AC235" s="700"/>
      <c r="AD235" s="701"/>
    </row>
    <row r="236" spans="1:30" s="639" customFormat="1" x14ac:dyDescent="0.25">
      <c r="A236" s="639">
        <v>230</v>
      </c>
      <c r="B236" s="639">
        <f>+'_DATA STT PAGOS_'!M236</f>
        <v>10305</v>
      </c>
      <c r="C236" s="639" t="str">
        <f>+'_DATA STT PAGOS_'!O236</f>
        <v>RÍO NEGRO</v>
      </c>
      <c r="D236" s="693">
        <f>+'_DATA STT PAGOS_'!G236</f>
        <v>0</v>
      </c>
      <c r="E236" s="693">
        <f>+'_DATA STT PAGOS_'!J236</f>
        <v>3184785.469</v>
      </c>
      <c r="F236" s="694">
        <f>+COEF_FCM!AG238</f>
        <v>1.1259803472999999E-3</v>
      </c>
      <c r="G236" s="693">
        <f t="shared" si="48"/>
        <v>3195939</v>
      </c>
      <c r="H236" s="695">
        <f t="shared" si="60"/>
        <v>11153.530999999959</v>
      </c>
      <c r="I236" s="641">
        <f t="shared" si="61"/>
        <v>0</v>
      </c>
      <c r="J236" s="696">
        <f t="shared" si="62"/>
        <v>11153.530999999959</v>
      </c>
      <c r="K236" s="693">
        <f t="shared" si="49"/>
        <v>6081</v>
      </c>
      <c r="L236" s="695">
        <f t="shared" si="50"/>
        <v>5072.530999999959</v>
      </c>
      <c r="M236" s="693">
        <f t="shared" si="51"/>
        <v>3189858</v>
      </c>
      <c r="N236" s="693">
        <f t="shared" si="52"/>
        <v>0</v>
      </c>
      <c r="O236" s="695">
        <f t="shared" si="53"/>
        <v>3189858</v>
      </c>
      <c r="P236" s="695">
        <f t="shared" si="54"/>
        <v>-6081</v>
      </c>
      <c r="Q236" s="697">
        <f t="shared" si="55"/>
        <v>1.1259803472999999E-3</v>
      </c>
      <c r="R236" s="694">
        <f t="shared" si="56"/>
        <v>-2.1424334000000001E-6</v>
      </c>
      <c r="S236" s="693">
        <v>0</v>
      </c>
      <c r="T236" s="695">
        <f t="shared" si="57"/>
        <v>3189858</v>
      </c>
      <c r="U236" s="695">
        <f t="shared" si="58"/>
        <v>3189858</v>
      </c>
      <c r="V236" s="693">
        <f t="shared" si="59"/>
        <v>0</v>
      </c>
      <c r="W236" s="697"/>
      <c r="X236" s="698" t="s">
        <v>420</v>
      </c>
      <c r="Y236" s="678">
        <v>0</v>
      </c>
      <c r="Z236" s="678">
        <v>2248423</v>
      </c>
      <c r="AA236" s="678">
        <v>2248423</v>
      </c>
      <c r="AB236" s="699">
        <f t="shared" si="63"/>
        <v>1.4187090240581954</v>
      </c>
      <c r="AC236" s="700"/>
      <c r="AD236" s="701"/>
    </row>
    <row r="237" spans="1:30" s="639" customFormat="1" x14ac:dyDescent="0.25">
      <c r="A237" s="639">
        <v>231</v>
      </c>
      <c r="B237" s="639">
        <f>+'_DATA STT PAGOS_'!M237</f>
        <v>10306</v>
      </c>
      <c r="C237" s="639" t="str">
        <f>+'_DATA STT PAGOS_'!O237</f>
        <v>SAN JUAN DE LA COSTA</v>
      </c>
      <c r="D237" s="693">
        <f>+'_DATA STT PAGOS_'!G237</f>
        <v>0</v>
      </c>
      <c r="E237" s="693">
        <f>+'_DATA STT PAGOS_'!J237</f>
        <v>5519336.4130000006</v>
      </c>
      <c r="F237" s="694">
        <f>+COEF_FCM!AG239</f>
        <v>2.8827170536000002E-3</v>
      </c>
      <c r="G237" s="693">
        <f t="shared" si="48"/>
        <v>8182192</v>
      </c>
      <c r="H237" s="695">
        <f t="shared" si="60"/>
        <v>2662855.5869999994</v>
      </c>
      <c r="I237" s="641">
        <f t="shared" si="61"/>
        <v>0</v>
      </c>
      <c r="J237" s="696">
        <f t="shared" si="62"/>
        <v>2662855.5869999994</v>
      </c>
      <c r="K237" s="693">
        <f t="shared" si="49"/>
        <v>1451890</v>
      </c>
      <c r="L237" s="695">
        <f t="shared" si="50"/>
        <v>1210965.5869999994</v>
      </c>
      <c r="M237" s="693">
        <f t="shared" si="51"/>
        <v>6730302</v>
      </c>
      <c r="N237" s="693">
        <f t="shared" si="52"/>
        <v>0</v>
      </c>
      <c r="O237" s="695">
        <f t="shared" si="53"/>
        <v>6730302</v>
      </c>
      <c r="P237" s="695">
        <f t="shared" si="54"/>
        <v>-1451890</v>
      </c>
      <c r="Q237" s="697">
        <f t="shared" si="55"/>
        <v>2.8827170536000002E-3</v>
      </c>
      <c r="R237" s="694">
        <f t="shared" si="56"/>
        <v>-5.1152403790000005E-4</v>
      </c>
      <c r="S237" s="693">
        <v>0</v>
      </c>
      <c r="T237" s="695">
        <f t="shared" si="57"/>
        <v>6730302</v>
      </c>
      <c r="U237" s="695">
        <f t="shared" si="58"/>
        <v>6730302</v>
      </c>
      <c r="V237" s="693">
        <f t="shared" si="59"/>
        <v>0</v>
      </c>
      <c r="W237" s="697"/>
      <c r="X237" s="698" t="s">
        <v>245</v>
      </c>
      <c r="Y237" s="678">
        <v>0</v>
      </c>
      <c r="Z237" s="678">
        <v>3224780</v>
      </c>
      <c r="AA237" s="678">
        <v>3224780</v>
      </c>
      <c r="AB237" s="699">
        <f t="shared" si="63"/>
        <v>2.0870577217670663</v>
      </c>
      <c r="AC237" s="700"/>
      <c r="AD237" s="701"/>
    </row>
    <row r="238" spans="1:30" s="639" customFormat="1" x14ac:dyDescent="0.25">
      <c r="A238" s="639">
        <v>232</v>
      </c>
      <c r="B238" s="639">
        <f>+'_DATA STT PAGOS_'!M238</f>
        <v>10307</v>
      </c>
      <c r="C238" s="639" t="str">
        <f>+'_DATA STT PAGOS_'!O238</f>
        <v>SAN PABLO</v>
      </c>
      <c r="D238" s="693">
        <f>+'_DATA STT PAGOS_'!G238</f>
        <v>0</v>
      </c>
      <c r="E238" s="693">
        <f>+'_DATA STT PAGOS_'!J238</f>
        <v>2758470.943</v>
      </c>
      <c r="F238" s="694">
        <f>+COEF_FCM!AG240</f>
        <v>1.0759287710999999E-3</v>
      </c>
      <c r="G238" s="693">
        <f t="shared" si="48"/>
        <v>3053875</v>
      </c>
      <c r="H238" s="695">
        <f t="shared" si="60"/>
        <v>295404.05700000003</v>
      </c>
      <c r="I238" s="641">
        <f t="shared" si="61"/>
        <v>0</v>
      </c>
      <c r="J238" s="696">
        <f t="shared" si="62"/>
        <v>295404.05700000003</v>
      </c>
      <c r="K238" s="693">
        <f t="shared" si="49"/>
        <v>161065</v>
      </c>
      <c r="L238" s="695">
        <f t="shared" si="50"/>
        <v>134339.05700000003</v>
      </c>
      <c r="M238" s="693">
        <f t="shared" si="51"/>
        <v>2892810</v>
      </c>
      <c r="N238" s="693">
        <f t="shared" si="52"/>
        <v>0</v>
      </c>
      <c r="O238" s="695">
        <f t="shared" si="53"/>
        <v>2892810</v>
      </c>
      <c r="P238" s="695">
        <f t="shared" si="54"/>
        <v>-161065</v>
      </c>
      <c r="Q238" s="697">
        <f t="shared" si="55"/>
        <v>1.0759287710999999E-3</v>
      </c>
      <c r="R238" s="694">
        <f t="shared" si="56"/>
        <v>-5.6745772200000001E-5</v>
      </c>
      <c r="S238" s="693">
        <v>0</v>
      </c>
      <c r="T238" s="695">
        <f t="shared" si="57"/>
        <v>2892810</v>
      </c>
      <c r="U238" s="695">
        <f t="shared" si="58"/>
        <v>2892810</v>
      </c>
      <c r="V238" s="693">
        <f t="shared" si="59"/>
        <v>0</v>
      </c>
      <c r="W238" s="697"/>
      <c r="X238" s="698" t="s">
        <v>241</v>
      </c>
      <c r="Y238" s="678">
        <v>0</v>
      </c>
      <c r="Z238" s="678">
        <v>1981112</v>
      </c>
      <c r="AA238" s="678">
        <v>1981112</v>
      </c>
      <c r="AB238" s="699">
        <f t="shared" si="63"/>
        <v>1.4601950823577869</v>
      </c>
      <c r="AC238" s="700"/>
      <c r="AD238" s="701"/>
    </row>
    <row r="239" spans="1:30" s="639" customFormat="1" x14ac:dyDescent="0.25">
      <c r="A239" s="639">
        <v>233</v>
      </c>
      <c r="B239" s="639">
        <f>+'_DATA STT PAGOS_'!M239</f>
        <v>10401</v>
      </c>
      <c r="C239" s="639" t="str">
        <f>+'_DATA STT PAGOS_'!O239</f>
        <v>CHAITÉN</v>
      </c>
      <c r="D239" s="693">
        <f>+'_DATA STT PAGOS_'!G239</f>
        <v>0</v>
      </c>
      <c r="E239" s="693">
        <f>+'_DATA STT PAGOS_'!J239</f>
        <v>3011596.4839999997</v>
      </c>
      <c r="F239" s="694">
        <f>+COEF_FCM!AG241</f>
        <v>1.2122549189999999E-3</v>
      </c>
      <c r="G239" s="693">
        <f t="shared" si="48"/>
        <v>3440817</v>
      </c>
      <c r="H239" s="695">
        <f t="shared" si="60"/>
        <v>429220.51600000029</v>
      </c>
      <c r="I239" s="641">
        <f t="shared" si="61"/>
        <v>0</v>
      </c>
      <c r="J239" s="696">
        <f t="shared" si="62"/>
        <v>429220.51600000029</v>
      </c>
      <c r="K239" s="693">
        <f t="shared" si="49"/>
        <v>234027</v>
      </c>
      <c r="L239" s="695">
        <f t="shared" si="50"/>
        <v>195193.51600000029</v>
      </c>
      <c r="M239" s="693">
        <f t="shared" si="51"/>
        <v>3206790</v>
      </c>
      <c r="N239" s="693">
        <f t="shared" si="52"/>
        <v>0</v>
      </c>
      <c r="O239" s="695">
        <f t="shared" si="53"/>
        <v>3206790</v>
      </c>
      <c r="P239" s="695">
        <f t="shared" si="54"/>
        <v>-234027</v>
      </c>
      <c r="Q239" s="697">
        <f t="shared" si="55"/>
        <v>1.2122549189999999E-3</v>
      </c>
      <c r="R239" s="694">
        <f t="shared" si="56"/>
        <v>-8.2451450200000001E-5</v>
      </c>
      <c r="S239" s="693">
        <v>0</v>
      </c>
      <c r="T239" s="695">
        <f t="shared" si="57"/>
        <v>3206790</v>
      </c>
      <c r="U239" s="695">
        <f t="shared" si="58"/>
        <v>3206790</v>
      </c>
      <c r="V239" s="693">
        <f t="shared" si="59"/>
        <v>0</v>
      </c>
      <c r="W239" s="697"/>
      <c r="X239" s="698" t="s">
        <v>421</v>
      </c>
      <c r="Y239" s="678">
        <v>0</v>
      </c>
      <c r="Z239" s="678">
        <v>2112306</v>
      </c>
      <c r="AA239" s="678">
        <v>2112306</v>
      </c>
      <c r="AB239" s="699">
        <f t="shared" si="63"/>
        <v>1.5181465185441883</v>
      </c>
      <c r="AC239" s="700"/>
      <c r="AD239" s="701"/>
    </row>
    <row r="240" spans="1:30" s="639" customFormat="1" x14ac:dyDescent="0.25">
      <c r="A240" s="639">
        <v>234</v>
      </c>
      <c r="B240" s="639">
        <f>+'_DATA STT PAGOS_'!M240</f>
        <v>10402</v>
      </c>
      <c r="C240" s="639" t="str">
        <f>+'_DATA STT PAGOS_'!O240</f>
        <v>FUTALEUFÚ</v>
      </c>
      <c r="D240" s="693">
        <f>+'_DATA STT PAGOS_'!G240</f>
        <v>0</v>
      </c>
      <c r="E240" s="693">
        <f>+'_DATA STT PAGOS_'!J240</f>
        <v>2763957.085</v>
      </c>
      <c r="F240" s="694">
        <f>+COEF_FCM!AG242</f>
        <v>7.9090937229999998E-4</v>
      </c>
      <c r="G240" s="693">
        <f t="shared" si="48"/>
        <v>2244886</v>
      </c>
      <c r="H240" s="695">
        <f t="shared" si="60"/>
        <v>-519071.08499999996</v>
      </c>
      <c r="I240" s="641">
        <f t="shared" si="61"/>
        <v>-519071</v>
      </c>
      <c r="J240" s="696">
        <f t="shared" si="62"/>
        <v>0</v>
      </c>
      <c r="K240" s="693">
        <f t="shared" si="49"/>
        <v>0</v>
      </c>
      <c r="L240" s="695">
        <f t="shared" si="50"/>
        <v>0</v>
      </c>
      <c r="M240" s="693">
        <f t="shared" si="51"/>
        <v>0</v>
      </c>
      <c r="N240" s="693">
        <f t="shared" si="52"/>
        <v>2763957</v>
      </c>
      <c r="O240" s="695">
        <f t="shared" si="53"/>
        <v>2763957</v>
      </c>
      <c r="P240" s="695">
        <f t="shared" si="54"/>
        <v>519071</v>
      </c>
      <c r="Q240" s="697">
        <f t="shared" si="55"/>
        <v>7.9090937229999998E-4</v>
      </c>
      <c r="R240" s="694">
        <f t="shared" si="56"/>
        <v>1.8287700439999999E-4</v>
      </c>
      <c r="S240" s="693">
        <v>0</v>
      </c>
      <c r="T240" s="695">
        <f t="shared" si="57"/>
        <v>2763957</v>
      </c>
      <c r="U240" s="695">
        <f t="shared" si="58"/>
        <v>2763957</v>
      </c>
      <c r="V240" s="693">
        <f t="shared" si="59"/>
        <v>519071</v>
      </c>
      <c r="W240" s="697"/>
      <c r="X240" s="698" t="s">
        <v>422</v>
      </c>
      <c r="Y240" s="678">
        <v>0</v>
      </c>
      <c r="Z240" s="678">
        <v>2052987</v>
      </c>
      <c r="AA240" s="678">
        <v>2052987</v>
      </c>
      <c r="AB240" s="699">
        <f t="shared" si="63"/>
        <v>1.3463100350854633</v>
      </c>
      <c r="AC240" s="700"/>
      <c r="AD240" s="701"/>
    </row>
    <row r="241" spans="1:30" s="639" customFormat="1" x14ac:dyDescent="0.25">
      <c r="A241" s="639">
        <v>235</v>
      </c>
      <c r="B241" s="639">
        <f>+'_DATA STT PAGOS_'!M241</f>
        <v>10403</v>
      </c>
      <c r="C241" s="639" t="str">
        <f>+'_DATA STT PAGOS_'!O241</f>
        <v>HUALAIHUÉ</v>
      </c>
      <c r="D241" s="693">
        <f>+'_DATA STT PAGOS_'!G241</f>
        <v>0</v>
      </c>
      <c r="E241" s="693">
        <f>+'_DATA STT PAGOS_'!J241</f>
        <v>4111179.5440000002</v>
      </c>
      <c r="F241" s="694">
        <f>+COEF_FCM!AG243</f>
        <v>1.9214217726999999E-3</v>
      </c>
      <c r="G241" s="693">
        <f t="shared" si="48"/>
        <v>5453689</v>
      </c>
      <c r="H241" s="695">
        <f t="shared" si="60"/>
        <v>1342509.4559999998</v>
      </c>
      <c r="I241" s="641">
        <f t="shared" si="61"/>
        <v>0</v>
      </c>
      <c r="J241" s="696">
        <f t="shared" si="62"/>
        <v>1342509.4559999998</v>
      </c>
      <c r="K241" s="693">
        <f t="shared" si="49"/>
        <v>731987</v>
      </c>
      <c r="L241" s="695">
        <f t="shared" si="50"/>
        <v>610522.45599999977</v>
      </c>
      <c r="M241" s="693">
        <f t="shared" si="51"/>
        <v>4721702</v>
      </c>
      <c r="N241" s="693">
        <f t="shared" si="52"/>
        <v>0</v>
      </c>
      <c r="O241" s="695">
        <f t="shared" si="53"/>
        <v>4721702</v>
      </c>
      <c r="P241" s="695">
        <f t="shared" si="54"/>
        <v>-731987</v>
      </c>
      <c r="Q241" s="697">
        <f t="shared" si="55"/>
        <v>1.9214217726999999E-3</v>
      </c>
      <c r="R241" s="694">
        <f t="shared" si="56"/>
        <v>-2.5789071209999999E-4</v>
      </c>
      <c r="S241" s="693">
        <v>0</v>
      </c>
      <c r="T241" s="695">
        <f t="shared" si="57"/>
        <v>4721702</v>
      </c>
      <c r="U241" s="695">
        <f t="shared" si="58"/>
        <v>4721702</v>
      </c>
      <c r="V241" s="693">
        <f t="shared" si="59"/>
        <v>0</v>
      </c>
      <c r="W241" s="697"/>
      <c r="X241" s="698" t="s">
        <v>35</v>
      </c>
      <c r="Y241" s="678">
        <v>0</v>
      </c>
      <c r="Z241" s="678">
        <v>2407385</v>
      </c>
      <c r="AA241" s="678">
        <v>2407385</v>
      </c>
      <c r="AB241" s="699">
        <f t="shared" si="63"/>
        <v>1.9613406247858154</v>
      </c>
      <c r="AC241" s="700"/>
      <c r="AD241" s="701"/>
    </row>
    <row r="242" spans="1:30" s="639" customFormat="1" x14ac:dyDescent="0.25">
      <c r="A242" s="639">
        <v>236</v>
      </c>
      <c r="B242" s="639">
        <f>+'_DATA STT PAGOS_'!M242</f>
        <v>10404</v>
      </c>
      <c r="C242" s="639" t="str">
        <f>+'_DATA STT PAGOS_'!O242</f>
        <v>PALENA</v>
      </c>
      <c r="D242" s="693">
        <f>+'_DATA STT PAGOS_'!G242</f>
        <v>0</v>
      </c>
      <c r="E242" s="693">
        <f>+'_DATA STT PAGOS_'!J242</f>
        <v>2274120.16</v>
      </c>
      <c r="F242" s="694">
        <f>+COEF_FCM!AG244</f>
        <v>8.7558731570000004E-4</v>
      </c>
      <c r="G242" s="693">
        <f t="shared" si="48"/>
        <v>2485233</v>
      </c>
      <c r="H242" s="695">
        <f t="shared" si="60"/>
        <v>211112.83999999985</v>
      </c>
      <c r="I242" s="641">
        <f t="shared" si="61"/>
        <v>0</v>
      </c>
      <c r="J242" s="696">
        <f t="shared" si="62"/>
        <v>211112.83999999985</v>
      </c>
      <c r="K242" s="693">
        <f t="shared" si="49"/>
        <v>115107</v>
      </c>
      <c r="L242" s="695">
        <f t="shared" si="50"/>
        <v>96005.839999999851</v>
      </c>
      <c r="M242" s="693">
        <f t="shared" si="51"/>
        <v>2370126</v>
      </c>
      <c r="N242" s="693">
        <f t="shared" si="52"/>
        <v>0</v>
      </c>
      <c r="O242" s="695">
        <f t="shared" si="53"/>
        <v>2370126</v>
      </c>
      <c r="P242" s="695">
        <f t="shared" si="54"/>
        <v>-115107</v>
      </c>
      <c r="Q242" s="697">
        <f t="shared" si="55"/>
        <v>8.7558731570000004E-4</v>
      </c>
      <c r="R242" s="694">
        <f t="shared" si="56"/>
        <v>-4.0554034699999999E-5</v>
      </c>
      <c r="S242" s="693">
        <v>0</v>
      </c>
      <c r="T242" s="695">
        <f t="shared" si="57"/>
        <v>2370126</v>
      </c>
      <c r="U242" s="695">
        <f t="shared" si="58"/>
        <v>2370126</v>
      </c>
      <c r="V242" s="693">
        <f t="shared" si="59"/>
        <v>0</v>
      </c>
      <c r="W242" s="697"/>
      <c r="X242" s="698" t="s">
        <v>259</v>
      </c>
      <c r="Y242" s="678">
        <v>0</v>
      </c>
      <c r="Z242" s="678">
        <v>1501802</v>
      </c>
      <c r="AA242" s="678">
        <v>1501802</v>
      </c>
      <c r="AB242" s="699">
        <f t="shared" si="63"/>
        <v>1.5781880700651618</v>
      </c>
      <c r="AC242" s="700"/>
      <c r="AD242" s="701"/>
    </row>
    <row r="243" spans="1:30" s="639" customFormat="1" x14ac:dyDescent="0.25">
      <c r="A243" s="639">
        <v>237</v>
      </c>
      <c r="B243" s="639">
        <f>+'_DATA STT PAGOS_'!M243</f>
        <v>11101</v>
      </c>
      <c r="C243" s="639" t="str">
        <f>+'_DATA STT PAGOS_'!O243</f>
        <v>COYHAIQUE</v>
      </c>
      <c r="D243" s="693">
        <f>+'_DATA STT PAGOS_'!G243</f>
        <v>0</v>
      </c>
      <c r="E243" s="693">
        <f>+'_DATA STT PAGOS_'!J243</f>
        <v>11651814.290000001</v>
      </c>
      <c r="F243" s="694">
        <f>+COEF_FCM!AG245</f>
        <v>3.7174535196000001E-3</v>
      </c>
      <c r="G243" s="693">
        <f t="shared" si="48"/>
        <v>10551476</v>
      </c>
      <c r="H243" s="695">
        <f t="shared" si="60"/>
        <v>-1100338.290000001</v>
      </c>
      <c r="I243" s="641">
        <f t="shared" si="61"/>
        <v>-1100338</v>
      </c>
      <c r="J243" s="696">
        <f t="shared" si="62"/>
        <v>0</v>
      </c>
      <c r="K243" s="693">
        <f t="shared" si="49"/>
        <v>0</v>
      </c>
      <c r="L243" s="695">
        <f t="shared" si="50"/>
        <v>0</v>
      </c>
      <c r="M243" s="693">
        <f t="shared" si="51"/>
        <v>0</v>
      </c>
      <c r="N243" s="693">
        <f t="shared" si="52"/>
        <v>11651814</v>
      </c>
      <c r="O243" s="695">
        <f t="shared" si="53"/>
        <v>11651814</v>
      </c>
      <c r="P243" s="695">
        <f t="shared" si="54"/>
        <v>1100338</v>
      </c>
      <c r="Q243" s="697">
        <f t="shared" si="55"/>
        <v>3.7174535196000001E-3</v>
      </c>
      <c r="R243" s="694">
        <f t="shared" si="56"/>
        <v>3.8766665299999999E-4</v>
      </c>
      <c r="S243" s="693">
        <v>0</v>
      </c>
      <c r="T243" s="695">
        <f t="shared" si="57"/>
        <v>11651814</v>
      </c>
      <c r="U243" s="695">
        <f t="shared" si="58"/>
        <v>11651814</v>
      </c>
      <c r="V243" s="693">
        <f t="shared" si="59"/>
        <v>1100338</v>
      </c>
      <c r="W243" s="697"/>
      <c r="X243" s="698" t="s">
        <v>501</v>
      </c>
      <c r="Y243" s="678">
        <v>0</v>
      </c>
      <c r="Z243" s="678">
        <v>7856102</v>
      </c>
      <c r="AA243" s="678">
        <v>7856102</v>
      </c>
      <c r="AB243" s="699">
        <f t="shared" si="63"/>
        <v>1.4831546229924204</v>
      </c>
      <c r="AC243" s="700"/>
      <c r="AD243" s="701"/>
    </row>
    <row r="244" spans="1:30" s="639" customFormat="1" x14ac:dyDescent="0.25">
      <c r="A244" s="639">
        <v>238</v>
      </c>
      <c r="B244" s="639">
        <f>+'_DATA STT PAGOS_'!M244</f>
        <v>11102</v>
      </c>
      <c r="C244" s="639" t="str">
        <f>+'_DATA STT PAGOS_'!O244</f>
        <v>LAGO VERDE</v>
      </c>
      <c r="D244" s="693">
        <f>+'_DATA STT PAGOS_'!G244</f>
        <v>0</v>
      </c>
      <c r="E244" s="693">
        <f>+'_DATA STT PAGOS_'!J244</f>
        <v>2000486.304</v>
      </c>
      <c r="F244" s="694">
        <f>+COEF_FCM!AG246</f>
        <v>7.6633354040000004E-4</v>
      </c>
      <c r="G244" s="693">
        <f t="shared" si="48"/>
        <v>2175131</v>
      </c>
      <c r="H244" s="695">
        <f t="shared" si="60"/>
        <v>174644.696</v>
      </c>
      <c r="I244" s="641">
        <f t="shared" si="61"/>
        <v>0</v>
      </c>
      <c r="J244" s="696">
        <f t="shared" si="62"/>
        <v>174644.696</v>
      </c>
      <c r="K244" s="693">
        <f t="shared" si="49"/>
        <v>95223</v>
      </c>
      <c r="L244" s="695">
        <f t="shared" si="50"/>
        <v>79421.695999999996</v>
      </c>
      <c r="M244" s="693">
        <f t="shared" si="51"/>
        <v>2079908</v>
      </c>
      <c r="N244" s="693">
        <f t="shared" si="52"/>
        <v>0</v>
      </c>
      <c r="O244" s="695">
        <f t="shared" si="53"/>
        <v>2079908</v>
      </c>
      <c r="P244" s="695">
        <f t="shared" si="54"/>
        <v>-95223</v>
      </c>
      <c r="Q244" s="697">
        <f t="shared" si="55"/>
        <v>7.6633354040000004E-4</v>
      </c>
      <c r="R244" s="694">
        <f t="shared" si="56"/>
        <v>-3.3548583899999997E-5</v>
      </c>
      <c r="S244" s="693">
        <v>0</v>
      </c>
      <c r="T244" s="695">
        <f t="shared" si="57"/>
        <v>2079908</v>
      </c>
      <c r="U244" s="695">
        <f t="shared" si="58"/>
        <v>2079908</v>
      </c>
      <c r="V244" s="693">
        <f t="shared" si="59"/>
        <v>0</v>
      </c>
      <c r="W244" s="697"/>
      <c r="X244" s="698" t="s">
        <v>265</v>
      </c>
      <c r="Y244" s="678">
        <v>0</v>
      </c>
      <c r="Z244" s="678">
        <v>1448320</v>
      </c>
      <c r="AA244" s="678">
        <v>1448320</v>
      </c>
      <c r="AB244" s="699">
        <f t="shared" si="63"/>
        <v>1.4360831860362351</v>
      </c>
      <c r="AC244" s="700"/>
      <c r="AD244" s="701"/>
    </row>
    <row r="245" spans="1:30" s="639" customFormat="1" x14ac:dyDescent="0.25">
      <c r="A245" s="639">
        <v>239</v>
      </c>
      <c r="B245" s="639">
        <f>+'_DATA STT PAGOS_'!M245</f>
        <v>11201</v>
      </c>
      <c r="C245" s="639" t="str">
        <f>+'_DATA STT PAGOS_'!O245</f>
        <v>AYSÉN</v>
      </c>
      <c r="D245" s="693">
        <f>+'_DATA STT PAGOS_'!G245</f>
        <v>0</v>
      </c>
      <c r="E245" s="693">
        <f>+'_DATA STT PAGOS_'!J245</f>
        <v>6697034.762000001</v>
      </c>
      <c r="F245" s="694">
        <f>+COEF_FCM!AG247</f>
        <v>2.0030663056000001E-3</v>
      </c>
      <c r="G245" s="693">
        <f t="shared" si="48"/>
        <v>5685426</v>
      </c>
      <c r="H245" s="695">
        <f t="shared" si="60"/>
        <v>-1011608.762000001</v>
      </c>
      <c r="I245" s="641">
        <f t="shared" si="61"/>
        <v>-1011609</v>
      </c>
      <c r="J245" s="696">
        <f t="shared" si="62"/>
        <v>0</v>
      </c>
      <c r="K245" s="693">
        <f t="shared" si="49"/>
        <v>0</v>
      </c>
      <c r="L245" s="695">
        <f t="shared" si="50"/>
        <v>0</v>
      </c>
      <c r="M245" s="693">
        <f t="shared" si="51"/>
        <v>0</v>
      </c>
      <c r="N245" s="693">
        <f t="shared" si="52"/>
        <v>6697035</v>
      </c>
      <c r="O245" s="695">
        <f t="shared" si="53"/>
        <v>6697035</v>
      </c>
      <c r="P245" s="695">
        <f t="shared" si="54"/>
        <v>1011609</v>
      </c>
      <c r="Q245" s="697">
        <f t="shared" si="55"/>
        <v>2.0030663056000001E-3</v>
      </c>
      <c r="R245" s="694">
        <f t="shared" si="56"/>
        <v>3.5640600899999999E-4</v>
      </c>
      <c r="S245" s="693">
        <v>0</v>
      </c>
      <c r="T245" s="695">
        <f t="shared" si="57"/>
        <v>6697035</v>
      </c>
      <c r="U245" s="695">
        <f t="shared" si="58"/>
        <v>6697035</v>
      </c>
      <c r="V245" s="693">
        <f t="shared" si="59"/>
        <v>1011609</v>
      </c>
      <c r="W245" s="697"/>
      <c r="X245" s="698" t="s">
        <v>502</v>
      </c>
      <c r="Y245" s="678">
        <v>0</v>
      </c>
      <c r="Z245" s="678">
        <v>4764353</v>
      </c>
      <c r="AA245" s="678">
        <v>4764353</v>
      </c>
      <c r="AB245" s="699">
        <f t="shared" si="63"/>
        <v>1.4056546607692586</v>
      </c>
      <c r="AC245" s="700"/>
      <c r="AD245" s="701"/>
    </row>
    <row r="246" spans="1:30" s="639" customFormat="1" x14ac:dyDescent="0.25">
      <c r="A246" s="639">
        <v>240</v>
      </c>
      <c r="B246" s="639">
        <f>+'_DATA STT PAGOS_'!M246</f>
        <v>11202</v>
      </c>
      <c r="C246" s="639" t="str">
        <f>+'_DATA STT PAGOS_'!O246</f>
        <v>CISNES</v>
      </c>
      <c r="D246" s="693">
        <f>+'_DATA STT PAGOS_'!G246</f>
        <v>0</v>
      </c>
      <c r="E246" s="693">
        <f>+'_DATA STT PAGOS_'!J246</f>
        <v>2511629.983</v>
      </c>
      <c r="F246" s="694">
        <f>+COEF_FCM!AG248</f>
        <v>9.4235666410000002E-4</v>
      </c>
      <c r="G246" s="693">
        <f t="shared" si="48"/>
        <v>2674749</v>
      </c>
      <c r="H246" s="695">
        <f t="shared" si="60"/>
        <v>163119.01699999999</v>
      </c>
      <c r="I246" s="641">
        <f t="shared" si="61"/>
        <v>0</v>
      </c>
      <c r="J246" s="696">
        <f t="shared" si="62"/>
        <v>163119.01699999999</v>
      </c>
      <c r="K246" s="693">
        <f t="shared" si="49"/>
        <v>88939</v>
      </c>
      <c r="L246" s="695">
        <f t="shared" si="50"/>
        <v>74180.016999999993</v>
      </c>
      <c r="M246" s="693">
        <f t="shared" si="51"/>
        <v>2585810</v>
      </c>
      <c r="N246" s="693">
        <f t="shared" si="52"/>
        <v>0</v>
      </c>
      <c r="O246" s="695">
        <f t="shared" si="53"/>
        <v>2585810</v>
      </c>
      <c r="P246" s="695">
        <f t="shared" si="54"/>
        <v>-88939</v>
      </c>
      <c r="Q246" s="697">
        <f t="shared" si="55"/>
        <v>9.4235666410000002E-4</v>
      </c>
      <c r="R246" s="694">
        <f t="shared" si="56"/>
        <v>-3.13346303E-5</v>
      </c>
      <c r="S246" s="693">
        <v>0</v>
      </c>
      <c r="T246" s="695">
        <f t="shared" si="57"/>
        <v>2585810</v>
      </c>
      <c r="U246" s="695">
        <f t="shared" si="58"/>
        <v>2585810</v>
      </c>
      <c r="V246" s="693">
        <f t="shared" si="59"/>
        <v>0</v>
      </c>
      <c r="W246" s="697"/>
      <c r="X246" s="698" t="s">
        <v>260</v>
      </c>
      <c r="Y246" s="678">
        <v>0</v>
      </c>
      <c r="Z246" s="678">
        <v>1953712</v>
      </c>
      <c r="AA246" s="678">
        <v>1953712</v>
      </c>
      <c r="AB246" s="699">
        <f t="shared" si="63"/>
        <v>1.3235369389142309</v>
      </c>
      <c r="AC246" s="700"/>
      <c r="AD246" s="701"/>
    </row>
    <row r="247" spans="1:30" s="639" customFormat="1" x14ac:dyDescent="0.25">
      <c r="A247" s="639">
        <v>241</v>
      </c>
      <c r="B247" s="639">
        <f>+'_DATA STT PAGOS_'!M247</f>
        <v>11203</v>
      </c>
      <c r="C247" s="639" t="str">
        <f>+'_DATA STT PAGOS_'!O247</f>
        <v>GUAITECAS</v>
      </c>
      <c r="D247" s="693">
        <f>+'_DATA STT PAGOS_'!G247</f>
        <v>0</v>
      </c>
      <c r="E247" s="693">
        <f>+'_DATA STT PAGOS_'!J247</f>
        <v>2013441.8080000002</v>
      </c>
      <c r="F247" s="694">
        <f>+COEF_FCM!AG249</f>
        <v>7.6940630609999999E-4</v>
      </c>
      <c r="G247" s="693">
        <f t="shared" si="48"/>
        <v>2183853</v>
      </c>
      <c r="H247" s="695">
        <f t="shared" si="60"/>
        <v>170411.19199999981</v>
      </c>
      <c r="I247" s="641">
        <f t="shared" si="61"/>
        <v>0</v>
      </c>
      <c r="J247" s="696">
        <f t="shared" si="62"/>
        <v>170411.19199999981</v>
      </c>
      <c r="K247" s="693">
        <f t="shared" si="49"/>
        <v>92915</v>
      </c>
      <c r="L247" s="695">
        <f t="shared" si="50"/>
        <v>77496.191999999806</v>
      </c>
      <c r="M247" s="693">
        <f t="shared" si="51"/>
        <v>2090938</v>
      </c>
      <c r="N247" s="693">
        <f t="shared" si="52"/>
        <v>0</v>
      </c>
      <c r="O247" s="695">
        <f t="shared" si="53"/>
        <v>2090938</v>
      </c>
      <c r="P247" s="695">
        <f t="shared" si="54"/>
        <v>-92915</v>
      </c>
      <c r="Q247" s="697">
        <f t="shared" si="55"/>
        <v>7.6940630609999999E-4</v>
      </c>
      <c r="R247" s="694">
        <f t="shared" si="56"/>
        <v>-3.2735438599999999E-5</v>
      </c>
      <c r="S247" s="693">
        <v>0</v>
      </c>
      <c r="T247" s="695">
        <f t="shared" si="57"/>
        <v>2090938</v>
      </c>
      <c r="U247" s="695">
        <f t="shared" si="58"/>
        <v>2090938</v>
      </c>
      <c r="V247" s="693">
        <f t="shared" si="59"/>
        <v>0</v>
      </c>
      <c r="W247" s="697"/>
      <c r="X247" s="698" t="s">
        <v>261</v>
      </c>
      <c r="Y247" s="678">
        <v>0</v>
      </c>
      <c r="Z247" s="678">
        <v>1410914</v>
      </c>
      <c r="AA247" s="678">
        <v>1410914</v>
      </c>
      <c r="AB247" s="699">
        <f t="shared" si="63"/>
        <v>1.4819740962241497</v>
      </c>
      <c r="AC247" s="700"/>
      <c r="AD247" s="701"/>
    </row>
    <row r="248" spans="1:30" s="639" customFormat="1" x14ac:dyDescent="0.25">
      <c r="A248" s="639">
        <v>242</v>
      </c>
      <c r="B248" s="639">
        <f>+'_DATA STT PAGOS_'!M248</f>
        <v>11301</v>
      </c>
      <c r="C248" s="639" t="str">
        <f>+'_DATA STT PAGOS_'!O248</f>
        <v>COCHRANE</v>
      </c>
      <c r="D248" s="693">
        <f>+'_DATA STT PAGOS_'!G248</f>
        <v>0</v>
      </c>
      <c r="E248" s="693">
        <f>+'_DATA STT PAGOS_'!J248</f>
        <v>2708461.179</v>
      </c>
      <c r="F248" s="694">
        <f>+COEF_FCM!AG250</f>
        <v>1.1040507308E-3</v>
      </c>
      <c r="G248" s="693">
        <f t="shared" si="48"/>
        <v>3133695</v>
      </c>
      <c r="H248" s="695">
        <f t="shared" si="60"/>
        <v>425233.821</v>
      </c>
      <c r="I248" s="641">
        <f t="shared" si="61"/>
        <v>0</v>
      </c>
      <c r="J248" s="696">
        <f t="shared" si="62"/>
        <v>425233.821</v>
      </c>
      <c r="K248" s="693">
        <f t="shared" si="49"/>
        <v>231854</v>
      </c>
      <c r="L248" s="695">
        <f t="shared" si="50"/>
        <v>193379.821</v>
      </c>
      <c r="M248" s="693">
        <f t="shared" si="51"/>
        <v>2901841</v>
      </c>
      <c r="N248" s="693">
        <f t="shared" si="52"/>
        <v>0</v>
      </c>
      <c r="O248" s="695">
        <f t="shared" si="53"/>
        <v>2901841</v>
      </c>
      <c r="P248" s="695">
        <f t="shared" si="54"/>
        <v>-231854</v>
      </c>
      <c r="Q248" s="697">
        <f t="shared" si="55"/>
        <v>1.1040507308E-3</v>
      </c>
      <c r="R248" s="694">
        <f t="shared" si="56"/>
        <v>-8.1685867599999996E-5</v>
      </c>
      <c r="S248" s="693">
        <v>0</v>
      </c>
      <c r="T248" s="695">
        <f t="shared" si="57"/>
        <v>2901841</v>
      </c>
      <c r="U248" s="695">
        <f t="shared" si="58"/>
        <v>2901841</v>
      </c>
      <c r="V248" s="693">
        <f t="shared" si="59"/>
        <v>0</v>
      </c>
      <c r="W248" s="697"/>
      <c r="X248" s="698" t="s">
        <v>263</v>
      </c>
      <c r="Y248" s="678">
        <v>0</v>
      </c>
      <c r="Z248" s="678">
        <v>1805528</v>
      </c>
      <c r="AA248" s="678">
        <v>1805528</v>
      </c>
      <c r="AB248" s="699">
        <f t="shared" si="63"/>
        <v>1.6071980052372492</v>
      </c>
      <c r="AC248" s="700"/>
      <c r="AD248" s="701"/>
    </row>
    <row r="249" spans="1:30" s="639" customFormat="1" x14ac:dyDescent="0.25">
      <c r="A249" s="639">
        <v>243</v>
      </c>
      <c r="B249" s="639">
        <f>+'_DATA STT PAGOS_'!M249</f>
        <v>11302</v>
      </c>
      <c r="C249" s="639" t="str">
        <f>+'_DATA STT PAGOS_'!O249</f>
        <v>O’HIGGINS</v>
      </c>
      <c r="D249" s="693">
        <f>+'_DATA STT PAGOS_'!G249</f>
        <v>0</v>
      </c>
      <c r="E249" s="693">
        <f>+'_DATA STT PAGOS_'!J249</f>
        <v>2125871.4040000001</v>
      </c>
      <c r="F249" s="694">
        <f>+COEF_FCM!AG251</f>
        <v>7.457782386E-4</v>
      </c>
      <c r="G249" s="693">
        <f t="shared" si="48"/>
        <v>2116788</v>
      </c>
      <c r="H249" s="695">
        <f t="shared" si="60"/>
        <v>-9083.4040000000969</v>
      </c>
      <c r="I249" s="641">
        <f t="shared" si="61"/>
        <v>-9083</v>
      </c>
      <c r="J249" s="696">
        <f t="shared" si="62"/>
        <v>0</v>
      </c>
      <c r="K249" s="693">
        <f t="shared" si="49"/>
        <v>0</v>
      </c>
      <c r="L249" s="695">
        <f t="shared" si="50"/>
        <v>0</v>
      </c>
      <c r="M249" s="693">
        <f t="shared" si="51"/>
        <v>0</v>
      </c>
      <c r="N249" s="693">
        <f t="shared" si="52"/>
        <v>2125871</v>
      </c>
      <c r="O249" s="695">
        <f t="shared" si="53"/>
        <v>2125871</v>
      </c>
      <c r="P249" s="695">
        <f t="shared" si="54"/>
        <v>9083</v>
      </c>
      <c r="Q249" s="697">
        <f t="shared" si="55"/>
        <v>7.457782386E-4</v>
      </c>
      <c r="R249" s="694">
        <f t="shared" si="56"/>
        <v>3.2000860000000001E-6</v>
      </c>
      <c r="S249" s="693">
        <v>0</v>
      </c>
      <c r="T249" s="695">
        <f t="shared" si="57"/>
        <v>2125871</v>
      </c>
      <c r="U249" s="695">
        <f t="shared" si="58"/>
        <v>2125871</v>
      </c>
      <c r="V249" s="693">
        <f t="shared" si="59"/>
        <v>9083</v>
      </c>
      <c r="W249" s="697"/>
      <c r="X249" s="698" t="s">
        <v>490</v>
      </c>
      <c r="Y249" s="678">
        <v>0</v>
      </c>
      <c r="Z249" s="678">
        <v>1465948</v>
      </c>
      <c r="AA249" s="678">
        <v>1465948</v>
      </c>
      <c r="AB249" s="699">
        <f t="shared" si="63"/>
        <v>1.4501680823603567</v>
      </c>
      <c r="AC249" s="700"/>
      <c r="AD249" s="701"/>
    </row>
    <row r="250" spans="1:30" s="639" customFormat="1" x14ac:dyDescent="0.25">
      <c r="A250" s="639">
        <v>244</v>
      </c>
      <c r="B250" s="639">
        <f>+'_DATA STT PAGOS_'!M250</f>
        <v>11303</v>
      </c>
      <c r="C250" s="639" t="str">
        <f>+'_DATA STT PAGOS_'!O250</f>
        <v>TORTEL</v>
      </c>
      <c r="D250" s="693">
        <f>+'_DATA STT PAGOS_'!G250</f>
        <v>0</v>
      </c>
      <c r="E250" s="693">
        <f>+'_DATA STT PAGOS_'!J250</f>
        <v>2043495.4510000001</v>
      </c>
      <c r="F250" s="694">
        <f>+COEF_FCM!AG252</f>
        <v>8.7418339719999994E-4</v>
      </c>
      <c r="G250" s="693">
        <f t="shared" si="48"/>
        <v>2481248</v>
      </c>
      <c r="H250" s="695">
        <f t="shared" si="60"/>
        <v>437752.54899999988</v>
      </c>
      <c r="I250" s="641">
        <f t="shared" si="61"/>
        <v>0</v>
      </c>
      <c r="J250" s="696">
        <f t="shared" si="62"/>
        <v>437752.54899999988</v>
      </c>
      <c r="K250" s="693">
        <f t="shared" si="49"/>
        <v>238679</v>
      </c>
      <c r="L250" s="695">
        <f t="shared" si="50"/>
        <v>199073.54899999988</v>
      </c>
      <c r="M250" s="693">
        <f t="shared" si="51"/>
        <v>2242569</v>
      </c>
      <c r="N250" s="693">
        <f t="shared" si="52"/>
        <v>0</v>
      </c>
      <c r="O250" s="695">
        <f t="shared" si="53"/>
        <v>2242569</v>
      </c>
      <c r="P250" s="695">
        <f t="shared" si="54"/>
        <v>-238679</v>
      </c>
      <c r="Q250" s="697">
        <f t="shared" si="55"/>
        <v>8.7418339719999994E-4</v>
      </c>
      <c r="R250" s="694">
        <f t="shared" si="56"/>
        <v>-8.4090424099999994E-5</v>
      </c>
      <c r="S250" s="693">
        <v>0</v>
      </c>
      <c r="T250" s="695">
        <f t="shared" si="57"/>
        <v>2242569</v>
      </c>
      <c r="U250" s="695">
        <f t="shared" si="58"/>
        <v>2242569</v>
      </c>
      <c r="V250" s="693">
        <f t="shared" si="59"/>
        <v>0</v>
      </c>
      <c r="W250" s="697"/>
      <c r="X250" s="698" t="s">
        <v>264</v>
      </c>
      <c r="Y250" s="678">
        <v>0</v>
      </c>
      <c r="Z250" s="678">
        <v>1465955</v>
      </c>
      <c r="AA250" s="678">
        <v>1465955</v>
      </c>
      <c r="AB250" s="699">
        <f t="shared" si="63"/>
        <v>1.5297666026583354</v>
      </c>
      <c r="AC250" s="700"/>
      <c r="AD250" s="701"/>
    </row>
    <row r="251" spans="1:30" s="639" customFormat="1" x14ac:dyDescent="0.25">
      <c r="A251" s="639">
        <v>245</v>
      </c>
      <c r="B251" s="639">
        <f>+'_DATA STT PAGOS_'!M251</f>
        <v>11401</v>
      </c>
      <c r="C251" s="639" t="str">
        <f>+'_DATA STT PAGOS_'!O251</f>
        <v>CHILE CHICO</v>
      </c>
      <c r="D251" s="693">
        <f>+'_DATA STT PAGOS_'!G251</f>
        <v>0</v>
      </c>
      <c r="E251" s="693">
        <f>+'_DATA STT PAGOS_'!J251</f>
        <v>3945102.4029999999</v>
      </c>
      <c r="F251" s="694">
        <f>+COEF_FCM!AG253</f>
        <v>1.2077483734E-3</v>
      </c>
      <c r="G251" s="693">
        <f t="shared" si="48"/>
        <v>3428026</v>
      </c>
      <c r="H251" s="695">
        <f t="shared" si="60"/>
        <v>-517076.40299999993</v>
      </c>
      <c r="I251" s="641">
        <f t="shared" si="61"/>
        <v>-517076</v>
      </c>
      <c r="J251" s="696">
        <f t="shared" si="62"/>
        <v>0</v>
      </c>
      <c r="K251" s="693">
        <f t="shared" si="49"/>
        <v>0</v>
      </c>
      <c r="L251" s="695">
        <f t="shared" si="50"/>
        <v>0</v>
      </c>
      <c r="M251" s="693">
        <f t="shared" si="51"/>
        <v>0</v>
      </c>
      <c r="N251" s="693">
        <f t="shared" si="52"/>
        <v>3945102</v>
      </c>
      <c r="O251" s="695">
        <f t="shared" si="53"/>
        <v>3945102</v>
      </c>
      <c r="P251" s="695">
        <f t="shared" si="54"/>
        <v>517076</v>
      </c>
      <c r="Q251" s="697">
        <f t="shared" si="55"/>
        <v>1.2077483734E-3</v>
      </c>
      <c r="R251" s="694">
        <f t="shared" si="56"/>
        <v>1.8217413399999999E-4</v>
      </c>
      <c r="S251" s="693">
        <v>0</v>
      </c>
      <c r="T251" s="695">
        <f t="shared" si="57"/>
        <v>3945102</v>
      </c>
      <c r="U251" s="695">
        <f t="shared" si="58"/>
        <v>3945102</v>
      </c>
      <c r="V251" s="693">
        <f t="shared" si="59"/>
        <v>517076</v>
      </c>
      <c r="W251" s="697"/>
      <c r="X251" s="698" t="s">
        <v>262</v>
      </c>
      <c r="Y251" s="678">
        <v>0</v>
      </c>
      <c r="Z251" s="678">
        <v>3091646</v>
      </c>
      <c r="AA251" s="678">
        <v>3091646</v>
      </c>
      <c r="AB251" s="699">
        <f t="shared" si="63"/>
        <v>1.2760523035302231</v>
      </c>
      <c r="AC251" s="700"/>
      <c r="AD251" s="701"/>
    </row>
    <row r="252" spans="1:30" s="639" customFormat="1" x14ac:dyDescent="0.25">
      <c r="A252" s="639">
        <v>246</v>
      </c>
      <c r="B252" s="639">
        <f>+'_DATA STT PAGOS_'!M252</f>
        <v>11402</v>
      </c>
      <c r="C252" s="639" t="str">
        <f>+'_DATA STT PAGOS_'!O252</f>
        <v>RÍO IBÁÑEZ</v>
      </c>
      <c r="D252" s="693">
        <f>+'_DATA STT PAGOS_'!G252</f>
        <v>0</v>
      </c>
      <c r="E252" s="693">
        <f>+'_DATA STT PAGOS_'!J252</f>
        <v>2988138.8339999998</v>
      </c>
      <c r="F252" s="694">
        <f>+COEF_FCM!AG254</f>
        <v>1.2734496323E-3</v>
      </c>
      <c r="G252" s="693">
        <f t="shared" si="48"/>
        <v>3614510</v>
      </c>
      <c r="H252" s="695">
        <f t="shared" si="60"/>
        <v>626371.1660000002</v>
      </c>
      <c r="I252" s="641">
        <f t="shared" si="61"/>
        <v>0</v>
      </c>
      <c r="J252" s="696">
        <f t="shared" si="62"/>
        <v>626371.1660000002</v>
      </c>
      <c r="K252" s="693">
        <f t="shared" si="49"/>
        <v>341521</v>
      </c>
      <c r="L252" s="695">
        <f t="shared" si="50"/>
        <v>284850.1660000002</v>
      </c>
      <c r="M252" s="693">
        <f t="shared" si="51"/>
        <v>3272989</v>
      </c>
      <c r="N252" s="693">
        <f t="shared" si="52"/>
        <v>0</v>
      </c>
      <c r="O252" s="695">
        <f t="shared" si="53"/>
        <v>3272989</v>
      </c>
      <c r="P252" s="695">
        <f t="shared" si="54"/>
        <v>-341521</v>
      </c>
      <c r="Q252" s="697">
        <f t="shared" si="55"/>
        <v>1.2734496323E-3</v>
      </c>
      <c r="R252" s="694">
        <f t="shared" si="56"/>
        <v>-1.2032330339999999E-4</v>
      </c>
      <c r="S252" s="693">
        <v>0</v>
      </c>
      <c r="T252" s="695">
        <f t="shared" si="57"/>
        <v>3272989</v>
      </c>
      <c r="U252" s="695">
        <f t="shared" si="58"/>
        <v>3272989</v>
      </c>
      <c r="V252" s="693">
        <f t="shared" si="59"/>
        <v>0</v>
      </c>
      <c r="W252" s="697"/>
      <c r="X252" s="698" t="s">
        <v>423</v>
      </c>
      <c r="Y252" s="678">
        <v>0</v>
      </c>
      <c r="Z252" s="678">
        <v>1838530</v>
      </c>
      <c r="AA252" s="678">
        <v>1838530</v>
      </c>
      <c r="AB252" s="699">
        <f t="shared" si="63"/>
        <v>1.7802206110316394</v>
      </c>
      <c r="AC252" s="700"/>
      <c r="AD252" s="701"/>
    </row>
    <row r="253" spans="1:30" s="639" customFormat="1" x14ac:dyDescent="0.25">
      <c r="A253" s="639">
        <v>247</v>
      </c>
      <c r="B253" s="639">
        <f>+'_DATA STT PAGOS_'!M253</f>
        <v>12101</v>
      </c>
      <c r="C253" s="639" t="str">
        <f>+'_DATA STT PAGOS_'!O253</f>
        <v>PUNTA ARENAS</v>
      </c>
      <c r="D253" s="693">
        <f>+'_DATA STT PAGOS_'!G253</f>
        <v>0</v>
      </c>
      <c r="E253" s="693">
        <f>+'_DATA STT PAGOS_'!J253</f>
        <v>11185237.030000001</v>
      </c>
      <c r="F253" s="694">
        <f>+COEF_FCM!AG255</f>
        <v>3.1810040936E-3</v>
      </c>
      <c r="G253" s="693">
        <f t="shared" si="48"/>
        <v>9028839</v>
      </c>
      <c r="H253" s="695">
        <f t="shared" si="60"/>
        <v>-2156398.0300000012</v>
      </c>
      <c r="I253" s="641">
        <f t="shared" si="61"/>
        <v>-2156398</v>
      </c>
      <c r="J253" s="696">
        <f t="shared" si="62"/>
        <v>0</v>
      </c>
      <c r="K253" s="693">
        <f t="shared" si="49"/>
        <v>0</v>
      </c>
      <c r="L253" s="695">
        <f t="shared" si="50"/>
        <v>0</v>
      </c>
      <c r="M253" s="693">
        <f t="shared" si="51"/>
        <v>0</v>
      </c>
      <c r="N253" s="693">
        <f t="shared" si="52"/>
        <v>11185237</v>
      </c>
      <c r="O253" s="695">
        <f t="shared" si="53"/>
        <v>11185237</v>
      </c>
      <c r="P253" s="695">
        <f t="shared" si="54"/>
        <v>2156398</v>
      </c>
      <c r="Q253" s="697">
        <f t="shared" si="55"/>
        <v>3.1810040936E-3</v>
      </c>
      <c r="R253" s="694">
        <f t="shared" si="56"/>
        <v>7.5973345939999999E-4</v>
      </c>
      <c r="S253" s="693">
        <v>0</v>
      </c>
      <c r="T253" s="695">
        <f t="shared" si="57"/>
        <v>11185237</v>
      </c>
      <c r="U253" s="695">
        <f t="shared" si="58"/>
        <v>11185237</v>
      </c>
      <c r="V253" s="693">
        <f t="shared" si="59"/>
        <v>2156398</v>
      </c>
      <c r="W253" s="697"/>
      <c r="X253" s="698" t="s">
        <v>268</v>
      </c>
      <c r="Y253" s="678">
        <v>0</v>
      </c>
      <c r="Z253" s="678">
        <v>8334081</v>
      </c>
      <c r="AA253" s="678">
        <v>8334081</v>
      </c>
      <c r="AB253" s="699">
        <f t="shared" si="63"/>
        <v>1.3421080260679012</v>
      </c>
      <c r="AC253" s="700"/>
      <c r="AD253" s="701"/>
    </row>
    <row r="254" spans="1:30" s="639" customFormat="1" x14ac:dyDescent="0.25">
      <c r="A254" s="639">
        <v>248</v>
      </c>
      <c r="B254" s="639">
        <f>+'_DATA STT PAGOS_'!M254</f>
        <v>12102</v>
      </c>
      <c r="C254" s="639" t="str">
        <f>+'_DATA STT PAGOS_'!O254</f>
        <v>LAGUNA BLANCA</v>
      </c>
      <c r="D254" s="693">
        <f>+'_DATA STT PAGOS_'!G254</f>
        <v>0</v>
      </c>
      <c r="E254" s="693">
        <f>+'_DATA STT PAGOS_'!J254</f>
        <v>1865518.0789999999</v>
      </c>
      <c r="F254" s="694">
        <f>+COEF_FCM!AG256</f>
        <v>7.2609764709999998E-4</v>
      </c>
      <c r="G254" s="693">
        <f t="shared" si="48"/>
        <v>2060927</v>
      </c>
      <c r="H254" s="695">
        <f t="shared" si="60"/>
        <v>195408.92100000009</v>
      </c>
      <c r="I254" s="641">
        <f t="shared" si="61"/>
        <v>0</v>
      </c>
      <c r="J254" s="696">
        <f t="shared" si="62"/>
        <v>195408.92100000009</v>
      </c>
      <c r="K254" s="693">
        <f t="shared" si="49"/>
        <v>106544</v>
      </c>
      <c r="L254" s="695">
        <f t="shared" si="50"/>
        <v>88864.921000000089</v>
      </c>
      <c r="M254" s="693">
        <f t="shared" si="51"/>
        <v>1954383</v>
      </c>
      <c r="N254" s="693">
        <f t="shared" si="52"/>
        <v>0</v>
      </c>
      <c r="O254" s="695">
        <f t="shared" si="53"/>
        <v>1954383</v>
      </c>
      <c r="P254" s="695">
        <f t="shared" si="54"/>
        <v>-106544</v>
      </c>
      <c r="Q254" s="697">
        <f t="shared" si="55"/>
        <v>7.2609764709999998E-4</v>
      </c>
      <c r="R254" s="694">
        <f t="shared" si="56"/>
        <v>-3.7537153000000002E-5</v>
      </c>
      <c r="S254" s="693">
        <v>0</v>
      </c>
      <c r="T254" s="695">
        <f t="shared" si="57"/>
        <v>1954383</v>
      </c>
      <c r="U254" s="695">
        <f t="shared" si="58"/>
        <v>1954383</v>
      </c>
      <c r="V254" s="693">
        <f t="shared" si="59"/>
        <v>0</v>
      </c>
      <c r="W254" s="697"/>
      <c r="X254" s="698" t="s">
        <v>269</v>
      </c>
      <c r="Y254" s="678">
        <v>0</v>
      </c>
      <c r="Z254" s="678">
        <v>1268723</v>
      </c>
      <c r="AA254" s="678">
        <v>1268723</v>
      </c>
      <c r="AB254" s="699">
        <f t="shared" si="63"/>
        <v>1.5404331757207839</v>
      </c>
      <c r="AC254" s="700"/>
      <c r="AD254" s="701"/>
    </row>
    <row r="255" spans="1:30" s="639" customFormat="1" x14ac:dyDescent="0.25">
      <c r="A255" s="639">
        <v>249</v>
      </c>
      <c r="B255" s="639">
        <f>+'_DATA STT PAGOS_'!M255</f>
        <v>12103</v>
      </c>
      <c r="C255" s="639" t="str">
        <f>+'_DATA STT PAGOS_'!O255</f>
        <v>RÍO VERDE</v>
      </c>
      <c r="D255" s="693">
        <f>+'_DATA STT PAGOS_'!G255</f>
        <v>0</v>
      </c>
      <c r="E255" s="693">
        <f>+'_DATA STT PAGOS_'!J255</f>
        <v>1859902.348</v>
      </c>
      <c r="F255" s="694">
        <f>+COEF_FCM!AG257</f>
        <v>7.253806656E-4</v>
      </c>
      <c r="G255" s="693">
        <f t="shared" si="48"/>
        <v>2058892</v>
      </c>
      <c r="H255" s="695">
        <f t="shared" si="60"/>
        <v>198989.652</v>
      </c>
      <c r="I255" s="641">
        <f t="shared" si="61"/>
        <v>0</v>
      </c>
      <c r="J255" s="696">
        <f t="shared" si="62"/>
        <v>198989.652</v>
      </c>
      <c r="K255" s="693">
        <f t="shared" si="49"/>
        <v>108497</v>
      </c>
      <c r="L255" s="695">
        <f t="shared" si="50"/>
        <v>90492.652000000002</v>
      </c>
      <c r="M255" s="693">
        <f t="shared" si="51"/>
        <v>1950395</v>
      </c>
      <c r="N255" s="693">
        <f t="shared" si="52"/>
        <v>0</v>
      </c>
      <c r="O255" s="695">
        <f t="shared" si="53"/>
        <v>1950395</v>
      </c>
      <c r="P255" s="695">
        <f t="shared" si="54"/>
        <v>-108497</v>
      </c>
      <c r="Q255" s="697">
        <f t="shared" si="55"/>
        <v>7.253806656E-4</v>
      </c>
      <c r="R255" s="694">
        <f t="shared" si="56"/>
        <v>-3.8225226099999997E-5</v>
      </c>
      <c r="S255" s="693">
        <v>0</v>
      </c>
      <c r="T255" s="695">
        <f t="shared" si="57"/>
        <v>1950395</v>
      </c>
      <c r="U255" s="695">
        <f t="shared" si="58"/>
        <v>1950395</v>
      </c>
      <c r="V255" s="693">
        <f t="shared" si="59"/>
        <v>0</v>
      </c>
      <c r="W255" s="697"/>
      <c r="X255" s="698" t="s">
        <v>424</v>
      </c>
      <c r="Y255" s="678">
        <v>0</v>
      </c>
      <c r="Z255" s="678">
        <v>1232960</v>
      </c>
      <c r="AA255" s="678">
        <v>1232960</v>
      </c>
      <c r="AB255" s="699">
        <f t="shared" si="63"/>
        <v>1.5818801907604465</v>
      </c>
      <c r="AC255" s="700"/>
      <c r="AD255" s="701"/>
    </row>
    <row r="256" spans="1:30" s="639" customFormat="1" x14ac:dyDescent="0.25">
      <c r="A256" s="639">
        <v>250</v>
      </c>
      <c r="B256" s="639">
        <f>+'_DATA STT PAGOS_'!M256</f>
        <v>12104</v>
      </c>
      <c r="C256" s="639" t="str">
        <f>+'_DATA STT PAGOS_'!O256</f>
        <v>SAN GREGORIO</v>
      </c>
      <c r="D256" s="693">
        <f>+'_DATA STT PAGOS_'!G256</f>
        <v>0</v>
      </c>
      <c r="E256" s="693">
        <f>+'_DATA STT PAGOS_'!J256</f>
        <v>1876555.5489999999</v>
      </c>
      <c r="F256" s="694">
        <f>+COEF_FCM!AG258</f>
        <v>7.3358364199999993E-4</v>
      </c>
      <c r="G256" s="693">
        <f t="shared" si="48"/>
        <v>2082175</v>
      </c>
      <c r="H256" s="695">
        <f t="shared" si="60"/>
        <v>205619.45100000012</v>
      </c>
      <c r="I256" s="641">
        <f t="shared" si="61"/>
        <v>0</v>
      </c>
      <c r="J256" s="696">
        <f t="shared" si="62"/>
        <v>205619.45100000012</v>
      </c>
      <c r="K256" s="693">
        <f t="shared" si="49"/>
        <v>112112</v>
      </c>
      <c r="L256" s="695">
        <f t="shared" si="50"/>
        <v>93507.451000000117</v>
      </c>
      <c r="M256" s="693">
        <f t="shared" si="51"/>
        <v>1970063</v>
      </c>
      <c r="N256" s="693">
        <f t="shared" si="52"/>
        <v>0</v>
      </c>
      <c r="O256" s="695">
        <f t="shared" si="53"/>
        <v>1970063</v>
      </c>
      <c r="P256" s="695">
        <f t="shared" si="54"/>
        <v>-112112</v>
      </c>
      <c r="Q256" s="697">
        <f t="shared" si="55"/>
        <v>7.3358364199999993E-4</v>
      </c>
      <c r="R256" s="694">
        <f t="shared" si="56"/>
        <v>-3.94988484E-5</v>
      </c>
      <c r="S256" s="693">
        <v>0</v>
      </c>
      <c r="T256" s="695">
        <f t="shared" si="57"/>
        <v>1970063</v>
      </c>
      <c r="U256" s="695">
        <f t="shared" si="58"/>
        <v>1970063</v>
      </c>
      <c r="V256" s="693">
        <f t="shared" si="59"/>
        <v>0</v>
      </c>
      <c r="W256" s="697"/>
      <c r="X256" s="698" t="s">
        <v>267</v>
      </c>
      <c r="Y256" s="678">
        <v>0</v>
      </c>
      <c r="Z256" s="678">
        <v>1242468</v>
      </c>
      <c r="AA256" s="678">
        <v>1242468</v>
      </c>
      <c r="AB256" s="699">
        <f t="shared" si="63"/>
        <v>1.5856046191934119</v>
      </c>
      <c r="AC256" s="700"/>
      <c r="AD256" s="701"/>
    </row>
    <row r="257" spans="1:30" s="639" customFormat="1" x14ac:dyDescent="0.25">
      <c r="A257" s="639">
        <v>251</v>
      </c>
      <c r="B257" s="639">
        <f>+'_DATA STT PAGOS_'!M257</f>
        <v>12201</v>
      </c>
      <c r="C257" s="639" t="str">
        <f>+'_DATA STT PAGOS_'!O257</f>
        <v>CABO DE HORNOS</v>
      </c>
      <c r="D257" s="693">
        <f>+'_DATA STT PAGOS_'!G257</f>
        <v>0</v>
      </c>
      <c r="E257" s="693">
        <f>+'_DATA STT PAGOS_'!J257</f>
        <v>2275995.2259999998</v>
      </c>
      <c r="F257" s="694">
        <f>+COEF_FCM!AG259</f>
        <v>8.8254157359999989E-4</v>
      </c>
      <c r="G257" s="693">
        <f t="shared" si="48"/>
        <v>2504972</v>
      </c>
      <c r="H257" s="695">
        <f t="shared" si="60"/>
        <v>228976.77400000021</v>
      </c>
      <c r="I257" s="641">
        <f t="shared" si="61"/>
        <v>0</v>
      </c>
      <c r="J257" s="696">
        <f t="shared" si="62"/>
        <v>228976.77400000021</v>
      </c>
      <c r="K257" s="693">
        <f t="shared" si="49"/>
        <v>124847</v>
      </c>
      <c r="L257" s="695">
        <f t="shared" si="50"/>
        <v>104129.77400000021</v>
      </c>
      <c r="M257" s="693">
        <f t="shared" si="51"/>
        <v>2380125</v>
      </c>
      <c r="N257" s="693">
        <f t="shared" si="52"/>
        <v>0</v>
      </c>
      <c r="O257" s="695">
        <f t="shared" si="53"/>
        <v>2380125</v>
      </c>
      <c r="P257" s="695">
        <f t="shared" si="54"/>
        <v>-124847</v>
      </c>
      <c r="Q257" s="697">
        <f t="shared" si="55"/>
        <v>8.8254157359999989E-4</v>
      </c>
      <c r="R257" s="694">
        <f t="shared" si="56"/>
        <v>-4.3985592300000001E-5</v>
      </c>
      <c r="S257" s="693">
        <v>0</v>
      </c>
      <c r="T257" s="695">
        <f t="shared" si="57"/>
        <v>2380125</v>
      </c>
      <c r="U257" s="695">
        <f t="shared" si="58"/>
        <v>2380125</v>
      </c>
      <c r="V257" s="693">
        <f t="shared" si="59"/>
        <v>0</v>
      </c>
      <c r="W257" s="697"/>
      <c r="X257" s="698" t="s">
        <v>273</v>
      </c>
      <c r="Y257" s="678">
        <v>0</v>
      </c>
      <c r="Z257" s="678">
        <v>1589214</v>
      </c>
      <c r="AA257" s="678">
        <v>1589214</v>
      </c>
      <c r="AB257" s="699">
        <f t="shared" si="63"/>
        <v>1.4976743220233399</v>
      </c>
      <c r="AC257" s="700"/>
      <c r="AD257" s="701"/>
    </row>
    <row r="258" spans="1:30" s="639" customFormat="1" x14ac:dyDescent="0.25">
      <c r="A258" s="639">
        <v>252</v>
      </c>
      <c r="B258" s="639">
        <f>+'_DATA STT PAGOS_'!M258</f>
        <v>12202</v>
      </c>
      <c r="C258" s="639" t="str">
        <f>+'_DATA STT PAGOS_'!O258</f>
        <v>ANTÁRTICA</v>
      </c>
      <c r="D258" s="693">
        <f>+'_DATA STT PAGOS_'!G258</f>
        <v>0</v>
      </c>
      <c r="E258" s="693">
        <f>+'_DATA STT PAGOS_'!J258</f>
        <v>1848557.81</v>
      </c>
      <c r="F258" s="694">
        <f>+COEF_FCM!AG260</f>
        <v>7.2254335259999995E-4</v>
      </c>
      <c r="G258" s="693">
        <f t="shared" si="48"/>
        <v>2050839</v>
      </c>
      <c r="H258" s="695">
        <f t="shared" si="60"/>
        <v>202281.18999999994</v>
      </c>
      <c r="I258" s="641">
        <f t="shared" si="61"/>
        <v>0</v>
      </c>
      <c r="J258" s="696">
        <f t="shared" si="62"/>
        <v>202281.18999999994</v>
      </c>
      <c r="K258" s="693">
        <f t="shared" si="49"/>
        <v>110291</v>
      </c>
      <c r="L258" s="695">
        <f t="shared" si="50"/>
        <v>91990.189999999944</v>
      </c>
      <c r="M258" s="693">
        <f t="shared" si="51"/>
        <v>1940548</v>
      </c>
      <c r="N258" s="693">
        <f t="shared" si="52"/>
        <v>0</v>
      </c>
      <c r="O258" s="695">
        <f t="shared" si="53"/>
        <v>1940548</v>
      </c>
      <c r="P258" s="695">
        <f t="shared" si="54"/>
        <v>-110291</v>
      </c>
      <c r="Q258" s="697">
        <f t="shared" si="55"/>
        <v>7.2254335259999995E-4</v>
      </c>
      <c r="R258" s="694">
        <f t="shared" si="56"/>
        <v>-3.8857280999999999E-5</v>
      </c>
      <c r="S258" s="693">
        <v>0</v>
      </c>
      <c r="T258" s="695">
        <f t="shared" si="57"/>
        <v>1940548</v>
      </c>
      <c r="U258" s="695">
        <f t="shared" si="58"/>
        <v>1940548</v>
      </c>
      <c r="V258" s="693">
        <f t="shared" si="59"/>
        <v>0</v>
      </c>
      <c r="W258" s="697"/>
      <c r="X258" s="698" t="s">
        <v>472</v>
      </c>
      <c r="Y258" s="678">
        <v>0</v>
      </c>
      <c r="Z258" s="678">
        <v>1214901</v>
      </c>
      <c r="AA258" s="678">
        <v>1214901</v>
      </c>
      <c r="AB258" s="699">
        <f t="shared" si="63"/>
        <v>1.5972889972104722</v>
      </c>
      <c r="AC258" s="700"/>
      <c r="AD258" s="701"/>
    </row>
    <row r="259" spans="1:30" s="639" customFormat="1" x14ac:dyDescent="0.25">
      <c r="A259" s="639">
        <v>253</v>
      </c>
      <c r="B259" s="639">
        <f>+'_DATA STT PAGOS_'!M259</f>
        <v>12301</v>
      </c>
      <c r="C259" s="639" t="str">
        <f>+'_DATA STT PAGOS_'!O259</f>
        <v>PORVENIR</v>
      </c>
      <c r="D259" s="693">
        <f>+'_DATA STT PAGOS_'!G259</f>
        <v>0</v>
      </c>
      <c r="E259" s="693">
        <f>+'_DATA STT PAGOS_'!J259</f>
        <v>2640765.5759999999</v>
      </c>
      <c r="F259" s="694">
        <f>+COEF_FCM!AG261</f>
        <v>1.0096170824999999E-3</v>
      </c>
      <c r="G259" s="693">
        <f t="shared" si="48"/>
        <v>2865658</v>
      </c>
      <c r="H259" s="695">
        <f t="shared" si="60"/>
        <v>224892.42400000012</v>
      </c>
      <c r="I259" s="641">
        <f t="shared" si="61"/>
        <v>0</v>
      </c>
      <c r="J259" s="696">
        <f t="shared" si="62"/>
        <v>224892.42400000012</v>
      </c>
      <c r="K259" s="693">
        <f t="shared" si="49"/>
        <v>122620</v>
      </c>
      <c r="L259" s="695">
        <f t="shared" si="50"/>
        <v>102272.42400000012</v>
      </c>
      <c r="M259" s="693">
        <f t="shared" si="51"/>
        <v>2743038</v>
      </c>
      <c r="N259" s="693">
        <f t="shared" si="52"/>
        <v>0</v>
      </c>
      <c r="O259" s="695">
        <f t="shared" si="53"/>
        <v>2743038</v>
      </c>
      <c r="P259" s="695">
        <f t="shared" si="54"/>
        <v>-122620</v>
      </c>
      <c r="Q259" s="697">
        <f t="shared" si="55"/>
        <v>1.0096170824999999E-3</v>
      </c>
      <c r="R259" s="694">
        <f t="shared" si="56"/>
        <v>-4.3200984600000001E-5</v>
      </c>
      <c r="S259" s="693">
        <v>0</v>
      </c>
      <c r="T259" s="695">
        <f t="shared" si="57"/>
        <v>2743038</v>
      </c>
      <c r="U259" s="695">
        <f t="shared" si="58"/>
        <v>2743038</v>
      </c>
      <c r="V259" s="693">
        <f t="shared" si="59"/>
        <v>0</v>
      </c>
      <c r="W259" s="697"/>
      <c r="X259" s="698" t="s">
        <v>270</v>
      </c>
      <c r="Y259" s="678">
        <v>0</v>
      </c>
      <c r="Z259" s="678">
        <v>1999791</v>
      </c>
      <c r="AA259" s="678">
        <v>1999791</v>
      </c>
      <c r="AB259" s="699">
        <f t="shared" si="63"/>
        <v>1.3716623387143956</v>
      </c>
      <c r="AC259" s="700"/>
      <c r="AD259" s="701"/>
    </row>
    <row r="260" spans="1:30" s="639" customFormat="1" x14ac:dyDescent="0.25">
      <c r="A260" s="639">
        <v>254</v>
      </c>
      <c r="B260" s="639">
        <f>+'_DATA STT PAGOS_'!M260</f>
        <v>12302</v>
      </c>
      <c r="C260" s="639" t="str">
        <f>+'_DATA STT PAGOS_'!O260</f>
        <v>PRIMAVERA</v>
      </c>
      <c r="D260" s="693">
        <f>+'_DATA STT PAGOS_'!G260</f>
        <v>0</v>
      </c>
      <c r="E260" s="693">
        <f>+'_DATA STT PAGOS_'!J260</f>
        <v>1953097.74</v>
      </c>
      <c r="F260" s="694">
        <f>+COEF_FCM!AG262</f>
        <v>8.0180119699999985E-4</v>
      </c>
      <c r="G260" s="693">
        <f t="shared" si="48"/>
        <v>2275801</v>
      </c>
      <c r="H260" s="695">
        <f t="shared" si="60"/>
        <v>322703.26</v>
      </c>
      <c r="I260" s="641">
        <f t="shared" si="61"/>
        <v>0</v>
      </c>
      <c r="J260" s="696">
        <f t="shared" si="62"/>
        <v>322703.26</v>
      </c>
      <c r="K260" s="693">
        <f t="shared" si="49"/>
        <v>175950</v>
      </c>
      <c r="L260" s="695">
        <f t="shared" si="50"/>
        <v>146753.26</v>
      </c>
      <c r="M260" s="693">
        <f t="shared" si="51"/>
        <v>2099851</v>
      </c>
      <c r="N260" s="693">
        <f t="shared" si="52"/>
        <v>0</v>
      </c>
      <c r="O260" s="695">
        <f t="shared" si="53"/>
        <v>2099851</v>
      </c>
      <c r="P260" s="695">
        <f t="shared" si="54"/>
        <v>-175950</v>
      </c>
      <c r="Q260" s="697">
        <f t="shared" si="55"/>
        <v>8.0180119699999985E-4</v>
      </c>
      <c r="R260" s="694">
        <f t="shared" si="56"/>
        <v>-6.1989995399999994E-5</v>
      </c>
      <c r="S260" s="693">
        <v>0</v>
      </c>
      <c r="T260" s="695">
        <f t="shared" si="57"/>
        <v>2099851</v>
      </c>
      <c r="U260" s="695">
        <f t="shared" si="58"/>
        <v>2099851</v>
      </c>
      <c r="V260" s="693">
        <f t="shared" si="59"/>
        <v>0</v>
      </c>
      <c r="W260" s="697"/>
      <c r="X260" s="698" t="s">
        <v>271</v>
      </c>
      <c r="Y260" s="678">
        <v>0</v>
      </c>
      <c r="Z260" s="678">
        <v>1287756</v>
      </c>
      <c r="AA260" s="678">
        <v>1287756</v>
      </c>
      <c r="AB260" s="699">
        <f t="shared" si="63"/>
        <v>1.63062800716906</v>
      </c>
      <c r="AC260" s="700"/>
      <c r="AD260" s="701"/>
    </row>
    <row r="261" spans="1:30" s="639" customFormat="1" x14ac:dyDescent="0.25">
      <c r="A261" s="639">
        <v>255</v>
      </c>
      <c r="B261" s="639">
        <f>+'_DATA STT PAGOS_'!M261</f>
        <v>12303</v>
      </c>
      <c r="C261" s="639" t="str">
        <f>+'_DATA STT PAGOS_'!O261</f>
        <v>TIMAUKEL</v>
      </c>
      <c r="D261" s="693">
        <f>+'_DATA STT PAGOS_'!G261</f>
        <v>0</v>
      </c>
      <c r="E261" s="693">
        <f>+'_DATA STT PAGOS_'!J261</f>
        <v>1970593.9819999998</v>
      </c>
      <c r="F261" s="694">
        <f>+COEF_FCM!AG263</f>
        <v>7.4905058509999994E-4</v>
      </c>
      <c r="G261" s="693">
        <f t="shared" si="48"/>
        <v>2126076</v>
      </c>
      <c r="H261" s="695">
        <f t="shared" si="60"/>
        <v>155482.01800000016</v>
      </c>
      <c r="I261" s="641">
        <f t="shared" si="61"/>
        <v>0</v>
      </c>
      <c r="J261" s="696">
        <f t="shared" si="62"/>
        <v>155482.01800000016</v>
      </c>
      <c r="K261" s="693">
        <f t="shared" si="49"/>
        <v>84775</v>
      </c>
      <c r="L261" s="695">
        <f t="shared" si="50"/>
        <v>70707.018000000156</v>
      </c>
      <c r="M261" s="693">
        <f t="shared" si="51"/>
        <v>2041301</v>
      </c>
      <c r="N261" s="693">
        <f t="shared" si="52"/>
        <v>0</v>
      </c>
      <c r="O261" s="695">
        <f t="shared" si="53"/>
        <v>2041301</v>
      </c>
      <c r="P261" s="695">
        <f t="shared" si="54"/>
        <v>-84775</v>
      </c>
      <c r="Q261" s="697">
        <f t="shared" si="55"/>
        <v>7.4905058509999994E-4</v>
      </c>
      <c r="R261" s="694">
        <f t="shared" si="56"/>
        <v>-2.98675866E-5</v>
      </c>
      <c r="S261" s="693">
        <v>0</v>
      </c>
      <c r="T261" s="695">
        <f t="shared" si="57"/>
        <v>2041301</v>
      </c>
      <c r="U261" s="695">
        <f t="shared" si="58"/>
        <v>2041301</v>
      </c>
      <c r="V261" s="693">
        <f t="shared" si="59"/>
        <v>0</v>
      </c>
      <c r="W261" s="697"/>
      <c r="X261" s="698" t="s">
        <v>272</v>
      </c>
      <c r="Y261" s="678">
        <v>0</v>
      </c>
      <c r="Z261" s="678">
        <v>1291067</v>
      </c>
      <c r="AA261" s="678">
        <v>1291067</v>
      </c>
      <c r="AB261" s="699">
        <f t="shared" si="63"/>
        <v>1.5810961011318545</v>
      </c>
      <c r="AC261" s="700"/>
      <c r="AD261" s="701"/>
    </row>
    <row r="262" spans="1:30" s="639" customFormat="1" x14ac:dyDescent="0.25">
      <c r="A262" s="639">
        <v>256</v>
      </c>
      <c r="B262" s="639">
        <f>+'_DATA STT PAGOS_'!M262</f>
        <v>12401</v>
      </c>
      <c r="C262" s="639" t="str">
        <f>+'_DATA STT PAGOS_'!O262</f>
        <v>NATALES</v>
      </c>
      <c r="D262" s="693">
        <f>+'_DATA STT PAGOS_'!G262</f>
        <v>0</v>
      </c>
      <c r="E262" s="693">
        <f>+'_DATA STT PAGOS_'!J262</f>
        <v>6481094.2479999997</v>
      </c>
      <c r="F262" s="694">
        <f>+COEF_FCM!AG264</f>
        <v>2.3509239746000001E-3</v>
      </c>
      <c r="G262" s="693">
        <f t="shared" si="48"/>
        <v>6672771</v>
      </c>
      <c r="H262" s="695">
        <f t="shared" si="60"/>
        <v>191676.75200000033</v>
      </c>
      <c r="I262" s="641">
        <f t="shared" si="61"/>
        <v>0</v>
      </c>
      <c r="J262" s="696">
        <f t="shared" si="62"/>
        <v>191676.75200000033</v>
      </c>
      <c r="K262" s="693">
        <f t="shared" si="49"/>
        <v>104509</v>
      </c>
      <c r="L262" s="695">
        <f t="shared" si="50"/>
        <v>87167.752000000328</v>
      </c>
      <c r="M262" s="693">
        <f t="shared" si="51"/>
        <v>6568262</v>
      </c>
      <c r="N262" s="693">
        <f t="shared" si="52"/>
        <v>0</v>
      </c>
      <c r="O262" s="695">
        <f t="shared" si="53"/>
        <v>6568262</v>
      </c>
      <c r="P262" s="695">
        <f t="shared" si="54"/>
        <v>-104509</v>
      </c>
      <c r="Q262" s="697">
        <f t="shared" si="55"/>
        <v>2.3509239746000001E-3</v>
      </c>
      <c r="R262" s="694">
        <f t="shared" si="56"/>
        <v>-3.6820190000000003E-5</v>
      </c>
      <c r="S262" s="693">
        <v>0</v>
      </c>
      <c r="T262" s="695">
        <f t="shared" si="57"/>
        <v>6568262</v>
      </c>
      <c r="U262" s="695">
        <f t="shared" si="58"/>
        <v>6568262</v>
      </c>
      <c r="V262" s="693">
        <f t="shared" si="59"/>
        <v>0</v>
      </c>
      <c r="W262" s="697"/>
      <c r="X262" s="698" t="s">
        <v>266</v>
      </c>
      <c r="Y262" s="678">
        <v>0</v>
      </c>
      <c r="Z262" s="678">
        <v>4084951</v>
      </c>
      <c r="AA262" s="678">
        <v>4084951</v>
      </c>
      <c r="AB262" s="699">
        <f t="shared" si="63"/>
        <v>1.6079169615498448</v>
      </c>
      <c r="AC262" s="700"/>
      <c r="AD262" s="701"/>
    </row>
    <row r="263" spans="1:30" s="639" customFormat="1" x14ac:dyDescent="0.25">
      <c r="A263" s="639">
        <v>257</v>
      </c>
      <c r="B263" s="639">
        <f>+'_DATA STT PAGOS_'!M263</f>
        <v>12402</v>
      </c>
      <c r="C263" s="639" t="str">
        <f>+'_DATA STT PAGOS_'!O263</f>
        <v>TORRES DEL PAINE</v>
      </c>
      <c r="D263" s="693">
        <f>+'_DATA STT PAGOS_'!G263</f>
        <v>0</v>
      </c>
      <c r="E263" s="693">
        <f>+'_DATA STT PAGOS_'!J263</f>
        <v>1879453.74</v>
      </c>
      <c r="F263" s="694">
        <f>+COEF_FCM!AG265</f>
        <v>7.3222564599999989E-4</v>
      </c>
      <c r="G263" s="693">
        <f t="shared" ref="G263:G326" si="64">ROUND(F263*$G$4,0)</f>
        <v>2078321</v>
      </c>
      <c r="H263" s="695">
        <f t="shared" si="60"/>
        <v>198867.26</v>
      </c>
      <c r="I263" s="641">
        <f t="shared" si="61"/>
        <v>0</v>
      </c>
      <c r="J263" s="696">
        <f t="shared" si="62"/>
        <v>198867.26</v>
      </c>
      <c r="K263" s="693">
        <f t="shared" ref="K263:K326" si="65">IF(J263&gt;0,ROUND(J263*$J$3,0),0)</f>
        <v>108430</v>
      </c>
      <c r="L263" s="695">
        <f t="shared" ref="L263:L326" si="66">+J263-K263</f>
        <v>90437.260000000009</v>
      </c>
      <c r="M263" s="693">
        <f t="shared" ref="M263:M326" si="67">IF(L263&gt;0,ROUND(G263-K263,0),0)</f>
        <v>1969891</v>
      </c>
      <c r="N263" s="693">
        <f t="shared" ref="N263:N326" si="68">IF(I263&lt;0,ROUND(E263,0),0)</f>
        <v>0</v>
      </c>
      <c r="O263" s="695">
        <f t="shared" ref="O263:O326" si="69">ROUND(M263+N263,0)</f>
        <v>1969891</v>
      </c>
      <c r="P263" s="695">
        <f t="shared" ref="P263:P326" si="70">+O263-G263</f>
        <v>-108430</v>
      </c>
      <c r="Q263" s="697">
        <f t="shared" ref="Q263:Q326" si="71">+F263</f>
        <v>7.3222564599999989E-4</v>
      </c>
      <c r="R263" s="694">
        <f t="shared" ref="R263:R326" si="72">ROUND(P263/$O$4,DEC)</f>
        <v>-3.8201620900000003E-5</v>
      </c>
      <c r="S263" s="693">
        <v>0</v>
      </c>
      <c r="T263" s="695">
        <f t="shared" ref="T263:T326" si="73">+O263+S263</f>
        <v>1969891</v>
      </c>
      <c r="U263" s="695">
        <f t="shared" ref="U263:U326" si="74">+O263</f>
        <v>1969891</v>
      </c>
      <c r="V263" s="693">
        <f t="shared" ref="V263:V326" si="75">IF(I263&lt;0,ROUND(ABS(I263),0),0)</f>
        <v>0</v>
      </c>
      <c r="W263" s="697"/>
      <c r="X263" s="698" t="s">
        <v>321</v>
      </c>
      <c r="Y263" s="678">
        <v>0</v>
      </c>
      <c r="Z263" s="678">
        <v>1275936</v>
      </c>
      <c r="AA263" s="678">
        <v>1275936</v>
      </c>
      <c r="AB263" s="699">
        <f t="shared" si="63"/>
        <v>1.5438791600832644</v>
      </c>
      <c r="AC263" s="700"/>
      <c r="AD263" s="701"/>
    </row>
    <row r="264" spans="1:30" s="639" customFormat="1" x14ac:dyDescent="0.25">
      <c r="A264" s="639">
        <v>258</v>
      </c>
      <c r="B264" s="639">
        <f>+'_DATA STT PAGOS_'!M264</f>
        <v>13101</v>
      </c>
      <c r="C264" s="639" t="str">
        <f>+'_DATA STT PAGOS_'!O264</f>
        <v>SANTIAGO</v>
      </c>
      <c r="D264" s="693">
        <f>+'_DATA STT PAGOS_'!G264</f>
        <v>0</v>
      </c>
      <c r="E264" s="693">
        <f>+'_DATA STT PAGOS_'!J264</f>
        <v>15178178.502999999</v>
      </c>
      <c r="F264" s="694">
        <f>+COEF_FCM!AG266</f>
        <v>6.0128439107000001E-3</v>
      </c>
      <c r="G264" s="693">
        <f t="shared" si="64"/>
        <v>17066623</v>
      </c>
      <c r="H264" s="695">
        <f t="shared" ref="H264:H327" si="76">G264-E264</f>
        <v>1888444.4970000014</v>
      </c>
      <c r="I264" s="641">
        <f t="shared" ref="I264:I327" si="77">IF(H264&lt;0,ROUND(H264,0),0)</f>
        <v>0</v>
      </c>
      <c r="J264" s="696">
        <f t="shared" ref="J264:J327" si="78">IF(H264&gt;0,H264,0)</f>
        <v>1888444.4970000014</v>
      </c>
      <c r="K264" s="693">
        <f t="shared" si="65"/>
        <v>1029652</v>
      </c>
      <c r="L264" s="695">
        <f t="shared" si="66"/>
        <v>858792.49700000137</v>
      </c>
      <c r="M264" s="693">
        <f t="shared" si="67"/>
        <v>16036971</v>
      </c>
      <c r="N264" s="693">
        <f t="shared" si="68"/>
        <v>0</v>
      </c>
      <c r="O264" s="695">
        <f t="shared" si="69"/>
        <v>16036971</v>
      </c>
      <c r="P264" s="695">
        <f t="shared" si="70"/>
        <v>-1029652</v>
      </c>
      <c r="Q264" s="697">
        <f t="shared" si="71"/>
        <v>6.0128439107000001E-3</v>
      </c>
      <c r="R264" s="694">
        <f t="shared" si="72"/>
        <v>-3.6276284609999999E-4</v>
      </c>
      <c r="S264" s="693">
        <v>0</v>
      </c>
      <c r="T264" s="695">
        <f t="shared" si="73"/>
        <v>16036971</v>
      </c>
      <c r="U264" s="695">
        <f t="shared" si="74"/>
        <v>16036971</v>
      </c>
      <c r="V264" s="693">
        <f t="shared" si="75"/>
        <v>0</v>
      </c>
      <c r="W264" s="697"/>
      <c r="X264" s="698" t="s">
        <v>274</v>
      </c>
      <c r="Y264" s="678">
        <v>0</v>
      </c>
      <c r="Z264" s="678">
        <v>7328578</v>
      </c>
      <c r="AA264" s="678">
        <v>7328578</v>
      </c>
      <c r="AB264" s="699">
        <f t="shared" ref="AB264:AB327" si="79">T264/Z264</f>
        <v>2.1882786810756465</v>
      </c>
      <c r="AC264" s="700"/>
      <c r="AD264" s="701"/>
    </row>
    <row r="265" spans="1:30" s="639" customFormat="1" x14ac:dyDescent="0.25">
      <c r="A265" s="639">
        <v>259</v>
      </c>
      <c r="B265" s="639">
        <f>+'_DATA STT PAGOS_'!M265</f>
        <v>13102</v>
      </c>
      <c r="C265" s="639" t="str">
        <f>+'_DATA STT PAGOS_'!O265</f>
        <v>CERRILLOS</v>
      </c>
      <c r="D265" s="693">
        <f>+'_DATA STT PAGOS_'!G265</f>
        <v>0</v>
      </c>
      <c r="E265" s="693">
        <f>+'_DATA STT PAGOS_'!J265</f>
        <v>5794477.7050000001</v>
      </c>
      <c r="F265" s="694">
        <f>+COEF_FCM!AG267</f>
        <v>2.2551721245999998E-3</v>
      </c>
      <c r="G265" s="693">
        <f t="shared" si="64"/>
        <v>6400993</v>
      </c>
      <c r="H265" s="695">
        <f t="shared" si="76"/>
        <v>606515.29499999993</v>
      </c>
      <c r="I265" s="641">
        <f t="shared" si="77"/>
        <v>0</v>
      </c>
      <c r="J265" s="696">
        <f t="shared" si="78"/>
        <v>606515.29499999993</v>
      </c>
      <c r="K265" s="693">
        <f t="shared" si="65"/>
        <v>330695</v>
      </c>
      <c r="L265" s="695">
        <f t="shared" si="66"/>
        <v>275820.29499999993</v>
      </c>
      <c r="M265" s="693">
        <f t="shared" si="67"/>
        <v>6070298</v>
      </c>
      <c r="N265" s="693">
        <f t="shared" si="68"/>
        <v>0</v>
      </c>
      <c r="O265" s="695">
        <f t="shared" si="69"/>
        <v>6070298</v>
      </c>
      <c r="P265" s="695">
        <f t="shared" si="70"/>
        <v>-330695</v>
      </c>
      <c r="Q265" s="697">
        <f t="shared" si="71"/>
        <v>2.2551721245999998E-3</v>
      </c>
      <c r="R265" s="694">
        <f t="shared" si="72"/>
        <v>-1.165091307E-4</v>
      </c>
      <c r="S265" s="693">
        <v>0</v>
      </c>
      <c r="T265" s="695">
        <f t="shared" si="73"/>
        <v>6070298</v>
      </c>
      <c r="U265" s="695">
        <f t="shared" si="74"/>
        <v>6070298</v>
      </c>
      <c r="V265" s="693">
        <f t="shared" si="75"/>
        <v>0</v>
      </c>
      <c r="W265" s="697"/>
      <c r="X265" s="698" t="s">
        <v>298</v>
      </c>
      <c r="Y265" s="678">
        <v>0</v>
      </c>
      <c r="Z265" s="678">
        <v>4257313</v>
      </c>
      <c r="AA265" s="678">
        <v>4257313</v>
      </c>
      <c r="AB265" s="699">
        <f t="shared" si="79"/>
        <v>1.4258519399442795</v>
      </c>
      <c r="AC265" s="700"/>
      <c r="AD265" s="701"/>
    </row>
    <row r="266" spans="1:30" s="639" customFormat="1" x14ac:dyDescent="0.25">
      <c r="A266" s="639">
        <v>260</v>
      </c>
      <c r="B266" s="639">
        <f>+'_DATA STT PAGOS_'!M266</f>
        <v>13103</v>
      </c>
      <c r="C266" s="639" t="str">
        <f>+'_DATA STT PAGOS_'!O266</f>
        <v>CERRO NAVIA</v>
      </c>
      <c r="D266" s="693">
        <f>+'_DATA STT PAGOS_'!G266</f>
        <v>0</v>
      </c>
      <c r="E266" s="693">
        <f>+'_DATA STT PAGOS_'!J266</f>
        <v>22733393.793000001</v>
      </c>
      <c r="F266" s="694">
        <f>+COEF_FCM!AG268</f>
        <v>7.8037155569000002E-3</v>
      </c>
      <c r="G266" s="693">
        <f t="shared" si="64"/>
        <v>22149764</v>
      </c>
      <c r="H266" s="695">
        <f t="shared" si="76"/>
        <v>-583629.79300000146</v>
      </c>
      <c r="I266" s="641">
        <f t="shared" si="77"/>
        <v>-583630</v>
      </c>
      <c r="J266" s="696">
        <f t="shared" si="78"/>
        <v>0</v>
      </c>
      <c r="K266" s="693">
        <f t="shared" si="65"/>
        <v>0</v>
      </c>
      <c r="L266" s="695">
        <f t="shared" si="66"/>
        <v>0</v>
      </c>
      <c r="M266" s="693">
        <f t="shared" si="67"/>
        <v>0</v>
      </c>
      <c r="N266" s="693">
        <f t="shared" si="68"/>
        <v>22733394</v>
      </c>
      <c r="O266" s="695">
        <f t="shared" si="69"/>
        <v>22733394</v>
      </c>
      <c r="P266" s="695">
        <f t="shared" si="70"/>
        <v>583630</v>
      </c>
      <c r="Q266" s="697">
        <f t="shared" si="71"/>
        <v>7.8037155569000002E-3</v>
      </c>
      <c r="R266" s="694">
        <f t="shared" si="72"/>
        <v>2.0562217129999999E-4</v>
      </c>
      <c r="S266" s="693">
        <v>0</v>
      </c>
      <c r="T266" s="695">
        <f t="shared" si="73"/>
        <v>22733394</v>
      </c>
      <c r="U266" s="695">
        <f t="shared" si="74"/>
        <v>22733394</v>
      </c>
      <c r="V266" s="693">
        <f t="shared" si="75"/>
        <v>583630</v>
      </c>
      <c r="W266" s="697"/>
      <c r="X266" s="698" t="s">
        <v>290</v>
      </c>
      <c r="Y266" s="678">
        <v>0</v>
      </c>
      <c r="Z266" s="678">
        <v>16983926</v>
      </c>
      <c r="AA266" s="678">
        <v>16983926</v>
      </c>
      <c r="AB266" s="699">
        <f t="shared" si="79"/>
        <v>1.3385240844784652</v>
      </c>
      <c r="AC266" s="700"/>
      <c r="AD266" s="701"/>
    </row>
    <row r="267" spans="1:30" s="639" customFormat="1" x14ac:dyDescent="0.25">
      <c r="A267" s="639">
        <v>261</v>
      </c>
      <c r="B267" s="639">
        <f>+'_DATA STT PAGOS_'!M267</f>
        <v>13104</v>
      </c>
      <c r="C267" s="639" t="str">
        <f>+'_DATA STT PAGOS_'!O267</f>
        <v>CONCHALÍ</v>
      </c>
      <c r="D267" s="693">
        <f>+'_DATA STT PAGOS_'!G267</f>
        <v>0</v>
      </c>
      <c r="E267" s="693">
        <f>+'_DATA STT PAGOS_'!J267</f>
        <v>14717978.324000001</v>
      </c>
      <c r="F267" s="694">
        <f>+COEF_FCM!AG269</f>
        <v>5.2409914477999997E-3</v>
      </c>
      <c r="G267" s="693">
        <f t="shared" si="64"/>
        <v>14875827</v>
      </c>
      <c r="H267" s="695">
        <f t="shared" si="76"/>
        <v>157848.67599999905</v>
      </c>
      <c r="I267" s="641">
        <f t="shared" si="77"/>
        <v>0</v>
      </c>
      <c r="J267" s="696">
        <f t="shared" si="78"/>
        <v>157848.67599999905</v>
      </c>
      <c r="K267" s="693">
        <f t="shared" si="65"/>
        <v>86065</v>
      </c>
      <c r="L267" s="695">
        <f t="shared" si="66"/>
        <v>71783.675999999046</v>
      </c>
      <c r="M267" s="693">
        <f t="shared" si="67"/>
        <v>14789762</v>
      </c>
      <c r="N267" s="693">
        <f t="shared" si="68"/>
        <v>0</v>
      </c>
      <c r="O267" s="695">
        <f t="shared" si="69"/>
        <v>14789762</v>
      </c>
      <c r="P267" s="695">
        <f t="shared" si="70"/>
        <v>-86065</v>
      </c>
      <c r="Q267" s="697">
        <f t="shared" si="71"/>
        <v>5.2409914477999997E-3</v>
      </c>
      <c r="R267" s="694">
        <f t="shared" si="72"/>
        <v>-3.0322074200000001E-5</v>
      </c>
      <c r="S267" s="693">
        <v>0</v>
      </c>
      <c r="T267" s="695">
        <f t="shared" si="73"/>
        <v>14789762</v>
      </c>
      <c r="U267" s="695">
        <f t="shared" si="74"/>
        <v>14789762</v>
      </c>
      <c r="V267" s="693">
        <f t="shared" si="75"/>
        <v>0</v>
      </c>
      <c r="W267" s="697"/>
      <c r="X267" s="698" t="s">
        <v>425</v>
      </c>
      <c r="Y267" s="678">
        <v>0</v>
      </c>
      <c r="Z267" s="678">
        <v>10242479</v>
      </c>
      <c r="AA267" s="678">
        <v>10242479</v>
      </c>
      <c r="AB267" s="699">
        <f t="shared" si="79"/>
        <v>1.4439631265048236</v>
      </c>
      <c r="AC267" s="700"/>
      <c r="AD267" s="701"/>
    </row>
    <row r="268" spans="1:30" s="639" customFormat="1" x14ac:dyDescent="0.25">
      <c r="A268" s="639">
        <v>262</v>
      </c>
      <c r="B268" s="639">
        <f>+'_DATA STT PAGOS_'!M268</f>
        <v>13105</v>
      </c>
      <c r="C268" s="639" t="str">
        <f>+'_DATA STT PAGOS_'!O268</f>
        <v>EL BOSQUE</v>
      </c>
      <c r="D268" s="693">
        <f>+'_DATA STT PAGOS_'!G268</f>
        <v>0</v>
      </c>
      <c r="E268" s="693">
        <f>+'_DATA STT PAGOS_'!J268</f>
        <v>25342223.909000002</v>
      </c>
      <c r="F268" s="694">
        <f>+COEF_FCM!AG270</f>
        <v>8.6819180847000008E-3</v>
      </c>
      <c r="G268" s="693">
        <f t="shared" si="64"/>
        <v>24642420</v>
      </c>
      <c r="H268" s="695">
        <f t="shared" si="76"/>
        <v>-699803.90900000185</v>
      </c>
      <c r="I268" s="641">
        <f t="shared" si="77"/>
        <v>-699804</v>
      </c>
      <c r="J268" s="696">
        <f t="shared" si="78"/>
        <v>0</v>
      </c>
      <c r="K268" s="693">
        <f t="shared" si="65"/>
        <v>0</v>
      </c>
      <c r="L268" s="695">
        <f t="shared" si="66"/>
        <v>0</v>
      </c>
      <c r="M268" s="693">
        <f t="shared" si="67"/>
        <v>0</v>
      </c>
      <c r="N268" s="693">
        <f t="shared" si="68"/>
        <v>25342224</v>
      </c>
      <c r="O268" s="695">
        <f t="shared" si="69"/>
        <v>25342224</v>
      </c>
      <c r="P268" s="695">
        <f t="shared" si="70"/>
        <v>699804</v>
      </c>
      <c r="Q268" s="697">
        <f t="shared" si="71"/>
        <v>8.6819180847000008E-3</v>
      </c>
      <c r="R268" s="694">
        <f t="shared" si="72"/>
        <v>2.4655212709999999E-4</v>
      </c>
      <c r="S268" s="693">
        <v>0</v>
      </c>
      <c r="T268" s="695">
        <f t="shared" si="73"/>
        <v>25342224</v>
      </c>
      <c r="U268" s="695">
        <f t="shared" si="74"/>
        <v>25342224</v>
      </c>
      <c r="V268" s="693">
        <f t="shared" si="75"/>
        <v>699804</v>
      </c>
      <c r="W268" s="697"/>
      <c r="X268" s="698" t="s">
        <v>297</v>
      </c>
      <c r="Y268" s="678">
        <v>0</v>
      </c>
      <c r="Z268" s="678">
        <v>19836263</v>
      </c>
      <c r="AA268" s="678">
        <v>19836263</v>
      </c>
      <c r="AB268" s="699">
        <f t="shared" si="79"/>
        <v>1.2775704778667232</v>
      </c>
      <c r="AC268" s="700"/>
      <c r="AD268" s="701"/>
    </row>
    <row r="269" spans="1:30" s="639" customFormat="1" x14ac:dyDescent="0.25">
      <c r="A269" s="639">
        <v>263</v>
      </c>
      <c r="B269" s="639">
        <f>+'_DATA STT PAGOS_'!M269</f>
        <v>13106</v>
      </c>
      <c r="C269" s="639" t="str">
        <f>+'_DATA STT PAGOS_'!O269</f>
        <v>ESTACIÓN CENTRAL</v>
      </c>
      <c r="D269" s="693">
        <f>+'_DATA STT PAGOS_'!G269</f>
        <v>0</v>
      </c>
      <c r="E269" s="693">
        <f>+'_DATA STT PAGOS_'!J269</f>
        <v>13714837.247000001</v>
      </c>
      <c r="F269" s="694">
        <f>+COEF_FCM!AG271</f>
        <v>5.5679945729999996E-3</v>
      </c>
      <c r="G269" s="693">
        <f t="shared" si="64"/>
        <v>15803980</v>
      </c>
      <c r="H269" s="695">
        <f t="shared" si="76"/>
        <v>2089142.7529999986</v>
      </c>
      <c r="I269" s="641">
        <f t="shared" si="77"/>
        <v>0</v>
      </c>
      <c r="J269" s="696">
        <f t="shared" si="78"/>
        <v>2089142.7529999986</v>
      </c>
      <c r="K269" s="693">
        <f t="shared" si="65"/>
        <v>1139080</v>
      </c>
      <c r="L269" s="695">
        <f t="shared" si="66"/>
        <v>950062.75299999863</v>
      </c>
      <c r="M269" s="693">
        <f t="shared" si="67"/>
        <v>14664900</v>
      </c>
      <c r="N269" s="693">
        <f t="shared" si="68"/>
        <v>0</v>
      </c>
      <c r="O269" s="695">
        <f t="shared" si="69"/>
        <v>14664900</v>
      </c>
      <c r="P269" s="695">
        <f t="shared" si="70"/>
        <v>-1139080</v>
      </c>
      <c r="Q269" s="697">
        <f t="shared" si="71"/>
        <v>5.5679945729999996E-3</v>
      </c>
      <c r="R269" s="694">
        <f t="shared" si="72"/>
        <v>-4.0131607840000001E-4</v>
      </c>
      <c r="S269" s="693">
        <v>0</v>
      </c>
      <c r="T269" s="695">
        <f t="shared" si="73"/>
        <v>14664900</v>
      </c>
      <c r="U269" s="695">
        <f t="shared" si="74"/>
        <v>14664900</v>
      </c>
      <c r="V269" s="693">
        <f t="shared" si="75"/>
        <v>0</v>
      </c>
      <c r="W269" s="697"/>
      <c r="X269" s="698" t="s">
        <v>426</v>
      </c>
      <c r="Y269" s="678">
        <v>0</v>
      </c>
      <c r="Z269" s="678">
        <v>6958712</v>
      </c>
      <c r="AA269" s="678">
        <v>6958712</v>
      </c>
      <c r="AB269" s="699">
        <f t="shared" si="79"/>
        <v>2.107415855118016</v>
      </c>
      <c r="AC269" s="700"/>
      <c r="AD269" s="701"/>
    </row>
    <row r="270" spans="1:30" s="639" customFormat="1" x14ac:dyDescent="0.25">
      <c r="A270" s="639">
        <v>264</v>
      </c>
      <c r="B270" s="639">
        <f>+'_DATA STT PAGOS_'!M270</f>
        <v>13107</v>
      </c>
      <c r="C270" s="639" t="str">
        <f>+'_DATA STT PAGOS_'!O270</f>
        <v>HUECHURABA</v>
      </c>
      <c r="D270" s="693">
        <f>+'_DATA STT PAGOS_'!G270</f>
        <v>0</v>
      </c>
      <c r="E270" s="693">
        <f>+'_DATA STT PAGOS_'!J270</f>
        <v>4197555.1500000004</v>
      </c>
      <c r="F270" s="694">
        <f>+COEF_FCM!AG272</f>
        <v>1.4619562086999999E-3</v>
      </c>
      <c r="G270" s="693">
        <f t="shared" si="64"/>
        <v>4149560</v>
      </c>
      <c r="H270" s="695">
        <f t="shared" si="76"/>
        <v>-47995.150000000373</v>
      </c>
      <c r="I270" s="641">
        <f t="shared" si="77"/>
        <v>-47995</v>
      </c>
      <c r="J270" s="696">
        <f t="shared" si="78"/>
        <v>0</v>
      </c>
      <c r="K270" s="693">
        <f t="shared" si="65"/>
        <v>0</v>
      </c>
      <c r="L270" s="695">
        <f t="shared" si="66"/>
        <v>0</v>
      </c>
      <c r="M270" s="693">
        <f t="shared" si="67"/>
        <v>0</v>
      </c>
      <c r="N270" s="693">
        <f t="shared" si="68"/>
        <v>4197555</v>
      </c>
      <c r="O270" s="695">
        <f t="shared" si="69"/>
        <v>4197555</v>
      </c>
      <c r="P270" s="695">
        <f t="shared" si="70"/>
        <v>47995</v>
      </c>
      <c r="Q270" s="697">
        <f t="shared" si="71"/>
        <v>1.4619562086999999E-3</v>
      </c>
      <c r="R270" s="694">
        <f t="shared" si="72"/>
        <v>1.69094051E-5</v>
      </c>
      <c r="S270" s="693">
        <v>0</v>
      </c>
      <c r="T270" s="695">
        <f t="shared" si="73"/>
        <v>4197555</v>
      </c>
      <c r="U270" s="695">
        <f t="shared" si="74"/>
        <v>4197555</v>
      </c>
      <c r="V270" s="693">
        <f t="shared" si="75"/>
        <v>47995</v>
      </c>
      <c r="W270" s="697"/>
      <c r="X270" s="698" t="s">
        <v>291</v>
      </c>
      <c r="Y270" s="678">
        <v>0</v>
      </c>
      <c r="Z270" s="678">
        <v>3289485</v>
      </c>
      <c r="AA270" s="678">
        <v>3289485</v>
      </c>
      <c r="AB270" s="699">
        <f t="shared" si="79"/>
        <v>1.2760523303799836</v>
      </c>
      <c r="AC270" s="700"/>
      <c r="AD270" s="701"/>
    </row>
    <row r="271" spans="1:30" s="639" customFormat="1" x14ac:dyDescent="0.25">
      <c r="A271" s="639">
        <v>265</v>
      </c>
      <c r="B271" s="639">
        <f>+'_DATA STT PAGOS_'!M271</f>
        <v>13108</v>
      </c>
      <c r="C271" s="639" t="str">
        <f>+'_DATA STT PAGOS_'!O271</f>
        <v>INDEPENDENCIA</v>
      </c>
      <c r="D271" s="693">
        <f>+'_DATA STT PAGOS_'!G271</f>
        <v>0</v>
      </c>
      <c r="E271" s="693">
        <f>+'_DATA STT PAGOS_'!J271</f>
        <v>11586805.478999998</v>
      </c>
      <c r="F271" s="694">
        <f>+COEF_FCM!AG273</f>
        <v>4.5409776342000005E-3</v>
      </c>
      <c r="G271" s="693">
        <f t="shared" si="64"/>
        <v>12888935</v>
      </c>
      <c r="H271" s="695">
        <f t="shared" si="76"/>
        <v>1302129.5210000016</v>
      </c>
      <c r="I271" s="641">
        <f t="shared" si="77"/>
        <v>0</v>
      </c>
      <c r="J271" s="696">
        <f t="shared" si="78"/>
        <v>1302129.5210000016</v>
      </c>
      <c r="K271" s="693">
        <f t="shared" si="65"/>
        <v>709970</v>
      </c>
      <c r="L271" s="695">
        <f t="shared" si="66"/>
        <v>592159.52100000158</v>
      </c>
      <c r="M271" s="693">
        <f t="shared" si="67"/>
        <v>12178965</v>
      </c>
      <c r="N271" s="693">
        <f t="shared" si="68"/>
        <v>0</v>
      </c>
      <c r="O271" s="695">
        <f t="shared" si="69"/>
        <v>12178965</v>
      </c>
      <c r="P271" s="695">
        <f t="shared" si="70"/>
        <v>-709970</v>
      </c>
      <c r="Q271" s="697">
        <f t="shared" si="71"/>
        <v>4.5409776342000005E-3</v>
      </c>
      <c r="R271" s="694">
        <f t="shared" si="72"/>
        <v>-2.5013377129999998E-4</v>
      </c>
      <c r="S271" s="693">
        <v>0</v>
      </c>
      <c r="T271" s="695">
        <f t="shared" si="73"/>
        <v>12178965</v>
      </c>
      <c r="U271" s="695">
        <f t="shared" si="74"/>
        <v>12178965</v>
      </c>
      <c r="V271" s="693">
        <f t="shared" si="75"/>
        <v>0</v>
      </c>
      <c r="W271" s="697"/>
      <c r="X271" s="698" t="s">
        <v>299</v>
      </c>
      <c r="Y271" s="678">
        <v>0</v>
      </c>
      <c r="Z271" s="678">
        <v>6088101</v>
      </c>
      <c r="AA271" s="678">
        <v>6088101</v>
      </c>
      <c r="AB271" s="699">
        <f t="shared" si="79"/>
        <v>2.0004538360976598</v>
      </c>
      <c r="AC271" s="700"/>
      <c r="AD271" s="701"/>
    </row>
    <row r="272" spans="1:30" s="639" customFormat="1" x14ac:dyDescent="0.25">
      <c r="A272" s="639">
        <v>266</v>
      </c>
      <c r="B272" s="639">
        <f>+'_DATA STT PAGOS_'!M272</f>
        <v>13109</v>
      </c>
      <c r="C272" s="639" t="str">
        <f>+'_DATA STT PAGOS_'!O272</f>
        <v>LA CISTERNA</v>
      </c>
      <c r="D272" s="693">
        <f>+'_DATA STT PAGOS_'!G272</f>
        <v>0</v>
      </c>
      <c r="E272" s="693">
        <f>+'_DATA STT PAGOS_'!J272</f>
        <v>7142695.5499999989</v>
      </c>
      <c r="F272" s="694">
        <f>+COEF_FCM!AG274</f>
        <v>2.828941381E-3</v>
      </c>
      <c r="G272" s="693">
        <f t="shared" si="64"/>
        <v>8029558</v>
      </c>
      <c r="H272" s="695">
        <f t="shared" si="76"/>
        <v>886862.45000000112</v>
      </c>
      <c r="I272" s="641">
        <f t="shared" si="77"/>
        <v>0</v>
      </c>
      <c r="J272" s="696">
        <f t="shared" si="78"/>
        <v>886862.45000000112</v>
      </c>
      <c r="K272" s="693">
        <f t="shared" si="65"/>
        <v>483551</v>
      </c>
      <c r="L272" s="695">
        <f t="shared" si="66"/>
        <v>403311.45000000112</v>
      </c>
      <c r="M272" s="693">
        <f t="shared" si="67"/>
        <v>7546007</v>
      </c>
      <c r="N272" s="693">
        <f t="shared" si="68"/>
        <v>0</v>
      </c>
      <c r="O272" s="695">
        <f t="shared" si="69"/>
        <v>7546007</v>
      </c>
      <c r="P272" s="695">
        <f t="shared" si="70"/>
        <v>-483551</v>
      </c>
      <c r="Q272" s="697">
        <f t="shared" si="71"/>
        <v>2.828941381E-3</v>
      </c>
      <c r="R272" s="694">
        <f t="shared" si="72"/>
        <v>-1.7036274100000001E-4</v>
      </c>
      <c r="S272" s="693">
        <v>0</v>
      </c>
      <c r="T272" s="695">
        <f t="shared" si="73"/>
        <v>7546007</v>
      </c>
      <c r="U272" s="695">
        <f t="shared" si="74"/>
        <v>7546007</v>
      </c>
      <c r="V272" s="693">
        <f t="shared" si="75"/>
        <v>0</v>
      </c>
      <c r="W272" s="697"/>
      <c r="X272" s="698" t="s">
        <v>280</v>
      </c>
      <c r="Y272" s="678">
        <v>0</v>
      </c>
      <c r="Z272" s="678">
        <v>4318573</v>
      </c>
      <c r="AA272" s="678">
        <v>4318573</v>
      </c>
      <c r="AB272" s="699">
        <f t="shared" si="79"/>
        <v>1.7473380674588574</v>
      </c>
      <c r="AC272" s="700"/>
      <c r="AD272" s="701"/>
    </row>
    <row r="273" spans="1:30" s="639" customFormat="1" x14ac:dyDescent="0.25">
      <c r="A273" s="639">
        <v>267</v>
      </c>
      <c r="B273" s="639">
        <f>+'_DATA STT PAGOS_'!M273</f>
        <v>13110</v>
      </c>
      <c r="C273" s="639" t="str">
        <f>+'_DATA STT PAGOS_'!O273</f>
        <v>LA FLORIDA</v>
      </c>
      <c r="D273" s="693">
        <f>+'_DATA STT PAGOS_'!G273</f>
        <v>0</v>
      </c>
      <c r="E273" s="693">
        <f>+'_DATA STT PAGOS_'!J273</f>
        <v>39646198.162</v>
      </c>
      <c r="F273" s="694">
        <f>+COEF_FCM!AG275</f>
        <v>5.1752227164000002E-3</v>
      </c>
      <c r="G273" s="693">
        <f t="shared" si="64"/>
        <v>14689152</v>
      </c>
      <c r="H273" s="695">
        <f t="shared" si="76"/>
        <v>-24957046.162</v>
      </c>
      <c r="I273" s="641">
        <f t="shared" si="77"/>
        <v>-24957046</v>
      </c>
      <c r="J273" s="696">
        <f t="shared" si="78"/>
        <v>0</v>
      </c>
      <c r="K273" s="693">
        <f t="shared" si="65"/>
        <v>0</v>
      </c>
      <c r="L273" s="695">
        <f t="shared" si="66"/>
        <v>0</v>
      </c>
      <c r="M273" s="693">
        <f t="shared" si="67"/>
        <v>0</v>
      </c>
      <c r="N273" s="693">
        <f t="shared" si="68"/>
        <v>39646198</v>
      </c>
      <c r="O273" s="695">
        <f t="shared" si="69"/>
        <v>39646198</v>
      </c>
      <c r="P273" s="695">
        <f t="shared" si="70"/>
        <v>24957046</v>
      </c>
      <c r="Q273" s="697">
        <f t="shared" si="71"/>
        <v>5.1752227164000002E-3</v>
      </c>
      <c r="R273" s="694">
        <f t="shared" si="72"/>
        <v>8.7927659426000008E-3</v>
      </c>
      <c r="S273" s="693">
        <v>0</v>
      </c>
      <c r="T273" s="695">
        <f t="shared" si="73"/>
        <v>39646198</v>
      </c>
      <c r="U273" s="695">
        <f t="shared" si="74"/>
        <v>39646198</v>
      </c>
      <c r="V273" s="693">
        <f t="shared" si="75"/>
        <v>24957046</v>
      </c>
      <c r="W273" s="697"/>
      <c r="X273" s="698" t="s">
        <v>284</v>
      </c>
      <c r="Y273" s="678">
        <v>0</v>
      </c>
      <c r="Z273" s="678">
        <v>31069412</v>
      </c>
      <c r="AA273" s="678">
        <v>31069412</v>
      </c>
      <c r="AB273" s="699">
        <f t="shared" si="79"/>
        <v>1.2760524080726086</v>
      </c>
      <c r="AC273" s="700"/>
      <c r="AD273" s="701"/>
    </row>
    <row r="274" spans="1:30" s="639" customFormat="1" x14ac:dyDescent="0.25">
      <c r="A274" s="639">
        <v>268</v>
      </c>
      <c r="B274" s="639">
        <f>+'_DATA STT PAGOS_'!M274</f>
        <v>13111</v>
      </c>
      <c r="C274" s="639" t="str">
        <f>+'_DATA STT PAGOS_'!O274</f>
        <v>LA GRANJA</v>
      </c>
      <c r="D274" s="693">
        <f>+'_DATA STT PAGOS_'!G274</f>
        <v>0</v>
      </c>
      <c r="E274" s="693">
        <f>+'_DATA STT PAGOS_'!J274</f>
        <v>18578756.351999998</v>
      </c>
      <c r="F274" s="694">
        <f>+COEF_FCM!AG276</f>
        <v>6.2003696313000008E-3</v>
      </c>
      <c r="G274" s="693">
        <f t="shared" si="64"/>
        <v>17598889</v>
      </c>
      <c r="H274" s="695">
        <f t="shared" si="76"/>
        <v>-979867.35199999809</v>
      </c>
      <c r="I274" s="641">
        <f t="shared" si="77"/>
        <v>-979867</v>
      </c>
      <c r="J274" s="696">
        <f t="shared" si="78"/>
        <v>0</v>
      </c>
      <c r="K274" s="693">
        <f t="shared" si="65"/>
        <v>0</v>
      </c>
      <c r="L274" s="695">
        <f t="shared" si="66"/>
        <v>0</v>
      </c>
      <c r="M274" s="693">
        <f t="shared" si="67"/>
        <v>0</v>
      </c>
      <c r="N274" s="693">
        <f t="shared" si="68"/>
        <v>18578756</v>
      </c>
      <c r="O274" s="695">
        <f t="shared" si="69"/>
        <v>18578756</v>
      </c>
      <c r="P274" s="695">
        <f t="shared" si="70"/>
        <v>979867</v>
      </c>
      <c r="Q274" s="697">
        <f t="shared" si="71"/>
        <v>6.2003696313000008E-3</v>
      </c>
      <c r="R274" s="694">
        <f t="shared" si="72"/>
        <v>3.452227954E-4</v>
      </c>
      <c r="S274" s="693">
        <v>0</v>
      </c>
      <c r="T274" s="695">
        <f t="shared" si="73"/>
        <v>18578756</v>
      </c>
      <c r="U274" s="695">
        <f t="shared" si="74"/>
        <v>18578756</v>
      </c>
      <c r="V274" s="693">
        <f t="shared" si="75"/>
        <v>979867</v>
      </c>
      <c r="W274" s="697"/>
      <c r="X274" s="698" t="s">
        <v>285</v>
      </c>
      <c r="Y274" s="678">
        <v>0</v>
      </c>
      <c r="Z274" s="678">
        <v>14190916</v>
      </c>
      <c r="AA274" s="678">
        <v>14190916</v>
      </c>
      <c r="AB274" s="699">
        <f t="shared" si="79"/>
        <v>1.3092006181982896</v>
      </c>
      <c r="AC274" s="700"/>
      <c r="AD274" s="701"/>
    </row>
    <row r="275" spans="1:30" s="639" customFormat="1" x14ac:dyDescent="0.25">
      <c r="A275" s="639">
        <v>269</v>
      </c>
      <c r="B275" s="639">
        <f>+'_DATA STT PAGOS_'!M275</f>
        <v>13112</v>
      </c>
      <c r="C275" s="639" t="str">
        <f>+'_DATA STT PAGOS_'!O275</f>
        <v>LA PINTANA</v>
      </c>
      <c r="D275" s="693">
        <f>+'_DATA STT PAGOS_'!G275</f>
        <v>0</v>
      </c>
      <c r="E275" s="693">
        <f>+'_DATA STT PAGOS_'!J275</f>
        <v>31691927.199999996</v>
      </c>
      <c r="F275" s="694">
        <f>+COEF_FCM!AG277</f>
        <v>1.07406571199E-2</v>
      </c>
      <c r="G275" s="693">
        <f t="shared" si="64"/>
        <v>30485865</v>
      </c>
      <c r="H275" s="695">
        <f t="shared" si="76"/>
        <v>-1206062.1999999955</v>
      </c>
      <c r="I275" s="641">
        <f t="shared" si="77"/>
        <v>-1206062</v>
      </c>
      <c r="J275" s="696">
        <f t="shared" si="78"/>
        <v>0</v>
      </c>
      <c r="K275" s="693">
        <f t="shared" si="65"/>
        <v>0</v>
      </c>
      <c r="L275" s="695">
        <f t="shared" si="66"/>
        <v>0</v>
      </c>
      <c r="M275" s="693">
        <f t="shared" si="67"/>
        <v>0</v>
      </c>
      <c r="N275" s="693">
        <f t="shared" si="68"/>
        <v>31691927</v>
      </c>
      <c r="O275" s="695">
        <f t="shared" si="69"/>
        <v>31691927</v>
      </c>
      <c r="P275" s="695">
        <f t="shared" si="70"/>
        <v>1206062</v>
      </c>
      <c r="Q275" s="697">
        <f t="shared" si="71"/>
        <v>1.07406571199E-2</v>
      </c>
      <c r="R275" s="694">
        <f t="shared" si="72"/>
        <v>4.2491490690000001E-4</v>
      </c>
      <c r="S275" s="693">
        <v>0</v>
      </c>
      <c r="T275" s="695">
        <f t="shared" si="73"/>
        <v>31691927</v>
      </c>
      <c r="U275" s="695">
        <f t="shared" si="74"/>
        <v>31691927</v>
      </c>
      <c r="V275" s="693">
        <f t="shared" si="75"/>
        <v>1206062</v>
      </c>
      <c r="W275" s="697"/>
      <c r="X275" s="698" t="s">
        <v>288</v>
      </c>
      <c r="Y275" s="678">
        <v>0</v>
      </c>
      <c r="Z275" s="678">
        <v>24393195</v>
      </c>
      <c r="AA275" s="678">
        <v>24393195</v>
      </c>
      <c r="AB275" s="699">
        <f t="shared" si="79"/>
        <v>1.299211808867186</v>
      </c>
      <c r="AC275" s="700"/>
      <c r="AD275" s="701"/>
    </row>
    <row r="276" spans="1:30" s="639" customFormat="1" x14ac:dyDescent="0.25">
      <c r="A276" s="639">
        <v>270</v>
      </c>
      <c r="B276" s="639">
        <f>+'_DATA STT PAGOS_'!M276</f>
        <v>13113</v>
      </c>
      <c r="C276" s="639" t="str">
        <f>+'_DATA STT PAGOS_'!O276</f>
        <v>LA REINA</v>
      </c>
      <c r="D276" s="693">
        <f>+'_DATA STT PAGOS_'!G276</f>
        <v>0</v>
      </c>
      <c r="E276" s="693">
        <f>+'_DATA STT PAGOS_'!J276</f>
        <v>2662656.0830000001</v>
      </c>
      <c r="F276" s="694">
        <f>+COEF_FCM!AG278</f>
        <v>9.6982910549999997E-4</v>
      </c>
      <c r="G276" s="693">
        <f t="shared" si="64"/>
        <v>2752725</v>
      </c>
      <c r="H276" s="695">
        <f t="shared" si="76"/>
        <v>90068.916999999899</v>
      </c>
      <c r="I276" s="641">
        <f t="shared" si="77"/>
        <v>0</v>
      </c>
      <c r="J276" s="696">
        <f t="shared" si="78"/>
        <v>90068.916999999899</v>
      </c>
      <c r="K276" s="693">
        <f t="shared" si="65"/>
        <v>49109</v>
      </c>
      <c r="L276" s="695">
        <f t="shared" si="66"/>
        <v>40959.916999999899</v>
      </c>
      <c r="M276" s="693">
        <f t="shared" si="67"/>
        <v>2703616</v>
      </c>
      <c r="N276" s="693">
        <f t="shared" si="68"/>
        <v>0</v>
      </c>
      <c r="O276" s="695">
        <f t="shared" si="69"/>
        <v>2703616</v>
      </c>
      <c r="P276" s="695">
        <f t="shared" si="70"/>
        <v>-49109</v>
      </c>
      <c r="Q276" s="697">
        <f t="shared" si="71"/>
        <v>9.6982910549999997E-4</v>
      </c>
      <c r="R276" s="694">
        <f t="shared" si="72"/>
        <v>-1.7301885099999998E-5</v>
      </c>
      <c r="S276" s="693">
        <v>0</v>
      </c>
      <c r="T276" s="695">
        <f t="shared" si="73"/>
        <v>2703616</v>
      </c>
      <c r="U276" s="695">
        <f t="shared" si="74"/>
        <v>2703616</v>
      </c>
      <c r="V276" s="693">
        <f t="shared" si="75"/>
        <v>0</v>
      </c>
      <c r="W276" s="697"/>
      <c r="X276" s="698" t="s">
        <v>286</v>
      </c>
      <c r="Y276" s="678">
        <v>0</v>
      </c>
      <c r="Z276" s="678">
        <v>1815687</v>
      </c>
      <c r="AA276" s="678">
        <v>1815687</v>
      </c>
      <c r="AB276" s="699">
        <f t="shared" si="79"/>
        <v>1.4890319752248047</v>
      </c>
      <c r="AC276" s="700"/>
      <c r="AD276" s="701"/>
    </row>
    <row r="277" spans="1:30" s="639" customFormat="1" x14ac:dyDescent="0.25">
      <c r="A277" s="639">
        <v>271</v>
      </c>
      <c r="B277" s="639">
        <f>+'_DATA STT PAGOS_'!M277</f>
        <v>13114</v>
      </c>
      <c r="C277" s="639" t="str">
        <f>+'_DATA STT PAGOS_'!O277</f>
        <v>LAS CONDES</v>
      </c>
      <c r="D277" s="693">
        <f>+'_DATA STT PAGOS_'!G277</f>
        <v>0</v>
      </c>
      <c r="E277" s="693">
        <f>+'_DATA STT PAGOS_'!J277</f>
        <v>5333098.5159999998</v>
      </c>
      <c r="F277" s="694">
        <f>+COEF_FCM!AG279</f>
        <v>1.0351035371E-3</v>
      </c>
      <c r="G277" s="693">
        <f t="shared" si="64"/>
        <v>2937998</v>
      </c>
      <c r="H277" s="695">
        <f t="shared" si="76"/>
        <v>-2395100.5159999998</v>
      </c>
      <c r="I277" s="641">
        <f t="shared" si="77"/>
        <v>-2395101</v>
      </c>
      <c r="J277" s="696">
        <f t="shared" si="78"/>
        <v>0</v>
      </c>
      <c r="K277" s="693">
        <f t="shared" si="65"/>
        <v>0</v>
      </c>
      <c r="L277" s="695">
        <f t="shared" si="66"/>
        <v>0</v>
      </c>
      <c r="M277" s="693">
        <f t="shared" si="67"/>
        <v>0</v>
      </c>
      <c r="N277" s="693">
        <f t="shared" si="68"/>
        <v>5333099</v>
      </c>
      <c r="O277" s="695">
        <f t="shared" si="69"/>
        <v>5333099</v>
      </c>
      <c r="P277" s="695">
        <f t="shared" si="70"/>
        <v>2395101</v>
      </c>
      <c r="Q277" s="697">
        <f t="shared" si="71"/>
        <v>1.0351035371E-3</v>
      </c>
      <c r="R277" s="694">
        <f t="shared" si="72"/>
        <v>8.4383233910000001E-4</v>
      </c>
      <c r="S277" s="693">
        <v>0</v>
      </c>
      <c r="T277" s="695">
        <f t="shared" si="73"/>
        <v>5333099</v>
      </c>
      <c r="U277" s="695">
        <f t="shared" si="74"/>
        <v>5333099</v>
      </c>
      <c r="V277" s="693">
        <f t="shared" si="75"/>
        <v>2395101</v>
      </c>
      <c r="W277" s="697"/>
      <c r="X277" s="698" t="s">
        <v>279</v>
      </c>
      <c r="Y277" s="678">
        <v>0</v>
      </c>
      <c r="Z277" s="678">
        <v>4179372</v>
      </c>
      <c r="AA277" s="678">
        <v>4179372</v>
      </c>
      <c r="AB277" s="699">
        <f t="shared" si="79"/>
        <v>1.276052717968154</v>
      </c>
      <c r="AC277" s="700"/>
      <c r="AD277" s="701"/>
    </row>
    <row r="278" spans="1:30" s="639" customFormat="1" x14ac:dyDescent="0.25">
      <c r="A278" s="639">
        <v>272</v>
      </c>
      <c r="B278" s="639">
        <f>+'_DATA STT PAGOS_'!M278</f>
        <v>13115</v>
      </c>
      <c r="C278" s="639" t="str">
        <f>+'_DATA STT PAGOS_'!O278</f>
        <v>LO BARNECHEA</v>
      </c>
      <c r="D278" s="693">
        <f>+'_DATA STT PAGOS_'!G278</f>
        <v>0</v>
      </c>
      <c r="E278" s="693">
        <f>+'_DATA STT PAGOS_'!J278</f>
        <v>2729398.2970000003</v>
      </c>
      <c r="F278" s="694">
        <f>+COEF_FCM!AG280</f>
        <v>8.5706227579999993E-4</v>
      </c>
      <c r="G278" s="693">
        <f t="shared" si="64"/>
        <v>2432652</v>
      </c>
      <c r="H278" s="695">
        <f t="shared" si="76"/>
        <v>-296746.29700000025</v>
      </c>
      <c r="I278" s="641">
        <f t="shared" si="77"/>
        <v>-296746</v>
      </c>
      <c r="J278" s="696">
        <f t="shared" si="78"/>
        <v>0</v>
      </c>
      <c r="K278" s="693">
        <f t="shared" si="65"/>
        <v>0</v>
      </c>
      <c r="L278" s="695">
        <f t="shared" si="66"/>
        <v>0</v>
      </c>
      <c r="M278" s="693">
        <f t="shared" si="67"/>
        <v>0</v>
      </c>
      <c r="N278" s="693">
        <f t="shared" si="68"/>
        <v>2729398</v>
      </c>
      <c r="O278" s="695">
        <f t="shared" si="69"/>
        <v>2729398</v>
      </c>
      <c r="P278" s="695">
        <f t="shared" si="70"/>
        <v>296746</v>
      </c>
      <c r="Q278" s="697">
        <f t="shared" si="71"/>
        <v>8.5706227579999993E-4</v>
      </c>
      <c r="R278" s="694">
        <f t="shared" si="72"/>
        <v>1.045483557E-4</v>
      </c>
      <c r="S278" s="693">
        <v>0</v>
      </c>
      <c r="T278" s="695">
        <f t="shared" si="73"/>
        <v>2729398</v>
      </c>
      <c r="U278" s="695">
        <f t="shared" si="74"/>
        <v>2729398</v>
      </c>
      <c r="V278" s="693">
        <f t="shared" si="75"/>
        <v>296746</v>
      </c>
      <c r="W278" s="697"/>
      <c r="X278" s="698" t="s">
        <v>294</v>
      </c>
      <c r="Y278" s="678">
        <v>0</v>
      </c>
      <c r="Z278" s="678">
        <v>1944421</v>
      </c>
      <c r="AA278" s="678">
        <v>1944421</v>
      </c>
      <c r="AB278" s="699">
        <f t="shared" si="79"/>
        <v>1.4037073246997436</v>
      </c>
      <c r="AC278" s="700"/>
      <c r="AD278" s="701"/>
    </row>
    <row r="279" spans="1:30" s="639" customFormat="1" x14ac:dyDescent="0.25">
      <c r="A279" s="639">
        <v>273</v>
      </c>
      <c r="B279" s="639">
        <f>+'_DATA STT PAGOS_'!M279</f>
        <v>13116</v>
      </c>
      <c r="C279" s="639" t="str">
        <f>+'_DATA STT PAGOS_'!O279</f>
        <v>LO ESPEJO</v>
      </c>
      <c r="D279" s="693">
        <f>+'_DATA STT PAGOS_'!G279</f>
        <v>0</v>
      </c>
      <c r="E279" s="693">
        <f>+'_DATA STT PAGOS_'!J279</f>
        <v>15378861.824000001</v>
      </c>
      <c r="F279" s="694">
        <f>+COEF_FCM!AG281</f>
        <v>5.4402377590000005E-3</v>
      </c>
      <c r="G279" s="693">
        <f t="shared" si="64"/>
        <v>15441360</v>
      </c>
      <c r="H279" s="695">
        <f t="shared" si="76"/>
        <v>62498.175999999046</v>
      </c>
      <c r="I279" s="641">
        <f t="shared" si="77"/>
        <v>0</v>
      </c>
      <c r="J279" s="696">
        <f t="shared" si="78"/>
        <v>62498.175999999046</v>
      </c>
      <c r="K279" s="693">
        <f t="shared" si="65"/>
        <v>34076</v>
      </c>
      <c r="L279" s="695">
        <f t="shared" si="66"/>
        <v>28422.175999999046</v>
      </c>
      <c r="M279" s="693">
        <f t="shared" si="67"/>
        <v>15407284</v>
      </c>
      <c r="N279" s="693">
        <f t="shared" si="68"/>
        <v>0</v>
      </c>
      <c r="O279" s="695">
        <f t="shared" si="69"/>
        <v>15407284</v>
      </c>
      <c r="P279" s="695">
        <f t="shared" si="70"/>
        <v>-34076</v>
      </c>
      <c r="Q279" s="697">
        <f t="shared" si="71"/>
        <v>5.4402377590000005E-3</v>
      </c>
      <c r="R279" s="694">
        <f t="shared" si="72"/>
        <v>-1.2005519100000001E-5</v>
      </c>
      <c r="S279" s="693">
        <v>0</v>
      </c>
      <c r="T279" s="695">
        <f t="shared" si="73"/>
        <v>15407284</v>
      </c>
      <c r="U279" s="695">
        <f t="shared" si="74"/>
        <v>15407284</v>
      </c>
      <c r="V279" s="693">
        <f t="shared" si="75"/>
        <v>0</v>
      </c>
      <c r="W279" s="697"/>
      <c r="X279" s="698" t="s">
        <v>296</v>
      </c>
      <c r="Y279" s="678">
        <v>0</v>
      </c>
      <c r="Z279" s="678">
        <v>11730256</v>
      </c>
      <c r="AA279" s="678">
        <v>11730256</v>
      </c>
      <c r="AB279" s="699">
        <f t="shared" si="79"/>
        <v>1.3134652815761225</v>
      </c>
      <c r="AC279" s="700"/>
      <c r="AD279" s="701"/>
    </row>
    <row r="280" spans="1:30" s="639" customFormat="1" x14ac:dyDescent="0.25">
      <c r="A280" s="639">
        <v>274</v>
      </c>
      <c r="B280" s="639">
        <f>+'_DATA STT PAGOS_'!M280</f>
        <v>13117</v>
      </c>
      <c r="C280" s="639" t="str">
        <f>+'_DATA STT PAGOS_'!O280</f>
        <v>LO PRADO</v>
      </c>
      <c r="D280" s="693">
        <f>+'_DATA STT PAGOS_'!G280</f>
        <v>0</v>
      </c>
      <c r="E280" s="693">
        <f>+'_DATA STT PAGOS_'!J280</f>
        <v>16804880.283</v>
      </c>
      <c r="F280" s="694">
        <f>+COEF_FCM!AG282</f>
        <v>5.6278162098000002E-3</v>
      </c>
      <c r="G280" s="693">
        <f t="shared" si="64"/>
        <v>15973775</v>
      </c>
      <c r="H280" s="695">
        <f t="shared" si="76"/>
        <v>-831105.28299999982</v>
      </c>
      <c r="I280" s="641">
        <f t="shared" si="77"/>
        <v>-831105</v>
      </c>
      <c r="J280" s="696">
        <f t="shared" si="78"/>
        <v>0</v>
      </c>
      <c r="K280" s="693">
        <f t="shared" si="65"/>
        <v>0</v>
      </c>
      <c r="L280" s="695">
        <f t="shared" si="66"/>
        <v>0</v>
      </c>
      <c r="M280" s="693">
        <f t="shared" si="67"/>
        <v>0</v>
      </c>
      <c r="N280" s="693">
        <f t="shared" si="68"/>
        <v>16804880</v>
      </c>
      <c r="O280" s="695">
        <f t="shared" si="69"/>
        <v>16804880</v>
      </c>
      <c r="P280" s="695">
        <f t="shared" si="70"/>
        <v>831105</v>
      </c>
      <c r="Q280" s="697">
        <f t="shared" si="71"/>
        <v>5.6278162098000002E-3</v>
      </c>
      <c r="R280" s="694">
        <f t="shared" si="72"/>
        <v>2.928115667E-4</v>
      </c>
      <c r="S280" s="693">
        <v>0</v>
      </c>
      <c r="T280" s="695">
        <f t="shared" si="73"/>
        <v>16804880</v>
      </c>
      <c r="U280" s="695">
        <f t="shared" si="74"/>
        <v>16804880</v>
      </c>
      <c r="V280" s="693">
        <f t="shared" si="75"/>
        <v>831105</v>
      </c>
      <c r="W280" s="697"/>
      <c r="X280" s="698" t="s">
        <v>289</v>
      </c>
      <c r="Y280" s="678">
        <v>0</v>
      </c>
      <c r="Z280" s="678">
        <v>11597057</v>
      </c>
      <c r="AA280" s="678">
        <v>11597057</v>
      </c>
      <c r="AB280" s="699">
        <f t="shared" si="79"/>
        <v>1.44906418930251</v>
      </c>
      <c r="AC280" s="700"/>
      <c r="AD280" s="701"/>
    </row>
    <row r="281" spans="1:30" s="639" customFormat="1" x14ac:dyDescent="0.25">
      <c r="A281" s="639">
        <v>275</v>
      </c>
      <c r="B281" s="639">
        <f>+'_DATA STT PAGOS_'!M281</f>
        <v>13118</v>
      </c>
      <c r="C281" s="639" t="str">
        <f>+'_DATA STT PAGOS_'!O281</f>
        <v>MACUL</v>
      </c>
      <c r="D281" s="693">
        <f>+'_DATA STT PAGOS_'!G281</f>
        <v>0</v>
      </c>
      <c r="E281" s="693">
        <f>+'_DATA STT PAGOS_'!J281</f>
        <v>5965511.3470000001</v>
      </c>
      <c r="F281" s="694">
        <f>+COEF_FCM!AG283</f>
        <v>2.2530258258999999E-3</v>
      </c>
      <c r="G281" s="693">
        <f t="shared" si="64"/>
        <v>6394901</v>
      </c>
      <c r="H281" s="695">
        <f t="shared" si="76"/>
        <v>429389.65299999993</v>
      </c>
      <c r="I281" s="641">
        <f t="shared" si="77"/>
        <v>0</v>
      </c>
      <c r="J281" s="696">
        <f t="shared" si="78"/>
        <v>429389.65299999993</v>
      </c>
      <c r="K281" s="693">
        <f t="shared" si="65"/>
        <v>234120</v>
      </c>
      <c r="L281" s="695">
        <f t="shared" si="66"/>
        <v>195269.65299999993</v>
      </c>
      <c r="M281" s="693">
        <f t="shared" si="67"/>
        <v>6160781</v>
      </c>
      <c r="N281" s="693">
        <f t="shared" si="68"/>
        <v>0</v>
      </c>
      <c r="O281" s="695">
        <f t="shared" si="69"/>
        <v>6160781</v>
      </c>
      <c r="P281" s="695">
        <f t="shared" si="70"/>
        <v>-234120</v>
      </c>
      <c r="Q281" s="697">
        <f t="shared" si="71"/>
        <v>2.2530258258999999E-3</v>
      </c>
      <c r="R281" s="694">
        <f t="shared" si="72"/>
        <v>-8.2484215600000003E-5</v>
      </c>
      <c r="S281" s="693">
        <v>0</v>
      </c>
      <c r="T281" s="695">
        <f t="shared" si="73"/>
        <v>6160781</v>
      </c>
      <c r="U281" s="695">
        <f t="shared" si="74"/>
        <v>6160781</v>
      </c>
      <c r="V281" s="693">
        <f t="shared" si="75"/>
        <v>0</v>
      </c>
      <c r="W281" s="697"/>
      <c r="X281" s="698" t="s">
        <v>287</v>
      </c>
      <c r="Y281" s="678">
        <v>0</v>
      </c>
      <c r="Z281" s="678">
        <v>4304777</v>
      </c>
      <c r="AA281" s="678">
        <v>4304777</v>
      </c>
      <c r="AB281" s="699">
        <f t="shared" si="79"/>
        <v>1.4311498597952925</v>
      </c>
      <c r="AC281" s="700"/>
      <c r="AD281" s="701"/>
    </row>
    <row r="282" spans="1:30" s="639" customFormat="1" x14ac:dyDescent="0.25">
      <c r="A282" s="639">
        <v>276</v>
      </c>
      <c r="B282" s="639">
        <f>+'_DATA STT PAGOS_'!M282</f>
        <v>13119</v>
      </c>
      <c r="C282" s="639" t="str">
        <f>+'_DATA STT PAGOS_'!O282</f>
        <v>MAIPÚ</v>
      </c>
      <c r="D282" s="693">
        <f>+'_DATA STT PAGOS_'!G282</f>
        <v>0</v>
      </c>
      <c r="E282" s="693">
        <f>+'_DATA STT PAGOS_'!J282</f>
        <v>70750849.709999993</v>
      </c>
      <c r="F282" s="694">
        <f>+COEF_FCM!AG284</f>
        <v>1.6760194407199999E-2</v>
      </c>
      <c r="G282" s="693">
        <f t="shared" si="64"/>
        <v>47571486</v>
      </c>
      <c r="H282" s="695">
        <f t="shared" si="76"/>
        <v>-23179363.709999993</v>
      </c>
      <c r="I282" s="641">
        <f t="shared" si="77"/>
        <v>-23179364</v>
      </c>
      <c r="J282" s="696">
        <f t="shared" si="78"/>
        <v>0</v>
      </c>
      <c r="K282" s="693">
        <f t="shared" si="65"/>
        <v>0</v>
      </c>
      <c r="L282" s="695">
        <f t="shared" si="66"/>
        <v>0</v>
      </c>
      <c r="M282" s="693">
        <f t="shared" si="67"/>
        <v>0</v>
      </c>
      <c r="N282" s="693">
        <f t="shared" si="68"/>
        <v>70750850</v>
      </c>
      <c r="O282" s="695">
        <f t="shared" si="69"/>
        <v>70750850</v>
      </c>
      <c r="P282" s="695">
        <f t="shared" si="70"/>
        <v>23179364</v>
      </c>
      <c r="Q282" s="697">
        <f t="shared" si="71"/>
        <v>1.6760194407199999E-2</v>
      </c>
      <c r="R282" s="694">
        <f t="shared" si="72"/>
        <v>8.1664601793000006E-3</v>
      </c>
      <c r="S282" s="693">
        <v>0</v>
      </c>
      <c r="T282" s="695">
        <f t="shared" si="73"/>
        <v>70750850</v>
      </c>
      <c r="U282" s="695">
        <f t="shared" si="74"/>
        <v>70750850</v>
      </c>
      <c r="V282" s="693">
        <f t="shared" si="75"/>
        <v>23179364</v>
      </c>
      <c r="W282" s="697"/>
      <c r="X282" s="698" t="s">
        <v>427</v>
      </c>
      <c r="Y282" s="678">
        <v>0</v>
      </c>
      <c r="Z282" s="678">
        <v>55445097</v>
      </c>
      <c r="AA282" s="678">
        <v>55445097</v>
      </c>
      <c r="AB282" s="699">
        <f t="shared" si="79"/>
        <v>1.2760524163209599</v>
      </c>
      <c r="AC282" s="700"/>
      <c r="AD282" s="701"/>
    </row>
    <row r="283" spans="1:30" s="639" customFormat="1" x14ac:dyDescent="0.25">
      <c r="A283" s="639">
        <v>277</v>
      </c>
      <c r="B283" s="639">
        <f>+'_DATA STT PAGOS_'!M283</f>
        <v>13120</v>
      </c>
      <c r="C283" s="639" t="str">
        <f>+'_DATA STT PAGOS_'!O283</f>
        <v>ÑUÑOA</v>
      </c>
      <c r="D283" s="693">
        <f>+'_DATA STT PAGOS_'!G283</f>
        <v>0</v>
      </c>
      <c r="E283" s="693">
        <f>+'_DATA STT PAGOS_'!J283</f>
        <v>4527303.0469999993</v>
      </c>
      <c r="F283" s="694">
        <f>+COEF_FCM!AG285</f>
        <v>1.5173743622999998E-3</v>
      </c>
      <c r="G283" s="693">
        <f t="shared" si="64"/>
        <v>4306857</v>
      </c>
      <c r="H283" s="695">
        <f t="shared" si="76"/>
        <v>-220446.04699999932</v>
      </c>
      <c r="I283" s="641">
        <f t="shared" si="77"/>
        <v>-220446</v>
      </c>
      <c r="J283" s="696">
        <f t="shared" si="78"/>
        <v>0</v>
      </c>
      <c r="K283" s="693">
        <f t="shared" si="65"/>
        <v>0</v>
      </c>
      <c r="L283" s="695">
        <f t="shared" si="66"/>
        <v>0</v>
      </c>
      <c r="M283" s="693">
        <f t="shared" si="67"/>
        <v>0</v>
      </c>
      <c r="N283" s="693">
        <f t="shared" si="68"/>
        <v>4527303</v>
      </c>
      <c r="O283" s="695">
        <f t="shared" si="69"/>
        <v>4527303</v>
      </c>
      <c r="P283" s="695">
        <f t="shared" si="70"/>
        <v>220446</v>
      </c>
      <c r="Q283" s="697">
        <f t="shared" si="71"/>
        <v>1.5173743622999998E-3</v>
      </c>
      <c r="R283" s="694">
        <f t="shared" si="72"/>
        <v>7.7666647000000001E-5</v>
      </c>
      <c r="S283" s="693">
        <v>0</v>
      </c>
      <c r="T283" s="695">
        <f t="shared" si="73"/>
        <v>4527303</v>
      </c>
      <c r="U283" s="695">
        <f t="shared" si="74"/>
        <v>4527303</v>
      </c>
      <c r="V283" s="693">
        <f t="shared" si="75"/>
        <v>220446</v>
      </c>
      <c r="W283" s="697"/>
      <c r="X283" s="698" t="s">
        <v>276</v>
      </c>
      <c r="Y283" s="678">
        <v>0</v>
      </c>
      <c r="Z283" s="678">
        <v>3547896</v>
      </c>
      <c r="AA283" s="678">
        <v>3547896</v>
      </c>
      <c r="AB283" s="699">
        <f t="shared" si="79"/>
        <v>1.2760529057221519</v>
      </c>
      <c r="AC283" s="700"/>
      <c r="AD283" s="701"/>
    </row>
    <row r="284" spans="1:30" s="639" customFormat="1" x14ac:dyDescent="0.25">
      <c r="A284" s="639">
        <v>278</v>
      </c>
      <c r="B284" s="639">
        <f>+'_DATA STT PAGOS_'!M284</f>
        <v>13121</v>
      </c>
      <c r="C284" s="639" t="str">
        <f>+'_DATA STT PAGOS_'!O284</f>
        <v>PEDRO AGUIRRE CERDA</v>
      </c>
      <c r="D284" s="693">
        <f>+'_DATA STT PAGOS_'!G284</f>
        <v>0</v>
      </c>
      <c r="E284" s="693">
        <f>+'_DATA STT PAGOS_'!J284</f>
        <v>14117395.922</v>
      </c>
      <c r="F284" s="694">
        <f>+COEF_FCM!AG286</f>
        <v>5.0197417253999999E-3</v>
      </c>
      <c r="G284" s="693">
        <f t="shared" si="64"/>
        <v>14247840</v>
      </c>
      <c r="H284" s="695">
        <f t="shared" si="76"/>
        <v>130444.07799999975</v>
      </c>
      <c r="I284" s="641">
        <f t="shared" si="77"/>
        <v>0</v>
      </c>
      <c r="J284" s="696">
        <f t="shared" si="78"/>
        <v>130444.07799999975</v>
      </c>
      <c r="K284" s="693">
        <f t="shared" si="65"/>
        <v>71123</v>
      </c>
      <c r="L284" s="695">
        <f t="shared" si="66"/>
        <v>59321.077999999747</v>
      </c>
      <c r="M284" s="693">
        <f t="shared" si="67"/>
        <v>14176717</v>
      </c>
      <c r="N284" s="693">
        <f t="shared" si="68"/>
        <v>0</v>
      </c>
      <c r="O284" s="695">
        <f t="shared" si="69"/>
        <v>14176717</v>
      </c>
      <c r="P284" s="695">
        <f t="shared" si="70"/>
        <v>-71123</v>
      </c>
      <c r="Q284" s="697">
        <f t="shared" si="71"/>
        <v>5.0197417253999999E-3</v>
      </c>
      <c r="R284" s="694">
        <f t="shared" si="72"/>
        <v>-2.5057768899999999E-5</v>
      </c>
      <c r="S284" s="693">
        <v>0</v>
      </c>
      <c r="T284" s="695">
        <f t="shared" si="73"/>
        <v>14176717</v>
      </c>
      <c r="U284" s="695">
        <f t="shared" si="74"/>
        <v>14176717</v>
      </c>
      <c r="V284" s="693">
        <f t="shared" si="75"/>
        <v>0</v>
      </c>
      <c r="W284" s="697"/>
      <c r="X284" s="698" t="s">
        <v>295</v>
      </c>
      <c r="Y284" s="678">
        <v>0</v>
      </c>
      <c r="Z284" s="678">
        <v>10108015</v>
      </c>
      <c r="AA284" s="678">
        <v>10108015</v>
      </c>
      <c r="AB284" s="699">
        <f t="shared" si="79"/>
        <v>1.402522354784792</v>
      </c>
      <c r="AC284" s="700"/>
      <c r="AD284" s="701"/>
    </row>
    <row r="285" spans="1:30" s="639" customFormat="1" x14ac:dyDescent="0.25">
      <c r="A285" s="639">
        <v>279</v>
      </c>
      <c r="B285" s="639">
        <f>+'_DATA STT PAGOS_'!M285</f>
        <v>13122</v>
      </c>
      <c r="C285" s="639" t="str">
        <f>+'_DATA STT PAGOS_'!O285</f>
        <v>PEÑALOLÉN</v>
      </c>
      <c r="D285" s="693">
        <f>+'_DATA STT PAGOS_'!G285</f>
        <v>0</v>
      </c>
      <c r="E285" s="693">
        <f>+'_DATA STT PAGOS_'!J285</f>
        <v>19870936.591000002</v>
      </c>
      <c r="F285" s="694">
        <f>+COEF_FCM!AG287</f>
        <v>3.3747732455999997E-3</v>
      </c>
      <c r="G285" s="693">
        <f t="shared" si="64"/>
        <v>9578826</v>
      </c>
      <c r="H285" s="695">
        <f t="shared" si="76"/>
        <v>-10292110.591000002</v>
      </c>
      <c r="I285" s="641">
        <f t="shared" si="77"/>
        <v>-10292111</v>
      </c>
      <c r="J285" s="696">
        <f t="shared" si="78"/>
        <v>0</v>
      </c>
      <c r="K285" s="693">
        <f t="shared" si="65"/>
        <v>0</v>
      </c>
      <c r="L285" s="695">
        <f t="shared" si="66"/>
        <v>0</v>
      </c>
      <c r="M285" s="693">
        <f t="shared" si="67"/>
        <v>0</v>
      </c>
      <c r="N285" s="693">
        <f t="shared" si="68"/>
        <v>19870937</v>
      </c>
      <c r="O285" s="695">
        <f t="shared" si="69"/>
        <v>19870937</v>
      </c>
      <c r="P285" s="695">
        <f t="shared" si="70"/>
        <v>10292111</v>
      </c>
      <c r="Q285" s="697">
        <f t="shared" si="71"/>
        <v>3.3747732455999997E-3</v>
      </c>
      <c r="R285" s="694">
        <f t="shared" si="72"/>
        <v>3.6260751002999999E-3</v>
      </c>
      <c r="S285" s="693">
        <v>0</v>
      </c>
      <c r="T285" s="695">
        <f t="shared" si="73"/>
        <v>19870937</v>
      </c>
      <c r="U285" s="695">
        <f t="shared" si="74"/>
        <v>19870937</v>
      </c>
      <c r="V285" s="693">
        <f t="shared" si="75"/>
        <v>10292111</v>
      </c>
      <c r="W285" s="697"/>
      <c r="X285" s="698" t="s">
        <v>428</v>
      </c>
      <c r="Y285" s="678">
        <v>0</v>
      </c>
      <c r="Z285" s="678">
        <v>15572193</v>
      </c>
      <c r="AA285" s="678">
        <v>15572193</v>
      </c>
      <c r="AB285" s="699">
        <f t="shared" si="79"/>
        <v>1.276052576538192</v>
      </c>
      <c r="AC285" s="700"/>
      <c r="AD285" s="701"/>
    </row>
    <row r="286" spans="1:30" s="639" customFormat="1" x14ac:dyDescent="0.25">
      <c r="A286" s="639">
        <v>280</v>
      </c>
      <c r="B286" s="639">
        <f>+'_DATA STT PAGOS_'!M286</f>
        <v>13123</v>
      </c>
      <c r="C286" s="639" t="str">
        <f>+'_DATA STT PAGOS_'!O286</f>
        <v>PROVIDENCIA</v>
      </c>
      <c r="D286" s="693">
        <f>+'_DATA STT PAGOS_'!G286</f>
        <v>0</v>
      </c>
      <c r="E286" s="693">
        <f>+'_DATA STT PAGOS_'!J286</f>
        <v>3542057.7300000004</v>
      </c>
      <c r="F286" s="694">
        <f>+COEF_FCM!AG288</f>
        <v>1.0155509107000001E-3</v>
      </c>
      <c r="G286" s="693">
        <f t="shared" si="64"/>
        <v>2882500</v>
      </c>
      <c r="H286" s="695">
        <f t="shared" si="76"/>
        <v>-659557.73000000045</v>
      </c>
      <c r="I286" s="641">
        <f t="shared" si="77"/>
        <v>-659558</v>
      </c>
      <c r="J286" s="696">
        <f t="shared" si="78"/>
        <v>0</v>
      </c>
      <c r="K286" s="693">
        <f t="shared" si="65"/>
        <v>0</v>
      </c>
      <c r="L286" s="695">
        <f t="shared" si="66"/>
        <v>0</v>
      </c>
      <c r="M286" s="693">
        <f t="shared" si="67"/>
        <v>0</v>
      </c>
      <c r="N286" s="693">
        <f t="shared" si="68"/>
        <v>3542058</v>
      </c>
      <c r="O286" s="695">
        <f t="shared" si="69"/>
        <v>3542058</v>
      </c>
      <c r="P286" s="695">
        <f t="shared" si="70"/>
        <v>659558</v>
      </c>
      <c r="Q286" s="697">
        <f t="shared" si="71"/>
        <v>1.0155509107000001E-3</v>
      </c>
      <c r="R286" s="694">
        <f t="shared" si="72"/>
        <v>2.3237281850000001E-4</v>
      </c>
      <c r="S286" s="693">
        <v>0</v>
      </c>
      <c r="T286" s="695">
        <f t="shared" si="73"/>
        <v>3542058</v>
      </c>
      <c r="U286" s="695">
        <f t="shared" si="74"/>
        <v>3542058</v>
      </c>
      <c r="V286" s="693">
        <f t="shared" si="75"/>
        <v>659558</v>
      </c>
      <c r="W286" s="697"/>
      <c r="X286" s="698" t="s">
        <v>275</v>
      </c>
      <c r="Y286" s="678">
        <v>0</v>
      </c>
      <c r="Z286" s="678">
        <v>2775794</v>
      </c>
      <c r="AA286" s="678">
        <v>2775794</v>
      </c>
      <c r="AB286" s="699">
        <f t="shared" si="79"/>
        <v>1.2760521854287459</v>
      </c>
      <c r="AC286" s="700"/>
      <c r="AD286" s="701"/>
    </row>
    <row r="287" spans="1:30" s="639" customFormat="1" x14ac:dyDescent="0.25">
      <c r="A287" s="639">
        <v>281</v>
      </c>
      <c r="B287" s="639">
        <f>+'_DATA STT PAGOS_'!M287</f>
        <v>13124</v>
      </c>
      <c r="C287" s="639" t="str">
        <f>+'_DATA STT PAGOS_'!O287</f>
        <v>PUDAHUEL</v>
      </c>
      <c r="D287" s="693">
        <f>+'_DATA STT PAGOS_'!G287</f>
        <v>0</v>
      </c>
      <c r="E287" s="693">
        <f>+'_DATA STT PAGOS_'!J287</f>
        <v>21319487.512000002</v>
      </c>
      <c r="F287" s="694">
        <f>+COEF_FCM!AG289</f>
        <v>4.7466246455000003E-3</v>
      </c>
      <c r="G287" s="693">
        <f t="shared" si="64"/>
        <v>13472635</v>
      </c>
      <c r="H287" s="695">
        <f t="shared" si="76"/>
        <v>-7846852.512000002</v>
      </c>
      <c r="I287" s="641">
        <f t="shared" si="77"/>
        <v>-7846853</v>
      </c>
      <c r="J287" s="696">
        <f t="shared" si="78"/>
        <v>0</v>
      </c>
      <c r="K287" s="693">
        <f t="shared" si="65"/>
        <v>0</v>
      </c>
      <c r="L287" s="695">
        <f t="shared" si="66"/>
        <v>0</v>
      </c>
      <c r="M287" s="693">
        <f t="shared" si="67"/>
        <v>0</v>
      </c>
      <c r="N287" s="693">
        <f t="shared" si="68"/>
        <v>21319488</v>
      </c>
      <c r="O287" s="695">
        <f t="shared" si="69"/>
        <v>21319488</v>
      </c>
      <c r="P287" s="695">
        <f t="shared" si="70"/>
        <v>7846853</v>
      </c>
      <c r="Q287" s="697">
        <f t="shared" si="71"/>
        <v>4.7466246455000003E-3</v>
      </c>
      <c r="R287" s="694">
        <f t="shared" si="72"/>
        <v>2.764571649E-3</v>
      </c>
      <c r="S287" s="693">
        <v>0</v>
      </c>
      <c r="T287" s="695">
        <f t="shared" si="73"/>
        <v>21319488</v>
      </c>
      <c r="U287" s="695">
        <f t="shared" si="74"/>
        <v>21319488</v>
      </c>
      <c r="V287" s="693">
        <f t="shared" si="75"/>
        <v>7846853</v>
      </c>
      <c r="W287" s="697"/>
      <c r="X287" s="698" t="s">
        <v>281</v>
      </c>
      <c r="Y287" s="678">
        <v>0</v>
      </c>
      <c r="Z287" s="678">
        <v>16707377</v>
      </c>
      <c r="AA287" s="678">
        <v>16707377</v>
      </c>
      <c r="AB287" s="699">
        <f t="shared" si="79"/>
        <v>1.2760523689625247</v>
      </c>
      <c r="AC287" s="700"/>
      <c r="AD287" s="701"/>
    </row>
    <row r="288" spans="1:30" s="639" customFormat="1" x14ac:dyDescent="0.25">
      <c r="A288" s="639">
        <v>282</v>
      </c>
      <c r="B288" s="639">
        <f>+'_DATA STT PAGOS_'!M288</f>
        <v>13125</v>
      </c>
      <c r="C288" s="639" t="str">
        <f>+'_DATA STT PAGOS_'!O288</f>
        <v>QUILICURA</v>
      </c>
      <c r="D288" s="693">
        <f>+'_DATA STT PAGOS_'!G288</f>
        <v>0</v>
      </c>
      <c r="E288" s="693">
        <f>+'_DATA STT PAGOS_'!J288</f>
        <v>13262936.492999999</v>
      </c>
      <c r="F288" s="694">
        <f>+COEF_FCM!AG290</f>
        <v>5.2495699364999999E-3</v>
      </c>
      <c r="G288" s="693">
        <f t="shared" si="64"/>
        <v>14900176</v>
      </c>
      <c r="H288" s="695">
        <f t="shared" si="76"/>
        <v>1637239.5070000011</v>
      </c>
      <c r="I288" s="641">
        <f t="shared" si="77"/>
        <v>0</v>
      </c>
      <c r="J288" s="696">
        <f t="shared" si="78"/>
        <v>1637239.5070000011</v>
      </c>
      <c r="K288" s="693">
        <f t="shared" si="65"/>
        <v>892685</v>
      </c>
      <c r="L288" s="695">
        <f t="shared" si="66"/>
        <v>744554.50700000115</v>
      </c>
      <c r="M288" s="693">
        <f t="shared" si="67"/>
        <v>14007491</v>
      </c>
      <c r="N288" s="693">
        <f t="shared" si="68"/>
        <v>0</v>
      </c>
      <c r="O288" s="695">
        <f t="shared" si="69"/>
        <v>14007491</v>
      </c>
      <c r="P288" s="695">
        <f t="shared" si="70"/>
        <v>-892685</v>
      </c>
      <c r="Q288" s="697">
        <f t="shared" si="71"/>
        <v>5.2495699364999999E-3</v>
      </c>
      <c r="R288" s="694">
        <f t="shared" si="72"/>
        <v>-3.1450718430000001E-4</v>
      </c>
      <c r="S288" s="693">
        <v>0</v>
      </c>
      <c r="T288" s="695">
        <f t="shared" si="73"/>
        <v>14007491</v>
      </c>
      <c r="U288" s="695">
        <f t="shared" si="74"/>
        <v>14007491</v>
      </c>
      <c r="V288" s="693">
        <f t="shared" si="75"/>
        <v>0</v>
      </c>
      <c r="W288" s="697"/>
      <c r="X288" s="698" t="s">
        <v>283</v>
      </c>
      <c r="Y288" s="678">
        <v>0</v>
      </c>
      <c r="Z288" s="678">
        <v>9061925</v>
      </c>
      <c r="AA288" s="678">
        <v>9061925</v>
      </c>
      <c r="AB288" s="699">
        <f t="shared" si="79"/>
        <v>1.5457522546258107</v>
      </c>
      <c r="AC288" s="700"/>
      <c r="AD288" s="701"/>
    </row>
    <row r="289" spans="1:30" s="639" customFormat="1" x14ac:dyDescent="0.25">
      <c r="A289" s="639">
        <v>283</v>
      </c>
      <c r="B289" s="639">
        <f>+'_DATA STT PAGOS_'!M289</f>
        <v>13126</v>
      </c>
      <c r="C289" s="639" t="str">
        <f>+'_DATA STT PAGOS_'!O289</f>
        <v>QUINTA NORMAL</v>
      </c>
      <c r="D289" s="693">
        <f>+'_DATA STT PAGOS_'!G289</f>
        <v>0</v>
      </c>
      <c r="E289" s="693">
        <f>+'_DATA STT PAGOS_'!J289</f>
        <v>12218917.873</v>
      </c>
      <c r="F289" s="694">
        <f>+COEF_FCM!AG291</f>
        <v>4.2818432396E-3</v>
      </c>
      <c r="G289" s="693">
        <f t="shared" si="64"/>
        <v>12153418</v>
      </c>
      <c r="H289" s="695">
        <f t="shared" si="76"/>
        <v>-65499.872999999672</v>
      </c>
      <c r="I289" s="641">
        <f t="shared" si="77"/>
        <v>-65500</v>
      </c>
      <c r="J289" s="696">
        <f t="shared" si="78"/>
        <v>0</v>
      </c>
      <c r="K289" s="693">
        <f t="shared" si="65"/>
        <v>0</v>
      </c>
      <c r="L289" s="695">
        <f t="shared" si="66"/>
        <v>0</v>
      </c>
      <c r="M289" s="693">
        <f t="shared" si="67"/>
        <v>0</v>
      </c>
      <c r="N289" s="693">
        <f t="shared" si="68"/>
        <v>12218918</v>
      </c>
      <c r="O289" s="695">
        <f t="shared" si="69"/>
        <v>12218918</v>
      </c>
      <c r="P289" s="695">
        <f t="shared" si="70"/>
        <v>65500</v>
      </c>
      <c r="Q289" s="697">
        <f t="shared" si="71"/>
        <v>4.2818432396E-3</v>
      </c>
      <c r="R289" s="694">
        <f t="shared" si="72"/>
        <v>2.3076696200000001E-5</v>
      </c>
      <c r="S289" s="693">
        <v>0</v>
      </c>
      <c r="T289" s="695">
        <f t="shared" si="73"/>
        <v>12218918</v>
      </c>
      <c r="U289" s="695">
        <f t="shared" si="74"/>
        <v>12218918</v>
      </c>
      <c r="V289" s="693">
        <f t="shared" si="75"/>
        <v>65500</v>
      </c>
      <c r="W289" s="697"/>
      <c r="X289" s="698" t="s">
        <v>278</v>
      </c>
      <c r="Y289" s="678">
        <v>0</v>
      </c>
      <c r="Z289" s="678">
        <v>6736624</v>
      </c>
      <c r="AA289" s="678">
        <v>6736624</v>
      </c>
      <c r="AB289" s="699">
        <f t="shared" si="79"/>
        <v>1.8138043625412372</v>
      </c>
      <c r="AC289" s="700"/>
      <c r="AD289" s="701"/>
    </row>
    <row r="290" spans="1:30" s="639" customFormat="1" x14ac:dyDescent="0.25">
      <c r="A290" s="639">
        <v>284</v>
      </c>
      <c r="B290" s="639">
        <f>+'_DATA STT PAGOS_'!M290</f>
        <v>13127</v>
      </c>
      <c r="C290" s="639" t="str">
        <f>+'_DATA STT PAGOS_'!O290</f>
        <v>RECOLETA</v>
      </c>
      <c r="D290" s="693">
        <f>+'_DATA STT PAGOS_'!G290</f>
        <v>0</v>
      </c>
      <c r="E290" s="693">
        <f>+'_DATA STT PAGOS_'!J290</f>
        <v>8781707.7359999996</v>
      </c>
      <c r="F290" s="694">
        <f>+COEF_FCM!AG292</f>
        <v>3.0714296154999996E-3</v>
      </c>
      <c r="G290" s="693">
        <f t="shared" si="64"/>
        <v>8717827</v>
      </c>
      <c r="H290" s="695">
        <f t="shared" si="76"/>
        <v>-63880.735999999568</v>
      </c>
      <c r="I290" s="641">
        <f t="shared" si="77"/>
        <v>-63881</v>
      </c>
      <c r="J290" s="696">
        <f t="shared" si="78"/>
        <v>0</v>
      </c>
      <c r="K290" s="693">
        <f t="shared" si="65"/>
        <v>0</v>
      </c>
      <c r="L290" s="695">
        <f t="shared" si="66"/>
        <v>0</v>
      </c>
      <c r="M290" s="693">
        <f t="shared" si="67"/>
        <v>0</v>
      </c>
      <c r="N290" s="693">
        <f t="shared" si="68"/>
        <v>8781708</v>
      </c>
      <c r="O290" s="695">
        <f t="shared" si="69"/>
        <v>8781708</v>
      </c>
      <c r="P290" s="695">
        <f t="shared" si="70"/>
        <v>63881</v>
      </c>
      <c r="Q290" s="697">
        <f t="shared" si="71"/>
        <v>3.0714296154999996E-3</v>
      </c>
      <c r="R290" s="694">
        <f t="shared" si="72"/>
        <v>2.2506296699999999E-5</v>
      </c>
      <c r="S290" s="693">
        <v>0</v>
      </c>
      <c r="T290" s="695">
        <f t="shared" si="73"/>
        <v>8781708</v>
      </c>
      <c r="U290" s="695">
        <f t="shared" si="74"/>
        <v>8781708</v>
      </c>
      <c r="V290" s="693">
        <f t="shared" si="75"/>
        <v>63881</v>
      </c>
      <c r="W290" s="697"/>
      <c r="X290" s="698" t="s">
        <v>292</v>
      </c>
      <c r="Y290" s="678">
        <v>0</v>
      </c>
      <c r="Z290" s="678">
        <v>5606592</v>
      </c>
      <c r="AA290" s="678">
        <v>5606592</v>
      </c>
      <c r="AB290" s="699">
        <f t="shared" si="79"/>
        <v>1.5663183623848498</v>
      </c>
      <c r="AC290" s="700"/>
      <c r="AD290" s="701"/>
    </row>
    <row r="291" spans="1:30" s="639" customFormat="1" x14ac:dyDescent="0.25">
      <c r="A291" s="639">
        <v>285</v>
      </c>
      <c r="B291" s="639">
        <f>+'_DATA STT PAGOS_'!M291</f>
        <v>13128</v>
      </c>
      <c r="C291" s="639" t="str">
        <f>+'_DATA STT PAGOS_'!O291</f>
        <v>RENCA</v>
      </c>
      <c r="D291" s="693">
        <f>+'_DATA STT PAGOS_'!G291</f>
        <v>0</v>
      </c>
      <c r="E291" s="693">
        <f>+'_DATA STT PAGOS_'!J291</f>
        <v>11215485.725000001</v>
      </c>
      <c r="F291" s="694">
        <f>+COEF_FCM!AG293</f>
        <v>4.2843710514999999E-3</v>
      </c>
      <c r="G291" s="693">
        <f t="shared" si="64"/>
        <v>12160593</v>
      </c>
      <c r="H291" s="695">
        <f t="shared" si="76"/>
        <v>945107.27499999851</v>
      </c>
      <c r="I291" s="641">
        <f t="shared" si="77"/>
        <v>0</v>
      </c>
      <c r="J291" s="696">
        <f t="shared" si="78"/>
        <v>945107.27499999851</v>
      </c>
      <c r="K291" s="693">
        <f t="shared" si="65"/>
        <v>515308</v>
      </c>
      <c r="L291" s="695">
        <f t="shared" si="66"/>
        <v>429799.27499999851</v>
      </c>
      <c r="M291" s="693">
        <f t="shared" si="67"/>
        <v>11645285</v>
      </c>
      <c r="N291" s="693">
        <f t="shared" si="68"/>
        <v>0</v>
      </c>
      <c r="O291" s="695">
        <f t="shared" si="69"/>
        <v>11645285</v>
      </c>
      <c r="P291" s="695">
        <f t="shared" si="70"/>
        <v>-515308</v>
      </c>
      <c r="Q291" s="697">
        <f t="shared" si="71"/>
        <v>4.2843710514999999E-3</v>
      </c>
      <c r="R291" s="694">
        <f t="shared" si="72"/>
        <v>-1.815512394E-4</v>
      </c>
      <c r="S291" s="693">
        <v>0</v>
      </c>
      <c r="T291" s="695">
        <f t="shared" si="73"/>
        <v>11645285</v>
      </c>
      <c r="U291" s="695">
        <f t="shared" si="74"/>
        <v>11645285</v>
      </c>
      <c r="V291" s="693">
        <f t="shared" si="75"/>
        <v>0</v>
      </c>
      <c r="W291" s="697"/>
      <c r="X291" s="698" t="s">
        <v>282</v>
      </c>
      <c r="Y291" s="678">
        <v>0</v>
      </c>
      <c r="Z291" s="678">
        <v>7912032</v>
      </c>
      <c r="AA291" s="678">
        <v>7912032</v>
      </c>
      <c r="AB291" s="699">
        <f t="shared" si="79"/>
        <v>1.4718450329826775</v>
      </c>
      <c r="AC291" s="700"/>
      <c r="AD291" s="701"/>
    </row>
    <row r="292" spans="1:30" s="639" customFormat="1" x14ac:dyDescent="0.25">
      <c r="A292" s="639">
        <v>286</v>
      </c>
      <c r="B292" s="639">
        <f>+'_DATA STT PAGOS_'!M292</f>
        <v>13129</v>
      </c>
      <c r="C292" s="639" t="str">
        <f>+'_DATA STT PAGOS_'!O292</f>
        <v>SAN JOAQUÍN</v>
      </c>
      <c r="D292" s="693">
        <f>+'_DATA STT PAGOS_'!G292</f>
        <v>0</v>
      </c>
      <c r="E292" s="693">
        <f>+'_DATA STT PAGOS_'!J292</f>
        <v>6497415.8049999997</v>
      </c>
      <c r="F292" s="694">
        <f>+COEF_FCM!AG294</f>
        <v>2.4094108474999997E-3</v>
      </c>
      <c r="G292" s="693">
        <f t="shared" si="64"/>
        <v>6838778</v>
      </c>
      <c r="H292" s="695">
        <f t="shared" si="76"/>
        <v>341362.1950000003</v>
      </c>
      <c r="I292" s="641">
        <f t="shared" si="77"/>
        <v>0</v>
      </c>
      <c r="J292" s="696">
        <f t="shared" si="78"/>
        <v>341362.1950000003</v>
      </c>
      <c r="K292" s="693">
        <f t="shared" si="65"/>
        <v>186124</v>
      </c>
      <c r="L292" s="695">
        <f t="shared" si="66"/>
        <v>155238.1950000003</v>
      </c>
      <c r="M292" s="693">
        <f t="shared" si="67"/>
        <v>6652654</v>
      </c>
      <c r="N292" s="693">
        <f t="shared" si="68"/>
        <v>0</v>
      </c>
      <c r="O292" s="695">
        <f t="shared" si="69"/>
        <v>6652654</v>
      </c>
      <c r="P292" s="695">
        <f t="shared" si="70"/>
        <v>-186124</v>
      </c>
      <c r="Q292" s="697">
        <f t="shared" si="71"/>
        <v>2.4094108474999997E-3</v>
      </c>
      <c r="R292" s="694">
        <f t="shared" si="72"/>
        <v>-6.5574458099999997E-5</v>
      </c>
      <c r="S292" s="693">
        <v>0</v>
      </c>
      <c r="T292" s="695">
        <f t="shared" si="73"/>
        <v>6652654</v>
      </c>
      <c r="U292" s="695">
        <f t="shared" si="74"/>
        <v>6652654</v>
      </c>
      <c r="V292" s="693">
        <f t="shared" si="75"/>
        <v>0</v>
      </c>
      <c r="W292" s="697"/>
      <c r="X292" s="698" t="s">
        <v>429</v>
      </c>
      <c r="Y292" s="678">
        <v>0</v>
      </c>
      <c r="Z292" s="678">
        <v>4493019</v>
      </c>
      <c r="AA292" s="678">
        <v>4493019</v>
      </c>
      <c r="AB292" s="699">
        <f t="shared" si="79"/>
        <v>1.4806645598427248</v>
      </c>
      <c r="AC292" s="700"/>
      <c r="AD292" s="701"/>
    </row>
    <row r="293" spans="1:30" s="639" customFormat="1" x14ac:dyDescent="0.25">
      <c r="A293" s="639">
        <v>287</v>
      </c>
      <c r="B293" s="639">
        <f>+'_DATA STT PAGOS_'!M293</f>
        <v>13130</v>
      </c>
      <c r="C293" s="639" t="str">
        <f>+'_DATA STT PAGOS_'!O293</f>
        <v>SAN MIGUEL</v>
      </c>
      <c r="D293" s="693">
        <f>+'_DATA STT PAGOS_'!G293</f>
        <v>0</v>
      </c>
      <c r="E293" s="693">
        <f>+'_DATA STT PAGOS_'!J293</f>
        <v>4258301.7869999995</v>
      </c>
      <c r="F293" s="694">
        <f>+COEF_FCM!AG295</f>
        <v>1.6700364763000001E-3</v>
      </c>
      <c r="G293" s="693">
        <f t="shared" si="64"/>
        <v>4740167</v>
      </c>
      <c r="H293" s="695">
        <f t="shared" si="76"/>
        <v>481865.21300000045</v>
      </c>
      <c r="I293" s="641">
        <f t="shared" si="77"/>
        <v>0</v>
      </c>
      <c r="J293" s="696">
        <f t="shared" si="78"/>
        <v>481865.21300000045</v>
      </c>
      <c r="K293" s="693">
        <f t="shared" si="65"/>
        <v>262731</v>
      </c>
      <c r="L293" s="695">
        <f t="shared" si="66"/>
        <v>219134.21300000045</v>
      </c>
      <c r="M293" s="693">
        <f t="shared" si="67"/>
        <v>4477436</v>
      </c>
      <c r="N293" s="693">
        <f t="shared" si="68"/>
        <v>0</v>
      </c>
      <c r="O293" s="695">
        <f t="shared" si="69"/>
        <v>4477436</v>
      </c>
      <c r="P293" s="695">
        <f t="shared" si="70"/>
        <v>-262731</v>
      </c>
      <c r="Q293" s="697">
        <f t="shared" si="71"/>
        <v>1.6700364763000001E-3</v>
      </c>
      <c r="R293" s="694">
        <f t="shared" si="72"/>
        <v>-9.2564327900000002E-5</v>
      </c>
      <c r="S293" s="693">
        <v>0</v>
      </c>
      <c r="T293" s="695">
        <f t="shared" si="73"/>
        <v>4477436</v>
      </c>
      <c r="U293" s="695">
        <f t="shared" si="74"/>
        <v>4477436</v>
      </c>
      <c r="V293" s="693">
        <f t="shared" si="75"/>
        <v>0</v>
      </c>
      <c r="W293" s="697"/>
      <c r="X293" s="698" t="s">
        <v>277</v>
      </c>
      <c r="Y293" s="678">
        <v>0</v>
      </c>
      <c r="Z293" s="678">
        <v>2549067</v>
      </c>
      <c r="AA293" s="678">
        <v>2549067</v>
      </c>
      <c r="AB293" s="699">
        <f t="shared" si="79"/>
        <v>1.756499927228276</v>
      </c>
      <c r="AC293" s="700"/>
      <c r="AD293" s="701"/>
    </row>
    <row r="294" spans="1:30" s="639" customFormat="1" x14ac:dyDescent="0.25">
      <c r="A294" s="639">
        <v>288</v>
      </c>
      <c r="B294" s="639">
        <f>+'_DATA STT PAGOS_'!M294</f>
        <v>13131</v>
      </c>
      <c r="C294" s="639" t="str">
        <f>+'_DATA STT PAGOS_'!O294</f>
        <v>SAN RAMÓN</v>
      </c>
      <c r="D294" s="693">
        <f>+'_DATA STT PAGOS_'!G294</f>
        <v>0</v>
      </c>
      <c r="E294" s="693">
        <f>+'_DATA STT PAGOS_'!J294</f>
        <v>13499393.892999999</v>
      </c>
      <c r="F294" s="694">
        <f>+COEF_FCM!AG296</f>
        <v>4.5430761303E-3</v>
      </c>
      <c r="G294" s="693">
        <f t="shared" si="64"/>
        <v>12894891</v>
      </c>
      <c r="H294" s="695">
        <f t="shared" si="76"/>
        <v>-604502.89299999923</v>
      </c>
      <c r="I294" s="641">
        <f t="shared" si="77"/>
        <v>-604503</v>
      </c>
      <c r="J294" s="696">
        <f t="shared" si="78"/>
        <v>0</v>
      </c>
      <c r="K294" s="693">
        <f t="shared" si="65"/>
        <v>0</v>
      </c>
      <c r="L294" s="695">
        <f t="shared" si="66"/>
        <v>0</v>
      </c>
      <c r="M294" s="693">
        <f t="shared" si="67"/>
        <v>0</v>
      </c>
      <c r="N294" s="693">
        <f t="shared" si="68"/>
        <v>13499394</v>
      </c>
      <c r="O294" s="695">
        <f t="shared" si="69"/>
        <v>13499394</v>
      </c>
      <c r="P294" s="695">
        <f t="shared" si="70"/>
        <v>604503</v>
      </c>
      <c r="Q294" s="697">
        <f t="shared" si="71"/>
        <v>4.5430761303E-3</v>
      </c>
      <c r="R294" s="694">
        <f t="shared" si="72"/>
        <v>2.129760626E-4</v>
      </c>
      <c r="S294" s="693">
        <v>0</v>
      </c>
      <c r="T294" s="695">
        <f t="shared" si="73"/>
        <v>13499394</v>
      </c>
      <c r="U294" s="695">
        <f t="shared" si="74"/>
        <v>13499394</v>
      </c>
      <c r="V294" s="693">
        <f t="shared" si="75"/>
        <v>604503</v>
      </c>
      <c r="W294" s="697"/>
      <c r="X294" s="698" t="s">
        <v>430</v>
      </c>
      <c r="Y294" s="678">
        <v>0</v>
      </c>
      <c r="Z294" s="678">
        <v>10579027</v>
      </c>
      <c r="AA294" s="678">
        <v>10579027</v>
      </c>
      <c r="AB294" s="699">
        <f t="shared" si="79"/>
        <v>1.2760525140922696</v>
      </c>
      <c r="AC294" s="700"/>
      <c r="AD294" s="701"/>
    </row>
    <row r="295" spans="1:30" s="639" customFormat="1" x14ac:dyDescent="0.25">
      <c r="A295" s="639">
        <v>289</v>
      </c>
      <c r="B295" s="639">
        <f>+'_DATA STT PAGOS_'!M295</f>
        <v>13132</v>
      </c>
      <c r="C295" s="639" t="str">
        <f>+'_DATA STT PAGOS_'!O295</f>
        <v>VITACURA</v>
      </c>
      <c r="D295" s="693">
        <f>+'_DATA STT PAGOS_'!G295</f>
        <v>0</v>
      </c>
      <c r="E295" s="693">
        <f>+'_DATA STT PAGOS_'!J295</f>
        <v>2529950.0150000001</v>
      </c>
      <c r="F295" s="694">
        <f>+COEF_FCM!AG297</f>
        <v>7.9058330120000003E-4</v>
      </c>
      <c r="G295" s="693">
        <f t="shared" si="64"/>
        <v>2243961</v>
      </c>
      <c r="H295" s="695">
        <f t="shared" si="76"/>
        <v>-285989.01500000013</v>
      </c>
      <c r="I295" s="641">
        <f t="shared" si="77"/>
        <v>-285989</v>
      </c>
      <c r="J295" s="696">
        <f t="shared" si="78"/>
        <v>0</v>
      </c>
      <c r="K295" s="693">
        <f t="shared" si="65"/>
        <v>0</v>
      </c>
      <c r="L295" s="695">
        <f t="shared" si="66"/>
        <v>0</v>
      </c>
      <c r="M295" s="693">
        <f t="shared" si="67"/>
        <v>0</v>
      </c>
      <c r="N295" s="693">
        <f t="shared" si="68"/>
        <v>2529950</v>
      </c>
      <c r="O295" s="695">
        <f t="shared" si="69"/>
        <v>2529950</v>
      </c>
      <c r="P295" s="695">
        <f t="shared" si="70"/>
        <v>285989</v>
      </c>
      <c r="Q295" s="697">
        <f t="shared" si="71"/>
        <v>7.9058330120000003E-4</v>
      </c>
      <c r="R295" s="694">
        <f t="shared" si="72"/>
        <v>1.007584928E-4</v>
      </c>
      <c r="S295" s="693">
        <v>0</v>
      </c>
      <c r="T295" s="695">
        <f t="shared" si="73"/>
        <v>2529950</v>
      </c>
      <c r="U295" s="695">
        <f t="shared" si="74"/>
        <v>2529950</v>
      </c>
      <c r="V295" s="693">
        <f t="shared" si="75"/>
        <v>285989</v>
      </c>
      <c r="W295" s="697"/>
      <c r="X295" s="698" t="s">
        <v>293</v>
      </c>
      <c r="Y295" s="678">
        <v>0</v>
      </c>
      <c r="Z295" s="678">
        <v>1982639</v>
      </c>
      <c r="AA295" s="678">
        <v>1982639</v>
      </c>
      <c r="AB295" s="699">
        <f t="shared" si="79"/>
        <v>1.2760517673666261</v>
      </c>
      <c r="AC295" s="700"/>
      <c r="AD295" s="701"/>
    </row>
    <row r="296" spans="1:30" s="639" customFormat="1" x14ac:dyDescent="0.25">
      <c r="A296" s="639">
        <v>290</v>
      </c>
      <c r="B296" s="639">
        <f>+'_DATA STT PAGOS_'!M296</f>
        <v>13201</v>
      </c>
      <c r="C296" s="639" t="str">
        <f>+'_DATA STT PAGOS_'!O296</f>
        <v>PUENTE ALTO</v>
      </c>
      <c r="D296" s="693">
        <f>+'_DATA STT PAGOS_'!G296</f>
        <v>0</v>
      </c>
      <c r="E296" s="693">
        <f>+'_DATA STT PAGOS_'!J296</f>
        <v>86068293.695999995</v>
      </c>
      <c r="F296" s="694">
        <f>+COEF_FCM!AG298</f>
        <v>2.74720472358E-2</v>
      </c>
      <c r="G296" s="693">
        <f t="shared" si="64"/>
        <v>77975594</v>
      </c>
      <c r="H296" s="695">
        <f t="shared" si="76"/>
        <v>-8092699.6959999949</v>
      </c>
      <c r="I296" s="641">
        <f t="shared" si="77"/>
        <v>-8092700</v>
      </c>
      <c r="J296" s="696">
        <f t="shared" si="78"/>
        <v>0</v>
      </c>
      <c r="K296" s="693">
        <f t="shared" si="65"/>
        <v>0</v>
      </c>
      <c r="L296" s="695">
        <f t="shared" si="66"/>
        <v>0</v>
      </c>
      <c r="M296" s="693">
        <f t="shared" si="67"/>
        <v>0</v>
      </c>
      <c r="N296" s="693">
        <f t="shared" si="68"/>
        <v>86068294</v>
      </c>
      <c r="O296" s="695">
        <f t="shared" si="69"/>
        <v>86068294</v>
      </c>
      <c r="P296" s="695">
        <f t="shared" si="70"/>
        <v>8092700</v>
      </c>
      <c r="Q296" s="697">
        <f t="shared" si="71"/>
        <v>2.74720472358E-2</v>
      </c>
      <c r="R296" s="694">
        <f t="shared" si="72"/>
        <v>2.8511874740000001E-3</v>
      </c>
      <c r="S296" s="693">
        <v>0</v>
      </c>
      <c r="T296" s="695">
        <f t="shared" si="73"/>
        <v>86068294</v>
      </c>
      <c r="U296" s="695">
        <f t="shared" si="74"/>
        <v>86068294</v>
      </c>
      <c r="V296" s="693">
        <f t="shared" si="75"/>
        <v>8092700</v>
      </c>
      <c r="W296" s="697"/>
      <c r="X296" s="698" t="s">
        <v>303</v>
      </c>
      <c r="Y296" s="678">
        <v>0</v>
      </c>
      <c r="Z296" s="678">
        <v>67448870</v>
      </c>
      <c r="AA296" s="678">
        <v>67448870</v>
      </c>
      <c r="AB296" s="699">
        <f t="shared" si="79"/>
        <v>1.2760524231169477</v>
      </c>
      <c r="AC296" s="700"/>
      <c r="AD296" s="701"/>
    </row>
    <row r="297" spans="1:30" s="639" customFormat="1" x14ac:dyDescent="0.25">
      <c r="A297" s="639">
        <v>291</v>
      </c>
      <c r="B297" s="639">
        <f>+'_DATA STT PAGOS_'!M297</f>
        <v>13202</v>
      </c>
      <c r="C297" s="639" t="str">
        <f>+'_DATA STT PAGOS_'!O297</f>
        <v>PIRQUE</v>
      </c>
      <c r="D297" s="693">
        <f>+'_DATA STT PAGOS_'!G297</f>
        <v>0</v>
      </c>
      <c r="E297" s="693">
        <f>+'_DATA STT PAGOS_'!J297</f>
        <v>2392604.1040000003</v>
      </c>
      <c r="F297" s="694">
        <f>+COEF_FCM!AG299</f>
        <v>9.0535010859999995E-4</v>
      </c>
      <c r="G297" s="693">
        <f t="shared" si="64"/>
        <v>2569711</v>
      </c>
      <c r="H297" s="695">
        <f t="shared" si="76"/>
        <v>177106.89599999972</v>
      </c>
      <c r="I297" s="641">
        <f t="shared" si="77"/>
        <v>0</v>
      </c>
      <c r="J297" s="696">
        <f t="shared" si="78"/>
        <v>177106.89599999972</v>
      </c>
      <c r="K297" s="693">
        <f t="shared" si="65"/>
        <v>96565</v>
      </c>
      <c r="L297" s="695">
        <f t="shared" si="66"/>
        <v>80541.895999999717</v>
      </c>
      <c r="M297" s="693">
        <f t="shared" si="67"/>
        <v>2473146</v>
      </c>
      <c r="N297" s="693">
        <f t="shared" si="68"/>
        <v>0</v>
      </c>
      <c r="O297" s="695">
        <f t="shared" si="69"/>
        <v>2473146</v>
      </c>
      <c r="P297" s="695">
        <f t="shared" si="70"/>
        <v>-96565</v>
      </c>
      <c r="Q297" s="697">
        <f t="shared" si="71"/>
        <v>9.0535010859999995E-4</v>
      </c>
      <c r="R297" s="694">
        <f t="shared" si="72"/>
        <v>-3.4021391899999999E-5</v>
      </c>
      <c r="S297" s="693">
        <v>0</v>
      </c>
      <c r="T297" s="695">
        <f t="shared" si="73"/>
        <v>2473146</v>
      </c>
      <c r="U297" s="695">
        <f t="shared" si="74"/>
        <v>2473146</v>
      </c>
      <c r="V297" s="693">
        <f t="shared" si="75"/>
        <v>0</v>
      </c>
      <c r="W297" s="697"/>
      <c r="X297" s="698" t="s">
        <v>304</v>
      </c>
      <c r="Y297" s="678">
        <v>0</v>
      </c>
      <c r="Z297" s="678">
        <v>1419214</v>
      </c>
      <c r="AA297" s="678">
        <v>1419214</v>
      </c>
      <c r="AB297" s="699">
        <f t="shared" si="79"/>
        <v>1.7426166878286149</v>
      </c>
      <c r="AC297" s="700"/>
      <c r="AD297" s="701"/>
    </row>
    <row r="298" spans="1:30" s="639" customFormat="1" x14ac:dyDescent="0.25">
      <c r="A298" s="639">
        <v>292</v>
      </c>
      <c r="B298" s="639">
        <f>+'_DATA STT PAGOS_'!M298</f>
        <v>13203</v>
      </c>
      <c r="C298" s="639" t="str">
        <f>+'_DATA STT PAGOS_'!O298</f>
        <v>SAN JOSÉ DE MAIPO</v>
      </c>
      <c r="D298" s="693">
        <f>+'_DATA STT PAGOS_'!G298</f>
        <v>0</v>
      </c>
      <c r="E298" s="693">
        <f>+'_DATA STT PAGOS_'!J298</f>
        <v>2387982.9139999999</v>
      </c>
      <c r="F298" s="694">
        <f>+COEF_FCM!AG300</f>
        <v>8.9743750479999993E-4</v>
      </c>
      <c r="G298" s="693">
        <f t="shared" si="64"/>
        <v>2547252</v>
      </c>
      <c r="H298" s="695">
        <f t="shared" si="76"/>
        <v>159269.08600000013</v>
      </c>
      <c r="I298" s="641">
        <f t="shared" si="77"/>
        <v>0</v>
      </c>
      <c r="J298" s="696">
        <f t="shared" si="78"/>
        <v>159269.08600000013</v>
      </c>
      <c r="K298" s="693">
        <f t="shared" si="65"/>
        <v>86840</v>
      </c>
      <c r="L298" s="695">
        <f t="shared" si="66"/>
        <v>72429.086000000127</v>
      </c>
      <c r="M298" s="693">
        <f t="shared" si="67"/>
        <v>2460412</v>
      </c>
      <c r="N298" s="693">
        <f t="shared" si="68"/>
        <v>0</v>
      </c>
      <c r="O298" s="695">
        <f t="shared" si="69"/>
        <v>2460412</v>
      </c>
      <c r="P298" s="695">
        <f t="shared" si="70"/>
        <v>-86840</v>
      </c>
      <c r="Q298" s="697">
        <f t="shared" si="71"/>
        <v>8.9743750479999993E-4</v>
      </c>
      <c r="R298" s="694">
        <f t="shared" si="72"/>
        <v>-3.0595119099999998E-5</v>
      </c>
      <c r="S298" s="693">
        <v>0</v>
      </c>
      <c r="T298" s="695">
        <f t="shared" si="73"/>
        <v>2460412</v>
      </c>
      <c r="U298" s="695">
        <f t="shared" si="74"/>
        <v>2460412</v>
      </c>
      <c r="V298" s="693">
        <f t="shared" si="75"/>
        <v>0</v>
      </c>
      <c r="W298" s="697"/>
      <c r="X298" s="698" t="s">
        <v>431</v>
      </c>
      <c r="Y298" s="678">
        <v>0</v>
      </c>
      <c r="Z298" s="678">
        <v>1836085</v>
      </c>
      <c r="AA298" s="678">
        <v>1836085</v>
      </c>
      <c r="AB298" s="699">
        <f t="shared" si="79"/>
        <v>1.3400316434152013</v>
      </c>
      <c r="AC298" s="700"/>
      <c r="AD298" s="701"/>
    </row>
    <row r="299" spans="1:30" s="639" customFormat="1" x14ac:dyDescent="0.25">
      <c r="A299" s="639">
        <v>293</v>
      </c>
      <c r="B299" s="639">
        <f>+'_DATA STT PAGOS_'!M299</f>
        <v>13301</v>
      </c>
      <c r="C299" s="639" t="str">
        <f>+'_DATA STT PAGOS_'!O299</f>
        <v>COLINA</v>
      </c>
      <c r="D299" s="693">
        <f>+'_DATA STT PAGOS_'!G299</f>
        <v>0</v>
      </c>
      <c r="E299" s="693">
        <f>+'_DATA STT PAGOS_'!J299</f>
        <v>7046003.2949999999</v>
      </c>
      <c r="F299" s="694">
        <f>+COEF_FCM!AG301</f>
        <v>2.7130212060999998E-3</v>
      </c>
      <c r="G299" s="693">
        <f t="shared" si="64"/>
        <v>7700534</v>
      </c>
      <c r="H299" s="695">
        <f t="shared" si="76"/>
        <v>654530.70500000007</v>
      </c>
      <c r="I299" s="641">
        <f t="shared" si="77"/>
        <v>0</v>
      </c>
      <c r="J299" s="696">
        <f t="shared" si="78"/>
        <v>654530.70500000007</v>
      </c>
      <c r="K299" s="693">
        <f t="shared" si="65"/>
        <v>356875</v>
      </c>
      <c r="L299" s="695">
        <f t="shared" si="66"/>
        <v>297655.70500000007</v>
      </c>
      <c r="M299" s="693">
        <f t="shared" si="67"/>
        <v>7343659</v>
      </c>
      <c r="N299" s="693">
        <f t="shared" si="68"/>
        <v>0</v>
      </c>
      <c r="O299" s="695">
        <f t="shared" si="69"/>
        <v>7343659</v>
      </c>
      <c r="P299" s="695">
        <f t="shared" si="70"/>
        <v>-356875</v>
      </c>
      <c r="Q299" s="697">
        <f t="shared" si="71"/>
        <v>2.7130212060999998E-3</v>
      </c>
      <c r="R299" s="694">
        <f t="shared" si="72"/>
        <v>-1.2573276280000001E-4</v>
      </c>
      <c r="S299" s="693">
        <v>0</v>
      </c>
      <c r="T299" s="695">
        <f t="shared" si="73"/>
        <v>7343659</v>
      </c>
      <c r="U299" s="695">
        <f t="shared" si="74"/>
        <v>7343659</v>
      </c>
      <c r="V299" s="693">
        <f t="shared" si="75"/>
        <v>0</v>
      </c>
      <c r="W299" s="697"/>
      <c r="X299" s="698" t="s">
        <v>300</v>
      </c>
      <c r="Y299" s="678">
        <v>0</v>
      </c>
      <c r="Z299" s="678">
        <v>4669620</v>
      </c>
      <c r="AA299" s="678">
        <v>4669620</v>
      </c>
      <c r="AB299" s="699">
        <f t="shared" si="79"/>
        <v>1.5726459540605018</v>
      </c>
      <c r="AC299" s="700"/>
      <c r="AD299" s="701"/>
    </row>
    <row r="300" spans="1:30" s="639" customFormat="1" x14ac:dyDescent="0.25">
      <c r="A300" s="639">
        <v>294</v>
      </c>
      <c r="B300" s="639">
        <f>+'_DATA STT PAGOS_'!M300</f>
        <v>13302</v>
      </c>
      <c r="C300" s="639" t="str">
        <f>+'_DATA STT PAGOS_'!O300</f>
        <v>LAMPA</v>
      </c>
      <c r="D300" s="693">
        <f>+'_DATA STT PAGOS_'!G300</f>
        <v>0</v>
      </c>
      <c r="E300" s="693">
        <f>+'_DATA STT PAGOS_'!J300</f>
        <v>6210082.3670000006</v>
      </c>
      <c r="F300" s="694">
        <f>+COEF_FCM!AG302</f>
        <v>2.3651290875E-3</v>
      </c>
      <c r="G300" s="693">
        <f t="shared" si="64"/>
        <v>6713091</v>
      </c>
      <c r="H300" s="695">
        <f t="shared" si="76"/>
        <v>503008.63299999945</v>
      </c>
      <c r="I300" s="641">
        <f t="shared" si="77"/>
        <v>0</v>
      </c>
      <c r="J300" s="696">
        <f t="shared" si="78"/>
        <v>503008.63299999945</v>
      </c>
      <c r="K300" s="693">
        <f t="shared" si="65"/>
        <v>274259</v>
      </c>
      <c r="L300" s="695">
        <f t="shared" si="66"/>
        <v>228749.63299999945</v>
      </c>
      <c r="M300" s="693">
        <f t="shared" si="67"/>
        <v>6438832</v>
      </c>
      <c r="N300" s="693">
        <f t="shared" si="68"/>
        <v>0</v>
      </c>
      <c r="O300" s="695">
        <f t="shared" si="69"/>
        <v>6438832</v>
      </c>
      <c r="P300" s="695">
        <f t="shared" si="70"/>
        <v>-274259</v>
      </c>
      <c r="Q300" s="697">
        <f t="shared" si="71"/>
        <v>2.3651290875E-3</v>
      </c>
      <c r="R300" s="694">
        <f t="shared" si="72"/>
        <v>-9.6625826400000003E-5</v>
      </c>
      <c r="S300" s="693">
        <v>0</v>
      </c>
      <c r="T300" s="695">
        <f t="shared" si="73"/>
        <v>6438832</v>
      </c>
      <c r="U300" s="695">
        <f t="shared" si="74"/>
        <v>6438832</v>
      </c>
      <c r="V300" s="693">
        <f t="shared" si="75"/>
        <v>0</v>
      </c>
      <c r="W300" s="697"/>
      <c r="X300" s="698" t="s">
        <v>301</v>
      </c>
      <c r="Y300" s="678">
        <v>0</v>
      </c>
      <c r="Z300" s="678">
        <v>3800970</v>
      </c>
      <c r="AA300" s="678">
        <v>3800970</v>
      </c>
      <c r="AB300" s="699">
        <f t="shared" si="79"/>
        <v>1.6939970586455562</v>
      </c>
      <c r="AC300" s="700"/>
      <c r="AD300" s="701"/>
    </row>
    <row r="301" spans="1:30" s="639" customFormat="1" x14ac:dyDescent="0.25">
      <c r="A301" s="639">
        <v>295</v>
      </c>
      <c r="B301" s="639">
        <f>+'_DATA STT PAGOS_'!M301</f>
        <v>13303</v>
      </c>
      <c r="C301" s="639" t="str">
        <f>+'_DATA STT PAGOS_'!O301</f>
        <v>TILTIL</v>
      </c>
      <c r="D301" s="693">
        <f>+'_DATA STT PAGOS_'!G301</f>
        <v>0</v>
      </c>
      <c r="E301" s="693">
        <f>+'_DATA STT PAGOS_'!J301</f>
        <v>2643874.0219999999</v>
      </c>
      <c r="F301" s="694">
        <f>+COEF_FCM!AG303</f>
        <v>1.0366466442999999E-3</v>
      </c>
      <c r="G301" s="693">
        <f t="shared" si="64"/>
        <v>2942378</v>
      </c>
      <c r="H301" s="695">
        <f t="shared" si="76"/>
        <v>298503.97800000012</v>
      </c>
      <c r="I301" s="641">
        <f t="shared" si="77"/>
        <v>0</v>
      </c>
      <c r="J301" s="696">
        <f t="shared" si="78"/>
        <v>298503.97800000012</v>
      </c>
      <c r="K301" s="693">
        <f t="shared" si="65"/>
        <v>162756</v>
      </c>
      <c r="L301" s="695">
        <f t="shared" si="66"/>
        <v>135747.97800000012</v>
      </c>
      <c r="M301" s="693">
        <f t="shared" si="67"/>
        <v>2779622</v>
      </c>
      <c r="N301" s="693">
        <f t="shared" si="68"/>
        <v>0</v>
      </c>
      <c r="O301" s="695">
        <f t="shared" si="69"/>
        <v>2779622</v>
      </c>
      <c r="P301" s="695">
        <f t="shared" si="70"/>
        <v>-162756</v>
      </c>
      <c r="Q301" s="697">
        <f t="shared" si="71"/>
        <v>1.0366466442999999E-3</v>
      </c>
      <c r="R301" s="694">
        <f t="shared" si="72"/>
        <v>-5.7341538500000002E-5</v>
      </c>
      <c r="S301" s="693">
        <v>0</v>
      </c>
      <c r="T301" s="695">
        <f t="shared" si="73"/>
        <v>2779622</v>
      </c>
      <c r="U301" s="695">
        <f t="shared" si="74"/>
        <v>2779622</v>
      </c>
      <c r="V301" s="693">
        <f t="shared" si="75"/>
        <v>0</v>
      </c>
      <c r="W301" s="697"/>
      <c r="X301" s="698" t="s">
        <v>302</v>
      </c>
      <c r="Y301" s="678">
        <v>0</v>
      </c>
      <c r="Z301" s="678">
        <v>1774582</v>
      </c>
      <c r="AA301" s="678">
        <v>1774582</v>
      </c>
      <c r="AB301" s="699">
        <f t="shared" si="79"/>
        <v>1.5663530904742637</v>
      </c>
      <c r="AC301" s="700"/>
      <c r="AD301" s="701"/>
    </row>
    <row r="302" spans="1:30" s="639" customFormat="1" x14ac:dyDescent="0.25">
      <c r="A302" s="639">
        <v>296</v>
      </c>
      <c r="B302" s="639">
        <f>+'_DATA STT PAGOS_'!M302</f>
        <v>13401</v>
      </c>
      <c r="C302" s="639" t="str">
        <f>+'_DATA STT PAGOS_'!O302</f>
        <v>SAN BERNARDO</v>
      </c>
      <c r="D302" s="693">
        <f>+'_DATA STT PAGOS_'!G302</f>
        <v>0</v>
      </c>
      <c r="E302" s="693">
        <f>+'_DATA STT PAGOS_'!J302</f>
        <v>25856464.379000001</v>
      </c>
      <c r="F302" s="694">
        <f>+COEF_FCM!AG304</f>
        <v>7.3298234407999999E-3</v>
      </c>
      <c r="G302" s="693">
        <f t="shared" si="64"/>
        <v>20804687</v>
      </c>
      <c r="H302" s="695">
        <f t="shared" si="76"/>
        <v>-5051777.3790000007</v>
      </c>
      <c r="I302" s="641">
        <f t="shared" si="77"/>
        <v>-5051777</v>
      </c>
      <c r="J302" s="696">
        <f t="shared" si="78"/>
        <v>0</v>
      </c>
      <c r="K302" s="693">
        <f t="shared" si="65"/>
        <v>0</v>
      </c>
      <c r="L302" s="695">
        <f t="shared" si="66"/>
        <v>0</v>
      </c>
      <c r="M302" s="693">
        <f t="shared" si="67"/>
        <v>0</v>
      </c>
      <c r="N302" s="693">
        <f t="shared" si="68"/>
        <v>25856464</v>
      </c>
      <c r="O302" s="695">
        <f t="shared" si="69"/>
        <v>25856464</v>
      </c>
      <c r="P302" s="695">
        <f t="shared" si="70"/>
        <v>5051777</v>
      </c>
      <c r="Q302" s="697">
        <f t="shared" si="71"/>
        <v>7.3298234407999999E-3</v>
      </c>
      <c r="R302" s="694">
        <f t="shared" si="72"/>
        <v>1.7798217287000001E-3</v>
      </c>
      <c r="S302" s="693">
        <v>0</v>
      </c>
      <c r="T302" s="695">
        <f t="shared" si="73"/>
        <v>25856464</v>
      </c>
      <c r="U302" s="695">
        <f t="shared" si="74"/>
        <v>25856464</v>
      </c>
      <c r="V302" s="693">
        <f t="shared" si="75"/>
        <v>5051777</v>
      </c>
      <c r="W302" s="697"/>
      <c r="X302" s="698" t="s">
        <v>305</v>
      </c>
      <c r="Y302" s="678">
        <v>0</v>
      </c>
      <c r="Z302" s="678">
        <v>20262855</v>
      </c>
      <c r="AA302" s="678">
        <v>20262855</v>
      </c>
      <c r="AB302" s="699">
        <f t="shared" si="79"/>
        <v>1.2760523628086959</v>
      </c>
      <c r="AC302" s="700"/>
      <c r="AD302" s="701"/>
    </row>
    <row r="303" spans="1:30" s="639" customFormat="1" x14ac:dyDescent="0.25">
      <c r="A303" s="639">
        <v>297</v>
      </c>
      <c r="B303" s="639">
        <f>+'_DATA STT PAGOS_'!M303</f>
        <v>13402</v>
      </c>
      <c r="C303" s="639" t="str">
        <f>+'_DATA STT PAGOS_'!O303</f>
        <v>BUIN</v>
      </c>
      <c r="D303" s="693">
        <f>+'_DATA STT PAGOS_'!G303</f>
        <v>0</v>
      </c>
      <c r="E303" s="693">
        <f>+'_DATA STT PAGOS_'!J303</f>
        <v>6085109.2809999995</v>
      </c>
      <c r="F303" s="694">
        <f>+COEF_FCM!AG305</f>
        <v>2.3225458963999999E-3</v>
      </c>
      <c r="G303" s="693">
        <f t="shared" si="64"/>
        <v>6592224</v>
      </c>
      <c r="H303" s="695">
        <f t="shared" si="76"/>
        <v>507114.71900000051</v>
      </c>
      <c r="I303" s="641">
        <f t="shared" si="77"/>
        <v>0</v>
      </c>
      <c r="J303" s="696">
        <f t="shared" si="78"/>
        <v>507114.71900000051</v>
      </c>
      <c r="K303" s="693">
        <f t="shared" si="65"/>
        <v>276498</v>
      </c>
      <c r="L303" s="695">
        <f t="shared" si="66"/>
        <v>230616.71900000051</v>
      </c>
      <c r="M303" s="693">
        <f t="shared" si="67"/>
        <v>6315726</v>
      </c>
      <c r="N303" s="693">
        <f t="shared" si="68"/>
        <v>0</v>
      </c>
      <c r="O303" s="695">
        <f t="shared" si="69"/>
        <v>6315726</v>
      </c>
      <c r="P303" s="695">
        <f t="shared" si="70"/>
        <v>-276498</v>
      </c>
      <c r="Q303" s="697">
        <f t="shared" si="71"/>
        <v>2.3225458963999999E-3</v>
      </c>
      <c r="R303" s="694">
        <f t="shared" si="72"/>
        <v>-9.7414661900000005E-5</v>
      </c>
      <c r="S303" s="693">
        <v>0</v>
      </c>
      <c r="T303" s="695">
        <f t="shared" si="73"/>
        <v>6315726</v>
      </c>
      <c r="U303" s="695">
        <f t="shared" si="74"/>
        <v>6315726</v>
      </c>
      <c r="V303" s="693">
        <f t="shared" si="75"/>
        <v>0</v>
      </c>
      <c r="W303" s="697"/>
      <c r="X303" s="698" t="s">
        <v>307</v>
      </c>
      <c r="Y303" s="678">
        <v>0</v>
      </c>
      <c r="Z303" s="678">
        <v>4080167</v>
      </c>
      <c r="AA303" s="678">
        <v>4080167</v>
      </c>
      <c r="AB303" s="699">
        <f t="shared" si="79"/>
        <v>1.5479087007958252</v>
      </c>
      <c r="AC303" s="700"/>
      <c r="AD303" s="701"/>
    </row>
    <row r="304" spans="1:30" s="639" customFormat="1" x14ac:dyDescent="0.25">
      <c r="A304" s="639">
        <v>298</v>
      </c>
      <c r="B304" s="639">
        <f>+'_DATA STT PAGOS_'!M304</f>
        <v>13403</v>
      </c>
      <c r="C304" s="639" t="str">
        <f>+'_DATA STT PAGOS_'!O304</f>
        <v>CALERA DE TANGO</v>
      </c>
      <c r="D304" s="693">
        <f>+'_DATA STT PAGOS_'!G304</f>
        <v>0</v>
      </c>
      <c r="E304" s="693">
        <f>+'_DATA STT PAGOS_'!J304</f>
        <v>2398706.9819999998</v>
      </c>
      <c r="F304" s="694">
        <f>+COEF_FCM!AG306</f>
        <v>9.3255851319999996E-4</v>
      </c>
      <c r="G304" s="693">
        <f t="shared" si="64"/>
        <v>2646938</v>
      </c>
      <c r="H304" s="695">
        <f t="shared" si="76"/>
        <v>248231.01800000016</v>
      </c>
      <c r="I304" s="641">
        <f t="shared" si="77"/>
        <v>0</v>
      </c>
      <c r="J304" s="696">
        <f t="shared" si="78"/>
        <v>248231.01800000016</v>
      </c>
      <c r="K304" s="693">
        <f t="shared" si="65"/>
        <v>135345</v>
      </c>
      <c r="L304" s="695">
        <f t="shared" si="66"/>
        <v>112886.01800000016</v>
      </c>
      <c r="M304" s="693">
        <f t="shared" si="67"/>
        <v>2511593</v>
      </c>
      <c r="N304" s="693">
        <f t="shared" si="68"/>
        <v>0</v>
      </c>
      <c r="O304" s="695">
        <f t="shared" si="69"/>
        <v>2511593</v>
      </c>
      <c r="P304" s="695">
        <f t="shared" si="70"/>
        <v>-135345</v>
      </c>
      <c r="Q304" s="697">
        <f t="shared" si="71"/>
        <v>9.3255851319999996E-4</v>
      </c>
      <c r="R304" s="694">
        <f t="shared" si="72"/>
        <v>-4.76842054E-5</v>
      </c>
      <c r="S304" s="693">
        <v>0</v>
      </c>
      <c r="T304" s="695">
        <f t="shared" si="73"/>
        <v>2511593</v>
      </c>
      <c r="U304" s="695">
        <f t="shared" si="74"/>
        <v>2511593</v>
      </c>
      <c r="V304" s="693">
        <f t="shared" si="75"/>
        <v>0</v>
      </c>
      <c r="W304" s="697"/>
      <c r="X304" s="698" t="s">
        <v>306</v>
      </c>
      <c r="Y304" s="678">
        <v>0</v>
      </c>
      <c r="Z304" s="678">
        <v>1458129</v>
      </c>
      <c r="AA304" s="678">
        <v>1458129</v>
      </c>
      <c r="AB304" s="699">
        <f t="shared" si="79"/>
        <v>1.722476543570562</v>
      </c>
      <c r="AC304" s="700"/>
      <c r="AD304" s="701"/>
    </row>
    <row r="305" spans="1:30" s="639" customFormat="1" x14ac:dyDescent="0.25">
      <c r="A305" s="639">
        <v>299</v>
      </c>
      <c r="B305" s="639">
        <f>+'_DATA STT PAGOS_'!M305</f>
        <v>13404</v>
      </c>
      <c r="C305" s="639" t="str">
        <f>+'_DATA STT PAGOS_'!O305</f>
        <v>PAINE</v>
      </c>
      <c r="D305" s="693">
        <f>+'_DATA STT PAGOS_'!G305</f>
        <v>0</v>
      </c>
      <c r="E305" s="693">
        <f>+'_DATA STT PAGOS_'!J305</f>
        <v>5504740.9700000007</v>
      </c>
      <c r="F305" s="694">
        <f>+COEF_FCM!AG307</f>
        <v>1.9200648464999998E-3</v>
      </c>
      <c r="G305" s="693">
        <f t="shared" si="64"/>
        <v>5449838</v>
      </c>
      <c r="H305" s="695">
        <f t="shared" si="76"/>
        <v>-54902.970000000671</v>
      </c>
      <c r="I305" s="641">
        <f t="shared" si="77"/>
        <v>-54903</v>
      </c>
      <c r="J305" s="696">
        <f t="shared" si="78"/>
        <v>0</v>
      </c>
      <c r="K305" s="693">
        <f t="shared" si="65"/>
        <v>0</v>
      </c>
      <c r="L305" s="695">
        <f t="shared" si="66"/>
        <v>0</v>
      </c>
      <c r="M305" s="693">
        <f t="shared" si="67"/>
        <v>0</v>
      </c>
      <c r="N305" s="693">
        <f t="shared" si="68"/>
        <v>5504741</v>
      </c>
      <c r="O305" s="695">
        <f t="shared" si="69"/>
        <v>5504741</v>
      </c>
      <c r="P305" s="695">
        <f t="shared" si="70"/>
        <v>54903</v>
      </c>
      <c r="Q305" s="697">
        <f t="shared" si="71"/>
        <v>1.9200648464999998E-3</v>
      </c>
      <c r="R305" s="694">
        <f t="shared" si="72"/>
        <v>1.9343203900000001E-5</v>
      </c>
      <c r="S305" s="693">
        <v>0</v>
      </c>
      <c r="T305" s="695">
        <f t="shared" si="73"/>
        <v>5504741</v>
      </c>
      <c r="U305" s="695">
        <f t="shared" si="74"/>
        <v>5504741</v>
      </c>
      <c r="V305" s="693">
        <f t="shared" si="75"/>
        <v>54903</v>
      </c>
      <c r="W305" s="697"/>
      <c r="X305" s="698" t="s">
        <v>308</v>
      </c>
      <c r="Y305" s="678">
        <v>0</v>
      </c>
      <c r="Z305" s="678">
        <v>4028223</v>
      </c>
      <c r="AA305" s="678">
        <v>4028223</v>
      </c>
      <c r="AB305" s="699">
        <f t="shared" si="79"/>
        <v>1.366543262376487</v>
      </c>
      <c r="AC305" s="700"/>
      <c r="AD305" s="701"/>
    </row>
    <row r="306" spans="1:30" s="639" customFormat="1" x14ac:dyDescent="0.25">
      <c r="A306" s="639">
        <v>300</v>
      </c>
      <c r="B306" s="639">
        <f>+'_DATA STT PAGOS_'!M306</f>
        <v>13501</v>
      </c>
      <c r="C306" s="639" t="str">
        <f>+'_DATA STT PAGOS_'!O306</f>
        <v>MELIPILLA</v>
      </c>
      <c r="D306" s="693">
        <f>+'_DATA STT PAGOS_'!G306</f>
        <v>0</v>
      </c>
      <c r="E306" s="693">
        <f>+'_DATA STT PAGOS_'!J306</f>
        <v>22537006.385000002</v>
      </c>
      <c r="F306" s="694">
        <f>+COEF_FCM!AG308</f>
        <v>1.07352913384E-2</v>
      </c>
      <c r="G306" s="693">
        <f t="shared" si="64"/>
        <v>30470635</v>
      </c>
      <c r="H306" s="695">
        <f t="shared" si="76"/>
        <v>7933628.6149999984</v>
      </c>
      <c r="I306" s="641">
        <f t="shared" si="77"/>
        <v>0</v>
      </c>
      <c r="J306" s="696">
        <f t="shared" si="78"/>
        <v>7933628.6149999984</v>
      </c>
      <c r="K306" s="693">
        <f t="shared" si="65"/>
        <v>4325715</v>
      </c>
      <c r="L306" s="695">
        <f t="shared" si="66"/>
        <v>3607913.6149999984</v>
      </c>
      <c r="M306" s="693">
        <f t="shared" si="67"/>
        <v>26144920</v>
      </c>
      <c r="N306" s="693">
        <f t="shared" si="68"/>
        <v>0</v>
      </c>
      <c r="O306" s="695">
        <f t="shared" si="69"/>
        <v>26144920</v>
      </c>
      <c r="P306" s="695">
        <f t="shared" si="70"/>
        <v>-4325715</v>
      </c>
      <c r="Q306" s="697">
        <f t="shared" si="71"/>
        <v>1.07352913384E-2</v>
      </c>
      <c r="R306" s="694">
        <f t="shared" si="72"/>
        <v>-1.5240184888000001E-3</v>
      </c>
      <c r="S306" s="693">
        <v>0</v>
      </c>
      <c r="T306" s="695">
        <f t="shared" si="73"/>
        <v>26144920</v>
      </c>
      <c r="U306" s="695">
        <f t="shared" si="74"/>
        <v>26144920</v>
      </c>
      <c r="V306" s="693">
        <f t="shared" si="75"/>
        <v>0</v>
      </c>
      <c r="W306" s="697"/>
      <c r="X306" s="698" t="s">
        <v>314</v>
      </c>
      <c r="Y306" s="678">
        <v>0</v>
      </c>
      <c r="Z306" s="678">
        <v>12922307</v>
      </c>
      <c r="AA306" s="678">
        <v>12922307</v>
      </c>
      <c r="AB306" s="699">
        <f t="shared" si="79"/>
        <v>2.0232393488252525</v>
      </c>
      <c r="AC306" s="700"/>
      <c r="AD306" s="701"/>
    </row>
    <row r="307" spans="1:30" s="639" customFormat="1" x14ac:dyDescent="0.25">
      <c r="A307" s="639">
        <v>301</v>
      </c>
      <c r="B307" s="639">
        <f>+'_DATA STT PAGOS_'!M307</f>
        <v>13502</v>
      </c>
      <c r="C307" s="639" t="str">
        <f>+'_DATA STT PAGOS_'!O307</f>
        <v>ALHUÉ</v>
      </c>
      <c r="D307" s="693">
        <f>+'_DATA STT PAGOS_'!G307</f>
        <v>0</v>
      </c>
      <c r="E307" s="693">
        <f>+'_DATA STT PAGOS_'!J307</f>
        <v>2262274.92</v>
      </c>
      <c r="F307" s="694">
        <f>+COEF_FCM!AG309</f>
        <v>9.005805090999999E-4</v>
      </c>
      <c r="G307" s="693">
        <f t="shared" si="64"/>
        <v>2556173</v>
      </c>
      <c r="H307" s="695">
        <f t="shared" si="76"/>
        <v>293898.08000000007</v>
      </c>
      <c r="I307" s="641">
        <f t="shared" si="77"/>
        <v>0</v>
      </c>
      <c r="J307" s="696">
        <f t="shared" si="78"/>
        <v>293898.08000000007</v>
      </c>
      <c r="K307" s="693">
        <f t="shared" si="65"/>
        <v>160244</v>
      </c>
      <c r="L307" s="695">
        <f t="shared" si="66"/>
        <v>133654.08000000007</v>
      </c>
      <c r="M307" s="693">
        <f t="shared" si="67"/>
        <v>2395929</v>
      </c>
      <c r="N307" s="693">
        <f t="shared" si="68"/>
        <v>0</v>
      </c>
      <c r="O307" s="695">
        <f t="shared" si="69"/>
        <v>2395929</v>
      </c>
      <c r="P307" s="695">
        <f t="shared" si="70"/>
        <v>-160244</v>
      </c>
      <c r="Q307" s="697">
        <f t="shared" si="71"/>
        <v>9.005805090999999E-4</v>
      </c>
      <c r="R307" s="694">
        <f t="shared" si="72"/>
        <v>-5.6456520799999998E-5</v>
      </c>
      <c r="S307" s="693">
        <v>0</v>
      </c>
      <c r="T307" s="695">
        <f t="shared" si="73"/>
        <v>2395929</v>
      </c>
      <c r="U307" s="695">
        <f t="shared" si="74"/>
        <v>2395929</v>
      </c>
      <c r="V307" s="693">
        <f t="shared" si="75"/>
        <v>0</v>
      </c>
      <c r="W307" s="697"/>
      <c r="X307" s="698" t="s">
        <v>432</v>
      </c>
      <c r="Y307" s="678">
        <v>0</v>
      </c>
      <c r="Z307" s="678">
        <v>1500220</v>
      </c>
      <c r="AA307" s="678">
        <v>1500220</v>
      </c>
      <c r="AB307" s="699">
        <f t="shared" si="79"/>
        <v>1.5970517657410246</v>
      </c>
      <c r="AC307" s="700"/>
      <c r="AD307" s="701"/>
    </row>
    <row r="308" spans="1:30" s="639" customFormat="1" x14ac:dyDescent="0.25">
      <c r="A308" s="639">
        <v>302</v>
      </c>
      <c r="B308" s="639">
        <f>+'_DATA STT PAGOS_'!M308</f>
        <v>13503</v>
      </c>
      <c r="C308" s="639" t="str">
        <f>+'_DATA STT PAGOS_'!O308</f>
        <v>CURACAVÍ</v>
      </c>
      <c r="D308" s="693">
        <f>+'_DATA STT PAGOS_'!G308</f>
        <v>0</v>
      </c>
      <c r="E308" s="693">
        <f>+'_DATA STT PAGOS_'!J308</f>
        <v>3752433.713</v>
      </c>
      <c r="F308" s="694">
        <f>+COEF_FCM!AG310</f>
        <v>1.3305783451E-3</v>
      </c>
      <c r="G308" s="693">
        <f t="shared" si="64"/>
        <v>3776662</v>
      </c>
      <c r="H308" s="695">
        <f t="shared" si="76"/>
        <v>24228.287000000011</v>
      </c>
      <c r="I308" s="641">
        <f t="shared" si="77"/>
        <v>0</v>
      </c>
      <c r="J308" s="696">
        <f t="shared" si="78"/>
        <v>24228.287000000011</v>
      </c>
      <c r="K308" s="693">
        <f t="shared" si="65"/>
        <v>13210</v>
      </c>
      <c r="L308" s="695">
        <f t="shared" si="66"/>
        <v>11018.287000000011</v>
      </c>
      <c r="M308" s="693">
        <f t="shared" si="67"/>
        <v>3763452</v>
      </c>
      <c r="N308" s="693">
        <f t="shared" si="68"/>
        <v>0</v>
      </c>
      <c r="O308" s="695">
        <f t="shared" si="69"/>
        <v>3763452</v>
      </c>
      <c r="P308" s="695">
        <f t="shared" si="70"/>
        <v>-13210</v>
      </c>
      <c r="Q308" s="697">
        <f t="shared" si="71"/>
        <v>1.3305783451E-3</v>
      </c>
      <c r="R308" s="694">
        <f t="shared" si="72"/>
        <v>-4.6540940000000003E-6</v>
      </c>
      <c r="S308" s="693">
        <v>0</v>
      </c>
      <c r="T308" s="695">
        <f t="shared" si="73"/>
        <v>3763452</v>
      </c>
      <c r="U308" s="695">
        <f t="shared" si="74"/>
        <v>3763452</v>
      </c>
      <c r="V308" s="693">
        <f t="shared" si="75"/>
        <v>0</v>
      </c>
      <c r="W308" s="697"/>
      <c r="X308" s="698" t="s">
        <v>433</v>
      </c>
      <c r="Y308" s="678">
        <v>0</v>
      </c>
      <c r="Z308" s="678">
        <v>2940658</v>
      </c>
      <c r="AA308" s="678">
        <v>2940658</v>
      </c>
      <c r="AB308" s="699">
        <f t="shared" si="79"/>
        <v>1.2797992830176104</v>
      </c>
      <c r="AC308" s="700"/>
      <c r="AD308" s="701"/>
    </row>
    <row r="309" spans="1:30" s="639" customFormat="1" x14ac:dyDescent="0.25">
      <c r="A309" s="639">
        <v>303</v>
      </c>
      <c r="B309" s="639">
        <f>+'_DATA STT PAGOS_'!M309</f>
        <v>13504</v>
      </c>
      <c r="C309" s="639" t="str">
        <f>+'_DATA STT PAGOS_'!O309</f>
        <v>MARÍA PINTO</v>
      </c>
      <c r="D309" s="693">
        <f>+'_DATA STT PAGOS_'!G309</f>
        <v>0</v>
      </c>
      <c r="E309" s="693">
        <f>+'_DATA STT PAGOS_'!J309</f>
        <v>2569734.375</v>
      </c>
      <c r="F309" s="694">
        <f>+COEF_FCM!AG311</f>
        <v>1.0061531288999999E-3</v>
      </c>
      <c r="G309" s="693">
        <f t="shared" si="64"/>
        <v>2855826</v>
      </c>
      <c r="H309" s="695">
        <f t="shared" si="76"/>
        <v>286091.625</v>
      </c>
      <c r="I309" s="641">
        <f t="shared" si="77"/>
        <v>0</v>
      </c>
      <c r="J309" s="696">
        <f t="shared" si="78"/>
        <v>286091.625</v>
      </c>
      <c r="K309" s="693">
        <f t="shared" si="65"/>
        <v>155988</v>
      </c>
      <c r="L309" s="695">
        <f t="shared" si="66"/>
        <v>130103.625</v>
      </c>
      <c r="M309" s="693">
        <f t="shared" si="67"/>
        <v>2699838</v>
      </c>
      <c r="N309" s="693">
        <f t="shared" si="68"/>
        <v>0</v>
      </c>
      <c r="O309" s="695">
        <f t="shared" si="69"/>
        <v>2699838</v>
      </c>
      <c r="P309" s="695">
        <f t="shared" si="70"/>
        <v>-155988</v>
      </c>
      <c r="Q309" s="697">
        <f t="shared" si="71"/>
        <v>1.0061531288999999E-3</v>
      </c>
      <c r="R309" s="694">
        <f t="shared" si="72"/>
        <v>-5.4957063999999998E-5</v>
      </c>
      <c r="S309" s="693">
        <v>0</v>
      </c>
      <c r="T309" s="695">
        <f t="shared" si="73"/>
        <v>2699838</v>
      </c>
      <c r="U309" s="695">
        <f t="shared" si="74"/>
        <v>2699838</v>
      </c>
      <c r="V309" s="693">
        <f t="shared" si="75"/>
        <v>0</v>
      </c>
      <c r="W309" s="697"/>
      <c r="X309" s="698" t="s">
        <v>434</v>
      </c>
      <c r="Y309" s="678">
        <v>0</v>
      </c>
      <c r="Z309" s="678">
        <v>1777177</v>
      </c>
      <c r="AA309" s="678">
        <v>1777177</v>
      </c>
      <c r="AB309" s="699">
        <f t="shared" si="79"/>
        <v>1.519172260275707</v>
      </c>
      <c r="AC309" s="700"/>
      <c r="AD309" s="701"/>
    </row>
    <row r="310" spans="1:30" s="639" customFormat="1" x14ac:dyDescent="0.25">
      <c r="A310" s="639">
        <v>304</v>
      </c>
      <c r="B310" s="639">
        <f>+'_DATA STT PAGOS_'!M310</f>
        <v>13505</v>
      </c>
      <c r="C310" s="639" t="str">
        <f>+'_DATA STT PAGOS_'!O310</f>
        <v>SAN PEDRO</v>
      </c>
      <c r="D310" s="693">
        <f>+'_DATA STT PAGOS_'!G310</f>
        <v>0</v>
      </c>
      <c r="E310" s="693">
        <f>+'_DATA STT PAGOS_'!J310</f>
        <v>2898110.3360000001</v>
      </c>
      <c r="F310" s="694">
        <f>+COEF_FCM!AG312</f>
        <v>1.0687676505E-3</v>
      </c>
      <c r="G310" s="693">
        <f t="shared" si="64"/>
        <v>3033549</v>
      </c>
      <c r="H310" s="695">
        <f t="shared" si="76"/>
        <v>135438.66399999987</v>
      </c>
      <c r="I310" s="641">
        <f t="shared" si="77"/>
        <v>0</v>
      </c>
      <c r="J310" s="696">
        <f t="shared" si="78"/>
        <v>135438.66399999987</v>
      </c>
      <c r="K310" s="693">
        <f t="shared" si="65"/>
        <v>73846</v>
      </c>
      <c r="L310" s="695">
        <f t="shared" si="66"/>
        <v>61592.663999999873</v>
      </c>
      <c r="M310" s="693">
        <f t="shared" si="67"/>
        <v>2959703</v>
      </c>
      <c r="N310" s="693">
        <f t="shared" si="68"/>
        <v>0</v>
      </c>
      <c r="O310" s="695">
        <f t="shared" si="69"/>
        <v>2959703</v>
      </c>
      <c r="P310" s="695">
        <f t="shared" si="70"/>
        <v>-73846</v>
      </c>
      <c r="Q310" s="697">
        <f t="shared" si="71"/>
        <v>1.0687676505E-3</v>
      </c>
      <c r="R310" s="694">
        <f t="shared" si="72"/>
        <v>-2.6017125299999998E-5</v>
      </c>
      <c r="S310" s="693">
        <v>0</v>
      </c>
      <c r="T310" s="695">
        <f t="shared" si="73"/>
        <v>2959703</v>
      </c>
      <c r="U310" s="695">
        <f t="shared" si="74"/>
        <v>2959703</v>
      </c>
      <c r="V310" s="693">
        <f t="shared" si="75"/>
        <v>0</v>
      </c>
      <c r="W310" s="697"/>
      <c r="X310" s="698" t="s">
        <v>315</v>
      </c>
      <c r="Y310" s="678">
        <v>0</v>
      </c>
      <c r="Z310" s="678">
        <v>2026176</v>
      </c>
      <c r="AA310" s="678">
        <v>2026176</v>
      </c>
      <c r="AB310" s="699">
        <f t="shared" si="79"/>
        <v>1.4607334209861336</v>
      </c>
      <c r="AC310" s="700"/>
      <c r="AD310" s="701"/>
    </row>
    <row r="311" spans="1:30" s="639" customFormat="1" x14ac:dyDescent="0.25">
      <c r="A311" s="639">
        <v>305</v>
      </c>
      <c r="B311" s="639">
        <f>+'_DATA STT PAGOS_'!M311</f>
        <v>13601</v>
      </c>
      <c r="C311" s="639" t="str">
        <f>+'_DATA STT PAGOS_'!O311</f>
        <v>TALAGANTE</v>
      </c>
      <c r="D311" s="693">
        <f>+'_DATA STT PAGOS_'!G311</f>
        <v>0</v>
      </c>
      <c r="E311" s="693">
        <f>+'_DATA STT PAGOS_'!J311</f>
        <v>8725526.2239999995</v>
      </c>
      <c r="F311" s="694">
        <f>+COEF_FCM!AG313</f>
        <v>3.0887948815000003E-3</v>
      </c>
      <c r="G311" s="693">
        <f t="shared" si="64"/>
        <v>8767116</v>
      </c>
      <c r="H311" s="695">
        <f t="shared" si="76"/>
        <v>41589.776000000536</v>
      </c>
      <c r="I311" s="641">
        <f t="shared" si="77"/>
        <v>0</v>
      </c>
      <c r="J311" s="696">
        <f t="shared" si="78"/>
        <v>41589.776000000536</v>
      </c>
      <c r="K311" s="693">
        <f t="shared" si="65"/>
        <v>22676</v>
      </c>
      <c r="L311" s="695">
        <f t="shared" si="66"/>
        <v>18913.776000000536</v>
      </c>
      <c r="M311" s="693">
        <f t="shared" si="67"/>
        <v>8744440</v>
      </c>
      <c r="N311" s="693">
        <f t="shared" si="68"/>
        <v>0</v>
      </c>
      <c r="O311" s="695">
        <f t="shared" si="69"/>
        <v>8744440</v>
      </c>
      <c r="P311" s="695">
        <f t="shared" si="70"/>
        <v>-22676</v>
      </c>
      <c r="Q311" s="697">
        <f t="shared" si="71"/>
        <v>3.0887948815000003E-3</v>
      </c>
      <c r="R311" s="694">
        <f t="shared" si="72"/>
        <v>-7.9891169999999993E-6</v>
      </c>
      <c r="S311" s="693">
        <v>0</v>
      </c>
      <c r="T311" s="695">
        <f t="shared" si="73"/>
        <v>8744440</v>
      </c>
      <c r="U311" s="695">
        <f t="shared" si="74"/>
        <v>8744440</v>
      </c>
      <c r="V311" s="693">
        <f t="shared" si="75"/>
        <v>0</v>
      </c>
      <c r="W311" s="697"/>
      <c r="X311" s="698" t="s">
        <v>309</v>
      </c>
      <c r="Y311" s="678">
        <v>0</v>
      </c>
      <c r="Z311" s="678">
        <v>6310435</v>
      </c>
      <c r="AA311" s="678">
        <v>6310435</v>
      </c>
      <c r="AB311" s="699">
        <f t="shared" si="79"/>
        <v>1.3857111276797875</v>
      </c>
      <c r="AC311" s="700"/>
      <c r="AD311" s="701"/>
    </row>
    <row r="312" spans="1:30" s="639" customFormat="1" x14ac:dyDescent="0.25">
      <c r="A312" s="639">
        <v>306</v>
      </c>
      <c r="B312" s="639">
        <f>+'_DATA STT PAGOS_'!M312</f>
        <v>13602</v>
      </c>
      <c r="C312" s="639" t="str">
        <f>+'_DATA STT PAGOS_'!O312</f>
        <v>EL MONTE</v>
      </c>
      <c r="D312" s="693">
        <f>+'_DATA STT PAGOS_'!G312</f>
        <v>0</v>
      </c>
      <c r="E312" s="693">
        <f>+'_DATA STT PAGOS_'!J312</f>
        <v>5488637.4939999999</v>
      </c>
      <c r="F312" s="694">
        <f>+COEF_FCM!AG314</f>
        <v>2.5187524303E-3</v>
      </c>
      <c r="G312" s="693">
        <f t="shared" si="64"/>
        <v>7149129</v>
      </c>
      <c r="H312" s="695">
        <f t="shared" si="76"/>
        <v>1660491.5060000001</v>
      </c>
      <c r="I312" s="641">
        <f t="shared" si="77"/>
        <v>0</v>
      </c>
      <c r="J312" s="696">
        <f t="shared" si="78"/>
        <v>1660491.5060000001</v>
      </c>
      <c r="K312" s="693">
        <f t="shared" si="65"/>
        <v>905363</v>
      </c>
      <c r="L312" s="695">
        <f t="shared" si="66"/>
        <v>755128.50600000005</v>
      </c>
      <c r="M312" s="693">
        <f t="shared" si="67"/>
        <v>6243766</v>
      </c>
      <c r="N312" s="693">
        <f t="shared" si="68"/>
        <v>0</v>
      </c>
      <c r="O312" s="695">
        <f t="shared" si="69"/>
        <v>6243766</v>
      </c>
      <c r="P312" s="695">
        <f t="shared" si="70"/>
        <v>-905363</v>
      </c>
      <c r="Q312" s="697">
        <f t="shared" si="71"/>
        <v>2.5187524303E-3</v>
      </c>
      <c r="R312" s="694">
        <f t="shared" si="72"/>
        <v>-3.189738462E-4</v>
      </c>
      <c r="S312" s="693">
        <v>0</v>
      </c>
      <c r="T312" s="695">
        <f t="shared" si="73"/>
        <v>6243766</v>
      </c>
      <c r="U312" s="695">
        <f t="shared" si="74"/>
        <v>6243766</v>
      </c>
      <c r="V312" s="693">
        <f t="shared" si="75"/>
        <v>0</v>
      </c>
      <c r="W312" s="697"/>
      <c r="X312" s="698" t="s">
        <v>311</v>
      </c>
      <c r="Y312" s="678">
        <v>0</v>
      </c>
      <c r="Z312" s="678">
        <v>3327763</v>
      </c>
      <c r="AA312" s="678">
        <v>3327763</v>
      </c>
      <c r="AB312" s="699">
        <f t="shared" si="79"/>
        <v>1.8762652268205398</v>
      </c>
      <c r="AC312" s="700"/>
      <c r="AD312" s="701"/>
    </row>
    <row r="313" spans="1:30" s="639" customFormat="1" x14ac:dyDescent="0.25">
      <c r="A313" s="639">
        <v>307</v>
      </c>
      <c r="B313" s="639">
        <f>+'_DATA STT PAGOS_'!M313</f>
        <v>13603</v>
      </c>
      <c r="C313" s="639" t="str">
        <f>+'_DATA STT PAGOS_'!O313</f>
        <v>ISLA DE MAIPO</v>
      </c>
      <c r="D313" s="693">
        <f>+'_DATA STT PAGOS_'!G313</f>
        <v>0</v>
      </c>
      <c r="E313" s="693">
        <f>+'_DATA STT PAGOS_'!J313</f>
        <v>4205480.8569999998</v>
      </c>
      <c r="F313" s="694">
        <f>+COEF_FCM!AG315</f>
        <v>1.3822283539000001E-3</v>
      </c>
      <c r="G313" s="693">
        <f t="shared" si="64"/>
        <v>3923263</v>
      </c>
      <c r="H313" s="695">
        <f t="shared" si="76"/>
        <v>-282217.85699999984</v>
      </c>
      <c r="I313" s="641">
        <f t="shared" si="77"/>
        <v>-282218</v>
      </c>
      <c r="J313" s="696">
        <f t="shared" si="78"/>
        <v>0</v>
      </c>
      <c r="K313" s="693">
        <f t="shared" si="65"/>
        <v>0</v>
      </c>
      <c r="L313" s="695">
        <f t="shared" si="66"/>
        <v>0</v>
      </c>
      <c r="M313" s="693">
        <f t="shared" si="67"/>
        <v>0</v>
      </c>
      <c r="N313" s="693">
        <f t="shared" si="68"/>
        <v>4205481</v>
      </c>
      <c r="O313" s="695">
        <f t="shared" si="69"/>
        <v>4205481</v>
      </c>
      <c r="P313" s="695">
        <f t="shared" si="70"/>
        <v>282218</v>
      </c>
      <c r="Q313" s="697">
        <f t="shared" si="71"/>
        <v>1.3822283539000001E-3</v>
      </c>
      <c r="R313" s="694">
        <f t="shared" si="72"/>
        <v>9.9429909199999996E-5</v>
      </c>
      <c r="S313" s="693">
        <v>0</v>
      </c>
      <c r="T313" s="695">
        <f t="shared" si="73"/>
        <v>4205481</v>
      </c>
      <c r="U313" s="695">
        <f t="shared" si="74"/>
        <v>4205481</v>
      </c>
      <c r="V313" s="693">
        <f t="shared" si="75"/>
        <v>282218</v>
      </c>
      <c r="W313" s="697"/>
      <c r="X313" s="698" t="s">
        <v>310</v>
      </c>
      <c r="Y313" s="678">
        <v>0</v>
      </c>
      <c r="Z313" s="678">
        <v>3295696</v>
      </c>
      <c r="AA313" s="678">
        <v>3295696</v>
      </c>
      <c r="AB313" s="699">
        <f t="shared" si="79"/>
        <v>1.2760524635767376</v>
      </c>
      <c r="AC313" s="700"/>
      <c r="AD313" s="701"/>
    </row>
    <row r="314" spans="1:30" s="639" customFormat="1" x14ac:dyDescent="0.25">
      <c r="A314" s="639">
        <v>308</v>
      </c>
      <c r="B314" s="639">
        <f>+'_DATA STT PAGOS_'!M314</f>
        <v>13604</v>
      </c>
      <c r="C314" s="639" t="str">
        <f>+'_DATA STT PAGOS_'!O314</f>
        <v>PADRE HURTADO</v>
      </c>
      <c r="D314" s="693">
        <f>+'_DATA STT PAGOS_'!G314</f>
        <v>0</v>
      </c>
      <c r="E314" s="693">
        <f>+'_DATA STT PAGOS_'!J314</f>
        <v>7418545.4189999998</v>
      </c>
      <c r="F314" s="694">
        <f>+COEF_FCM!AG316</f>
        <v>1.9339943335999999E-3</v>
      </c>
      <c r="G314" s="693">
        <f t="shared" si="64"/>
        <v>5489375</v>
      </c>
      <c r="H314" s="695">
        <f t="shared" si="76"/>
        <v>-1929170.4189999998</v>
      </c>
      <c r="I314" s="641">
        <f t="shared" si="77"/>
        <v>-1929170</v>
      </c>
      <c r="J314" s="696">
        <f t="shared" si="78"/>
        <v>0</v>
      </c>
      <c r="K314" s="693">
        <f t="shared" si="65"/>
        <v>0</v>
      </c>
      <c r="L314" s="695">
        <f t="shared" si="66"/>
        <v>0</v>
      </c>
      <c r="M314" s="693">
        <f t="shared" si="67"/>
        <v>0</v>
      </c>
      <c r="N314" s="693">
        <f t="shared" si="68"/>
        <v>7418545</v>
      </c>
      <c r="O314" s="695">
        <f t="shared" si="69"/>
        <v>7418545</v>
      </c>
      <c r="P314" s="695">
        <f t="shared" si="70"/>
        <v>1929170</v>
      </c>
      <c r="Q314" s="697">
        <f t="shared" si="71"/>
        <v>1.9339943335999999E-3</v>
      </c>
      <c r="R314" s="694">
        <f t="shared" si="72"/>
        <v>6.7967740549999996E-4</v>
      </c>
      <c r="S314" s="693">
        <v>0</v>
      </c>
      <c r="T314" s="695">
        <f t="shared" si="73"/>
        <v>7418545</v>
      </c>
      <c r="U314" s="695">
        <f t="shared" si="74"/>
        <v>7418545</v>
      </c>
      <c r="V314" s="693">
        <f t="shared" si="75"/>
        <v>1929170</v>
      </c>
      <c r="W314" s="697"/>
      <c r="X314" s="698" t="s">
        <v>313</v>
      </c>
      <c r="Y314" s="678">
        <v>0</v>
      </c>
      <c r="Z314" s="678">
        <v>5148525</v>
      </c>
      <c r="AA314" s="678">
        <v>5148525</v>
      </c>
      <c r="AB314" s="699">
        <f t="shared" si="79"/>
        <v>1.4409068616739746</v>
      </c>
      <c r="AC314" s="700"/>
      <c r="AD314" s="701"/>
    </row>
    <row r="315" spans="1:30" s="639" customFormat="1" x14ac:dyDescent="0.25">
      <c r="A315" s="639">
        <v>309</v>
      </c>
      <c r="B315" s="639">
        <f>+'_DATA STT PAGOS_'!M315</f>
        <v>13605</v>
      </c>
      <c r="C315" s="639" t="str">
        <f>+'_DATA STT PAGOS_'!O315</f>
        <v>PEÑAFLOR</v>
      </c>
      <c r="D315" s="693">
        <f>+'_DATA STT PAGOS_'!G315</f>
        <v>0</v>
      </c>
      <c r="E315" s="693">
        <f>+'_DATA STT PAGOS_'!J315</f>
        <v>11314822.132999999</v>
      </c>
      <c r="F315" s="694">
        <f>+COEF_FCM!AG317</f>
        <v>4.0787773932000008E-3</v>
      </c>
      <c r="G315" s="693">
        <f t="shared" si="64"/>
        <v>11577044</v>
      </c>
      <c r="H315" s="695">
        <f t="shared" si="76"/>
        <v>262221.86700000055</v>
      </c>
      <c r="I315" s="641">
        <f t="shared" si="77"/>
        <v>0</v>
      </c>
      <c r="J315" s="696">
        <f t="shared" si="78"/>
        <v>262221.86700000055</v>
      </c>
      <c r="K315" s="693">
        <f t="shared" si="65"/>
        <v>142973</v>
      </c>
      <c r="L315" s="695">
        <f t="shared" si="66"/>
        <v>119248.86700000055</v>
      </c>
      <c r="M315" s="693">
        <f t="shared" si="67"/>
        <v>11434071</v>
      </c>
      <c r="N315" s="693">
        <f t="shared" si="68"/>
        <v>0</v>
      </c>
      <c r="O315" s="695">
        <f t="shared" si="69"/>
        <v>11434071</v>
      </c>
      <c r="P315" s="695">
        <f t="shared" si="70"/>
        <v>-142973</v>
      </c>
      <c r="Q315" s="697">
        <f t="shared" si="71"/>
        <v>4.0787773932000008E-3</v>
      </c>
      <c r="R315" s="694">
        <f t="shared" si="72"/>
        <v>-5.0371671600000001E-5</v>
      </c>
      <c r="S315" s="693">
        <v>0</v>
      </c>
      <c r="T315" s="695">
        <f t="shared" si="73"/>
        <v>11434071</v>
      </c>
      <c r="U315" s="695">
        <f t="shared" si="74"/>
        <v>11434071</v>
      </c>
      <c r="V315" s="693">
        <f t="shared" si="75"/>
        <v>0</v>
      </c>
      <c r="W315" s="697"/>
      <c r="X315" s="698" t="s">
        <v>312</v>
      </c>
      <c r="Y315" s="678">
        <v>0</v>
      </c>
      <c r="Z315" s="678">
        <v>8210564</v>
      </c>
      <c r="AA315" s="678">
        <v>8210564</v>
      </c>
      <c r="AB315" s="699">
        <f t="shared" si="79"/>
        <v>1.3926048198394165</v>
      </c>
      <c r="AC315" s="700"/>
      <c r="AD315" s="701"/>
    </row>
    <row r="316" spans="1:30" s="639" customFormat="1" x14ac:dyDescent="0.25">
      <c r="A316" s="639">
        <v>310</v>
      </c>
      <c r="B316" s="639">
        <f>+'_DATA STT PAGOS_'!M316</f>
        <v>14101</v>
      </c>
      <c r="C316" s="639" t="str">
        <f>+'_DATA STT PAGOS_'!O316</f>
        <v>VALDIVIA</v>
      </c>
      <c r="D316" s="693">
        <f>+'_DATA STT PAGOS_'!G316</f>
        <v>0</v>
      </c>
      <c r="E316" s="693">
        <f>+'_DATA STT PAGOS_'!J316</f>
        <v>29461067.520999998</v>
      </c>
      <c r="F316" s="694">
        <f>+COEF_FCM!AG318</f>
        <v>9.3678667763999988E-3</v>
      </c>
      <c r="G316" s="693">
        <f t="shared" si="64"/>
        <v>26589390</v>
      </c>
      <c r="H316" s="695">
        <f t="shared" si="76"/>
        <v>-2871677.5209999979</v>
      </c>
      <c r="I316" s="641">
        <f t="shared" si="77"/>
        <v>-2871678</v>
      </c>
      <c r="J316" s="696">
        <f t="shared" si="78"/>
        <v>0</v>
      </c>
      <c r="K316" s="693">
        <f t="shared" si="65"/>
        <v>0</v>
      </c>
      <c r="L316" s="695">
        <f t="shared" si="66"/>
        <v>0</v>
      </c>
      <c r="M316" s="693">
        <f t="shared" si="67"/>
        <v>0</v>
      </c>
      <c r="N316" s="693">
        <f t="shared" si="68"/>
        <v>29461068</v>
      </c>
      <c r="O316" s="695">
        <f t="shared" si="69"/>
        <v>29461068</v>
      </c>
      <c r="P316" s="695">
        <f t="shared" si="70"/>
        <v>2871678</v>
      </c>
      <c r="Q316" s="697">
        <f t="shared" si="71"/>
        <v>9.3678667763999988E-3</v>
      </c>
      <c r="R316" s="694">
        <f t="shared" si="72"/>
        <v>1.0117380285E-3</v>
      </c>
      <c r="S316" s="693">
        <v>0</v>
      </c>
      <c r="T316" s="695">
        <f t="shared" si="73"/>
        <v>29461068</v>
      </c>
      <c r="U316" s="695">
        <f t="shared" si="74"/>
        <v>29461068</v>
      </c>
      <c r="V316" s="693">
        <f t="shared" si="75"/>
        <v>2871678</v>
      </c>
      <c r="W316" s="697"/>
      <c r="X316" s="698" t="s">
        <v>232</v>
      </c>
      <c r="Y316" s="678">
        <v>0</v>
      </c>
      <c r="Z316" s="678">
        <v>20649936</v>
      </c>
      <c r="AA316" s="678">
        <v>20649936</v>
      </c>
      <c r="AB316" s="699">
        <f t="shared" si="79"/>
        <v>1.4266905233992009</v>
      </c>
      <c r="AC316" s="700"/>
      <c r="AD316" s="701"/>
    </row>
    <row r="317" spans="1:30" s="639" customFormat="1" x14ac:dyDescent="0.25">
      <c r="A317" s="639">
        <v>311</v>
      </c>
      <c r="B317" s="639">
        <f>+'_DATA STT PAGOS_'!M317</f>
        <v>14102</v>
      </c>
      <c r="C317" s="639" t="str">
        <f>+'_DATA STT PAGOS_'!O317</f>
        <v>CORRAL</v>
      </c>
      <c r="D317" s="693">
        <f>+'_DATA STT PAGOS_'!G317</f>
        <v>0</v>
      </c>
      <c r="E317" s="693">
        <f>+'_DATA STT PAGOS_'!J317</f>
        <v>3162300.4749999996</v>
      </c>
      <c r="F317" s="694">
        <f>+COEF_FCM!AG319</f>
        <v>1.2277326753E-3</v>
      </c>
      <c r="G317" s="693">
        <f t="shared" si="64"/>
        <v>3484749</v>
      </c>
      <c r="H317" s="695">
        <f t="shared" si="76"/>
        <v>322448.52500000037</v>
      </c>
      <c r="I317" s="641">
        <f t="shared" si="77"/>
        <v>0</v>
      </c>
      <c r="J317" s="696">
        <f t="shared" si="78"/>
        <v>322448.52500000037</v>
      </c>
      <c r="K317" s="693">
        <f t="shared" si="65"/>
        <v>175811</v>
      </c>
      <c r="L317" s="695">
        <f t="shared" si="66"/>
        <v>146637.52500000037</v>
      </c>
      <c r="M317" s="693">
        <f t="shared" si="67"/>
        <v>3308938</v>
      </c>
      <c r="N317" s="693">
        <f t="shared" si="68"/>
        <v>0</v>
      </c>
      <c r="O317" s="695">
        <f t="shared" si="69"/>
        <v>3308938</v>
      </c>
      <c r="P317" s="695">
        <f t="shared" si="70"/>
        <v>-175811</v>
      </c>
      <c r="Q317" s="697">
        <f t="shared" si="71"/>
        <v>1.2277326753E-3</v>
      </c>
      <c r="R317" s="694">
        <f t="shared" si="72"/>
        <v>-6.1941023499999996E-5</v>
      </c>
      <c r="S317" s="693">
        <v>0</v>
      </c>
      <c r="T317" s="695">
        <f t="shared" si="73"/>
        <v>3308938</v>
      </c>
      <c r="U317" s="695">
        <f t="shared" si="74"/>
        <v>3308938</v>
      </c>
      <c r="V317" s="693">
        <f t="shared" si="75"/>
        <v>0</v>
      </c>
      <c r="W317" s="697"/>
      <c r="X317" s="698" t="s">
        <v>236</v>
      </c>
      <c r="Y317" s="678">
        <v>0</v>
      </c>
      <c r="Z317" s="678">
        <v>2179381</v>
      </c>
      <c r="AA317" s="678">
        <v>2179381</v>
      </c>
      <c r="AB317" s="699">
        <f t="shared" si="79"/>
        <v>1.5182925794067215</v>
      </c>
      <c r="AC317" s="700"/>
      <c r="AD317" s="701"/>
    </row>
    <row r="318" spans="1:30" s="639" customFormat="1" x14ac:dyDescent="0.25">
      <c r="A318" s="639">
        <v>312</v>
      </c>
      <c r="B318" s="639">
        <f>+'_DATA STT PAGOS_'!M318</f>
        <v>14103</v>
      </c>
      <c r="C318" s="639" t="str">
        <f>+'_DATA STT PAGOS_'!O318</f>
        <v>LANCO</v>
      </c>
      <c r="D318" s="693">
        <f>+'_DATA STT PAGOS_'!G318</f>
        <v>0</v>
      </c>
      <c r="E318" s="693">
        <f>+'_DATA STT PAGOS_'!J318</f>
        <v>5137411.716</v>
      </c>
      <c r="F318" s="694">
        <f>+COEF_FCM!AG320</f>
        <v>2.3278833553999996E-3</v>
      </c>
      <c r="G318" s="693">
        <f t="shared" si="64"/>
        <v>6607374</v>
      </c>
      <c r="H318" s="695">
        <f t="shared" si="76"/>
        <v>1469962.284</v>
      </c>
      <c r="I318" s="641">
        <f t="shared" si="77"/>
        <v>0</v>
      </c>
      <c r="J318" s="696">
        <f t="shared" si="78"/>
        <v>1469962.284</v>
      </c>
      <c r="K318" s="693">
        <f t="shared" si="65"/>
        <v>801479</v>
      </c>
      <c r="L318" s="695">
        <f t="shared" si="66"/>
        <v>668483.28399999999</v>
      </c>
      <c r="M318" s="693">
        <f t="shared" si="67"/>
        <v>5805895</v>
      </c>
      <c r="N318" s="693">
        <f t="shared" si="68"/>
        <v>0</v>
      </c>
      <c r="O318" s="695">
        <f t="shared" si="69"/>
        <v>5805895</v>
      </c>
      <c r="P318" s="695">
        <f t="shared" si="70"/>
        <v>-801479</v>
      </c>
      <c r="Q318" s="697">
        <f t="shared" si="71"/>
        <v>2.3278833553999996E-3</v>
      </c>
      <c r="R318" s="694">
        <f t="shared" si="72"/>
        <v>-2.823738537E-4</v>
      </c>
      <c r="S318" s="693">
        <v>0</v>
      </c>
      <c r="T318" s="695">
        <f t="shared" si="73"/>
        <v>5805895</v>
      </c>
      <c r="U318" s="695">
        <f t="shared" si="74"/>
        <v>5805895</v>
      </c>
      <c r="V318" s="693">
        <f t="shared" si="75"/>
        <v>0</v>
      </c>
      <c r="W318" s="697"/>
      <c r="X318" s="698" t="s">
        <v>233</v>
      </c>
      <c r="Y318" s="678">
        <v>0</v>
      </c>
      <c r="Z318" s="678">
        <v>3194310</v>
      </c>
      <c r="AA318" s="678">
        <v>3194310</v>
      </c>
      <c r="AB318" s="699">
        <f t="shared" si="79"/>
        <v>1.8175740613778875</v>
      </c>
      <c r="AC318" s="700"/>
      <c r="AD318" s="701"/>
    </row>
    <row r="319" spans="1:30" s="639" customFormat="1" x14ac:dyDescent="0.25">
      <c r="A319" s="639">
        <v>313</v>
      </c>
      <c r="B319" s="639">
        <f>+'_DATA STT PAGOS_'!M319</f>
        <v>14104</v>
      </c>
      <c r="C319" s="639" t="str">
        <f>+'_DATA STT PAGOS_'!O319</f>
        <v>LOS LAGOS</v>
      </c>
      <c r="D319" s="693">
        <f>+'_DATA STT PAGOS_'!G319</f>
        <v>0</v>
      </c>
      <c r="E319" s="693">
        <f>+'_DATA STT PAGOS_'!J319</f>
        <v>3689571.62</v>
      </c>
      <c r="F319" s="694">
        <f>+COEF_FCM!AG321</f>
        <v>1.2444747864E-3</v>
      </c>
      <c r="G319" s="693">
        <f t="shared" si="64"/>
        <v>3532269</v>
      </c>
      <c r="H319" s="695">
        <f t="shared" si="76"/>
        <v>-157302.62000000011</v>
      </c>
      <c r="I319" s="641">
        <f t="shared" si="77"/>
        <v>-157303</v>
      </c>
      <c r="J319" s="696">
        <f t="shared" si="78"/>
        <v>0</v>
      </c>
      <c r="K319" s="693">
        <f t="shared" si="65"/>
        <v>0</v>
      </c>
      <c r="L319" s="695">
        <f t="shared" si="66"/>
        <v>0</v>
      </c>
      <c r="M319" s="693">
        <f t="shared" si="67"/>
        <v>0</v>
      </c>
      <c r="N319" s="693">
        <f t="shared" si="68"/>
        <v>3689572</v>
      </c>
      <c r="O319" s="695">
        <f t="shared" si="69"/>
        <v>3689572</v>
      </c>
      <c r="P319" s="695">
        <f t="shared" si="70"/>
        <v>157303</v>
      </c>
      <c r="Q319" s="697">
        <f t="shared" si="71"/>
        <v>1.2444747864E-3</v>
      </c>
      <c r="R319" s="694">
        <f t="shared" si="72"/>
        <v>5.5420359500000001E-5</v>
      </c>
      <c r="S319" s="693">
        <v>0</v>
      </c>
      <c r="T319" s="695">
        <f t="shared" si="73"/>
        <v>3689572</v>
      </c>
      <c r="U319" s="695">
        <f t="shared" si="74"/>
        <v>3689572</v>
      </c>
      <c r="V319" s="693">
        <f t="shared" si="75"/>
        <v>157303</v>
      </c>
      <c r="W319" s="697"/>
      <c r="X319" s="698" t="s">
        <v>234</v>
      </c>
      <c r="Y319" s="678">
        <v>0</v>
      </c>
      <c r="Z319" s="678">
        <v>2836461</v>
      </c>
      <c r="AA319" s="678">
        <v>2836461</v>
      </c>
      <c r="AB319" s="699">
        <f t="shared" si="79"/>
        <v>1.3007659897315704</v>
      </c>
      <c r="AC319" s="700"/>
      <c r="AD319" s="701"/>
    </row>
    <row r="320" spans="1:30" s="639" customFormat="1" x14ac:dyDescent="0.25">
      <c r="A320" s="639">
        <v>314</v>
      </c>
      <c r="B320" s="639">
        <f>+'_DATA STT PAGOS_'!M320</f>
        <v>14105</v>
      </c>
      <c r="C320" s="639" t="str">
        <f>+'_DATA STT PAGOS_'!O320</f>
        <v>MÁFIL</v>
      </c>
      <c r="D320" s="693">
        <f>+'_DATA STT PAGOS_'!G320</f>
        <v>0</v>
      </c>
      <c r="E320" s="693">
        <f>+'_DATA STT PAGOS_'!J320</f>
        <v>2511401.5830000001</v>
      </c>
      <c r="F320" s="694">
        <f>+COEF_FCM!AG322</f>
        <v>8.9469285379999998E-4</v>
      </c>
      <c r="G320" s="693">
        <f t="shared" si="64"/>
        <v>2539462</v>
      </c>
      <c r="H320" s="695">
        <f t="shared" si="76"/>
        <v>28060.416999999899</v>
      </c>
      <c r="I320" s="641">
        <f t="shared" si="77"/>
        <v>0</v>
      </c>
      <c r="J320" s="696">
        <f t="shared" si="78"/>
        <v>28060.416999999899</v>
      </c>
      <c r="K320" s="693">
        <f t="shared" si="65"/>
        <v>15300</v>
      </c>
      <c r="L320" s="695">
        <f t="shared" si="66"/>
        <v>12760.416999999899</v>
      </c>
      <c r="M320" s="693">
        <f t="shared" si="67"/>
        <v>2524162</v>
      </c>
      <c r="N320" s="693">
        <f t="shared" si="68"/>
        <v>0</v>
      </c>
      <c r="O320" s="695">
        <f t="shared" si="69"/>
        <v>2524162</v>
      </c>
      <c r="P320" s="695">
        <f t="shared" si="70"/>
        <v>-15300</v>
      </c>
      <c r="Q320" s="697">
        <f t="shared" si="71"/>
        <v>8.9469285379999998E-4</v>
      </c>
      <c r="R320" s="694">
        <f t="shared" si="72"/>
        <v>-5.3904344000000004E-6</v>
      </c>
      <c r="S320" s="693">
        <v>0</v>
      </c>
      <c r="T320" s="695">
        <f t="shared" si="73"/>
        <v>2524162</v>
      </c>
      <c r="U320" s="695">
        <f t="shared" si="74"/>
        <v>2524162</v>
      </c>
      <c r="V320" s="693">
        <f t="shared" si="75"/>
        <v>0</v>
      </c>
      <c r="W320" s="697"/>
      <c r="X320" s="698" t="s">
        <v>435</v>
      </c>
      <c r="Y320" s="678">
        <v>0</v>
      </c>
      <c r="Z320" s="678">
        <v>1775094</v>
      </c>
      <c r="AA320" s="678">
        <v>1775094</v>
      </c>
      <c r="AB320" s="699">
        <f t="shared" si="79"/>
        <v>1.4219877933224945</v>
      </c>
      <c r="AC320" s="700"/>
      <c r="AD320" s="701"/>
    </row>
    <row r="321" spans="1:30" s="639" customFormat="1" x14ac:dyDescent="0.25">
      <c r="A321" s="639">
        <v>315</v>
      </c>
      <c r="B321" s="639">
        <f>+'_DATA STT PAGOS_'!M321</f>
        <v>14106</v>
      </c>
      <c r="C321" s="639" t="str">
        <f>+'_DATA STT PAGOS_'!O321</f>
        <v>MARIQUINA</v>
      </c>
      <c r="D321" s="693">
        <f>+'_DATA STT PAGOS_'!G321</f>
        <v>0</v>
      </c>
      <c r="E321" s="693">
        <f>+'_DATA STT PAGOS_'!J321</f>
        <v>6216032.5310000004</v>
      </c>
      <c r="F321" s="694">
        <f>+COEF_FCM!AG323</f>
        <v>2.5375035961999999E-3</v>
      </c>
      <c r="G321" s="693">
        <f t="shared" si="64"/>
        <v>7202352</v>
      </c>
      <c r="H321" s="695">
        <f t="shared" si="76"/>
        <v>986319.46899999958</v>
      </c>
      <c r="I321" s="641">
        <f t="shared" si="77"/>
        <v>0</v>
      </c>
      <c r="J321" s="696">
        <f t="shared" si="78"/>
        <v>986319.46899999958</v>
      </c>
      <c r="K321" s="693">
        <f t="shared" si="65"/>
        <v>537779</v>
      </c>
      <c r="L321" s="695">
        <f t="shared" si="66"/>
        <v>448540.46899999958</v>
      </c>
      <c r="M321" s="693">
        <f t="shared" si="67"/>
        <v>6664573</v>
      </c>
      <c r="N321" s="693">
        <f t="shared" si="68"/>
        <v>0</v>
      </c>
      <c r="O321" s="695">
        <f t="shared" si="69"/>
        <v>6664573</v>
      </c>
      <c r="P321" s="695">
        <f t="shared" si="70"/>
        <v>-537779</v>
      </c>
      <c r="Q321" s="697">
        <f t="shared" si="71"/>
        <v>2.5375035961999999E-3</v>
      </c>
      <c r="R321" s="694">
        <f t="shared" si="72"/>
        <v>-1.894681316E-4</v>
      </c>
      <c r="S321" s="693">
        <v>0</v>
      </c>
      <c r="T321" s="695">
        <f t="shared" si="73"/>
        <v>6664573</v>
      </c>
      <c r="U321" s="695">
        <f t="shared" si="74"/>
        <v>6664573</v>
      </c>
      <c r="V321" s="693">
        <f t="shared" si="75"/>
        <v>0</v>
      </c>
      <c r="W321" s="697"/>
      <c r="X321" s="698" t="s">
        <v>317</v>
      </c>
      <c r="Y321" s="678">
        <v>0</v>
      </c>
      <c r="Z321" s="678">
        <v>3756044</v>
      </c>
      <c r="AA321" s="678">
        <v>3756044</v>
      </c>
      <c r="AB321" s="699">
        <f t="shared" si="79"/>
        <v>1.7743596720379207</v>
      </c>
      <c r="AC321" s="700"/>
      <c r="AD321" s="701"/>
    </row>
    <row r="322" spans="1:30" s="639" customFormat="1" x14ac:dyDescent="0.25">
      <c r="A322" s="639">
        <v>316</v>
      </c>
      <c r="B322" s="639">
        <f>+'_DATA STT PAGOS_'!M322</f>
        <v>14107</v>
      </c>
      <c r="C322" s="639" t="str">
        <f>+'_DATA STT PAGOS_'!O322</f>
        <v>PAILLACO</v>
      </c>
      <c r="D322" s="693">
        <f>+'_DATA STT PAGOS_'!G322</f>
        <v>0</v>
      </c>
      <c r="E322" s="693">
        <f>+'_DATA STT PAGOS_'!J322</f>
        <v>4563167.7920000004</v>
      </c>
      <c r="F322" s="694">
        <f>+COEF_FCM!AG324</f>
        <v>1.2702546632000001E-3</v>
      </c>
      <c r="G322" s="693">
        <f t="shared" si="64"/>
        <v>3605442</v>
      </c>
      <c r="H322" s="695">
        <f t="shared" si="76"/>
        <v>-957725.79200000037</v>
      </c>
      <c r="I322" s="641">
        <f t="shared" si="77"/>
        <v>-957726</v>
      </c>
      <c r="J322" s="696">
        <f t="shared" si="78"/>
        <v>0</v>
      </c>
      <c r="K322" s="693">
        <f t="shared" si="65"/>
        <v>0</v>
      </c>
      <c r="L322" s="695">
        <f t="shared" si="66"/>
        <v>0</v>
      </c>
      <c r="M322" s="693">
        <f t="shared" si="67"/>
        <v>0</v>
      </c>
      <c r="N322" s="693">
        <f t="shared" si="68"/>
        <v>4563168</v>
      </c>
      <c r="O322" s="695">
        <f t="shared" si="69"/>
        <v>4563168</v>
      </c>
      <c r="P322" s="695">
        <f t="shared" si="70"/>
        <v>957726</v>
      </c>
      <c r="Q322" s="697">
        <f t="shared" si="71"/>
        <v>1.2702546632000001E-3</v>
      </c>
      <c r="R322" s="694">
        <f t="shared" si="72"/>
        <v>3.3742216750000002E-4</v>
      </c>
      <c r="S322" s="693">
        <v>0</v>
      </c>
      <c r="T322" s="695">
        <f t="shared" si="73"/>
        <v>4563168</v>
      </c>
      <c r="U322" s="695">
        <f t="shared" si="74"/>
        <v>4563168</v>
      </c>
      <c r="V322" s="693">
        <f t="shared" si="75"/>
        <v>957726</v>
      </c>
      <c r="W322" s="697"/>
      <c r="X322" s="698" t="s">
        <v>238</v>
      </c>
      <c r="Y322" s="678">
        <v>0</v>
      </c>
      <c r="Z322" s="678">
        <v>2956450</v>
      </c>
      <c r="AA322" s="678">
        <v>2956450</v>
      </c>
      <c r="AB322" s="699">
        <f t="shared" si="79"/>
        <v>1.543461922237819</v>
      </c>
      <c r="AC322" s="700"/>
      <c r="AD322" s="701"/>
    </row>
    <row r="323" spans="1:30" s="639" customFormat="1" x14ac:dyDescent="0.25">
      <c r="A323" s="639">
        <v>317</v>
      </c>
      <c r="B323" s="639">
        <f>+'_DATA STT PAGOS_'!M323</f>
        <v>14108</v>
      </c>
      <c r="C323" s="639" t="str">
        <f>+'_DATA STT PAGOS_'!O323</f>
        <v>PANGUIPULLI</v>
      </c>
      <c r="D323" s="693">
        <f>+'_DATA STT PAGOS_'!G323</f>
        <v>0</v>
      </c>
      <c r="E323" s="693">
        <f>+'_DATA STT PAGOS_'!J323</f>
        <v>10179872.214</v>
      </c>
      <c r="F323" s="694">
        <f>+COEF_FCM!AG325</f>
        <v>1.6636412878999998E-3</v>
      </c>
      <c r="G323" s="693">
        <f t="shared" si="64"/>
        <v>4722015</v>
      </c>
      <c r="H323" s="695">
        <f t="shared" si="76"/>
        <v>-5457857.2139999997</v>
      </c>
      <c r="I323" s="641">
        <f t="shared" si="77"/>
        <v>-5457857</v>
      </c>
      <c r="J323" s="696">
        <f t="shared" si="78"/>
        <v>0</v>
      </c>
      <c r="K323" s="693">
        <f t="shared" si="65"/>
        <v>0</v>
      </c>
      <c r="L323" s="695">
        <f t="shared" si="66"/>
        <v>0</v>
      </c>
      <c r="M323" s="693">
        <f t="shared" si="67"/>
        <v>0</v>
      </c>
      <c r="N323" s="693">
        <f t="shared" si="68"/>
        <v>10179872</v>
      </c>
      <c r="O323" s="695">
        <f t="shared" si="69"/>
        <v>10179872</v>
      </c>
      <c r="P323" s="695">
        <f t="shared" si="70"/>
        <v>5457857</v>
      </c>
      <c r="Q323" s="697">
        <f t="shared" si="71"/>
        <v>1.6636412878999998E-3</v>
      </c>
      <c r="R323" s="694">
        <f t="shared" si="72"/>
        <v>1.9228901990000001E-3</v>
      </c>
      <c r="S323" s="693">
        <v>0</v>
      </c>
      <c r="T323" s="695">
        <f t="shared" si="73"/>
        <v>10179872</v>
      </c>
      <c r="U323" s="695">
        <f t="shared" si="74"/>
        <v>10179872</v>
      </c>
      <c r="V323" s="693">
        <f t="shared" si="75"/>
        <v>5457857</v>
      </c>
      <c r="W323" s="697"/>
      <c r="X323" s="698" t="s">
        <v>237</v>
      </c>
      <c r="Y323" s="678">
        <v>0</v>
      </c>
      <c r="Z323" s="678">
        <v>7977629</v>
      </c>
      <c r="AA323" s="678">
        <v>7977629</v>
      </c>
      <c r="AB323" s="699">
        <f t="shared" si="79"/>
        <v>1.2760523208086012</v>
      </c>
      <c r="AC323" s="700"/>
      <c r="AD323" s="701"/>
    </row>
    <row r="324" spans="1:30" s="639" customFormat="1" x14ac:dyDescent="0.25">
      <c r="A324" s="639">
        <v>318</v>
      </c>
      <c r="B324" s="639">
        <f>+'_DATA STT PAGOS_'!M324</f>
        <v>14201</v>
      </c>
      <c r="C324" s="639" t="str">
        <f>+'_DATA STT PAGOS_'!O324</f>
        <v>LA UNIÓN</v>
      </c>
      <c r="D324" s="693">
        <f>+'_DATA STT PAGOS_'!G324</f>
        <v>0</v>
      </c>
      <c r="E324" s="693">
        <f>+'_DATA STT PAGOS_'!J324</f>
        <v>7507721.0409999993</v>
      </c>
      <c r="F324" s="694">
        <f>+COEF_FCM!AG326</f>
        <v>1.796252364E-3</v>
      </c>
      <c r="G324" s="693">
        <f t="shared" si="64"/>
        <v>5098413</v>
      </c>
      <c r="H324" s="695">
        <f t="shared" si="76"/>
        <v>-2409308.0409999993</v>
      </c>
      <c r="I324" s="641">
        <f t="shared" si="77"/>
        <v>-2409308</v>
      </c>
      <c r="J324" s="696">
        <f t="shared" si="78"/>
        <v>0</v>
      </c>
      <c r="K324" s="693">
        <f t="shared" si="65"/>
        <v>0</v>
      </c>
      <c r="L324" s="695">
        <f t="shared" si="66"/>
        <v>0</v>
      </c>
      <c r="M324" s="693">
        <f t="shared" si="67"/>
        <v>0</v>
      </c>
      <c r="N324" s="693">
        <f t="shared" si="68"/>
        <v>7507721</v>
      </c>
      <c r="O324" s="695">
        <f t="shared" si="69"/>
        <v>7507721</v>
      </c>
      <c r="P324" s="695">
        <f t="shared" si="70"/>
        <v>2409308</v>
      </c>
      <c r="Q324" s="697">
        <f t="shared" si="71"/>
        <v>1.796252364E-3</v>
      </c>
      <c r="R324" s="694">
        <f t="shared" si="72"/>
        <v>8.488376921E-4</v>
      </c>
      <c r="S324" s="693">
        <v>0</v>
      </c>
      <c r="T324" s="695">
        <f t="shared" si="73"/>
        <v>7507721</v>
      </c>
      <c r="U324" s="695">
        <f t="shared" si="74"/>
        <v>7507721</v>
      </c>
      <c r="V324" s="693">
        <f t="shared" si="75"/>
        <v>2409308</v>
      </c>
      <c r="W324" s="697"/>
      <c r="X324" s="698" t="s">
        <v>436</v>
      </c>
      <c r="Y324" s="678">
        <v>0</v>
      </c>
      <c r="Z324" s="678">
        <v>5244618</v>
      </c>
      <c r="AA324" s="678">
        <v>5244618</v>
      </c>
      <c r="AB324" s="699">
        <f t="shared" si="79"/>
        <v>1.4315095970764695</v>
      </c>
      <c r="AC324" s="700"/>
      <c r="AD324" s="701"/>
    </row>
    <row r="325" spans="1:30" s="639" customFormat="1" x14ac:dyDescent="0.25">
      <c r="A325" s="639">
        <v>319</v>
      </c>
      <c r="B325" s="639">
        <f>+'_DATA STT PAGOS_'!M325</f>
        <v>14202</v>
      </c>
      <c r="C325" s="639" t="str">
        <f>+'_DATA STT PAGOS_'!O325</f>
        <v>FUTRONO</v>
      </c>
      <c r="D325" s="693">
        <f>+'_DATA STT PAGOS_'!G325</f>
        <v>0</v>
      </c>
      <c r="E325" s="693">
        <f>+'_DATA STT PAGOS_'!J325</f>
        <v>3441034.9000000004</v>
      </c>
      <c r="F325" s="694">
        <f>+COEF_FCM!AG327</f>
        <v>1.0789513791E-3</v>
      </c>
      <c r="G325" s="693">
        <f t="shared" si="64"/>
        <v>3062454</v>
      </c>
      <c r="H325" s="695">
        <f t="shared" si="76"/>
        <v>-378580.90000000037</v>
      </c>
      <c r="I325" s="641">
        <f t="shared" si="77"/>
        <v>-378581</v>
      </c>
      <c r="J325" s="696">
        <f t="shared" si="78"/>
        <v>0</v>
      </c>
      <c r="K325" s="693">
        <f t="shared" si="65"/>
        <v>0</v>
      </c>
      <c r="L325" s="695">
        <f t="shared" si="66"/>
        <v>0</v>
      </c>
      <c r="M325" s="693">
        <f t="shared" si="67"/>
        <v>0</v>
      </c>
      <c r="N325" s="693">
        <f t="shared" si="68"/>
        <v>3441035</v>
      </c>
      <c r="O325" s="695">
        <f t="shared" si="69"/>
        <v>3441035</v>
      </c>
      <c r="P325" s="695">
        <f t="shared" si="70"/>
        <v>378581</v>
      </c>
      <c r="Q325" s="697">
        <f t="shared" si="71"/>
        <v>1.0789513791E-3</v>
      </c>
      <c r="R325" s="694">
        <f t="shared" si="72"/>
        <v>1.333801333E-4</v>
      </c>
      <c r="S325" s="693">
        <v>0</v>
      </c>
      <c r="T325" s="695">
        <f t="shared" si="73"/>
        <v>3441035</v>
      </c>
      <c r="U325" s="695">
        <f t="shared" si="74"/>
        <v>3441035</v>
      </c>
      <c r="V325" s="693">
        <f t="shared" si="75"/>
        <v>378581</v>
      </c>
      <c r="W325" s="697"/>
      <c r="X325" s="698" t="s">
        <v>235</v>
      </c>
      <c r="Y325" s="678">
        <v>0</v>
      </c>
      <c r="Z325" s="678">
        <v>2696625</v>
      </c>
      <c r="AA325" s="678">
        <v>2696625</v>
      </c>
      <c r="AB325" s="699">
        <f t="shared" si="79"/>
        <v>1.2760524729986558</v>
      </c>
      <c r="AC325" s="700"/>
      <c r="AD325" s="701"/>
    </row>
    <row r="326" spans="1:30" s="639" customFormat="1" x14ac:dyDescent="0.25">
      <c r="A326" s="639">
        <v>320</v>
      </c>
      <c r="B326" s="639">
        <f>+'_DATA STT PAGOS_'!M326</f>
        <v>14203</v>
      </c>
      <c r="C326" s="639" t="str">
        <f>+'_DATA STT PAGOS_'!O326</f>
        <v>LAGO RANCO</v>
      </c>
      <c r="D326" s="693">
        <f>+'_DATA STT PAGOS_'!G326</f>
        <v>0</v>
      </c>
      <c r="E326" s="693">
        <f>+'_DATA STT PAGOS_'!J326</f>
        <v>2974686.27</v>
      </c>
      <c r="F326" s="694">
        <f>+COEF_FCM!AG328</f>
        <v>1.0048300704E-3</v>
      </c>
      <c r="G326" s="693">
        <f t="shared" si="64"/>
        <v>2852071</v>
      </c>
      <c r="H326" s="695">
        <f t="shared" si="76"/>
        <v>-122615.27000000002</v>
      </c>
      <c r="I326" s="641">
        <f t="shared" si="77"/>
        <v>-122615</v>
      </c>
      <c r="J326" s="696">
        <f t="shared" si="78"/>
        <v>0</v>
      </c>
      <c r="K326" s="693">
        <f t="shared" si="65"/>
        <v>0</v>
      </c>
      <c r="L326" s="695">
        <f t="shared" si="66"/>
        <v>0</v>
      </c>
      <c r="M326" s="693">
        <f t="shared" si="67"/>
        <v>0</v>
      </c>
      <c r="N326" s="693">
        <f t="shared" si="68"/>
        <v>2974686</v>
      </c>
      <c r="O326" s="695">
        <f t="shared" si="69"/>
        <v>2974686</v>
      </c>
      <c r="P326" s="695">
        <f t="shared" si="70"/>
        <v>122615</v>
      </c>
      <c r="Q326" s="697">
        <f t="shared" si="71"/>
        <v>1.0048300704E-3</v>
      </c>
      <c r="R326" s="694">
        <f t="shared" si="72"/>
        <v>4.3199223000000001E-5</v>
      </c>
      <c r="S326" s="693">
        <v>0</v>
      </c>
      <c r="T326" s="695">
        <f t="shared" si="73"/>
        <v>2974686</v>
      </c>
      <c r="U326" s="695">
        <f t="shared" si="74"/>
        <v>2974686</v>
      </c>
      <c r="V326" s="693">
        <f t="shared" si="75"/>
        <v>122615</v>
      </c>
      <c r="W326" s="697"/>
      <c r="X326" s="698" t="s">
        <v>239</v>
      </c>
      <c r="Y326" s="678">
        <v>0</v>
      </c>
      <c r="Z326" s="678">
        <v>2331163</v>
      </c>
      <c r="AA326" s="678">
        <v>2331163</v>
      </c>
      <c r="AB326" s="699">
        <f t="shared" si="79"/>
        <v>1.2760523395403924</v>
      </c>
      <c r="AC326" s="700"/>
      <c r="AD326" s="701"/>
    </row>
    <row r="327" spans="1:30" s="639" customFormat="1" x14ac:dyDescent="0.25">
      <c r="A327" s="639">
        <v>321</v>
      </c>
      <c r="B327" s="639">
        <f>+'_DATA STT PAGOS_'!M327</f>
        <v>14204</v>
      </c>
      <c r="C327" s="639" t="str">
        <f>+'_DATA STT PAGOS_'!O327</f>
        <v>RÍO BUENO</v>
      </c>
      <c r="D327" s="693">
        <f>+'_DATA STT PAGOS_'!G327</f>
        <v>0</v>
      </c>
      <c r="E327" s="693">
        <f>+'_DATA STT PAGOS_'!J327</f>
        <v>7048245.7300000004</v>
      </c>
      <c r="F327" s="694">
        <f>+COEF_FCM!AG329</f>
        <v>1.6839236741999998E-3</v>
      </c>
      <c r="G327" s="693">
        <f t="shared" ref="G327:G352" si="80">ROUND(F327*$G$4,0)</f>
        <v>4779584</v>
      </c>
      <c r="H327" s="695">
        <f t="shared" si="76"/>
        <v>-2268661.7300000004</v>
      </c>
      <c r="I327" s="641">
        <f t="shared" si="77"/>
        <v>-2268662</v>
      </c>
      <c r="J327" s="696">
        <f t="shared" si="78"/>
        <v>0</v>
      </c>
      <c r="K327" s="693">
        <f t="shared" ref="K327:K352" si="81">IF(J327&gt;0,ROUND(J327*$J$3,0),0)</f>
        <v>0</v>
      </c>
      <c r="L327" s="695">
        <f t="shared" ref="L327:L352" si="82">+J327-K327</f>
        <v>0</v>
      </c>
      <c r="M327" s="693">
        <f t="shared" ref="M327:M352" si="83">IF(L327&gt;0,ROUND(G327-K327,0),0)</f>
        <v>0</v>
      </c>
      <c r="N327" s="693">
        <f t="shared" ref="N327:N352" si="84">IF(I327&lt;0,ROUND(E327,0),0)</f>
        <v>7048246</v>
      </c>
      <c r="O327" s="695">
        <f t="shared" ref="O327:O352" si="85">ROUND(M327+N327,0)</f>
        <v>7048246</v>
      </c>
      <c r="P327" s="695">
        <f t="shared" ref="P327:P352" si="86">+O327-G327</f>
        <v>2268662</v>
      </c>
      <c r="Q327" s="697">
        <f t="shared" ref="Q327:Q352" si="87">+F327</f>
        <v>1.6839236741999998E-3</v>
      </c>
      <c r="R327" s="694">
        <f t="shared" ref="R327:R352" si="88">ROUND(P327/$O$4,DEC)</f>
        <v>7.9928585980000002E-4</v>
      </c>
      <c r="S327" s="693">
        <v>0</v>
      </c>
      <c r="T327" s="695">
        <f t="shared" ref="T327:T352" si="89">+O327+S327</f>
        <v>7048246</v>
      </c>
      <c r="U327" s="695">
        <f t="shared" ref="U327:U352" si="90">+O327</f>
        <v>7048246</v>
      </c>
      <c r="V327" s="693">
        <f t="shared" ref="V327:V352" si="91">IF(I327&lt;0,ROUND(ABS(I327),0),0)</f>
        <v>2268662</v>
      </c>
      <c r="W327" s="697"/>
      <c r="X327" s="698" t="s">
        <v>437</v>
      </c>
      <c r="Y327" s="678">
        <v>0</v>
      </c>
      <c r="Z327" s="678">
        <v>4113048</v>
      </c>
      <c r="AA327" s="678">
        <v>4113048</v>
      </c>
      <c r="AB327" s="699">
        <f t="shared" si="79"/>
        <v>1.7136308645072948</v>
      </c>
      <c r="AC327" s="700"/>
      <c r="AD327" s="701"/>
    </row>
    <row r="328" spans="1:30" s="639" customFormat="1" x14ac:dyDescent="0.25">
      <c r="A328" s="639">
        <v>322</v>
      </c>
      <c r="B328" s="639">
        <f>+'_DATA STT PAGOS_'!M328</f>
        <v>15101</v>
      </c>
      <c r="C328" s="639" t="str">
        <f>+'_DATA STT PAGOS_'!O328</f>
        <v>ARICA</v>
      </c>
      <c r="D328" s="693">
        <f>+'_DATA STT PAGOS_'!G328</f>
        <v>0</v>
      </c>
      <c r="E328" s="693">
        <f>+'_DATA STT PAGOS_'!J328</f>
        <v>31075956.149000004</v>
      </c>
      <c r="F328" s="694">
        <f>+COEF_FCM!AG330</f>
        <v>1.15062117488E-2</v>
      </c>
      <c r="G328" s="693">
        <f t="shared" si="80"/>
        <v>32658785</v>
      </c>
      <c r="H328" s="695">
        <f t="shared" ref="H328:H352" si="92">G328-E328</f>
        <v>1582828.8509999961</v>
      </c>
      <c r="I328" s="641">
        <f t="shared" ref="I328:I352" si="93">IF(H328&lt;0,ROUND(H328,0),0)</f>
        <v>0</v>
      </c>
      <c r="J328" s="696">
        <f t="shared" ref="J328:J352" si="94">IF(H328&gt;0,H328,0)</f>
        <v>1582828.8509999961</v>
      </c>
      <c r="K328" s="693">
        <f t="shared" si="81"/>
        <v>863018</v>
      </c>
      <c r="L328" s="695">
        <f t="shared" si="82"/>
        <v>719810.85099999607</v>
      </c>
      <c r="M328" s="693">
        <f t="shared" si="83"/>
        <v>31795767</v>
      </c>
      <c r="N328" s="693">
        <f t="shared" si="84"/>
        <v>0</v>
      </c>
      <c r="O328" s="695">
        <f t="shared" si="85"/>
        <v>31795767</v>
      </c>
      <c r="P328" s="695">
        <f t="shared" si="86"/>
        <v>-863018</v>
      </c>
      <c r="Q328" s="697">
        <f t="shared" si="87"/>
        <v>1.15062117488E-2</v>
      </c>
      <c r="R328" s="694">
        <f t="shared" si="88"/>
        <v>-3.0405502630000001E-4</v>
      </c>
      <c r="S328" s="693">
        <v>0</v>
      </c>
      <c r="T328" s="695">
        <f t="shared" si="89"/>
        <v>31795767</v>
      </c>
      <c r="U328" s="695">
        <f t="shared" si="90"/>
        <v>31795767</v>
      </c>
      <c r="V328" s="693">
        <f t="shared" si="91"/>
        <v>0</v>
      </c>
      <c r="W328" s="697"/>
      <c r="X328" s="698" t="s">
        <v>52</v>
      </c>
      <c r="Y328" s="678">
        <v>0</v>
      </c>
      <c r="Z328" s="678">
        <v>22040077</v>
      </c>
      <c r="AA328" s="678">
        <v>22040077</v>
      </c>
      <c r="AB328" s="699">
        <f t="shared" ref="AB328:AB352" si="95">T328/Z328</f>
        <v>1.4426341160241862</v>
      </c>
      <c r="AC328" s="700"/>
      <c r="AD328" s="701"/>
    </row>
    <row r="329" spans="1:30" s="639" customFormat="1" x14ac:dyDescent="0.25">
      <c r="A329" s="639">
        <v>323</v>
      </c>
      <c r="B329" s="639">
        <f>+'_DATA STT PAGOS_'!M329</f>
        <v>15102</v>
      </c>
      <c r="C329" s="639" t="str">
        <f>+'_DATA STT PAGOS_'!O329</f>
        <v>CAMARONES</v>
      </c>
      <c r="D329" s="693">
        <f>+'_DATA STT PAGOS_'!G329</f>
        <v>0</v>
      </c>
      <c r="E329" s="693">
        <f>+'_DATA STT PAGOS_'!J329</f>
        <v>2311196.415</v>
      </c>
      <c r="F329" s="694">
        <f>+COEF_FCM!AG331</f>
        <v>8.9862967269999994E-4</v>
      </c>
      <c r="G329" s="693">
        <f t="shared" si="80"/>
        <v>2550636</v>
      </c>
      <c r="H329" s="695">
        <f t="shared" si="92"/>
        <v>239439.58499999996</v>
      </c>
      <c r="I329" s="641">
        <f t="shared" si="93"/>
        <v>0</v>
      </c>
      <c r="J329" s="696">
        <f t="shared" si="94"/>
        <v>239439.58499999996</v>
      </c>
      <c r="K329" s="693">
        <f t="shared" si="81"/>
        <v>130552</v>
      </c>
      <c r="L329" s="695">
        <f t="shared" si="82"/>
        <v>108887.58499999996</v>
      </c>
      <c r="M329" s="693">
        <f t="shared" si="83"/>
        <v>2420084</v>
      </c>
      <c r="N329" s="693">
        <f t="shared" si="84"/>
        <v>0</v>
      </c>
      <c r="O329" s="695">
        <f t="shared" si="85"/>
        <v>2420084</v>
      </c>
      <c r="P329" s="695">
        <f t="shared" si="86"/>
        <v>-130552</v>
      </c>
      <c r="Q329" s="697">
        <f t="shared" si="87"/>
        <v>8.9862967269999994E-4</v>
      </c>
      <c r="R329" s="694">
        <f t="shared" si="88"/>
        <v>-4.5995554900000003E-5</v>
      </c>
      <c r="S329" s="693">
        <v>0</v>
      </c>
      <c r="T329" s="695">
        <f t="shared" si="89"/>
        <v>2420084</v>
      </c>
      <c r="U329" s="695">
        <f t="shared" si="90"/>
        <v>2420084</v>
      </c>
      <c r="V329" s="693">
        <f t="shared" si="91"/>
        <v>0</v>
      </c>
      <c r="W329" s="697"/>
      <c r="X329" s="698" t="s">
        <v>53</v>
      </c>
      <c r="Y329" s="678">
        <v>0</v>
      </c>
      <c r="Z329" s="678">
        <v>1583843</v>
      </c>
      <c r="AA329" s="678">
        <v>1583843</v>
      </c>
      <c r="AB329" s="699">
        <f t="shared" si="95"/>
        <v>1.5279822558170222</v>
      </c>
      <c r="AC329" s="700"/>
      <c r="AD329" s="701"/>
    </row>
    <row r="330" spans="1:30" s="639" customFormat="1" x14ac:dyDescent="0.25">
      <c r="A330" s="639">
        <v>324</v>
      </c>
      <c r="B330" s="639">
        <f>+'_DATA STT PAGOS_'!M330</f>
        <v>15201</v>
      </c>
      <c r="C330" s="639" t="str">
        <f>+'_DATA STT PAGOS_'!O330</f>
        <v>PUTRE</v>
      </c>
      <c r="D330" s="693">
        <f>+'_DATA STT PAGOS_'!G330</f>
        <v>0</v>
      </c>
      <c r="E330" s="693">
        <f>+'_DATA STT PAGOS_'!J330</f>
        <v>3257257.696</v>
      </c>
      <c r="F330" s="694">
        <f>+COEF_FCM!AG332</f>
        <v>1.3335595016E-3</v>
      </c>
      <c r="G330" s="693">
        <f t="shared" si="80"/>
        <v>3785124</v>
      </c>
      <c r="H330" s="695">
        <f t="shared" si="92"/>
        <v>527866.304</v>
      </c>
      <c r="I330" s="641">
        <f t="shared" si="93"/>
        <v>0</v>
      </c>
      <c r="J330" s="696">
        <f t="shared" si="94"/>
        <v>527866.304</v>
      </c>
      <c r="K330" s="693">
        <f t="shared" si="81"/>
        <v>287813</v>
      </c>
      <c r="L330" s="695">
        <f t="shared" si="82"/>
        <v>240053.304</v>
      </c>
      <c r="M330" s="693">
        <f t="shared" si="83"/>
        <v>3497311</v>
      </c>
      <c r="N330" s="693">
        <f t="shared" si="84"/>
        <v>0</v>
      </c>
      <c r="O330" s="695">
        <f t="shared" si="85"/>
        <v>3497311</v>
      </c>
      <c r="P330" s="695">
        <f t="shared" si="86"/>
        <v>-287813</v>
      </c>
      <c r="Q330" s="697">
        <f t="shared" si="87"/>
        <v>1.3335595016E-3</v>
      </c>
      <c r="R330" s="694">
        <f t="shared" si="88"/>
        <v>-1.014011171E-4</v>
      </c>
      <c r="S330" s="693">
        <v>0</v>
      </c>
      <c r="T330" s="695">
        <f t="shared" si="89"/>
        <v>3497311</v>
      </c>
      <c r="U330" s="695">
        <f t="shared" si="90"/>
        <v>3497311</v>
      </c>
      <c r="V330" s="693">
        <f t="shared" si="91"/>
        <v>0</v>
      </c>
      <c r="W330" s="697"/>
      <c r="X330" s="698" t="s">
        <v>61</v>
      </c>
      <c r="Y330" s="678">
        <v>0</v>
      </c>
      <c r="Z330" s="678">
        <v>2212509</v>
      </c>
      <c r="AA330" s="678">
        <v>2212509</v>
      </c>
      <c r="AB330" s="699">
        <f t="shared" si="95"/>
        <v>1.5806991067606957</v>
      </c>
      <c r="AC330" s="700"/>
      <c r="AD330" s="701"/>
    </row>
    <row r="331" spans="1:30" s="639" customFormat="1" x14ac:dyDescent="0.25">
      <c r="A331" s="639">
        <v>325</v>
      </c>
      <c r="B331" s="639">
        <f>+'_DATA STT PAGOS_'!M331</f>
        <v>15202</v>
      </c>
      <c r="C331" s="639" t="str">
        <f>+'_DATA STT PAGOS_'!O331</f>
        <v>GENERAL LAGOS</v>
      </c>
      <c r="D331" s="693">
        <f>+'_DATA STT PAGOS_'!G331</f>
        <v>0</v>
      </c>
      <c r="E331" s="693">
        <f>+'_DATA STT PAGOS_'!J331</f>
        <v>1986825.6940000001</v>
      </c>
      <c r="F331" s="694">
        <f>+COEF_FCM!AG333</f>
        <v>7.5803710839999995E-4</v>
      </c>
      <c r="G331" s="693">
        <f t="shared" si="80"/>
        <v>2151583</v>
      </c>
      <c r="H331" s="695">
        <f t="shared" si="92"/>
        <v>164757.30599999987</v>
      </c>
      <c r="I331" s="641">
        <f t="shared" si="93"/>
        <v>0</v>
      </c>
      <c r="J331" s="696">
        <f t="shared" si="94"/>
        <v>164757.30599999987</v>
      </c>
      <c r="K331" s="693">
        <f t="shared" si="81"/>
        <v>89832</v>
      </c>
      <c r="L331" s="695">
        <f t="shared" si="82"/>
        <v>74925.305999999866</v>
      </c>
      <c r="M331" s="693">
        <f t="shared" si="83"/>
        <v>2061751</v>
      </c>
      <c r="N331" s="693">
        <f t="shared" si="84"/>
        <v>0</v>
      </c>
      <c r="O331" s="695">
        <f t="shared" si="85"/>
        <v>2061751</v>
      </c>
      <c r="P331" s="695">
        <f t="shared" si="86"/>
        <v>-89832</v>
      </c>
      <c r="Q331" s="697">
        <f t="shared" si="87"/>
        <v>7.5803710839999995E-4</v>
      </c>
      <c r="R331" s="694">
        <f t="shared" si="88"/>
        <v>-3.1649248499999998E-5</v>
      </c>
      <c r="S331" s="693">
        <v>0</v>
      </c>
      <c r="T331" s="695">
        <f t="shared" si="89"/>
        <v>2061751</v>
      </c>
      <c r="U331" s="695">
        <f t="shared" si="90"/>
        <v>2061751</v>
      </c>
      <c r="V331" s="693">
        <f t="shared" si="91"/>
        <v>0</v>
      </c>
      <c r="W331" s="697"/>
      <c r="X331" s="698" t="s">
        <v>62</v>
      </c>
      <c r="Y331" s="678">
        <v>0</v>
      </c>
      <c r="Z331" s="678">
        <v>1346768</v>
      </c>
      <c r="AA331" s="678">
        <v>1346768</v>
      </c>
      <c r="AB331" s="699">
        <f t="shared" si="95"/>
        <v>1.5308880222874319</v>
      </c>
      <c r="AC331" s="700"/>
      <c r="AD331" s="701"/>
    </row>
    <row r="332" spans="1:30" s="639" customFormat="1" x14ac:dyDescent="0.25">
      <c r="A332" s="639">
        <v>326</v>
      </c>
      <c r="B332" s="639">
        <f>+'_DATA STT PAGOS_'!M332</f>
        <v>16101</v>
      </c>
      <c r="C332" s="639" t="str">
        <f>+'_DATA STT PAGOS_'!O332</f>
        <v>CHILLÁN</v>
      </c>
      <c r="D332" s="693">
        <f>+'_DATA STT PAGOS_'!G332</f>
        <v>0</v>
      </c>
      <c r="E332" s="693">
        <f>+'_DATA STT PAGOS_'!J332</f>
        <v>24660015.822999999</v>
      </c>
      <c r="F332" s="694">
        <f>+COEF_FCM!AG334</f>
        <v>9.8088502143999987E-3</v>
      </c>
      <c r="G332" s="693">
        <f t="shared" si="80"/>
        <v>27841060</v>
      </c>
      <c r="H332" s="695">
        <f t="shared" si="92"/>
        <v>3181044.1770000011</v>
      </c>
      <c r="I332" s="641">
        <f t="shared" si="93"/>
        <v>0</v>
      </c>
      <c r="J332" s="696">
        <f t="shared" si="94"/>
        <v>3181044.1770000011</v>
      </c>
      <c r="K332" s="693">
        <f t="shared" si="81"/>
        <v>1734426</v>
      </c>
      <c r="L332" s="695">
        <f t="shared" si="82"/>
        <v>1446618.1770000011</v>
      </c>
      <c r="M332" s="693">
        <f t="shared" si="83"/>
        <v>26106634</v>
      </c>
      <c r="N332" s="693">
        <f t="shared" si="84"/>
        <v>0</v>
      </c>
      <c r="O332" s="695">
        <f t="shared" si="85"/>
        <v>26106634</v>
      </c>
      <c r="P332" s="695">
        <f t="shared" si="86"/>
        <v>-1734426</v>
      </c>
      <c r="Q332" s="697">
        <f t="shared" si="87"/>
        <v>9.8088502143999987E-3</v>
      </c>
      <c r="R332" s="694">
        <f t="shared" si="88"/>
        <v>-6.110659836E-4</v>
      </c>
      <c r="S332" s="693">
        <v>0</v>
      </c>
      <c r="T332" s="695">
        <f t="shared" si="89"/>
        <v>26106634</v>
      </c>
      <c r="U332" s="695">
        <f t="shared" si="90"/>
        <v>26106634</v>
      </c>
      <c r="V332" s="693">
        <f t="shared" si="91"/>
        <v>0</v>
      </c>
      <c r="W332" s="697"/>
      <c r="X332" s="698" t="s">
        <v>401</v>
      </c>
      <c r="Y332" s="678">
        <v>0</v>
      </c>
      <c r="Z332" s="678">
        <v>17543047</v>
      </c>
      <c r="AA332" s="678">
        <v>17543047</v>
      </c>
      <c r="AB332" s="699">
        <f t="shared" si="95"/>
        <v>1.4881470704604507</v>
      </c>
      <c r="AC332" s="700"/>
      <c r="AD332" s="701"/>
    </row>
    <row r="333" spans="1:30" s="639" customFormat="1" x14ac:dyDescent="0.25">
      <c r="A333" s="639">
        <v>327</v>
      </c>
      <c r="B333" s="639">
        <f>+'_DATA STT PAGOS_'!M333</f>
        <v>16102</v>
      </c>
      <c r="C333" s="639" t="str">
        <f>+'_DATA STT PAGOS_'!O333</f>
        <v>BULNES</v>
      </c>
      <c r="D333" s="693">
        <f>+'_DATA STT PAGOS_'!G333</f>
        <v>0</v>
      </c>
      <c r="E333" s="693">
        <f>+'_DATA STT PAGOS_'!J333</f>
        <v>6035667.9219999993</v>
      </c>
      <c r="F333" s="694">
        <f>+COEF_FCM!AG335</f>
        <v>2.6547600787999994E-3</v>
      </c>
      <c r="G333" s="693">
        <f t="shared" si="80"/>
        <v>7535168</v>
      </c>
      <c r="H333" s="695">
        <f t="shared" si="92"/>
        <v>1499500.0780000007</v>
      </c>
      <c r="I333" s="641">
        <f t="shared" si="93"/>
        <v>0</v>
      </c>
      <c r="J333" s="696">
        <f t="shared" si="94"/>
        <v>1499500.0780000007</v>
      </c>
      <c r="K333" s="693">
        <f t="shared" si="81"/>
        <v>817584</v>
      </c>
      <c r="L333" s="695">
        <f t="shared" si="82"/>
        <v>681916.07800000068</v>
      </c>
      <c r="M333" s="693">
        <f t="shared" si="83"/>
        <v>6717584</v>
      </c>
      <c r="N333" s="693">
        <f t="shared" si="84"/>
        <v>0</v>
      </c>
      <c r="O333" s="695">
        <f t="shared" si="85"/>
        <v>6717584</v>
      </c>
      <c r="P333" s="695">
        <f t="shared" si="86"/>
        <v>-817584</v>
      </c>
      <c r="Q333" s="697">
        <f t="shared" si="87"/>
        <v>2.6547600787999994E-3</v>
      </c>
      <c r="R333" s="694">
        <f t="shared" si="88"/>
        <v>-2.8804790239999998E-4</v>
      </c>
      <c r="S333" s="693">
        <v>0</v>
      </c>
      <c r="T333" s="695">
        <f t="shared" si="89"/>
        <v>6717584</v>
      </c>
      <c r="U333" s="695">
        <f t="shared" si="90"/>
        <v>6717584</v>
      </c>
      <c r="V333" s="693">
        <f t="shared" si="91"/>
        <v>0</v>
      </c>
      <c r="W333" s="697"/>
      <c r="X333" s="698" t="s">
        <v>177</v>
      </c>
      <c r="Y333" s="678">
        <v>0</v>
      </c>
      <c r="Z333" s="678">
        <v>3486495</v>
      </c>
      <c r="AA333" s="678">
        <v>3486495</v>
      </c>
      <c r="AB333" s="699">
        <f t="shared" si="95"/>
        <v>1.9267441943843315</v>
      </c>
      <c r="AC333" s="700"/>
      <c r="AD333" s="701"/>
    </row>
    <row r="334" spans="1:30" s="639" customFormat="1" x14ac:dyDescent="0.25">
      <c r="A334" s="639">
        <v>328</v>
      </c>
      <c r="B334" s="639">
        <f>+'_DATA STT PAGOS_'!M334</f>
        <v>16103</v>
      </c>
      <c r="C334" s="639" t="str">
        <f>+'_DATA STT PAGOS_'!O334</f>
        <v>CHILLÁN VIEJO</v>
      </c>
      <c r="D334" s="693">
        <f>+'_DATA STT PAGOS_'!G334</f>
        <v>0</v>
      </c>
      <c r="E334" s="693">
        <f>+'_DATA STT PAGOS_'!J334</f>
        <v>6392111.0770000005</v>
      </c>
      <c r="F334" s="694">
        <f>+COEF_FCM!AG336</f>
        <v>2.7492596458999997E-3</v>
      </c>
      <c r="G334" s="693">
        <f t="shared" si="80"/>
        <v>7803392</v>
      </c>
      <c r="H334" s="695">
        <f t="shared" si="92"/>
        <v>1411280.9229999995</v>
      </c>
      <c r="I334" s="641">
        <f t="shared" si="93"/>
        <v>0</v>
      </c>
      <c r="J334" s="696">
        <f t="shared" si="94"/>
        <v>1411280.9229999995</v>
      </c>
      <c r="K334" s="693">
        <f t="shared" si="81"/>
        <v>769484</v>
      </c>
      <c r="L334" s="695">
        <f t="shared" si="82"/>
        <v>641796.92299999949</v>
      </c>
      <c r="M334" s="693">
        <f t="shared" si="83"/>
        <v>7033908</v>
      </c>
      <c r="N334" s="693">
        <f t="shared" si="84"/>
        <v>0</v>
      </c>
      <c r="O334" s="695">
        <f t="shared" si="85"/>
        <v>7033908</v>
      </c>
      <c r="P334" s="695">
        <f t="shared" si="86"/>
        <v>-769484</v>
      </c>
      <c r="Q334" s="697">
        <f t="shared" si="87"/>
        <v>2.7492596458999997E-3</v>
      </c>
      <c r="R334" s="694">
        <f t="shared" si="88"/>
        <v>-2.7110150410000002E-4</v>
      </c>
      <c r="S334" s="693">
        <v>0</v>
      </c>
      <c r="T334" s="695">
        <f t="shared" si="89"/>
        <v>7033908</v>
      </c>
      <c r="U334" s="695">
        <f t="shared" si="90"/>
        <v>7033908</v>
      </c>
      <c r="V334" s="693">
        <f t="shared" si="91"/>
        <v>0</v>
      </c>
      <c r="W334" s="697"/>
      <c r="X334" s="698" t="s">
        <v>402</v>
      </c>
      <c r="Y334" s="678">
        <v>0</v>
      </c>
      <c r="Z334" s="678">
        <v>4166197</v>
      </c>
      <c r="AA334" s="678">
        <v>4166197</v>
      </c>
      <c r="AB334" s="699">
        <f t="shared" si="95"/>
        <v>1.6883282283579004</v>
      </c>
      <c r="AC334" s="700"/>
      <c r="AD334" s="701"/>
    </row>
    <row r="335" spans="1:30" s="639" customFormat="1" x14ac:dyDescent="0.25">
      <c r="A335" s="639">
        <v>329</v>
      </c>
      <c r="B335" s="639">
        <f>+'_DATA STT PAGOS_'!M335</f>
        <v>16104</v>
      </c>
      <c r="C335" s="639" t="str">
        <f>+'_DATA STT PAGOS_'!O335</f>
        <v>EL CARMEN</v>
      </c>
      <c r="D335" s="693">
        <f>+'_DATA STT PAGOS_'!G335</f>
        <v>0</v>
      </c>
      <c r="E335" s="693">
        <f>+'_DATA STT PAGOS_'!J335</f>
        <v>4264939.7910000002</v>
      </c>
      <c r="F335" s="694">
        <f>+COEF_FCM!AG337</f>
        <v>1.7611375771E-3</v>
      </c>
      <c r="G335" s="693">
        <f t="shared" si="80"/>
        <v>4998745</v>
      </c>
      <c r="H335" s="695">
        <f t="shared" si="92"/>
        <v>733805.2089999998</v>
      </c>
      <c r="I335" s="641">
        <f t="shared" si="93"/>
        <v>0</v>
      </c>
      <c r="J335" s="696">
        <f t="shared" si="94"/>
        <v>733805.2089999998</v>
      </c>
      <c r="K335" s="693">
        <f t="shared" si="81"/>
        <v>400098</v>
      </c>
      <c r="L335" s="695">
        <f t="shared" si="82"/>
        <v>333707.2089999998</v>
      </c>
      <c r="M335" s="693">
        <f t="shared" si="83"/>
        <v>4598647</v>
      </c>
      <c r="N335" s="693">
        <f t="shared" si="84"/>
        <v>0</v>
      </c>
      <c r="O335" s="695">
        <f t="shared" si="85"/>
        <v>4598647</v>
      </c>
      <c r="P335" s="695">
        <f t="shared" si="86"/>
        <v>-400098</v>
      </c>
      <c r="Q335" s="697">
        <f t="shared" si="87"/>
        <v>1.7611375771E-3</v>
      </c>
      <c r="R335" s="694">
        <f t="shared" si="88"/>
        <v>-1.4096091610000001E-4</v>
      </c>
      <c r="S335" s="693">
        <v>0</v>
      </c>
      <c r="T335" s="695">
        <f t="shared" si="89"/>
        <v>4598647</v>
      </c>
      <c r="U335" s="695">
        <f t="shared" si="90"/>
        <v>4598647</v>
      </c>
      <c r="V335" s="693">
        <f t="shared" si="91"/>
        <v>0</v>
      </c>
      <c r="W335" s="697"/>
      <c r="X335" s="698" t="s">
        <v>181</v>
      </c>
      <c r="Y335" s="678">
        <v>0</v>
      </c>
      <c r="Z335" s="678">
        <v>2888333</v>
      </c>
      <c r="AA335" s="678">
        <v>2888333</v>
      </c>
      <c r="AB335" s="699">
        <f t="shared" si="95"/>
        <v>1.5921457117306073</v>
      </c>
      <c r="AC335" s="700"/>
      <c r="AD335" s="701"/>
    </row>
    <row r="336" spans="1:30" s="639" customFormat="1" x14ac:dyDescent="0.25">
      <c r="A336" s="639">
        <v>330</v>
      </c>
      <c r="B336" s="639">
        <f>+'_DATA STT PAGOS_'!M336</f>
        <v>16105</v>
      </c>
      <c r="C336" s="639" t="str">
        <f>+'_DATA STT PAGOS_'!O336</f>
        <v>PEMUCO</v>
      </c>
      <c r="D336" s="693">
        <f>+'_DATA STT PAGOS_'!G336</f>
        <v>0</v>
      </c>
      <c r="E336" s="693">
        <f>+'_DATA STT PAGOS_'!J336</f>
        <v>2744674.0080000004</v>
      </c>
      <c r="F336" s="694">
        <f>+COEF_FCM!AG338</f>
        <v>1.0861307083999999E-3</v>
      </c>
      <c r="G336" s="693">
        <f t="shared" si="80"/>
        <v>3082831</v>
      </c>
      <c r="H336" s="695">
        <f t="shared" si="92"/>
        <v>338156.99199999962</v>
      </c>
      <c r="I336" s="641">
        <f t="shared" si="93"/>
        <v>0</v>
      </c>
      <c r="J336" s="696">
        <f t="shared" si="94"/>
        <v>338156.99199999962</v>
      </c>
      <c r="K336" s="693">
        <f t="shared" si="81"/>
        <v>184376</v>
      </c>
      <c r="L336" s="695">
        <f t="shared" si="82"/>
        <v>153780.99199999962</v>
      </c>
      <c r="M336" s="693">
        <f t="shared" si="83"/>
        <v>2898455</v>
      </c>
      <c r="N336" s="693">
        <f t="shared" si="84"/>
        <v>0</v>
      </c>
      <c r="O336" s="695">
        <f t="shared" si="85"/>
        <v>2898455</v>
      </c>
      <c r="P336" s="695">
        <f t="shared" si="86"/>
        <v>-184376</v>
      </c>
      <c r="Q336" s="697">
        <f t="shared" si="87"/>
        <v>1.0861307083999999E-3</v>
      </c>
      <c r="R336" s="694">
        <f t="shared" si="88"/>
        <v>-6.4958609800000003E-5</v>
      </c>
      <c r="S336" s="693">
        <v>0</v>
      </c>
      <c r="T336" s="695">
        <f t="shared" si="89"/>
        <v>2898455</v>
      </c>
      <c r="U336" s="695">
        <f t="shared" si="90"/>
        <v>2898455</v>
      </c>
      <c r="V336" s="693">
        <f t="shared" si="91"/>
        <v>0</v>
      </c>
      <c r="W336" s="697"/>
      <c r="X336" s="698" t="s">
        <v>180</v>
      </c>
      <c r="Y336" s="678">
        <v>0</v>
      </c>
      <c r="Z336" s="678">
        <v>1949339</v>
      </c>
      <c r="AA336" s="678">
        <v>1949339</v>
      </c>
      <c r="AB336" s="699">
        <f t="shared" si="95"/>
        <v>1.486891197477709</v>
      </c>
      <c r="AC336" s="700"/>
      <c r="AD336" s="701"/>
    </row>
    <row r="337" spans="1:30" s="639" customFormat="1" x14ac:dyDescent="0.25">
      <c r="A337" s="639">
        <v>331</v>
      </c>
      <c r="B337" s="639">
        <f>+'_DATA STT PAGOS_'!M337</f>
        <v>16106</v>
      </c>
      <c r="C337" s="639" t="str">
        <f>+'_DATA STT PAGOS_'!O337</f>
        <v>PINTO</v>
      </c>
      <c r="D337" s="693">
        <f>+'_DATA STT PAGOS_'!G337</f>
        <v>0</v>
      </c>
      <c r="E337" s="693">
        <f>+'_DATA STT PAGOS_'!J337</f>
        <v>3060546.202</v>
      </c>
      <c r="F337" s="694">
        <f>+COEF_FCM!AG339</f>
        <v>1.1436267917999999E-3</v>
      </c>
      <c r="G337" s="693">
        <f t="shared" si="80"/>
        <v>3246026</v>
      </c>
      <c r="H337" s="695">
        <f t="shared" si="92"/>
        <v>185479.79799999995</v>
      </c>
      <c r="I337" s="641">
        <f t="shared" si="93"/>
        <v>0</v>
      </c>
      <c r="J337" s="696">
        <f t="shared" si="94"/>
        <v>185479.79799999995</v>
      </c>
      <c r="K337" s="693">
        <f t="shared" si="81"/>
        <v>101131</v>
      </c>
      <c r="L337" s="695">
        <f t="shared" si="82"/>
        <v>84348.797999999952</v>
      </c>
      <c r="M337" s="693">
        <f t="shared" si="83"/>
        <v>3144895</v>
      </c>
      <c r="N337" s="693">
        <f t="shared" si="84"/>
        <v>0</v>
      </c>
      <c r="O337" s="695">
        <f t="shared" si="85"/>
        <v>3144895</v>
      </c>
      <c r="P337" s="695">
        <f t="shared" si="86"/>
        <v>-101131</v>
      </c>
      <c r="Q337" s="697">
        <f t="shared" si="87"/>
        <v>1.1436267917999999E-3</v>
      </c>
      <c r="R337" s="694">
        <f t="shared" si="88"/>
        <v>-3.5630066699999998E-5</v>
      </c>
      <c r="S337" s="693">
        <v>0</v>
      </c>
      <c r="T337" s="695">
        <f t="shared" si="89"/>
        <v>3144895</v>
      </c>
      <c r="U337" s="695">
        <f t="shared" si="90"/>
        <v>3144895</v>
      </c>
      <c r="V337" s="693">
        <f t="shared" si="91"/>
        <v>0</v>
      </c>
      <c r="W337" s="697"/>
      <c r="X337" s="698" t="s">
        <v>169</v>
      </c>
      <c r="Y337" s="678">
        <v>0</v>
      </c>
      <c r="Z337" s="678">
        <v>2384148</v>
      </c>
      <c r="AA337" s="678">
        <v>2384148</v>
      </c>
      <c r="AB337" s="699">
        <f t="shared" si="95"/>
        <v>1.3190854762372135</v>
      </c>
      <c r="AC337" s="700"/>
      <c r="AD337" s="701"/>
    </row>
    <row r="338" spans="1:30" s="639" customFormat="1" x14ac:dyDescent="0.25">
      <c r="A338" s="639">
        <v>332</v>
      </c>
      <c r="B338" s="639">
        <f>+'_DATA STT PAGOS_'!M338</f>
        <v>16107</v>
      </c>
      <c r="C338" s="639" t="str">
        <f>+'_DATA STT PAGOS_'!O338</f>
        <v>QUILLÓN</v>
      </c>
      <c r="D338" s="693">
        <f>+'_DATA STT PAGOS_'!G338</f>
        <v>0</v>
      </c>
      <c r="E338" s="693">
        <f>+'_DATA STT PAGOS_'!J338</f>
        <v>12266675.546</v>
      </c>
      <c r="F338" s="694">
        <f>+COEF_FCM!AG340</f>
        <v>5.4483129061E-3</v>
      </c>
      <c r="G338" s="693">
        <f t="shared" si="80"/>
        <v>15464280</v>
      </c>
      <c r="H338" s="695">
        <f t="shared" si="92"/>
        <v>3197604.4539999999</v>
      </c>
      <c r="I338" s="641">
        <f t="shared" si="93"/>
        <v>0</v>
      </c>
      <c r="J338" s="696">
        <f t="shared" si="94"/>
        <v>3197604.4539999999</v>
      </c>
      <c r="K338" s="693">
        <f t="shared" si="81"/>
        <v>1743455</v>
      </c>
      <c r="L338" s="695">
        <f t="shared" si="82"/>
        <v>1454149.4539999999</v>
      </c>
      <c r="M338" s="693">
        <f t="shared" si="83"/>
        <v>13720825</v>
      </c>
      <c r="N338" s="693">
        <f t="shared" si="84"/>
        <v>0</v>
      </c>
      <c r="O338" s="695">
        <f t="shared" si="85"/>
        <v>13720825</v>
      </c>
      <c r="P338" s="695">
        <f t="shared" si="86"/>
        <v>-1743455</v>
      </c>
      <c r="Q338" s="697">
        <f t="shared" si="87"/>
        <v>5.4483129061E-3</v>
      </c>
      <c r="R338" s="694">
        <f t="shared" si="88"/>
        <v>-6.1424704459999997E-4</v>
      </c>
      <c r="S338" s="693">
        <v>0</v>
      </c>
      <c r="T338" s="695">
        <f t="shared" si="89"/>
        <v>13720825</v>
      </c>
      <c r="U338" s="695">
        <f t="shared" si="90"/>
        <v>13720825</v>
      </c>
      <c r="V338" s="693">
        <f t="shared" si="91"/>
        <v>0</v>
      </c>
      <c r="W338" s="697"/>
      <c r="X338" s="698" t="s">
        <v>404</v>
      </c>
      <c r="Y338" s="678">
        <v>0</v>
      </c>
      <c r="Z338" s="678">
        <v>7235478</v>
      </c>
      <c r="AA338" s="678">
        <v>7235478</v>
      </c>
      <c r="AB338" s="699">
        <f t="shared" si="95"/>
        <v>1.8963259925605469</v>
      </c>
      <c r="AC338" s="700"/>
      <c r="AD338" s="701"/>
    </row>
    <row r="339" spans="1:30" s="639" customFormat="1" x14ac:dyDescent="0.25">
      <c r="A339" s="639">
        <v>333</v>
      </c>
      <c r="B339" s="639">
        <f>+'_DATA STT PAGOS_'!M339</f>
        <v>16108</v>
      </c>
      <c r="C339" s="639" t="str">
        <f>+'_DATA STT PAGOS_'!O339</f>
        <v>SAN IGNACIO</v>
      </c>
      <c r="D339" s="693">
        <f>+'_DATA STT PAGOS_'!G339</f>
        <v>0</v>
      </c>
      <c r="E339" s="693">
        <f>+'_DATA STT PAGOS_'!J339</f>
        <v>5894578.5930000003</v>
      </c>
      <c r="F339" s="694">
        <f>+COEF_FCM!AG341</f>
        <v>2.5607115912999997E-3</v>
      </c>
      <c r="G339" s="693">
        <f t="shared" si="80"/>
        <v>7268224</v>
      </c>
      <c r="H339" s="695">
        <f t="shared" si="92"/>
        <v>1373645.4069999997</v>
      </c>
      <c r="I339" s="641">
        <f t="shared" si="93"/>
        <v>0</v>
      </c>
      <c r="J339" s="696">
        <f t="shared" si="94"/>
        <v>1373645.4069999997</v>
      </c>
      <c r="K339" s="693">
        <f t="shared" si="81"/>
        <v>748964</v>
      </c>
      <c r="L339" s="695">
        <f t="shared" si="82"/>
        <v>624681.40699999966</v>
      </c>
      <c r="M339" s="693">
        <f t="shared" si="83"/>
        <v>6519260</v>
      </c>
      <c r="N339" s="693">
        <f t="shared" si="84"/>
        <v>0</v>
      </c>
      <c r="O339" s="695">
        <f t="shared" si="85"/>
        <v>6519260</v>
      </c>
      <c r="P339" s="695">
        <f t="shared" si="86"/>
        <v>-748964</v>
      </c>
      <c r="Q339" s="697">
        <f t="shared" si="87"/>
        <v>2.5607115912999997E-3</v>
      </c>
      <c r="R339" s="694">
        <f t="shared" si="88"/>
        <v>-2.6387198030000002E-4</v>
      </c>
      <c r="S339" s="693">
        <v>0</v>
      </c>
      <c r="T339" s="695">
        <f t="shared" si="89"/>
        <v>6519260</v>
      </c>
      <c r="U339" s="695">
        <f t="shared" si="90"/>
        <v>6519260</v>
      </c>
      <c r="V339" s="693">
        <f t="shared" si="91"/>
        <v>0</v>
      </c>
      <c r="W339" s="697"/>
      <c r="X339" s="698" t="s">
        <v>178</v>
      </c>
      <c r="Y339" s="678">
        <v>0</v>
      </c>
      <c r="Z339" s="678">
        <v>3684858</v>
      </c>
      <c r="AA339" s="678">
        <v>3684858</v>
      </c>
      <c r="AB339" s="699">
        <f t="shared" si="95"/>
        <v>1.7692025038685344</v>
      </c>
      <c r="AC339" s="700"/>
      <c r="AD339" s="701"/>
    </row>
    <row r="340" spans="1:30" s="639" customFormat="1" x14ac:dyDescent="0.25">
      <c r="A340" s="639">
        <v>334</v>
      </c>
      <c r="B340" s="639">
        <f>+'_DATA STT PAGOS_'!M340</f>
        <v>16109</v>
      </c>
      <c r="C340" s="639" t="str">
        <f>+'_DATA STT PAGOS_'!O340</f>
        <v>YUNGAY</v>
      </c>
      <c r="D340" s="693">
        <f>+'_DATA STT PAGOS_'!G340</f>
        <v>0</v>
      </c>
      <c r="E340" s="693">
        <f>+'_DATA STT PAGOS_'!J340</f>
        <v>6908063.8990000002</v>
      </c>
      <c r="F340" s="694">
        <f>+COEF_FCM!AG342</f>
        <v>2.3689711332999996E-3</v>
      </c>
      <c r="G340" s="693">
        <f t="shared" si="80"/>
        <v>6723996</v>
      </c>
      <c r="H340" s="695">
        <f t="shared" si="92"/>
        <v>-184067.89900000021</v>
      </c>
      <c r="I340" s="641">
        <f t="shared" si="93"/>
        <v>-184068</v>
      </c>
      <c r="J340" s="696">
        <f t="shared" si="94"/>
        <v>0</v>
      </c>
      <c r="K340" s="693">
        <f t="shared" si="81"/>
        <v>0</v>
      </c>
      <c r="L340" s="695">
        <f t="shared" si="82"/>
        <v>0</v>
      </c>
      <c r="M340" s="693">
        <f t="shared" si="83"/>
        <v>0</v>
      </c>
      <c r="N340" s="693">
        <f t="shared" si="84"/>
        <v>6908064</v>
      </c>
      <c r="O340" s="695">
        <f t="shared" si="85"/>
        <v>6908064</v>
      </c>
      <c r="P340" s="695">
        <f t="shared" si="86"/>
        <v>184068</v>
      </c>
      <c r="Q340" s="697">
        <f t="shared" si="87"/>
        <v>2.3689711332999996E-3</v>
      </c>
      <c r="R340" s="694">
        <f t="shared" si="88"/>
        <v>6.4850096499999998E-5</v>
      </c>
      <c r="S340" s="693">
        <v>0</v>
      </c>
      <c r="T340" s="695">
        <f t="shared" si="89"/>
        <v>6908064</v>
      </c>
      <c r="U340" s="695">
        <f t="shared" si="90"/>
        <v>6908064</v>
      </c>
      <c r="V340" s="693">
        <f t="shared" si="91"/>
        <v>184068</v>
      </c>
      <c r="W340" s="697"/>
      <c r="X340" s="698" t="s">
        <v>179</v>
      </c>
      <c r="Y340" s="678">
        <v>0</v>
      </c>
      <c r="Z340" s="678">
        <v>4415394</v>
      </c>
      <c r="AA340" s="678">
        <v>4415394</v>
      </c>
      <c r="AB340" s="699">
        <f t="shared" si="95"/>
        <v>1.564540786167667</v>
      </c>
      <c r="AC340" s="700"/>
      <c r="AD340" s="701"/>
    </row>
    <row r="341" spans="1:30" s="639" customFormat="1" x14ac:dyDescent="0.25">
      <c r="A341" s="639">
        <v>335</v>
      </c>
      <c r="B341" s="639">
        <f>+'_DATA STT PAGOS_'!M341</f>
        <v>16201</v>
      </c>
      <c r="C341" s="639" t="str">
        <f>+'_DATA STT PAGOS_'!O341</f>
        <v>QUIRIHUE</v>
      </c>
      <c r="D341" s="693">
        <f>+'_DATA STT PAGOS_'!G341</f>
        <v>0</v>
      </c>
      <c r="E341" s="693">
        <f>+'_DATA STT PAGOS_'!J341</f>
        <v>4672878.909</v>
      </c>
      <c r="F341" s="694">
        <f>+COEF_FCM!AG343</f>
        <v>1.8905856840000001E-3</v>
      </c>
      <c r="G341" s="693">
        <f t="shared" si="80"/>
        <v>5366165</v>
      </c>
      <c r="H341" s="695">
        <f t="shared" si="92"/>
        <v>693286.09100000001</v>
      </c>
      <c r="I341" s="641">
        <f t="shared" si="93"/>
        <v>0</v>
      </c>
      <c r="J341" s="696">
        <f t="shared" si="94"/>
        <v>693286.09100000001</v>
      </c>
      <c r="K341" s="693">
        <f t="shared" si="81"/>
        <v>378006</v>
      </c>
      <c r="L341" s="695">
        <f t="shared" si="82"/>
        <v>315280.09100000001</v>
      </c>
      <c r="M341" s="693">
        <f t="shared" si="83"/>
        <v>4988159</v>
      </c>
      <c r="N341" s="693">
        <f t="shared" si="84"/>
        <v>0</v>
      </c>
      <c r="O341" s="695">
        <f t="shared" si="85"/>
        <v>4988159</v>
      </c>
      <c r="P341" s="695">
        <f t="shared" si="86"/>
        <v>-378006</v>
      </c>
      <c r="Q341" s="697">
        <f t="shared" si="87"/>
        <v>1.8905856840000001E-3</v>
      </c>
      <c r="R341" s="694">
        <f t="shared" si="88"/>
        <v>-1.331775517E-4</v>
      </c>
      <c r="S341" s="693">
        <v>0</v>
      </c>
      <c r="T341" s="695">
        <f t="shared" si="89"/>
        <v>4988159</v>
      </c>
      <c r="U341" s="695">
        <f t="shared" si="90"/>
        <v>4988159</v>
      </c>
      <c r="V341" s="693">
        <f t="shared" si="91"/>
        <v>0</v>
      </c>
      <c r="W341" s="697"/>
      <c r="X341" s="698" t="s">
        <v>171</v>
      </c>
      <c r="Y341" s="678">
        <v>0</v>
      </c>
      <c r="Z341" s="678">
        <v>3077133</v>
      </c>
      <c r="AA341" s="678">
        <v>3077133</v>
      </c>
      <c r="AB341" s="699">
        <f t="shared" si="95"/>
        <v>1.6210410794723531</v>
      </c>
      <c r="AC341" s="700"/>
      <c r="AD341" s="701"/>
    </row>
    <row r="342" spans="1:30" s="639" customFormat="1" x14ac:dyDescent="0.25">
      <c r="A342" s="639">
        <v>336</v>
      </c>
      <c r="B342" s="639">
        <f>+'_DATA STT PAGOS_'!M342</f>
        <v>16202</v>
      </c>
      <c r="C342" s="639" t="str">
        <f>+'_DATA STT PAGOS_'!O342</f>
        <v>COBQUECURA</v>
      </c>
      <c r="D342" s="693">
        <f>+'_DATA STT PAGOS_'!G342</f>
        <v>0</v>
      </c>
      <c r="E342" s="693">
        <f>+'_DATA STT PAGOS_'!J342</f>
        <v>4626816.4910000004</v>
      </c>
      <c r="F342" s="694">
        <f>+COEF_FCM!AG344</f>
        <v>2.0679799643999997E-3</v>
      </c>
      <c r="G342" s="693">
        <f t="shared" si="80"/>
        <v>5869674</v>
      </c>
      <c r="H342" s="695">
        <f t="shared" si="92"/>
        <v>1242857.5089999996</v>
      </c>
      <c r="I342" s="641">
        <f t="shared" si="93"/>
        <v>0</v>
      </c>
      <c r="J342" s="696">
        <f t="shared" si="94"/>
        <v>1242857.5089999996</v>
      </c>
      <c r="K342" s="693">
        <f t="shared" si="81"/>
        <v>677653</v>
      </c>
      <c r="L342" s="695">
        <f t="shared" si="82"/>
        <v>565204.50899999961</v>
      </c>
      <c r="M342" s="693">
        <f t="shared" si="83"/>
        <v>5192021</v>
      </c>
      <c r="N342" s="693">
        <f t="shared" si="84"/>
        <v>0</v>
      </c>
      <c r="O342" s="695">
        <f t="shared" si="85"/>
        <v>5192021</v>
      </c>
      <c r="P342" s="695">
        <f t="shared" si="86"/>
        <v>-677653</v>
      </c>
      <c r="Q342" s="697">
        <f t="shared" si="87"/>
        <v>2.0679799643999997E-3</v>
      </c>
      <c r="R342" s="694">
        <f t="shared" si="88"/>
        <v>-2.3874797600000001E-4</v>
      </c>
      <c r="S342" s="693">
        <v>0</v>
      </c>
      <c r="T342" s="695">
        <f t="shared" si="89"/>
        <v>5192021</v>
      </c>
      <c r="U342" s="695">
        <f t="shared" si="90"/>
        <v>5192021</v>
      </c>
      <c r="V342" s="693">
        <f t="shared" si="91"/>
        <v>0</v>
      </c>
      <c r="W342" s="697"/>
      <c r="X342" s="698" t="s">
        <v>174</v>
      </c>
      <c r="Y342" s="678">
        <v>0</v>
      </c>
      <c r="Z342" s="678">
        <v>2759087</v>
      </c>
      <c r="AA342" s="678">
        <v>2759087</v>
      </c>
      <c r="AB342" s="699">
        <f t="shared" si="95"/>
        <v>1.8817895195040968</v>
      </c>
      <c r="AC342" s="700"/>
      <c r="AD342" s="701"/>
    </row>
    <row r="343" spans="1:30" s="639" customFormat="1" x14ac:dyDescent="0.25">
      <c r="A343" s="639">
        <v>337</v>
      </c>
      <c r="B343" s="639">
        <f>+'_DATA STT PAGOS_'!M343</f>
        <v>16203</v>
      </c>
      <c r="C343" s="639" t="str">
        <f>+'_DATA STT PAGOS_'!O343</f>
        <v>COELEMU</v>
      </c>
      <c r="D343" s="693">
        <f>+'_DATA STT PAGOS_'!G343</f>
        <v>0</v>
      </c>
      <c r="E343" s="693">
        <f>+'_DATA STT PAGOS_'!J343</f>
        <v>5412906.5279999999</v>
      </c>
      <c r="F343" s="694">
        <f>+COEF_FCM!AG345</f>
        <v>2.1588216583999999E-3</v>
      </c>
      <c r="G343" s="693">
        <f t="shared" si="80"/>
        <v>6127516</v>
      </c>
      <c r="H343" s="695">
        <f t="shared" si="92"/>
        <v>714609.47200000007</v>
      </c>
      <c r="I343" s="641">
        <f t="shared" si="93"/>
        <v>0</v>
      </c>
      <c r="J343" s="696">
        <f t="shared" si="94"/>
        <v>714609.47200000007</v>
      </c>
      <c r="K343" s="693">
        <f t="shared" si="81"/>
        <v>389632</v>
      </c>
      <c r="L343" s="695">
        <f t="shared" si="82"/>
        <v>324977.47200000007</v>
      </c>
      <c r="M343" s="693">
        <f t="shared" si="83"/>
        <v>5737884</v>
      </c>
      <c r="N343" s="693">
        <f t="shared" si="84"/>
        <v>0</v>
      </c>
      <c r="O343" s="695">
        <f t="shared" si="85"/>
        <v>5737884</v>
      </c>
      <c r="P343" s="695">
        <f t="shared" si="86"/>
        <v>-389632</v>
      </c>
      <c r="Q343" s="697">
        <f t="shared" si="87"/>
        <v>2.1588216583999999E-3</v>
      </c>
      <c r="R343" s="694">
        <f t="shared" si="88"/>
        <v>-1.3727357719999999E-4</v>
      </c>
      <c r="S343" s="693">
        <v>0</v>
      </c>
      <c r="T343" s="695">
        <f t="shared" si="89"/>
        <v>5737884</v>
      </c>
      <c r="U343" s="695">
        <f t="shared" si="90"/>
        <v>5737884</v>
      </c>
      <c r="V343" s="693">
        <f t="shared" si="91"/>
        <v>0</v>
      </c>
      <c r="W343" s="697"/>
      <c r="X343" s="698" t="s">
        <v>182</v>
      </c>
      <c r="Y343" s="678">
        <v>0</v>
      </c>
      <c r="Z343" s="678">
        <v>3852689</v>
      </c>
      <c r="AA343" s="678">
        <v>3852689</v>
      </c>
      <c r="AB343" s="699">
        <f t="shared" si="95"/>
        <v>1.4893192780419078</v>
      </c>
      <c r="AC343" s="700"/>
      <c r="AD343" s="701"/>
    </row>
    <row r="344" spans="1:30" s="639" customFormat="1" x14ac:dyDescent="0.25">
      <c r="A344" s="639">
        <v>338</v>
      </c>
      <c r="B344" s="639">
        <f>+'_DATA STT PAGOS_'!M344</f>
        <v>16204</v>
      </c>
      <c r="C344" s="639" t="str">
        <f>+'_DATA STT PAGOS_'!O344</f>
        <v>NINHUE</v>
      </c>
      <c r="D344" s="693">
        <f>+'_DATA STT PAGOS_'!G344</f>
        <v>0</v>
      </c>
      <c r="E344" s="693">
        <f>+'_DATA STT PAGOS_'!J344</f>
        <v>3461987.1669999999</v>
      </c>
      <c r="F344" s="694">
        <f>+COEF_FCM!AG346</f>
        <v>1.4637727702999999E-3</v>
      </c>
      <c r="G344" s="693">
        <f t="shared" si="80"/>
        <v>4154716</v>
      </c>
      <c r="H344" s="695">
        <f t="shared" si="92"/>
        <v>692728.8330000001</v>
      </c>
      <c r="I344" s="641">
        <f t="shared" si="93"/>
        <v>0</v>
      </c>
      <c r="J344" s="696">
        <f t="shared" si="94"/>
        <v>692728.8330000001</v>
      </c>
      <c r="K344" s="693">
        <f t="shared" si="81"/>
        <v>377702</v>
      </c>
      <c r="L344" s="695">
        <f t="shared" si="82"/>
        <v>315026.8330000001</v>
      </c>
      <c r="M344" s="693">
        <f t="shared" si="83"/>
        <v>3777014</v>
      </c>
      <c r="N344" s="693">
        <f t="shared" si="84"/>
        <v>0</v>
      </c>
      <c r="O344" s="695">
        <f t="shared" si="85"/>
        <v>3777014</v>
      </c>
      <c r="P344" s="695">
        <f t="shared" si="86"/>
        <v>-377702</v>
      </c>
      <c r="Q344" s="697">
        <f t="shared" si="87"/>
        <v>1.4637727702999999E-3</v>
      </c>
      <c r="R344" s="694">
        <f t="shared" si="88"/>
        <v>-1.330704476E-4</v>
      </c>
      <c r="S344" s="693">
        <v>0</v>
      </c>
      <c r="T344" s="695">
        <f t="shared" si="89"/>
        <v>3777014</v>
      </c>
      <c r="U344" s="695">
        <f t="shared" si="90"/>
        <v>3777014</v>
      </c>
      <c r="V344" s="693">
        <f t="shared" si="91"/>
        <v>0</v>
      </c>
      <c r="W344" s="697"/>
      <c r="X344" s="698" t="s">
        <v>172</v>
      </c>
      <c r="Y344" s="678">
        <v>0</v>
      </c>
      <c r="Z344" s="678">
        <v>2236328</v>
      </c>
      <c r="AA344" s="678">
        <v>2236328</v>
      </c>
      <c r="AB344" s="699">
        <f t="shared" si="95"/>
        <v>1.688935612307318</v>
      </c>
      <c r="AC344" s="700"/>
      <c r="AD344" s="701"/>
    </row>
    <row r="345" spans="1:30" s="639" customFormat="1" x14ac:dyDescent="0.25">
      <c r="A345" s="639">
        <v>339</v>
      </c>
      <c r="B345" s="639">
        <f>+'_DATA STT PAGOS_'!M345</f>
        <v>16205</v>
      </c>
      <c r="C345" s="639" t="str">
        <f>+'_DATA STT PAGOS_'!O345</f>
        <v>PORTEZUELO</v>
      </c>
      <c r="D345" s="693">
        <f>+'_DATA STT PAGOS_'!G345</f>
        <v>0</v>
      </c>
      <c r="E345" s="693">
        <f>+'_DATA STT PAGOS_'!J345</f>
        <v>3300533.0880000005</v>
      </c>
      <c r="F345" s="694">
        <f>+COEF_FCM!AG347</f>
        <v>1.2836998933999999E-3</v>
      </c>
      <c r="G345" s="693">
        <f t="shared" si="80"/>
        <v>3643604</v>
      </c>
      <c r="H345" s="695">
        <f t="shared" si="92"/>
        <v>343070.91199999955</v>
      </c>
      <c r="I345" s="641">
        <f t="shared" si="93"/>
        <v>0</v>
      </c>
      <c r="J345" s="696">
        <f t="shared" si="94"/>
        <v>343070.91199999955</v>
      </c>
      <c r="K345" s="693">
        <f t="shared" si="81"/>
        <v>187055</v>
      </c>
      <c r="L345" s="695">
        <f t="shared" si="82"/>
        <v>156015.91199999955</v>
      </c>
      <c r="M345" s="693">
        <f t="shared" si="83"/>
        <v>3456549</v>
      </c>
      <c r="N345" s="693">
        <f t="shared" si="84"/>
        <v>0</v>
      </c>
      <c r="O345" s="695">
        <f t="shared" si="85"/>
        <v>3456549</v>
      </c>
      <c r="P345" s="695">
        <f t="shared" si="86"/>
        <v>-187055</v>
      </c>
      <c r="Q345" s="697">
        <f t="shared" si="87"/>
        <v>1.2836998933999999E-3</v>
      </c>
      <c r="R345" s="694">
        <f t="shared" si="88"/>
        <v>-6.5902464299999998E-5</v>
      </c>
      <c r="S345" s="693">
        <v>0</v>
      </c>
      <c r="T345" s="695">
        <f t="shared" si="89"/>
        <v>3456549</v>
      </c>
      <c r="U345" s="695">
        <f t="shared" si="90"/>
        <v>3456549</v>
      </c>
      <c r="V345" s="693">
        <f t="shared" si="91"/>
        <v>0</v>
      </c>
      <c r="W345" s="697"/>
      <c r="X345" s="698" t="s">
        <v>173</v>
      </c>
      <c r="Y345" s="678">
        <v>0</v>
      </c>
      <c r="Z345" s="678">
        <v>2135006</v>
      </c>
      <c r="AA345" s="678">
        <v>2135006</v>
      </c>
      <c r="AB345" s="699">
        <f t="shared" si="95"/>
        <v>1.6189879560057443</v>
      </c>
      <c r="AC345" s="700"/>
      <c r="AD345" s="701"/>
    </row>
    <row r="346" spans="1:30" s="639" customFormat="1" x14ac:dyDescent="0.25">
      <c r="A346" s="639">
        <v>340</v>
      </c>
      <c r="B346" s="639">
        <f>+'_DATA STT PAGOS_'!M346</f>
        <v>16206</v>
      </c>
      <c r="C346" s="639" t="str">
        <f>+'_DATA STT PAGOS_'!O346</f>
        <v>RÁNQUIL</v>
      </c>
      <c r="D346" s="693">
        <f>+'_DATA STT PAGOS_'!G346</f>
        <v>0</v>
      </c>
      <c r="E346" s="693">
        <f>+'_DATA STT PAGOS_'!J346</f>
        <v>2864696.764</v>
      </c>
      <c r="F346" s="694">
        <f>+COEF_FCM!AG348</f>
        <v>1.8949292717E-3</v>
      </c>
      <c r="G346" s="693">
        <f t="shared" si="80"/>
        <v>5378494</v>
      </c>
      <c r="H346" s="695">
        <f t="shared" si="92"/>
        <v>2513797.236</v>
      </c>
      <c r="I346" s="641">
        <f t="shared" si="93"/>
        <v>0</v>
      </c>
      <c r="J346" s="696">
        <f t="shared" si="94"/>
        <v>2513797.236</v>
      </c>
      <c r="K346" s="693">
        <f t="shared" si="81"/>
        <v>1370618</v>
      </c>
      <c r="L346" s="695">
        <f t="shared" si="82"/>
        <v>1143179.236</v>
      </c>
      <c r="M346" s="693">
        <f t="shared" si="83"/>
        <v>4007876</v>
      </c>
      <c r="N346" s="693">
        <f t="shared" si="84"/>
        <v>0</v>
      </c>
      <c r="O346" s="695">
        <f t="shared" si="85"/>
        <v>4007876</v>
      </c>
      <c r="P346" s="695">
        <f t="shared" si="86"/>
        <v>-1370618</v>
      </c>
      <c r="Q346" s="697">
        <f t="shared" si="87"/>
        <v>1.8949292717E-3</v>
      </c>
      <c r="R346" s="694">
        <f t="shared" si="88"/>
        <v>-4.8289061419999998E-4</v>
      </c>
      <c r="S346" s="693">
        <v>0</v>
      </c>
      <c r="T346" s="695">
        <f t="shared" si="89"/>
        <v>4007876</v>
      </c>
      <c r="U346" s="695">
        <f t="shared" si="90"/>
        <v>4007876</v>
      </c>
      <c r="V346" s="693">
        <f t="shared" si="91"/>
        <v>0</v>
      </c>
      <c r="W346" s="697"/>
      <c r="X346" s="698" t="s">
        <v>33</v>
      </c>
      <c r="Y346" s="678">
        <v>0</v>
      </c>
      <c r="Z346" s="678">
        <v>1905059</v>
      </c>
      <c r="AA346" s="678">
        <v>1905059</v>
      </c>
      <c r="AB346" s="699">
        <f t="shared" si="95"/>
        <v>2.1038067587408054</v>
      </c>
      <c r="AC346" s="700"/>
      <c r="AD346" s="701"/>
    </row>
    <row r="347" spans="1:30" s="639" customFormat="1" x14ac:dyDescent="0.25">
      <c r="A347" s="639">
        <v>341</v>
      </c>
      <c r="B347" s="639">
        <f>+'_DATA STT PAGOS_'!M347</f>
        <v>16207</v>
      </c>
      <c r="C347" s="639" t="str">
        <f>+'_DATA STT PAGOS_'!O347</f>
        <v>TREHUACO</v>
      </c>
      <c r="D347" s="693">
        <f>+'_DATA STT PAGOS_'!G347</f>
        <v>0</v>
      </c>
      <c r="E347" s="693">
        <f>+'_DATA STT PAGOS_'!J347</f>
        <v>3490461.5319999997</v>
      </c>
      <c r="F347" s="694">
        <f>+COEF_FCM!AG349</f>
        <v>1.4530982809000002E-3</v>
      </c>
      <c r="G347" s="693">
        <f t="shared" si="80"/>
        <v>4124418</v>
      </c>
      <c r="H347" s="695">
        <f t="shared" si="92"/>
        <v>633956.46800000034</v>
      </c>
      <c r="I347" s="641">
        <f t="shared" si="93"/>
        <v>0</v>
      </c>
      <c r="J347" s="696">
        <f t="shared" si="94"/>
        <v>633956.46800000034</v>
      </c>
      <c r="K347" s="693">
        <f t="shared" si="81"/>
        <v>345657</v>
      </c>
      <c r="L347" s="695">
        <f t="shared" si="82"/>
        <v>288299.46800000034</v>
      </c>
      <c r="M347" s="693">
        <f t="shared" si="83"/>
        <v>3778761</v>
      </c>
      <c r="N347" s="693">
        <f t="shared" si="84"/>
        <v>0</v>
      </c>
      <c r="O347" s="695">
        <f t="shared" si="85"/>
        <v>3778761</v>
      </c>
      <c r="P347" s="695">
        <f t="shared" si="86"/>
        <v>-345657</v>
      </c>
      <c r="Q347" s="697">
        <f t="shared" si="87"/>
        <v>1.4530982809000002E-3</v>
      </c>
      <c r="R347" s="694">
        <f t="shared" si="88"/>
        <v>-1.217804823E-4</v>
      </c>
      <c r="S347" s="693">
        <v>0</v>
      </c>
      <c r="T347" s="695">
        <f t="shared" si="89"/>
        <v>3778761</v>
      </c>
      <c r="U347" s="695">
        <f t="shared" si="90"/>
        <v>3778761</v>
      </c>
      <c r="V347" s="693">
        <f t="shared" si="91"/>
        <v>0</v>
      </c>
      <c r="W347" s="697"/>
      <c r="X347" s="698" t="s">
        <v>34</v>
      </c>
      <c r="Y347" s="678">
        <v>0</v>
      </c>
      <c r="Z347" s="678">
        <v>2213690</v>
      </c>
      <c r="AA347" s="678">
        <v>2213690</v>
      </c>
      <c r="AB347" s="699">
        <f t="shared" si="95"/>
        <v>1.706996462919379</v>
      </c>
      <c r="AC347" s="700"/>
      <c r="AD347" s="701"/>
    </row>
    <row r="348" spans="1:30" s="639" customFormat="1" x14ac:dyDescent="0.25">
      <c r="A348" s="639">
        <v>342</v>
      </c>
      <c r="B348" s="639">
        <f>+'_DATA STT PAGOS_'!M348</f>
        <v>16301</v>
      </c>
      <c r="C348" s="639" t="str">
        <f>+'_DATA STT PAGOS_'!O348</f>
        <v>SAN CARLOS</v>
      </c>
      <c r="D348" s="693">
        <f>+'_DATA STT PAGOS_'!G348</f>
        <v>0</v>
      </c>
      <c r="E348" s="693">
        <f>+'_DATA STT PAGOS_'!J348</f>
        <v>13134807.681</v>
      </c>
      <c r="F348" s="694">
        <f>+COEF_FCM!AG350</f>
        <v>5.3139400355000001E-3</v>
      </c>
      <c r="G348" s="693">
        <f t="shared" si="80"/>
        <v>15082881</v>
      </c>
      <c r="H348" s="695">
        <f t="shared" si="92"/>
        <v>1948073.3190000001</v>
      </c>
      <c r="I348" s="641">
        <f t="shared" si="93"/>
        <v>0</v>
      </c>
      <c r="J348" s="696">
        <f t="shared" si="94"/>
        <v>1948073.3190000001</v>
      </c>
      <c r="K348" s="693">
        <f t="shared" si="81"/>
        <v>1062163</v>
      </c>
      <c r="L348" s="695">
        <f t="shared" si="82"/>
        <v>885910.31900000013</v>
      </c>
      <c r="M348" s="693">
        <f t="shared" si="83"/>
        <v>14020718</v>
      </c>
      <c r="N348" s="693">
        <f t="shared" si="84"/>
        <v>0</v>
      </c>
      <c r="O348" s="695">
        <f t="shared" si="85"/>
        <v>14020718</v>
      </c>
      <c r="P348" s="695">
        <f t="shared" si="86"/>
        <v>-1062163</v>
      </c>
      <c r="Q348" s="697">
        <f t="shared" si="87"/>
        <v>5.3139400355000001E-3</v>
      </c>
      <c r="R348" s="694">
        <f t="shared" si="88"/>
        <v>-3.7421699069999998E-4</v>
      </c>
      <c r="S348" s="693">
        <v>0</v>
      </c>
      <c r="T348" s="695">
        <f t="shared" si="89"/>
        <v>14020718</v>
      </c>
      <c r="U348" s="695">
        <f t="shared" si="90"/>
        <v>14020718</v>
      </c>
      <c r="V348" s="693">
        <f t="shared" si="91"/>
        <v>0</v>
      </c>
      <c r="W348" s="697"/>
      <c r="X348" s="698" t="s">
        <v>176</v>
      </c>
      <c r="Y348" s="678">
        <v>0</v>
      </c>
      <c r="Z348" s="678">
        <v>8358837</v>
      </c>
      <c r="AA348" s="678">
        <v>8358837</v>
      </c>
      <c r="AB348" s="699">
        <f t="shared" si="95"/>
        <v>1.6773527226335434</v>
      </c>
      <c r="AC348" s="700"/>
      <c r="AD348" s="701"/>
    </row>
    <row r="349" spans="1:30" s="639" customFormat="1" x14ac:dyDescent="0.25">
      <c r="A349" s="639">
        <v>343</v>
      </c>
      <c r="B349" s="639">
        <f>+'_DATA STT PAGOS_'!M349</f>
        <v>16302</v>
      </c>
      <c r="C349" s="639" t="str">
        <f>+'_DATA STT PAGOS_'!O349</f>
        <v>COIHUECO</v>
      </c>
      <c r="D349" s="693">
        <f>+'_DATA STT PAGOS_'!G349</f>
        <v>0</v>
      </c>
      <c r="E349" s="693">
        <f>+'_DATA STT PAGOS_'!J349</f>
        <v>8154158.148</v>
      </c>
      <c r="F349" s="694">
        <f>+COEF_FCM!AG351</f>
        <v>2.0551373965000002E-3</v>
      </c>
      <c r="G349" s="693">
        <f t="shared" si="80"/>
        <v>5833222</v>
      </c>
      <c r="H349" s="695">
        <f t="shared" si="92"/>
        <v>-2320936.148</v>
      </c>
      <c r="I349" s="641">
        <f t="shared" si="93"/>
        <v>-2320936</v>
      </c>
      <c r="J349" s="696">
        <f t="shared" si="94"/>
        <v>0</v>
      </c>
      <c r="K349" s="693">
        <f t="shared" si="81"/>
        <v>0</v>
      </c>
      <c r="L349" s="695">
        <f t="shared" si="82"/>
        <v>0</v>
      </c>
      <c r="M349" s="693">
        <f t="shared" si="83"/>
        <v>0</v>
      </c>
      <c r="N349" s="693">
        <f t="shared" si="84"/>
        <v>8154158</v>
      </c>
      <c r="O349" s="695">
        <f t="shared" si="85"/>
        <v>8154158</v>
      </c>
      <c r="P349" s="695">
        <f t="shared" si="86"/>
        <v>2320936</v>
      </c>
      <c r="Q349" s="697">
        <f t="shared" si="87"/>
        <v>2.0551373965000002E-3</v>
      </c>
      <c r="R349" s="694">
        <f t="shared" si="88"/>
        <v>8.1770282489999999E-4</v>
      </c>
      <c r="S349" s="693">
        <v>0</v>
      </c>
      <c r="T349" s="695">
        <f t="shared" si="89"/>
        <v>8154158</v>
      </c>
      <c r="U349" s="695">
        <f t="shared" si="90"/>
        <v>8154158</v>
      </c>
      <c r="V349" s="693">
        <f t="shared" si="91"/>
        <v>2320936</v>
      </c>
      <c r="W349" s="697"/>
      <c r="X349" s="698" t="s">
        <v>170</v>
      </c>
      <c r="Y349" s="678">
        <v>0</v>
      </c>
      <c r="Z349" s="678">
        <v>6390144</v>
      </c>
      <c r="AA349" s="678">
        <v>6390144</v>
      </c>
      <c r="AB349" s="699">
        <f t="shared" si="95"/>
        <v>1.2760523080544037</v>
      </c>
      <c r="AC349" s="700"/>
      <c r="AD349" s="701"/>
    </row>
    <row r="350" spans="1:30" s="639" customFormat="1" x14ac:dyDescent="0.25">
      <c r="A350" s="639">
        <v>344</v>
      </c>
      <c r="B350" s="639">
        <f>+'_DATA STT PAGOS_'!M350</f>
        <v>16303</v>
      </c>
      <c r="C350" s="639" t="str">
        <f>+'_DATA STT PAGOS_'!O350</f>
        <v>ÑIQUÉN</v>
      </c>
      <c r="D350" s="693">
        <f>+'_DATA STT PAGOS_'!G350</f>
        <v>0</v>
      </c>
      <c r="E350" s="693">
        <f>+'_DATA STT PAGOS_'!J350</f>
        <v>4750138.5010000002</v>
      </c>
      <c r="F350" s="694">
        <f>+COEF_FCM!AG352</f>
        <v>2.2139322671000002E-3</v>
      </c>
      <c r="G350" s="693">
        <f t="shared" si="80"/>
        <v>6283940</v>
      </c>
      <c r="H350" s="695">
        <f t="shared" si="92"/>
        <v>1533801.4989999998</v>
      </c>
      <c r="I350" s="641">
        <f t="shared" si="93"/>
        <v>0</v>
      </c>
      <c r="J350" s="696">
        <f t="shared" si="94"/>
        <v>1533801.4989999998</v>
      </c>
      <c r="K350" s="693">
        <f t="shared" si="81"/>
        <v>836287</v>
      </c>
      <c r="L350" s="695">
        <f t="shared" si="82"/>
        <v>697514.49899999984</v>
      </c>
      <c r="M350" s="693">
        <f t="shared" si="83"/>
        <v>5447653</v>
      </c>
      <c r="N350" s="693">
        <f t="shared" si="84"/>
        <v>0</v>
      </c>
      <c r="O350" s="695">
        <f t="shared" si="85"/>
        <v>5447653</v>
      </c>
      <c r="P350" s="695">
        <f t="shared" si="86"/>
        <v>-836287</v>
      </c>
      <c r="Q350" s="697">
        <f t="shared" si="87"/>
        <v>2.2139322671000002E-3</v>
      </c>
      <c r="R350" s="694">
        <f t="shared" si="88"/>
        <v>-2.94637268E-4</v>
      </c>
      <c r="S350" s="693">
        <v>0</v>
      </c>
      <c r="T350" s="695">
        <f t="shared" si="89"/>
        <v>5447653</v>
      </c>
      <c r="U350" s="695">
        <f t="shared" si="90"/>
        <v>5447653</v>
      </c>
      <c r="V350" s="693">
        <f t="shared" si="91"/>
        <v>0</v>
      </c>
      <c r="W350" s="697"/>
      <c r="X350" s="698" t="s">
        <v>403</v>
      </c>
      <c r="Y350" s="678">
        <v>0</v>
      </c>
      <c r="Z350" s="678">
        <v>2809199</v>
      </c>
      <c r="AA350" s="678">
        <v>2809199</v>
      </c>
      <c r="AB350" s="699">
        <f t="shared" si="95"/>
        <v>1.9392193290685351</v>
      </c>
      <c r="AC350" s="700"/>
      <c r="AD350" s="701"/>
    </row>
    <row r="351" spans="1:30" s="639" customFormat="1" x14ac:dyDescent="0.25">
      <c r="A351" s="639">
        <v>345</v>
      </c>
      <c r="B351" s="639">
        <f>+'_DATA STT PAGOS_'!M351</f>
        <v>16304</v>
      </c>
      <c r="C351" s="639" t="str">
        <f>+'_DATA STT PAGOS_'!O351</f>
        <v>SAN FABIÁN</v>
      </c>
      <c r="D351" s="693">
        <f>+'_DATA STT PAGOS_'!G351</f>
        <v>0</v>
      </c>
      <c r="E351" s="693">
        <f>+'_DATA STT PAGOS_'!J351</f>
        <v>2346010.2009999999</v>
      </c>
      <c r="F351" s="694">
        <f>+COEF_FCM!AG353</f>
        <v>9.2230896229999993E-4</v>
      </c>
      <c r="G351" s="693">
        <f t="shared" si="80"/>
        <v>2617846</v>
      </c>
      <c r="H351" s="695">
        <f t="shared" si="92"/>
        <v>271835.79900000012</v>
      </c>
      <c r="I351" s="641">
        <f t="shared" si="93"/>
        <v>0</v>
      </c>
      <c r="J351" s="696">
        <f t="shared" si="94"/>
        <v>271835.79900000012</v>
      </c>
      <c r="K351" s="693">
        <f t="shared" si="81"/>
        <v>148215</v>
      </c>
      <c r="L351" s="695">
        <f t="shared" si="82"/>
        <v>123620.79900000012</v>
      </c>
      <c r="M351" s="693">
        <f t="shared" si="83"/>
        <v>2469631</v>
      </c>
      <c r="N351" s="693">
        <f t="shared" si="84"/>
        <v>0</v>
      </c>
      <c r="O351" s="695">
        <f t="shared" si="85"/>
        <v>2469631</v>
      </c>
      <c r="P351" s="695">
        <f t="shared" si="86"/>
        <v>-148215</v>
      </c>
      <c r="Q351" s="697">
        <f t="shared" si="87"/>
        <v>9.2230896229999993E-4</v>
      </c>
      <c r="R351" s="694">
        <f t="shared" si="88"/>
        <v>-5.2218511900000003E-5</v>
      </c>
      <c r="S351" s="693">
        <v>0</v>
      </c>
      <c r="T351" s="695">
        <f t="shared" si="89"/>
        <v>2469631</v>
      </c>
      <c r="U351" s="695">
        <f t="shared" si="90"/>
        <v>2469631</v>
      </c>
      <c r="V351" s="693">
        <f t="shared" si="91"/>
        <v>0</v>
      </c>
      <c r="W351" s="697"/>
      <c r="X351" s="698" t="s">
        <v>405</v>
      </c>
      <c r="Y351" s="678">
        <v>0</v>
      </c>
      <c r="Z351" s="678">
        <v>1631653</v>
      </c>
      <c r="AA351" s="678">
        <v>1631653</v>
      </c>
      <c r="AB351" s="699">
        <f t="shared" si="95"/>
        <v>1.5135761096262501</v>
      </c>
      <c r="AC351" s="700"/>
      <c r="AD351" s="701"/>
    </row>
    <row r="352" spans="1:30" s="639" customFormat="1" x14ac:dyDescent="0.25">
      <c r="A352" s="639">
        <v>346</v>
      </c>
      <c r="B352" s="639">
        <f>+'_DATA STT PAGOS_'!M352</f>
        <v>16305</v>
      </c>
      <c r="C352" s="639" t="str">
        <f>+'_DATA STT PAGOS_'!O352</f>
        <v>SAN NICOLÁS</v>
      </c>
      <c r="D352" s="693">
        <f>+'_DATA STT PAGOS_'!G352</f>
        <v>0</v>
      </c>
      <c r="E352" s="693">
        <f>+'_DATA STT PAGOS_'!J352</f>
        <v>3443949.42</v>
      </c>
      <c r="F352" s="694">
        <f>+COEF_FCM!AG354</f>
        <v>1.2471007001999999E-3</v>
      </c>
      <c r="G352" s="693">
        <f t="shared" si="80"/>
        <v>3539722</v>
      </c>
      <c r="H352" s="695">
        <f t="shared" si="92"/>
        <v>95772.580000000075</v>
      </c>
      <c r="I352" s="641">
        <f t="shared" si="93"/>
        <v>0</v>
      </c>
      <c r="J352" s="696">
        <f t="shared" si="94"/>
        <v>95772.580000000075</v>
      </c>
      <c r="K352" s="693">
        <f t="shared" si="81"/>
        <v>52219</v>
      </c>
      <c r="L352" s="695">
        <f t="shared" si="82"/>
        <v>43553.580000000075</v>
      </c>
      <c r="M352" s="693">
        <f t="shared" si="83"/>
        <v>3487503</v>
      </c>
      <c r="N352" s="693">
        <f t="shared" si="84"/>
        <v>0</v>
      </c>
      <c r="O352" s="695">
        <f t="shared" si="85"/>
        <v>3487503</v>
      </c>
      <c r="P352" s="695">
        <f t="shared" si="86"/>
        <v>-52219</v>
      </c>
      <c r="Q352" s="697">
        <f t="shared" si="87"/>
        <v>1.2471007001999999E-3</v>
      </c>
      <c r="R352" s="694">
        <f t="shared" si="88"/>
        <v>-1.8397587799999999E-5</v>
      </c>
      <c r="S352" s="693">
        <v>0</v>
      </c>
      <c r="T352" s="695">
        <f t="shared" si="89"/>
        <v>3487503</v>
      </c>
      <c r="U352" s="695">
        <f t="shared" si="90"/>
        <v>3487503</v>
      </c>
      <c r="V352" s="693">
        <f t="shared" si="91"/>
        <v>0</v>
      </c>
      <c r="W352" s="697"/>
      <c r="X352" s="698" t="s">
        <v>406</v>
      </c>
      <c r="Y352" s="678">
        <v>0</v>
      </c>
      <c r="Z352" s="678">
        <v>2323591</v>
      </c>
      <c r="AA352" s="678">
        <v>2323591</v>
      </c>
      <c r="AB352" s="699">
        <f t="shared" si="95"/>
        <v>1.5009108745902355</v>
      </c>
      <c r="AC352" s="700"/>
      <c r="AD352" s="701"/>
    </row>
    <row r="353" spans="3:28" s="639" customFormat="1" ht="15.75" thickBot="1" x14ac:dyDescent="0.3">
      <c r="I353" s="641"/>
      <c r="T353" s="695"/>
      <c r="X353" s="215"/>
      <c r="Y353" s="215"/>
      <c r="Z353" s="215"/>
      <c r="AA353" s="215"/>
      <c r="AB353" s="215"/>
    </row>
    <row r="354" spans="3:28" s="639" customFormat="1" ht="15.75" thickBot="1" x14ac:dyDescent="0.3">
      <c r="C354" s="702" t="s">
        <v>320</v>
      </c>
      <c r="D354" s="703">
        <f>SUM(D7:D352)</f>
        <v>22097766</v>
      </c>
      <c r="E354" s="703">
        <f>SUM(E7:E352)</f>
        <v>2707997173.9000006</v>
      </c>
      <c r="F354" s="703">
        <f t="shared" ref="F354:U354" si="96">SUM(F7:F352)</f>
        <v>1.0000000000050997</v>
      </c>
      <c r="G354" s="703">
        <f t="shared" si="96"/>
        <v>2838361230</v>
      </c>
      <c r="H354" s="703">
        <f t="shared" si="96"/>
        <v>130364056.10000004</v>
      </c>
      <c r="I354" s="778">
        <f>SUM(I7:I352)</f>
        <v>-156300246</v>
      </c>
      <c r="J354" s="703">
        <f t="shared" si="96"/>
        <v>286664299.1190002</v>
      </c>
      <c r="K354" s="703">
        <f t="shared" si="96"/>
        <v>156300241</v>
      </c>
      <c r="L354" s="703">
        <f t="shared" si="96"/>
        <v>130364058.11899996</v>
      </c>
      <c r="M354" s="703">
        <f t="shared" si="96"/>
        <v>1987087758</v>
      </c>
      <c r="N354" s="703">
        <f t="shared" si="96"/>
        <v>851273477</v>
      </c>
      <c r="O354" s="703">
        <f t="shared" si="96"/>
        <v>2838361235</v>
      </c>
      <c r="P354" s="703">
        <f>ABS(SUM(P7:P352))</f>
        <v>5</v>
      </c>
      <c r="Q354" s="703">
        <f>ABS(SUM(Q7:Q352))</f>
        <v>1.0000000000050997</v>
      </c>
      <c r="R354" s="703">
        <f>ABS(SUM(R7:R352))</f>
        <v>1.7615999964697431E-9</v>
      </c>
      <c r="S354" s="703">
        <f t="shared" si="96"/>
        <v>28237700</v>
      </c>
      <c r="T354" s="703">
        <f t="shared" si="96"/>
        <v>2866598935</v>
      </c>
      <c r="U354" s="703">
        <f t="shared" si="96"/>
        <v>2838361235</v>
      </c>
      <c r="V354" s="704">
        <f>SUM(V7:V352)</f>
        <v>156300246</v>
      </c>
      <c r="X354" s="215"/>
      <c r="Y354" s="215"/>
      <c r="Z354" s="215"/>
      <c r="AA354" s="215"/>
      <c r="AB354" s="215"/>
    </row>
    <row r="357" spans="3:28" s="639" customFormat="1" hidden="1" x14ac:dyDescent="0.25">
      <c r="C357" s="705"/>
      <c r="X357" s="215"/>
      <c r="Y357" s="215"/>
      <c r="Z357" s="215"/>
      <c r="AA357" s="215"/>
      <c r="AB357" s="215"/>
    </row>
  </sheetData>
  <sheetProtection algorithmName="SHA-512" hashValue="CNG7oYfxopQDKHKgUz1Io5xBERhJN+bXCL2jO7lSnek2lQMdJxx0mXmpEGYfW3TAMDS+F0eJ4obzVWjpSpi/bQ==" saltValue="pKz5tPgrm+ocFkmEAPzSzQ==" spinCount="100000" sheet="1" objects="1" scenarios="1"/>
  <phoneticPr fontId="9" type="noConversion"/>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
    <tabColor theme="0"/>
  </sheetPr>
  <dimension ref="A1:BV351"/>
  <sheetViews>
    <sheetView showGridLines="0" showOutlineSymbols="0" showWhiteSpace="0" workbookViewId="0"/>
  </sheetViews>
  <sheetFormatPr baseColWidth="10" defaultColWidth="0" defaultRowHeight="12" zeroHeight="1" x14ac:dyDescent="0.2"/>
  <cols>
    <col min="1" max="1" width="14.85546875" style="580" customWidth="1"/>
    <col min="2" max="2" width="22" style="580" bestFit="1" customWidth="1"/>
    <col min="3" max="3" width="12" style="583" bestFit="1" customWidth="1"/>
    <col min="4" max="4" width="7.85546875" style="583" bestFit="1" customWidth="1"/>
    <col min="5" max="9" width="12" style="583" bestFit="1" customWidth="1"/>
    <col min="10" max="10" width="9.140625" style="583" bestFit="1" customWidth="1"/>
    <col min="11" max="15" width="12" style="583" bestFit="1" customWidth="1"/>
    <col min="16" max="16" width="9.140625" style="583" bestFit="1" customWidth="1"/>
    <col min="17" max="17" width="10.5703125" style="583" bestFit="1" customWidth="1"/>
    <col min="18" max="21" width="12" style="583" bestFit="1" customWidth="1"/>
    <col min="22" max="22" width="7.85546875" style="583" bestFit="1" customWidth="1"/>
    <col min="23" max="26" width="12" style="583" bestFit="1" customWidth="1"/>
    <col min="27" max="27" width="13" style="583" bestFit="1" customWidth="1"/>
    <col min="28" max="28" width="11.5703125" style="583" bestFit="1" customWidth="1"/>
    <col min="29" max="30" width="12" style="583" bestFit="1" customWidth="1"/>
    <col min="31" max="31" width="13" style="583" bestFit="1" customWidth="1"/>
    <col min="32" max="32" width="10.5703125" style="583" bestFit="1" customWidth="1"/>
    <col min="33" max="33" width="12" style="583" bestFit="1" customWidth="1"/>
    <col min="34" max="34" width="10" style="583" bestFit="1" customWidth="1"/>
    <col min="35" max="35" width="10.5703125" style="583" bestFit="1" customWidth="1"/>
    <col min="36" max="37" width="12" style="583" bestFit="1" customWidth="1"/>
    <col min="38" max="38" width="10.5703125" style="583" bestFit="1" customWidth="1"/>
    <col min="39" max="39" width="12" style="583" bestFit="1" customWidth="1"/>
    <col min="40" max="40" width="11.5703125" style="583" bestFit="1" customWidth="1"/>
    <col min="41" max="41" width="10.5703125" style="583" bestFit="1" customWidth="1"/>
    <col min="42" max="43" width="12" style="583" bestFit="1" customWidth="1"/>
    <col min="44" max="44" width="10.5703125" style="583" bestFit="1" customWidth="1"/>
    <col min="45" max="45" width="12" style="583" bestFit="1" customWidth="1"/>
    <col min="46" max="46" width="7.85546875" style="583" bestFit="1" customWidth="1"/>
    <col min="47" max="51" width="12" style="583" bestFit="1" customWidth="1"/>
    <col min="52" max="53" width="11.5703125" style="583" bestFit="1" customWidth="1"/>
    <col min="54" max="57" width="12" style="583" bestFit="1" customWidth="1"/>
    <col min="58" max="58" width="9.140625" style="583" bestFit="1" customWidth="1"/>
    <col min="59" max="61" width="12" style="583" bestFit="1" customWidth="1"/>
    <col min="62" max="62" width="10.5703125" style="583" bestFit="1" customWidth="1"/>
    <col min="63" max="63" width="12" style="583" bestFit="1" customWidth="1"/>
    <col min="64" max="65" width="10.5703125" style="583" bestFit="1" customWidth="1"/>
    <col min="66" max="67" width="12" style="583" bestFit="1" customWidth="1"/>
    <col min="68" max="68" width="10.5703125" style="583" bestFit="1" customWidth="1"/>
    <col min="69" max="70" width="12" style="583" bestFit="1" customWidth="1"/>
    <col min="71" max="71" width="10.5703125" style="583" bestFit="1" customWidth="1"/>
    <col min="72" max="73" width="12" style="580" bestFit="1" customWidth="1"/>
    <col min="74" max="74" width="11.140625" style="580" bestFit="1" customWidth="1"/>
    <col min="75" max="75" width="11.5703125" style="580" customWidth="1"/>
    <col min="76" max="16384" width="11.5703125" style="580" hidden="1"/>
  </cols>
  <sheetData>
    <row r="1" spans="1:74" ht="12.75" x14ac:dyDescent="0.2">
      <c r="A1" s="582" t="s">
        <v>636</v>
      </c>
    </row>
    <row r="2" spans="1:74" x14ac:dyDescent="0.2">
      <c r="A2" s="584"/>
    </row>
    <row r="4" spans="1:74" s="581" customFormat="1" ht="51" customHeight="1" x14ac:dyDescent="0.2">
      <c r="A4" s="585" t="s">
        <v>319</v>
      </c>
      <c r="B4" s="586" t="s">
        <v>1</v>
      </c>
      <c r="C4" s="587" t="s">
        <v>3</v>
      </c>
      <c r="D4" s="587" t="s">
        <v>4</v>
      </c>
      <c r="E4" s="587" t="s">
        <v>601</v>
      </c>
      <c r="F4" s="587" t="s">
        <v>526</v>
      </c>
      <c r="G4" s="587" t="s">
        <v>446</v>
      </c>
      <c r="H4" s="587" t="s">
        <v>458</v>
      </c>
      <c r="I4" s="587" t="s">
        <v>5</v>
      </c>
      <c r="J4" s="587" t="s">
        <v>6</v>
      </c>
      <c r="K4" s="587" t="s">
        <v>602</v>
      </c>
      <c r="L4" s="587" t="s">
        <v>527</v>
      </c>
      <c r="M4" s="587" t="s">
        <v>447</v>
      </c>
      <c r="N4" s="587" t="s">
        <v>459</v>
      </c>
      <c r="O4" s="587" t="s">
        <v>7</v>
      </c>
      <c r="P4" s="587" t="s">
        <v>8</v>
      </c>
      <c r="Q4" s="587" t="s">
        <v>603</v>
      </c>
      <c r="R4" s="587" t="s">
        <v>528</v>
      </c>
      <c r="S4" s="587" t="s">
        <v>448</v>
      </c>
      <c r="T4" s="587" t="s">
        <v>460</v>
      </c>
      <c r="U4" s="587" t="s">
        <v>9</v>
      </c>
      <c r="V4" s="587" t="s">
        <v>10</v>
      </c>
      <c r="W4" s="587" t="s">
        <v>604</v>
      </c>
      <c r="X4" s="587" t="s">
        <v>529</v>
      </c>
      <c r="Y4" s="587" t="s">
        <v>449</v>
      </c>
      <c r="Z4" s="587" t="s">
        <v>461</v>
      </c>
      <c r="AA4" s="587" t="s">
        <v>11</v>
      </c>
      <c r="AB4" s="587" t="s">
        <v>12</v>
      </c>
      <c r="AC4" s="587" t="s">
        <v>605</v>
      </c>
      <c r="AD4" s="587" t="s">
        <v>530</v>
      </c>
      <c r="AE4" s="587" t="s">
        <v>450</v>
      </c>
      <c r="AF4" s="587" t="s">
        <v>462</v>
      </c>
      <c r="AG4" s="587" t="s">
        <v>13</v>
      </c>
      <c r="AH4" s="587" t="s">
        <v>14</v>
      </c>
      <c r="AI4" s="587" t="s">
        <v>606</v>
      </c>
      <c r="AJ4" s="587" t="s">
        <v>531</v>
      </c>
      <c r="AK4" s="587" t="s">
        <v>451</v>
      </c>
      <c r="AL4" s="587" t="s">
        <v>463</v>
      </c>
      <c r="AM4" s="587" t="s">
        <v>15</v>
      </c>
      <c r="AN4" s="587" t="s">
        <v>16</v>
      </c>
      <c r="AO4" s="587" t="s">
        <v>607</v>
      </c>
      <c r="AP4" s="587" t="s">
        <v>532</v>
      </c>
      <c r="AQ4" s="587" t="s">
        <v>452</v>
      </c>
      <c r="AR4" s="587" t="s">
        <v>464</v>
      </c>
      <c r="AS4" s="587" t="s">
        <v>17</v>
      </c>
      <c r="AT4" s="587" t="s">
        <v>18</v>
      </c>
      <c r="AU4" s="587" t="s">
        <v>608</v>
      </c>
      <c r="AV4" s="587" t="s">
        <v>533</v>
      </c>
      <c r="AW4" s="587" t="s">
        <v>453</v>
      </c>
      <c r="AX4" s="587" t="s">
        <v>465</v>
      </c>
      <c r="AY4" s="587" t="s">
        <v>19</v>
      </c>
      <c r="AZ4" s="587" t="s">
        <v>20</v>
      </c>
      <c r="BA4" s="587" t="s">
        <v>609</v>
      </c>
      <c r="BB4" s="587" t="s">
        <v>534</v>
      </c>
      <c r="BC4" s="587" t="s">
        <v>454</v>
      </c>
      <c r="BD4" s="587" t="s">
        <v>466</v>
      </c>
      <c r="BE4" s="587" t="s">
        <v>21</v>
      </c>
      <c r="BF4" s="587" t="s">
        <v>22</v>
      </c>
      <c r="BG4" s="587" t="s">
        <v>610</v>
      </c>
      <c r="BH4" s="587" t="s">
        <v>535</v>
      </c>
      <c r="BI4" s="587" t="s">
        <v>455</v>
      </c>
      <c r="BJ4" s="587" t="s">
        <v>467</v>
      </c>
      <c r="BK4" s="587" t="s">
        <v>23</v>
      </c>
      <c r="BL4" s="587" t="s">
        <v>24</v>
      </c>
      <c r="BM4" s="587" t="s">
        <v>611</v>
      </c>
      <c r="BN4" s="587" t="s">
        <v>536</v>
      </c>
      <c r="BO4" s="587" t="s">
        <v>456</v>
      </c>
      <c r="BP4" s="587" t="s">
        <v>468</v>
      </c>
      <c r="BQ4" s="587" t="s">
        <v>25</v>
      </c>
      <c r="BR4" s="587" t="s">
        <v>26</v>
      </c>
      <c r="BS4" s="587" t="s">
        <v>612</v>
      </c>
      <c r="BT4" s="587" t="s">
        <v>537</v>
      </c>
      <c r="BU4" s="587" t="s">
        <v>457</v>
      </c>
      <c r="BV4" s="587" t="s">
        <v>469</v>
      </c>
    </row>
    <row r="5" spans="1:74" x14ac:dyDescent="0.2">
      <c r="A5" s="588">
        <v>1101</v>
      </c>
      <c r="B5" s="588" t="s">
        <v>54</v>
      </c>
      <c r="C5" s="583">
        <v>233315</v>
      </c>
      <c r="D5" s="583">
        <v>0</v>
      </c>
      <c r="E5" s="583">
        <v>132672</v>
      </c>
      <c r="F5" s="583">
        <v>0</v>
      </c>
      <c r="G5" s="583">
        <v>365987</v>
      </c>
      <c r="H5" s="583">
        <v>132672</v>
      </c>
      <c r="I5" s="583">
        <v>124069</v>
      </c>
      <c r="J5" s="583">
        <v>0</v>
      </c>
      <c r="K5" s="583">
        <v>241918</v>
      </c>
      <c r="L5" s="583">
        <v>0</v>
      </c>
      <c r="M5" s="583">
        <v>365987</v>
      </c>
      <c r="N5" s="583">
        <v>374590</v>
      </c>
      <c r="O5" s="583">
        <v>353941</v>
      </c>
      <c r="P5" s="583">
        <v>0</v>
      </c>
      <c r="Q5" s="583">
        <v>0</v>
      </c>
      <c r="R5" s="583">
        <v>0</v>
      </c>
      <c r="S5" s="583">
        <v>353941</v>
      </c>
      <c r="T5" s="583">
        <v>374590</v>
      </c>
      <c r="U5" s="583">
        <v>187937</v>
      </c>
      <c r="V5" s="583">
        <v>0</v>
      </c>
      <c r="W5" s="583">
        <v>178050</v>
      </c>
      <c r="X5" s="583">
        <v>0</v>
      </c>
      <c r="Y5" s="583">
        <v>365987</v>
      </c>
      <c r="Z5" s="583">
        <v>552640</v>
      </c>
      <c r="AA5" s="583">
        <v>1635407</v>
      </c>
      <c r="AB5" s="583">
        <v>15094</v>
      </c>
      <c r="AC5" s="583">
        <v>-552640</v>
      </c>
      <c r="AD5" s="583">
        <v>0</v>
      </c>
      <c r="AE5" s="583">
        <v>1097861</v>
      </c>
      <c r="AF5" s="583">
        <v>0</v>
      </c>
      <c r="AG5" s="583">
        <v>323932</v>
      </c>
      <c r="AH5" s="583">
        <v>10698</v>
      </c>
      <c r="AI5" s="583">
        <v>42055</v>
      </c>
      <c r="AJ5" s="583">
        <v>0</v>
      </c>
      <c r="AK5" s="583">
        <v>376685</v>
      </c>
      <c r="AL5" s="583">
        <v>42055</v>
      </c>
      <c r="AM5" s="583">
        <v>643920</v>
      </c>
      <c r="AN5" s="583">
        <v>62513</v>
      </c>
      <c r="AO5" s="583">
        <v>-42055</v>
      </c>
      <c r="AP5" s="583">
        <v>0</v>
      </c>
      <c r="AQ5" s="583">
        <v>664378</v>
      </c>
      <c r="AR5" s="583">
        <v>0</v>
      </c>
      <c r="AS5" s="583">
        <v>212697</v>
      </c>
      <c r="AT5" s="583">
        <v>0</v>
      </c>
      <c r="AU5" s="583">
        <v>153290</v>
      </c>
      <c r="AV5" s="583">
        <v>0</v>
      </c>
      <c r="AW5" s="583">
        <v>365987</v>
      </c>
      <c r="AX5" s="583">
        <v>153290</v>
      </c>
      <c r="AY5" s="583">
        <v>411752</v>
      </c>
      <c r="AZ5" s="583">
        <v>15325</v>
      </c>
      <c r="BA5" s="583">
        <v>0</v>
      </c>
      <c r="BB5" s="583">
        <v>0</v>
      </c>
      <c r="BC5" s="583">
        <v>427077</v>
      </c>
      <c r="BD5" s="583">
        <v>153290</v>
      </c>
      <c r="BE5" s="583">
        <v>868780</v>
      </c>
      <c r="BF5" s="583">
        <v>0</v>
      </c>
      <c r="BG5" s="583">
        <v>-153290</v>
      </c>
      <c r="BH5" s="583">
        <v>0</v>
      </c>
      <c r="BI5" s="583">
        <v>715490</v>
      </c>
      <c r="BJ5" s="583">
        <v>0</v>
      </c>
      <c r="BK5" s="583">
        <v>322441</v>
      </c>
      <c r="BL5" s="583">
        <v>0</v>
      </c>
      <c r="BM5" s="583">
        <v>43546</v>
      </c>
      <c r="BN5" s="583">
        <v>0</v>
      </c>
      <c r="BO5" s="583">
        <v>365987</v>
      </c>
      <c r="BP5" s="583">
        <v>43546</v>
      </c>
      <c r="BQ5" s="583">
        <v>617887</v>
      </c>
      <c r="BR5" s="583">
        <v>100722</v>
      </c>
      <c r="BS5" s="583">
        <v>-43546</v>
      </c>
      <c r="BT5" s="583">
        <v>0</v>
      </c>
      <c r="BU5" s="583">
        <v>675063</v>
      </c>
      <c r="BV5" s="583">
        <v>0</v>
      </c>
    </row>
    <row r="6" spans="1:74" x14ac:dyDescent="0.2">
      <c r="A6" s="588">
        <v>1107</v>
      </c>
      <c r="B6" s="580" t="s">
        <v>60</v>
      </c>
      <c r="C6" s="583">
        <v>596638</v>
      </c>
      <c r="D6" s="583">
        <v>0</v>
      </c>
      <c r="E6" s="583">
        <v>348153</v>
      </c>
      <c r="F6" s="583">
        <v>0</v>
      </c>
      <c r="G6" s="583">
        <v>944791</v>
      </c>
      <c r="H6" s="583">
        <v>348153</v>
      </c>
      <c r="I6" s="583">
        <v>317272</v>
      </c>
      <c r="J6" s="583">
        <v>0</v>
      </c>
      <c r="K6" s="583">
        <v>627519</v>
      </c>
      <c r="L6" s="583">
        <v>0</v>
      </c>
      <c r="M6" s="583">
        <v>944791</v>
      </c>
      <c r="N6" s="583">
        <v>975672</v>
      </c>
      <c r="O6" s="583">
        <v>905106</v>
      </c>
      <c r="P6" s="583">
        <v>0</v>
      </c>
      <c r="Q6" s="583">
        <v>0</v>
      </c>
      <c r="R6" s="583">
        <v>0</v>
      </c>
      <c r="S6" s="583">
        <v>905106</v>
      </c>
      <c r="T6" s="583">
        <v>975672</v>
      </c>
      <c r="U6" s="583">
        <v>480597</v>
      </c>
      <c r="V6" s="583">
        <v>0</v>
      </c>
      <c r="W6" s="583">
        <v>464194</v>
      </c>
      <c r="X6" s="583">
        <v>0</v>
      </c>
      <c r="Y6" s="583">
        <v>944791</v>
      </c>
      <c r="Z6" s="583">
        <v>1439866</v>
      </c>
      <c r="AA6" s="583">
        <v>4182096</v>
      </c>
      <c r="AB6" s="583">
        <v>38600</v>
      </c>
      <c r="AC6" s="583">
        <v>-1439866</v>
      </c>
      <c r="AD6" s="583">
        <v>0</v>
      </c>
      <c r="AE6" s="583">
        <v>2780830</v>
      </c>
      <c r="AF6" s="583">
        <v>0</v>
      </c>
      <c r="AG6" s="583">
        <v>828366</v>
      </c>
      <c r="AH6" s="583">
        <v>27356</v>
      </c>
      <c r="AI6" s="583">
        <v>116425</v>
      </c>
      <c r="AJ6" s="583">
        <v>0</v>
      </c>
      <c r="AK6" s="583">
        <v>972147</v>
      </c>
      <c r="AL6" s="583">
        <v>116425</v>
      </c>
      <c r="AM6" s="583">
        <v>1646645</v>
      </c>
      <c r="AN6" s="583">
        <v>159859</v>
      </c>
      <c r="AO6" s="583">
        <v>-116425</v>
      </c>
      <c r="AP6" s="583">
        <v>0</v>
      </c>
      <c r="AQ6" s="583">
        <v>1690079</v>
      </c>
      <c r="AR6" s="583">
        <v>0</v>
      </c>
      <c r="AS6" s="583">
        <v>543912</v>
      </c>
      <c r="AT6" s="583">
        <v>0</v>
      </c>
      <c r="AU6" s="583">
        <v>400879</v>
      </c>
      <c r="AV6" s="583">
        <v>0</v>
      </c>
      <c r="AW6" s="583">
        <v>944791</v>
      </c>
      <c r="AX6" s="583">
        <v>400879</v>
      </c>
      <c r="AY6" s="583">
        <v>1052941</v>
      </c>
      <c r="AZ6" s="583">
        <v>39189</v>
      </c>
      <c r="BA6" s="583">
        <v>0</v>
      </c>
      <c r="BB6" s="583">
        <v>0</v>
      </c>
      <c r="BC6" s="583">
        <v>1092130</v>
      </c>
      <c r="BD6" s="583">
        <v>400879</v>
      </c>
      <c r="BE6" s="583">
        <v>2221661</v>
      </c>
      <c r="BF6" s="583">
        <v>0</v>
      </c>
      <c r="BG6" s="583">
        <v>-400879</v>
      </c>
      <c r="BH6" s="583">
        <v>0</v>
      </c>
      <c r="BI6" s="583">
        <v>1820782</v>
      </c>
      <c r="BJ6" s="583">
        <v>0</v>
      </c>
      <c r="BK6" s="583">
        <v>824553</v>
      </c>
      <c r="BL6" s="583">
        <v>0</v>
      </c>
      <c r="BM6" s="583">
        <v>120238</v>
      </c>
      <c r="BN6" s="583">
        <v>0</v>
      </c>
      <c r="BO6" s="583">
        <v>944791</v>
      </c>
      <c r="BP6" s="583">
        <v>120238</v>
      </c>
      <c r="BQ6" s="583">
        <v>1580072</v>
      </c>
      <c r="BR6" s="583">
        <v>257568</v>
      </c>
      <c r="BS6" s="583">
        <v>-120238</v>
      </c>
      <c r="BT6" s="583">
        <v>0</v>
      </c>
      <c r="BU6" s="583">
        <v>1717402</v>
      </c>
      <c r="BV6" s="583">
        <v>0</v>
      </c>
    </row>
    <row r="7" spans="1:74" x14ac:dyDescent="0.2">
      <c r="A7" s="580">
        <v>1401</v>
      </c>
      <c r="B7" s="580" t="s">
        <v>56</v>
      </c>
      <c r="C7" s="583">
        <v>128436</v>
      </c>
      <c r="D7" s="583">
        <v>0</v>
      </c>
      <c r="E7" s="583">
        <v>72442</v>
      </c>
      <c r="F7" s="583">
        <v>0</v>
      </c>
      <c r="G7" s="583">
        <v>200878</v>
      </c>
      <c r="H7" s="583">
        <v>72442</v>
      </c>
      <c r="I7" s="583">
        <v>68298</v>
      </c>
      <c r="J7" s="583">
        <v>0</v>
      </c>
      <c r="K7" s="583">
        <v>132580</v>
      </c>
      <c r="L7" s="583">
        <v>0</v>
      </c>
      <c r="M7" s="583">
        <v>200878</v>
      </c>
      <c r="N7" s="583">
        <v>205022</v>
      </c>
      <c r="O7" s="583">
        <v>194838</v>
      </c>
      <c r="P7" s="583">
        <v>0</v>
      </c>
      <c r="Q7" s="583">
        <v>0</v>
      </c>
      <c r="R7" s="583">
        <v>0</v>
      </c>
      <c r="S7" s="583">
        <v>194838</v>
      </c>
      <c r="T7" s="583">
        <v>205022</v>
      </c>
      <c r="U7" s="583">
        <v>103456</v>
      </c>
      <c r="V7" s="583">
        <v>0</v>
      </c>
      <c r="W7" s="583">
        <v>97422</v>
      </c>
      <c r="X7" s="583">
        <v>0</v>
      </c>
      <c r="Y7" s="583">
        <v>200878</v>
      </c>
      <c r="Z7" s="583">
        <v>302444</v>
      </c>
      <c r="AA7" s="583">
        <v>900261</v>
      </c>
      <c r="AB7" s="583">
        <v>8309</v>
      </c>
      <c r="AC7" s="583">
        <v>-302444</v>
      </c>
      <c r="AD7" s="583">
        <v>0</v>
      </c>
      <c r="AE7" s="583">
        <v>606126</v>
      </c>
      <c r="AF7" s="583">
        <v>0</v>
      </c>
      <c r="AG7" s="583">
        <v>178319</v>
      </c>
      <c r="AH7" s="583">
        <v>5889</v>
      </c>
      <c r="AI7" s="583">
        <v>22559</v>
      </c>
      <c r="AJ7" s="583">
        <v>0</v>
      </c>
      <c r="AK7" s="583">
        <v>206767</v>
      </c>
      <c r="AL7" s="583">
        <v>22559</v>
      </c>
      <c r="AM7" s="583">
        <v>354466</v>
      </c>
      <c r="AN7" s="583">
        <v>34412</v>
      </c>
      <c r="AO7" s="583">
        <v>-22559</v>
      </c>
      <c r="AP7" s="583">
        <v>0</v>
      </c>
      <c r="AQ7" s="583">
        <v>366319</v>
      </c>
      <c r="AR7" s="583">
        <v>0</v>
      </c>
      <c r="AS7" s="583">
        <v>117085</v>
      </c>
      <c r="AT7" s="583">
        <v>0</v>
      </c>
      <c r="AU7" s="583">
        <v>83793</v>
      </c>
      <c r="AV7" s="583">
        <v>0</v>
      </c>
      <c r="AW7" s="583">
        <v>200878</v>
      </c>
      <c r="AX7" s="583">
        <v>83793</v>
      </c>
      <c r="AY7" s="583">
        <v>226662</v>
      </c>
      <c r="AZ7" s="583">
        <v>8436</v>
      </c>
      <c r="BA7" s="583">
        <v>0</v>
      </c>
      <c r="BB7" s="583">
        <v>0</v>
      </c>
      <c r="BC7" s="583">
        <v>235098</v>
      </c>
      <c r="BD7" s="583">
        <v>83793</v>
      </c>
      <c r="BE7" s="583">
        <v>478247</v>
      </c>
      <c r="BF7" s="583">
        <v>0</v>
      </c>
      <c r="BG7" s="583">
        <v>-83793</v>
      </c>
      <c r="BH7" s="583">
        <v>0</v>
      </c>
      <c r="BI7" s="583">
        <v>394454</v>
      </c>
      <c r="BJ7" s="583">
        <v>0</v>
      </c>
      <c r="BK7" s="583">
        <v>177498</v>
      </c>
      <c r="BL7" s="583">
        <v>0</v>
      </c>
      <c r="BM7" s="583">
        <v>23380</v>
      </c>
      <c r="BN7" s="583">
        <v>0</v>
      </c>
      <c r="BO7" s="583">
        <v>200878</v>
      </c>
      <c r="BP7" s="583">
        <v>23380</v>
      </c>
      <c r="BQ7" s="583">
        <v>340135</v>
      </c>
      <c r="BR7" s="583">
        <v>55446</v>
      </c>
      <c r="BS7" s="583">
        <v>-23380</v>
      </c>
      <c r="BT7" s="583">
        <v>0</v>
      </c>
      <c r="BU7" s="583">
        <v>372201</v>
      </c>
      <c r="BV7" s="583">
        <v>0</v>
      </c>
    </row>
    <row r="8" spans="1:74" x14ac:dyDescent="0.2">
      <c r="A8" s="580">
        <v>1402</v>
      </c>
      <c r="B8" s="580" t="s">
        <v>58</v>
      </c>
      <c r="C8" s="583">
        <v>77696</v>
      </c>
      <c r="D8" s="583">
        <v>0</v>
      </c>
      <c r="E8" s="583">
        <v>48108</v>
      </c>
      <c r="F8" s="583">
        <v>0</v>
      </c>
      <c r="G8" s="583">
        <v>125804</v>
      </c>
      <c r="H8" s="583">
        <v>48108</v>
      </c>
      <c r="I8" s="583">
        <v>41316</v>
      </c>
      <c r="J8" s="583">
        <v>0</v>
      </c>
      <c r="K8" s="583">
        <v>84488</v>
      </c>
      <c r="L8" s="583">
        <v>0</v>
      </c>
      <c r="M8" s="583">
        <v>125804</v>
      </c>
      <c r="N8" s="583">
        <v>132596</v>
      </c>
      <c r="O8" s="583">
        <v>117866</v>
      </c>
      <c r="P8" s="583">
        <v>0</v>
      </c>
      <c r="Q8" s="583">
        <v>0</v>
      </c>
      <c r="R8" s="583">
        <v>0</v>
      </c>
      <c r="S8" s="583">
        <v>117866</v>
      </c>
      <c r="T8" s="583">
        <v>132596</v>
      </c>
      <c r="U8" s="583">
        <v>62585</v>
      </c>
      <c r="V8" s="583">
        <v>0</v>
      </c>
      <c r="W8" s="583">
        <v>63219</v>
      </c>
      <c r="X8" s="583">
        <v>0</v>
      </c>
      <c r="Y8" s="583">
        <v>125804</v>
      </c>
      <c r="Z8" s="583">
        <v>195815</v>
      </c>
      <c r="AA8" s="583">
        <v>544606</v>
      </c>
      <c r="AB8" s="583">
        <v>5027</v>
      </c>
      <c r="AC8" s="583">
        <v>-195815</v>
      </c>
      <c r="AD8" s="583">
        <v>0</v>
      </c>
      <c r="AE8" s="583">
        <v>353818</v>
      </c>
      <c r="AF8" s="583">
        <v>0</v>
      </c>
      <c r="AG8" s="583">
        <v>107873</v>
      </c>
      <c r="AH8" s="583">
        <v>3562</v>
      </c>
      <c r="AI8" s="583">
        <v>17931</v>
      </c>
      <c r="AJ8" s="583">
        <v>0</v>
      </c>
      <c r="AK8" s="583">
        <v>129366</v>
      </c>
      <c r="AL8" s="583">
        <v>17931</v>
      </c>
      <c r="AM8" s="583">
        <v>214431</v>
      </c>
      <c r="AN8" s="583">
        <v>20817</v>
      </c>
      <c r="AO8" s="583">
        <v>-17931</v>
      </c>
      <c r="AP8" s="583">
        <v>0</v>
      </c>
      <c r="AQ8" s="583">
        <v>217317</v>
      </c>
      <c r="AR8" s="583">
        <v>0</v>
      </c>
      <c r="AS8" s="583">
        <v>70830</v>
      </c>
      <c r="AT8" s="583">
        <v>0</v>
      </c>
      <c r="AU8" s="583">
        <v>54974</v>
      </c>
      <c r="AV8" s="583">
        <v>0</v>
      </c>
      <c r="AW8" s="583">
        <v>125804</v>
      </c>
      <c r="AX8" s="583">
        <v>54974</v>
      </c>
      <c r="AY8" s="583">
        <v>137117</v>
      </c>
      <c r="AZ8" s="583">
        <v>5103</v>
      </c>
      <c r="BA8" s="583">
        <v>0</v>
      </c>
      <c r="BB8" s="583">
        <v>0</v>
      </c>
      <c r="BC8" s="583">
        <v>142220</v>
      </c>
      <c r="BD8" s="583">
        <v>54974</v>
      </c>
      <c r="BE8" s="583">
        <v>289312</v>
      </c>
      <c r="BF8" s="583">
        <v>0</v>
      </c>
      <c r="BG8" s="583">
        <v>-54974</v>
      </c>
      <c r="BH8" s="583">
        <v>0</v>
      </c>
      <c r="BI8" s="583">
        <v>234338</v>
      </c>
      <c r="BJ8" s="583">
        <v>0</v>
      </c>
      <c r="BK8" s="583">
        <v>107376</v>
      </c>
      <c r="BL8" s="583">
        <v>0</v>
      </c>
      <c r="BM8" s="583">
        <v>18428</v>
      </c>
      <c r="BN8" s="583">
        <v>0</v>
      </c>
      <c r="BO8" s="583">
        <v>125804</v>
      </c>
      <c r="BP8" s="583">
        <v>18428</v>
      </c>
      <c r="BQ8" s="583">
        <v>205762</v>
      </c>
      <c r="BR8" s="583">
        <v>33541</v>
      </c>
      <c r="BS8" s="583">
        <v>-18428</v>
      </c>
      <c r="BT8" s="583">
        <v>0</v>
      </c>
      <c r="BU8" s="583">
        <v>220875</v>
      </c>
      <c r="BV8" s="583">
        <v>0</v>
      </c>
    </row>
    <row r="9" spans="1:74" x14ac:dyDescent="0.2">
      <c r="A9" s="580">
        <v>1403</v>
      </c>
      <c r="B9" s="580" t="s">
        <v>59</v>
      </c>
      <c r="C9" s="583">
        <v>73585</v>
      </c>
      <c r="D9" s="583">
        <v>0</v>
      </c>
      <c r="E9" s="583">
        <v>36287</v>
      </c>
      <c r="F9" s="583">
        <v>0</v>
      </c>
      <c r="G9" s="583">
        <v>109872</v>
      </c>
      <c r="H9" s="583">
        <v>36287</v>
      </c>
      <c r="I9" s="583">
        <v>39130</v>
      </c>
      <c r="J9" s="583">
        <v>0</v>
      </c>
      <c r="K9" s="583">
        <v>70742</v>
      </c>
      <c r="L9" s="583">
        <v>0</v>
      </c>
      <c r="M9" s="583">
        <v>109872</v>
      </c>
      <c r="N9" s="583">
        <v>107029</v>
      </c>
      <c r="O9" s="583">
        <v>111630</v>
      </c>
      <c r="P9" s="583">
        <v>0</v>
      </c>
      <c r="Q9" s="583">
        <v>0</v>
      </c>
      <c r="R9" s="583">
        <v>0</v>
      </c>
      <c r="S9" s="583">
        <v>111630</v>
      </c>
      <c r="T9" s="583">
        <v>107029</v>
      </c>
      <c r="U9" s="583">
        <v>59274</v>
      </c>
      <c r="V9" s="583">
        <v>0</v>
      </c>
      <c r="W9" s="583">
        <v>50598</v>
      </c>
      <c r="X9" s="583">
        <v>0</v>
      </c>
      <c r="Y9" s="583">
        <v>109872</v>
      </c>
      <c r="Z9" s="583">
        <v>157627</v>
      </c>
      <c r="AA9" s="583">
        <v>515791</v>
      </c>
      <c r="AB9" s="583">
        <v>4761</v>
      </c>
      <c r="AC9" s="583">
        <v>-157627</v>
      </c>
      <c r="AD9" s="583">
        <v>0</v>
      </c>
      <c r="AE9" s="583">
        <v>362925</v>
      </c>
      <c r="AF9" s="583">
        <v>0</v>
      </c>
      <c r="AG9" s="583">
        <v>102165</v>
      </c>
      <c r="AH9" s="583">
        <v>3374</v>
      </c>
      <c r="AI9" s="583">
        <v>7707</v>
      </c>
      <c r="AJ9" s="583">
        <v>0</v>
      </c>
      <c r="AK9" s="583">
        <v>113246</v>
      </c>
      <c r="AL9" s="583">
        <v>7707</v>
      </c>
      <c r="AM9" s="583">
        <v>203086</v>
      </c>
      <c r="AN9" s="583">
        <v>19716</v>
      </c>
      <c r="AO9" s="583">
        <v>-7707</v>
      </c>
      <c r="AP9" s="583">
        <v>0</v>
      </c>
      <c r="AQ9" s="583">
        <v>215095</v>
      </c>
      <c r="AR9" s="583">
        <v>0</v>
      </c>
      <c r="AS9" s="583">
        <v>67082</v>
      </c>
      <c r="AT9" s="583">
        <v>0</v>
      </c>
      <c r="AU9" s="583">
        <v>42790</v>
      </c>
      <c r="AV9" s="583">
        <v>0</v>
      </c>
      <c r="AW9" s="583">
        <v>109872</v>
      </c>
      <c r="AX9" s="583">
        <v>42790</v>
      </c>
      <c r="AY9" s="583">
        <v>129863</v>
      </c>
      <c r="AZ9" s="583">
        <v>4833</v>
      </c>
      <c r="BA9" s="583">
        <v>0</v>
      </c>
      <c r="BB9" s="583">
        <v>0</v>
      </c>
      <c r="BC9" s="583">
        <v>134696</v>
      </c>
      <c r="BD9" s="583">
        <v>42790</v>
      </c>
      <c r="BE9" s="583">
        <v>274005</v>
      </c>
      <c r="BF9" s="583">
        <v>0</v>
      </c>
      <c r="BG9" s="583">
        <v>-42790</v>
      </c>
      <c r="BH9" s="583">
        <v>0</v>
      </c>
      <c r="BI9" s="583">
        <v>231215</v>
      </c>
      <c r="BJ9" s="583">
        <v>0</v>
      </c>
      <c r="BK9" s="583">
        <v>101695</v>
      </c>
      <c r="BL9" s="583">
        <v>0</v>
      </c>
      <c r="BM9" s="583">
        <v>8177</v>
      </c>
      <c r="BN9" s="583">
        <v>0</v>
      </c>
      <c r="BO9" s="583">
        <v>109872</v>
      </c>
      <c r="BP9" s="583">
        <v>8177</v>
      </c>
      <c r="BQ9" s="583">
        <v>194875</v>
      </c>
      <c r="BR9" s="583">
        <v>31767</v>
      </c>
      <c r="BS9" s="583">
        <v>-8177</v>
      </c>
      <c r="BT9" s="583">
        <v>0</v>
      </c>
      <c r="BU9" s="583">
        <v>218465</v>
      </c>
      <c r="BV9" s="583">
        <v>0</v>
      </c>
    </row>
    <row r="10" spans="1:74" x14ac:dyDescent="0.2">
      <c r="A10" s="580">
        <v>1404</v>
      </c>
      <c r="B10" s="580" t="s">
        <v>57</v>
      </c>
      <c r="C10" s="583">
        <v>103352</v>
      </c>
      <c r="D10" s="583">
        <v>0</v>
      </c>
      <c r="E10" s="583">
        <v>55388</v>
      </c>
      <c r="F10" s="583">
        <v>0</v>
      </c>
      <c r="G10" s="583">
        <v>158740</v>
      </c>
      <c r="H10" s="583">
        <v>55388</v>
      </c>
      <c r="I10" s="583">
        <v>54959</v>
      </c>
      <c r="J10" s="583">
        <v>0</v>
      </c>
      <c r="K10" s="583">
        <v>103781</v>
      </c>
      <c r="L10" s="583">
        <v>0</v>
      </c>
      <c r="M10" s="583">
        <v>158740</v>
      </c>
      <c r="N10" s="583">
        <v>159169</v>
      </c>
      <c r="O10" s="583">
        <v>156786</v>
      </c>
      <c r="P10" s="583">
        <v>0</v>
      </c>
      <c r="Q10" s="583">
        <v>0</v>
      </c>
      <c r="R10" s="583">
        <v>0</v>
      </c>
      <c r="S10" s="583">
        <v>156786</v>
      </c>
      <c r="T10" s="583">
        <v>159169</v>
      </c>
      <c r="U10" s="583">
        <v>83251</v>
      </c>
      <c r="V10" s="583">
        <v>0</v>
      </c>
      <c r="W10" s="583">
        <v>75489</v>
      </c>
      <c r="X10" s="583">
        <v>0</v>
      </c>
      <c r="Y10" s="583">
        <v>158740</v>
      </c>
      <c r="Z10" s="583">
        <v>234658</v>
      </c>
      <c r="AA10" s="583">
        <v>724441</v>
      </c>
      <c r="AB10" s="583">
        <v>6686</v>
      </c>
      <c r="AC10" s="583">
        <v>-234658</v>
      </c>
      <c r="AD10" s="583">
        <v>0</v>
      </c>
      <c r="AE10" s="583">
        <v>496469</v>
      </c>
      <c r="AF10" s="583">
        <v>0</v>
      </c>
      <c r="AG10" s="583">
        <v>143493</v>
      </c>
      <c r="AH10" s="583">
        <v>4739</v>
      </c>
      <c r="AI10" s="583">
        <v>15247</v>
      </c>
      <c r="AJ10" s="583">
        <v>0</v>
      </c>
      <c r="AK10" s="583">
        <v>163479</v>
      </c>
      <c r="AL10" s="583">
        <v>15247</v>
      </c>
      <c r="AM10" s="583">
        <v>285239</v>
      </c>
      <c r="AN10" s="583">
        <v>27692</v>
      </c>
      <c r="AO10" s="583">
        <v>-15247</v>
      </c>
      <c r="AP10" s="583">
        <v>0</v>
      </c>
      <c r="AQ10" s="583">
        <v>297684</v>
      </c>
      <c r="AR10" s="583">
        <v>0</v>
      </c>
      <c r="AS10" s="583">
        <v>94219</v>
      </c>
      <c r="AT10" s="583">
        <v>0</v>
      </c>
      <c r="AU10" s="583">
        <v>64521</v>
      </c>
      <c r="AV10" s="583">
        <v>0</v>
      </c>
      <c r="AW10" s="583">
        <v>158740</v>
      </c>
      <c r="AX10" s="583">
        <v>64521</v>
      </c>
      <c r="AY10" s="583">
        <v>182395</v>
      </c>
      <c r="AZ10" s="583">
        <v>6789</v>
      </c>
      <c r="BA10" s="583">
        <v>0</v>
      </c>
      <c r="BB10" s="583">
        <v>0</v>
      </c>
      <c r="BC10" s="583">
        <v>189184</v>
      </c>
      <c r="BD10" s="583">
        <v>64521</v>
      </c>
      <c r="BE10" s="583">
        <v>384846</v>
      </c>
      <c r="BF10" s="583">
        <v>0</v>
      </c>
      <c r="BG10" s="583">
        <v>-64521</v>
      </c>
      <c r="BH10" s="583">
        <v>0</v>
      </c>
      <c r="BI10" s="583">
        <v>320325</v>
      </c>
      <c r="BJ10" s="583">
        <v>0</v>
      </c>
      <c r="BK10" s="583">
        <v>142833</v>
      </c>
      <c r="BL10" s="583">
        <v>0</v>
      </c>
      <c r="BM10" s="583">
        <v>15907</v>
      </c>
      <c r="BN10" s="583">
        <v>0</v>
      </c>
      <c r="BO10" s="583">
        <v>158740</v>
      </c>
      <c r="BP10" s="583">
        <v>15907</v>
      </c>
      <c r="BQ10" s="583">
        <v>273707</v>
      </c>
      <c r="BR10" s="583">
        <v>44617</v>
      </c>
      <c r="BS10" s="583">
        <v>-15907</v>
      </c>
      <c r="BT10" s="583">
        <v>0</v>
      </c>
      <c r="BU10" s="583">
        <v>302417</v>
      </c>
      <c r="BV10" s="583">
        <v>0</v>
      </c>
    </row>
    <row r="11" spans="1:74" x14ac:dyDescent="0.2">
      <c r="A11" s="580">
        <v>1405</v>
      </c>
      <c r="B11" s="580" t="s">
        <v>55</v>
      </c>
      <c r="C11" s="583">
        <v>119758</v>
      </c>
      <c r="D11" s="583">
        <v>0</v>
      </c>
      <c r="E11" s="583">
        <v>54148</v>
      </c>
      <c r="F11" s="583">
        <v>0</v>
      </c>
      <c r="G11" s="583">
        <v>173906</v>
      </c>
      <c r="H11" s="583">
        <v>54148</v>
      </c>
      <c r="I11" s="583">
        <v>63683</v>
      </c>
      <c r="J11" s="583">
        <v>0</v>
      </c>
      <c r="K11" s="583">
        <v>110223</v>
      </c>
      <c r="L11" s="583">
        <v>0</v>
      </c>
      <c r="M11" s="583">
        <v>173906</v>
      </c>
      <c r="N11" s="583">
        <v>164371</v>
      </c>
      <c r="O11" s="583">
        <v>181674</v>
      </c>
      <c r="P11" s="583">
        <v>0</v>
      </c>
      <c r="Q11" s="583">
        <v>0</v>
      </c>
      <c r="R11" s="583">
        <v>0</v>
      </c>
      <c r="S11" s="583">
        <v>181674</v>
      </c>
      <c r="T11" s="583">
        <v>164371</v>
      </c>
      <c r="U11" s="583">
        <v>96466</v>
      </c>
      <c r="V11" s="583">
        <v>0</v>
      </c>
      <c r="W11" s="583">
        <v>77440</v>
      </c>
      <c r="X11" s="583">
        <v>0</v>
      </c>
      <c r="Y11" s="583">
        <v>173906</v>
      </c>
      <c r="Z11" s="583">
        <v>241811</v>
      </c>
      <c r="AA11" s="583">
        <v>839434</v>
      </c>
      <c r="AB11" s="583">
        <v>7748</v>
      </c>
      <c r="AC11" s="583">
        <v>-241811</v>
      </c>
      <c r="AD11" s="583">
        <v>0</v>
      </c>
      <c r="AE11" s="583">
        <v>605371</v>
      </c>
      <c r="AF11" s="583">
        <v>0</v>
      </c>
      <c r="AG11" s="583">
        <v>166270</v>
      </c>
      <c r="AH11" s="583">
        <v>5491</v>
      </c>
      <c r="AI11" s="583">
        <v>7636</v>
      </c>
      <c r="AJ11" s="583">
        <v>0</v>
      </c>
      <c r="AK11" s="583">
        <v>179397</v>
      </c>
      <c r="AL11" s="583">
        <v>7636</v>
      </c>
      <c r="AM11" s="583">
        <v>330516</v>
      </c>
      <c r="AN11" s="583">
        <v>32087</v>
      </c>
      <c r="AO11" s="583">
        <v>-7636</v>
      </c>
      <c r="AP11" s="583">
        <v>0</v>
      </c>
      <c r="AQ11" s="583">
        <v>354967</v>
      </c>
      <c r="AR11" s="583">
        <v>0</v>
      </c>
      <c r="AS11" s="583">
        <v>109175</v>
      </c>
      <c r="AT11" s="583">
        <v>0</v>
      </c>
      <c r="AU11" s="583">
        <v>64731</v>
      </c>
      <c r="AV11" s="583">
        <v>0</v>
      </c>
      <c r="AW11" s="583">
        <v>173906</v>
      </c>
      <c r="AX11" s="583">
        <v>64731</v>
      </c>
      <c r="AY11" s="583">
        <v>211347</v>
      </c>
      <c r="AZ11" s="583">
        <v>7866</v>
      </c>
      <c r="BA11" s="583">
        <v>0</v>
      </c>
      <c r="BB11" s="583">
        <v>0</v>
      </c>
      <c r="BC11" s="583">
        <v>219213</v>
      </c>
      <c r="BD11" s="583">
        <v>64731</v>
      </c>
      <c r="BE11" s="583">
        <v>445934</v>
      </c>
      <c r="BF11" s="583">
        <v>0</v>
      </c>
      <c r="BG11" s="583">
        <v>-64731</v>
      </c>
      <c r="BH11" s="583">
        <v>0</v>
      </c>
      <c r="BI11" s="583">
        <v>381203</v>
      </c>
      <c r="BJ11" s="583">
        <v>0</v>
      </c>
      <c r="BK11" s="583">
        <v>165505</v>
      </c>
      <c r="BL11" s="583">
        <v>0</v>
      </c>
      <c r="BM11" s="583">
        <v>8401</v>
      </c>
      <c r="BN11" s="583">
        <v>0</v>
      </c>
      <c r="BO11" s="583">
        <v>173906</v>
      </c>
      <c r="BP11" s="583">
        <v>8401</v>
      </c>
      <c r="BQ11" s="583">
        <v>317154</v>
      </c>
      <c r="BR11" s="583">
        <v>51699</v>
      </c>
      <c r="BS11" s="583">
        <v>-8401</v>
      </c>
      <c r="BT11" s="583">
        <v>0</v>
      </c>
      <c r="BU11" s="583">
        <v>360452</v>
      </c>
      <c r="BV11" s="583">
        <v>0</v>
      </c>
    </row>
    <row r="12" spans="1:74" x14ac:dyDescent="0.2">
      <c r="A12" s="580">
        <v>2101</v>
      </c>
      <c r="B12" s="580" t="s">
        <v>64</v>
      </c>
      <c r="C12" s="583">
        <v>631459</v>
      </c>
      <c r="D12" s="583">
        <v>0</v>
      </c>
      <c r="E12" s="583">
        <v>420874</v>
      </c>
      <c r="F12" s="583">
        <v>0</v>
      </c>
      <c r="G12" s="583">
        <v>1052333</v>
      </c>
      <c r="H12" s="583">
        <v>420874</v>
      </c>
      <c r="I12" s="583">
        <v>335789</v>
      </c>
      <c r="J12" s="583">
        <v>0</v>
      </c>
      <c r="K12" s="583">
        <v>716544</v>
      </c>
      <c r="L12" s="583">
        <v>0</v>
      </c>
      <c r="M12" s="583">
        <v>1052333</v>
      </c>
      <c r="N12" s="583">
        <v>1137418</v>
      </c>
      <c r="O12" s="583">
        <v>957929</v>
      </c>
      <c r="P12" s="583">
        <v>0</v>
      </c>
      <c r="Q12" s="583">
        <v>0</v>
      </c>
      <c r="R12" s="583">
        <v>0</v>
      </c>
      <c r="S12" s="583">
        <v>957929</v>
      </c>
      <c r="T12" s="583">
        <v>1137418</v>
      </c>
      <c r="U12" s="583">
        <v>508646</v>
      </c>
      <c r="V12" s="583">
        <v>0</v>
      </c>
      <c r="W12" s="583">
        <v>543687</v>
      </c>
      <c r="X12" s="583">
        <v>0</v>
      </c>
      <c r="Y12" s="583">
        <v>1052333</v>
      </c>
      <c r="Z12" s="583">
        <v>1681105</v>
      </c>
      <c r="AA12" s="583">
        <v>4426168</v>
      </c>
      <c r="AB12" s="583">
        <v>40852</v>
      </c>
      <c r="AC12" s="583">
        <v>-1681105</v>
      </c>
      <c r="AD12" s="583">
        <v>0</v>
      </c>
      <c r="AE12" s="583">
        <v>2785915</v>
      </c>
      <c r="AF12" s="583">
        <v>0</v>
      </c>
      <c r="AG12" s="583">
        <v>876711</v>
      </c>
      <c r="AH12" s="583">
        <v>28952</v>
      </c>
      <c r="AI12" s="583">
        <v>175622</v>
      </c>
      <c r="AJ12" s="583">
        <v>0</v>
      </c>
      <c r="AK12" s="583">
        <v>1081285</v>
      </c>
      <c r="AL12" s="583">
        <v>175622</v>
      </c>
      <c r="AM12" s="583">
        <v>1742745</v>
      </c>
      <c r="AN12" s="583">
        <v>169189</v>
      </c>
      <c r="AO12" s="583">
        <v>-144264</v>
      </c>
      <c r="AP12" s="583">
        <v>0</v>
      </c>
      <c r="AQ12" s="583">
        <v>1767670</v>
      </c>
      <c r="AR12" s="583">
        <v>31358</v>
      </c>
      <c r="AS12" s="583">
        <v>575655</v>
      </c>
      <c r="AT12" s="583">
        <v>0</v>
      </c>
      <c r="AU12" s="583">
        <v>476678</v>
      </c>
      <c r="AV12" s="583">
        <v>0</v>
      </c>
      <c r="AW12" s="583">
        <v>1052333</v>
      </c>
      <c r="AX12" s="583">
        <v>508036</v>
      </c>
      <c r="AY12" s="583">
        <v>1114392</v>
      </c>
      <c r="AZ12" s="583">
        <v>41477</v>
      </c>
      <c r="BA12" s="583">
        <v>0</v>
      </c>
      <c r="BB12" s="583">
        <v>0</v>
      </c>
      <c r="BC12" s="583">
        <v>1155869</v>
      </c>
      <c r="BD12" s="583">
        <v>508036</v>
      </c>
      <c r="BE12" s="583">
        <v>2351320</v>
      </c>
      <c r="BF12" s="583">
        <v>0</v>
      </c>
      <c r="BG12" s="583">
        <v>-508036</v>
      </c>
      <c r="BH12" s="583">
        <v>0</v>
      </c>
      <c r="BI12" s="583">
        <v>1843284</v>
      </c>
      <c r="BJ12" s="583">
        <v>0</v>
      </c>
      <c r="BK12" s="583">
        <v>872675</v>
      </c>
      <c r="BL12" s="583">
        <v>0</v>
      </c>
      <c r="BM12" s="583">
        <v>179658</v>
      </c>
      <c r="BN12" s="583">
        <v>0</v>
      </c>
      <c r="BO12" s="583">
        <v>1052333</v>
      </c>
      <c r="BP12" s="583">
        <v>179658</v>
      </c>
      <c r="BQ12" s="583">
        <v>1672287</v>
      </c>
      <c r="BR12" s="583">
        <v>272600</v>
      </c>
      <c r="BS12" s="583">
        <v>-179658</v>
      </c>
      <c r="BT12" s="583">
        <v>0</v>
      </c>
      <c r="BU12" s="583">
        <v>1765229</v>
      </c>
      <c r="BV12" s="583">
        <v>0</v>
      </c>
    </row>
    <row r="13" spans="1:74" x14ac:dyDescent="0.2">
      <c r="A13" s="580">
        <v>2102</v>
      </c>
      <c r="B13" s="580" t="s">
        <v>66</v>
      </c>
      <c r="C13" s="583">
        <v>88686</v>
      </c>
      <c r="D13" s="583">
        <v>0</v>
      </c>
      <c r="E13" s="583">
        <v>52191</v>
      </c>
      <c r="F13" s="583">
        <v>0</v>
      </c>
      <c r="G13" s="583">
        <v>140877</v>
      </c>
      <c r="H13" s="583">
        <v>52191</v>
      </c>
      <c r="I13" s="583">
        <v>47160</v>
      </c>
      <c r="J13" s="583">
        <v>0</v>
      </c>
      <c r="K13" s="583">
        <v>93717</v>
      </c>
      <c r="L13" s="583">
        <v>0</v>
      </c>
      <c r="M13" s="583">
        <v>140877</v>
      </c>
      <c r="N13" s="583">
        <v>145908</v>
      </c>
      <c r="O13" s="583">
        <v>134538</v>
      </c>
      <c r="P13" s="583">
        <v>0</v>
      </c>
      <c r="Q13" s="583">
        <v>0</v>
      </c>
      <c r="R13" s="583">
        <v>0</v>
      </c>
      <c r="S13" s="583">
        <v>134538</v>
      </c>
      <c r="T13" s="583">
        <v>145908</v>
      </c>
      <c r="U13" s="583">
        <v>71437</v>
      </c>
      <c r="V13" s="583">
        <v>0</v>
      </c>
      <c r="W13" s="583">
        <v>69440</v>
      </c>
      <c r="X13" s="583">
        <v>0</v>
      </c>
      <c r="Y13" s="583">
        <v>140877</v>
      </c>
      <c r="Z13" s="583">
        <v>215348</v>
      </c>
      <c r="AA13" s="583">
        <v>621639</v>
      </c>
      <c r="AB13" s="583">
        <v>5738</v>
      </c>
      <c r="AC13" s="583">
        <v>-215348</v>
      </c>
      <c r="AD13" s="583">
        <v>0</v>
      </c>
      <c r="AE13" s="583">
        <v>412029</v>
      </c>
      <c r="AF13" s="583">
        <v>0</v>
      </c>
      <c r="AG13" s="583">
        <v>123131</v>
      </c>
      <c r="AH13" s="583">
        <v>4066</v>
      </c>
      <c r="AI13" s="583">
        <v>17746</v>
      </c>
      <c r="AJ13" s="583">
        <v>0</v>
      </c>
      <c r="AK13" s="583">
        <v>144943</v>
      </c>
      <c r="AL13" s="583">
        <v>17746</v>
      </c>
      <c r="AM13" s="583">
        <v>244762</v>
      </c>
      <c r="AN13" s="583">
        <v>23762</v>
      </c>
      <c r="AO13" s="583">
        <v>-17746</v>
      </c>
      <c r="AP13" s="583">
        <v>0</v>
      </c>
      <c r="AQ13" s="583">
        <v>250778</v>
      </c>
      <c r="AR13" s="583">
        <v>0</v>
      </c>
      <c r="AS13" s="583">
        <v>80849</v>
      </c>
      <c r="AT13" s="583">
        <v>0</v>
      </c>
      <c r="AU13" s="583">
        <v>60028</v>
      </c>
      <c r="AV13" s="583">
        <v>0</v>
      </c>
      <c r="AW13" s="583">
        <v>140877</v>
      </c>
      <c r="AX13" s="583">
        <v>60028</v>
      </c>
      <c r="AY13" s="583">
        <v>156512</v>
      </c>
      <c r="AZ13" s="583">
        <v>5825</v>
      </c>
      <c r="BA13" s="583">
        <v>0</v>
      </c>
      <c r="BB13" s="583">
        <v>0</v>
      </c>
      <c r="BC13" s="583">
        <v>162337</v>
      </c>
      <c r="BD13" s="583">
        <v>60028</v>
      </c>
      <c r="BE13" s="583">
        <v>330234</v>
      </c>
      <c r="BF13" s="583">
        <v>0</v>
      </c>
      <c r="BG13" s="583">
        <v>-60028</v>
      </c>
      <c r="BH13" s="583">
        <v>0</v>
      </c>
      <c r="BI13" s="583">
        <v>270206</v>
      </c>
      <c r="BJ13" s="583">
        <v>0</v>
      </c>
      <c r="BK13" s="583">
        <v>122564</v>
      </c>
      <c r="BL13" s="583">
        <v>0</v>
      </c>
      <c r="BM13" s="583">
        <v>18313</v>
      </c>
      <c r="BN13" s="583">
        <v>0</v>
      </c>
      <c r="BO13" s="583">
        <v>140877</v>
      </c>
      <c r="BP13" s="583">
        <v>18313</v>
      </c>
      <c r="BQ13" s="583">
        <v>234867</v>
      </c>
      <c r="BR13" s="583">
        <v>38286</v>
      </c>
      <c r="BS13" s="583">
        <v>-18313</v>
      </c>
      <c r="BT13" s="583">
        <v>0</v>
      </c>
      <c r="BU13" s="583">
        <v>254840</v>
      </c>
      <c r="BV13" s="583">
        <v>0</v>
      </c>
    </row>
    <row r="14" spans="1:74" x14ac:dyDescent="0.2">
      <c r="A14" s="580">
        <v>2103</v>
      </c>
      <c r="B14" s="580" t="s">
        <v>67</v>
      </c>
      <c r="C14" s="583">
        <v>62616</v>
      </c>
      <c r="D14" s="583">
        <v>0</v>
      </c>
      <c r="E14" s="583">
        <v>39191</v>
      </c>
      <c r="F14" s="583">
        <v>0</v>
      </c>
      <c r="G14" s="583">
        <v>101807</v>
      </c>
      <c r="H14" s="583">
        <v>39191</v>
      </c>
      <c r="I14" s="583">
        <v>33297</v>
      </c>
      <c r="J14" s="583">
        <v>0</v>
      </c>
      <c r="K14" s="583">
        <v>68510</v>
      </c>
      <c r="L14" s="583">
        <v>0</v>
      </c>
      <c r="M14" s="583">
        <v>101807</v>
      </c>
      <c r="N14" s="583">
        <v>107701</v>
      </c>
      <c r="O14" s="583">
        <v>94990</v>
      </c>
      <c r="P14" s="583">
        <v>0</v>
      </c>
      <c r="Q14" s="583">
        <v>0</v>
      </c>
      <c r="R14" s="583">
        <v>0</v>
      </c>
      <c r="S14" s="583">
        <v>94990</v>
      </c>
      <c r="T14" s="583">
        <v>107701</v>
      </c>
      <c r="U14" s="583">
        <v>50438</v>
      </c>
      <c r="V14" s="583">
        <v>0</v>
      </c>
      <c r="W14" s="583">
        <v>51369</v>
      </c>
      <c r="X14" s="583">
        <v>0</v>
      </c>
      <c r="Y14" s="583">
        <v>101807</v>
      </c>
      <c r="Z14" s="583">
        <v>159070</v>
      </c>
      <c r="AA14" s="583">
        <v>438906</v>
      </c>
      <c r="AB14" s="583">
        <v>4051</v>
      </c>
      <c r="AC14" s="583">
        <v>-159070</v>
      </c>
      <c r="AD14" s="583">
        <v>0</v>
      </c>
      <c r="AE14" s="583">
        <v>283887</v>
      </c>
      <c r="AF14" s="583">
        <v>0</v>
      </c>
      <c r="AG14" s="583">
        <v>86936</v>
      </c>
      <c r="AH14" s="583">
        <v>2871</v>
      </c>
      <c r="AI14" s="583">
        <v>14871</v>
      </c>
      <c r="AJ14" s="583">
        <v>0</v>
      </c>
      <c r="AK14" s="583">
        <v>104678</v>
      </c>
      <c r="AL14" s="583">
        <v>14871</v>
      </c>
      <c r="AM14" s="583">
        <v>172813</v>
      </c>
      <c r="AN14" s="583">
        <v>16777</v>
      </c>
      <c r="AO14" s="583">
        <v>-14871</v>
      </c>
      <c r="AP14" s="583">
        <v>0</v>
      </c>
      <c r="AQ14" s="583">
        <v>174719</v>
      </c>
      <c r="AR14" s="583">
        <v>0</v>
      </c>
      <c r="AS14" s="583">
        <v>57083</v>
      </c>
      <c r="AT14" s="583">
        <v>0</v>
      </c>
      <c r="AU14" s="583">
        <v>44724</v>
      </c>
      <c r="AV14" s="583">
        <v>0</v>
      </c>
      <c r="AW14" s="583">
        <v>101807</v>
      </c>
      <c r="AX14" s="583">
        <v>44724</v>
      </c>
      <c r="AY14" s="583">
        <v>110505</v>
      </c>
      <c r="AZ14" s="583">
        <v>4113</v>
      </c>
      <c r="BA14" s="583">
        <v>0</v>
      </c>
      <c r="BB14" s="583">
        <v>0</v>
      </c>
      <c r="BC14" s="583">
        <v>114618</v>
      </c>
      <c r="BD14" s="583">
        <v>44724</v>
      </c>
      <c r="BE14" s="583">
        <v>233160</v>
      </c>
      <c r="BF14" s="583">
        <v>0</v>
      </c>
      <c r="BG14" s="583">
        <v>-44724</v>
      </c>
      <c r="BH14" s="583">
        <v>0</v>
      </c>
      <c r="BI14" s="583">
        <v>188436</v>
      </c>
      <c r="BJ14" s="583">
        <v>0</v>
      </c>
      <c r="BK14" s="583">
        <v>86536</v>
      </c>
      <c r="BL14" s="583">
        <v>0</v>
      </c>
      <c r="BM14" s="583">
        <v>15271</v>
      </c>
      <c r="BN14" s="583">
        <v>0</v>
      </c>
      <c r="BO14" s="583">
        <v>101807</v>
      </c>
      <c r="BP14" s="583">
        <v>15271</v>
      </c>
      <c r="BQ14" s="583">
        <v>165827</v>
      </c>
      <c r="BR14" s="583">
        <v>27031</v>
      </c>
      <c r="BS14" s="583">
        <v>-15271</v>
      </c>
      <c r="BT14" s="583">
        <v>0</v>
      </c>
      <c r="BU14" s="583">
        <v>177587</v>
      </c>
      <c r="BV14" s="583">
        <v>0</v>
      </c>
    </row>
    <row r="15" spans="1:74" x14ac:dyDescent="0.2">
      <c r="A15" s="580">
        <v>2104</v>
      </c>
      <c r="B15" s="580" t="s">
        <v>65</v>
      </c>
      <c r="C15" s="583">
        <v>91963</v>
      </c>
      <c r="D15" s="583">
        <v>0</v>
      </c>
      <c r="E15" s="583">
        <v>57314</v>
      </c>
      <c r="F15" s="583">
        <v>0</v>
      </c>
      <c r="G15" s="583">
        <v>149277</v>
      </c>
      <c r="H15" s="583">
        <v>57314</v>
      </c>
      <c r="I15" s="583">
        <v>48903</v>
      </c>
      <c r="J15" s="583">
        <v>0</v>
      </c>
      <c r="K15" s="583">
        <v>100374</v>
      </c>
      <c r="L15" s="583">
        <v>0</v>
      </c>
      <c r="M15" s="583">
        <v>149277</v>
      </c>
      <c r="N15" s="583">
        <v>157688</v>
      </c>
      <c r="O15" s="583">
        <v>139509</v>
      </c>
      <c r="P15" s="583">
        <v>0</v>
      </c>
      <c r="Q15" s="583">
        <v>0</v>
      </c>
      <c r="R15" s="583">
        <v>0</v>
      </c>
      <c r="S15" s="583">
        <v>139509</v>
      </c>
      <c r="T15" s="583">
        <v>157688</v>
      </c>
      <c r="U15" s="583">
        <v>74077</v>
      </c>
      <c r="V15" s="583">
        <v>0</v>
      </c>
      <c r="W15" s="583">
        <v>75200</v>
      </c>
      <c r="X15" s="583">
        <v>0</v>
      </c>
      <c r="Y15" s="583">
        <v>149277</v>
      </c>
      <c r="Z15" s="583">
        <v>232888</v>
      </c>
      <c r="AA15" s="583">
        <v>644609</v>
      </c>
      <c r="AB15" s="583">
        <v>5950</v>
      </c>
      <c r="AC15" s="583">
        <v>-232888</v>
      </c>
      <c r="AD15" s="583">
        <v>0</v>
      </c>
      <c r="AE15" s="583">
        <v>417671</v>
      </c>
      <c r="AF15" s="583">
        <v>0</v>
      </c>
      <c r="AG15" s="583">
        <v>127681</v>
      </c>
      <c r="AH15" s="583">
        <v>4217</v>
      </c>
      <c r="AI15" s="583">
        <v>21596</v>
      </c>
      <c r="AJ15" s="583">
        <v>0</v>
      </c>
      <c r="AK15" s="583">
        <v>153494</v>
      </c>
      <c r="AL15" s="583">
        <v>21596</v>
      </c>
      <c r="AM15" s="583">
        <v>253806</v>
      </c>
      <c r="AN15" s="583">
        <v>24640</v>
      </c>
      <c r="AO15" s="583">
        <v>-21596</v>
      </c>
      <c r="AP15" s="583">
        <v>0</v>
      </c>
      <c r="AQ15" s="583">
        <v>256850</v>
      </c>
      <c r="AR15" s="583">
        <v>0</v>
      </c>
      <c r="AS15" s="583">
        <v>83836</v>
      </c>
      <c r="AT15" s="583">
        <v>0</v>
      </c>
      <c r="AU15" s="583">
        <v>65441</v>
      </c>
      <c r="AV15" s="583">
        <v>0</v>
      </c>
      <c r="AW15" s="583">
        <v>149277</v>
      </c>
      <c r="AX15" s="583">
        <v>65441</v>
      </c>
      <c r="AY15" s="583">
        <v>162295</v>
      </c>
      <c r="AZ15" s="583">
        <v>6040</v>
      </c>
      <c r="BA15" s="583">
        <v>0</v>
      </c>
      <c r="BB15" s="583">
        <v>0</v>
      </c>
      <c r="BC15" s="583">
        <v>168335</v>
      </c>
      <c r="BD15" s="583">
        <v>65441</v>
      </c>
      <c r="BE15" s="583">
        <v>342437</v>
      </c>
      <c r="BF15" s="583">
        <v>0</v>
      </c>
      <c r="BG15" s="583">
        <v>-65441</v>
      </c>
      <c r="BH15" s="583">
        <v>0</v>
      </c>
      <c r="BI15" s="583">
        <v>276996</v>
      </c>
      <c r="BJ15" s="583">
        <v>0</v>
      </c>
      <c r="BK15" s="583">
        <v>127093</v>
      </c>
      <c r="BL15" s="583">
        <v>0</v>
      </c>
      <c r="BM15" s="583">
        <v>22184</v>
      </c>
      <c r="BN15" s="583">
        <v>0</v>
      </c>
      <c r="BO15" s="583">
        <v>149277</v>
      </c>
      <c r="BP15" s="583">
        <v>22184</v>
      </c>
      <c r="BQ15" s="583">
        <v>243545</v>
      </c>
      <c r="BR15" s="583">
        <v>39700</v>
      </c>
      <c r="BS15" s="583">
        <v>-22184</v>
      </c>
      <c r="BT15" s="583">
        <v>0</v>
      </c>
      <c r="BU15" s="583">
        <v>261061</v>
      </c>
      <c r="BV15" s="583">
        <v>0</v>
      </c>
    </row>
    <row r="16" spans="1:74" x14ac:dyDescent="0.2">
      <c r="A16" s="580">
        <v>2201</v>
      </c>
      <c r="B16" s="580" t="s">
        <v>68</v>
      </c>
      <c r="C16" s="583">
        <v>428936</v>
      </c>
      <c r="D16" s="583">
        <v>0</v>
      </c>
      <c r="E16" s="583">
        <v>249070</v>
      </c>
      <c r="F16" s="583">
        <v>0</v>
      </c>
      <c r="G16" s="583">
        <v>678006</v>
      </c>
      <c r="H16" s="583">
        <v>249070</v>
      </c>
      <c r="I16" s="583">
        <v>228094</v>
      </c>
      <c r="J16" s="583">
        <v>0</v>
      </c>
      <c r="K16" s="583">
        <v>449912</v>
      </c>
      <c r="L16" s="583">
        <v>0</v>
      </c>
      <c r="M16" s="583">
        <v>678006</v>
      </c>
      <c r="N16" s="583">
        <v>698982</v>
      </c>
      <c r="O16" s="583">
        <v>650700</v>
      </c>
      <c r="P16" s="583">
        <v>0</v>
      </c>
      <c r="Q16" s="583">
        <v>0</v>
      </c>
      <c r="R16" s="583">
        <v>0</v>
      </c>
      <c r="S16" s="583">
        <v>650700</v>
      </c>
      <c r="T16" s="583">
        <v>698982</v>
      </c>
      <c r="U16" s="583">
        <v>345512</v>
      </c>
      <c r="V16" s="583">
        <v>0</v>
      </c>
      <c r="W16" s="583">
        <v>332494</v>
      </c>
      <c r="X16" s="583">
        <v>0</v>
      </c>
      <c r="Y16" s="583">
        <v>678006</v>
      </c>
      <c r="Z16" s="583">
        <v>1031476</v>
      </c>
      <c r="AA16" s="583">
        <v>3006599</v>
      </c>
      <c r="AB16" s="583">
        <v>27750</v>
      </c>
      <c r="AC16" s="583">
        <v>-1031476</v>
      </c>
      <c r="AD16" s="583">
        <v>0</v>
      </c>
      <c r="AE16" s="583">
        <v>2002873</v>
      </c>
      <c r="AF16" s="583">
        <v>0</v>
      </c>
      <c r="AG16" s="583">
        <v>595530</v>
      </c>
      <c r="AH16" s="583">
        <v>19667</v>
      </c>
      <c r="AI16" s="583">
        <v>82476</v>
      </c>
      <c r="AJ16" s="583">
        <v>0</v>
      </c>
      <c r="AK16" s="583">
        <v>697673</v>
      </c>
      <c r="AL16" s="583">
        <v>82476</v>
      </c>
      <c r="AM16" s="583">
        <v>1183809</v>
      </c>
      <c r="AN16" s="583">
        <v>114926</v>
      </c>
      <c r="AO16" s="583">
        <v>-82476</v>
      </c>
      <c r="AP16" s="583">
        <v>0</v>
      </c>
      <c r="AQ16" s="583">
        <v>1216259</v>
      </c>
      <c r="AR16" s="583">
        <v>0</v>
      </c>
      <c r="AS16" s="583">
        <v>391030</v>
      </c>
      <c r="AT16" s="583">
        <v>0</v>
      </c>
      <c r="AU16" s="583">
        <v>286976</v>
      </c>
      <c r="AV16" s="583">
        <v>0</v>
      </c>
      <c r="AW16" s="583">
        <v>678006</v>
      </c>
      <c r="AX16" s="583">
        <v>286976</v>
      </c>
      <c r="AY16" s="583">
        <v>756982</v>
      </c>
      <c r="AZ16" s="583">
        <v>28174</v>
      </c>
      <c r="BA16" s="583">
        <v>0</v>
      </c>
      <c r="BB16" s="583">
        <v>0</v>
      </c>
      <c r="BC16" s="583">
        <v>785156</v>
      </c>
      <c r="BD16" s="583">
        <v>286976</v>
      </c>
      <c r="BE16" s="583">
        <v>1597200</v>
      </c>
      <c r="BF16" s="583">
        <v>0</v>
      </c>
      <c r="BG16" s="583">
        <v>-286976</v>
      </c>
      <c r="BH16" s="583">
        <v>0</v>
      </c>
      <c r="BI16" s="583">
        <v>1310224</v>
      </c>
      <c r="BJ16" s="583">
        <v>0</v>
      </c>
      <c r="BK16" s="583">
        <v>592789</v>
      </c>
      <c r="BL16" s="583">
        <v>0</v>
      </c>
      <c r="BM16" s="583">
        <v>85217</v>
      </c>
      <c r="BN16" s="583">
        <v>0</v>
      </c>
      <c r="BO16" s="583">
        <v>678006</v>
      </c>
      <c r="BP16" s="583">
        <v>85217</v>
      </c>
      <c r="BQ16" s="583">
        <v>1135948</v>
      </c>
      <c r="BR16" s="583">
        <v>185171</v>
      </c>
      <c r="BS16" s="583">
        <v>-85217</v>
      </c>
      <c r="BT16" s="583">
        <v>0</v>
      </c>
      <c r="BU16" s="583">
        <v>1235902</v>
      </c>
      <c r="BV16" s="583">
        <v>0</v>
      </c>
    </row>
    <row r="17" spans="1:74" x14ac:dyDescent="0.2">
      <c r="A17" s="580">
        <v>2202</v>
      </c>
      <c r="B17" s="580" t="s">
        <v>27</v>
      </c>
      <c r="C17" s="583">
        <v>63590</v>
      </c>
      <c r="D17" s="583">
        <v>0</v>
      </c>
      <c r="E17" s="583">
        <v>42608</v>
      </c>
      <c r="F17" s="583">
        <v>0</v>
      </c>
      <c r="G17" s="583">
        <v>106198</v>
      </c>
      <c r="H17" s="583">
        <v>42608</v>
      </c>
      <c r="I17" s="583">
        <v>33815</v>
      </c>
      <c r="J17" s="583">
        <v>0</v>
      </c>
      <c r="K17" s="583">
        <v>72383</v>
      </c>
      <c r="L17" s="583">
        <v>0</v>
      </c>
      <c r="M17" s="583">
        <v>106198</v>
      </c>
      <c r="N17" s="583">
        <v>114991</v>
      </c>
      <c r="O17" s="583">
        <v>96467</v>
      </c>
      <c r="P17" s="583">
        <v>0</v>
      </c>
      <c r="Q17" s="583">
        <v>0</v>
      </c>
      <c r="R17" s="583">
        <v>0</v>
      </c>
      <c r="S17" s="583">
        <v>96467</v>
      </c>
      <c r="T17" s="583">
        <v>114991</v>
      </c>
      <c r="U17" s="583">
        <v>51223</v>
      </c>
      <c r="V17" s="583">
        <v>0</v>
      </c>
      <c r="W17" s="583">
        <v>54975</v>
      </c>
      <c r="X17" s="583">
        <v>0</v>
      </c>
      <c r="Y17" s="583">
        <v>106198</v>
      </c>
      <c r="Z17" s="583">
        <v>169966</v>
      </c>
      <c r="AA17" s="583">
        <v>445733</v>
      </c>
      <c r="AB17" s="583">
        <v>4114</v>
      </c>
      <c r="AC17" s="583">
        <v>-169966</v>
      </c>
      <c r="AD17" s="583">
        <v>0</v>
      </c>
      <c r="AE17" s="583">
        <v>279881</v>
      </c>
      <c r="AF17" s="583">
        <v>0</v>
      </c>
      <c r="AG17" s="583">
        <v>88288</v>
      </c>
      <c r="AH17" s="583">
        <v>2916</v>
      </c>
      <c r="AI17" s="583">
        <v>17910</v>
      </c>
      <c r="AJ17" s="583">
        <v>0</v>
      </c>
      <c r="AK17" s="583">
        <v>109114</v>
      </c>
      <c r="AL17" s="583">
        <v>17910</v>
      </c>
      <c r="AM17" s="583">
        <v>175501</v>
      </c>
      <c r="AN17" s="583">
        <v>17038</v>
      </c>
      <c r="AO17" s="583">
        <v>-14188</v>
      </c>
      <c r="AP17" s="583">
        <v>0</v>
      </c>
      <c r="AQ17" s="583">
        <v>178351</v>
      </c>
      <c r="AR17" s="583">
        <v>3722</v>
      </c>
      <c r="AS17" s="583">
        <v>57971</v>
      </c>
      <c r="AT17" s="583">
        <v>0</v>
      </c>
      <c r="AU17" s="583">
        <v>48227</v>
      </c>
      <c r="AV17" s="583">
        <v>0</v>
      </c>
      <c r="AW17" s="583">
        <v>106198</v>
      </c>
      <c r="AX17" s="583">
        <v>51949</v>
      </c>
      <c r="AY17" s="583">
        <v>112224</v>
      </c>
      <c r="AZ17" s="583">
        <v>4177</v>
      </c>
      <c r="BA17" s="583">
        <v>0</v>
      </c>
      <c r="BB17" s="583">
        <v>0</v>
      </c>
      <c r="BC17" s="583">
        <v>116401</v>
      </c>
      <c r="BD17" s="583">
        <v>51949</v>
      </c>
      <c r="BE17" s="583">
        <v>236787</v>
      </c>
      <c r="BF17" s="583">
        <v>0</v>
      </c>
      <c r="BG17" s="583">
        <v>-51949</v>
      </c>
      <c r="BH17" s="583">
        <v>0</v>
      </c>
      <c r="BI17" s="583">
        <v>184838</v>
      </c>
      <c r="BJ17" s="583">
        <v>0</v>
      </c>
      <c r="BK17" s="583">
        <v>87882</v>
      </c>
      <c r="BL17" s="583">
        <v>0</v>
      </c>
      <c r="BM17" s="583">
        <v>18316</v>
      </c>
      <c r="BN17" s="583">
        <v>0</v>
      </c>
      <c r="BO17" s="583">
        <v>106198</v>
      </c>
      <c r="BP17" s="583">
        <v>18316</v>
      </c>
      <c r="BQ17" s="583">
        <v>168406</v>
      </c>
      <c r="BR17" s="583">
        <v>27452</v>
      </c>
      <c r="BS17" s="583">
        <v>-18316</v>
      </c>
      <c r="BT17" s="583">
        <v>0</v>
      </c>
      <c r="BU17" s="583">
        <v>177542</v>
      </c>
      <c r="BV17" s="583">
        <v>0</v>
      </c>
    </row>
    <row r="18" spans="1:74" x14ac:dyDescent="0.2">
      <c r="A18" s="580">
        <v>2203</v>
      </c>
      <c r="B18" s="580" t="s">
        <v>69</v>
      </c>
      <c r="C18" s="583">
        <v>224778</v>
      </c>
      <c r="D18" s="583">
        <v>0</v>
      </c>
      <c r="E18" s="583">
        <v>150851</v>
      </c>
      <c r="F18" s="583">
        <v>0</v>
      </c>
      <c r="G18" s="583">
        <v>375629</v>
      </c>
      <c r="H18" s="583">
        <v>150851</v>
      </c>
      <c r="I18" s="583">
        <v>119529</v>
      </c>
      <c r="J18" s="583">
        <v>0</v>
      </c>
      <c r="K18" s="583">
        <v>256100</v>
      </c>
      <c r="L18" s="583">
        <v>0</v>
      </c>
      <c r="M18" s="583">
        <v>375629</v>
      </c>
      <c r="N18" s="583">
        <v>406951</v>
      </c>
      <c r="O18" s="583">
        <v>340990</v>
      </c>
      <c r="P18" s="583">
        <v>0</v>
      </c>
      <c r="Q18" s="583">
        <v>0</v>
      </c>
      <c r="R18" s="583">
        <v>0</v>
      </c>
      <c r="S18" s="583">
        <v>340990</v>
      </c>
      <c r="T18" s="583">
        <v>406951</v>
      </c>
      <c r="U18" s="583">
        <v>181060</v>
      </c>
      <c r="V18" s="583">
        <v>0</v>
      </c>
      <c r="W18" s="583">
        <v>194569</v>
      </c>
      <c r="X18" s="583">
        <v>0</v>
      </c>
      <c r="Y18" s="583">
        <v>375629</v>
      </c>
      <c r="Z18" s="583">
        <v>601520</v>
      </c>
      <c r="AA18" s="583">
        <v>1575565</v>
      </c>
      <c r="AB18" s="583">
        <v>14542</v>
      </c>
      <c r="AC18" s="583">
        <v>-601520</v>
      </c>
      <c r="AD18" s="583">
        <v>0</v>
      </c>
      <c r="AE18" s="583">
        <v>988587</v>
      </c>
      <c r="AF18" s="583">
        <v>0</v>
      </c>
      <c r="AG18" s="583">
        <v>312079</v>
      </c>
      <c r="AH18" s="583">
        <v>10306</v>
      </c>
      <c r="AI18" s="583">
        <v>63550</v>
      </c>
      <c r="AJ18" s="583">
        <v>0</v>
      </c>
      <c r="AK18" s="583">
        <v>385935</v>
      </c>
      <c r="AL18" s="583">
        <v>63550</v>
      </c>
      <c r="AM18" s="583">
        <v>620358</v>
      </c>
      <c r="AN18" s="583">
        <v>60225</v>
      </c>
      <c r="AO18" s="583">
        <v>-49782</v>
      </c>
      <c r="AP18" s="583">
        <v>0</v>
      </c>
      <c r="AQ18" s="583">
        <v>630801</v>
      </c>
      <c r="AR18" s="583">
        <v>13768</v>
      </c>
      <c r="AS18" s="583">
        <v>204914</v>
      </c>
      <c r="AT18" s="583">
        <v>0</v>
      </c>
      <c r="AU18" s="583">
        <v>170715</v>
      </c>
      <c r="AV18" s="583">
        <v>0</v>
      </c>
      <c r="AW18" s="583">
        <v>375629</v>
      </c>
      <c r="AX18" s="583">
        <v>184483</v>
      </c>
      <c r="AY18" s="583">
        <v>396686</v>
      </c>
      <c r="AZ18" s="583">
        <v>14764</v>
      </c>
      <c r="BA18" s="583">
        <v>0</v>
      </c>
      <c r="BB18" s="583">
        <v>0</v>
      </c>
      <c r="BC18" s="583">
        <v>411450</v>
      </c>
      <c r="BD18" s="583">
        <v>184483</v>
      </c>
      <c r="BE18" s="583">
        <v>836989</v>
      </c>
      <c r="BF18" s="583">
        <v>0</v>
      </c>
      <c r="BG18" s="583">
        <v>-184483</v>
      </c>
      <c r="BH18" s="583">
        <v>0</v>
      </c>
      <c r="BI18" s="583">
        <v>652506</v>
      </c>
      <c r="BJ18" s="583">
        <v>0</v>
      </c>
      <c r="BK18" s="583">
        <v>310643</v>
      </c>
      <c r="BL18" s="583">
        <v>0</v>
      </c>
      <c r="BM18" s="583">
        <v>64986</v>
      </c>
      <c r="BN18" s="583">
        <v>0</v>
      </c>
      <c r="BO18" s="583">
        <v>375629</v>
      </c>
      <c r="BP18" s="583">
        <v>64986</v>
      </c>
      <c r="BQ18" s="583">
        <v>595277</v>
      </c>
      <c r="BR18" s="583">
        <v>97036</v>
      </c>
      <c r="BS18" s="583">
        <v>-64986</v>
      </c>
      <c r="BT18" s="583">
        <v>0</v>
      </c>
      <c r="BU18" s="583">
        <v>627327</v>
      </c>
      <c r="BV18" s="583">
        <v>0</v>
      </c>
    </row>
    <row r="19" spans="1:74" x14ac:dyDescent="0.2">
      <c r="A19" s="580">
        <v>2301</v>
      </c>
      <c r="B19" s="580" t="s">
        <v>63</v>
      </c>
      <c r="C19" s="583">
        <v>194623</v>
      </c>
      <c r="D19" s="583">
        <v>0</v>
      </c>
      <c r="E19" s="583">
        <v>104567</v>
      </c>
      <c r="F19" s="583">
        <v>0</v>
      </c>
      <c r="G19" s="583">
        <v>299190</v>
      </c>
      <c r="H19" s="583">
        <v>104567</v>
      </c>
      <c r="I19" s="583">
        <v>103494</v>
      </c>
      <c r="J19" s="583">
        <v>0</v>
      </c>
      <c r="K19" s="583">
        <v>195696</v>
      </c>
      <c r="L19" s="583">
        <v>0</v>
      </c>
      <c r="M19" s="583">
        <v>299190</v>
      </c>
      <c r="N19" s="583">
        <v>300263</v>
      </c>
      <c r="O19" s="583">
        <v>295245</v>
      </c>
      <c r="P19" s="583">
        <v>0</v>
      </c>
      <c r="Q19" s="583">
        <v>0</v>
      </c>
      <c r="R19" s="583">
        <v>0</v>
      </c>
      <c r="S19" s="583">
        <v>295245</v>
      </c>
      <c r="T19" s="583">
        <v>300263</v>
      </c>
      <c r="U19" s="583">
        <v>156771</v>
      </c>
      <c r="V19" s="583">
        <v>0</v>
      </c>
      <c r="W19" s="583">
        <v>142419</v>
      </c>
      <c r="X19" s="583">
        <v>0</v>
      </c>
      <c r="Y19" s="583">
        <v>299190</v>
      </c>
      <c r="Z19" s="583">
        <v>442682</v>
      </c>
      <c r="AA19" s="583">
        <v>1364197</v>
      </c>
      <c r="AB19" s="583">
        <v>12591</v>
      </c>
      <c r="AC19" s="583">
        <v>-442682</v>
      </c>
      <c r="AD19" s="583">
        <v>0</v>
      </c>
      <c r="AE19" s="583">
        <v>934106</v>
      </c>
      <c r="AF19" s="583">
        <v>0</v>
      </c>
      <c r="AG19" s="583">
        <v>270213</v>
      </c>
      <c r="AH19" s="583">
        <v>8923</v>
      </c>
      <c r="AI19" s="583">
        <v>28977</v>
      </c>
      <c r="AJ19" s="583">
        <v>0</v>
      </c>
      <c r="AK19" s="583">
        <v>308113</v>
      </c>
      <c r="AL19" s="583">
        <v>28977</v>
      </c>
      <c r="AM19" s="583">
        <v>537135</v>
      </c>
      <c r="AN19" s="583">
        <v>52146</v>
      </c>
      <c r="AO19" s="583">
        <v>-28977</v>
      </c>
      <c r="AP19" s="583">
        <v>0</v>
      </c>
      <c r="AQ19" s="583">
        <v>560304</v>
      </c>
      <c r="AR19" s="583">
        <v>0</v>
      </c>
      <c r="AS19" s="583">
        <v>177424</v>
      </c>
      <c r="AT19" s="583">
        <v>0</v>
      </c>
      <c r="AU19" s="583">
        <v>121766</v>
      </c>
      <c r="AV19" s="583">
        <v>0</v>
      </c>
      <c r="AW19" s="583">
        <v>299190</v>
      </c>
      <c r="AX19" s="583">
        <v>121766</v>
      </c>
      <c r="AY19" s="583">
        <v>343469</v>
      </c>
      <c r="AZ19" s="583">
        <v>12784</v>
      </c>
      <c r="BA19" s="583">
        <v>0</v>
      </c>
      <c r="BB19" s="583">
        <v>0</v>
      </c>
      <c r="BC19" s="583">
        <v>356253</v>
      </c>
      <c r="BD19" s="583">
        <v>121766</v>
      </c>
      <c r="BE19" s="583">
        <v>724705</v>
      </c>
      <c r="BF19" s="583">
        <v>0</v>
      </c>
      <c r="BG19" s="583">
        <v>-121766</v>
      </c>
      <c r="BH19" s="583">
        <v>0</v>
      </c>
      <c r="BI19" s="583">
        <v>602939</v>
      </c>
      <c r="BJ19" s="583">
        <v>0</v>
      </c>
      <c r="BK19" s="583">
        <v>268969</v>
      </c>
      <c r="BL19" s="583">
        <v>0</v>
      </c>
      <c r="BM19" s="583">
        <v>30221</v>
      </c>
      <c r="BN19" s="583">
        <v>0</v>
      </c>
      <c r="BO19" s="583">
        <v>299190</v>
      </c>
      <c r="BP19" s="583">
        <v>30221</v>
      </c>
      <c r="BQ19" s="583">
        <v>515419</v>
      </c>
      <c r="BR19" s="583">
        <v>84019</v>
      </c>
      <c r="BS19" s="583">
        <v>-30221</v>
      </c>
      <c r="BT19" s="583">
        <v>0</v>
      </c>
      <c r="BU19" s="583">
        <v>569217</v>
      </c>
      <c r="BV19" s="583">
        <v>0</v>
      </c>
    </row>
    <row r="20" spans="1:74" x14ac:dyDescent="0.2">
      <c r="A20" s="580">
        <v>2302</v>
      </c>
      <c r="B20" s="580" t="s">
        <v>374</v>
      </c>
      <c r="C20" s="583">
        <v>61744</v>
      </c>
      <c r="D20" s="583">
        <v>0</v>
      </c>
      <c r="E20" s="583">
        <v>37567</v>
      </c>
      <c r="F20" s="583">
        <v>0</v>
      </c>
      <c r="G20" s="583">
        <v>99311</v>
      </c>
      <c r="H20" s="583">
        <v>37567</v>
      </c>
      <c r="I20" s="583">
        <v>32834</v>
      </c>
      <c r="J20" s="583">
        <v>0</v>
      </c>
      <c r="K20" s="583">
        <v>66477</v>
      </c>
      <c r="L20" s="583">
        <v>0</v>
      </c>
      <c r="M20" s="583">
        <v>99311</v>
      </c>
      <c r="N20" s="583">
        <v>104044</v>
      </c>
      <c r="O20" s="583">
        <v>93667</v>
      </c>
      <c r="P20" s="583">
        <v>0</v>
      </c>
      <c r="Q20" s="583">
        <v>0</v>
      </c>
      <c r="R20" s="583">
        <v>0</v>
      </c>
      <c r="S20" s="583">
        <v>93667</v>
      </c>
      <c r="T20" s="583">
        <v>104044</v>
      </c>
      <c r="U20" s="583">
        <v>49736</v>
      </c>
      <c r="V20" s="583">
        <v>0</v>
      </c>
      <c r="W20" s="583">
        <v>49575</v>
      </c>
      <c r="X20" s="583">
        <v>0</v>
      </c>
      <c r="Y20" s="583">
        <v>99311</v>
      </c>
      <c r="Z20" s="583">
        <v>153619</v>
      </c>
      <c r="AA20" s="583">
        <v>432793</v>
      </c>
      <c r="AB20" s="583">
        <v>3995</v>
      </c>
      <c r="AC20" s="583">
        <v>-153619</v>
      </c>
      <c r="AD20" s="583">
        <v>0</v>
      </c>
      <c r="AE20" s="583">
        <v>283169</v>
      </c>
      <c r="AF20" s="583">
        <v>0</v>
      </c>
      <c r="AG20" s="583">
        <v>85725</v>
      </c>
      <c r="AH20" s="583">
        <v>2831</v>
      </c>
      <c r="AI20" s="583">
        <v>13586</v>
      </c>
      <c r="AJ20" s="583">
        <v>0</v>
      </c>
      <c r="AK20" s="583">
        <v>102142</v>
      </c>
      <c r="AL20" s="583">
        <v>13586</v>
      </c>
      <c r="AM20" s="583">
        <v>170407</v>
      </c>
      <c r="AN20" s="583">
        <v>16543</v>
      </c>
      <c r="AO20" s="583">
        <v>-13586</v>
      </c>
      <c r="AP20" s="583">
        <v>0</v>
      </c>
      <c r="AQ20" s="583">
        <v>173364</v>
      </c>
      <c r="AR20" s="583">
        <v>0</v>
      </c>
      <c r="AS20" s="583">
        <v>56288</v>
      </c>
      <c r="AT20" s="583">
        <v>0</v>
      </c>
      <c r="AU20" s="583">
        <v>43023</v>
      </c>
      <c r="AV20" s="583">
        <v>0</v>
      </c>
      <c r="AW20" s="583">
        <v>99311</v>
      </c>
      <c r="AX20" s="583">
        <v>43023</v>
      </c>
      <c r="AY20" s="583">
        <v>108966</v>
      </c>
      <c r="AZ20" s="583">
        <v>4056</v>
      </c>
      <c r="BA20" s="583">
        <v>0</v>
      </c>
      <c r="BB20" s="583">
        <v>0</v>
      </c>
      <c r="BC20" s="583">
        <v>113022</v>
      </c>
      <c r="BD20" s="583">
        <v>43023</v>
      </c>
      <c r="BE20" s="583">
        <v>229913</v>
      </c>
      <c r="BF20" s="583">
        <v>0</v>
      </c>
      <c r="BG20" s="583">
        <v>-43023</v>
      </c>
      <c r="BH20" s="583">
        <v>0</v>
      </c>
      <c r="BI20" s="583">
        <v>186890</v>
      </c>
      <c r="BJ20" s="583">
        <v>0</v>
      </c>
      <c r="BK20" s="583">
        <v>85331</v>
      </c>
      <c r="BL20" s="583">
        <v>0</v>
      </c>
      <c r="BM20" s="583">
        <v>13980</v>
      </c>
      <c r="BN20" s="583">
        <v>0</v>
      </c>
      <c r="BO20" s="583">
        <v>99311</v>
      </c>
      <c r="BP20" s="583">
        <v>13980</v>
      </c>
      <c r="BQ20" s="583">
        <v>163517</v>
      </c>
      <c r="BR20" s="583">
        <v>26655</v>
      </c>
      <c r="BS20" s="583">
        <v>-13980</v>
      </c>
      <c r="BT20" s="583">
        <v>0</v>
      </c>
      <c r="BU20" s="583">
        <v>176192</v>
      </c>
      <c r="BV20" s="583">
        <v>0</v>
      </c>
    </row>
    <row r="21" spans="1:74" x14ac:dyDescent="0.2">
      <c r="A21" s="580">
        <v>3101</v>
      </c>
      <c r="B21" s="580" t="s">
        <v>375</v>
      </c>
      <c r="C21" s="583">
        <v>483182</v>
      </c>
      <c r="D21" s="583">
        <v>0</v>
      </c>
      <c r="E21" s="583">
        <v>323631</v>
      </c>
      <c r="F21" s="583">
        <v>0</v>
      </c>
      <c r="G21" s="583">
        <v>806813</v>
      </c>
      <c r="H21" s="583">
        <v>323631</v>
      </c>
      <c r="I21" s="583">
        <v>256940</v>
      </c>
      <c r="J21" s="583">
        <v>0</v>
      </c>
      <c r="K21" s="583">
        <v>549873</v>
      </c>
      <c r="L21" s="583">
        <v>0</v>
      </c>
      <c r="M21" s="583">
        <v>806813</v>
      </c>
      <c r="N21" s="583">
        <v>873504</v>
      </c>
      <c r="O21" s="583">
        <v>732992</v>
      </c>
      <c r="P21" s="583">
        <v>0</v>
      </c>
      <c r="Q21" s="583">
        <v>0</v>
      </c>
      <c r="R21" s="583">
        <v>0</v>
      </c>
      <c r="S21" s="583">
        <v>732992</v>
      </c>
      <c r="T21" s="583">
        <v>873504</v>
      </c>
      <c r="U21" s="583">
        <v>389207</v>
      </c>
      <c r="V21" s="583">
        <v>0</v>
      </c>
      <c r="W21" s="583">
        <v>417606</v>
      </c>
      <c r="X21" s="583">
        <v>0</v>
      </c>
      <c r="Y21" s="583">
        <v>806813</v>
      </c>
      <c r="Z21" s="583">
        <v>1291110</v>
      </c>
      <c r="AA21" s="583">
        <v>3386830</v>
      </c>
      <c r="AB21" s="583">
        <v>31260</v>
      </c>
      <c r="AC21" s="583">
        <v>-1291110</v>
      </c>
      <c r="AD21" s="583">
        <v>0</v>
      </c>
      <c r="AE21" s="583">
        <v>2126980</v>
      </c>
      <c r="AF21" s="583">
        <v>0</v>
      </c>
      <c r="AG21" s="583">
        <v>670845</v>
      </c>
      <c r="AH21" s="583">
        <v>22154</v>
      </c>
      <c r="AI21" s="583">
        <v>135968</v>
      </c>
      <c r="AJ21" s="583">
        <v>0</v>
      </c>
      <c r="AK21" s="583">
        <v>828967</v>
      </c>
      <c r="AL21" s="583">
        <v>135968</v>
      </c>
      <c r="AM21" s="583">
        <v>1333520</v>
      </c>
      <c r="AN21" s="583">
        <v>129461</v>
      </c>
      <c r="AO21" s="583">
        <v>-107982</v>
      </c>
      <c r="AP21" s="583">
        <v>0</v>
      </c>
      <c r="AQ21" s="583">
        <v>1354999</v>
      </c>
      <c r="AR21" s="583">
        <v>27986</v>
      </c>
      <c r="AS21" s="583">
        <v>440482</v>
      </c>
      <c r="AT21" s="583">
        <v>0</v>
      </c>
      <c r="AU21" s="583">
        <v>366331</v>
      </c>
      <c r="AV21" s="583">
        <v>0</v>
      </c>
      <c r="AW21" s="583">
        <v>806813</v>
      </c>
      <c r="AX21" s="583">
        <v>394317</v>
      </c>
      <c r="AY21" s="583">
        <v>852714</v>
      </c>
      <c r="AZ21" s="583">
        <v>31737</v>
      </c>
      <c r="BA21" s="583">
        <v>0</v>
      </c>
      <c r="BB21" s="583">
        <v>0</v>
      </c>
      <c r="BC21" s="583">
        <v>884451</v>
      </c>
      <c r="BD21" s="583">
        <v>394317</v>
      </c>
      <c r="BE21" s="583">
        <v>1799191</v>
      </c>
      <c r="BF21" s="583">
        <v>0</v>
      </c>
      <c r="BG21" s="583">
        <v>-394317</v>
      </c>
      <c r="BH21" s="583">
        <v>0</v>
      </c>
      <c r="BI21" s="583">
        <v>1404874</v>
      </c>
      <c r="BJ21" s="583">
        <v>0</v>
      </c>
      <c r="BK21" s="583">
        <v>667757</v>
      </c>
      <c r="BL21" s="583">
        <v>0</v>
      </c>
      <c r="BM21" s="583">
        <v>139056</v>
      </c>
      <c r="BN21" s="583">
        <v>0</v>
      </c>
      <c r="BO21" s="583">
        <v>806813</v>
      </c>
      <c r="BP21" s="583">
        <v>139056</v>
      </c>
      <c r="BQ21" s="583">
        <v>1279606</v>
      </c>
      <c r="BR21" s="583">
        <v>208589</v>
      </c>
      <c r="BS21" s="583">
        <v>-139056</v>
      </c>
      <c r="BT21" s="583">
        <v>0</v>
      </c>
      <c r="BU21" s="583">
        <v>1349139</v>
      </c>
      <c r="BV21" s="583">
        <v>0</v>
      </c>
    </row>
    <row r="22" spans="1:74" x14ac:dyDescent="0.2">
      <c r="A22" s="580">
        <v>3102</v>
      </c>
      <c r="B22" s="580" t="s">
        <v>72</v>
      </c>
      <c r="C22" s="583">
        <v>317964</v>
      </c>
      <c r="D22" s="583">
        <v>0</v>
      </c>
      <c r="E22" s="583">
        <v>170107</v>
      </c>
      <c r="F22" s="583">
        <v>0</v>
      </c>
      <c r="G22" s="583">
        <v>488071</v>
      </c>
      <c r="H22" s="583">
        <v>170107</v>
      </c>
      <c r="I22" s="583">
        <v>169083</v>
      </c>
      <c r="J22" s="583">
        <v>0</v>
      </c>
      <c r="K22" s="583">
        <v>318988</v>
      </c>
      <c r="L22" s="583">
        <v>0</v>
      </c>
      <c r="M22" s="583">
        <v>488071</v>
      </c>
      <c r="N22" s="583">
        <v>489095</v>
      </c>
      <c r="O22" s="583">
        <v>482354</v>
      </c>
      <c r="P22" s="583">
        <v>0</v>
      </c>
      <c r="Q22" s="583">
        <v>0</v>
      </c>
      <c r="R22" s="583">
        <v>0</v>
      </c>
      <c r="S22" s="583">
        <v>482354</v>
      </c>
      <c r="T22" s="583">
        <v>489095</v>
      </c>
      <c r="U22" s="583">
        <v>256123</v>
      </c>
      <c r="V22" s="583">
        <v>0</v>
      </c>
      <c r="W22" s="583">
        <v>231948</v>
      </c>
      <c r="X22" s="583">
        <v>0</v>
      </c>
      <c r="Y22" s="583">
        <v>488071</v>
      </c>
      <c r="Z22" s="583">
        <v>721043</v>
      </c>
      <c r="AA22" s="583">
        <v>2228747</v>
      </c>
      <c r="AB22" s="583">
        <v>20571</v>
      </c>
      <c r="AC22" s="583">
        <v>-721043</v>
      </c>
      <c r="AD22" s="583">
        <v>0</v>
      </c>
      <c r="AE22" s="583">
        <v>1528275</v>
      </c>
      <c r="AF22" s="583">
        <v>0</v>
      </c>
      <c r="AG22" s="583">
        <v>441458</v>
      </c>
      <c r="AH22" s="583">
        <v>14579</v>
      </c>
      <c r="AI22" s="583">
        <v>46613</v>
      </c>
      <c r="AJ22" s="583">
        <v>0</v>
      </c>
      <c r="AK22" s="583">
        <v>502650</v>
      </c>
      <c r="AL22" s="583">
        <v>46613</v>
      </c>
      <c r="AM22" s="583">
        <v>877540</v>
      </c>
      <c r="AN22" s="583">
        <v>85193</v>
      </c>
      <c r="AO22" s="583">
        <v>-46613</v>
      </c>
      <c r="AP22" s="583">
        <v>0</v>
      </c>
      <c r="AQ22" s="583">
        <v>916120</v>
      </c>
      <c r="AR22" s="583">
        <v>0</v>
      </c>
      <c r="AS22" s="583">
        <v>289865</v>
      </c>
      <c r="AT22" s="583">
        <v>0</v>
      </c>
      <c r="AU22" s="583">
        <v>198206</v>
      </c>
      <c r="AV22" s="583">
        <v>0</v>
      </c>
      <c r="AW22" s="583">
        <v>488071</v>
      </c>
      <c r="AX22" s="583">
        <v>198206</v>
      </c>
      <c r="AY22" s="583">
        <v>561140</v>
      </c>
      <c r="AZ22" s="583">
        <v>20885</v>
      </c>
      <c r="BA22" s="583">
        <v>0</v>
      </c>
      <c r="BB22" s="583">
        <v>0</v>
      </c>
      <c r="BC22" s="583">
        <v>582025</v>
      </c>
      <c r="BD22" s="583">
        <v>198206</v>
      </c>
      <c r="BE22" s="583">
        <v>1183980</v>
      </c>
      <c r="BF22" s="583">
        <v>0</v>
      </c>
      <c r="BG22" s="583">
        <v>-198206</v>
      </c>
      <c r="BH22" s="583">
        <v>0</v>
      </c>
      <c r="BI22" s="583">
        <v>985774</v>
      </c>
      <c r="BJ22" s="583">
        <v>0</v>
      </c>
      <c r="BK22" s="583">
        <v>439426</v>
      </c>
      <c r="BL22" s="583">
        <v>0</v>
      </c>
      <c r="BM22" s="583">
        <v>48645</v>
      </c>
      <c r="BN22" s="583">
        <v>0</v>
      </c>
      <c r="BO22" s="583">
        <v>488071</v>
      </c>
      <c r="BP22" s="583">
        <v>48645</v>
      </c>
      <c r="BQ22" s="583">
        <v>842061</v>
      </c>
      <c r="BR22" s="583">
        <v>137265</v>
      </c>
      <c r="BS22" s="583">
        <v>-48645</v>
      </c>
      <c r="BT22" s="583">
        <v>0</v>
      </c>
      <c r="BU22" s="583">
        <v>930681</v>
      </c>
      <c r="BV22" s="583">
        <v>0</v>
      </c>
    </row>
    <row r="23" spans="1:74" x14ac:dyDescent="0.2">
      <c r="A23" s="580">
        <v>3103</v>
      </c>
      <c r="B23" s="580" t="s">
        <v>73</v>
      </c>
      <c r="C23" s="583">
        <v>81300</v>
      </c>
      <c r="D23" s="583">
        <v>0</v>
      </c>
      <c r="E23" s="583">
        <v>48992</v>
      </c>
      <c r="F23" s="583">
        <v>0</v>
      </c>
      <c r="G23" s="583">
        <v>130292</v>
      </c>
      <c r="H23" s="583">
        <v>48992</v>
      </c>
      <c r="I23" s="583">
        <v>43232</v>
      </c>
      <c r="J23" s="583">
        <v>0</v>
      </c>
      <c r="K23" s="583">
        <v>87060</v>
      </c>
      <c r="L23" s="583">
        <v>0</v>
      </c>
      <c r="M23" s="583">
        <v>130292</v>
      </c>
      <c r="N23" s="583">
        <v>136052</v>
      </c>
      <c r="O23" s="583">
        <v>123332</v>
      </c>
      <c r="P23" s="583">
        <v>0</v>
      </c>
      <c r="Q23" s="583">
        <v>0</v>
      </c>
      <c r="R23" s="583">
        <v>0</v>
      </c>
      <c r="S23" s="583">
        <v>123332</v>
      </c>
      <c r="T23" s="583">
        <v>136052</v>
      </c>
      <c r="U23" s="583">
        <v>65488</v>
      </c>
      <c r="V23" s="583">
        <v>0</v>
      </c>
      <c r="W23" s="583">
        <v>64804</v>
      </c>
      <c r="X23" s="583">
        <v>0</v>
      </c>
      <c r="Y23" s="583">
        <v>130292</v>
      </c>
      <c r="Z23" s="583">
        <v>200856</v>
      </c>
      <c r="AA23" s="583">
        <v>569864</v>
      </c>
      <c r="AB23" s="583">
        <v>5260</v>
      </c>
      <c r="AC23" s="583">
        <v>-200856</v>
      </c>
      <c r="AD23" s="583">
        <v>0</v>
      </c>
      <c r="AE23" s="583">
        <v>374268</v>
      </c>
      <c r="AF23" s="583">
        <v>0</v>
      </c>
      <c r="AG23" s="583">
        <v>112876</v>
      </c>
      <c r="AH23" s="583">
        <v>3728</v>
      </c>
      <c r="AI23" s="583">
        <v>17416</v>
      </c>
      <c r="AJ23" s="583">
        <v>0</v>
      </c>
      <c r="AK23" s="583">
        <v>134020</v>
      </c>
      <c r="AL23" s="583">
        <v>17416</v>
      </c>
      <c r="AM23" s="583">
        <v>224376</v>
      </c>
      <c r="AN23" s="583">
        <v>21783</v>
      </c>
      <c r="AO23" s="583">
        <v>-17416</v>
      </c>
      <c r="AP23" s="583">
        <v>0</v>
      </c>
      <c r="AQ23" s="583">
        <v>228743</v>
      </c>
      <c r="AR23" s="583">
        <v>0</v>
      </c>
      <c r="AS23" s="583">
        <v>74115</v>
      </c>
      <c r="AT23" s="583">
        <v>0</v>
      </c>
      <c r="AU23" s="583">
        <v>56177</v>
      </c>
      <c r="AV23" s="583">
        <v>0</v>
      </c>
      <c r="AW23" s="583">
        <v>130292</v>
      </c>
      <c r="AX23" s="583">
        <v>56177</v>
      </c>
      <c r="AY23" s="583">
        <v>143477</v>
      </c>
      <c r="AZ23" s="583">
        <v>5340</v>
      </c>
      <c r="BA23" s="583">
        <v>0</v>
      </c>
      <c r="BB23" s="583">
        <v>0</v>
      </c>
      <c r="BC23" s="583">
        <v>148817</v>
      </c>
      <c r="BD23" s="583">
        <v>56177</v>
      </c>
      <c r="BE23" s="583">
        <v>302730</v>
      </c>
      <c r="BF23" s="583">
        <v>0</v>
      </c>
      <c r="BG23" s="583">
        <v>-56177</v>
      </c>
      <c r="BH23" s="583">
        <v>0</v>
      </c>
      <c r="BI23" s="583">
        <v>246553</v>
      </c>
      <c r="BJ23" s="583">
        <v>0</v>
      </c>
      <c r="BK23" s="583">
        <v>112356</v>
      </c>
      <c r="BL23" s="583">
        <v>0</v>
      </c>
      <c r="BM23" s="583">
        <v>17936</v>
      </c>
      <c r="BN23" s="583">
        <v>0</v>
      </c>
      <c r="BO23" s="583">
        <v>130292</v>
      </c>
      <c r="BP23" s="583">
        <v>17936</v>
      </c>
      <c r="BQ23" s="583">
        <v>215305</v>
      </c>
      <c r="BR23" s="583">
        <v>35097</v>
      </c>
      <c r="BS23" s="583">
        <v>-17936</v>
      </c>
      <c r="BT23" s="583">
        <v>0</v>
      </c>
      <c r="BU23" s="583">
        <v>232466</v>
      </c>
      <c r="BV23" s="583">
        <v>0</v>
      </c>
    </row>
    <row r="24" spans="1:74" x14ac:dyDescent="0.2">
      <c r="A24" s="580">
        <v>3201</v>
      </c>
      <c r="B24" s="580" t="s">
        <v>70</v>
      </c>
      <c r="C24" s="583">
        <v>119648</v>
      </c>
      <c r="D24" s="583">
        <v>0</v>
      </c>
      <c r="E24" s="583">
        <v>63790</v>
      </c>
      <c r="F24" s="583">
        <v>0</v>
      </c>
      <c r="G24" s="583">
        <v>183438</v>
      </c>
      <c r="H24" s="583">
        <v>63790</v>
      </c>
      <c r="I24" s="583">
        <v>63625</v>
      </c>
      <c r="J24" s="583">
        <v>0</v>
      </c>
      <c r="K24" s="583">
        <v>119813</v>
      </c>
      <c r="L24" s="583">
        <v>0</v>
      </c>
      <c r="M24" s="583">
        <v>183438</v>
      </c>
      <c r="N24" s="583">
        <v>183603</v>
      </c>
      <c r="O24" s="583">
        <v>181507</v>
      </c>
      <c r="P24" s="583">
        <v>0</v>
      </c>
      <c r="Q24" s="583">
        <v>0</v>
      </c>
      <c r="R24" s="583">
        <v>0</v>
      </c>
      <c r="S24" s="583">
        <v>181507</v>
      </c>
      <c r="T24" s="583">
        <v>183603</v>
      </c>
      <c r="U24" s="583">
        <v>96378</v>
      </c>
      <c r="V24" s="583">
        <v>0</v>
      </c>
      <c r="W24" s="583">
        <v>87060</v>
      </c>
      <c r="X24" s="583">
        <v>0</v>
      </c>
      <c r="Y24" s="583">
        <v>183438</v>
      </c>
      <c r="Z24" s="583">
        <v>270663</v>
      </c>
      <c r="AA24" s="583">
        <v>838666</v>
      </c>
      <c r="AB24" s="583">
        <v>7741</v>
      </c>
      <c r="AC24" s="583">
        <v>-270663</v>
      </c>
      <c r="AD24" s="583">
        <v>0</v>
      </c>
      <c r="AE24" s="583">
        <v>575744</v>
      </c>
      <c r="AF24" s="583">
        <v>0</v>
      </c>
      <c r="AG24" s="583">
        <v>166118</v>
      </c>
      <c r="AH24" s="583">
        <v>5486</v>
      </c>
      <c r="AI24" s="583">
        <v>17320</v>
      </c>
      <c r="AJ24" s="583">
        <v>0</v>
      </c>
      <c r="AK24" s="583">
        <v>188924</v>
      </c>
      <c r="AL24" s="583">
        <v>17320</v>
      </c>
      <c r="AM24" s="583">
        <v>330213</v>
      </c>
      <c r="AN24" s="583">
        <v>32058</v>
      </c>
      <c r="AO24" s="583">
        <v>-17320</v>
      </c>
      <c r="AP24" s="583">
        <v>0</v>
      </c>
      <c r="AQ24" s="583">
        <v>344951</v>
      </c>
      <c r="AR24" s="583">
        <v>0</v>
      </c>
      <c r="AS24" s="583">
        <v>109075</v>
      </c>
      <c r="AT24" s="583">
        <v>0</v>
      </c>
      <c r="AU24" s="583">
        <v>74363</v>
      </c>
      <c r="AV24" s="583">
        <v>0</v>
      </c>
      <c r="AW24" s="583">
        <v>183438</v>
      </c>
      <c r="AX24" s="583">
        <v>74363</v>
      </c>
      <c r="AY24" s="583">
        <v>211154</v>
      </c>
      <c r="AZ24" s="583">
        <v>7859</v>
      </c>
      <c r="BA24" s="583">
        <v>0</v>
      </c>
      <c r="BB24" s="583">
        <v>0</v>
      </c>
      <c r="BC24" s="583">
        <v>219013</v>
      </c>
      <c r="BD24" s="583">
        <v>74363</v>
      </c>
      <c r="BE24" s="583">
        <v>445526</v>
      </c>
      <c r="BF24" s="583">
        <v>0</v>
      </c>
      <c r="BG24" s="583">
        <v>-74363</v>
      </c>
      <c r="BH24" s="583">
        <v>0</v>
      </c>
      <c r="BI24" s="583">
        <v>371163</v>
      </c>
      <c r="BJ24" s="583">
        <v>0</v>
      </c>
      <c r="BK24" s="583">
        <v>165354</v>
      </c>
      <c r="BL24" s="583">
        <v>0</v>
      </c>
      <c r="BM24" s="583">
        <v>18084</v>
      </c>
      <c r="BN24" s="583">
        <v>0</v>
      </c>
      <c r="BO24" s="583">
        <v>183438</v>
      </c>
      <c r="BP24" s="583">
        <v>18084</v>
      </c>
      <c r="BQ24" s="583">
        <v>316863</v>
      </c>
      <c r="BR24" s="583">
        <v>51652</v>
      </c>
      <c r="BS24" s="583">
        <v>-18084</v>
      </c>
      <c r="BT24" s="583">
        <v>0</v>
      </c>
      <c r="BU24" s="583">
        <v>350431</v>
      </c>
      <c r="BV24" s="583">
        <v>0</v>
      </c>
    </row>
    <row r="25" spans="1:74" x14ac:dyDescent="0.2">
      <c r="A25" s="580">
        <v>3202</v>
      </c>
      <c r="B25" s="580" t="s">
        <v>71</v>
      </c>
      <c r="C25" s="583">
        <v>82498</v>
      </c>
      <c r="D25" s="583">
        <v>0</v>
      </c>
      <c r="E25" s="583">
        <v>55295</v>
      </c>
      <c r="F25" s="583">
        <v>0</v>
      </c>
      <c r="G25" s="583">
        <v>137793</v>
      </c>
      <c r="H25" s="583">
        <v>55295</v>
      </c>
      <c r="I25" s="583">
        <v>43870</v>
      </c>
      <c r="J25" s="583">
        <v>0</v>
      </c>
      <c r="K25" s="583">
        <v>93923</v>
      </c>
      <c r="L25" s="583">
        <v>0</v>
      </c>
      <c r="M25" s="583">
        <v>137793</v>
      </c>
      <c r="N25" s="583">
        <v>149218</v>
      </c>
      <c r="O25" s="583">
        <v>125151</v>
      </c>
      <c r="P25" s="583">
        <v>0</v>
      </c>
      <c r="Q25" s="583">
        <v>0</v>
      </c>
      <c r="R25" s="583">
        <v>0</v>
      </c>
      <c r="S25" s="583">
        <v>125151</v>
      </c>
      <c r="T25" s="583">
        <v>149218</v>
      </c>
      <c r="U25" s="583">
        <v>66453</v>
      </c>
      <c r="V25" s="583">
        <v>0</v>
      </c>
      <c r="W25" s="583">
        <v>71340</v>
      </c>
      <c r="X25" s="583">
        <v>0</v>
      </c>
      <c r="Y25" s="583">
        <v>137793</v>
      </c>
      <c r="Z25" s="583">
        <v>220558</v>
      </c>
      <c r="AA25" s="583">
        <v>578267</v>
      </c>
      <c r="AB25" s="583">
        <v>5337</v>
      </c>
      <c r="AC25" s="583">
        <v>-220558</v>
      </c>
      <c r="AD25" s="583">
        <v>0</v>
      </c>
      <c r="AE25" s="583">
        <v>363046</v>
      </c>
      <c r="AF25" s="583">
        <v>0</v>
      </c>
      <c r="AG25" s="583">
        <v>114540</v>
      </c>
      <c r="AH25" s="583">
        <v>3783</v>
      </c>
      <c r="AI25" s="583">
        <v>23253</v>
      </c>
      <c r="AJ25" s="583">
        <v>0</v>
      </c>
      <c r="AK25" s="583">
        <v>141576</v>
      </c>
      <c r="AL25" s="583">
        <v>23253</v>
      </c>
      <c r="AM25" s="583">
        <v>227685</v>
      </c>
      <c r="AN25" s="583">
        <v>22104</v>
      </c>
      <c r="AO25" s="583">
        <v>-18379</v>
      </c>
      <c r="AP25" s="583">
        <v>0</v>
      </c>
      <c r="AQ25" s="583">
        <v>231410</v>
      </c>
      <c r="AR25" s="583">
        <v>4874</v>
      </c>
      <c r="AS25" s="583">
        <v>75208</v>
      </c>
      <c r="AT25" s="583">
        <v>0</v>
      </c>
      <c r="AU25" s="583">
        <v>62585</v>
      </c>
      <c r="AV25" s="583">
        <v>0</v>
      </c>
      <c r="AW25" s="583">
        <v>137793</v>
      </c>
      <c r="AX25" s="583">
        <v>67459</v>
      </c>
      <c r="AY25" s="583">
        <v>145592</v>
      </c>
      <c r="AZ25" s="583">
        <v>5419</v>
      </c>
      <c r="BA25" s="583">
        <v>0</v>
      </c>
      <c r="BB25" s="583">
        <v>0</v>
      </c>
      <c r="BC25" s="583">
        <v>151011</v>
      </c>
      <c r="BD25" s="583">
        <v>67459</v>
      </c>
      <c r="BE25" s="583">
        <v>307194</v>
      </c>
      <c r="BF25" s="583">
        <v>0</v>
      </c>
      <c r="BG25" s="583">
        <v>-67459</v>
      </c>
      <c r="BH25" s="583">
        <v>0</v>
      </c>
      <c r="BI25" s="583">
        <v>239735</v>
      </c>
      <c r="BJ25" s="583">
        <v>0</v>
      </c>
      <c r="BK25" s="583">
        <v>114013</v>
      </c>
      <c r="BL25" s="583">
        <v>0</v>
      </c>
      <c r="BM25" s="583">
        <v>23780</v>
      </c>
      <c r="BN25" s="583">
        <v>0</v>
      </c>
      <c r="BO25" s="583">
        <v>137793</v>
      </c>
      <c r="BP25" s="583">
        <v>23780</v>
      </c>
      <c r="BQ25" s="583">
        <v>218480</v>
      </c>
      <c r="BR25" s="583">
        <v>35614</v>
      </c>
      <c r="BS25" s="583">
        <v>-23780</v>
      </c>
      <c r="BT25" s="583">
        <v>0</v>
      </c>
      <c r="BU25" s="583">
        <v>230314</v>
      </c>
      <c r="BV25" s="583">
        <v>0</v>
      </c>
    </row>
    <row r="26" spans="1:74" x14ac:dyDescent="0.2">
      <c r="A26" s="580">
        <v>3301</v>
      </c>
      <c r="B26" s="580" t="s">
        <v>74</v>
      </c>
      <c r="C26" s="583">
        <v>324293</v>
      </c>
      <c r="D26" s="583">
        <v>0</v>
      </c>
      <c r="E26" s="583">
        <v>169032</v>
      </c>
      <c r="F26" s="583">
        <v>0</v>
      </c>
      <c r="G26" s="583">
        <v>493325</v>
      </c>
      <c r="H26" s="583">
        <v>169032</v>
      </c>
      <c r="I26" s="583">
        <v>172448</v>
      </c>
      <c r="J26" s="583">
        <v>0</v>
      </c>
      <c r="K26" s="583">
        <v>320877</v>
      </c>
      <c r="L26" s="583">
        <v>0</v>
      </c>
      <c r="M26" s="583">
        <v>493325</v>
      </c>
      <c r="N26" s="583">
        <v>489909</v>
      </c>
      <c r="O26" s="583">
        <v>491955</v>
      </c>
      <c r="P26" s="583">
        <v>0</v>
      </c>
      <c r="Q26" s="583">
        <v>0</v>
      </c>
      <c r="R26" s="583">
        <v>0</v>
      </c>
      <c r="S26" s="583">
        <v>491955</v>
      </c>
      <c r="T26" s="583">
        <v>489909</v>
      </c>
      <c r="U26" s="583">
        <v>261221</v>
      </c>
      <c r="V26" s="583">
        <v>0</v>
      </c>
      <c r="W26" s="583">
        <v>232104</v>
      </c>
      <c r="X26" s="583">
        <v>0</v>
      </c>
      <c r="Y26" s="583">
        <v>493325</v>
      </c>
      <c r="Z26" s="583">
        <v>722013</v>
      </c>
      <c r="AA26" s="583">
        <v>2273108</v>
      </c>
      <c r="AB26" s="583">
        <v>20980</v>
      </c>
      <c r="AC26" s="583">
        <v>-722013</v>
      </c>
      <c r="AD26" s="583">
        <v>0</v>
      </c>
      <c r="AE26" s="583">
        <v>1572075</v>
      </c>
      <c r="AF26" s="583">
        <v>0</v>
      </c>
      <c r="AG26" s="583">
        <v>450245</v>
      </c>
      <c r="AH26" s="583">
        <v>14869</v>
      </c>
      <c r="AI26" s="583">
        <v>43080</v>
      </c>
      <c r="AJ26" s="583">
        <v>0</v>
      </c>
      <c r="AK26" s="583">
        <v>508194</v>
      </c>
      <c r="AL26" s="583">
        <v>43080</v>
      </c>
      <c r="AM26" s="583">
        <v>895006</v>
      </c>
      <c r="AN26" s="583">
        <v>86889</v>
      </c>
      <c r="AO26" s="583">
        <v>-43080</v>
      </c>
      <c r="AP26" s="583">
        <v>0</v>
      </c>
      <c r="AQ26" s="583">
        <v>938815</v>
      </c>
      <c r="AR26" s="583">
        <v>0</v>
      </c>
      <c r="AS26" s="583">
        <v>295634</v>
      </c>
      <c r="AT26" s="583">
        <v>0</v>
      </c>
      <c r="AU26" s="583">
        <v>197691</v>
      </c>
      <c r="AV26" s="583">
        <v>0</v>
      </c>
      <c r="AW26" s="583">
        <v>493325</v>
      </c>
      <c r="AX26" s="583">
        <v>197691</v>
      </c>
      <c r="AY26" s="583">
        <v>572309</v>
      </c>
      <c r="AZ26" s="583">
        <v>21301</v>
      </c>
      <c r="BA26" s="583">
        <v>0</v>
      </c>
      <c r="BB26" s="583">
        <v>0</v>
      </c>
      <c r="BC26" s="583">
        <v>593610</v>
      </c>
      <c r="BD26" s="583">
        <v>197691</v>
      </c>
      <c r="BE26" s="583">
        <v>1207546</v>
      </c>
      <c r="BF26" s="583">
        <v>0</v>
      </c>
      <c r="BG26" s="583">
        <v>-197691</v>
      </c>
      <c r="BH26" s="583">
        <v>0</v>
      </c>
      <c r="BI26" s="583">
        <v>1009855</v>
      </c>
      <c r="BJ26" s="583">
        <v>0</v>
      </c>
      <c r="BK26" s="583">
        <v>448172</v>
      </c>
      <c r="BL26" s="583">
        <v>0</v>
      </c>
      <c r="BM26" s="583">
        <v>45153</v>
      </c>
      <c r="BN26" s="583">
        <v>0</v>
      </c>
      <c r="BO26" s="583">
        <v>493325</v>
      </c>
      <c r="BP26" s="583">
        <v>45153</v>
      </c>
      <c r="BQ26" s="583">
        <v>858822</v>
      </c>
      <c r="BR26" s="583">
        <v>139997</v>
      </c>
      <c r="BS26" s="583">
        <v>-45153</v>
      </c>
      <c r="BT26" s="583">
        <v>0</v>
      </c>
      <c r="BU26" s="583">
        <v>953666</v>
      </c>
      <c r="BV26" s="583">
        <v>0</v>
      </c>
    </row>
    <row r="27" spans="1:74" x14ac:dyDescent="0.2">
      <c r="A27" s="580">
        <v>3302</v>
      </c>
      <c r="B27" s="580" t="s">
        <v>77</v>
      </c>
      <c r="C27" s="583">
        <v>86902</v>
      </c>
      <c r="D27" s="583">
        <v>0</v>
      </c>
      <c r="E27" s="583">
        <v>53050</v>
      </c>
      <c r="F27" s="583">
        <v>0</v>
      </c>
      <c r="G27" s="583">
        <v>139952</v>
      </c>
      <c r="H27" s="583">
        <v>53050</v>
      </c>
      <c r="I27" s="583">
        <v>46212</v>
      </c>
      <c r="J27" s="583">
        <v>0</v>
      </c>
      <c r="K27" s="583">
        <v>93740</v>
      </c>
      <c r="L27" s="583">
        <v>0</v>
      </c>
      <c r="M27" s="583">
        <v>139952</v>
      </c>
      <c r="N27" s="583">
        <v>146790</v>
      </c>
      <c r="O27" s="583">
        <v>131832</v>
      </c>
      <c r="P27" s="583">
        <v>0</v>
      </c>
      <c r="Q27" s="583">
        <v>0</v>
      </c>
      <c r="R27" s="583">
        <v>0</v>
      </c>
      <c r="S27" s="583">
        <v>131832</v>
      </c>
      <c r="T27" s="583">
        <v>146790</v>
      </c>
      <c r="U27" s="583">
        <v>70001</v>
      </c>
      <c r="V27" s="583">
        <v>0</v>
      </c>
      <c r="W27" s="583">
        <v>69951</v>
      </c>
      <c r="X27" s="583">
        <v>0</v>
      </c>
      <c r="Y27" s="583">
        <v>139952</v>
      </c>
      <c r="Z27" s="583">
        <v>216741</v>
      </c>
      <c r="AA27" s="583">
        <v>609136</v>
      </c>
      <c r="AB27" s="583">
        <v>5622</v>
      </c>
      <c r="AC27" s="583">
        <v>-216741</v>
      </c>
      <c r="AD27" s="583">
        <v>0</v>
      </c>
      <c r="AE27" s="583">
        <v>398017</v>
      </c>
      <c r="AF27" s="583">
        <v>0</v>
      </c>
      <c r="AG27" s="583">
        <v>120654</v>
      </c>
      <c r="AH27" s="583">
        <v>3984</v>
      </c>
      <c r="AI27" s="583">
        <v>19298</v>
      </c>
      <c r="AJ27" s="583">
        <v>0</v>
      </c>
      <c r="AK27" s="583">
        <v>143936</v>
      </c>
      <c r="AL27" s="583">
        <v>19298</v>
      </c>
      <c r="AM27" s="583">
        <v>239839</v>
      </c>
      <c r="AN27" s="583">
        <v>23284</v>
      </c>
      <c r="AO27" s="583">
        <v>-19298</v>
      </c>
      <c r="AP27" s="583">
        <v>0</v>
      </c>
      <c r="AQ27" s="583">
        <v>243825</v>
      </c>
      <c r="AR27" s="583">
        <v>0</v>
      </c>
      <c r="AS27" s="583">
        <v>79223</v>
      </c>
      <c r="AT27" s="583">
        <v>0</v>
      </c>
      <c r="AU27" s="583">
        <v>60729</v>
      </c>
      <c r="AV27" s="583">
        <v>0</v>
      </c>
      <c r="AW27" s="583">
        <v>139952</v>
      </c>
      <c r="AX27" s="583">
        <v>60729</v>
      </c>
      <c r="AY27" s="583">
        <v>153364</v>
      </c>
      <c r="AZ27" s="583">
        <v>5708</v>
      </c>
      <c r="BA27" s="583">
        <v>0</v>
      </c>
      <c r="BB27" s="583">
        <v>0</v>
      </c>
      <c r="BC27" s="583">
        <v>159072</v>
      </c>
      <c r="BD27" s="583">
        <v>60729</v>
      </c>
      <c r="BE27" s="583">
        <v>323592</v>
      </c>
      <c r="BF27" s="583">
        <v>0</v>
      </c>
      <c r="BG27" s="583">
        <v>-60729</v>
      </c>
      <c r="BH27" s="583">
        <v>0</v>
      </c>
      <c r="BI27" s="583">
        <v>262863</v>
      </c>
      <c r="BJ27" s="583">
        <v>0</v>
      </c>
      <c r="BK27" s="583">
        <v>120099</v>
      </c>
      <c r="BL27" s="583">
        <v>0</v>
      </c>
      <c r="BM27" s="583">
        <v>19853</v>
      </c>
      <c r="BN27" s="583">
        <v>0</v>
      </c>
      <c r="BO27" s="583">
        <v>139952</v>
      </c>
      <c r="BP27" s="583">
        <v>19853</v>
      </c>
      <c r="BQ27" s="583">
        <v>230143</v>
      </c>
      <c r="BR27" s="583">
        <v>37516</v>
      </c>
      <c r="BS27" s="583">
        <v>-19853</v>
      </c>
      <c r="BT27" s="583">
        <v>0</v>
      </c>
      <c r="BU27" s="583">
        <v>247806</v>
      </c>
      <c r="BV27" s="583">
        <v>0</v>
      </c>
    </row>
    <row r="28" spans="1:74" x14ac:dyDescent="0.2">
      <c r="A28" s="580">
        <v>3303</v>
      </c>
      <c r="B28" s="580" t="s">
        <v>75</v>
      </c>
      <c r="C28" s="583">
        <v>84378</v>
      </c>
      <c r="D28" s="583">
        <v>0</v>
      </c>
      <c r="E28" s="583">
        <v>51358</v>
      </c>
      <c r="F28" s="583">
        <v>0</v>
      </c>
      <c r="G28" s="583">
        <v>135736</v>
      </c>
      <c r="H28" s="583">
        <v>51358</v>
      </c>
      <c r="I28" s="583">
        <v>44869</v>
      </c>
      <c r="J28" s="583">
        <v>0</v>
      </c>
      <c r="K28" s="583">
        <v>90867</v>
      </c>
      <c r="L28" s="583">
        <v>0</v>
      </c>
      <c r="M28" s="583">
        <v>135736</v>
      </c>
      <c r="N28" s="583">
        <v>142225</v>
      </c>
      <c r="O28" s="583">
        <v>128002</v>
      </c>
      <c r="P28" s="583">
        <v>0</v>
      </c>
      <c r="Q28" s="583">
        <v>0</v>
      </c>
      <c r="R28" s="583">
        <v>0</v>
      </c>
      <c r="S28" s="583">
        <v>128002</v>
      </c>
      <c r="T28" s="583">
        <v>142225</v>
      </c>
      <c r="U28" s="583">
        <v>67967</v>
      </c>
      <c r="V28" s="583">
        <v>0</v>
      </c>
      <c r="W28" s="583">
        <v>67769</v>
      </c>
      <c r="X28" s="583">
        <v>0</v>
      </c>
      <c r="Y28" s="583">
        <v>135736</v>
      </c>
      <c r="Z28" s="583">
        <v>209994</v>
      </c>
      <c r="AA28" s="583">
        <v>591442</v>
      </c>
      <c r="AB28" s="583">
        <v>5459</v>
      </c>
      <c r="AC28" s="583">
        <v>-209994</v>
      </c>
      <c r="AD28" s="583">
        <v>0</v>
      </c>
      <c r="AE28" s="583">
        <v>386907</v>
      </c>
      <c r="AF28" s="583">
        <v>0</v>
      </c>
      <c r="AG28" s="583">
        <v>117149</v>
      </c>
      <c r="AH28" s="583">
        <v>3869</v>
      </c>
      <c r="AI28" s="583">
        <v>18587</v>
      </c>
      <c r="AJ28" s="583">
        <v>0</v>
      </c>
      <c r="AK28" s="583">
        <v>139605</v>
      </c>
      <c r="AL28" s="583">
        <v>18587</v>
      </c>
      <c r="AM28" s="583">
        <v>232872</v>
      </c>
      <c r="AN28" s="583">
        <v>22608</v>
      </c>
      <c r="AO28" s="583">
        <v>-18587</v>
      </c>
      <c r="AP28" s="583">
        <v>0</v>
      </c>
      <c r="AQ28" s="583">
        <v>236893</v>
      </c>
      <c r="AR28" s="583">
        <v>0</v>
      </c>
      <c r="AS28" s="583">
        <v>76921</v>
      </c>
      <c r="AT28" s="583">
        <v>0</v>
      </c>
      <c r="AU28" s="583">
        <v>58815</v>
      </c>
      <c r="AV28" s="583">
        <v>0</v>
      </c>
      <c r="AW28" s="583">
        <v>135736</v>
      </c>
      <c r="AX28" s="583">
        <v>58815</v>
      </c>
      <c r="AY28" s="583">
        <v>148909</v>
      </c>
      <c r="AZ28" s="583">
        <v>5542</v>
      </c>
      <c r="BA28" s="583">
        <v>0</v>
      </c>
      <c r="BB28" s="583">
        <v>0</v>
      </c>
      <c r="BC28" s="583">
        <v>154451</v>
      </c>
      <c r="BD28" s="583">
        <v>58815</v>
      </c>
      <c r="BE28" s="583">
        <v>314192</v>
      </c>
      <c r="BF28" s="583">
        <v>0</v>
      </c>
      <c r="BG28" s="583">
        <v>-58815</v>
      </c>
      <c r="BH28" s="583">
        <v>0</v>
      </c>
      <c r="BI28" s="583">
        <v>255377</v>
      </c>
      <c r="BJ28" s="583">
        <v>0</v>
      </c>
      <c r="BK28" s="583">
        <v>116610</v>
      </c>
      <c r="BL28" s="583">
        <v>0</v>
      </c>
      <c r="BM28" s="583">
        <v>19126</v>
      </c>
      <c r="BN28" s="583">
        <v>0</v>
      </c>
      <c r="BO28" s="583">
        <v>135736</v>
      </c>
      <c r="BP28" s="583">
        <v>19126</v>
      </c>
      <c r="BQ28" s="583">
        <v>223457</v>
      </c>
      <c r="BR28" s="583">
        <v>36426</v>
      </c>
      <c r="BS28" s="583">
        <v>-19126</v>
      </c>
      <c r="BT28" s="583">
        <v>0</v>
      </c>
      <c r="BU28" s="583">
        <v>240757</v>
      </c>
      <c r="BV28" s="583">
        <v>0</v>
      </c>
    </row>
    <row r="29" spans="1:74" x14ac:dyDescent="0.2">
      <c r="A29" s="580">
        <v>3304</v>
      </c>
      <c r="B29" s="580" t="s">
        <v>76</v>
      </c>
      <c r="C29" s="583">
        <v>127130</v>
      </c>
      <c r="D29" s="583">
        <v>0</v>
      </c>
      <c r="E29" s="583">
        <v>67754</v>
      </c>
      <c r="F29" s="583">
        <v>0</v>
      </c>
      <c r="G29" s="583">
        <v>194884</v>
      </c>
      <c r="H29" s="583">
        <v>67754</v>
      </c>
      <c r="I29" s="583">
        <v>67604</v>
      </c>
      <c r="J29" s="583">
        <v>0</v>
      </c>
      <c r="K29" s="583">
        <v>127280</v>
      </c>
      <c r="L29" s="583">
        <v>0</v>
      </c>
      <c r="M29" s="583">
        <v>194884</v>
      </c>
      <c r="N29" s="583">
        <v>195034</v>
      </c>
      <c r="O29" s="583">
        <v>192858</v>
      </c>
      <c r="P29" s="583">
        <v>0</v>
      </c>
      <c r="Q29" s="583">
        <v>0</v>
      </c>
      <c r="R29" s="583">
        <v>0</v>
      </c>
      <c r="S29" s="583">
        <v>192858</v>
      </c>
      <c r="T29" s="583">
        <v>195034</v>
      </c>
      <c r="U29" s="583">
        <v>102405</v>
      </c>
      <c r="V29" s="583">
        <v>0</v>
      </c>
      <c r="W29" s="583">
        <v>92479</v>
      </c>
      <c r="X29" s="583">
        <v>0</v>
      </c>
      <c r="Y29" s="583">
        <v>194884</v>
      </c>
      <c r="Z29" s="583">
        <v>287513</v>
      </c>
      <c r="AA29" s="583">
        <v>891112</v>
      </c>
      <c r="AB29" s="583">
        <v>8225</v>
      </c>
      <c r="AC29" s="583">
        <v>-287513</v>
      </c>
      <c r="AD29" s="583">
        <v>0</v>
      </c>
      <c r="AE29" s="583">
        <v>611824</v>
      </c>
      <c r="AF29" s="583">
        <v>0</v>
      </c>
      <c r="AG29" s="583">
        <v>176507</v>
      </c>
      <c r="AH29" s="583">
        <v>5829</v>
      </c>
      <c r="AI29" s="583">
        <v>18377</v>
      </c>
      <c r="AJ29" s="583">
        <v>0</v>
      </c>
      <c r="AK29" s="583">
        <v>200713</v>
      </c>
      <c r="AL29" s="583">
        <v>18377</v>
      </c>
      <c r="AM29" s="583">
        <v>350864</v>
      </c>
      <c r="AN29" s="583">
        <v>34062</v>
      </c>
      <c r="AO29" s="583">
        <v>-18377</v>
      </c>
      <c r="AP29" s="583">
        <v>0</v>
      </c>
      <c r="AQ29" s="583">
        <v>366549</v>
      </c>
      <c r="AR29" s="583">
        <v>0</v>
      </c>
      <c r="AS29" s="583">
        <v>115896</v>
      </c>
      <c r="AT29" s="583">
        <v>0</v>
      </c>
      <c r="AU29" s="583">
        <v>78988</v>
      </c>
      <c r="AV29" s="583">
        <v>0</v>
      </c>
      <c r="AW29" s="583">
        <v>194884</v>
      </c>
      <c r="AX29" s="583">
        <v>78988</v>
      </c>
      <c r="AY29" s="583">
        <v>224359</v>
      </c>
      <c r="AZ29" s="583">
        <v>8350</v>
      </c>
      <c r="BA29" s="583">
        <v>0</v>
      </c>
      <c r="BB29" s="583">
        <v>0</v>
      </c>
      <c r="BC29" s="583">
        <v>232709</v>
      </c>
      <c r="BD29" s="583">
        <v>78988</v>
      </c>
      <c r="BE29" s="583">
        <v>473387</v>
      </c>
      <c r="BF29" s="583">
        <v>0</v>
      </c>
      <c r="BG29" s="583">
        <v>-78988</v>
      </c>
      <c r="BH29" s="583">
        <v>0</v>
      </c>
      <c r="BI29" s="583">
        <v>394399</v>
      </c>
      <c r="BJ29" s="583">
        <v>0</v>
      </c>
      <c r="BK29" s="583">
        <v>175694</v>
      </c>
      <c r="BL29" s="583">
        <v>0</v>
      </c>
      <c r="BM29" s="583">
        <v>19190</v>
      </c>
      <c r="BN29" s="583">
        <v>0</v>
      </c>
      <c r="BO29" s="583">
        <v>194884</v>
      </c>
      <c r="BP29" s="583">
        <v>19190</v>
      </c>
      <c r="BQ29" s="583">
        <v>336679</v>
      </c>
      <c r="BR29" s="583">
        <v>54882</v>
      </c>
      <c r="BS29" s="583">
        <v>-19190</v>
      </c>
      <c r="BT29" s="583">
        <v>0</v>
      </c>
      <c r="BU29" s="583">
        <v>372371</v>
      </c>
      <c r="BV29" s="583">
        <v>0</v>
      </c>
    </row>
    <row r="30" spans="1:74" x14ac:dyDescent="0.2">
      <c r="A30" s="580">
        <v>4101</v>
      </c>
      <c r="B30" s="580" t="s">
        <v>78</v>
      </c>
      <c r="C30" s="583">
        <v>453714</v>
      </c>
      <c r="D30" s="583">
        <v>0</v>
      </c>
      <c r="E30" s="583">
        <v>304002</v>
      </c>
      <c r="F30" s="583">
        <v>0</v>
      </c>
      <c r="G30" s="583">
        <v>757716</v>
      </c>
      <c r="H30" s="583">
        <v>304002</v>
      </c>
      <c r="I30" s="583">
        <v>241270</v>
      </c>
      <c r="J30" s="583">
        <v>0</v>
      </c>
      <c r="K30" s="583">
        <v>516446</v>
      </c>
      <c r="L30" s="583">
        <v>0</v>
      </c>
      <c r="M30" s="583">
        <v>757716</v>
      </c>
      <c r="N30" s="583">
        <v>820448</v>
      </c>
      <c r="O30" s="583">
        <v>688288</v>
      </c>
      <c r="P30" s="583">
        <v>0</v>
      </c>
      <c r="Q30" s="583">
        <v>0</v>
      </c>
      <c r="R30" s="583">
        <v>0</v>
      </c>
      <c r="S30" s="583">
        <v>688288</v>
      </c>
      <c r="T30" s="583">
        <v>820448</v>
      </c>
      <c r="U30" s="583">
        <v>365470</v>
      </c>
      <c r="V30" s="583">
        <v>0</v>
      </c>
      <c r="W30" s="583">
        <v>392246</v>
      </c>
      <c r="X30" s="583">
        <v>0</v>
      </c>
      <c r="Y30" s="583">
        <v>757716</v>
      </c>
      <c r="Z30" s="583">
        <v>1212694</v>
      </c>
      <c r="AA30" s="583">
        <v>3180276</v>
      </c>
      <c r="AB30" s="583">
        <v>29353</v>
      </c>
      <c r="AC30" s="583">
        <v>-1212694</v>
      </c>
      <c r="AD30" s="583">
        <v>0</v>
      </c>
      <c r="AE30" s="583">
        <v>1996935</v>
      </c>
      <c r="AF30" s="583">
        <v>0</v>
      </c>
      <c r="AG30" s="583">
        <v>629931</v>
      </c>
      <c r="AH30" s="583">
        <v>20803</v>
      </c>
      <c r="AI30" s="583">
        <v>127785</v>
      </c>
      <c r="AJ30" s="583">
        <v>0</v>
      </c>
      <c r="AK30" s="583">
        <v>778519</v>
      </c>
      <c r="AL30" s="583">
        <v>127785</v>
      </c>
      <c r="AM30" s="583">
        <v>1252191</v>
      </c>
      <c r="AN30" s="583">
        <v>121565</v>
      </c>
      <c r="AO30" s="583">
        <v>-101230</v>
      </c>
      <c r="AP30" s="583">
        <v>0</v>
      </c>
      <c r="AQ30" s="583">
        <v>1272526</v>
      </c>
      <c r="AR30" s="583">
        <v>26555</v>
      </c>
      <c r="AS30" s="583">
        <v>413618</v>
      </c>
      <c r="AT30" s="583">
        <v>0</v>
      </c>
      <c r="AU30" s="583">
        <v>344098</v>
      </c>
      <c r="AV30" s="583">
        <v>0</v>
      </c>
      <c r="AW30" s="583">
        <v>757716</v>
      </c>
      <c r="AX30" s="583">
        <v>370653</v>
      </c>
      <c r="AY30" s="583">
        <v>800710</v>
      </c>
      <c r="AZ30" s="583">
        <v>29802</v>
      </c>
      <c r="BA30" s="583">
        <v>0</v>
      </c>
      <c r="BB30" s="583">
        <v>0</v>
      </c>
      <c r="BC30" s="583">
        <v>830512</v>
      </c>
      <c r="BD30" s="583">
        <v>370653</v>
      </c>
      <c r="BE30" s="583">
        <v>1689463</v>
      </c>
      <c r="BF30" s="583">
        <v>0</v>
      </c>
      <c r="BG30" s="583">
        <v>-370653</v>
      </c>
      <c r="BH30" s="583">
        <v>0</v>
      </c>
      <c r="BI30" s="583">
        <v>1318810</v>
      </c>
      <c r="BJ30" s="583">
        <v>0</v>
      </c>
      <c r="BK30" s="583">
        <v>627032</v>
      </c>
      <c r="BL30" s="583">
        <v>0</v>
      </c>
      <c r="BM30" s="583">
        <v>130684</v>
      </c>
      <c r="BN30" s="583">
        <v>0</v>
      </c>
      <c r="BO30" s="583">
        <v>757716</v>
      </c>
      <c r="BP30" s="583">
        <v>130684</v>
      </c>
      <c r="BQ30" s="583">
        <v>1201566</v>
      </c>
      <c r="BR30" s="583">
        <v>195868</v>
      </c>
      <c r="BS30" s="583">
        <v>-130684</v>
      </c>
      <c r="BT30" s="583">
        <v>0</v>
      </c>
      <c r="BU30" s="583">
        <v>1266750</v>
      </c>
      <c r="BV30" s="583">
        <v>0</v>
      </c>
    </row>
    <row r="31" spans="1:74" x14ac:dyDescent="0.2">
      <c r="A31" s="580">
        <v>4102</v>
      </c>
      <c r="B31" s="580" t="s">
        <v>80</v>
      </c>
      <c r="C31" s="583">
        <v>969561</v>
      </c>
      <c r="D31" s="583">
        <v>0</v>
      </c>
      <c r="E31" s="583">
        <v>579760</v>
      </c>
      <c r="F31" s="583">
        <v>0</v>
      </c>
      <c r="G31" s="583">
        <v>1549321</v>
      </c>
      <c r="H31" s="583">
        <v>579760</v>
      </c>
      <c r="I31" s="583">
        <v>515580</v>
      </c>
      <c r="J31" s="583">
        <v>0</v>
      </c>
      <c r="K31" s="583">
        <v>1033741</v>
      </c>
      <c r="L31" s="583">
        <v>0</v>
      </c>
      <c r="M31" s="583">
        <v>1549321</v>
      </c>
      <c r="N31" s="583">
        <v>1613501</v>
      </c>
      <c r="O31" s="583">
        <v>1470833</v>
      </c>
      <c r="P31" s="583">
        <v>0</v>
      </c>
      <c r="Q31" s="583">
        <v>0</v>
      </c>
      <c r="R31" s="583">
        <v>0</v>
      </c>
      <c r="S31" s="583">
        <v>1470833</v>
      </c>
      <c r="T31" s="583">
        <v>1613501</v>
      </c>
      <c r="U31" s="583">
        <v>780989</v>
      </c>
      <c r="V31" s="583">
        <v>0</v>
      </c>
      <c r="W31" s="583">
        <v>768332</v>
      </c>
      <c r="X31" s="583">
        <v>0</v>
      </c>
      <c r="Y31" s="583">
        <v>1549321</v>
      </c>
      <c r="Z31" s="583">
        <v>2381833</v>
      </c>
      <c r="AA31" s="583">
        <v>6796069</v>
      </c>
      <c r="AB31" s="583">
        <v>62726</v>
      </c>
      <c r="AC31" s="583">
        <v>-2381833</v>
      </c>
      <c r="AD31" s="583">
        <v>0</v>
      </c>
      <c r="AE31" s="583">
        <v>4476962</v>
      </c>
      <c r="AF31" s="583">
        <v>0</v>
      </c>
      <c r="AG31" s="583">
        <v>1346128</v>
      </c>
      <c r="AH31" s="583">
        <v>44454</v>
      </c>
      <c r="AI31" s="583">
        <v>203193</v>
      </c>
      <c r="AJ31" s="583">
        <v>0</v>
      </c>
      <c r="AK31" s="583">
        <v>1593775</v>
      </c>
      <c r="AL31" s="583">
        <v>203193</v>
      </c>
      <c r="AM31" s="583">
        <v>2675862</v>
      </c>
      <c r="AN31" s="583">
        <v>259778</v>
      </c>
      <c r="AO31" s="583">
        <v>-203193</v>
      </c>
      <c r="AP31" s="583">
        <v>0</v>
      </c>
      <c r="AQ31" s="583">
        <v>2732447</v>
      </c>
      <c r="AR31" s="583">
        <v>0</v>
      </c>
      <c r="AS31" s="583">
        <v>883878</v>
      </c>
      <c r="AT31" s="583">
        <v>0</v>
      </c>
      <c r="AU31" s="583">
        <v>665443</v>
      </c>
      <c r="AV31" s="583">
        <v>0</v>
      </c>
      <c r="AW31" s="583">
        <v>1549321</v>
      </c>
      <c r="AX31" s="583">
        <v>665443</v>
      </c>
      <c r="AY31" s="583">
        <v>1711071</v>
      </c>
      <c r="AZ31" s="583">
        <v>63684</v>
      </c>
      <c r="BA31" s="583">
        <v>0</v>
      </c>
      <c r="BB31" s="583">
        <v>0</v>
      </c>
      <c r="BC31" s="583">
        <v>1774755</v>
      </c>
      <c r="BD31" s="583">
        <v>665443</v>
      </c>
      <c r="BE31" s="583">
        <v>3610286</v>
      </c>
      <c r="BF31" s="583">
        <v>0</v>
      </c>
      <c r="BG31" s="583">
        <v>-665443</v>
      </c>
      <c r="BH31" s="583">
        <v>0</v>
      </c>
      <c r="BI31" s="583">
        <v>2944843</v>
      </c>
      <c r="BJ31" s="583">
        <v>0</v>
      </c>
      <c r="BK31" s="583">
        <v>1339931</v>
      </c>
      <c r="BL31" s="583">
        <v>0</v>
      </c>
      <c r="BM31" s="583">
        <v>209390</v>
      </c>
      <c r="BN31" s="583">
        <v>0</v>
      </c>
      <c r="BO31" s="583">
        <v>1549321</v>
      </c>
      <c r="BP31" s="583">
        <v>209390</v>
      </c>
      <c r="BQ31" s="583">
        <v>2567679</v>
      </c>
      <c r="BR31" s="583">
        <v>418558</v>
      </c>
      <c r="BS31" s="583">
        <v>-209390</v>
      </c>
      <c r="BT31" s="583">
        <v>0</v>
      </c>
      <c r="BU31" s="583">
        <v>2776847</v>
      </c>
      <c r="BV31" s="583">
        <v>0</v>
      </c>
    </row>
    <row r="32" spans="1:74" x14ac:dyDescent="0.2">
      <c r="A32" s="580">
        <v>4103</v>
      </c>
      <c r="B32" s="580" t="s">
        <v>81</v>
      </c>
      <c r="C32" s="583">
        <v>111163</v>
      </c>
      <c r="D32" s="583">
        <v>0</v>
      </c>
      <c r="E32" s="583">
        <v>61139</v>
      </c>
      <c r="F32" s="583">
        <v>0</v>
      </c>
      <c r="G32" s="583">
        <v>172302</v>
      </c>
      <c r="H32" s="583">
        <v>61139</v>
      </c>
      <c r="I32" s="583">
        <v>59113</v>
      </c>
      <c r="J32" s="583">
        <v>0</v>
      </c>
      <c r="K32" s="583">
        <v>113189</v>
      </c>
      <c r="L32" s="583">
        <v>0</v>
      </c>
      <c r="M32" s="583">
        <v>172302</v>
      </c>
      <c r="N32" s="583">
        <v>174328</v>
      </c>
      <c r="O32" s="583">
        <v>168635</v>
      </c>
      <c r="P32" s="583">
        <v>0</v>
      </c>
      <c r="Q32" s="583">
        <v>0</v>
      </c>
      <c r="R32" s="583">
        <v>0</v>
      </c>
      <c r="S32" s="583">
        <v>168635</v>
      </c>
      <c r="T32" s="583">
        <v>174328</v>
      </c>
      <c r="U32" s="583">
        <v>89542</v>
      </c>
      <c r="V32" s="583">
        <v>0</v>
      </c>
      <c r="W32" s="583">
        <v>82760</v>
      </c>
      <c r="X32" s="583">
        <v>0</v>
      </c>
      <c r="Y32" s="583">
        <v>172302</v>
      </c>
      <c r="Z32" s="583">
        <v>257088</v>
      </c>
      <c r="AA32" s="583">
        <v>779187</v>
      </c>
      <c r="AB32" s="583">
        <v>7192</v>
      </c>
      <c r="AC32" s="583">
        <v>-257088</v>
      </c>
      <c r="AD32" s="583">
        <v>0</v>
      </c>
      <c r="AE32" s="583">
        <v>529291</v>
      </c>
      <c r="AF32" s="583">
        <v>0</v>
      </c>
      <c r="AG32" s="583">
        <v>154337</v>
      </c>
      <c r="AH32" s="583">
        <v>5097</v>
      </c>
      <c r="AI32" s="583">
        <v>17965</v>
      </c>
      <c r="AJ32" s="583">
        <v>0</v>
      </c>
      <c r="AK32" s="583">
        <v>177399</v>
      </c>
      <c r="AL32" s="583">
        <v>17965</v>
      </c>
      <c r="AM32" s="583">
        <v>306795</v>
      </c>
      <c r="AN32" s="583">
        <v>29784</v>
      </c>
      <c r="AO32" s="583">
        <v>-17965</v>
      </c>
      <c r="AP32" s="583">
        <v>0</v>
      </c>
      <c r="AQ32" s="583">
        <v>318614</v>
      </c>
      <c r="AR32" s="583">
        <v>0</v>
      </c>
      <c r="AS32" s="583">
        <v>101339</v>
      </c>
      <c r="AT32" s="583">
        <v>0</v>
      </c>
      <c r="AU32" s="583">
        <v>70963</v>
      </c>
      <c r="AV32" s="583">
        <v>0</v>
      </c>
      <c r="AW32" s="583">
        <v>172302</v>
      </c>
      <c r="AX32" s="583">
        <v>70963</v>
      </c>
      <c r="AY32" s="583">
        <v>196179</v>
      </c>
      <c r="AZ32" s="583">
        <v>7302</v>
      </c>
      <c r="BA32" s="583">
        <v>0</v>
      </c>
      <c r="BB32" s="583">
        <v>0</v>
      </c>
      <c r="BC32" s="583">
        <v>203481</v>
      </c>
      <c r="BD32" s="583">
        <v>70963</v>
      </c>
      <c r="BE32" s="583">
        <v>413929</v>
      </c>
      <c r="BF32" s="583">
        <v>0</v>
      </c>
      <c r="BG32" s="583">
        <v>-70963</v>
      </c>
      <c r="BH32" s="583">
        <v>0</v>
      </c>
      <c r="BI32" s="583">
        <v>342966</v>
      </c>
      <c r="BJ32" s="583">
        <v>0</v>
      </c>
      <c r="BK32" s="583">
        <v>153627</v>
      </c>
      <c r="BL32" s="583">
        <v>0</v>
      </c>
      <c r="BM32" s="583">
        <v>18675</v>
      </c>
      <c r="BN32" s="583">
        <v>0</v>
      </c>
      <c r="BO32" s="583">
        <v>172302</v>
      </c>
      <c r="BP32" s="583">
        <v>18675</v>
      </c>
      <c r="BQ32" s="583">
        <v>294391</v>
      </c>
      <c r="BR32" s="583">
        <v>47989</v>
      </c>
      <c r="BS32" s="583">
        <v>-18675</v>
      </c>
      <c r="BT32" s="583">
        <v>0</v>
      </c>
      <c r="BU32" s="583">
        <v>323705</v>
      </c>
      <c r="BV32" s="583">
        <v>0</v>
      </c>
    </row>
    <row r="33" spans="1:74" x14ac:dyDescent="0.2">
      <c r="A33" s="580">
        <v>4104</v>
      </c>
      <c r="B33" s="580" t="s">
        <v>79</v>
      </c>
      <c r="C33" s="583">
        <v>105795</v>
      </c>
      <c r="D33" s="583">
        <v>0</v>
      </c>
      <c r="E33" s="583">
        <v>42750</v>
      </c>
      <c r="F33" s="583">
        <v>0</v>
      </c>
      <c r="G33" s="583">
        <v>148545</v>
      </c>
      <c r="H33" s="583">
        <v>42750</v>
      </c>
      <c r="I33" s="583">
        <v>56258</v>
      </c>
      <c r="J33" s="583">
        <v>0</v>
      </c>
      <c r="K33" s="583">
        <v>92287</v>
      </c>
      <c r="L33" s="583">
        <v>0</v>
      </c>
      <c r="M33" s="583">
        <v>148545</v>
      </c>
      <c r="N33" s="583">
        <v>135037</v>
      </c>
      <c r="O33" s="583">
        <v>160492</v>
      </c>
      <c r="P33" s="583">
        <v>0</v>
      </c>
      <c r="Q33" s="583">
        <v>0</v>
      </c>
      <c r="R33" s="583">
        <v>0</v>
      </c>
      <c r="S33" s="583">
        <v>160492</v>
      </c>
      <c r="T33" s="583">
        <v>135037</v>
      </c>
      <c r="U33" s="583">
        <v>85218</v>
      </c>
      <c r="V33" s="583">
        <v>0</v>
      </c>
      <c r="W33" s="583">
        <v>63327</v>
      </c>
      <c r="X33" s="583">
        <v>0</v>
      </c>
      <c r="Y33" s="583">
        <v>148545</v>
      </c>
      <c r="Z33" s="583">
        <v>198364</v>
      </c>
      <c r="AA33" s="583">
        <v>741560</v>
      </c>
      <c r="AB33" s="583">
        <v>6844</v>
      </c>
      <c r="AC33" s="583">
        <v>-198364</v>
      </c>
      <c r="AD33" s="583">
        <v>0</v>
      </c>
      <c r="AE33" s="583">
        <v>550040</v>
      </c>
      <c r="AF33" s="583">
        <v>0</v>
      </c>
      <c r="AG33" s="583">
        <v>146884</v>
      </c>
      <c r="AH33" s="583">
        <v>4851</v>
      </c>
      <c r="AI33" s="583">
        <v>1661</v>
      </c>
      <c r="AJ33" s="583">
        <v>0</v>
      </c>
      <c r="AK33" s="583">
        <v>153396</v>
      </c>
      <c r="AL33" s="583">
        <v>1661</v>
      </c>
      <c r="AM33" s="583">
        <v>291980</v>
      </c>
      <c r="AN33" s="583">
        <v>28346</v>
      </c>
      <c r="AO33" s="583">
        <v>-1661</v>
      </c>
      <c r="AP33" s="583">
        <v>0</v>
      </c>
      <c r="AQ33" s="583">
        <v>318665</v>
      </c>
      <c r="AR33" s="583">
        <v>0</v>
      </c>
      <c r="AS33" s="583">
        <v>96445</v>
      </c>
      <c r="AT33" s="583">
        <v>0</v>
      </c>
      <c r="AU33" s="583">
        <v>52100</v>
      </c>
      <c r="AV33" s="583">
        <v>0</v>
      </c>
      <c r="AW33" s="583">
        <v>148545</v>
      </c>
      <c r="AX33" s="583">
        <v>52100</v>
      </c>
      <c r="AY33" s="583">
        <v>186705</v>
      </c>
      <c r="AZ33" s="583">
        <v>6949</v>
      </c>
      <c r="BA33" s="583">
        <v>0</v>
      </c>
      <c r="BB33" s="583">
        <v>0</v>
      </c>
      <c r="BC33" s="583">
        <v>193654</v>
      </c>
      <c r="BD33" s="583">
        <v>52100</v>
      </c>
      <c r="BE33" s="583">
        <v>393940</v>
      </c>
      <c r="BF33" s="583">
        <v>0</v>
      </c>
      <c r="BG33" s="583">
        <v>-52100</v>
      </c>
      <c r="BH33" s="583">
        <v>0</v>
      </c>
      <c r="BI33" s="583">
        <v>341840</v>
      </c>
      <c r="BJ33" s="583">
        <v>0</v>
      </c>
      <c r="BK33" s="583">
        <v>146208</v>
      </c>
      <c r="BL33" s="583">
        <v>0</v>
      </c>
      <c r="BM33" s="583">
        <v>2337</v>
      </c>
      <c r="BN33" s="583">
        <v>0</v>
      </c>
      <c r="BO33" s="583">
        <v>148545</v>
      </c>
      <c r="BP33" s="583">
        <v>2337</v>
      </c>
      <c r="BQ33" s="583">
        <v>280175</v>
      </c>
      <c r="BR33" s="583">
        <v>45671</v>
      </c>
      <c r="BS33" s="583">
        <v>-2337</v>
      </c>
      <c r="BT33" s="583">
        <v>0</v>
      </c>
      <c r="BU33" s="583">
        <v>323509</v>
      </c>
      <c r="BV33" s="583">
        <v>0</v>
      </c>
    </row>
    <row r="34" spans="1:74" x14ac:dyDescent="0.2">
      <c r="A34" s="580">
        <v>4105</v>
      </c>
      <c r="B34" s="580" t="s">
        <v>28</v>
      </c>
      <c r="C34" s="583">
        <v>103410</v>
      </c>
      <c r="D34" s="583">
        <v>0</v>
      </c>
      <c r="E34" s="583">
        <v>68019</v>
      </c>
      <c r="F34" s="583">
        <v>0</v>
      </c>
      <c r="G34" s="583">
        <v>171429</v>
      </c>
      <c r="H34" s="583">
        <v>68019</v>
      </c>
      <c r="I34" s="583">
        <v>54990</v>
      </c>
      <c r="J34" s="583">
        <v>0</v>
      </c>
      <c r="K34" s="583">
        <v>116439</v>
      </c>
      <c r="L34" s="583">
        <v>0</v>
      </c>
      <c r="M34" s="583">
        <v>171429</v>
      </c>
      <c r="N34" s="583">
        <v>184458</v>
      </c>
      <c r="O34" s="583">
        <v>156873</v>
      </c>
      <c r="P34" s="583">
        <v>0</v>
      </c>
      <c r="Q34" s="583">
        <v>0</v>
      </c>
      <c r="R34" s="583">
        <v>0</v>
      </c>
      <c r="S34" s="583">
        <v>156873</v>
      </c>
      <c r="T34" s="583">
        <v>184458</v>
      </c>
      <c r="U34" s="583">
        <v>83297</v>
      </c>
      <c r="V34" s="583">
        <v>0</v>
      </c>
      <c r="W34" s="583">
        <v>88132</v>
      </c>
      <c r="X34" s="583">
        <v>0</v>
      </c>
      <c r="Y34" s="583">
        <v>171429</v>
      </c>
      <c r="Z34" s="583">
        <v>272590</v>
      </c>
      <c r="AA34" s="583">
        <v>724843</v>
      </c>
      <c r="AB34" s="583">
        <v>6690</v>
      </c>
      <c r="AC34" s="583">
        <v>-272590</v>
      </c>
      <c r="AD34" s="583">
        <v>0</v>
      </c>
      <c r="AE34" s="583">
        <v>458943</v>
      </c>
      <c r="AF34" s="583">
        <v>0</v>
      </c>
      <c r="AG34" s="583">
        <v>143573</v>
      </c>
      <c r="AH34" s="583">
        <v>4741</v>
      </c>
      <c r="AI34" s="583">
        <v>27856</v>
      </c>
      <c r="AJ34" s="583">
        <v>0</v>
      </c>
      <c r="AK34" s="583">
        <v>176170</v>
      </c>
      <c r="AL34" s="583">
        <v>27856</v>
      </c>
      <c r="AM34" s="583">
        <v>285397</v>
      </c>
      <c r="AN34" s="583">
        <v>27707</v>
      </c>
      <c r="AO34" s="583">
        <v>-24999</v>
      </c>
      <c r="AP34" s="583">
        <v>0</v>
      </c>
      <c r="AQ34" s="583">
        <v>288105</v>
      </c>
      <c r="AR34" s="583">
        <v>2857</v>
      </c>
      <c r="AS34" s="583">
        <v>94271</v>
      </c>
      <c r="AT34" s="583">
        <v>0</v>
      </c>
      <c r="AU34" s="583">
        <v>77158</v>
      </c>
      <c r="AV34" s="583">
        <v>0</v>
      </c>
      <c r="AW34" s="583">
        <v>171429</v>
      </c>
      <c r="AX34" s="583">
        <v>80015</v>
      </c>
      <c r="AY34" s="583">
        <v>182496</v>
      </c>
      <c r="AZ34" s="583">
        <v>6792</v>
      </c>
      <c r="BA34" s="583">
        <v>0</v>
      </c>
      <c r="BB34" s="583">
        <v>0</v>
      </c>
      <c r="BC34" s="583">
        <v>189288</v>
      </c>
      <c r="BD34" s="583">
        <v>80015</v>
      </c>
      <c r="BE34" s="583">
        <v>385059</v>
      </c>
      <c r="BF34" s="583">
        <v>0</v>
      </c>
      <c r="BG34" s="583">
        <v>-80015</v>
      </c>
      <c r="BH34" s="583">
        <v>0</v>
      </c>
      <c r="BI34" s="583">
        <v>305044</v>
      </c>
      <c r="BJ34" s="583">
        <v>0</v>
      </c>
      <c r="BK34" s="583">
        <v>142912</v>
      </c>
      <c r="BL34" s="583">
        <v>0</v>
      </c>
      <c r="BM34" s="583">
        <v>28517</v>
      </c>
      <c r="BN34" s="583">
        <v>0</v>
      </c>
      <c r="BO34" s="583">
        <v>171429</v>
      </c>
      <c r="BP34" s="583">
        <v>28517</v>
      </c>
      <c r="BQ34" s="583">
        <v>273859</v>
      </c>
      <c r="BR34" s="583">
        <v>44642</v>
      </c>
      <c r="BS34" s="583">
        <v>-28517</v>
      </c>
      <c r="BT34" s="583">
        <v>0</v>
      </c>
      <c r="BU34" s="583">
        <v>289984</v>
      </c>
      <c r="BV34" s="583">
        <v>0</v>
      </c>
    </row>
    <row r="35" spans="1:74" x14ac:dyDescent="0.2">
      <c r="A35" s="580">
        <v>4106</v>
      </c>
      <c r="B35" s="580" t="s">
        <v>82</v>
      </c>
      <c r="C35" s="583">
        <v>293716</v>
      </c>
      <c r="D35" s="583">
        <v>0</v>
      </c>
      <c r="E35" s="583">
        <v>155497</v>
      </c>
      <c r="F35" s="583">
        <v>0</v>
      </c>
      <c r="G35" s="583">
        <v>449213</v>
      </c>
      <c r="H35" s="583">
        <v>155497</v>
      </c>
      <c r="I35" s="583">
        <v>156188</v>
      </c>
      <c r="J35" s="583">
        <v>0</v>
      </c>
      <c r="K35" s="583">
        <v>293025</v>
      </c>
      <c r="L35" s="583">
        <v>0</v>
      </c>
      <c r="M35" s="583">
        <v>449213</v>
      </c>
      <c r="N35" s="583">
        <v>448522</v>
      </c>
      <c r="O35" s="583">
        <v>445570</v>
      </c>
      <c r="P35" s="583">
        <v>0</v>
      </c>
      <c r="Q35" s="583">
        <v>0</v>
      </c>
      <c r="R35" s="583">
        <v>0</v>
      </c>
      <c r="S35" s="583">
        <v>445570</v>
      </c>
      <c r="T35" s="583">
        <v>448522</v>
      </c>
      <c r="U35" s="583">
        <v>236591</v>
      </c>
      <c r="V35" s="583">
        <v>0</v>
      </c>
      <c r="W35" s="583">
        <v>212622</v>
      </c>
      <c r="X35" s="583">
        <v>0</v>
      </c>
      <c r="Y35" s="583">
        <v>449213</v>
      </c>
      <c r="Z35" s="583">
        <v>661144</v>
      </c>
      <c r="AA35" s="583">
        <v>2058783</v>
      </c>
      <c r="AB35" s="583">
        <v>19002</v>
      </c>
      <c r="AC35" s="583">
        <v>-661144</v>
      </c>
      <c r="AD35" s="583">
        <v>0</v>
      </c>
      <c r="AE35" s="583">
        <v>1416641</v>
      </c>
      <c r="AF35" s="583">
        <v>0</v>
      </c>
      <c r="AG35" s="583">
        <v>407792</v>
      </c>
      <c r="AH35" s="583">
        <v>13467</v>
      </c>
      <c r="AI35" s="583">
        <v>41421</v>
      </c>
      <c r="AJ35" s="583">
        <v>0</v>
      </c>
      <c r="AK35" s="583">
        <v>462680</v>
      </c>
      <c r="AL35" s="583">
        <v>41421</v>
      </c>
      <c r="AM35" s="583">
        <v>810618</v>
      </c>
      <c r="AN35" s="583">
        <v>78696</v>
      </c>
      <c r="AO35" s="583">
        <v>-41421</v>
      </c>
      <c r="AP35" s="583">
        <v>0</v>
      </c>
      <c r="AQ35" s="583">
        <v>847893</v>
      </c>
      <c r="AR35" s="583">
        <v>0</v>
      </c>
      <c r="AS35" s="583">
        <v>267760</v>
      </c>
      <c r="AT35" s="583">
        <v>0</v>
      </c>
      <c r="AU35" s="583">
        <v>181453</v>
      </c>
      <c r="AV35" s="583">
        <v>0</v>
      </c>
      <c r="AW35" s="583">
        <v>449213</v>
      </c>
      <c r="AX35" s="583">
        <v>181453</v>
      </c>
      <c r="AY35" s="583">
        <v>518347</v>
      </c>
      <c r="AZ35" s="583">
        <v>19292</v>
      </c>
      <c r="BA35" s="583">
        <v>0</v>
      </c>
      <c r="BB35" s="583">
        <v>0</v>
      </c>
      <c r="BC35" s="583">
        <v>537639</v>
      </c>
      <c r="BD35" s="583">
        <v>181453</v>
      </c>
      <c r="BE35" s="583">
        <v>1093690</v>
      </c>
      <c r="BF35" s="583">
        <v>0</v>
      </c>
      <c r="BG35" s="583">
        <v>-181453</v>
      </c>
      <c r="BH35" s="583">
        <v>0</v>
      </c>
      <c r="BI35" s="583">
        <v>912237</v>
      </c>
      <c r="BJ35" s="583">
        <v>0</v>
      </c>
      <c r="BK35" s="583">
        <v>405915</v>
      </c>
      <c r="BL35" s="583">
        <v>0</v>
      </c>
      <c r="BM35" s="583">
        <v>43298</v>
      </c>
      <c r="BN35" s="583">
        <v>0</v>
      </c>
      <c r="BO35" s="583">
        <v>449213</v>
      </c>
      <c r="BP35" s="583">
        <v>43298</v>
      </c>
      <c r="BQ35" s="583">
        <v>777846</v>
      </c>
      <c r="BR35" s="583">
        <v>126797</v>
      </c>
      <c r="BS35" s="583">
        <v>-43298</v>
      </c>
      <c r="BT35" s="583">
        <v>0</v>
      </c>
      <c r="BU35" s="583">
        <v>861345</v>
      </c>
      <c r="BV35" s="583">
        <v>0</v>
      </c>
    </row>
    <row r="36" spans="1:74" x14ac:dyDescent="0.2">
      <c r="A36" s="580">
        <v>4201</v>
      </c>
      <c r="B36" s="580" t="s">
        <v>86</v>
      </c>
      <c r="C36" s="583">
        <v>228970</v>
      </c>
      <c r="D36" s="583">
        <v>0</v>
      </c>
      <c r="E36" s="583">
        <v>134387</v>
      </c>
      <c r="F36" s="583">
        <v>0</v>
      </c>
      <c r="G36" s="583">
        <v>363357</v>
      </c>
      <c r="H36" s="583">
        <v>134387</v>
      </c>
      <c r="I36" s="583">
        <v>121758</v>
      </c>
      <c r="J36" s="583">
        <v>0</v>
      </c>
      <c r="K36" s="583">
        <v>241599</v>
      </c>
      <c r="L36" s="583">
        <v>0</v>
      </c>
      <c r="M36" s="583">
        <v>363357</v>
      </c>
      <c r="N36" s="583">
        <v>375986</v>
      </c>
      <c r="O36" s="583">
        <v>347349</v>
      </c>
      <c r="P36" s="583">
        <v>0</v>
      </c>
      <c r="Q36" s="583">
        <v>0</v>
      </c>
      <c r="R36" s="583">
        <v>0</v>
      </c>
      <c r="S36" s="583">
        <v>347349</v>
      </c>
      <c r="T36" s="583">
        <v>375986</v>
      </c>
      <c r="U36" s="583">
        <v>184437</v>
      </c>
      <c r="V36" s="583">
        <v>0</v>
      </c>
      <c r="W36" s="583">
        <v>178920</v>
      </c>
      <c r="X36" s="583">
        <v>0</v>
      </c>
      <c r="Y36" s="583">
        <v>363357</v>
      </c>
      <c r="Z36" s="583">
        <v>554906</v>
      </c>
      <c r="AA36" s="583">
        <v>1604946</v>
      </c>
      <c r="AB36" s="583">
        <v>14813</v>
      </c>
      <c r="AC36" s="583">
        <v>-554906</v>
      </c>
      <c r="AD36" s="583">
        <v>0</v>
      </c>
      <c r="AE36" s="583">
        <v>1064853</v>
      </c>
      <c r="AF36" s="583">
        <v>0</v>
      </c>
      <c r="AG36" s="583">
        <v>317899</v>
      </c>
      <c r="AH36" s="583">
        <v>10498</v>
      </c>
      <c r="AI36" s="583">
        <v>45458</v>
      </c>
      <c r="AJ36" s="583">
        <v>0</v>
      </c>
      <c r="AK36" s="583">
        <v>373855</v>
      </c>
      <c r="AL36" s="583">
        <v>45458</v>
      </c>
      <c r="AM36" s="583">
        <v>631926</v>
      </c>
      <c r="AN36" s="583">
        <v>61349</v>
      </c>
      <c r="AO36" s="583">
        <v>-45458</v>
      </c>
      <c r="AP36" s="583">
        <v>0</v>
      </c>
      <c r="AQ36" s="583">
        <v>647817</v>
      </c>
      <c r="AR36" s="583">
        <v>0</v>
      </c>
      <c r="AS36" s="583">
        <v>208735</v>
      </c>
      <c r="AT36" s="583">
        <v>0</v>
      </c>
      <c r="AU36" s="583">
        <v>154622</v>
      </c>
      <c r="AV36" s="583">
        <v>0</v>
      </c>
      <c r="AW36" s="583">
        <v>363357</v>
      </c>
      <c r="AX36" s="583">
        <v>154622</v>
      </c>
      <c r="AY36" s="583">
        <v>404083</v>
      </c>
      <c r="AZ36" s="583">
        <v>15040</v>
      </c>
      <c r="BA36" s="583">
        <v>0</v>
      </c>
      <c r="BB36" s="583">
        <v>0</v>
      </c>
      <c r="BC36" s="583">
        <v>419123</v>
      </c>
      <c r="BD36" s="583">
        <v>154622</v>
      </c>
      <c r="BE36" s="583">
        <v>852598</v>
      </c>
      <c r="BF36" s="583">
        <v>0</v>
      </c>
      <c r="BG36" s="583">
        <v>-154622</v>
      </c>
      <c r="BH36" s="583">
        <v>0</v>
      </c>
      <c r="BI36" s="583">
        <v>697976</v>
      </c>
      <c r="BJ36" s="583">
        <v>0</v>
      </c>
      <c r="BK36" s="583">
        <v>316436</v>
      </c>
      <c r="BL36" s="583">
        <v>0</v>
      </c>
      <c r="BM36" s="583">
        <v>46921</v>
      </c>
      <c r="BN36" s="583">
        <v>0</v>
      </c>
      <c r="BO36" s="583">
        <v>363357</v>
      </c>
      <c r="BP36" s="583">
        <v>46921</v>
      </c>
      <c r="BQ36" s="583">
        <v>606378</v>
      </c>
      <c r="BR36" s="583">
        <v>98846</v>
      </c>
      <c r="BS36" s="583">
        <v>-46921</v>
      </c>
      <c r="BT36" s="583">
        <v>0</v>
      </c>
      <c r="BU36" s="583">
        <v>658303</v>
      </c>
      <c r="BV36" s="583">
        <v>0</v>
      </c>
    </row>
    <row r="37" spans="1:74" x14ac:dyDescent="0.2">
      <c r="A37" s="580">
        <v>4202</v>
      </c>
      <c r="B37" s="580" t="s">
        <v>89</v>
      </c>
      <c r="C37" s="583">
        <v>147566</v>
      </c>
      <c r="D37" s="583">
        <v>0</v>
      </c>
      <c r="E37" s="583">
        <v>48128</v>
      </c>
      <c r="F37" s="583">
        <v>0</v>
      </c>
      <c r="G37" s="583">
        <v>195694</v>
      </c>
      <c r="H37" s="583">
        <v>48128</v>
      </c>
      <c r="I37" s="583">
        <v>78471</v>
      </c>
      <c r="J37" s="583">
        <v>0</v>
      </c>
      <c r="K37" s="583">
        <v>117223</v>
      </c>
      <c r="L37" s="583">
        <v>0</v>
      </c>
      <c r="M37" s="583">
        <v>195694</v>
      </c>
      <c r="N37" s="583">
        <v>165351</v>
      </c>
      <c r="O37" s="583">
        <v>223859</v>
      </c>
      <c r="P37" s="583">
        <v>0</v>
      </c>
      <c r="Q37" s="583">
        <v>0</v>
      </c>
      <c r="R37" s="583">
        <v>0</v>
      </c>
      <c r="S37" s="583">
        <v>223859</v>
      </c>
      <c r="T37" s="583">
        <v>165351</v>
      </c>
      <c r="U37" s="583">
        <v>118865</v>
      </c>
      <c r="V37" s="583">
        <v>0</v>
      </c>
      <c r="W37" s="583">
        <v>76829</v>
      </c>
      <c r="X37" s="583">
        <v>0</v>
      </c>
      <c r="Y37" s="583">
        <v>195694</v>
      </c>
      <c r="Z37" s="583">
        <v>242180</v>
      </c>
      <c r="AA37" s="583">
        <v>1034352</v>
      </c>
      <c r="AB37" s="583">
        <v>9547</v>
      </c>
      <c r="AC37" s="583">
        <v>-242180</v>
      </c>
      <c r="AD37" s="583">
        <v>0</v>
      </c>
      <c r="AE37" s="583">
        <v>801719</v>
      </c>
      <c r="AF37" s="583">
        <v>0</v>
      </c>
      <c r="AG37" s="583">
        <v>204879</v>
      </c>
      <c r="AH37" s="583">
        <v>6766</v>
      </c>
      <c r="AI37" s="583">
        <v>0</v>
      </c>
      <c r="AJ37" s="583">
        <v>0</v>
      </c>
      <c r="AK37" s="583">
        <v>211645</v>
      </c>
      <c r="AL37" s="583">
        <v>0</v>
      </c>
      <c r="AM37" s="583">
        <v>407262</v>
      </c>
      <c r="AN37" s="583">
        <v>39538</v>
      </c>
      <c r="AO37" s="583">
        <v>0</v>
      </c>
      <c r="AP37" s="583">
        <v>0</v>
      </c>
      <c r="AQ37" s="583">
        <v>446800</v>
      </c>
      <c r="AR37" s="583">
        <v>0</v>
      </c>
      <c r="AS37" s="583">
        <v>134525</v>
      </c>
      <c r="AT37" s="583">
        <v>0</v>
      </c>
      <c r="AU37" s="583">
        <v>61169</v>
      </c>
      <c r="AV37" s="583">
        <v>0</v>
      </c>
      <c r="AW37" s="583">
        <v>195694</v>
      </c>
      <c r="AX37" s="583">
        <v>61169</v>
      </c>
      <c r="AY37" s="583">
        <v>260423</v>
      </c>
      <c r="AZ37" s="583">
        <v>9693</v>
      </c>
      <c r="BA37" s="583">
        <v>0</v>
      </c>
      <c r="BB37" s="583">
        <v>0</v>
      </c>
      <c r="BC37" s="583">
        <v>270116</v>
      </c>
      <c r="BD37" s="583">
        <v>61169</v>
      </c>
      <c r="BE37" s="583">
        <v>549480</v>
      </c>
      <c r="BF37" s="583">
        <v>0</v>
      </c>
      <c r="BG37" s="583">
        <v>-61169</v>
      </c>
      <c r="BH37" s="583">
        <v>0</v>
      </c>
      <c r="BI37" s="583">
        <v>488311</v>
      </c>
      <c r="BJ37" s="583">
        <v>0</v>
      </c>
      <c r="BK37" s="583">
        <v>203936</v>
      </c>
      <c r="BL37" s="583">
        <v>0</v>
      </c>
      <c r="BM37" s="583">
        <v>0</v>
      </c>
      <c r="BN37" s="583">
        <v>0</v>
      </c>
      <c r="BO37" s="583">
        <v>203936</v>
      </c>
      <c r="BP37" s="583">
        <v>0</v>
      </c>
      <c r="BQ37" s="583">
        <v>390797</v>
      </c>
      <c r="BR37" s="583">
        <v>63704</v>
      </c>
      <c r="BS37" s="583">
        <v>0</v>
      </c>
      <c r="BT37" s="583">
        <v>0</v>
      </c>
      <c r="BU37" s="583">
        <v>454501</v>
      </c>
      <c r="BV37" s="583">
        <v>0</v>
      </c>
    </row>
    <row r="38" spans="1:74" x14ac:dyDescent="0.2">
      <c r="A38" s="580">
        <v>4203</v>
      </c>
      <c r="B38" s="580" t="s">
        <v>88</v>
      </c>
      <c r="C38" s="583">
        <v>397928</v>
      </c>
      <c r="D38" s="583">
        <v>0</v>
      </c>
      <c r="E38" s="583">
        <v>204547</v>
      </c>
      <c r="F38" s="583">
        <v>0</v>
      </c>
      <c r="G38" s="583">
        <v>602475</v>
      </c>
      <c r="H38" s="583">
        <v>204547</v>
      </c>
      <c r="I38" s="583">
        <v>211605</v>
      </c>
      <c r="J38" s="583">
        <v>0</v>
      </c>
      <c r="K38" s="583">
        <v>390870</v>
      </c>
      <c r="L38" s="583">
        <v>0</v>
      </c>
      <c r="M38" s="583">
        <v>602475</v>
      </c>
      <c r="N38" s="583">
        <v>595417</v>
      </c>
      <c r="O38" s="583">
        <v>603660</v>
      </c>
      <c r="P38" s="583">
        <v>0</v>
      </c>
      <c r="Q38" s="583">
        <v>0</v>
      </c>
      <c r="R38" s="583">
        <v>0</v>
      </c>
      <c r="S38" s="583">
        <v>603660</v>
      </c>
      <c r="T38" s="583">
        <v>595417</v>
      </c>
      <c r="U38" s="583">
        <v>320534</v>
      </c>
      <c r="V38" s="583">
        <v>0</v>
      </c>
      <c r="W38" s="583">
        <v>281941</v>
      </c>
      <c r="X38" s="583">
        <v>0</v>
      </c>
      <c r="Y38" s="583">
        <v>602475</v>
      </c>
      <c r="Z38" s="583">
        <v>877358</v>
      </c>
      <c r="AA38" s="583">
        <v>2789248</v>
      </c>
      <c r="AB38" s="583">
        <v>25744</v>
      </c>
      <c r="AC38" s="583">
        <v>-877358</v>
      </c>
      <c r="AD38" s="583">
        <v>0</v>
      </c>
      <c r="AE38" s="583">
        <v>1937634</v>
      </c>
      <c r="AF38" s="583">
        <v>0</v>
      </c>
      <c r="AG38" s="583">
        <v>552479</v>
      </c>
      <c r="AH38" s="583">
        <v>18245</v>
      </c>
      <c r="AI38" s="583">
        <v>49996</v>
      </c>
      <c r="AJ38" s="583">
        <v>0</v>
      </c>
      <c r="AK38" s="583">
        <v>620720</v>
      </c>
      <c r="AL38" s="583">
        <v>49996</v>
      </c>
      <c r="AM38" s="583">
        <v>1098229</v>
      </c>
      <c r="AN38" s="583">
        <v>106618</v>
      </c>
      <c r="AO38" s="583">
        <v>-49996</v>
      </c>
      <c r="AP38" s="583">
        <v>0</v>
      </c>
      <c r="AQ38" s="583">
        <v>1154851</v>
      </c>
      <c r="AR38" s="583">
        <v>0</v>
      </c>
      <c r="AS38" s="583">
        <v>362762</v>
      </c>
      <c r="AT38" s="583">
        <v>0</v>
      </c>
      <c r="AU38" s="583">
        <v>239713</v>
      </c>
      <c r="AV38" s="583">
        <v>0</v>
      </c>
      <c r="AW38" s="583">
        <v>602475</v>
      </c>
      <c r="AX38" s="583">
        <v>239713</v>
      </c>
      <c r="AY38" s="583">
        <v>702259</v>
      </c>
      <c r="AZ38" s="583">
        <v>26137</v>
      </c>
      <c r="BA38" s="583">
        <v>0</v>
      </c>
      <c r="BB38" s="583">
        <v>0</v>
      </c>
      <c r="BC38" s="583">
        <v>728396</v>
      </c>
      <c r="BD38" s="583">
        <v>239713</v>
      </c>
      <c r="BE38" s="583">
        <v>1481736</v>
      </c>
      <c r="BF38" s="583">
        <v>0</v>
      </c>
      <c r="BG38" s="583">
        <v>-239713</v>
      </c>
      <c r="BH38" s="583">
        <v>0</v>
      </c>
      <c r="BI38" s="583">
        <v>1242023</v>
      </c>
      <c r="BJ38" s="583">
        <v>0</v>
      </c>
      <c r="BK38" s="583">
        <v>549936</v>
      </c>
      <c r="BL38" s="583">
        <v>0</v>
      </c>
      <c r="BM38" s="583">
        <v>52539</v>
      </c>
      <c r="BN38" s="583">
        <v>0</v>
      </c>
      <c r="BO38" s="583">
        <v>602475</v>
      </c>
      <c r="BP38" s="583">
        <v>52539</v>
      </c>
      <c r="BQ38" s="583">
        <v>1053829</v>
      </c>
      <c r="BR38" s="583">
        <v>171785</v>
      </c>
      <c r="BS38" s="583">
        <v>-52539</v>
      </c>
      <c r="BT38" s="583">
        <v>0</v>
      </c>
      <c r="BU38" s="583">
        <v>1173075</v>
      </c>
      <c r="BV38" s="583">
        <v>0</v>
      </c>
    </row>
    <row r="39" spans="1:74" x14ac:dyDescent="0.2">
      <c r="A39" s="580">
        <v>4204</v>
      </c>
      <c r="B39" s="580" t="s">
        <v>87</v>
      </c>
      <c r="C39" s="583">
        <v>198843</v>
      </c>
      <c r="D39" s="583">
        <v>0</v>
      </c>
      <c r="E39" s="583">
        <v>98044</v>
      </c>
      <c r="F39" s="583">
        <v>0</v>
      </c>
      <c r="G39" s="583">
        <v>296887</v>
      </c>
      <c r="H39" s="583">
        <v>98044</v>
      </c>
      <c r="I39" s="583">
        <v>105738</v>
      </c>
      <c r="J39" s="583">
        <v>0</v>
      </c>
      <c r="K39" s="583">
        <v>191149</v>
      </c>
      <c r="L39" s="583">
        <v>0</v>
      </c>
      <c r="M39" s="583">
        <v>296887</v>
      </c>
      <c r="N39" s="583">
        <v>289193</v>
      </c>
      <c r="O39" s="583">
        <v>301647</v>
      </c>
      <c r="P39" s="583">
        <v>0</v>
      </c>
      <c r="Q39" s="583">
        <v>0</v>
      </c>
      <c r="R39" s="583">
        <v>0</v>
      </c>
      <c r="S39" s="583">
        <v>301647</v>
      </c>
      <c r="T39" s="583">
        <v>289193</v>
      </c>
      <c r="U39" s="583">
        <v>160170</v>
      </c>
      <c r="V39" s="583">
        <v>0</v>
      </c>
      <c r="W39" s="583">
        <v>136717</v>
      </c>
      <c r="X39" s="583">
        <v>0</v>
      </c>
      <c r="Y39" s="583">
        <v>296887</v>
      </c>
      <c r="Z39" s="583">
        <v>425910</v>
      </c>
      <c r="AA39" s="583">
        <v>1393779</v>
      </c>
      <c r="AB39" s="583">
        <v>12864</v>
      </c>
      <c r="AC39" s="583">
        <v>-425910</v>
      </c>
      <c r="AD39" s="583">
        <v>0</v>
      </c>
      <c r="AE39" s="583">
        <v>980733</v>
      </c>
      <c r="AF39" s="583">
        <v>0</v>
      </c>
      <c r="AG39" s="583">
        <v>276072</v>
      </c>
      <c r="AH39" s="583">
        <v>9117</v>
      </c>
      <c r="AI39" s="583">
        <v>20815</v>
      </c>
      <c r="AJ39" s="583">
        <v>0</v>
      </c>
      <c r="AK39" s="583">
        <v>306004</v>
      </c>
      <c r="AL39" s="583">
        <v>20815</v>
      </c>
      <c r="AM39" s="583">
        <v>548782</v>
      </c>
      <c r="AN39" s="583">
        <v>53277</v>
      </c>
      <c r="AO39" s="583">
        <v>-20815</v>
      </c>
      <c r="AP39" s="583">
        <v>0</v>
      </c>
      <c r="AQ39" s="583">
        <v>581244</v>
      </c>
      <c r="AR39" s="583">
        <v>0</v>
      </c>
      <c r="AS39" s="583">
        <v>181271</v>
      </c>
      <c r="AT39" s="583">
        <v>0</v>
      </c>
      <c r="AU39" s="583">
        <v>115616</v>
      </c>
      <c r="AV39" s="583">
        <v>0</v>
      </c>
      <c r="AW39" s="583">
        <v>296887</v>
      </c>
      <c r="AX39" s="583">
        <v>115616</v>
      </c>
      <c r="AY39" s="583">
        <v>350917</v>
      </c>
      <c r="AZ39" s="583">
        <v>13061</v>
      </c>
      <c r="BA39" s="583">
        <v>0</v>
      </c>
      <c r="BB39" s="583">
        <v>0</v>
      </c>
      <c r="BC39" s="583">
        <v>363978</v>
      </c>
      <c r="BD39" s="583">
        <v>115616</v>
      </c>
      <c r="BE39" s="583">
        <v>740419</v>
      </c>
      <c r="BF39" s="583">
        <v>0</v>
      </c>
      <c r="BG39" s="583">
        <v>-115616</v>
      </c>
      <c r="BH39" s="583">
        <v>0</v>
      </c>
      <c r="BI39" s="583">
        <v>624803</v>
      </c>
      <c r="BJ39" s="583">
        <v>0</v>
      </c>
      <c r="BK39" s="583">
        <v>274801</v>
      </c>
      <c r="BL39" s="583">
        <v>0</v>
      </c>
      <c r="BM39" s="583">
        <v>22086</v>
      </c>
      <c r="BN39" s="583">
        <v>0</v>
      </c>
      <c r="BO39" s="583">
        <v>296887</v>
      </c>
      <c r="BP39" s="583">
        <v>22086</v>
      </c>
      <c r="BQ39" s="583">
        <v>526595</v>
      </c>
      <c r="BR39" s="583">
        <v>85840</v>
      </c>
      <c r="BS39" s="583">
        <v>-22086</v>
      </c>
      <c r="BT39" s="583">
        <v>0</v>
      </c>
      <c r="BU39" s="583">
        <v>590349</v>
      </c>
      <c r="BV39" s="583">
        <v>0</v>
      </c>
    </row>
    <row r="40" spans="1:74" x14ac:dyDescent="0.2">
      <c r="A40" s="580">
        <v>4301</v>
      </c>
      <c r="B40" s="580" t="s">
        <v>83</v>
      </c>
      <c r="C40" s="583">
        <v>624035</v>
      </c>
      <c r="D40" s="583">
        <v>0</v>
      </c>
      <c r="E40" s="583">
        <v>348893</v>
      </c>
      <c r="F40" s="583">
        <v>0</v>
      </c>
      <c r="G40" s="583">
        <v>972928</v>
      </c>
      <c r="H40" s="583">
        <v>348893</v>
      </c>
      <c r="I40" s="583">
        <v>331841</v>
      </c>
      <c r="J40" s="583">
        <v>0</v>
      </c>
      <c r="K40" s="583">
        <v>641087</v>
      </c>
      <c r="L40" s="583">
        <v>0</v>
      </c>
      <c r="M40" s="583">
        <v>972928</v>
      </c>
      <c r="N40" s="583">
        <v>989980</v>
      </c>
      <c r="O40" s="583">
        <v>946667</v>
      </c>
      <c r="P40" s="583">
        <v>0</v>
      </c>
      <c r="Q40" s="583">
        <v>0</v>
      </c>
      <c r="R40" s="583">
        <v>0</v>
      </c>
      <c r="S40" s="583">
        <v>946667</v>
      </c>
      <c r="T40" s="583">
        <v>989980</v>
      </c>
      <c r="U40" s="583">
        <v>502666</v>
      </c>
      <c r="V40" s="583">
        <v>0</v>
      </c>
      <c r="W40" s="583">
        <v>470262</v>
      </c>
      <c r="X40" s="583">
        <v>0</v>
      </c>
      <c r="Y40" s="583">
        <v>972928</v>
      </c>
      <c r="Z40" s="583">
        <v>1460242</v>
      </c>
      <c r="AA40" s="583">
        <v>4374131</v>
      </c>
      <c r="AB40" s="583">
        <v>40372</v>
      </c>
      <c r="AC40" s="583">
        <v>-1460242</v>
      </c>
      <c r="AD40" s="583">
        <v>0</v>
      </c>
      <c r="AE40" s="583">
        <v>2954261</v>
      </c>
      <c r="AF40" s="583">
        <v>0</v>
      </c>
      <c r="AG40" s="583">
        <v>866404</v>
      </c>
      <c r="AH40" s="583">
        <v>28612</v>
      </c>
      <c r="AI40" s="583">
        <v>106524</v>
      </c>
      <c r="AJ40" s="583">
        <v>0</v>
      </c>
      <c r="AK40" s="583">
        <v>1001540</v>
      </c>
      <c r="AL40" s="583">
        <v>106524</v>
      </c>
      <c r="AM40" s="583">
        <v>1722256</v>
      </c>
      <c r="AN40" s="583">
        <v>167200</v>
      </c>
      <c r="AO40" s="583">
        <v>-106524</v>
      </c>
      <c r="AP40" s="583">
        <v>0</v>
      </c>
      <c r="AQ40" s="583">
        <v>1782932</v>
      </c>
      <c r="AR40" s="583">
        <v>0</v>
      </c>
      <c r="AS40" s="583">
        <v>568887</v>
      </c>
      <c r="AT40" s="583">
        <v>0</v>
      </c>
      <c r="AU40" s="583">
        <v>404041</v>
      </c>
      <c r="AV40" s="583">
        <v>0</v>
      </c>
      <c r="AW40" s="583">
        <v>972928</v>
      </c>
      <c r="AX40" s="583">
        <v>404041</v>
      </c>
      <c r="AY40" s="583">
        <v>1101291</v>
      </c>
      <c r="AZ40" s="583">
        <v>40989</v>
      </c>
      <c r="BA40" s="583">
        <v>0</v>
      </c>
      <c r="BB40" s="583">
        <v>0</v>
      </c>
      <c r="BC40" s="583">
        <v>1142280</v>
      </c>
      <c r="BD40" s="583">
        <v>404041</v>
      </c>
      <c r="BE40" s="583">
        <v>2323676</v>
      </c>
      <c r="BF40" s="583">
        <v>0</v>
      </c>
      <c r="BG40" s="583">
        <v>-404041</v>
      </c>
      <c r="BH40" s="583">
        <v>0</v>
      </c>
      <c r="BI40" s="583">
        <v>1919635</v>
      </c>
      <c r="BJ40" s="583">
        <v>0</v>
      </c>
      <c r="BK40" s="583">
        <v>862416</v>
      </c>
      <c r="BL40" s="583">
        <v>0</v>
      </c>
      <c r="BM40" s="583">
        <v>110512</v>
      </c>
      <c r="BN40" s="583">
        <v>0</v>
      </c>
      <c r="BO40" s="583">
        <v>972928</v>
      </c>
      <c r="BP40" s="583">
        <v>110512</v>
      </c>
      <c r="BQ40" s="583">
        <v>1652627</v>
      </c>
      <c r="BR40" s="583">
        <v>269395</v>
      </c>
      <c r="BS40" s="583">
        <v>-110512</v>
      </c>
      <c r="BT40" s="583">
        <v>0</v>
      </c>
      <c r="BU40" s="583">
        <v>1811510</v>
      </c>
      <c r="BV40" s="583">
        <v>0</v>
      </c>
    </row>
    <row r="41" spans="1:74" x14ac:dyDescent="0.2">
      <c r="A41" s="580">
        <v>4302</v>
      </c>
      <c r="B41" s="580" t="s">
        <v>376</v>
      </c>
      <c r="C41" s="583">
        <v>165505</v>
      </c>
      <c r="D41" s="583">
        <v>0</v>
      </c>
      <c r="E41" s="583">
        <v>90666</v>
      </c>
      <c r="F41" s="583">
        <v>0</v>
      </c>
      <c r="G41" s="583">
        <v>256171</v>
      </c>
      <c r="H41" s="583">
        <v>90666</v>
      </c>
      <c r="I41" s="583">
        <v>88010</v>
      </c>
      <c r="J41" s="583">
        <v>0</v>
      </c>
      <c r="K41" s="583">
        <v>168161</v>
      </c>
      <c r="L41" s="583">
        <v>0</v>
      </c>
      <c r="M41" s="583">
        <v>256171</v>
      </c>
      <c r="N41" s="583">
        <v>258827</v>
      </c>
      <c r="O41" s="583">
        <v>251073</v>
      </c>
      <c r="P41" s="583">
        <v>0</v>
      </c>
      <c r="Q41" s="583">
        <v>0</v>
      </c>
      <c r="R41" s="583">
        <v>0</v>
      </c>
      <c r="S41" s="583">
        <v>251073</v>
      </c>
      <c r="T41" s="583">
        <v>258827</v>
      </c>
      <c r="U41" s="583">
        <v>133316</v>
      </c>
      <c r="V41" s="583">
        <v>0</v>
      </c>
      <c r="W41" s="583">
        <v>122855</v>
      </c>
      <c r="X41" s="583">
        <v>0</v>
      </c>
      <c r="Y41" s="583">
        <v>256171</v>
      </c>
      <c r="Z41" s="583">
        <v>381682</v>
      </c>
      <c r="AA41" s="583">
        <v>1160096</v>
      </c>
      <c r="AB41" s="583">
        <v>10707</v>
      </c>
      <c r="AC41" s="583">
        <v>-381682</v>
      </c>
      <c r="AD41" s="583">
        <v>0</v>
      </c>
      <c r="AE41" s="583">
        <v>789121</v>
      </c>
      <c r="AF41" s="583">
        <v>0</v>
      </c>
      <c r="AG41" s="583">
        <v>229785</v>
      </c>
      <c r="AH41" s="583">
        <v>7588</v>
      </c>
      <c r="AI41" s="583">
        <v>26386</v>
      </c>
      <c r="AJ41" s="583">
        <v>0</v>
      </c>
      <c r="AK41" s="583">
        <v>263759</v>
      </c>
      <c r="AL41" s="583">
        <v>26386</v>
      </c>
      <c r="AM41" s="583">
        <v>456772</v>
      </c>
      <c r="AN41" s="583">
        <v>44344</v>
      </c>
      <c r="AO41" s="583">
        <v>-26386</v>
      </c>
      <c r="AP41" s="583">
        <v>0</v>
      </c>
      <c r="AQ41" s="583">
        <v>474730</v>
      </c>
      <c r="AR41" s="583">
        <v>0</v>
      </c>
      <c r="AS41" s="583">
        <v>150879</v>
      </c>
      <c r="AT41" s="583">
        <v>0</v>
      </c>
      <c r="AU41" s="583">
        <v>105292</v>
      </c>
      <c r="AV41" s="583">
        <v>0</v>
      </c>
      <c r="AW41" s="583">
        <v>256171</v>
      </c>
      <c r="AX41" s="583">
        <v>105292</v>
      </c>
      <c r="AY41" s="583">
        <v>292082</v>
      </c>
      <c r="AZ41" s="583">
        <v>10871</v>
      </c>
      <c r="BA41" s="583">
        <v>0</v>
      </c>
      <c r="BB41" s="583">
        <v>0</v>
      </c>
      <c r="BC41" s="583">
        <v>302953</v>
      </c>
      <c r="BD41" s="583">
        <v>105292</v>
      </c>
      <c r="BE41" s="583">
        <v>616280</v>
      </c>
      <c r="BF41" s="583">
        <v>0</v>
      </c>
      <c r="BG41" s="583">
        <v>-105292</v>
      </c>
      <c r="BH41" s="583">
        <v>0</v>
      </c>
      <c r="BI41" s="583">
        <v>510988</v>
      </c>
      <c r="BJ41" s="583">
        <v>0</v>
      </c>
      <c r="BK41" s="583">
        <v>228728</v>
      </c>
      <c r="BL41" s="583">
        <v>0</v>
      </c>
      <c r="BM41" s="583">
        <v>27443</v>
      </c>
      <c r="BN41" s="583">
        <v>0</v>
      </c>
      <c r="BO41" s="583">
        <v>256171</v>
      </c>
      <c r="BP41" s="583">
        <v>27443</v>
      </c>
      <c r="BQ41" s="583">
        <v>438305</v>
      </c>
      <c r="BR41" s="583">
        <v>71448</v>
      </c>
      <c r="BS41" s="583">
        <v>-27443</v>
      </c>
      <c r="BT41" s="583">
        <v>0</v>
      </c>
      <c r="BU41" s="583">
        <v>482310</v>
      </c>
      <c r="BV41" s="583">
        <v>0</v>
      </c>
    </row>
    <row r="42" spans="1:74" x14ac:dyDescent="0.2">
      <c r="A42" s="580">
        <v>4303</v>
      </c>
      <c r="B42" s="580" t="s">
        <v>84</v>
      </c>
      <c r="C42" s="583">
        <v>274395</v>
      </c>
      <c r="D42" s="583">
        <v>0</v>
      </c>
      <c r="E42" s="583">
        <v>157547</v>
      </c>
      <c r="F42" s="583">
        <v>0</v>
      </c>
      <c r="G42" s="583">
        <v>431942</v>
      </c>
      <c r="H42" s="583">
        <v>157547</v>
      </c>
      <c r="I42" s="583">
        <v>145914</v>
      </c>
      <c r="J42" s="583">
        <v>0</v>
      </c>
      <c r="K42" s="583">
        <v>286028</v>
      </c>
      <c r="L42" s="583">
        <v>0</v>
      </c>
      <c r="M42" s="583">
        <v>431942</v>
      </c>
      <c r="N42" s="583">
        <v>443575</v>
      </c>
      <c r="O42" s="583">
        <v>416259</v>
      </c>
      <c r="P42" s="583">
        <v>0</v>
      </c>
      <c r="Q42" s="583">
        <v>0</v>
      </c>
      <c r="R42" s="583">
        <v>0</v>
      </c>
      <c r="S42" s="583">
        <v>416259</v>
      </c>
      <c r="T42" s="583">
        <v>443575</v>
      </c>
      <c r="U42" s="583">
        <v>221027</v>
      </c>
      <c r="V42" s="583">
        <v>0</v>
      </c>
      <c r="W42" s="583">
        <v>210915</v>
      </c>
      <c r="X42" s="583">
        <v>0</v>
      </c>
      <c r="Y42" s="583">
        <v>431942</v>
      </c>
      <c r="Z42" s="583">
        <v>654490</v>
      </c>
      <c r="AA42" s="583">
        <v>1923349</v>
      </c>
      <c r="AB42" s="583">
        <v>17752</v>
      </c>
      <c r="AC42" s="583">
        <v>-654490</v>
      </c>
      <c r="AD42" s="583">
        <v>0</v>
      </c>
      <c r="AE42" s="583">
        <v>1286611</v>
      </c>
      <c r="AF42" s="583">
        <v>0</v>
      </c>
      <c r="AG42" s="583">
        <v>380966</v>
      </c>
      <c r="AH42" s="583">
        <v>12581</v>
      </c>
      <c r="AI42" s="583">
        <v>50976</v>
      </c>
      <c r="AJ42" s="583">
        <v>0</v>
      </c>
      <c r="AK42" s="583">
        <v>444523</v>
      </c>
      <c r="AL42" s="583">
        <v>50976</v>
      </c>
      <c r="AM42" s="583">
        <v>757293</v>
      </c>
      <c r="AN42" s="583">
        <v>73519</v>
      </c>
      <c r="AO42" s="583">
        <v>-50976</v>
      </c>
      <c r="AP42" s="583">
        <v>0</v>
      </c>
      <c r="AQ42" s="583">
        <v>779836</v>
      </c>
      <c r="AR42" s="583">
        <v>0</v>
      </c>
      <c r="AS42" s="583">
        <v>250146</v>
      </c>
      <c r="AT42" s="583">
        <v>0</v>
      </c>
      <c r="AU42" s="583">
        <v>181796</v>
      </c>
      <c r="AV42" s="583">
        <v>0</v>
      </c>
      <c r="AW42" s="583">
        <v>431942</v>
      </c>
      <c r="AX42" s="583">
        <v>181796</v>
      </c>
      <c r="AY42" s="583">
        <v>484249</v>
      </c>
      <c r="AZ42" s="583">
        <v>18023</v>
      </c>
      <c r="BA42" s="583">
        <v>0</v>
      </c>
      <c r="BB42" s="583">
        <v>0</v>
      </c>
      <c r="BC42" s="583">
        <v>502272</v>
      </c>
      <c r="BD42" s="583">
        <v>181796</v>
      </c>
      <c r="BE42" s="583">
        <v>1021744</v>
      </c>
      <c r="BF42" s="583">
        <v>0</v>
      </c>
      <c r="BG42" s="583">
        <v>-181796</v>
      </c>
      <c r="BH42" s="583">
        <v>0</v>
      </c>
      <c r="BI42" s="583">
        <v>839948</v>
      </c>
      <c r="BJ42" s="583">
        <v>0</v>
      </c>
      <c r="BK42" s="583">
        <v>379213</v>
      </c>
      <c r="BL42" s="583">
        <v>0</v>
      </c>
      <c r="BM42" s="583">
        <v>52729</v>
      </c>
      <c r="BN42" s="583">
        <v>0</v>
      </c>
      <c r="BO42" s="583">
        <v>431942</v>
      </c>
      <c r="BP42" s="583">
        <v>52729</v>
      </c>
      <c r="BQ42" s="583">
        <v>726677</v>
      </c>
      <c r="BR42" s="583">
        <v>118456</v>
      </c>
      <c r="BS42" s="583">
        <v>-52729</v>
      </c>
      <c r="BT42" s="583">
        <v>0</v>
      </c>
      <c r="BU42" s="583">
        <v>792404</v>
      </c>
      <c r="BV42" s="583">
        <v>0</v>
      </c>
    </row>
    <row r="43" spans="1:74" x14ac:dyDescent="0.2">
      <c r="A43" s="580">
        <v>4304</v>
      </c>
      <c r="B43" s="580" t="s">
        <v>85</v>
      </c>
      <c r="C43" s="583">
        <v>133821</v>
      </c>
      <c r="D43" s="583">
        <v>0</v>
      </c>
      <c r="E43" s="583">
        <v>70659</v>
      </c>
      <c r="F43" s="583">
        <v>0</v>
      </c>
      <c r="G43" s="583">
        <v>204480</v>
      </c>
      <c r="H43" s="583">
        <v>70659</v>
      </c>
      <c r="I43" s="583">
        <v>71162</v>
      </c>
      <c r="J43" s="583">
        <v>0</v>
      </c>
      <c r="K43" s="583">
        <v>133318</v>
      </c>
      <c r="L43" s="583">
        <v>0</v>
      </c>
      <c r="M43" s="583">
        <v>204480</v>
      </c>
      <c r="N43" s="583">
        <v>203977</v>
      </c>
      <c r="O43" s="583">
        <v>203008</v>
      </c>
      <c r="P43" s="583">
        <v>0</v>
      </c>
      <c r="Q43" s="583">
        <v>0</v>
      </c>
      <c r="R43" s="583">
        <v>0</v>
      </c>
      <c r="S43" s="583">
        <v>203008</v>
      </c>
      <c r="T43" s="583">
        <v>203977</v>
      </c>
      <c r="U43" s="583">
        <v>107794</v>
      </c>
      <c r="V43" s="583">
        <v>0</v>
      </c>
      <c r="W43" s="583">
        <v>96686</v>
      </c>
      <c r="X43" s="583">
        <v>0</v>
      </c>
      <c r="Y43" s="583">
        <v>204480</v>
      </c>
      <c r="Z43" s="583">
        <v>300663</v>
      </c>
      <c r="AA43" s="583">
        <v>938011</v>
      </c>
      <c r="AB43" s="583">
        <v>8658</v>
      </c>
      <c r="AC43" s="583">
        <v>-300663</v>
      </c>
      <c r="AD43" s="583">
        <v>0</v>
      </c>
      <c r="AE43" s="583">
        <v>646006</v>
      </c>
      <c r="AF43" s="583">
        <v>0</v>
      </c>
      <c r="AG43" s="583">
        <v>185796</v>
      </c>
      <c r="AH43" s="583">
        <v>6136</v>
      </c>
      <c r="AI43" s="583">
        <v>18684</v>
      </c>
      <c r="AJ43" s="583">
        <v>0</v>
      </c>
      <c r="AK43" s="583">
        <v>210616</v>
      </c>
      <c r="AL43" s="583">
        <v>18684</v>
      </c>
      <c r="AM43" s="583">
        <v>369329</v>
      </c>
      <c r="AN43" s="583">
        <v>35855</v>
      </c>
      <c r="AO43" s="583">
        <v>-18684</v>
      </c>
      <c r="AP43" s="583">
        <v>0</v>
      </c>
      <c r="AQ43" s="583">
        <v>386500</v>
      </c>
      <c r="AR43" s="583">
        <v>0</v>
      </c>
      <c r="AS43" s="583">
        <v>121995</v>
      </c>
      <c r="AT43" s="583">
        <v>0</v>
      </c>
      <c r="AU43" s="583">
        <v>82485</v>
      </c>
      <c r="AV43" s="583">
        <v>0</v>
      </c>
      <c r="AW43" s="583">
        <v>204480</v>
      </c>
      <c r="AX43" s="583">
        <v>82485</v>
      </c>
      <c r="AY43" s="583">
        <v>236166</v>
      </c>
      <c r="AZ43" s="583">
        <v>8790</v>
      </c>
      <c r="BA43" s="583">
        <v>0</v>
      </c>
      <c r="BB43" s="583">
        <v>0</v>
      </c>
      <c r="BC43" s="583">
        <v>244956</v>
      </c>
      <c r="BD43" s="583">
        <v>82485</v>
      </c>
      <c r="BE43" s="583">
        <v>498301</v>
      </c>
      <c r="BF43" s="583">
        <v>0</v>
      </c>
      <c r="BG43" s="583">
        <v>-82485</v>
      </c>
      <c r="BH43" s="583">
        <v>0</v>
      </c>
      <c r="BI43" s="583">
        <v>415816</v>
      </c>
      <c r="BJ43" s="583">
        <v>0</v>
      </c>
      <c r="BK43" s="583">
        <v>184941</v>
      </c>
      <c r="BL43" s="583">
        <v>0</v>
      </c>
      <c r="BM43" s="583">
        <v>19539</v>
      </c>
      <c r="BN43" s="583">
        <v>0</v>
      </c>
      <c r="BO43" s="583">
        <v>204480</v>
      </c>
      <c r="BP43" s="583">
        <v>19539</v>
      </c>
      <c r="BQ43" s="583">
        <v>354398</v>
      </c>
      <c r="BR43" s="583">
        <v>57770</v>
      </c>
      <c r="BS43" s="583">
        <v>-19539</v>
      </c>
      <c r="BT43" s="583">
        <v>0</v>
      </c>
      <c r="BU43" s="583">
        <v>392629</v>
      </c>
      <c r="BV43" s="583">
        <v>0</v>
      </c>
    </row>
    <row r="44" spans="1:74" x14ac:dyDescent="0.2">
      <c r="A44" s="580">
        <v>4305</v>
      </c>
      <c r="B44" s="580" t="s">
        <v>377</v>
      </c>
      <c r="C44" s="583">
        <v>101436</v>
      </c>
      <c r="D44" s="583">
        <v>0</v>
      </c>
      <c r="E44" s="583">
        <v>49105</v>
      </c>
      <c r="F44" s="583">
        <v>0</v>
      </c>
      <c r="G44" s="583">
        <v>150541</v>
      </c>
      <c r="H44" s="583">
        <v>49105</v>
      </c>
      <c r="I44" s="583">
        <v>53940</v>
      </c>
      <c r="J44" s="583">
        <v>0</v>
      </c>
      <c r="K44" s="583">
        <v>96601</v>
      </c>
      <c r="L44" s="583">
        <v>0</v>
      </c>
      <c r="M44" s="583">
        <v>150541</v>
      </c>
      <c r="N44" s="583">
        <v>145706</v>
      </c>
      <c r="O44" s="583">
        <v>153879</v>
      </c>
      <c r="P44" s="583">
        <v>0</v>
      </c>
      <c r="Q44" s="583">
        <v>0</v>
      </c>
      <c r="R44" s="583">
        <v>0</v>
      </c>
      <c r="S44" s="583">
        <v>153879</v>
      </c>
      <c r="T44" s="583">
        <v>145706</v>
      </c>
      <c r="U44" s="583">
        <v>81708</v>
      </c>
      <c r="V44" s="583">
        <v>0</v>
      </c>
      <c r="W44" s="583">
        <v>68833</v>
      </c>
      <c r="X44" s="583">
        <v>0</v>
      </c>
      <c r="Y44" s="583">
        <v>150541</v>
      </c>
      <c r="Z44" s="583">
        <v>214539</v>
      </c>
      <c r="AA44" s="583">
        <v>711009</v>
      </c>
      <c r="AB44" s="583">
        <v>6562</v>
      </c>
      <c r="AC44" s="583">
        <v>-214539</v>
      </c>
      <c r="AD44" s="583">
        <v>0</v>
      </c>
      <c r="AE44" s="583">
        <v>503032</v>
      </c>
      <c r="AF44" s="583">
        <v>0</v>
      </c>
      <c r="AG44" s="583">
        <v>140833</v>
      </c>
      <c r="AH44" s="583">
        <v>4651</v>
      </c>
      <c r="AI44" s="583">
        <v>9708</v>
      </c>
      <c r="AJ44" s="583">
        <v>0</v>
      </c>
      <c r="AK44" s="583">
        <v>155192</v>
      </c>
      <c r="AL44" s="583">
        <v>9708</v>
      </c>
      <c r="AM44" s="583">
        <v>279950</v>
      </c>
      <c r="AN44" s="583">
        <v>27178</v>
      </c>
      <c r="AO44" s="583">
        <v>-9708</v>
      </c>
      <c r="AP44" s="583">
        <v>0</v>
      </c>
      <c r="AQ44" s="583">
        <v>297420</v>
      </c>
      <c r="AR44" s="583">
        <v>0</v>
      </c>
      <c r="AS44" s="583">
        <v>92472</v>
      </c>
      <c r="AT44" s="583">
        <v>0</v>
      </c>
      <c r="AU44" s="583">
        <v>58069</v>
      </c>
      <c r="AV44" s="583">
        <v>0</v>
      </c>
      <c r="AW44" s="583">
        <v>150541</v>
      </c>
      <c r="AX44" s="583">
        <v>58069</v>
      </c>
      <c r="AY44" s="583">
        <v>179013</v>
      </c>
      <c r="AZ44" s="583">
        <v>6663</v>
      </c>
      <c r="BA44" s="583">
        <v>0</v>
      </c>
      <c r="BB44" s="583">
        <v>0</v>
      </c>
      <c r="BC44" s="583">
        <v>185676</v>
      </c>
      <c r="BD44" s="583">
        <v>58069</v>
      </c>
      <c r="BE44" s="583">
        <v>377710</v>
      </c>
      <c r="BF44" s="583">
        <v>0</v>
      </c>
      <c r="BG44" s="583">
        <v>-58069</v>
      </c>
      <c r="BH44" s="583">
        <v>0</v>
      </c>
      <c r="BI44" s="583">
        <v>319641</v>
      </c>
      <c r="BJ44" s="583">
        <v>0</v>
      </c>
      <c r="BK44" s="583">
        <v>140184</v>
      </c>
      <c r="BL44" s="583">
        <v>0</v>
      </c>
      <c r="BM44" s="583">
        <v>10357</v>
      </c>
      <c r="BN44" s="583">
        <v>0</v>
      </c>
      <c r="BO44" s="583">
        <v>150541</v>
      </c>
      <c r="BP44" s="583">
        <v>10357</v>
      </c>
      <c r="BQ44" s="583">
        <v>268632</v>
      </c>
      <c r="BR44" s="583">
        <v>43790</v>
      </c>
      <c r="BS44" s="583">
        <v>-10357</v>
      </c>
      <c r="BT44" s="583">
        <v>0</v>
      </c>
      <c r="BU44" s="583">
        <v>302065</v>
      </c>
      <c r="BV44" s="583">
        <v>0</v>
      </c>
    </row>
    <row r="45" spans="1:74" x14ac:dyDescent="0.2">
      <c r="A45" s="580">
        <v>5101</v>
      </c>
      <c r="B45" s="580" t="s">
        <v>378</v>
      </c>
      <c r="C45" s="583">
        <v>1261034</v>
      </c>
      <c r="D45" s="583">
        <v>0</v>
      </c>
      <c r="E45" s="583">
        <v>714616</v>
      </c>
      <c r="F45" s="583">
        <v>0</v>
      </c>
      <c r="G45" s="583">
        <v>1975650</v>
      </c>
      <c r="H45" s="583">
        <v>714616</v>
      </c>
      <c r="I45" s="583">
        <v>670576</v>
      </c>
      <c r="J45" s="583">
        <v>0</v>
      </c>
      <c r="K45" s="583">
        <v>1305074</v>
      </c>
      <c r="L45" s="583">
        <v>0</v>
      </c>
      <c r="M45" s="583">
        <v>1975650</v>
      </c>
      <c r="N45" s="583">
        <v>2019690</v>
      </c>
      <c r="O45" s="583">
        <v>1913001</v>
      </c>
      <c r="P45" s="583">
        <v>0</v>
      </c>
      <c r="Q45" s="583">
        <v>0</v>
      </c>
      <c r="R45" s="583">
        <v>0</v>
      </c>
      <c r="S45" s="583">
        <v>1913001</v>
      </c>
      <c r="T45" s="583">
        <v>2019690</v>
      </c>
      <c r="U45" s="583">
        <v>1015774</v>
      </c>
      <c r="V45" s="583">
        <v>0</v>
      </c>
      <c r="W45" s="583">
        <v>959876</v>
      </c>
      <c r="X45" s="583">
        <v>0</v>
      </c>
      <c r="Y45" s="583">
        <v>1975650</v>
      </c>
      <c r="Z45" s="583">
        <v>2979566</v>
      </c>
      <c r="AA45" s="583">
        <v>8839132</v>
      </c>
      <c r="AB45" s="583">
        <v>81583</v>
      </c>
      <c r="AC45" s="583">
        <v>-2979566</v>
      </c>
      <c r="AD45" s="583">
        <v>0</v>
      </c>
      <c r="AE45" s="583">
        <v>5941149</v>
      </c>
      <c r="AF45" s="583">
        <v>0</v>
      </c>
      <c r="AG45" s="583">
        <v>1750806</v>
      </c>
      <c r="AH45" s="583">
        <v>57818</v>
      </c>
      <c r="AI45" s="583">
        <v>224844</v>
      </c>
      <c r="AJ45" s="583">
        <v>0</v>
      </c>
      <c r="AK45" s="583">
        <v>2033468</v>
      </c>
      <c r="AL45" s="583">
        <v>224844</v>
      </c>
      <c r="AM45" s="583">
        <v>3480291</v>
      </c>
      <c r="AN45" s="583">
        <v>337873</v>
      </c>
      <c r="AO45" s="583">
        <v>-224844</v>
      </c>
      <c r="AP45" s="583">
        <v>0</v>
      </c>
      <c r="AQ45" s="583">
        <v>3593320</v>
      </c>
      <c r="AR45" s="583">
        <v>0</v>
      </c>
      <c r="AS45" s="583">
        <v>1149593</v>
      </c>
      <c r="AT45" s="583">
        <v>0</v>
      </c>
      <c r="AU45" s="583">
        <v>826057</v>
      </c>
      <c r="AV45" s="583">
        <v>0</v>
      </c>
      <c r="AW45" s="583">
        <v>1975650</v>
      </c>
      <c r="AX45" s="583">
        <v>826057</v>
      </c>
      <c r="AY45" s="583">
        <v>2225460</v>
      </c>
      <c r="AZ45" s="583">
        <v>82830</v>
      </c>
      <c r="BA45" s="583">
        <v>0</v>
      </c>
      <c r="BB45" s="583">
        <v>0</v>
      </c>
      <c r="BC45" s="583">
        <v>2308290</v>
      </c>
      <c r="BD45" s="583">
        <v>826057</v>
      </c>
      <c r="BE45" s="583">
        <v>4695625</v>
      </c>
      <c r="BF45" s="583">
        <v>0</v>
      </c>
      <c r="BG45" s="583">
        <v>-826057</v>
      </c>
      <c r="BH45" s="583">
        <v>0</v>
      </c>
      <c r="BI45" s="583">
        <v>3869568</v>
      </c>
      <c r="BJ45" s="583">
        <v>0</v>
      </c>
      <c r="BK45" s="583">
        <v>1742747</v>
      </c>
      <c r="BL45" s="583">
        <v>0</v>
      </c>
      <c r="BM45" s="583">
        <v>232903</v>
      </c>
      <c r="BN45" s="583">
        <v>0</v>
      </c>
      <c r="BO45" s="583">
        <v>1975650</v>
      </c>
      <c r="BP45" s="583">
        <v>232903</v>
      </c>
      <c r="BQ45" s="583">
        <v>3339586</v>
      </c>
      <c r="BR45" s="583">
        <v>544387</v>
      </c>
      <c r="BS45" s="583">
        <v>-232903</v>
      </c>
      <c r="BT45" s="583">
        <v>0</v>
      </c>
      <c r="BU45" s="583">
        <v>3651070</v>
      </c>
      <c r="BV45" s="583">
        <v>0</v>
      </c>
    </row>
    <row r="46" spans="1:74" x14ac:dyDescent="0.2">
      <c r="A46" s="580">
        <v>5102</v>
      </c>
      <c r="B46" s="580" t="s">
        <v>97</v>
      </c>
      <c r="C46" s="583">
        <v>95127</v>
      </c>
      <c r="D46" s="583">
        <v>0</v>
      </c>
      <c r="E46" s="583">
        <v>53714</v>
      </c>
      <c r="F46" s="583">
        <v>0</v>
      </c>
      <c r="G46" s="583">
        <v>148841</v>
      </c>
      <c r="H46" s="583">
        <v>53714</v>
      </c>
      <c r="I46" s="583">
        <v>50585</v>
      </c>
      <c r="J46" s="583">
        <v>0</v>
      </c>
      <c r="K46" s="583">
        <v>98256</v>
      </c>
      <c r="L46" s="583">
        <v>0</v>
      </c>
      <c r="M46" s="583">
        <v>148841</v>
      </c>
      <c r="N46" s="583">
        <v>151970</v>
      </c>
      <c r="O46" s="583">
        <v>144309</v>
      </c>
      <c r="P46" s="583">
        <v>0</v>
      </c>
      <c r="Q46" s="583">
        <v>0</v>
      </c>
      <c r="R46" s="583">
        <v>0</v>
      </c>
      <c r="S46" s="583">
        <v>144309</v>
      </c>
      <c r="T46" s="583">
        <v>151970</v>
      </c>
      <c r="U46" s="583">
        <v>76626</v>
      </c>
      <c r="V46" s="583">
        <v>0</v>
      </c>
      <c r="W46" s="583">
        <v>72215</v>
      </c>
      <c r="X46" s="583">
        <v>0</v>
      </c>
      <c r="Y46" s="583">
        <v>148841</v>
      </c>
      <c r="Z46" s="583">
        <v>224185</v>
      </c>
      <c r="AA46" s="583">
        <v>666787</v>
      </c>
      <c r="AB46" s="583">
        <v>6154</v>
      </c>
      <c r="AC46" s="583">
        <v>-224185</v>
      </c>
      <c r="AD46" s="583">
        <v>0</v>
      </c>
      <c r="AE46" s="583">
        <v>448756</v>
      </c>
      <c r="AF46" s="583">
        <v>0</v>
      </c>
      <c r="AG46" s="583">
        <v>132073</v>
      </c>
      <c r="AH46" s="583">
        <v>4362</v>
      </c>
      <c r="AI46" s="583">
        <v>16768</v>
      </c>
      <c r="AJ46" s="583">
        <v>0</v>
      </c>
      <c r="AK46" s="583">
        <v>153203</v>
      </c>
      <c r="AL46" s="583">
        <v>16768</v>
      </c>
      <c r="AM46" s="583">
        <v>262538</v>
      </c>
      <c r="AN46" s="583">
        <v>25488</v>
      </c>
      <c r="AO46" s="583">
        <v>-16768</v>
      </c>
      <c r="AP46" s="583">
        <v>0</v>
      </c>
      <c r="AQ46" s="583">
        <v>271258</v>
      </c>
      <c r="AR46" s="583">
        <v>0</v>
      </c>
      <c r="AS46" s="583">
        <v>86720</v>
      </c>
      <c r="AT46" s="583">
        <v>0</v>
      </c>
      <c r="AU46" s="583">
        <v>62121</v>
      </c>
      <c r="AV46" s="583">
        <v>0</v>
      </c>
      <c r="AW46" s="583">
        <v>148841</v>
      </c>
      <c r="AX46" s="583">
        <v>62121</v>
      </c>
      <c r="AY46" s="583">
        <v>167879</v>
      </c>
      <c r="AZ46" s="583">
        <v>6248</v>
      </c>
      <c r="BA46" s="583">
        <v>0</v>
      </c>
      <c r="BB46" s="583">
        <v>0</v>
      </c>
      <c r="BC46" s="583">
        <v>174127</v>
      </c>
      <c r="BD46" s="583">
        <v>62121</v>
      </c>
      <c r="BE46" s="583">
        <v>354218</v>
      </c>
      <c r="BF46" s="583">
        <v>0</v>
      </c>
      <c r="BG46" s="583">
        <v>-62121</v>
      </c>
      <c r="BH46" s="583">
        <v>0</v>
      </c>
      <c r="BI46" s="583">
        <v>292097</v>
      </c>
      <c r="BJ46" s="583">
        <v>0</v>
      </c>
      <c r="BK46" s="583">
        <v>131465</v>
      </c>
      <c r="BL46" s="583">
        <v>0</v>
      </c>
      <c r="BM46" s="583">
        <v>17376</v>
      </c>
      <c r="BN46" s="583">
        <v>0</v>
      </c>
      <c r="BO46" s="583">
        <v>148841</v>
      </c>
      <c r="BP46" s="583">
        <v>17376</v>
      </c>
      <c r="BQ46" s="583">
        <v>251924</v>
      </c>
      <c r="BR46" s="583">
        <v>41066</v>
      </c>
      <c r="BS46" s="583">
        <v>-17376</v>
      </c>
      <c r="BT46" s="583">
        <v>0</v>
      </c>
      <c r="BU46" s="583">
        <v>275614</v>
      </c>
      <c r="BV46" s="583">
        <v>0</v>
      </c>
    </row>
    <row r="47" spans="1:74" x14ac:dyDescent="0.2">
      <c r="A47" s="580">
        <v>5103</v>
      </c>
      <c r="B47" s="580" t="s">
        <v>379</v>
      </c>
      <c r="C47" s="583">
        <v>75760</v>
      </c>
      <c r="D47" s="583">
        <v>0</v>
      </c>
      <c r="E47" s="583">
        <v>49356</v>
      </c>
      <c r="F47" s="583">
        <v>0</v>
      </c>
      <c r="G47" s="583">
        <v>125116</v>
      </c>
      <c r="H47" s="583">
        <v>49356</v>
      </c>
      <c r="I47" s="583">
        <v>40287</v>
      </c>
      <c r="J47" s="583">
        <v>0</v>
      </c>
      <c r="K47" s="583">
        <v>84829</v>
      </c>
      <c r="L47" s="583">
        <v>0</v>
      </c>
      <c r="M47" s="583">
        <v>125116</v>
      </c>
      <c r="N47" s="583">
        <v>134185</v>
      </c>
      <c r="O47" s="583">
        <v>114928</v>
      </c>
      <c r="P47" s="583">
        <v>0</v>
      </c>
      <c r="Q47" s="583">
        <v>0</v>
      </c>
      <c r="R47" s="583">
        <v>0</v>
      </c>
      <c r="S47" s="583">
        <v>114928</v>
      </c>
      <c r="T47" s="583">
        <v>134185</v>
      </c>
      <c r="U47" s="583">
        <v>61025</v>
      </c>
      <c r="V47" s="583">
        <v>0</v>
      </c>
      <c r="W47" s="583">
        <v>64091</v>
      </c>
      <c r="X47" s="583">
        <v>0</v>
      </c>
      <c r="Y47" s="583">
        <v>125116</v>
      </c>
      <c r="Z47" s="583">
        <v>198276</v>
      </c>
      <c r="AA47" s="583">
        <v>531033</v>
      </c>
      <c r="AB47" s="583">
        <v>4901</v>
      </c>
      <c r="AC47" s="583">
        <v>-198276</v>
      </c>
      <c r="AD47" s="583">
        <v>0</v>
      </c>
      <c r="AE47" s="583">
        <v>337658</v>
      </c>
      <c r="AF47" s="583">
        <v>0</v>
      </c>
      <c r="AG47" s="583">
        <v>105184</v>
      </c>
      <c r="AH47" s="583">
        <v>3474</v>
      </c>
      <c r="AI47" s="583">
        <v>19932</v>
      </c>
      <c r="AJ47" s="583">
        <v>0</v>
      </c>
      <c r="AK47" s="583">
        <v>128590</v>
      </c>
      <c r="AL47" s="583">
        <v>19932</v>
      </c>
      <c r="AM47" s="583">
        <v>209087</v>
      </c>
      <c r="AN47" s="583">
        <v>20299</v>
      </c>
      <c r="AO47" s="583">
        <v>-19038</v>
      </c>
      <c r="AP47" s="583">
        <v>0</v>
      </c>
      <c r="AQ47" s="583">
        <v>210348</v>
      </c>
      <c r="AR47" s="583">
        <v>894</v>
      </c>
      <c r="AS47" s="583">
        <v>69065</v>
      </c>
      <c r="AT47" s="583">
        <v>0</v>
      </c>
      <c r="AU47" s="583">
        <v>56051</v>
      </c>
      <c r="AV47" s="583">
        <v>0</v>
      </c>
      <c r="AW47" s="583">
        <v>125116</v>
      </c>
      <c r="AX47" s="583">
        <v>56945</v>
      </c>
      <c r="AY47" s="583">
        <v>133700</v>
      </c>
      <c r="AZ47" s="583">
        <v>4976</v>
      </c>
      <c r="BA47" s="583">
        <v>0</v>
      </c>
      <c r="BB47" s="583">
        <v>0</v>
      </c>
      <c r="BC47" s="583">
        <v>138676</v>
      </c>
      <c r="BD47" s="583">
        <v>56945</v>
      </c>
      <c r="BE47" s="583">
        <v>282102</v>
      </c>
      <c r="BF47" s="583">
        <v>0</v>
      </c>
      <c r="BG47" s="583">
        <v>-56945</v>
      </c>
      <c r="BH47" s="583">
        <v>0</v>
      </c>
      <c r="BI47" s="583">
        <v>225157</v>
      </c>
      <c r="BJ47" s="583">
        <v>0</v>
      </c>
      <c r="BK47" s="583">
        <v>104700</v>
      </c>
      <c r="BL47" s="583">
        <v>0</v>
      </c>
      <c r="BM47" s="583">
        <v>20416</v>
      </c>
      <c r="BN47" s="583">
        <v>0</v>
      </c>
      <c r="BO47" s="583">
        <v>125116</v>
      </c>
      <c r="BP47" s="583">
        <v>20416</v>
      </c>
      <c r="BQ47" s="583">
        <v>200634</v>
      </c>
      <c r="BR47" s="583">
        <v>32705</v>
      </c>
      <c r="BS47" s="583">
        <v>-20416</v>
      </c>
      <c r="BT47" s="583">
        <v>0</v>
      </c>
      <c r="BU47" s="583">
        <v>212923</v>
      </c>
      <c r="BV47" s="583">
        <v>0</v>
      </c>
    </row>
    <row r="48" spans="1:74" x14ac:dyDescent="0.2">
      <c r="A48" s="580">
        <v>5104</v>
      </c>
      <c r="B48" s="580" t="s">
        <v>380</v>
      </c>
      <c r="C48" s="583">
        <v>62839</v>
      </c>
      <c r="D48" s="583">
        <v>0</v>
      </c>
      <c r="E48" s="583">
        <v>39712</v>
      </c>
      <c r="F48" s="583">
        <v>0</v>
      </c>
      <c r="G48" s="583">
        <v>102551</v>
      </c>
      <c r="H48" s="583">
        <v>39712</v>
      </c>
      <c r="I48" s="583">
        <v>33415</v>
      </c>
      <c r="J48" s="583">
        <v>0</v>
      </c>
      <c r="K48" s="583">
        <v>69136</v>
      </c>
      <c r="L48" s="583">
        <v>0</v>
      </c>
      <c r="M48" s="583">
        <v>102551</v>
      </c>
      <c r="N48" s="583">
        <v>108848</v>
      </c>
      <c r="O48" s="583">
        <v>95327</v>
      </c>
      <c r="P48" s="583">
        <v>0</v>
      </c>
      <c r="Q48" s="583">
        <v>0</v>
      </c>
      <c r="R48" s="583">
        <v>0</v>
      </c>
      <c r="S48" s="583">
        <v>95327</v>
      </c>
      <c r="T48" s="583">
        <v>108848</v>
      </c>
      <c r="U48" s="583">
        <v>50617</v>
      </c>
      <c r="V48" s="583">
        <v>0</v>
      </c>
      <c r="W48" s="583">
        <v>51934</v>
      </c>
      <c r="X48" s="583">
        <v>0</v>
      </c>
      <c r="Y48" s="583">
        <v>102551</v>
      </c>
      <c r="Z48" s="583">
        <v>160782</v>
      </c>
      <c r="AA48" s="583">
        <v>440462</v>
      </c>
      <c r="AB48" s="583">
        <v>4065</v>
      </c>
      <c r="AC48" s="583">
        <v>-160782</v>
      </c>
      <c r="AD48" s="583">
        <v>0</v>
      </c>
      <c r="AE48" s="583">
        <v>283745</v>
      </c>
      <c r="AF48" s="583">
        <v>0</v>
      </c>
      <c r="AG48" s="583">
        <v>87244</v>
      </c>
      <c r="AH48" s="583">
        <v>2881</v>
      </c>
      <c r="AI48" s="583">
        <v>15307</v>
      </c>
      <c r="AJ48" s="583">
        <v>0</v>
      </c>
      <c r="AK48" s="583">
        <v>105432</v>
      </c>
      <c r="AL48" s="583">
        <v>15307</v>
      </c>
      <c r="AM48" s="583">
        <v>173426</v>
      </c>
      <c r="AN48" s="583">
        <v>16837</v>
      </c>
      <c r="AO48" s="583">
        <v>-15307</v>
      </c>
      <c r="AP48" s="583">
        <v>0</v>
      </c>
      <c r="AQ48" s="583">
        <v>174956</v>
      </c>
      <c r="AR48" s="583">
        <v>0</v>
      </c>
      <c r="AS48" s="583">
        <v>57285</v>
      </c>
      <c r="AT48" s="583">
        <v>0</v>
      </c>
      <c r="AU48" s="583">
        <v>45266</v>
      </c>
      <c r="AV48" s="583">
        <v>0</v>
      </c>
      <c r="AW48" s="583">
        <v>102551</v>
      </c>
      <c r="AX48" s="583">
        <v>45266</v>
      </c>
      <c r="AY48" s="583">
        <v>110897</v>
      </c>
      <c r="AZ48" s="583">
        <v>4127</v>
      </c>
      <c r="BA48" s="583">
        <v>0</v>
      </c>
      <c r="BB48" s="583">
        <v>0</v>
      </c>
      <c r="BC48" s="583">
        <v>115024</v>
      </c>
      <c r="BD48" s="583">
        <v>45266</v>
      </c>
      <c r="BE48" s="583">
        <v>233987</v>
      </c>
      <c r="BF48" s="583">
        <v>0</v>
      </c>
      <c r="BG48" s="583">
        <v>-45266</v>
      </c>
      <c r="BH48" s="583">
        <v>0</v>
      </c>
      <c r="BI48" s="583">
        <v>188721</v>
      </c>
      <c r="BJ48" s="583">
        <v>0</v>
      </c>
      <c r="BK48" s="583">
        <v>86843</v>
      </c>
      <c r="BL48" s="583">
        <v>0</v>
      </c>
      <c r="BM48" s="583">
        <v>15708</v>
      </c>
      <c r="BN48" s="583">
        <v>0</v>
      </c>
      <c r="BO48" s="583">
        <v>102551</v>
      </c>
      <c r="BP48" s="583">
        <v>15708</v>
      </c>
      <c r="BQ48" s="583">
        <v>166415</v>
      </c>
      <c r="BR48" s="583">
        <v>27127</v>
      </c>
      <c r="BS48" s="583">
        <v>-15708</v>
      </c>
      <c r="BT48" s="583">
        <v>0</v>
      </c>
      <c r="BU48" s="583">
        <v>177834</v>
      </c>
      <c r="BV48" s="583">
        <v>0</v>
      </c>
    </row>
    <row r="49" spans="1:74" x14ac:dyDescent="0.2">
      <c r="A49" s="580">
        <v>5105</v>
      </c>
      <c r="B49" s="580" t="s">
        <v>381</v>
      </c>
      <c r="C49" s="583">
        <v>87157</v>
      </c>
      <c r="D49" s="583">
        <v>0</v>
      </c>
      <c r="E49" s="583">
        <v>55750</v>
      </c>
      <c r="F49" s="583">
        <v>0</v>
      </c>
      <c r="G49" s="583">
        <v>142907</v>
      </c>
      <c r="H49" s="583">
        <v>55750</v>
      </c>
      <c r="I49" s="583">
        <v>46347</v>
      </c>
      <c r="J49" s="583">
        <v>0</v>
      </c>
      <c r="K49" s="583">
        <v>96560</v>
      </c>
      <c r="L49" s="583">
        <v>0</v>
      </c>
      <c r="M49" s="583">
        <v>142907</v>
      </c>
      <c r="N49" s="583">
        <v>152310</v>
      </c>
      <c r="O49" s="583">
        <v>132218</v>
      </c>
      <c r="P49" s="583">
        <v>0</v>
      </c>
      <c r="Q49" s="583">
        <v>0</v>
      </c>
      <c r="R49" s="583">
        <v>0</v>
      </c>
      <c r="S49" s="583">
        <v>132218</v>
      </c>
      <c r="T49" s="583">
        <v>152310</v>
      </c>
      <c r="U49" s="583">
        <v>70206</v>
      </c>
      <c r="V49" s="583">
        <v>0</v>
      </c>
      <c r="W49" s="583">
        <v>72701</v>
      </c>
      <c r="X49" s="583">
        <v>0</v>
      </c>
      <c r="Y49" s="583">
        <v>142907</v>
      </c>
      <c r="Z49" s="583">
        <v>225011</v>
      </c>
      <c r="AA49" s="583">
        <v>610921</v>
      </c>
      <c r="AB49" s="583">
        <v>5639</v>
      </c>
      <c r="AC49" s="583">
        <v>-225011</v>
      </c>
      <c r="AD49" s="583">
        <v>0</v>
      </c>
      <c r="AE49" s="583">
        <v>391549</v>
      </c>
      <c r="AF49" s="583">
        <v>0</v>
      </c>
      <c r="AG49" s="583">
        <v>121008</v>
      </c>
      <c r="AH49" s="583">
        <v>3996</v>
      </c>
      <c r="AI49" s="583">
        <v>21899</v>
      </c>
      <c r="AJ49" s="583">
        <v>0</v>
      </c>
      <c r="AK49" s="583">
        <v>146903</v>
      </c>
      <c r="AL49" s="583">
        <v>21899</v>
      </c>
      <c r="AM49" s="583">
        <v>240542</v>
      </c>
      <c r="AN49" s="583">
        <v>23352</v>
      </c>
      <c r="AO49" s="583">
        <v>-21899</v>
      </c>
      <c r="AP49" s="583">
        <v>0</v>
      </c>
      <c r="AQ49" s="583">
        <v>241995</v>
      </c>
      <c r="AR49" s="583">
        <v>0</v>
      </c>
      <c r="AS49" s="583">
        <v>79455</v>
      </c>
      <c r="AT49" s="583">
        <v>0</v>
      </c>
      <c r="AU49" s="583">
        <v>63452</v>
      </c>
      <c r="AV49" s="583">
        <v>0</v>
      </c>
      <c r="AW49" s="583">
        <v>142907</v>
      </c>
      <c r="AX49" s="583">
        <v>63452</v>
      </c>
      <c r="AY49" s="583">
        <v>153814</v>
      </c>
      <c r="AZ49" s="583">
        <v>5725</v>
      </c>
      <c r="BA49" s="583">
        <v>0</v>
      </c>
      <c r="BB49" s="583">
        <v>0</v>
      </c>
      <c r="BC49" s="583">
        <v>159539</v>
      </c>
      <c r="BD49" s="583">
        <v>63452</v>
      </c>
      <c r="BE49" s="583">
        <v>324540</v>
      </c>
      <c r="BF49" s="583">
        <v>0</v>
      </c>
      <c r="BG49" s="583">
        <v>-63452</v>
      </c>
      <c r="BH49" s="583">
        <v>0</v>
      </c>
      <c r="BI49" s="583">
        <v>261088</v>
      </c>
      <c r="BJ49" s="583">
        <v>0</v>
      </c>
      <c r="BK49" s="583">
        <v>120451</v>
      </c>
      <c r="BL49" s="583">
        <v>0</v>
      </c>
      <c r="BM49" s="583">
        <v>22456</v>
      </c>
      <c r="BN49" s="583">
        <v>0</v>
      </c>
      <c r="BO49" s="583">
        <v>142907</v>
      </c>
      <c r="BP49" s="583">
        <v>22456</v>
      </c>
      <c r="BQ49" s="583">
        <v>230817</v>
      </c>
      <c r="BR49" s="583">
        <v>37626</v>
      </c>
      <c r="BS49" s="583">
        <v>-22456</v>
      </c>
      <c r="BT49" s="583">
        <v>0</v>
      </c>
      <c r="BU49" s="583">
        <v>245987</v>
      </c>
      <c r="BV49" s="583">
        <v>0</v>
      </c>
    </row>
    <row r="50" spans="1:74" x14ac:dyDescent="0.2">
      <c r="A50" s="580">
        <v>5107</v>
      </c>
      <c r="B50" s="580" t="s">
        <v>98</v>
      </c>
      <c r="C50" s="583">
        <v>523822</v>
      </c>
      <c r="D50" s="583">
        <v>0</v>
      </c>
      <c r="E50" s="583">
        <v>350976</v>
      </c>
      <c r="F50" s="583">
        <v>0</v>
      </c>
      <c r="G50" s="583">
        <v>874798</v>
      </c>
      <c r="H50" s="583">
        <v>350976</v>
      </c>
      <c r="I50" s="583">
        <v>278551</v>
      </c>
      <c r="J50" s="583">
        <v>0</v>
      </c>
      <c r="K50" s="583">
        <v>596247</v>
      </c>
      <c r="L50" s="583">
        <v>0</v>
      </c>
      <c r="M50" s="583">
        <v>874798</v>
      </c>
      <c r="N50" s="583">
        <v>947223</v>
      </c>
      <c r="O50" s="583">
        <v>794642</v>
      </c>
      <c r="P50" s="583">
        <v>0</v>
      </c>
      <c r="Q50" s="583">
        <v>0</v>
      </c>
      <c r="R50" s="583">
        <v>0</v>
      </c>
      <c r="S50" s="583">
        <v>794642</v>
      </c>
      <c r="T50" s="583">
        <v>947223</v>
      </c>
      <c r="U50" s="583">
        <v>421943</v>
      </c>
      <c r="V50" s="583">
        <v>0</v>
      </c>
      <c r="W50" s="583">
        <v>452855</v>
      </c>
      <c r="X50" s="583">
        <v>0</v>
      </c>
      <c r="Y50" s="583">
        <v>874798</v>
      </c>
      <c r="Z50" s="583">
        <v>1400078</v>
      </c>
      <c r="AA50" s="583">
        <v>3671691</v>
      </c>
      <c r="AB50" s="583">
        <v>33889</v>
      </c>
      <c r="AC50" s="583">
        <v>-1400078</v>
      </c>
      <c r="AD50" s="583">
        <v>0</v>
      </c>
      <c r="AE50" s="583">
        <v>2305502</v>
      </c>
      <c r="AF50" s="583">
        <v>0</v>
      </c>
      <c r="AG50" s="583">
        <v>727268</v>
      </c>
      <c r="AH50" s="583">
        <v>24017</v>
      </c>
      <c r="AI50" s="583">
        <v>147530</v>
      </c>
      <c r="AJ50" s="583">
        <v>0</v>
      </c>
      <c r="AK50" s="583">
        <v>898815</v>
      </c>
      <c r="AL50" s="583">
        <v>147530</v>
      </c>
      <c r="AM50" s="583">
        <v>1445680</v>
      </c>
      <c r="AN50" s="583">
        <v>140349</v>
      </c>
      <c r="AO50" s="583">
        <v>-116873</v>
      </c>
      <c r="AP50" s="583">
        <v>0</v>
      </c>
      <c r="AQ50" s="583">
        <v>1469156</v>
      </c>
      <c r="AR50" s="583">
        <v>30657</v>
      </c>
      <c r="AS50" s="583">
        <v>477530</v>
      </c>
      <c r="AT50" s="583">
        <v>0</v>
      </c>
      <c r="AU50" s="583">
        <v>397268</v>
      </c>
      <c r="AV50" s="583">
        <v>0</v>
      </c>
      <c r="AW50" s="583">
        <v>874798</v>
      </c>
      <c r="AX50" s="583">
        <v>427925</v>
      </c>
      <c r="AY50" s="583">
        <v>924435</v>
      </c>
      <c r="AZ50" s="583">
        <v>34407</v>
      </c>
      <c r="BA50" s="583">
        <v>0</v>
      </c>
      <c r="BB50" s="583">
        <v>0</v>
      </c>
      <c r="BC50" s="583">
        <v>958842</v>
      </c>
      <c r="BD50" s="583">
        <v>427925</v>
      </c>
      <c r="BE50" s="583">
        <v>1950518</v>
      </c>
      <c r="BF50" s="583">
        <v>0</v>
      </c>
      <c r="BG50" s="583">
        <v>-427925</v>
      </c>
      <c r="BH50" s="583">
        <v>0</v>
      </c>
      <c r="BI50" s="583">
        <v>1522593</v>
      </c>
      <c r="BJ50" s="583">
        <v>0</v>
      </c>
      <c r="BK50" s="583">
        <v>723921</v>
      </c>
      <c r="BL50" s="583">
        <v>0</v>
      </c>
      <c r="BM50" s="583">
        <v>150877</v>
      </c>
      <c r="BN50" s="583">
        <v>0</v>
      </c>
      <c r="BO50" s="583">
        <v>874798</v>
      </c>
      <c r="BP50" s="583">
        <v>150877</v>
      </c>
      <c r="BQ50" s="583">
        <v>1387232</v>
      </c>
      <c r="BR50" s="583">
        <v>226133</v>
      </c>
      <c r="BS50" s="583">
        <v>-150877</v>
      </c>
      <c r="BT50" s="583">
        <v>0</v>
      </c>
      <c r="BU50" s="583">
        <v>1462488</v>
      </c>
      <c r="BV50" s="583">
        <v>0</v>
      </c>
    </row>
    <row r="51" spans="1:74" x14ac:dyDescent="0.2">
      <c r="A51" s="580">
        <v>5109</v>
      </c>
      <c r="B51" s="580" t="s">
        <v>95</v>
      </c>
      <c r="C51" s="583">
        <v>411692</v>
      </c>
      <c r="D51" s="583">
        <v>0</v>
      </c>
      <c r="E51" s="583">
        <v>241150</v>
      </c>
      <c r="F51" s="583">
        <v>0</v>
      </c>
      <c r="G51" s="583">
        <v>652842</v>
      </c>
      <c r="H51" s="583">
        <v>241150</v>
      </c>
      <c r="I51" s="583">
        <v>218924</v>
      </c>
      <c r="J51" s="583">
        <v>0</v>
      </c>
      <c r="K51" s="583">
        <v>433918</v>
      </c>
      <c r="L51" s="583">
        <v>0</v>
      </c>
      <c r="M51" s="583">
        <v>652842</v>
      </c>
      <c r="N51" s="583">
        <v>675068</v>
      </c>
      <c r="O51" s="583">
        <v>624540</v>
      </c>
      <c r="P51" s="583">
        <v>0</v>
      </c>
      <c r="Q51" s="583">
        <v>0</v>
      </c>
      <c r="R51" s="583">
        <v>0</v>
      </c>
      <c r="S51" s="583">
        <v>624540</v>
      </c>
      <c r="T51" s="583">
        <v>675068</v>
      </c>
      <c r="U51" s="583">
        <v>331621</v>
      </c>
      <c r="V51" s="583">
        <v>0</v>
      </c>
      <c r="W51" s="583">
        <v>321221</v>
      </c>
      <c r="X51" s="583">
        <v>0</v>
      </c>
      <c r="Y51" s="583">
        <v>652842</v>
      </c>
      <c r="Z51" s="583">
        <v>996289</v>
      </c>
      <c r="AA51" s="583">
        <v>2885723</v>
      </c>
      <c r="AB51" s="583">
        <v>26634</v>
      </c>
      <c r="AC51" s="583">
        <v>-996289</v>
      </c>
      <c r="AD51" s="583">
        <v>0</v>
      </c>
      <c r="AE51" s="583">
        <v>1916068</v>
      </c>
      <c r="AF51" s="583">
        <v>0</v>
      </c>
      <c r="AG51" s="583">
        <v>571588</v>
      </c>
      <c r="AH51" s="583">
        <v>18876</v>
      </c>
      <c r="AI51" s="583">
        <v>81254</v>
      </c>
      <c r="AJ51" s="583">
        <v>0</v>
      </c>
      <c r="AK51" s="583">
        <v>671718</v>
      </c>
      <c r="AL51" s="583">
        <v>81254</v>
      </c>
      <c r="AM51" s="583">
        <v>1136215</v>
      </c>
      <c r="AN51" s="583">
        <v>110306</v>
      </c>
      <c r="AO51" s="583">
        <v>-81254</v>
      </c>
      <c r="AP51" s="583">
        <v>0</v>
      </c>
      <c r="AQ51" s="583">
        <v>1165267</v>
      </c>
      <c r="AR51" s="583">
        <v>0</v>
      </c>
      <c r="AS51" s="583">
        <v>375309</v>
      </c>
      <c r="AT51" s="583">
        <v>0</v>
      </c>
      <c r="AU51" s="583">
        <v>277533</v>
      </c>
      <c r="AV51" s="583">
        <v>0</v>
      </c>
      <c r="AW51" s="583">
        <v>652842</v>
      </c>
      <c r="AX51" s="583">
        <v>277533</v>
      </c>
      <c r="AY51" s="583">
        <v>726549</v>
      </c>
      <c r="AZ51" s="583">
        <v>27041</v>
      </c>
      <c r="BA51" s="583">
        <v>0</v>
      </c>
      <c r="BB51" s="583">
        <v>0</v>
      </c>
      <c r="BC51" s="583">
        <v>753590</v>
      </c>
      <c r="BD51" s="583">
        <v>277533</v>
      </c>
      <c r="BE51" s="583">
        <v>1532987</v>
      </c>
      <c r="BF51" s="583">
        <v>0</v>
      </c>
      <c r="BG51" s="583">
        <v>-277533</v>
      </c>
      <c r="BH51" s="583">
        <v>0</v>
      </c>
      <c r="BI51" s="583">
        <v>1255454</v>
      </c>
      <c r="BJ51" s="583">
        <v>0</v>
      </c>
      <c r="BK51" s="583">
        <v>568957</v>
      </c>
      <c r="BL51" s="583">
        <v>0</v>
      </c>
      <c r="BM51" s="583">
        <v>83885</v>
      </c>
      <c r="BN51" s="583">
        <v>0</v>
      </c>
      <c r="BO51" s="583">
        <v>652842</v>
      </c>
      <c r="BP51" s="583">
        <v>83885</v>
      </c>
      <c r="BQ51" s="583">
        <v>1090279</v>
      </c>
      <c r="BR51" s="583">
        <v>177727</v>
      </c>
      <c r="BS51" s="583">
        <v>-83885</v>
      </c>
      <c r="BT51" s="583">
        <v>0</v>
      </c>
      <c r="BU51" s="583">
        <v>1184121</v>
      </c>
      <c r="BV51" s="583">
        <v>0</v>
      </c>
    </row>
    <row r="52" spans="1:74" x14ac:dyDescent="0.2">
      <c r="A52" s="580">
        <v>5201</v>
      </c>
      <c r="B52" s="580" t="s">
        <v>504</v>
      </c>
      <c r="C52" s="583">
        <v>173720</v>
      </c>
      <c r="D52" s="583">
        <v>0</v>
      </c>
      <c r="E52" s="583">
        <v>106530</v>
      </c>
      <c r="F52" s="583">
        <v>2353142</v>
      </c>
      <c r="G52" s="583">
        <v>2633392</v>
      </c>
      <c r="H52" s="583">
        <v>106530</v>
      </c>
      <c r="I52" s="583">
        <v>92378</v>
      </c>
      <c r="J52" s="583">
        <v>0</v>
      </c>
      <c r="K52" s="583">
        <v>187872</v>
      </c>
      <c r="L52" s="583">
        <v>2353142</v>
      </c>
      <c r="M52" s="583">
        <v>2633392</v>
      </c>
      <c r="N52" s="583">
        <v>294402</v>
      </c>
      <c r="O52" s="583">
        <v>263535</v>
      </c>
      <c r="P52" s="583">
        <v>0</v>
      </c>
      <c r="Q52" s="583">
        <v>0</v>
      </c>
      <c r="R52" s="583">
        <v>2353142</v>
      </c>
      <c r="S52" s="583">
        <v>2616677</v>
      </c>
      <c r="T52" s="583">
        <v>294402</v>
      </c>
      <c r="U52" s="583">
        <v>139933</v>
      </c>
      <c r="V52" s="583">
        <v>0</v>
      </c>
      <c r="W52" s="583">
        <v>140317</v>
      </c>
      <c r="X52" s="583">
        <v>2353142</v>
      </c>
      <c r="Y52" s="583">
        <v>2633392</v>
      </c>
      <c r="Z52" s="583">
        <v>434719</v>
      </c>
      <c r="AA52" s="583">
        <v>1217678</v>
      </c>
      <c r="AB52" s="583">
        <v>11239</v>
      </c>
      <c r="AC52" s="583">
        <v>-434719</v>
      </c>
      <c r="AD52" s="583">
        <v>2353142</v>
      </c>
      <c r="AE52" s="583">
        <v>3147340</v>
      </c>
      <c r="AF52" s="583">
        <v>0</v>
      </c>
      <c r="AG52" s="583">
        <v>241191</v>
      </c>
      <c r="AH52" s="583">
        <v>7965</v>
      </c>
      <c r="AI52" s="583">
        <v>39059</v>
      </c>
      <c r="AJ52" s="583">
        <v>2353142</v>
      </c>
      <c r="AK52" s="583">
        <v>2641357</v>
      </c>
      <c r="AL52" s="583">
        <v>39059</v>
      </c>
      <c r="AM52" s="583">
        <v>479445</v>
      </c>
      <c r="AN52" s="583">
        <v>46545</v>
      </c>
      <c r="AO52" s="583">
        <v>-39059</v>
      </c>
      <c r="AP52" s="583">
        <v>2353142</v>
      </c>
      <c r="AQ52" s="583">
        <v>2840073</v>
      </c>
      <c r="AR52" s="583">
        <v>0</v>
      </c>
      <c r="AS52" s="583">
        <v>158368</v>
      </c>
      <c r="AT52" s="583">
        <v>0</v>
      </c>
      <c r="AU52" s="583">
        <v>121882</v>
      </c>
      <c r="AV52" s="583">
        <v>2353142</v>
      </c>
      <c r="AW52" s="583">
        <v>2633392</v>
      </c>
      <c r="AX52" s="583">
        <v>121882</v>
      </c>
      <c r="AY52" s="583">
        <v>306579</v>
      </c>
      <c r="AZ52" s="583">
        <v>11411</v>
      </c>
      <c r="BA52" s="583">
        <v>0</v>
      </c>
      <c r="BB52" s="583">
        <v>2353141</v>
      </c>
      <c r="BC52" s="583">
        <v>2671131</v>
      </c>
      <c r="BD52" s="583">
        <v>121882</v>
      </c>
      <c r="BE52" s="583">
        <v>646869</v>
      </c>
      <c r="BF52" s="583">
        <v>0</v>
      </c>
      <c r="BG52" s="583">
        <v>-121882</v>
      </c>
      <c r="BH52" s="583">
        <v>2353141</v>
      </c>
      <c r="BI52" s="583">
        <v>2878128</v>
      </c>
      <c r="BJ52" s="583">
        <v>0</v>
      </c>
      <c r="BK52" s="583">
        <v>240081</v>
      </c>
      <c r="BL52" s="583">
        <v>0</v>
      </c>
      <c r="BM52" s="583">
        <v>40169</v>
      </c>
      <c r="BN52" s="583">
        <v>2353141</v>
      </c>
      <c r="BO52" s="583">
        <v>2633391</v>
      </c>
      <c r="BP52" s="583">
        <v>40169</v>
      </c>
      <c r="BQ52" s="583">
        <v>460061</v>
      </c>
      <c r="BR52" s="583">
        <v>74995</v>
      </c>
      <c r="BS52" s="583">
        <v>-40169</v>
      </c>
      <c r="BT52" s="583">
        <v>2353141</v>
      </c>
      <c r="BU52" s="583">
        <v>2848028</v>
      </c>
      <c r="BV52" s="583">
        <v>0</v>
      </c>
    </row>
    <row r="53" spans="1:74" x14ac:dyDescent="0.2">
      <c r="A53" s="580">
        <v>5301</v>
      </c>
      <c r="B53" s="580" t="s">
        <v>115</v>
      </c>
      <c r="C53" s="583">
        <v>344600</v>
      </c>
      <c r="D53" s="583">
        <v>0</v>
      </c>
      <c r="E53" s="583">
        <v>174802</v>
      </c>
      <c r="F53" s="583">
        <v>0</v>
      </c>
      <c r="G53" s="583">
        <v>519402</v>
      </c>
      <c r="H53" s="583">
        <v>174802</v>
      </c>
      <c r="I53" s="583">
        <v>183246</v>
      </c>
      <c r="J53" s="583">
        <v>0</v>
      </c>
      <c r="K53" s="583">
        <v>336156</v>
      </c>
      <c r="L53" s="583">
        <v>0</v>
      </c>
      <c r="M53" s="583">
        <v>519402</v>
      </c>
      <c r="N53" s="583">
        <v>510958</v>
      </c>
      <c r="O53" s="583">
        <v>522761</v>
      </c>
      <c r="P53" s="583">
        <v>0</v>
      </c>
      <c r="Q53" s="583">
        <v>0</v>
      </c>
      <c r="R53" s="583">
        <v>0</v>
      </c>
      <c r="S53" s="583">
        <v>522761</v>
      </c>
      <c r="T53" s="583">
        <v>510958</v>
      </c>
      <c r="U53" s="583">
        <v>277578</v>
      </c>
      <c r="V53" s="583">
        <v>0</v>
      </c>
      <c r="W53" s="583">
        <v>241824</v>
      </c>
      <c r="X53" s="583">
        <v>0</v>
      </c>
      <c r="Y53" s="583">
        <v>519402</v>
      </c>
      <c r="Z53" s="583">
        <v>752782</v>
      </c>
      <c r="AA53" s="583">
        <v>2415447</v>
      </c>
      <c r="AB53" s="583">
        <v>22294</v>
      </c>
      <c r="AC53" s="583">
        <v>-752782</v>
      </c>
      <c r="AD53" s="583">
        <v>0</v>
      </c>
      <c r="AE53" s="583">
        <v>1684959</v>
      </c>
      <c r="AF53" s="583">
        <v>0</v>
      </c>
      <c r="AG53" s="583">
        <v>478438</v>
      </c>
      <c r="AH53" s="583">
        <v>15800</v>
      </c>
      <c r="AI53" s="583">
        <v>40964</v>
      </c>
      <c r="AJ53" s="583">
        <v>0</v>
      </c>
      <c r="AK53" s="583">
        <v>535202</v>
      </c>
      <c r="AL53" s="583">
        <v>40964</v>
      </c>
      <c r="AM53" s="583">
        <v>951050</v>
      </c>
      <c r="AN53" s="583">
        <v>92330</v>
      </c>
      <c r="AO53" s="583">
        <v>-40964</v>
      </c>
      <c r="AP53" s="583">
        <v>0</v>
      </c>
      <c r="AQ53" s="583">
        <v>1002416</v>
      </c>
      <c r="AR53" s="583">
        <v>0</v>
      </c>
      <c r="AS53" s="583">
        <v>314146</v>
      </c>
      <c r="AT53" s="583">
        <v>0</v>
      </c>
      <c r="AU53" s="583">
        <v>205256</v>
      </c>
      <c r="AV53" s="583">
        <v>0</v>
      </c>
      <c r="AW53" s="583">
        <v>519402</v>
      </c>
      <c r="AX53" s="583">
        <v>205256</v>
      </c>
      <c r="AY53" s="583">
        <v>608146</v>
      </c>
      <c r="AZ53" s="583">
        <v>22635</v>
      </c>
      <c r="BA53" s="583">
        <v>0</v>
      </c>
      <c r="BB53" s="583">
        <v>0</v>
      </c>
      <c r="BC53" s="583">
        <v>630781</v>
      </c>
      <c r="BD53" s="583">
        <v>205256</v>
      </c>
      <c r="BE53" s="583">
        <v>1283161</v>
      </c>
      <c r="BF53" s="583">
        <v>0</v>
      </c>
      <c r="BG53" s="583">
        <v>-205256</v>
      </c>
      <c r="BH53" s="583">
        <v>0</v>
      </c>
      <c r="BI53" s="583">
        <v>1077905</v>
      </c>
      <c r="BJ53" s="583">
        <v>0</v>
      </c>
      <c r="BK53" s="583">
        <v>476236</v>
      </c>
      <c r="BL53" s="583">
        <v>0</v>
      </c>
      <c r="BM53" s="583">
        <v>43166</v>
      </c>
      <c r="BN53" s="583">
        <v>0</v>
      </c>
      <c r="BO53" s="583">
        <v>519402</v>
      </c>
      <c r="BP53" s="583">
        <v>43166</v>
      </c>
      <c r="BQ53" s="583">
        <v>912600</v>
      </c>
      <c r="BR53" s="583">
        <v>148763</v>
      </c>
      <c r="BS53" s="583">
        <v>-43166</v>
      </c>
      <c r="BT53" s="583">
        <v>0</v>
      </c>
      <c r="BU53" s="583">
        <v>1018197</v>
      </c>
      <c r="BV53" s="583">
        <v>0</v>
      </c>
    </row>
    <row r="54" spans="1:74" x14ac:dyDescent="0.2">
      <c r="A54" s="580">
        <v>5302</v>
      </c>
      <c r="B54" s="580" t="s">
        <v>116</v>
      </c>
      <c r="C54" s="583">
        <v>84935</v>
      </c>
      <c r="D54" s="583">
        <v>0</v>
      </c>
      <c r="E54" s="583">
        <v>50311</v>
      </c>
      <c r="F54" s="583">
        <v>0</v>
      </c>
      <c r="G54" s="583">
        <v>135246</v>
      </c>
      <c r="H54" s="583">
        <v>50311</v>
      </c>
      <c r="I54" s="583">
        <v>45166</v>
      </c>
      <c r="J54" s="583">
        <v>0</v>
      </c>
      <c r="K54" s="583">
        <v>90080</v>
      </c>
      <c r="L54" s="583">
        <v>0</v>
      </c>
      <c r="M54" s="583">
        <v>135246</v>
      </c>
      <c r="N54" s="583">
        <v>140391</v>
      </c>
      <c r="O54" s="583">
        <v>128847</v>
      </c>
      <c r="P54" s="583">
        <v>0</v>
      </c>
      <c r="Q54" s="583">
        <v>0</v>
      </c>
      <c r="R54" s="583">
        <v>0</v>
      </c>
      <c r="S54" s="583">
        <v>128847</v>
      </c>
      <c r="T54" s="583">
        <v>140391</v>
      </c>
      <c r="U54" s="583">
        <v>68416</v>
      </c>
      <c r="V54" s="583">
        <v>0</v>
      </c>
      <c r="W54" s="583">
        <v>66830</v>
      </c>
      <c r="X54" s="583">
        <v>0</v>
      </c>
      <c r="Y54" s="583">
        <v>135246</v>
      </c>
      <c r="Z54" s="583">
        <v>207221</v>
      </c>
      <c r="AA54" s="583">
        <v>595347</v>
      </c>
      <c r="AB54" s="583">
        <v>5495</v>
      </c>
      <c r="AC54" s="583">
        <v>-207221</v>
      </c>
      <c r="AD54" s="583">
        <v>0</v>
      </c>
      <c r="AE54" s="583">
        <v>393621</v>
      </c>
      <c r="AF54" s="583">
        <v>0</v>
      </c>
      <c r="AG54" s="583">
        <v>117923</v>
      </c>
      <c r="AH54" s="583">
        <v>3894</v>
      </c>
      <c r="AI54" s="583">
        <v>17323</v>
      </c>
      <c r="AJ54" s="583">
        <v>0</v>
      </c>
      <c r="AK54" s="583">
        <v>139140</v>
      </c>
      <c r="AL54" s="583">
        <v>17323</v>
      </c>
      <c r="AM54" s="583">
        <v>234410</v>
      </c>
      <c r="AN54" s="583">
        <v>22757</v>
      </c>
      <c r="AO54" s="583">
        <v>-17323</v>
      </c>
      <c r="AP54" s="583">
        <v>0</v>
      </c>
      <c r="AQ54" s="583">
        <v>239844</v>
      </c>
      <c r="AR54" s="583">
        <v>0</v>
      </c>
      <c r="AS54" s="583">
        <v>77429</v>
      </c>
      <c r="AT54" s="583">
        <v>0</v>
      </c>
      <c r="AU54" s="583">
        <v>57817</v>
      </c>
      <c r="AV54" s="583">
        <v>0</v>
      </c>
      <c r="AW54" s="583">
        <v>135246</v>
      </c>
      <c r="AX54" s="583">
        <v>57817</v>
      </c>
      <c r="AY54" s="583">
        <v>149893</v>
      </c>
      <c r="AZ54" s="583">
        <v>5579</v>
      </c>
      <c r="BA54" s="583">
        <v>0</v>
      </c>
      <c r="BB54" s="583">
        <v>0</v>
      </c>
      <c r="BC54" s="583">
        <v>155472</v>
      </c>
      <c r="BD54" s="583">
        <v>57817</v>
      </c>
      <c r="BE54" s="583">
        <v>316267</v>
      </c>
      <c r="BF54" s="583">
        <v>0</v>
      </c>
      <c r="BG54" s="583">
        <v>-57817</v>
      </c>
      <c r="BH54" s="583">
        <v>0</v>
      </c>
      <c r="BI54" s="583">
        <v>258450</v>
      </c>
      <c r="BJ54" s="583">
        <v>0</v>
      </c>
      <c r="BK54" s="583">
        <v>117380</v>
      </c>
      <c r="BL54" s="583">
        <v>0</v>
      </c>
      <c r="BM54" s="583">
        <v>17866</v>
      </c>
      <c r="BN54" s="583">
        <v>0</v>
      </c>
      <c r="BO54" s="583">
        <v>135246</v>
      </c>
      <c r="BP54" s="583">
        <v>17866</v>
      </c>
      <c r="BQ54" s="583">
        <v>224933</v>
      </c>
      <c r="BR54" s="583">
        <v>36666</v>
      </c>
      <c r="BS54" s="583">
        <v>-17866</v>
      </c>
      <c r="BT54" s="583">
        <v>0</v>
      </c>
      <c r="BU54" s="583">
        <v>243733</v>
      </c>
      <c r="BV54" s="583">
        <v>0</v>
      </c>
    </row>
    <row r="55" spans="1:74" x14ac:dyDescent="0.2">
      <c r="A55" s="580">
        <v>5303</v>
      </c>
      <c r="B55" s="580" t="s">
        <v>118</v>
      </c>
      <c r="C55" s="583">
        <v>75156</v>
      </c>
      <c r="D55" s="583">
        <v>0</v>
      </c>
      <c r="E55" s="583">
        <v>43420</v>
      </c>
      <c r="F55" s="583">
        <v>0</v>
      </c>
      <c r="G55" s="583">
        <v>118576</v>
      </c>
      <c r="H55" s="583">
        <v>43420</v>
      </c>
      <c r="I55" s="583">
        <v>39965</v>
      </c>
      <c r="J55" s="583">
        <v>0</v>
      </c>
      <c r="K55" s="583">
        <v>78611</v>
      </c>
      <c r="L55" s="583">
        <v>0</v>
      </c>
      <c r="M55" s="583">
        <v>118576</v>
      </c>
      <c r="N55" s="583">
        <v>122031</v>
      </c>
      <c r="O55" s="583">
        <v>114013</v>
      </c>
      <c r="P55" s="583">
        <v>0</v>
      </c>
      <c r="Q55" s="583">
        <v>0</v>
      </c>
      <c r="R55" s="583">
        <v>0</v>
      </c>
      <c r="S55" s="583">
        <v>114013</v>
      </c>
      <c r="T55" s="583">
        <v>122031</v>
      </c>
      <c r="U55" s="583">
        <v>60539</v>
      </c>
      <c r="V55" s="583">
        <v>0</v>
      </c>
      <c r="W55" s="583">
        <v>58037</v>
      </c>
      <c r="X55" s="583">
        <v>0</v>
      </c>
      <c r="Y55" s="583">
        <v>118576</v>
      </c>
      <c r="Z55" s="583">
        <v>180068</v>
      </c>
      <c r="AA55" s="583">
        <v>526801</v>
      </c>
      <c r="AB55" s="583">
        <v>4862</v>
      </c>
      <c r="AC55" s="583">
        <v>-180068</v>
      </c>
      <c r="AD55" s="583">
        <v>0</v>
      </c>
      <c r="AE55" s="583">
        <v>351595</v>
      </c>
      <c r="AF55" s="583">
        <v>0</v>
      </c>
      <c r="AG55" s="583">
        <v>104346</v>
      </c>
      <c r="AH55" s="583">
        <v>3446</v>
      </c>
      <c r="AI55" s="583">
        <v>14230</v>
      </c>
      <c r="AJ55" s="583">
        <v>0</v>
      </c>
      <c r="AK55" s="583">
        <v>122022</v>
      </c>
      <c r="AL55" s="583">
        <v>14230</v>
      </c>
      <c r="AM55" s="583">
        <v>207421</v>
      </c>
      <c r="AN55" s="583">
        <v>20137</v>
      </c>
      <c r="AO55" s="583">
        <v>-14230</v>
      </c>
      <c r="AP55" s="583">
        <v>0</v>
      </c>
      <c r="AQ55" s="583">
        <v>213328</v>
      </c>
      <c r="AR55" s="583">
        <v>0</v>
      </c>
      <c r="AS55" s="583">
        <v>68514</v>
      </c>
      <c r="AT55" s="583">
        <v>0</v>
      </c>
      <c r="AU55" s="583">
        <v>50062</v>
      </c>
      <c r="AV55" s="583">
        <v>0</v>
      </c>
      <c r="AW55" s="583">
        <v>118576</v>
      </c>
      <c r="AX55" s="583">
        <v>50062</v>
      </c>
      <c r="AY55" s="583">
        <v>132635</v>
      </c>
      <c r="AZ55" s="583">
        <v>4937</v>
      </c>
      <c r="BA55" s="583">
        <v>0</v>
      </c>
      <c r="BB55" s="583">
        <v>0</v>
      </c>
      <c r="BC55" s="583">
        <v>137572</v>
      </c>
      <c r="BD55" s="583">
        <v>50062</v>
      </c>
      <c r="BE55" s="583">
        <v>279853</v>
      </c>
      <c r="BF55" s="583">
        <v>0</v>
      </c>
      <c r="BG55" s="583">
        <v>-50062</v>
      </c>
      <c r="BH55" s="583">
        <v>0</v>
      </c>
      <c r="BI55" s="583">
        <v>229791</v>
      </c>
      <c r="BJ55" s="583">
        <v>0</v>
      </c>
      <c r="BK55" s="583">
        <v>103866</v>
      </c>
      <c r="BL55" s="583">
        <v>0</v>
      </c>
      <c r="BM55" s="583">
        <v>14710</v>
      </c>
      <c r="BN55" s="583">
        <v>0</v>
      </c>
      <c r="BO55" s="583">
        <v>118576</v>
      </c>
      <c r="BP55" s="583">
        <v>14710</v>
      </c>
      <c r="BQ55" s="583">
        <v>199035</v>
      </c>
      <c r="BR55" s="583">
        <v>32445</v>
      </c>
      <c r="BS55" s="583">
        <v>-14710</v>
      </c>
      <c r="BT55" s="583">
        <v>0</v>
      </c>
      <c r="BU55" s="583">
        <v>216770</v>
      </c>
      <c r="BV55" s="583">
        <v>0</v>
      </c>
    </row>
    <row r="56" spans="1:74" x14ac:dyDescent="0.2">
      <c r="A56" s="580">
        <v>5304</v>
      </c>
      <c r="B56" s="580" t="s">
        <v>117</v>
      </c>
      <c r="C56" s="583">
        <v>135819</v>
      </c>
      <c r="D56" s="583">
        <v>0</v>
      </c>
      <c r="E56" s="583">
        <v>80722</v>
      </c>
      <c r="F56" s="583">
        <v>0</v>
      </c>
      <c r="G56" s="583">
        <v>216541</v>
      </c>
      <c r="H56" s="583">
        <v>80722</v>
      </c>
      <c r="I56" s="583">
        <v>72224</v>
      </c>
      <c r="J56" s="583">
        <v>0</v>
      </c>
      <c r="K56" s="583">
        <v>144317</v>
      </c>
      <c r="L56" s="583">
        <v>0</v>
      </c>
      <c r="M56" s="583">
        <v>216541</v>
      </c>
      <c r="N56" s="583">
        <v>225039</v>
      </c>
      <c r="O56" s="583">
        <v>206038</v>
      </c>
      <c r="P56" s="583">
        <v>0</v>
      </c>
      <c r="Q56" s="583">
        <v>0</v>
      </c>
      <c r="R56" s="583">
        <v>0</v>
      </c>
      <c r="S56" s="583">
        <v>206038</v>
      </c>
      <c r="T56" s="583">
        <v>225039</v>
      </c>
      <c r="U56" s="583">
        <v>109403</v>
      </c>
      <c r="V56" s="583">
        <v>0</v>
      </c>
      <c r="W56" s="583">
        <v>107138</v>
      </c>
      <c r="X56" s="583">
        <v>0</v>
      </c>
      <c r="Y56" s="583">
        <v>216541</v>
      </c>
      <c r="Z56" s="583">
        <v>332177</v>
      </c>
      <c r="AA56" s="583">
        <v>952012</v>
      </c>
      <c r="AB56" s="583">
        <v>8787</v>
      </c>
      <c r="AC56" s="583">
        <v>-332177</v>
      </c>
      <c r="AD56" s="583">
        <v>0</v>
      </c>
      <c r="AE56" s="583">
        <v>628622</v>
      </c>
      <c r="AF56" s="583">
        <v>0</v>
      </c>
      <c r="AG56" s="583">
        <v>188569</v>
      </c>
      <c r="AH56" s="583">
        <v>6227</v>
      </c>
      <c r="AI56" s="583">
        <v>27972</v>
      </c>
      <c r="AJ56" s="583">
        <v>0</v>
      </c>
      <c r="AK56" s="583">
        <v>222768</v>
      </c>
      <c r="AL56" s="583">
        <v>27972</v>
      </c>
      <c r="AM56" s="583">
        <v>374842</v>
      </c>
      <c r="AN56" s="583">
        <v>36390</v>
      </c>
      <c r="AO56" s="583">
        <v>-27972</v>
      </c>
      <c r="AP56" s="583">
        <v>0</v>
      </c>
      <c r="AQ56" s="583">
        <v>383260</v>
      </c>
      <c r="AR56" s="583">
        <v>0</v>
      </c>
      <c r="AS56" s="583">
        <v>123816</v>
      </c>
      <c r="AT56" s="583">
        <v>0</v>
      </c>
      <c r="AU56" s="583">
        <v>92725</v>
      </c>
      <c r="AV56" s="583">
        <v>0</v>
      </c>
      <c r="AW56" s="583">
        <v>216541</v>
      </c>
      <c r="AX56" s="583">
        <v>92725</v>
      </c>
      <c r="AY56" s="583">
        <v>239692</v>
      </c>
      <c r="AZ56" s="583">
        <v>8921</v>
      </c>
      <c r="BA56" s="583">
        <v>0</v>
      </c>
      <c r="BB56" s="583">
        <v>0</v>
      </c>
      <c r="BC56" s="583">
        <v>248613</v>
      </c>
      <c r="BD56" s="583">
        <v>92725</v>
      </c>
      <c r="BE56" s="583">
        <v>505739</v>
      </c>
      <c r="BF56" s="583">
        <v>0</v>
      </c>
      <c r="BG56" s="583">
        <v>-92725</v>
      </c>
      <c r="BH56" s="583">
        <v>0</v>
      </c>
      <c r="BI56" s="583">
        <v>413014</v>
      </c>
      <c r="BJ56" s="583">
        <v>0</v>
      </c>
      <c r="BK56" s="583">
        <v>187701</v>
      </c>
      <c r="BL56" s="583">
        <v>0</v>
      </c>
      <c r="BM56" s="583">
        <v>28840</v>
      </c>
      <c r="BN56" s="583">
        <v>0</v>
      </c>
      <c r="BO56" s="583">
        <v>216541</v>
      </c>
      <c r="BP56" s="583">
        <v>28840</v>
      </c>
      <c r="BQ56" s="583">
        <v>359688</v>
      </c>
      <c r="BR56" s="583">
        <v>58633</v>
      </c>
      <c r="BS56" s="583">
        <v>-28840</v>
      </c>
      <c r="BT56" s="583">
        <v>0</v>
      </c>
      <c r="BU56" s="583">
        <v>389481</v>
      </c>
      <c r="BV56" s="583">
        <v>0</v>
      </c>
    </row>
    <row r="57" spans="1:74" x14ac:dyDescent="0.2">
      <c r="A57" s="580">
        <v>5401</v>
      </c>
      <c r="B57" s="580" t="s">
        <v>90</v>
      </c>
      <c r="C57" s="583">
        <v>349813</v>
      </c>
      <c r="D57" s="583">
        <v>0</v>
      </c>
      <c r="E57" s="583">
        <v>131326</v>
      </c>
      <c r="F57" s="583">
        <v>0</v>
      </c>
      <c r="G57" s="583">
        <v>481139</v>
      </c>
      <c r="H57" s="583">
        <v>131326</v>
      </c>
      <c r="I57" s="583">
        <v>186019</v>
      </c>
      <c r="J57" s="583">
        <v>0</v>
      </c>
      <c r="K57" s="583">
        <v>295120</v>
      </c>
      <c r="L57" s="583">
        <v>0</v>
      </c>
      <c r="M57" s="583">
        <v>481139</v>
      </c>
      <c r="N57" s="583">
        <v>426446</v>
      </c>
      <c r="O57" s="583">
        <v>530670</v>
      </c>
      <c r="P57" s="583">
        <v>0</v>
      </c>
      <c r="Q57" s="583">
        <v>0</v>
      </c>
      <c r="R57" s="583">
        <v>0</v>
      </c>
      <c r="S57" s="583">
        <v>530670</v>
      </c>
      <c r="T57" s="583">
        <v>426446</v>
      </c>
      <c r="U57" s="583">
        <v>281777</v>
      </c>
      <c r="V57" s="583">
        <v>0</v>
      </c>
      <c r="W57" s="583">
        <v>199362</v>
      </c>
      <c r="X57" s="583">
        <v>0</v>
      </c>
      <c r="Y57" s="583">
        <v>481139</v>
      </c>
      <c r="Z57" s="583">
        <v>625808</v>
      </c>
      <c r="AA57" s="583">
        <v>2451989</v>
      </c>
      <c r="AB57" s="583">
        <v>22631</v>
      </c>
      <c r="AC57" s="583">
        <v>-625808</v>
      </c>
      <c r="AD57" s="583">
        <v>0</v>
      </c>
      <c r="AE57" s="583">
        <v>1848812</v>
      </c>
      <c r="AF57" s="583">
        <v>0</v>
      </c>
      <c r="AG57" s="583">
        <v>485676</v>
      </c>
      <c r="AH57" s="583">
        <v>16039</v>
      </c>
      <c r="AI57" s="583">
        <v>0</v>
      </c>
      <c r="AJ57" s="583">
        <v>0</v>
      </c>
      <c r="AK57" s="583">
        <v>501715</v>
      </c>
      <c r="AL57" s="583">
        <v>0</v>
      </c>
      <c r="AM57" s="583">
        <v>965438</v>
      </c>
      <c r="AN57" s="583">
        <v>93727</v>
      </c>
      <c r="AO57" s="583">
        <v>0</v>
      </c>
      <c r="AP57" s="583">
        <v>0</v>
      </c>
      <c r="AQ57" s="583">
        <v>1059165</v>
      </c>
      <c r="AR57" s="583">
        <v>0</v>
      </c>
      <c r="AS57" s="583">
        <v>318899</v>
      </c>
      <c r="AT57" s="583">
        <v>0</v>
      </c>
      <c r="AU57" s="583">
        <v>162240</v>
      </c>
      <c r="AV57" s="583">
        <v>0</v>
      </c>
      <c r="AW57" s="583">
        <v>481139</v>
      </c>
      <c r="AX57" s="583">
        <v>162240</v>
      </c>
      <c r="AY57" s="583">
        <v>617346</v>
      </c>
      <c r="AZ57" s="583">
        <v>22977</v>
      </c>
      <c r="BA57" s="583">
        <v>0</v>
      </c>
      <c r="BB57" s="583">
        <v>0</v>
      </c>
      <c r="BC57" s="583">
        <v>640323</v>
      </c>
      <c r="BD57" s="583">
        <v>162240</v>
      </c>
      <c r="BE57" s="583">
        <v>1302574</v>
      </c>
      <c r="BF57" s="583">
        <v>0</v>
      </c>
      <c r="BG57" s="583">
        <v>-162240</v>
      </c>
      <c r="BH57" s="583">
        <v>0</v>
      </c>
      <c r="BI57" s="583">
        <v>1140334</v>
      </c>
      <c r="BJ57" s="583">
        <v>0</v>
      </c>
      <c r="BK57" s="583">
        <v>483441</v>
      </c>
      <c r="BL57" s="583">
        <v>0</v>
      </c>
      <c r="BM57" s="583">
        <v>0</v>
      </c>
      <c r="BN57" s="583">
        <v>0</v>
      </c>
      <c r="BO57" s="583">
        <v>483441</v>
      </c>
      <c r="BP57" s="583">
        <v>0</v>
      </c>
      <c r="BQ57" s="583">
        <v>926406</v>
      </c>
      <c r="BR57" s="583">
        <v>151014</v>
      </c>
      <c r="BS57" s="583">
        <v>0</v>
      </c>
      <c r="BT57" s="583">
        <v>0</v>
      </c>
      <c r="BU57" s="583">
        <v>1077420</v>
      </c>
      <c r="BV57" s="583">
        <v>0</v>
      </c>
    </row>
    <row r="58" spans="1:74" x14ac:dyDescent="0.2">
      <c r="A58" s="580">
        <v>5402</v>
      </c>
      <c r="B58" s="580" t="s">
        <v>92</v>
      </c>
      <c r="C58" s="583">
        <v>144107</v>
      </c>
      <c r="D58" s="583">
        <v>0</v>
      </c>
      <c r="E58" s="583">
        <v>77347</v>
      </c>
      <c r="F58" s="583">
        <v>0</v>
      </c>
      <c r="G58" s="583">
        <v>221454</v>
      </c>
      <c r="H58" s="583">
        <v>77347</v>
      </c>
      <c r="I58" s="583">
        <v>76631</v>
      </c>
      <c r="J58" s="583">
        <v>0</v>
      </c>
      <c r="K58" s="583">
        <v>144823</v>
      </c>
      <c r="L58" s="583">
        <v>0</v>
      </c>
      <c r="M58" s="583">
        <v>221454</v>
      </c>
      <c r="N58" s="583">
        <v>222170</v>
      </c>
      <c r="O58" s="583">
        <v>218612</v>
      </c>
      <c r="P58" s="583">
        <v>0</v>
      </c>
      <c r="Q58" s="583">
        <v>0</v>
      </c>
      <c r="R58" s="583">
        <v>0</v>
      </c>
      <c r="S58" s="583">
        <v>218612</v>
      </c>
      <c r="T58" s="583">
        <v>222170</v>
      </c>
      <c r="U58" s="583">
        <v>116080</v>
      </c>
      <c r="V58" s="583">
        <v>0</v>
      </c>
      <c r="W58" s="583">
        <v>105374</v>
      </c>
      <c r="X58" s="583">
        <v>0</v>
      </c>
      <c r="Y58" s="583">
        <v>221454</v>
      </c>
      <c r="Z58" s="583">
        <v>327544</v>
      </c>
      <c r="AA58" s="583">
        <v>1010110</v>
      </c>
      <c r="AB58" s="583">
        <v>9323</v>
      </c>
      <c r="AC58" s="583">
        <v>-327544</v>
      </c>
      <c r="AD58" s="583">
        <v>0</v>
      </c>
      <c r="AE58" s="583">
        <v>691889</v>
      </c>
      <c r="AF58" s="583">
        <v>0</v>
      </c>
      <c r="AG58" s="583">
        <v>200077</v>
      </c>
      <c r="AH58" s="583">
        <v>6607</v>
      </c>
      <c r="AI58" s="583">
        <v>21377</v>
      </c>
      <c r="AJ58" s="583">
        <v>0</v>
      </c>
      <c r="AK58" s="583">
        <v>228061</v>
      </c>
      <c r="AL58" s="583">
        <v>21377</v>
      </c>
      <c r="AM58" s="583">
        <v>397718</v>
      </c>
      <c r="AN58" s="583">
        <v>38611</v>
      </c>
      <c r="AO58" s="583">
        <v>-21377</v>
      </c>
      <c r="AP58" s="583">
        <v>0</v>
      </c>
      <c r="AQ58" s="583">
        <v>414952</v>
      </c>
      <c r="AR58" s="583">
        <v>0</v>
      </c>
      <c r="AS58" s="583">
        <v>131372</v>
      </c>
      <c r="AT58" s="583">
        <v>0</v>
      </c>
      <c r="AU58" s="583">
        <v>90082</v>
      </c>
      <c r="AV58" s="583">
        <v>0</v>
      </c>
      <c r="AW58" s="583">
        <v>221454</v>
      </c>
      <c r="AX58" s="583">
        <v>90082</v>
      </c>
      <c r="AY58" s="583">
        <v>254319</v>
      </c>
      <c r="AZ58" s="583">
        <v>9466</v>
      </c>
      <c r="BA58" s="583">
        <v>0</v>
      </c>
      <c r="BB58" s="583">
        <v>0</v>
      </c>
      <c r="BC58" s="583">
        <v>263785</v>
      </c>
      <c r="BD58" s="583">
        <v>90082</v>
      </c>
      <c r="BE58" s="583">
        <v>536602</v>
      </c>
      <c r="BF58" s="583">
        <v>0</v>
      </c>
      <c r="BG58" s="583">
        <v>-90082</v>
      </c>
      <c r="BH58" s="583">
        <v>0</v>
      </c>
      <c r="BI58" s="583">
        <v>446520</v>
      </c>
      <c r="BJ58" s="583">
        <v>0</v>
      </c>
      <c r="BK58" s="583">
        <v>199156</v>
      </c>
      <c r="BL58" s="583">
        <v>0</v>
      </c>
      <c r="BM58" s="583">
        <v>22298</v>
      </c>
      <c r="BN58" s="583">
        <v>0</v>
      </c>
      <c r="BO58" s="583">
        <v>221454</v>
      </c>
      <c r="BP58" s="583">
        <v>22298</v>
      </c>
      <c r="BQ58" s="583">
        <v>381638</v>
      </c>
      <c r="BR58" s="583">
        <v>62211</v>
      </c>
      <c r="BS58" s="583">
        <v>-22298</v>
      </c>
      <c r="BT58" s="583">
        <v>0</v>
      </c>
      <c r="BU58" s="583">
        <v>421551</v>
      </c>
      <c r="BV58" s="583">
        <v>0</v>
      </c>
    </row>
    <row r="59" spans="1:74" x14ac:dyDescent="0.2">
      <c r="A59" s="580">
        <v>5403</v>
      </c>
      <c r="B59" s="580" t="s">
        <v>94</v>
      </c>
      <c r="C59" s="583">
        <v>65191</v>
      </c>
      <c r="D59" s="583">
        <v>0</v>
      </c>
      <c r="E59" s="583">
        <v>38062</v>
      </c>
      <c r="F59" s="583">
        <v>0</v>
      </c>
      <c r="G59" s="583">
        <v>103253</v>
      </c>
      <c r="H59" s="583">
        <v>38062</v>
      </c>
      <c r="I59" s="583">
        <v>34666</v>
      </c>
      <c r="J59" s="583">
        <v>0</v>
      </c>
      <c r="K59" s="583">
        <v>68587</v>
      </c>
      <c r="L59" s="583">
        <v>0</v>
      </c>
      <c r="M59" s="583">
        <v>103253</v>
      </c>
      <c r="N59" s="583">
        <v>106649</v>
      </c>
      <c r="O59" s="583">
        <v>98895</v>
      </c>
      <c r="P59" s="583">
        <v>0</v>
      </c>
      <c r="Q59" s="583">
        <v>0</v>
      </c>
      <c r="R59" s="583">
        <v>0</v>
      </c>
      <c r="S59" s="583">
        <v>98895</v>
      </c>
      <c r="T59" s="583">
        <v>106649</v>
      </c>
      <c r="U59" s="583">
        <v>52512</v>
      </c>
      <c r="V59" s="583">
        <v>0</v>
      </c>
      <c r="W59" s="583">
        <v>50741</v>
      </c>
      <c r="X59" s="583">
        <v>0</v>
      </c>
      <c r="Y59" s="583">
        <v>103253</v>
      </c>
      <c r="Z59" s="583">
        <v>157390</v>
      </c>
      <c r="AA59" s="583">
        <v>456950</v>
      </c>
      <c r="AB59" s="583">
        <v>4218</v>
      </c>
      <c r="AC59" s="583">
        <v>-157390</v>
      </c>
      <c r="AD59" s="583">
        <v>0</v>
      </c>
      <c r="AE59" s="583">
        <v>303778</v>
      </c>
      <c r="AF59" s="583">
        <v>0</v>
      </c>
      <c r="AG59" s="583">
        <v>90510</v>
      </c>
      <c r="AH59" s="583">
        <v>2989</v>
      </c>
      <c r="AI59" s="583">
        <v>12743</v>
      </c>
      <c r="AJ59" s="583">
        <v>0</v>
      </c>
      <c r="AK59" s="583">
        <v>106242</v>
      </c>
      <c r="AL59" s="583">
        <v>12743</v>
      </c>
      <c r="AM59" s="583">
        <v>179918</v>
      </c>
      <c r="AN59" s="583">
        <v>17467</v>
      </c>
      <c r="AO59" s="583">
        <v>-12743</v>
      </c>
      <c r="AP59" s="583">
        <v>0</v>
      </c>
      <c r="AQ59" s="583">
        <v>184642</v>
      </c>
      <c r="AR59" s="583">
        <v>0</v>
      </c>
      <c r="AS59" s="583">
        <v>59430</v>
      </c>
      <c r="AT59" s="583">
        <v>0</v>
      </c>
      <c r="AU59" s="583">
        <v>43823</v>
      </c>
      <c r="AV59" s="583">
        <v>0</v>
      </c>
      <c r="AW59" s="583">
        <v>103253</v>
      </c>
      <c r="AX59" s="583">
        <v>43823</v>
      </c>
      <c r="AY59" s="583">
        <v>115048</v>
      </c>
      <c r="AZ59" s="583">
        <v>4282</v>
      </c>
      <c r="BA59" s="583">
        <v>0</v>
      </c>
      <c r="BB59" s="583">
        <v>0</v>
      </c>
      <c r="BC59" s="583">
        <v>119330</v>
      </c>
      <c r="BD59" s="583">
        <v>43823</v>
      </c>
      <c r="BE59" s="583">
        <v>242746</v>
      </c>
      <c r="BF59" s="583">
        <v>0</v>
      </c>
      <c r="BG59" s="583">
        <v>-43823</v>
      </c>
      <c r="BH59" s="583">
        <v>0</v>
      </c>
      <c r="BI59" s="583">
        <v>198923</v>
      </c>
      <c r="BJ59" s="583">
        <v>0</v>
      </c>
      <c r="BK59" s="583">
        <v>90094</v>
      </c>
      <c r="BL59" s="583">
        <v>0</v>
      </c>
      <c r="BM59" s="583">
        <v>13159</v>
      </c>
      <c r="BN59" s="583">
        <v>0</v>
      </c>
      <c r="BO59" s="583">
        <v>103253</v>
      </c>
      <c r="BP59" s="583">
        <v>13159</v>
      </c>
      <c r="BQ59" s="583">
        <v>172644</v>
      </c>
      <c r="BR59" s="583">
        <v>28143</v>
      </c>
      <c r="BS59" s="583">
        <v>-13159</v>
      </c>
      <c r="BT59" s="583">
        <v>0</v>
      </c>
      <c r="BU59" s="583">
        <v>187628</v>
      </c>
      <c r="BV59" s="583">
        <v>0</v>
      </c>
    </row>
    <row r="60" spans="1:74" x14ac:dyDescent="0.2">
      <c r="A60" s="580">
        <v>5404</v>
      </c>
      <c r="B60" s="580" t="s">
        <v>91</v>
      </c>
      <c r="C60" s="583">
        <v>98815</v>
      </c>
      <c r="D60" s="583">
        <v>0</v>
      </c>
      <c r="E60" s="583">
        <v>52751</v>
      </c>
      <c r="F60" s="583">
        <v>0</v>
      </c>
      <c r="G60" s="583">
        <v>151566</v>
      </c>
      <c r="H60" s="583">
        <v>52751</v>
      </c>
      <c r="I60" s="583">
        <v>52546</v>
      </c>
      <c r="J60" s="583">
        <v>0</v>
      </c>
      <c r="K60" s="583">
        <v>99020</v>
      </c>
      <c r="L60" s="583">
        <v>0</v>
      </c>
      <c r="M60" s="583">
        <v>151566</v>
      </c>
      <c r="N60" s="583">
        <v>151771</v>
      </c>
      <c r="O60" s="583">
        <v>149903</v>
      </c>
      <c r="P60" s="583">
        <v>0</v>
      </c>
      <c r="Q60" s="583">
        <v>0</v>
      </c>
      <c r="R60" s="583">
        <v>0</v>
      </c>
      <c r="S60" s="583">
        <v>149903</v>
      </c>
      <c r="T60" s="583">
        <v>151771</v>
      </c>
      <c r="U60" s="583">
        <v>79596</v>
      </c>
      <c r="V60" s="583">
        <v>0</v>
      </c>
      <c r="W60" s="583">
        <v>71970</v>
      </c>
      <c r="X60" s="583">
        <v>0</v>
      </c>
      <c r="Y60" s="583">
        <v>151566</v>
      </c>
      <c r="Z60" s="583">
        <v>223741</v>
      </c>
      <c r="AA60" s="583">
        <v>692637</v>
      </c>
      <c r="AB60" s="583">
        <v>6393</v>
      </c>
      <c r="AC60" s="583">
        <v>-223741</v>
      </c>
      <c r="AD60" s="583">
        <v>0</v>
      </c>
      <c r="AE60" s="583">
        <v>475289</v>
      </c>
      <c r="AF60" s="583">
        <v>0</v>
      </c>
      <c r="AG60" s="583">
        <v>137194</v>
      </c>
      <c r="AH60" s="583">
        <v>4531</v>
      </c>
      <c r="AI60" s="583">
        <v>14372</v>
      </c>
      <c r="AJ60" s="583">
        <v>0</v>
      </c>
      <c r="AK60" s="583">
        <v>156097</v>
      </c>
      <c r="AL60" s="583">
        <v>14372</v>
      </c>
      <c r="AM60" s="583">
        <v>272717</v>
      </c>
      <c r="AN60" s="583">
        <v>26476</v>
      </c>
      <c r="AO60" s="583">
        <v>-14372</v>
      </c>
      <c r="AP60" s="583">
        <v>0</v>
      </c>
      <c r="AQ60" s="583">
        <v>284821</v>
      </c>
      <c r="AR60" s="583">
        <v>0</v>
      </c>
      <c r="AS60" s="583">
        <v>90082</v>
      </c>
      <c r="AT60" s="583">
        <v>0</v>
      </c>
      <c r="AU60" s="583">
        <v>61484</v>
      </c>
      <c r="AV60" s="583">
        <v>0</v>
      </c>
      <c r="AW60" s="583">
        <v>151566</v>
      </c>
      <c r="AX60" s="583">
        <v>61484</v>
      </c>
      <c r="AY60" s="583">
        <v>174388</v>
      </c>
      <c r="AZ60" s="583">
        <v>6491</v>
      </c>
      <c r="BA60" s="583">
        <v>0</v>
      </c>
      <c r="BB60" s="583">
        <v>0</v>
      </c>
      <c r="BC60" s="583">
        <v>180879</v>
      </c>
      <c r="BD60" s="583">
        <v>61484</v>
      </c>
      <c r="BE60" s="583">
        <v>367950</v>
      </c>
      <c r="BF60" s="583">
        <v>0</v>
      </c>
      <c r="BG60" s="583">
        <v>-61484</v>
      </c>
      <c r="BH60" s="583">
        <v>0</v>
      </c>
      <c r="BI60" s="583">
        <v>306466</v>
      </c>
      <c r="BJ60" s="583">
        <v>0</v>
      </c>
      <c r="BK60" s="583">
        <v>136562</v>
      </c>
      <c r="BL60" s="583">
        <v>0</v>
      </c>
      <c r="BM60" s="583">
        <v>15004</v>
      </c>
      <c r="BN60" s="583">
        <v>0</v>
      </c>
      <c r="BO60" s="583">
        <v>151566</v>
      </c>
      <c r="BP60" s="583">
        <v>15004</v>
      </c>
      <c r="BQ60" s="583">
        <v>261691</v>
      </c>
      <c r="BR60" s="583">
        <v>42658</v>
      </c>
      <c r="BS60" s="583">
        <v>-15004</v>
      </c>
      <c r="BT60" s="583">
        <v>0</v>
      </c>
      <c r="BU60" s="583">
        <v>289345</v>
      </c>
      <c r="BV60" s="583">
        <v>0</v>
      </c>
    </row>
    <row r="61" spans="1:74" x14ac:dyDescent="0.2">
      <c r="A61" s="580">
        <v>5405</v>
      </c>
      <c r="B61" s="580" t="s">
        <v>93</v>
      </c>
      <c r="C61" s="583">
        <v>61749</v>
      </c>
      <c r="D61" s="583">
        <v>0</v>
      </c>
      <c r="E61" s="583">
        <v>36924</v>
      </c>
      <c r="F61" s="583">
        <v>0</v>
      </c>
      <c r="G61" s="583">
        <v>98673</v>
      </c>
      <c r="H61" s="583">
        <v>36924</v>
      </c>
      <c r="I61" s="583">
        <v>32836</v>
      </c>
      <c r="J61" s="583">
        <v>0</v>
      </c>
      <c r="K61" s="583">
        <v>65837</v>
      </c>
      <c r="L61" s="583">
        <v>0</v>
      </c>
      <c r="M61" s="583">
        <v>98673</v>
      </c>
      <c r="N61" s="583">
        <v>102761</v>
      </c>
      <c r="O61" s="583">
        <v>93674</v>
      </c>
      <c r="P61" s="583">
        <v>0</v>
      </c>
      <c r="Q61" s="583">
        <v>0</v>
      </c>
      <c r="R61" s="583">
        <v>0</v>
      </c>
      <c r="S61" s="583">
        <v>93674</v>
      </c>
      <c r="T61" s="583">
        <v>102761</v>
      </c>
      <c r="U61" s="583">
        <v>49739</v>
      </c>
      <c r="V61" s="583">
        <v>0</v>
      </c>
      <c r="W61" s="583">
        <v>48934</v>
      </c>
      <c r="X61" s="583">
        <v>0</v>
      </c>
      <c r="Y61" s="583">
        <v>98673</v>
      </c>
      <c r="Z61" s="583">
        <v>151695</v>
      </c>
      <c r="AA61" s="583">
        <v>432825</v>
      </c>
      <c r="AB61" s="583">
        <v>3995</v>
      </c>
      <c r="AC61" s="583">
        <v>-151695</v>
      </c>
      <c r="AD61" s="583">
        <v>0</v>
      </c>
      <c r="AE61" s="583">
        <v>285125</v>
      </c>
      <c r="AF61" s="583">
        <v>0</v>
      </c>
      <c r="AG61" s="583">
        <v>85732</v>
      </c>
      <c r="AH61" s="583">
        <v>2831</v>
      </c>
      <c r="AI61" s="583">
        <v>12941</v>
      </c>
      <c r="AJ61" s="583">
        <v>0</v>
      </c>
      <c r="AK61" s="583">
        <v>101504</v>
      </c>
      <c r="AL61" s="583">
        <v>12941</v>
      </c>
      <c r="AM61" s="583">
        <v>170419</v>
      </c>
      <c r="AN61" s="583">
        <v>16545</v>
      </c>
      <c r="AO61" s="583">
        <v>-12941</v>
      </c>
      <c r="AP61" s="583">
        <v>0</v>
      </c>
      <c r="AQ61" s="583">
        <v>174023</v>
      </c>
      <c r="AR61" s="583">
        <v>0</v>
      </c>
      <c r="AS61" s="583">
        <v>56292</v>
      </c>
      <c r="AT61" s="583">
        <v>0</v>
      </c>
      <c r="AU61" s="583">
        <v>42381</v>
      </c>
      <c r="AV61" s="583">
        <v>0</v>
      </c>
      <c r="AW61" s="583">
        <v>98673</v>
      </c>
      <c r="AX61" s="583">
        <v>42381</v>
      </c>
      <c r="AY61" s="583">
        <v>108974</v>
      </c>
      <c r="AZ61" s="583">
        <v>4056</v>
      </c>
      <c r="BA61" s="583">
        <v>0</v>
      </c>
      <c r="BB61" s="583">
        <v>0</v>
      </c>
      <c r="BC61" s="583">
        <v>113030</v>
      </c>
      <c r="BD61" s="583">
        <v>42381</v>
      </c>
      <c r="BE61" s="583">
        <v>229930</v>
      </c>
      <c r="BF61" s="583">
        <v>0</v>
      </c>
      <c r="BG61" s="583">
        <v>-42381</v>
      </c>
      <c r="BH61" s="583">
        <v>0</v>
      </c>
      <c r="BI61" s="583">
        <v>187549</v>
      </c>
      <c r="BJ61" s="583">
        <v>0</v>
      </c>
      <c r="BK61" s="583">
        <v>85337</v>
      </c>
      <c r="BL61" s="583">
        <v>0</v>
      </c>
      <c r="BM61" s="583">
        <v>13336</v>
      </c>
      <c r="BN61" s="583">
        <v>0</v>
      </c>
      <c r="BO61" s="583">
        <v>98673</v>
      </c>
      <c r="BP61" s="583">
        <v>13336</v>
      </c>
      <c r="BQ61" s="583">
        <v>163529</v>
      </c>
      <c r="BR61" s="583">
        <v>26657</v>
      </c>
      <c r="BS61" s="583">
        <v>-13336</v>
      </c>
      <c r="BT61" s="583">
        <v>0</v>
      </c>
      <c r="BU61" s="583">
        <v>176850</v>
      </c>
      <c r="BV61" s="583">
        <v>0</v>
      </c>
    </row>
    <row r="62" spans="1:74" x14ac:dyDescent="0.2">
      <c r="A62" s="580">
        <v>5501</v>
      </c>
      <c r="B62" s="580" t="s">
        <v>105</v>
      </c>
      <c r="C62" s="583">
        <v>387958</v>
      </c>
      <c r="D62" s="583">
        <v>0</v>
      </c>
      <c r="E62" s="583">
        <v>236138</v>
      </c>
      <c r="F62" s="583">
        <v>0</v>
      </c>
      <c r="G62" s="583">
        <v>624096</v>
      </c>
      <c r="H62" s="583">
        <v>236138</v>
      </c>
      <c r="I62" s="583">
        <v>206303</v>
      </c>
      <c r="J62" s="583">
        <v>0</v>
      </c>
      <c r="K62" s="583">
        <v>417793</v>
      </c>
      <c r="L62" s="583">
        <v>0</v>
      </c>
      <c r="M62" s="583">
        <v>624096</v>
      </c>
      <c r="N62" s="583">
        <v>653931</v>
      </c>
      <c r="O62" s="583">
        <v>588536</v>
      </c>
      <c r="P62" s="583">
        <v>0</v>
      </c>
      <c r="Q62" s="583">
        <v>0</v>
      </c>
      <c r="R62" s="583">
        <v>0</v>
      </c>
      <c r="S62" s="583">
        <v>588536</v>
      </c>
      <c r="T62" s="583">
        <v>653931</v>
      </c>
      <c r="U62" s="583">
        <v>312504</v>
      </c>
      <c r="V62" s="583">
        <v>0</v>
      </c>
      <c r="W62" s="583">
        <v>311592</v>
      </c>
      <c r="X62" s="583">
        <v>0</v>
      </c>
      <c r="Y62" s="583">
        <v>624096</v>
      </c>
      <c r="Z62" s="583">
        <v>965523</v>
      </c>
      <c r="AA62" s="583">
        <v>2719366</v>
      </c>
      <c r="AB62" s="583">
        <v>25099</v>
      </c>
      <c r="AC62" s="583">
        <v>-965523</v>
      </c>
      <c r="AD62" s="583">
        <v>0</v>
      </c>
      <c r="AE62" s="583">
        <v>1778942</v>
      </c>
      <c r="AF62" s="583">
        <v>0</v>
      </c>
      <c r="AG62" s="583">
        <v>538637</v>
      </c>
      <c r="AH62" s="583">
        <v>17788</v>
      </c>
      <c r="AI62" s="583">
        <v>85459</v>
      </c>
      <c r="AJ62" s="583">
        <v>0</v>
      </c>
      <c r="AK62" s="583">
        <v>641884</v>
      </c>
      <c r="AL62" s="583">
        <v>85459</v>
      </c>
      <c r="AM62" s="583">
        <v>1070714</v>
      </c>
      <c r="AN62" s="583">
        <v>103947</v>
      </c>
      <c r="AO62" s="583">
        <v>-85459</v>
      </c>
      <c r="AP62" s="583">
        <v>0</v>
      </c>
      <c r="AQ62" s="583">
        <v>1089202</v>
      </c>
      <c r="AR62" s="583">
        <v>0</v>
      </c>
      <c r="AS62" s="583">
        <v>353673</v>
      </c>
      <c r="AT62" s="583">
        <v>0</v>
      </c>
      <c r="AU62" s="583">
        <v>270423</v>
      </c>
      <c r="AV62" s="583">
        <v>0</v>
      </c>
      <c r="AW62" s="583">
        <v>624096</v>
      </c>
      <c r="AX62" s="583">
        <v>270423</v>
      </c>
      <c r="AY62" s="583">
        <v>684665</v>
      </c>
      <c r="AZ62" s="583">
        <v>25483</v>
      </c>
      <c r="BA62" s="583">
        <v>0</v>
      </c>
      <c r="BB62" s="583">
        <v>0</v>
      </c>
      <c r="BC62" s="583">
        <v>710148</v>
      </c>
      <c r="BD62" s="583">
        <v>270423</v>
      </c>
      <c r="BE62" s="583">
        <v>1444613</v>
      </c>
      <c r="BF62" s="583">
        <v>0</v>
      </c>
      <c r="BG62" s="583">
        <v>-270423</v>
      </c>
      <c r="BH62" s="583">
        <v>0</v>
      </c>
      <c r="BI62" s="583">
        <v>1174190</v>
      </c>
      <c r="BJ62" s="583">
        <v>0</v>
      </c>
      <c r="BK62" s="583">
        <v>536158</v>
      </c>
      <c r="BL62" s="583">
        <v>0</v>
      </c>
      <c r="BM62" s="583">
        <v>87938</v>
      </c>
      <c r="BN62" s="583">
        <v>0</v>
      </c>
      <c r="BO62" s="583">
        <v>624096</v>
      </c>
      <c r="BP62" s="583">
        <v>87938</v>
      </c>
      <c r="BQ62" s="583">
        <v>1027426</v>
      </c>
      <c r="BR62" s="583">
        <v>167481</v>
      </c>
      <c r="BS62" s="583">
        <v>-87938</v>
      </c>
      <c r="BT62" s="583">
        <v>0</v>
      </c>
      <c r="BU62" s="583">
        <v>1106969</v>
      </c>
      <c r="BV62" s="583">
        <v>0</v>
      </c>
    </row>
    <row r="63" spans="1:74" x14ac:dyDescent="0.2">
      <c r="A63" s="580">
        <v>5502</v>
      </c>
      <c r="B63" s="580" t="s">
        <v>108</v>
      </c>
      <c r="C63" s="583">
        <v>246793</v>
      </c>
      <c r="D63" s="583">
        <v>0</v>
      </c>
      <c r="E63" s="583">
        <v>164445</v>
      </c>
      <c r="F63" s="583">
        <v>0</v>
      </c>
      <c r="G63" s="583">
        <v>411238</v>
      </c>
      <c r="H63" s="583">
        <v>164445</v>
      </c>
      <c r="I63" s="583">
        <v>131236</v>
      </c>
      <c r="J63" s="583">
        <v>0</v>
      </c>
      <c r="K63" s="583">
        <v>280002</v>
      </c>
      <c r="L63" s="583">
        <v>0</v>
      </c>
      <c r="M63" s="583">
        <v>411238</v>
      </c>
      <c r="N63" s="583">
        <v>444447</v>
      </c>
      <c r="O63" s="583">
        <v>374387</v>
      </c>
      <c r="P63" s="583">
        <v>0</v>
      </c>
      <c r="Q63" s="583">
        <v>0</v>
      </c>
      <c r="R63" s="583">
        <v>0</v>
      </c>
      <c r="S63" s="583">
        <v>374387</v>
      </c>
      <c r="T63" s="583">
        <v>444447</v>
      </c>
      <c r="U63" s="583">
        <v>198794</v>
      </c>
      <c r="V63" s="583">
        <v>0</v>
      </c>
      <c r="W63" s="583">
        <v>212444</v>
      </c>
      <c r="X63" s="583">
        <v>0</v>
      </c>
      <c r="Y63" s="583">
        <v>411238</v>
      </c>
      <c r="Z63" s="583">
        <v>656891</v>
      </c>
      <c r="AA63" s="583">
        <v>1729879</v>
      </c>
      <c r="AB63" s="583">
        <v>15966</v>
      </c>
      <c r="AC63" s="583">
        <v>-656891</v>
      </c>
      <c r="AD63" s="583">
        <v>0</v>
      </c>
      <c r="AE63" s="583">
        <v>1088954</v>
      </c>
      <c r="AF63" s="583">
        <v>0</v>
      </c>
      <c r="AG63" s="583">
        <v>342645</v>
      </c>
      <c r="AH63" s="583">
        <v>11315</v>
      </c>
      <c r="AI63" s="583">
        <v>68593</v>
      </c>
      <c r="AJ63" s="583">
        <v>0</v>
      </c>
      <c r="AK63" s="583">
        <v>422553</v>
      </c>
      <c r="AL63" s="583">
        <v>68593</v>
      </c>
      <c r="AM63" s="583">
        <v>681117</v>
      </c>
      <c r="AN63" s="583">
        <v>66124</v>
      </c>
      <c r="AO63" s="583">
        <v>-56452</v>
      </c>
      <c r="AP63" s="583">
        <v>0</v>
      </c>
      <c r="AQ63" s="583">
        <v>690789</v>
      </c>
      <c r="AR63" s="583">
        <v>12141</v>
      </c>
      <c r="AS63" s="583">
        <v>224983</v>
      </c>
      <c r="AT63" s="583">
        <v>0</v>
      </c>
      <c r="AU63" s="583">
        <v>186255</v>
      </c>
      <c r="AV63" s="583">
        <v>0</v>
      </c>
      <c r="AW63" s="583">
        <v>411238</v>
      </c>
      <c r="AX63" s="583">
        <v>198396</v>
      </c>
      <c r="AY63" s="583">
        <v>435538</v>
      </c>
      <c r="AZ63" s="583">
        <v>16210</v>
      </c>
      <c r="BA63" s="583">
        <v>0</v>
      </c>
      <c r="BB63" s="583">
        <v>0</v>
      </c>
      <c r="BC63" s="583">
        <v>451748</v>
      </c>
      <c r="BD63" s="583">
        <v>198396</v>
      </c>
      <c r="BE63" s="583">
        <v>918966</v>
      </c>
      <c r="BF63" s="583">
        <v>0</v>
      </c>
      <c r="BG63" s="583">
        <v>-198396</v>
      </c>
      <c r="BH63" s="583">
        <v>0</v>
      </c>
      <c r="BI63" s="583">
        <v>720570</v>
      </c>
      <c r="BJ63" s="583">
        <v>0</v>
      </c>
      <c r="BK63" s="583">
        <v>341068</v>
      </c>
      <c r="BL63" s="583">
        <v>0</v>
      </c>
      <c r="BM63" s="583">
        <v>70170</v>
      </c>
      <c r="BN63" s="583">
        <v>0</v>
      </c>
      <c r="BO63" s="583">
        <v>411238</v>
      </c>
      <c r="BP63" s="583">
        <v>70170</v>
      </c>
      <c r="BQ63" s="583">
        <v>653580</v>
      </c>
      <c r="BR63" s="583">
        <v>106540</v>
      </c>
      <c r="BS63" s="583">
        <v>-70170</v>
      </c>
      <c r="BT63" s="583">
        <v>0</v>
      </c>
      <c r="BU63" s="583">
        <v>689950</v>
      </c>
      <c r="BV63" s="583">
        <v>0</v>
      </c>
    </row>
    <row r="64" spans="1:74" x14ac:dyDescent="0.2">
      <c r="A64" s="580">
        <v>5503</v>
      </c>
      <c r="B64" s="580" t="s">
        <v>107</v>
      </c>
      <c r="C64" s="583">
        <v>120123</v>
      </c>
      <c r="D64" s="583">
        <v>0</v>
      </c>
      <c r="E64" s="583">
        <v>66807</v>
      </c>
      <c r="F64" s="583">
        <v>0</v>
      </c>
      <c r="G64" s="583">
        <v>186930</v>
      </c>
      <c r="H64" s="583">
        <v>66807</v>
      </c>
      <c r="I64" s="583">
        <v>63877</v>
      </c>
      <c r="J64" s="583">
        <v>0</v>
      </c>
      <c r="K64" s="583">
        <v>123053</v>
      </c>
      <c r="L64" s="583">
        <v>0</v>
      </c>
      <c r="M64" s="583">
        <v>186930</v>
      </c>
      <c r="N64" s="583">
        <v>189860</v>
      </c>
      <c r="O64" s="583">
        <v>182227</v>
      </c>
      <c r="P64" s="583">
        <v>0</v>
      </c>
      <c r="Q64" s="583">
        <v>0</v>
      </c>
      <c r="R64" s="583">
        <v>0</v>
      </c>
      <c r="S64" s="583">
        <v>182227</v>
      </c>
      <c r="T64" s="583">
        <v>189860</v>
      </c>
      <c r="U64" s="583">
        <v>96760</v>
      </c>
      <c r="V64" s="583">
        <v>0</v>
      </c>
      <c r="W64" s="583">
        <v>90170</v>
      </c>
      <c r="X64" s="583">
        <v>0</v>
      </c>
      <c r="Y64" s="583">
        <v>186930</v>
      </c>
      <c r="Z64" s="583">
        <v>280030</v>
      </c>
      <c r="AA64" s="583">
        <v>841992</v>
      </c>
      <c r="AB64" s="583">
        <v>7771</v>
      </c>
      <c r="AC64" s="583">
        <v>-280030</v>
      </c>
      <c r="AD64" s="583">
        <v>0</v>
      </c>
      <c r="AE64" s="583">
        <v>569733</v>
      </c>
      <c r="AF64" s="583">
        <v>0</v>
      </c>
      <c r="AG64" s="583">
        <v>166777</v>
      </c>
      <c r="AH64" s="583">
        <v>5508</v>
      </c>
      <c r="AI64" s="583">
        <v>20153</v>
      </c>
      <c r="AJ64" s="583">
        <v>0</v>
      </c>
      <c r="AK64" s="583">
        <v>192438</v>
      </c>
      <c r="AL64" s="583">
        <v>20153</v>
      </c>
      <c r="AM64" s="583">
        <v>331523</v>
      </c>
      <c r="AN64" s="583">
        <v>32185</v>
      </c>
      <c r="AO64" s="583">
        <v>-20153</v>
      </c>
      <c r="AP64" s="583">
        <v>0</v>
      </c>
      <c r="AQ64" s="583">
        <v>343555</v>
      </c>
      <c r="AR64" s="583">
        <v>0</v>
      </c>
      <c r="AS64" s="583">
        <v>109507</v>
      </c>
      <c r="AT64" s="583">
        <v>0</v>
      </c>
      <c r="AU64" s="583">
        <v>77423</v>
      </c>
      <c r="AV64" s="583">
        <v>0</v>
      </c>
      <c r="AW64" s="583">
        <v>186930</v>
      </c>
      <c r="AX64" s="583">
        <v>77423</v>
      </c>
      <c r="AY64" s="583">
        <v>211991</v>
      </c>
      <c r="AZ64" s="583">
        <v>7890</v>
      </c>
      <c r="BA64" s="583">
        <v>0</v>
      </c>
      <c r="BB64" s="583">
        <v>0</v>
      </c>
      <c r="BC64" s="583">
        <v>219881</v>
      </c>
      <c r="BD64" s="583">
        <v>77423</v>
      </c>
      <c r="BE64" s="583">
        <v>447293</v>
      </c>
      <c r="BF64" s="583">
        <v>0</v>
      </c>
      <c r="BG64" s="583">
        <v>-77423</v>
      </c>
      <c r="BH64" s="583">
        <v>0</v>
      </c>
      <c r="BI64" s="583">
        <v>369870</v>
      </c>
      <c r="BJ64" s="583">
        <v>0</v>
      </c>
      <c r="BK64" s="583">
        <v>166009</v>
      </c>
      <c r="BL64" s="583">
        <v>0</v>
      </c>
      <c r="BM64" s="583">
        <v>20921</v>
      </c>
      <c r="BN64" s="583">
        <v>0</v>
      </c>
      <c r="BO64" s="583">
        <v>186930</v>
      </c>
      <c r="BP64" s="583">
        <v>20921</v>
      </c>
      <c r="BQ64" s="583">
        <v>318120</v>
      </c>
      <c r="BR64" s="583">
        <v>51857</v>
      </c>
      <c r="BS64" s="583">
        <v>-20921</v>
      </c>
      <c r="BT64" s="583">
        <v>0</v>
      </c>
      <c r="BU64" s="583">
        <v>349056</v>
      </c>
      <c r="BV64" s="583">
        <v>0</v>
      </c>
    </row>
    <row r="65" spans="1:74" x14ac:dyDescent="0.2">
      <c r="A65" s="580">
        <v>5504</v>
      </c>
      <c r="B65" s="580" t="s">
        <v>109</v>
      </c>
      <c r="C65" s="583">
        <v>120142</v>
      </c>
      <c r="D65" s="583">
        <v>0</v>
      </c>
      <c r="E65" s="583">
        <v>70666</v>
      </c>
      <c r="F65" s="583">
        <v>0</v>
      </c>
      <c r="G65" s="583">
        <v>190808</v>
      </c>
      <c r="H65" s="583">
        <v>70666</v>
      </c>
      <c r="I65" s="583">
        <v>63887</v>
      </c>
      <c r="J65" s="583">
        <v>0</v>
      </c>
      <c r="K65" s="583">
        <v>126921</v>
      </c>
      <c r="L65" s="583">
        <v>0</v>
      </c>
      <c r="M65" s="583">
        <v>190808</v>
      </c>
      <c r="N65" s="583">
        <v>197587</v>
      </c>
      <c r="O65" s="583">
        <v>182256</v>
      </c>
      <c r="P65" s="583">
        <v>0</v>
      </c>
      <c r="Q65" s="583">
        <v>0</v>
      </c>
      <c r="R65" s="583">
        <v>0</v>
      </c>
      <c r="S65" s="583">
        <v>182256</v>
      </c>
      <c r="T65" s="583">
        <v>197587</v>
      </c>
      <c r="U65" s="583">
        <v>96775</v>
      </c>
      <c r="V65" s="583">
        <v>0</v>
      </c>
      <c r="W65" s="583">
        <v>94033</v>
      </c>
      <c r="X65" s="583">
        <v>0</v>
      </c>
      <c r="Y65" s="583">
        <v>190808</v>
      </c>
      <c r="Z65" s="583">
        <v>291620</v>
      </c>
      <c r="AA65" s="583">
        <v>842125</v>
      </c>
      <c r="AB65" s="583">
        <v>7773</v>
      </c>
      <c r="AC65" s="583">
        <v>-291620</v>
      </c>
      <c r="AD65" s="583">
        <v>0</v>
      </c>
      <c r="AE65" s="583">
        <v>558278</v>
      </c>
      <c r="AF65" s="583">
        <v>0</v>
      </c>
      <c r="AG65" s="583">
        <v>166803</v>
      </c>
      <c r="AH65" s="583">
        <v>5508</v>
      </c>
      <c r="AI65" s="583">
        <v>24005</v>
      </c>
      <c r="AJ65" s="583">
        <v>0</v>
      </c>
      <c r="AK65" s="583">
        <v>196316</v>
      </c>
      <c r="AL65" s="583">
        <v>24005</v>
      </c>
      <c r="AM65" s="583">
        <v>331575</v>
      </c>
      <c r="AN65" s="583">
        <v>32190</v>
      </c>
      <c r="AO65" s="583">
        <v>-24005</v>
      </c>
      <c r="AP65" s="583">
        <v>0</v>
      </c>
      <c r="AQ65" s="583">
        <v>339760</v>
      </c>
      <c r="AR65" s="583">
        <v>0</v>
      </c>
      <c r="AS65" s="583">
        <v>109524</v>
      </c>
      <c r="AT65" s="583">
        <v>0</v>
      </c>
      <c r="AU65" s="583">
        <v>81284</v>
      </c>
      <c r="AV65" s="583">
        <v>0</v>
      </c>
      <c r="AW65" s="583">
        <v>190808</v>
      </c>
      <c r="AX65" s="583">
        <v>81284</v>
      </c>
      <c r="AY65" s="583">
        <v>212025</v>
      </c>
      <c r="AZ65" s="583">
        <v>7891</v>
      </c>
      <c r="BA65" s="583">
        <v>0</v>
      </c>
      <c r="BB65" s="583">
        <v>0</v>
      </c>
      <c r="BC65" s="583">
        <v>219916</v>
      </c>
      <c r="BD65" s="583">
        <v>81284</v>
      </c>
      <c r="BE65" s="583">
        <v>447363</v>
      </c>
      <c r="BF65" s="583">
        <v>0</v>
      </c>
      <c r="BG65" s="583">
        <v>-81284</v>
      </c>
      <c r="BH65" s="583">
        <v>0</v>
      </c>
      <c r="BI65" s="583">
        <v>366079</v>
      </c>
      <c r="BJ65" s="583">
        <v>0</v>
      </c>
      <c r="BK65" s="583">
        <v>166036</v>
      </c>
      <c r="BL65" s="583">
        <v>0</v>
      </c>
      <c r="BM65" s="583">
        <v>24772</v>
      </c>
      <c r="BN65" s="583">
        <v>0</v>
      </c>
      <c r="BO65" s="583">
        <v>190808</v>
      </c>
      <c r="BP65" s="583">
        <v>24772</v>
      </c>
      <c r="BQ65" s="583">
        <v>318170</v>
      </c>
      <c r="BR65" s="583">
        <v>51865</v>
      </c>
      <c r="BS65" s="583">
        <v>-24772</v>
      </c>
      <c r="BT65" s="583">
        <v>0</v>
      </c>
      <c r="BU65" s="583">
        <v>345263</v>
      </c>
      <c r="BV65" s="583">
        <v>0</v>
      </c>
    </row>
    <row r="66" spans="1:74" x14ac:dyDescent="0.2">
      <c r="A66" s="580">
        <v>5506</v>
      </c>
      <c r="B66" s="580" t="s">
        <v>106</v>
      </c>
      <c r="C66" s="583">
        <v>132479</v>
      </c>
      <c r="D66" s="583">
        <v>0</v>
      </c>
      <c r="E66" s="583">
        <v>79411</v>
      </c>
      <c r="F66" s="583">
        <v>0</v>
      </c>
      <c r="G66" s="583">
        <v>211890</v>
      </c>
      <c r="H66" s="583">
        <v>79411</v>
      </c>
      <c r="I66" s="583">
        <v>70448</v>
      </c>
      <c r="J66" s="583">
        <v>0</v>
      </c>
      <c r="K66" s="583">
        <v>141442</v>
      </c>
      <c r="L66" s="583">
        <v>0</v>
      </c>
      <c r="M66" s="583">
        <v>211890</v>
      </c>
      <c r="N66" s="583">
        <v>220853</v>
      </c>
      <c r="O66" s="583">
        <v>200971</v>
      </c>
      <c r="P66" s="583">
        <v>0</v>
      </c>
      <c r="Q66" s="583">
        <v>0</v>
      </c>
      <c r="R66" s="583">
        <v>0</v>
      </c>
      <c r="S66" s="583">
        <v>200971</v>
      </c>
      <c r="T66" s="583">
        <v>220853</v>
      </c>
      <c r="U66" s="583">
        <v>106713</v>
      </c>
      <c r="V66" s="583">
        <v>0</v>
      </c>
      <c r="W66" s="583">
        <v>105177</v>
      </c>
      <c r="X66" s="583">
        <v>0</v>
      </c>
      <c r="Y66" s="583">
        <v>211890</v>
      </c>
      <c r="Z66" s="583">
        <v>326030</v>
      </c>
      <c r="AA66" s="583">
        <v>928599</v>
      </c>
      <c r="AB66" s="583">
        <v>8571</v>
      </c>
      <c r="AC66" s="583">
        <v>-326030</v>
      </c>
      <c r="AD66" s="583">
        <v>0</v>
      </c>
      <c r="AE66" s="583">
        <v>611140</v>
      </c>
      <c r="AF66" s="583">
        <v>0</v>
      </c>
      <c r="AG66" s="583">
        <v>183932</v>
      </c>
      <c r="AH66" s="583">
        <v>6074</v>
      </c>
      <c r="AI66" s="583">
        <v>27958</v>
      </c>
      <c r="AJ66" s="583">
        <v>0</v>
      </c>
      <c r="AK66" s="583">
        <v>217964</v>
      </c>
      <c r="AL66" s="583">
        <v>27958</v>
      </c>
      <c r="AM66" s="583">
        <v>365624</v>
      </c>
      <c r="AN66" s="583">
        <v>35495</v>
      </c>
      <c r="AO66" s="583">
        <v>-27958</v>
      </c>
      <c r="AP66" s="583">
        <v>0</v>
      </c>
      <c r="AQ66" s="583">
        <v>373161</v>
      </c>
      <c r="AR66" s="583">
        <v>0</v>
      </c>
      <c r="AS66" s="583">
        <v>120771</v>
      </c>
      <c r="AT66" s="583">
        <v>0</v>
      </c>
      <c r="AU66" s="583">
        <v>91119</v>
      </c>
      <c r="AV66" s="583">
        <v>0</v>
      </c>
      <c r="AW66" s="583">
        <v>211890</v>
      </c>
      <c r="AX66" s="583">
        <v>91119</v>
      </c>
      <c r="AY66" s="583">
        <v>233797</v>
      </c>
      <c r="AZ66" s="583">
        <v>8702</v>
      </c>
      <c r="BA66" s="583">
        <v>0</v>
      </c>
      <c r="BB66" s="583">
        <v>0</v>
      </c>
      <c r="BC66" s="583">
        <v>242499</v>
      </c>
      <c r="BD66" s="583">
        <v>91119</v>
      </c>
      <c r="BE66" s="583">
        <v>493301</v>
      </c>
      <c r="BF66" s="583">
        <v>0</v>
      </c>
      <c r="BG66" s="583">
        <v>-91119</v>
      </c>
      <c r="BH66" s="583">
        <v>0</v>
      </c>
      <c r="BI66" s="583">
        <v>402182</v>
      </c>
      <c r="BJ66" s="583">
        <v>0</v>
      </c>
      <c r="BK66" s="583">
        <v>183085</v>
      </c>
      <c r="BL66" s="583">
        <v>0</v>
      </c>
      <c r="BM66" s="583">
        <v>28805</v>
      </c>
      <c r="BN66" s="583">
        <v>0</v>
      </c>
      <c r="BO66" s="583">
        <v>211890</v>
      </c>
      <c r="BP66" s="583">
        <v>28805</v>
      </c>
      <c r="BQ66" s="583">
        <v>350842</v>
      </c>
      <c r="BR66" s="583">
        <v>57191</v>
      </c>
      <c r="BS66" s="583">
        <v>-28805</v>
      </c>
      <c r="BT66" s="583">
        <v>0</v>
      </c>
      <c r="BU66" s="583">
        <v>379228</v>
      </c>
      <c r="BV66" s="583">
        <v>0</v>
      </c>
    </row>
    <row r="67" spans="1:74" x14ac:dyDescent="0.2">
      <c r="A67" s="580">
        <v>5601</v>
      </c>
      <c r="B67" s="580" t="s">
        <v>99</v>
      </c>
      <c r="C67" s="583">
        <v>423603</v>
      </c>
      <c r="D67" s="583">
        <v>0</v>
      </c>
      <c r="E67" s="583">
        <v>212548</v>
      </c>
      <c r="F67" s="583">
        <v>0</v>
      </c>
      <c r="G67" s="583">
        <v>636151</v>
      </c>
      <c r="H67" s="583">
        <v>212548</v>
      </c>
      <c r="I67" s="583">
        <v>225258</v>
      </c>
      <c r="J67" s="583">
        <v>0</v>
      </c>
      <c r="K67" s="583">
        <v>410893</v>
      </c>
      <c r="L67" s="583">
        <v>0</v>
      </c>
      <c r="M67" s="583">
        <v>636151</v>
      </c>
      <c r="N67" s="583">
        <v>623441</v>
      </c>
      <c r="O67" s="583">
        <v>642609</v>
      </c>
      <c r="P67" s="583">
        <v>0</v>
      </c>
      <c r="Q67" s="583">
        <v>0</v>
      </c>
      <c r="R67" s="583">
        <v>0</v>
      </c>
      <c r="S67" s="583">
        <v>642609</v>
      </c>
      <c r="T67" s="583">
        <v>623441</v>
      </c>
      <c r="U67" s="583">
        <v>341216</v>
      </c>
      <c r="V67" s="583">
        <v>0</v>
      </c>
      <c r="W67" s="583">
        <v>294935</v>
      </c>
      <c r="X67" s="583">
        <v>0</v>
      </c>
      <c r="Y67" s="583">
        <v>636151</v>
      </c>
      <c r="Z67" s="583">
        <v>918376</v>
      </c>
      <c r="AA67" s="583">
        <v>2969214</v>
      </c>
      <c r="AB67" s="583">
        <v>27405</v>
      </c>
      <c r="AC67" s="583">
        <v>-918376</v>
      </c>
      <c r="AD67" s="583">
        <v>0</v>
      </c>
      <c r="AE67" s="583">
        <v>2078243</v>
      </c>
      <c r="AF67" s="583">
        <v>0</v>
      </c>
      <c r="AG67" s="583">
        <v>588126</v>
      </c>
      <c r="AH67" s="583">
        <v>19422</v>
      </c>
      <c r="AI67" s="583">
        <v>48025</v>
      </c>
      <c r="AJ67" s="583">
        <v>0</v>
      </c>
      <c r="AK67" s="583">
        <v>655573</v>
      </c>
      <c r="AL67" s="583">
        <v>48025</v>
      </c>
      <c r="AM67" s="583">
        <v>1169089</v>
      </c>
      <c r="AN67" s="583">
        <v>113497</v>
      </c>
      <c r="AO67" s="583">
        <v>-48025</v>
      </c>
      <c r="AP67" s="583">
        <v>0</v>
      </c>
      <c r="AQ67" s="583">
        <v>1234561</v>
      </c>
      <c r="AR67" s="583">
        <v>0</v>
      </c>
      <c r="AS67" s="583">
        <v>386168</v>
      </c>
      <c r="AT67" s="583">
        <v>0</v>
      </c>
      <c r="AU67" s="583">
        <v>249983</v>
      </c>
      <c r="AV67" s="583">
        <v>0</v>
      </c>
      <c r="AW67" s="583">
        <v>636151</v>
      </c>
      <c r="AX67" s="583">
        <v>249983</v>
      </c>
      <c r="AY67" s="583">
        <v>747570</v>
      </c>
      <c r="AZ67" s="583">
        <v>27824</v>
      </c>
      <c r="BA67" s="583">
        <v>0</v>
      </c>
      <c r="BB67" s="583">
        <v>0</v>
      </c>
      <c r="BC67" s="583">
        <v>775394</v>
      </c>
      <c r="BD67" s="583">
        <v>249983</v>
      </c>
      <c r="BE67" s="583">
        <v>1577340</v>
      </c>
      <c r="BF67" s="583">
        <v>0</v>
      </c>
      <c r="BG67" s="583">
        <v>-249983</v>
      </c>
      <c r="BH67" s="583">
        <v>0</v>
      </c>
      <c r="BI67" s="583">
        <v>1327357</v>
      </c>
      <c r="BJ67" s="583">
        <v>0</v>
      </c>
      <c r="BK67" s="583">
        <v>585418</v>
      </c>
      <c r="BL67" s="583">
        <v>0</v>
      </c>
      <c r="BM67" s="583">
        <v>50733</v>
      </c>
      <c r="BN67" s="583">
        <v>0</v>
      </c>
      <c r="BO67" s="583">
        <v>636151</v>
      </c>
      <c r="BP67" s="583">
        <v>50733</v>
      </c>
      <c r="BQ67" s="583">
        <v>1121824</v>
      </c>
      <c r="BR67" s="583">
        <v>182869</v>
      </c>
      <c r="BS67" s="583">
        <v>-50733</v>
      </c>
      <c r="BT67" s="583">
        <v>0</v>
      </c>
      <c r="BU67" s="583">
        <v>1253960</v>
      </c>
      <c r="BV67" s="583">
        <v>0</v>
      </c>
    </row>
    <row r="68" spans="1:74" x14ac:dyDescent="0.2">
      <c r="A68" s="580">
        <v>5602</v>
      </c>
      <c r="B68" s="580" t="s">
        <v>104</v>
      </c>
      <c r="C68" s="583">
        <v>75139</v>
      </c>
      <c r="D68" s="583">
        <v>0</v>
      </c>
      <c r="E68" s="583">
        <v>44837</v>
      </c>
      <c r="F68" s="583">
        <v>0</v>
      </c>
      <c r="G68" s="583">
        <v>119976</v>
      </c>
      <c r="H68" s="583">
        <v>44837</v>
      </c>
      <c r="I68" s="583">
        <v>39956</v>
      </c>
      <c r="J68" s="583">
        <v>0</v>
      </c>
      <c r="K68" s="583">
        <v>80020</v>
      </c>
      <c r="L68" s="583">
        <v>0</v>
      </c>
      <c r="M68" s="583">
        <v>119976</v>
      </c>
      <c r="N68" s="583">
        <v>124857</v>
      </c>
      <c r="O68" s="583">
        <v>113987</v>
      </c>
      <c r="P68" s="583">
        <v>0</v>
      </c>
      <c r="Q68" s="583">
        <v>0</v>
      </c>
      <c r="R68" s="583">
        <v>0</v>
      </c>
      <c r="S68" s="583">
        <v>113987</v>
      </c>
      <c r="T68" s="583">
        <v>124857</v>
      </c>
      <c r="U68" s="583">
        <v>60525</v>
      </c>
      <c r="V68" s="583">
        <v>0</v>
      </c>
      <c r="W68" s="583">
        <v>59451</v>
      </c>
      <c r="X68" s="583">
        <v>0</v>
      </c>
      <c r="Y68" s="583">
        <v>119976</v>
      </c>
      <c r="Z68" s="583">
        <v>184308</v>
      </c>
      <c r="AA68" s="583">
        <v>526683</v>
      </c>
      <c r="AB68" s="583">
        <v>4861</v>
      </c>
      <c r="AC68" s="583">
        <v>-184308</v>
      </c>
      <c r="AD68" s="583">
        <v>0</v>
      </c>
      <c r="AE68" s="583">
        <v>347236</v>
      </c>
      <c r="AF68" s="583">
        <v>0</v>
      </c>
      <c r="AG68" s="583">
        <v>104322</v>
      </c>
      <c r="AH68" s="583">
        <v>3445</v>
      </c>
      <c r="AI68" s="583">
        <v>15654</v>
      </c>
      <c r="AJ68" s="583">
        <v>0</v>
      </c>
      <c r="AK68" s="583">
        <v>123421</v>
      </c>
      <c r="AL68" s="583">
        <v>15654</v>
      </c>
      <c r="AM68" s="583">
        <v>207374</v>
      </c>
      <c r="AN68" s="583">
        <v>20132</v>
      </c>
      <c r="AO68" s="583">
        <v>-15654</v>
      </c>
      <c r="AP68" s="583">
        <v>0</v>
      </c>
      <c r="AQ68" s="583">
        <v>211852</v>
      </c>
      <c r="AR68" s="583">
        <v>0</v>
      </c>
      <c r="AS68" s="583">
        <v>68499</v>
      </c>
      <c r="AT68" s="583">
        <v>0</v>
      </c>
      <c r="AU68" s="583">
        <v>51477</v>
      </c>
      <c r="AV68" s="583">
        <v>0</v>
      </c>
      <c r="AW68" s="583">
        <v>119976</v>
      </c>
      <c r="AX68" s="583">
        <v>51477</v>
      </c>
      <c r="AY68" s="583">
        <v>132605</v>
      </c>
      <c r="AZ68" s="583">
        <v>4935</v>
      </c>
      <c r="BA68" s="583">
        <v>0</v>
      </c>
      <c r="BB68" s="583">
        <v>0</v>
      </c>
      <c r="BC68" s="583">
        <v>137540</v>
      </c>
      <c r="BD68" s="583">
        <v>51477</v>
      </c>
      <c r="BE68" s="583">
        <v>279791</v>
      </c>
      <c r="BF68" s="583">
        <v>0</v>
      </c>
      <c r="BG68" s="583">
        <v>-51477</v>
      </c>
      <c r="BH68" s="583">
        <v>0</v>
      </c>
      <c r="BI68" s="583">
        <v>228314</v>
      </c>
      <c r="BJ68" s="583">
        <v>0</v>
      </c>
      <c r="BK68" s="583">
        <v>103842</v>
      </c>
      <c r="BL68" s="583">
        <v>0</v>
      </c>
      <c r="BM68" s="583">
        <v>16134</v>
      </c>
      <c r="BN68" s="583">
        <v>0</v>
      </c>
      <c r="BO68" s="583">
        <v>119976</v>
      </c>
      <c r="BP68" s="583">
        <v>16134</v>
      </c>
      <c r="BQ68" s="583">
        <v>198990</v>
      </c>
      <c r="BR68" s="583">
        <v>32438</v>
      </c>
      <c r="BS68" s="583">
        <v>-16134</v>
      </c>
      <c r="BT68" s="583">
        <v>0</v>
      </c>
      <c r="BU68" s="583">
        <v>215294</v>
      </c>
      <c r="BV68" s="583">
        <v>0</v>
      </c>
    </row>
    <row r="69" spans="1:74" x14ac:dyDescent="0.2">
      <c r="A69" s="580">
        <v>5603</v>
      </c>
      <c r="B69" s="580" t="s">
        <v>101</v>
      </c>
      <c r="C69" s="583">
        <v>469170</v>
      </c>
      <c r="D69" s="583">
        <v>0</v>
      </c>
      <c r="E69" s="583">
        <v>270571</v>
      </c>
      <c r="F69" s="583">
        <v>0</v>
      </c>
      <c r="G69" s="583">
        <v>739741</v>
      </c>
      <c r="H69" s="583">
        <v>270571</v>
      </c>
      <c r="I69" s="583">
        <v>249489</v>
      </c>
      <c r="J69" s="583">
        <v>0</v>
      </c>
      <c r="K69" s="583">
        <v>490252</v>
      </c>
      <c r="L69" s="583">
        <v>0</v>
      </c>
      <c r="M69" s="583">
        <v>739741</v>
      </c>
      <c r="N69" s="583">
        <v>760823</v>
      </c>
      <c r="O69" s="583">
        <v>711735</v>
      </c>
      <c r="P69" s="583">
        <v>0</v>
      </c>
      <c r="Q69" s="583">
        <v>0</v>
      </c>
      <c r="R69" s="583">
        <v>0</v>
      </c>
      <c r="S69" s="583">
        <v>711735</v>
      </c>
      <c r="T69" s="583">
        <v>760823</v>
      </c>
      <c r="U69" s="583">
        <v>377920</v>
      </c>
      <c r="V69" s="583">
        <v>0</v>
      </c>
      <c r="W69" s="583">
        <v>361821</v>
      </c>
      <c r="X69" s="583">
        <v>0</v>
      </c>
      <c r="Y69" s="583">
        <v>739741</v>
      </c>
      <c r="Z69" s="583">
        <v>1122644</v>
      </c>
      <c r="AA69" s="583">
        <v>3288615</v>
      </c>
      <c r="AB69" s="583">
        <v>30353</v>
      </c>
      <c r="AC69" s="583">
        <v>-1122644</v>
      </c>
      <c r="AD69" s="583">
        <v>0</v>
      </c>
      <c r="AE69" s="583">
        <v>2196324</v>
      </c>
      <c r="AF69" s="583">
        <v>0</v>
      </c>
      <c r="AG69" s="583">
        <v>651391</v>
      </c>
      <c r="AH69" s="583">
        <v>21511</v>
      </c>
      <c r="AI69" s="583">
        <v>88350</v>
      </c>
      <c r="AJ69" s="583">
        <v>0</v>
      </c>
      <c r="AK69" s="583">
        <v>761252</v>
      </c>
      <c r="AL69" s="583">
        <v>88350</v>
      </c>
      <c r="AM69" s="583">
        <v>1294849</v>
      </c>
      <c r="AN69" s="583">
        <v>125706</v>
      </c>
      <c r="AO69" s="583">
        <v>-88350</v>
      </c>
      <c r="AP69" s="583">
        <v>0</v>
      </c>
      <c r="AQ69" s="583">
        <v>1332205</v>
      </c>
      <c r="AR69" s="583">
        <v>0</v>
      </c>
      <c r="AS69" s="583">
        <v>427708</v>
      </c>
      <c r="AT69" s="583">
        <v>0</v>
      </c>
      <c r="AU69" s="583">
        <v>312033</v>
      </c>
      <c r="AV69" s="583">
        <v>0</v>
      </c>
      <c r="AW69" s="583">
        <v>739741</v>
      </c>
      <c r="AX69" s="583">
        <v>312033</v>
      </c>
      <c r="AY69" s="583">
        <v>827987</v>
      </c>
      <c r="AZ69" s="583">
        <v>30817</v>
      </c>
      <c r="BA69" s="583">
        <v>0</v>
      </c>
      <c r="BB69" s="583">
        <v>0</v>
      </c>
      <c r="BC69" s="583">
        <v>858804</v>
      </c>
      <c r="BD69" s="583">
        <v>312033</v>
      </c>
      <c r="BE69" s="583">
        <v>1747016</v>
      </c>
      <c r="BF69" s="583">
        <v>0</v>
      </c>
      <c r="BG69" s="583">
        <v>-312033</v>
      </c>
      <c r="BH69" s="583">
        <v>0</v>
      </c>
      <c r="BI69" s="583">
        <v>1434983</v>
      </c>
      <c r="BJ69" s="583">
        <v>0</v>
      </c>
      <c r="BK69" s="583">
        <v>648392</v>
      </c>
      <c r="BL69" s="583">
        <v>0</v>
      </c>
      <c r="BM69" s="583">
        <v>91349</v>
      </c>
      <c r="BN69" s="583">
        <v>0</v>
      </c>
      <c r="BO69" s="583">
        <v>739741</v>
      </c>
      <c r="BP69" s="583">
        <v>91349</v>
      </c>
      <c r="BQ69" s="583">
        <v>1242499</v>
      </c>
      <c r="BR69" s="583">
        <v>202540</v>
      </c>
      <c r="BS69" s="583">
        <v>-91349</v>
      </c>
      <c r="BT69" s="583">
        <v>0</v>
      </c>
      <c r="BU69" s="583">
        <v>1353690</v>
      </c>
      <c r="BV69" s="583">
        <v>0</v>
      </c>
    </row>
    <row r="70" spans="1:74" x14ac:dyDescent="0.2">
      <c r="A70" s="580">
        <v>5604</v>
      </c>
      <c r="B70" s="580" t="s">
        <v>103</v>
      </c>
      <c r="C70" s="583">
        <v>676932</v>
      </c>
      <c r="D70" s="583">
        <v>0</v>
      </c>
      <c r="E70" s="583">
        <v>352742</v>
      </c>
      <c r="F70" s="583">
        <v>0</v>
      </c>
      <c r="G70" s="583">
        <v>1029674</v>
      </c>
      <c r="H70" s="583">
        <v>352742</v>
      </c>
      <c r="I70" s="583">
        <v>359970</v>
      </c>
      <c r="J70" s="583">
        <v>0</v>
      </c>
      <c r="K70" s="583">
        <v>669704</v>
      </c>
      <c r="L70" s="583">
        <v>0</v>
      </c>
      <c r="M70" s="583">
        <v>1029674</v>
      </c>
      <c r="N70" s="583">
        <v>1022446</v>
      </c>
      <c r="O70" s="583">
        <v>1026913</v>
      </c>
      <c r="P70" s="583">
        <v>0</v>
      </c>
      <c r="Q70" s="583">
        <v>0</v>
      </c>
      <c r="R70" s="583">
        <v>0</v>
      </c>
      <c r="S70" s="583">
        <v>1026913</v>
      </c>
      <c r="T70" s="583">
        <v>1022446</v>
      </c>
      <c r="U70" s="583">
        <v>545275</v>
      </c>
      <c r="V70" s="583">
        <v>0</v>
      </c>
      <c r="W70" s="583">
        <v>484399</v>
      </c>
      <c r="X70" s="583">
        <v>0</v>
      </c>
      <c r="Y70" s="583">
        <v>1029674</v>
      </c>
      <c r="Z70" s="583">
        <v>1506845</v>
      </c>
      <c r="AA70" s="583">
        <v>4744910</v>
      </c>
      <c r="AB70" s="583">
        <v>43794</v>
      </c>
      <c r="AC70" s="583">
        <v>-1506845</v>
      </c>
      <c r="AD70" s="583">
        <v>0</v>
      </c>
      <c r="AE70" s="583">
        <v>3281859</v>
      </c>
      <c r="AF70" s="583">
        <v>0</v>
      </c>
      <c r="AG70" s="583">
        <v>939845</v>
      </c>
      <c r="AH70" s="583">
        <v>31037</v>
      </c>
      <c r="AI70" s="583">
        <v>89829</v>
      </c>
      <c r="AJ70" s="583">
        <v>0</v>
      </c>
      <c r="AK70" s="583">
        <v>1060711</v>
      </c>
      <c r="AL70" s="583">
        <v>89829</v>
      </c>
      <c r="AM70" s="583">
        <v>1868245</v>
      </c>
      <c r="AN70" s="583">
        <v>181373</v>
      </c>
      <c r="AO70" s="583">
        <v>-89829</v>
      </c>
      <c r="AP70" s="583">
        <v>0</v>
      </c>
      <c r="AQ70" s="583">
        <v>1959789</v>
      </c>
      <c r="AR70" s="583">
        <v>0</v>
      </c>
      <c r="AS70" s="583">
        <v>617110</v>
      </c>
      <c r="AT70" s="583">
        <v>0</v>
      </c>
      <c r="AU70" s="583">
        <v>412564</v>
      </c>
      <c r="AV70" s="583">
        <v>0</v>
      </c>
      <c r="AW70" s="583">
        <v>1029674</v>
      </c>
      <c r="AX70" s="583">
        <v>412564</v>
      </c>
      <c r="AY70" s="583">
        <v>1194643</v>
      </c>
      <c r="AZ70" s="583">
        <v>44464</v>
      </c>
      <c r="BA70" s="583">
        <v>0</v>
      </c>
      <c r="BB70" s="583">
        <v>0</v>
      </c>
      <c r="BC70" s="583">
        <v>1239107</v>
      </c>
      <c r="BD70" s="583">
        <v>412564</v>
      </c>
      <c r="BE70" s="583">
        <v>2520645</v>
      </c>
      <c r="BF70" s="583">
        <v>0</v>
      </c>
      <c r="BG70" s="583">
        <v>-412564</v>
      </c>
      <c r="BH70" s="583">
        <v>0</v>
      </c>
      <c r="BI70" s="583">
        <v>2108081</v>
      </c>
      <c r="BJ70" s="583">
        <v>0</v>
      </c>
      <c r="BK70" s="583">
        <v>935519</v>
      </c>
      <c r="BL70" s="583">
        <v>0</v>
      </c>
      <c r="BM70" s="583">
        <v>94155</v>
      </c>
      <c r="BN70" s="583">
        <v>0</v>
      </c>
      <c r="BO70" s="583">
        <v>1029674</v>
      </c>
      <c r="BP70" s="583">
        <v>94155</v>
      </c>
      <c r="BQ70" s="583">
        <v>1792714</v>
      </c>
      <c r="BR70" s="583">
        <v>292231</v>
      </c>
      <c r="BS70" s="583">
        <v>-94155</v>
      </c>
      <c r="BT70" s="583">
        <v>0</v>
      </c>
      <c r="BU70" s="583">
        <v>1990790</v>
      </c>
      <c r="BV70" s="583">
        <v>0</v>
      </c>
    </row>
    <row r="71" spans="1:74" x14ac:dyDescent="0.2">
      <c r="A71" s="580">
        <v>5605</v>
      </c>
      <c r="B71" s="580" t="s">
        <v>102</v>
      </c>
      <c r="C71" s="583">
        <v>729597</v>
      </c>
      <c r="D71" s="583">
        <v>0</v>
      </c>
      <c r="E71" s="583">
        <v>323311</v>
      </c>
      <c r="F71" s="583">
        <v>0</v>
      </c>
      <c r="G71" s="583">
        <v>1052908</v>
      </c>
      <c r="H71" s="583">
        <v>323311</v>
      </c>
      <c r="I71" s="583">
        <v>387975</v>
      </c>
      <c r="J71" s="583">
        <v>0</v>
      </c>
      <c r="K71" s="583">
        <v>664933</v>
      </c>
      <c r="L71" s="583">
        <v>0</v>
      </c>
      <c r="M71" s="583">
        <v>1052908</v>
      </c>
      <c r="N71" s="583">
        <v>988244</v>
      </c>
      <c r="O71" s="583">
        <v>1106806</v>
      </c>
      <c r="P71" s="583">
        <v>0</v>
      </c>
      <c r="Q71" s="583">
        <v>0</v>
      </c>
      <c r="R71" s="583">
        <v>0</v>
      </c>
      <c r="S71" s="583">
        <v>1106806</v>
      </c>
      <c r="T71" s="583">
        <v>988244</v>
      </c>
      <c r="U71" s="583">
        <v>587697</v>
      </c>
      <c r="V71" s="583">
        <v>0</v>
      </c>
      <c r="W71" s="583">
        <v>465211</v>
      </c>
      <c r="X71" s="583">
        <v>0</v>
      </c>
      <c r="Y71" s="583">
        <v>1052908</v>
      </c>
      <c r="Z71" s="583">
        <v>1453455</v>
      </c>
      <c r="AA71" s="583">
        <v>5114061</v>
      </c>
      <c r="AB71" s="583">
        <v>47201</v>
      </c>
      <c r="AC71" s="583">
        <v>-1453455</v>
      </c>
      <c r="AD71" s="583">
        <v>0</v>
      </c>
      <c r="AE71" s="583">
        <v>3707807</v>
      </c>
      <c r="AF71" s="583">
        <v>0</v>
      </c>
      <c r="AG71" s="583">
        <v>1012965</v>
      </c>
      <c r="AH71" s="583">
        <v>33452</v>
      </c>
      <c r="AI71" s="583">
        <v>39943</v>
      </c>
      <c r="AJ71" s="583">
        <v>0</v>
      </c>
      <c r="AK71" s="583">
        <v>1086360</v>
      </c>
      <c r="AL71" s="583">
        <v>39943</v>
      </c>
      <c r="AM71" s="583">
        <v>2013594</v>
      </c>
      <c r="AN71" s="583">
        <v>195483</v>
      </c>
      <c r="AO71" s="583">
        <v>-39943</v>
      </c>
      <c r="AP71" s="583">
        <v>0</v>
      </c>
      <c r="AQ71" s="583">
        <v>2169134</v>
      </c>
      <c r="AR71" s="583">
        <v>0</v>
      </c>
      <c r="AS71" s="583">
        <v>665121</v>
      </c>
      <c r="AT71" s="583">
        <v>0</v>
      </c>
      <c r="AU71" s="583">
        <v>387787</v>
      </c>
      <c r="AV71" s="583">
        <v>0</v>
      </c>
      <c r="AW71" s="583">
        <v>1052908</v>
      </c>
      <c r="AX71" s="583">
        <v>387787</v>
      </c>
      <c r="AY71" s="583">
        <v>1287586</v>
      </c>
      <c r="AZ71" s="583">
        <v>47923</v>
      </c>
      <c r="BA71" s="583">
        <v>0</v>
      </c>
      <c r="BB71" s="583">
        <v>0</v>
      </c>
      <c r="BC71" s="583">
        <v>1335509</v>
      </c>
      <c r="BD71" s="583">
        <v>387787</v>
      </c>
      <c r="BE71" s="583">
        <v>2716750</v>
      </c>
      <c r="BF71" s="583">
        <v>0</v>
      </c>
      <c r="BG71" s="583">
        <v>-387787</v>
      </c>
      <c r="BH71" s="583">
        <v>0</v>
      </c>
      <c r="BI71" s="583">
        <v>2328963</v>
      </c>
      <c r="BJ71" s="583">
        <v>0</v>
      </c>
      <c r="BK71" s="583">
        <v>1008302</v>
      </c>
      <c r="BL71" s="583">
        <v>0</v>
      </c>
      <c r="BM71" s="583">
        <v>44606</v>
      </c>
      <c r="BN71" s="583">
        <v>0</v>
      </c>
      <c r="BO71" s="583">
        <v>1052908</v>
      </c>
      <c r="BP71" s="583">
        <v>44606</v>
      </c>
      <c r="BQ71" s="583">
        <v>1932186</v>
      </c>
      <c r="BR71" s="583">
        <v>314966</v>
      </c>
      <c r="BS71" s="583">
        <v>-44606</v>
      </c>
      <c r="BT71" s="583">
        <v>0</v>
      </c>
      <c r="BU71" s="583">
        <v>2202546</v>
      </c>
      <c r="BV71" s="583">
        <v>0</v>
      </c>
    </row>
    <row r="72" spans="1:74" x14ac:dyDescent="0.2">
      <c r="A72" s="580">
        <v>5606</v>
      </c>
      <c r="B72" s="580" t="s">
        <v>100</v>
      </c>
      <c r="C72" s="583">
        <v>78733</v>
      </c>
      <c r="D72" s="583">
        <v>0</v>
      </c>
      <c r="E72" s="583">
        <v>47279</v>
      </c>
      <c r="F72" s="583">
        <v>0</v>
      </c>
      <c r="G72" s="583">
        <v>126012</v>
      </c>
      <c r="H72" s="583">
        <v>47279</v>
      </c>
      <c r="I72" s="583">
        <v>41868</v>
      </c>
      <c r="J72" s="583">
        <v>0</v>
      </c>
      <c r="K72" s="583">
        <v>84144</v>
      </c>
      <c r="L72" s="583">
        <v>0</v>
      </c>
      <c r="M72" s="583">
        <v>126012</v>
      </c>
      <c r="N72" s="583">
        <v>131423</v>
      </c>
      <c r="O72" s="583">
        <v>119439</v>
      </c>
      <c r="P72" s="583">
        <v>0</v>
      </c>
      <c r="Q72" s="583">
        <v>0</v>
      </c>
      <c r="R72" s="583">
        <v>0</v>
      </c>
      <c r="S72" s="583">
        <v>119439</v>
      </c>
      <c r="T72" s="583">
        <v>131423</v>
      </c>
      <c r="U72" s="583">
        <v>63420</v>
      </c>
      <c r="V72" s="583">
        <v>0</v>
      </c>
      <c r="W72" s="583">
        <v>62592</v>
      </c>
      <c r="X72" s="583">
        <v>0</v>
      </c>
      <c r="Y72" s="583">
        <v>126012</v>
      </c>
      <c r="Z72" s="583">
        <v>194015</v>
      </c>
      <c r="AA72" s="583">
        <v>551877</v>
      </c>
      <c r="AB72" s="583">
        <v>5094</v>
      </c>
      <c r="AC72" s="583">
        <v>-194015</v>
      </c>
      <c r="AD72" s="583">
        <v>0</v>
      </c>
      <c r="AE72" s="583">
        <v>362956</v>
      </c>
      <c r="AF72" s="583">
        <v>0</v>
      </c>
      <c r="AG72" s="583">
        <v>109313</v>
      </c>
      <c r="AH72" s="583">
        <v>3610</v>
      </c>
      <c r="AI72" s="583">
        <v>16699</v>
      </c>
      <c r="AJ72" s="583">
        <v>0</v>
      </c>
      <c r="AK72" s="583">
        <v>129622</v>
      </c>
      <c r="AL72" s="583">
        <v>16699</v>
      </c>
      <c r="AM72" s="583">
        <v>217294</v>
      </c>
      <c r="AN72" s="583">
        <v>21095</v>
      </c>
      <c r="AO72" s="583">
        <v>-16699</v>
      </c>
      <c r="AP72" s="583">
        <v>0</v>
      </c>
      <c r="AQ72" s="583">
        <v>221690</v>
      </c>
      <c r="AR72" s="583">
        <v>0</v>
      </c>
      <c r="AS72" s="583">
        <v>71776</v>
      </c>
      <c r="AT72" s="583">
        <v>0</v>
      </c>
      <c r="AU72" s="583">
        <v>54236</v>
      </c>
      <c r="AV72" s="583">
        <v>0</v>
      </c>
      <c r="AW72" s="583">
        <v>126012</v>
      </c>
      <c r="AX72" s="583">
        <v>54236</v>
      </c>
      <c r="AY72" s="583">
        <v>138948</v>
      </c>
      <c r="AZ72" s="583">
        <v>5172</v>
      </c>
      <c r="BA72" s="583">
        <v>0</v>
      </c>
      <c r="BB72" s="583">
        <v>0</v>
      </c>
      <c r="BC72" s="583">
        <v>144120</v>
      </c>
      <c r="BD72" s="583">
        <v>54236</v>
      </c>
      <c r="BE72" s="583">
        <v>293174</v>
      </c>
      <c r="BF72" s="583">
        <v>0</v>
      </c>
      <c r="BG72" s="583">
        <v>-54236</v>
      </c>
      <c r="BH72" s="583">
        <v>0</v>
      </c>
      <c r="BI72" s="583">
        <v>238938</v>
      </c>
      <c r="BJ72" s="583">
        <v>0</v>
      </c>
      <c r="BK72" s="583">
        <v>108810</v>
      </c>
      <c r="BL72" s="583">
        <v>0</v>
      </c>
      <c r="BM72" s="583">
        <v>17202</v>
      </c>
      <c r="BN72" s="583">
        <v>0</v>
      </c>
      <c r="BO72" s="583">
        <v>126012</v>
      </c>
      <c r="BP72" s="583">
        <v>17202</v>
      </c>
      <c r="BQ72" s="583">
        <v>208509</v>
      </c>
      <c r="BR72" s="583">
        <v>33989</v>
      </c>
      <c r="BS72" s="583">
        <v>-17202</v>
      </c>
      <c r="BT72" s="583">
        <v>0</v>
      </c>
      <c r="BU72" s="583">
        <v>225296</v>
      </c>
      <c r="BV72" s="583">
        <v>0</v>
      </c>
    </row>
    <row r="73" spans="1:74" x14ac:dyDescent="0.2">
      <c r="A73" s="580">
        <v>5701</v>
      </c>
      <c r="B73" s="580" t="s">
        <v>111</v>
      </c>
      <c r="C73" s="583">
        <v>362869</v>
      </c>
      <c r="D73" s="583">
        <v>0</v>
      </c>
      <c r="E73" s="583">
        <v>227518</v>
      </c>
      <c r="F73" s="583">
        <v>0</v>
      </c>
      <c r="G73" s="583">
        <v>590387</v>
      </c>
      <c r="H73" s="583">
        <v>227518</v>
      </c>
      <c r="I73" s="583">
        <v>192962</v>
      </c>
      <c r="J73" s="583">
        <v>0</v>
      </c>
      <c r="K73" s="583">
        <v>397425</v>
      </c>
      <c r="L73" s="583">
        <v>0</v>
      </c>
      <c r="M73" s="583">
        <v>590387</v>
      </c>
      <c r="N73" s="583">
        <v>624943</v>
      </c>
      <c r="O73" s="583">
        <v>550476</v>
      </c>
      <c r="P73" s="583">
        <v>0</v>
      </c>
      <c r="Q73" s="583">
        <v>0</v>
      </c>
      <c r="R73" s="583">
        <v>0</v>
      </c>
      <c r="S73" s="583">
        <v>550476</v>
      </c>
      <c r="T73" s="583">
        <v>624943</v>
      </c>
      <c r="U73" s="583">
        <v>292294</v>
      </c>
      <c r="V73" s="583">
        <v>0</v>
      </c>
      <c r="W73" s="583">
        <v>298093</v>
      </c>
      <c r="X73" s="583">
        <v>0</v>
      </c>
      <c r="Y73" s="583">
        <v>590387</v>
      </c>
      <c r="Z73" s="583">
        <v>923036</v>
      </c>
      <c r="AA73" s="583">
        <v>2543506</v>
      </c>
      <c r="AB73" s="583">
        <v>23476</v>
      </c>
      <c r="AC73" s="583">
        <v>-923036</v>
      </c>
      <c r="AD73" s="583">
        <v>0</v>
      </c>
      <c r="AE73" s="583">
        <v>1643946</v>
      </c>
      <c r="AF73" s="583">
        <v>0</v>
      </c>
      <c r="AG73" s="583">
        <v>503804</v>
      </c>
      <c r="AH73" s="583">
        <v>16638</v>
      </c>
      <c r="AI73" s="583">
        <v>86583</v>
      </c>
      <c r="AJ73" s="583">
        <v>0</v>
      </c>
      <c r="AK73" s="583">
        <v>607025</v>
      </c>
      <c r="AL73" s="583">
        <v>86583</v>
      </c>
      <c r="AM73" s="583">
        <v>1001472</v>
      </c>
      <c r="AN73" s="583">
        <v>97225</v>
      </c>
      <c r="AO73" s="583">
        <v>-86583</v>
      </c>
      <c r="AP73" s="583">
        <v>0</v>
      </c>
      <c r="AQ73" s="583">
        <v>1012114</v>
      </c>
      <c r="AR73" s="583">
        <v>0</v>
      </c>
      <c r="AS73" s="583">
        <v>330801</v>
      </c>
      <c r="AT73" s="583">
        <v>0</v>
      </c>
      <c r="AU73" s="583">
        <v>259586</v>
      </c>
      <c r="AV73" s="583">
        <v>0</v>
      </c>
      <c r="AW73" s="583">
        <v>590387</v>
      </c>
      <c r="AX73" s="583">
        <v>259586</v>
      </c>
      <c r="AY73" s="583">
        <v>640388</v>
      </c>
      <c r="AZ73" s="583">
        <v>23835</v>
      </c>
      <c r="BA73" s="583">
        <v>0</v>
      </c>
      <c r="BB73" s="583">
        <v>0</v>
      </c>
      <c r="BC73" s="583">
        <v>664223</v>
      </c>
      <c r="BD73" s="583">
        <v>259586</v>
      </c>
      <c r="BE73" s="583">
        <v>1351190</v>
      </c>
      <c r="BF73" s="583">
        <v>0</v>
      </c>
      <c r="BG73" s="583">
        <v>-259586</v>
      </c>
      <c r="BH73" s="583">
        <v>0</v>
      </c>
      <c r="BI73" s="583">
        <v>1091604</v>
      </c>
      <c r="BJ73" s="583">
        <v>0</v>
      </c>
      <c r="BK73" s="583">
        <v>501485</v>
      </c>
      <c r="BL73" s="583">
        <v>0</v>
      </c>
      <c r="BM73" s="583">
        <v>88902</v>
      </c>
      <c r="BN73" s="583">
        <v>0</v>
      </c>
      <c r="BO73" s="583">
        <v>590387</v>
      </c>
      <c r="BP73" s="583">
        <v>88902</v>
      </c>
      <c r="BQ73" s="583">
        <v>960983</v>
      </c>
      <c r="BR73" s="583">
        <v>156650</v>
      </c>
      <c r="BS73" s="583">
        <v>-88902</v>
      </c>
      <c r="BT73" s="583">
        <v>0</v>
      </c>
      <c r="BU73" s="583">
        <v>1028731</v>
      </c>
      <c r="BV73" s="583">
        <v>0</v>
      </c>
    </row>
    <row r="74" spans="1:74" x14ac:dyDescent="0.2">
      <c r="A74" s="580">
        <v>5702</v>
      </c>
      <c r="B74" s="580" t="s">
        <v>113</v>
      </c>
      <c r="C74" s="583">
        <v>106343</v>
      </c>
      <c r="D74" s="583">
        <v>0</v>
      </c>
      <c r="E74" s="583">
        <v>65912</v>
      </c>
      <c r="F74" s="583">
        <v>0</v>
      </c>
      <c r="G74" s="583">
        <v>172255</v>
      </c>
      <c r="H74" s="583">
        <v>65912</v>
      </c>
      <c r="I74" s="583">
        <v>56549</v>
      </c>
      <c r="J74" s="583">
        <v>0</v>
      </c>
      <c r="K74" s="583">
        <v>115706</v>
      </c>
      <c r="L74" s="583">
        <v>0</v>
      </c>
      <c r="M74" s="583">
        <v>172255</v>
      </c>
      <c r="N74" s="583">
        <v>181618</v>
      </c>
      <c r="O74" s="583">
        <v>161323</v>
      </c>
      <c r="P74" s="583">
        <v>0</v>
      </c>
      <c r="Q74" s="583">
        <v>0</v>
      </c>
      <c r="R74" s="583">
        <v>0</v>
      </c>
      <c r="S74" s="583">
        <v>161323</v>
      </c>
      <c r="T74" s="583">
        <v>181618</v>
      </c>
      <c r="U74" s="583">
        <v>85660</v>
      </c>
      <c r="V74" s="583">
        <v>0</v>
      </c>
      <c r="W74" s="583">
        <v>86595</v>
      </c>
      <c r="X74" s="583">
        <v>0</v>
      </c>
      <c r="Y74" s="583">
        <v>172255</v>
      </c>
      <c r="Z74" s="583">
        <v>268213</v>
      </c>
      <c r="AA74" s="583">
        <v>745402</v>
      </c>
      <c r="AB74" s="583">
        <v>6880</v>
      </c>
      <c r="AC74" s="583">
        <v>-268213</v>
      </c>
      <c r="AD74" s="583">
        <v>0</v>
      </c>
      <c r="AE74" s="583">
        <v>484069</v>
      </c>
      <c r="AF74" s="583">
        <v>0</v>
      </c>
      <c r="AG74" s="583">
        <v>147645</v>
      </c>
      <c r="AH74" s="583">
        <v>4876</v>
      </c>
      <c r="AI74" s="583">
        <v>24610</v>
      </c>
      <c r="AJ74" s="583">
        <v>0</v>
      </c>
      <c r="AK74" s="583">
        <v>177131</v>
      </c>
      <c r="AL74" s="583">
        <v>24610</v>
      </c>
      <c r="AM74" s="583">
        <v>293492</v>
      </c>
      <c r="AN74" s="583">
        <v>28493</v>
      </c>
      <c r="AO74" s="583">
        <v>-24610</v>
      </c>
      <c r="AP74" s="583">
        <v>0</v>
      </c>
      <c r="AQ74" s="583">
        <v>297375</v>
      </c>
      <c r="AR74" s="583">
        <v>0</v>
      </c>
      <c r="AS74" s="583">
        <v>96945</v>
      </c>
      <c r="AT74" s="583">
        <v>0</v>
      </c>
      <c r="AU74" s="583">
        <v>75310</v>
      </c>
      <c r="AV74" s="583">
        <v>0</v>
      </c>
      <c r="AW74" s="583">
        <v>172255</v>
      </c>
      <c r="AX74" s="583">
        <v>75310</v>
      </c>
      <c r="AY74" s="583">
        <v>187672</v>
      </c>
      <c r="AZ74" s="583">
        <v>6985</v>
      </c>
      <c r="BA74" s="583">
        <v>0</v>
      </c>
      <c r="BB74" s="583">
        <v>0</v>
      </c>
      <c r="BC74" s="583">
        <v>194657</v>
      </c>
      <c r="BD74" s="583">
        <v>75310</v>
      </c>
      <c r="BE74" s="583">
        <v>395981</v>
      </c>
      <c r="BF74" s="583">
        <v>0</v>
      </c>
      <c r="BG74" s="583">
        <v>-75310</v>
      </c>
      <c r="BH74" s="583">
        <v>0</v>
      </c>
      <c r="BI74" s="583">
        <v>320671</v>
      </c>
      <c r="BJ74" s="583">
        <v>0</v>
      </c>
      <c r="BK74" s="583">
        <v>146965</v>
      </c>
      <c r="BL74" s="583">
        <v>0</v>
      </c>
      <c r="BM74" s="583">
        <v>25290</v>
      </c>
      <c r="BN74" s="583">
        <v>0</v>
      </c>
      <c r="BO74" s="583">
        <v>172255</v>
      </c>
      <c r="BP74" s="583">
        <v>25290</v>
      </c>
      <c r="BQ74" s="583">
        <v>281626</v>
      </c>
      <c r="BR74" s="583">
        <v>45908</v>
      </c>
      <c r="BS74" s="583">
        <v>-25290</v>
      </c>
      <c r="BT74" s="583">
        <v>0</v>
      </c>
      <c r="BU74" s="583">
        <v>302244</v>
      </c>
      <c r="BV74" s="583">
        <v>0</v>
      </c>
    </row>
    <row r="75" spans="1:74" x14ac:dyDescent="0.2">
      <c r="A75" s="580">
        <v>5703</v>
      </c>
      <c r="B75" s="580" t="s">
        <v>0</v>
      </c>
      <c r="C75" s="583">
        <v>181425</v>
      </c>
      <c r="D75" s="583">
        <v>0</v>
      </c>
      <c r="E75" s="583">
        <v>81307</v>
      </c>
      <c r="F75" s="583">
        <v>0</v>
      </c>
      <c r="G75" s="583">
        <v>262732</v>
      </c>
      <c r="H75" s="583">
        <v>81307</v>
      </c>
      <c r="I75" s="583">
        <v>96476</v>
      </c>
      <c r="J75" s="583">
        <v>0</v>
      </c>
      <c r="K75" s="583">
        <v>166256</v>
      </c>
      <c r="L75" s="583">
        <v>0</v>
      </c>
      <c r="M75" s="583">
        <v>262732</v>
      </c>
      <c r="N75" s="583">
        <v>247563</v>
      </c>
      <c r="O75" s="583">
        <v>275224</v>
      </c>
      <c r="P75" s="583">
        <v>0</v>
      </c>
      <c r="Q75" s="583">
        <v>0</v>
      </c>
      <c r="R75" s="583">
        <v>0</v>
      </c>
      <c r="S75" s="583">
        <v>275224</v>
      </c>
      <c r="T75" s="583">
        <v>247563</v>
      </c>
      <c r="U75" s="583">
        <v>146140</v>
      </c>
      <c r="V75" s="583">
        <v>0</v>
      </c>
      <c r="W75" s="583">
        <v>116592</v>
      </c>
      <c r="X75" s="583">
        <v>0</v>
      </c>
      <c r="Y75" s="583">
        <v>262732</v>
      </c>
      <c r="Z75" s="583">
        <v>364155</v>
      </c>
      <c r="AA75" s="583">
        <v>1271687</v>
      </c>
      <c r="AB75" s="583">
        <v>11737</v>
      </c>
      <c r="AC75" s="583">
        <v>-364155</v>
      </c>
      <c r="AD75" s="583">
        <v>0</v>
      </c>
      <c r="AE75" s="583">
        <v>919269</v>
      </c>
      <c r="AF75" s="583">
        <v>0</v>
      </c>
      <c r="AG75" s="583">
        <v>251889</v>
      </c>
      <c r="AH75" s="583">
        <v>8318</v>
      </c>
      <c r="AI75" s="583">
        <v>10843</v>
      </c>
      <c r="AJ75" s="583">
        <v>0</v>
      </c>
      <c r="AK75" s="583">
        <v>271050</v>
      </c>
      <c r="AL75" s="583">
        <v>10843</v>
      </c>
      <c r="AM75" s="583">
        <v>500710</v>
      </c>
      <c r="AN75" s="583">
        <v>48610</v>
      </c>
      <c r="AO75" s="583">
        <v>-10843</v>
      </c>
      <c r="AP75" s="583">
        <v>0</v>
      </c>
      <c r="AQ75" s="583">
        <v>538477</v>
      </c>
      <c r="AR75" s="583">
        <v>0</v>
      </c>
      <c r="AS75" s="583">
        <v>165392</v>
      </c>
      <c r="AT75" s="583">
        <v>0</v>
      </c>
      <c r="AU75" s="583">
        <v>97340</v>
      </c>
      <c r="AV75" s="583">
        <v>0</v>
      </c>
      <c r="AW75" s="583">
        <v>262732</v>
      </c>
      <c r="AX75" s="583">
        <v>97340</v>
      </c>
      <c r="AY75" s="583">
        <v>320177</v>
      </c>
      <c r="AZ75" s="583">
        <v>11917</v>
      </c>
      <c r="BA75" s="583">
        <v>0</v>
      </c>
      <c r="BB75" s="583">
        <v>0</v>
      </c>
      <c r="BC75" s="583">
        <v>332094</v>
      </c>
      <c r="BD75" s="583">
        <v>97340</v>
      </c>
      <c r="BE75" s="583">
        <v>675560</v>
      </c>
      <c r="BF75" s="583">
        <v>0</v>
      </c>
      <c r="BG75" s="583">
        <v>-97340</v>
      </c>
      <c r="BH75" s="583">
        <v>0</v>
      </c>
      <c r="BI75" s="583">
        <v>578220</v>
      </c>
      <c r="BJ75" s="583">
        <v>0</v>
      </c>
      <c r="BK75" s="583">
        <v>250729</v>
      </c>
      <c r="BL75" s="583">
        <v>0</v>
      </c>
      <c r="BM75" s="583">
        <v>12003</v>
      </c>
      <c r="BN75" s="583">
        <v>0</v>
      </c>
      <c r="BO75" s="583">
        <v>262732</v>
      </c>
      <c r="BP75" s="583">
        <v>12003</v>
      </c>
      <c r="BQ75" s="583">
        <v>480467</v>
      </c>
      <c r="BR75" s="583">
        <v>78321</v>
      </c>
      <c r="BS75" s="583">
        <v>-12003</v>
      </c>
      <c r="BT75" s="583">
        <v>0</v>
      </c>
      <c r="BU75" s="583">
        <v>546785</v>
      </c>
      <c r="BV75" s="583">
        <v>0</v>
      </c>
    </row>
    <row r="76" spans="1:74" x14ac:dyDescent="0.2">
      <c r="A76" s="580">
        <v>5704</v>
      </c>
      <c r="B76" s="580" t="s">
        <v>112</v>
      </c>
      <c r="C76" s="583">
        <v>68922</v>
      </c>
      <c r="D76" s="583">
        <v>0</v>
      </c>
      <c r="E76" s="583">
        <v>40375</v>
      </c>
      <c r="F76" s="583">
        <v>0</v>
      </c>
      <c r="G76" s="583">
        <v>109297</v>
      </c>
      <c r="H76" s="583">
        <v>40375</v>
      </c>
      <c r="I76" s="583">
        <v>36650</v>
      </c>
      <c r="J76" s="583">
        <v>0</v>
      </c>
      <c r="K76" s="583">
        <v>72647</v>
      </c>
      <c r="L76" s="583">
        <v>0</v>
      </c>
      <c r="M76" s="583">
        <v>109297</v>
      </c>
      <c r="N76" s="583">
        <v>113022</v>
      </c>
      <c r="O76" s="583">
        <v>104555</v>
      </c>
      <c r="P76" s="583">
        <v>0</v>
      </c>
      <c r="Q76" s="583">
        <v>0</v>
      </c>
      <c r="R76" s="583">
        <v>0</v>
      </c>
      <c r="S76" s="583">
        <v>104555</v>
      </c>
      <c r="T76" s="583">
        <v>113022</v>
      </c>
      <c r="U76" s="583">
        <v>55517</v>
      </c>
      <c r="V76" s="583">
        <v>0</v>
      </c>
      <c r="W76" s="583">
        <v>53780</v>
      </c>
      <c r="X76" s="583">
        <v>0</v>
      </c>
      <c r="Y76" s="583">
        <v>109297</v>
      </c>
      <c r="Z76" s="583">
        <v>166802</v>
      </c>
      <c r="AA76" s="583">
        <v>483101</v>
      </c>
      <c r="AB76" s="583">
        <v>4459</v>
      </c>
      <c r="AC76" s="583">
        <v>-166802</v>
      </c>
      <c r="AD76" s="583">
        <v>0</v>
      </c>
      <c r="AE76" s="583">
        <v>320758</v>
      </c>
      <c r="AF76" s="583">
        <v>0</v>
      </c>
      <c r="AG76" s="583">
        <v>95690</v>
      </c>
      <c r="AH76" s="583">
        <v>3160</v>
      </c>
      <c r="AI76" s="583">
        <v>13607</v>
      </c>
      <c r="AJ76" s="583">
        <v>0</v>
      </c>
      <c r="AK76" s="583">
        <v>112457</v>
      </c>
      <c r="AL76" s="583">
        <v>13607</v>
      </c>
      <c r="AM76" s="583">
        <v>190214</v>
      </c>
      <c r="AN76" s="583">
        <v>18466</v>
      </c>
      <c r="AO76" s="583">
        <v>-13607</v>
      </c>
      <c r="AP76" s="583">
        <v>0</v>
      </c>
      <c r="AQ76" s="583">
        <v>195073</v>
      </c>
      <c r="AR76" s="583">
        <v>0</v>
      </c>
      <c r="AS76" s="583">
        <v>62831</v>
      </c>
      <c r="AT76" s="583">
        <v>0</v>
      </c>
      <c r="AU76" s="583">
        <v>46466</v>
      </c>
      <c r="AV76" s="583">
        <v>0</v>
      </c>
      <c r="AW76" s="583">
        <v>109297</v>
      </c>
      <c r="AX76" s="583">
        <v>46466</v>
      </c>
      <c r="AY76" s="583">
        <v>121632</v>
      </c>
      <c r="AZ76" s="583">
        <v>4527</v>
      </c>
      <c r="BA76" s="583">
        <v>0</v>
      </c>
      <c r="BB76" s="583">
        <v>0</v>
      </c>
      <c r="BC76" s="583">
        <v>126159</v>
      </c>
      <c r="BD76" s="583">
        <v>46466</v>
      </c>
      <c r="BE76" s="583">
        <v>256638</v>
      </c>
      <c r="BF76" s="583">
        <v>0</v>
      </c>
      <c r="BG76" s="583">
        <v>-46466</v>
      </c>
      <c r="BH76" s="583">
        <v>0</v>
      </c>
      <c r="BI76" s="583">
        <v>210172</v>
      </c>
      <c r="BJ76" s="583">
        <v>0</v>
      </c>
      <c r="BK76" s="583">
        <v>95249</v>
      </c>
      <c r="BL76" s="583">
        <v>0</v>
      </c>
      <c r="BM76" s="583">
        <v>14048</v>
      </c>
      <c r="BN76" s="583">
        <v>0</v>
      </c>
      <c r="BO76" s="583">
        <v>109297</v>
      </c>
      <c r="BP76" s="583">
        <v>14048</v>
      </c>
      <c r="BQ76" s="583">
        <v>182524</v>
      </c>
      <c r="BR76" s="583">
        <v>29753</v>
      </c>
      <c r="BS76" s="583">
        <v>-14048</v>
      </c>
      <c r="BT76" s="583">
        <v>0</v>
      </c>
      <c r="BU76" s="583">
        <v>198229</v>
      </c>
      <c r="BV76" s="583">
        <v>0</v>
      </c>
    </row>
    <row r="77" spans="1:74" x14ac:dyDescent="0.2">
      <c r="A77" s="580">
        <v>5705</v>
      </c>
      <c r="B77" s="580" t="s">
        <v>114</v>
      </c>
      <c r="C77" s="583">
        <v>141735</v>
      </c>
      <c r="D77" s="583">
        <v>0</v>
      </c>
      <c r="E77" s="583">
        <v>82037</v>
      </c>
      <c r="F77" s="583">
        <v>0</v>
      </c>
      <c r="G77" s="583">
        <v>223772</v>
      </c>
      <c r="H77" s="583">
        <v>82037</v>
      </c>
      <c r="I77" s="583">
        <v>75370</v>
      </c>
      <c r="J77" s="583">
        <v>0</v>
      </c>
      <c r="K77" s="583">
        <v>148402</v>
      </c>
      <c r="L77" s="583">
        <v>0</v>
      </c>
      <c r="M77" s="583">
        <v>223772</v>
      </c>
      <c r="N77" s="583">
        <v>230439</v>
      </c>
      <c r="O77" s="583">
        <v>215013</v>
      </c>
      <c r="P77" s="583">
        <v>0</v>
      </c>
      <c r="Q77" s="583">
        <v>0</v>
      </c>
      <c r="R77" s="583">
        <v>0</v>
      </c>
      <c r="S77" s="583">
        <v>215013</v>
      </c>
      <c r="T77" s="583">
        <v>230439</v>
      </c>
      <c r="U77" s="583">
        <v>114168</v>
      </c>
      <c r="V77" s="583">
        <v>0</v>
      </c>
      <c r="W77" s="583">
        <v>109604</v>
      </c>
      <c r="X77" s="583">
        <v>0</v>
      </c>
      <c r="Y77" s="583">
        <v>223772</v>
      </c>
      <c r="Z77" s="583">
        <v>340043</v>
      </c>
      <c r="AA77" s="583">
        <v>993479</v>
      </c>
      <c r="AB77" s="583">
        <v>9170</v>
      </c>
      <c r="AC77" s="583">
        <v>-340043</v>
      </c>
      <c r="AD77" s="583">
        <v>0</v>
      </c>
      <c r="AE77" s="583">
        <v>662606</v>
      </c>
      <c r="AF77" s="583">
        <v>0</v>
      </c>
      <c r="AG77" s="583">
        <v>196783</v>
      </c>
      <c r="AH77" s="583">
        <v>6499</v>
      </c>
      <c r="AI77" s="583">
        <v>26989</v>
      </c>
      <c r="AJ77" s="583">
        <v>0</v>
      </c>
      <c r="AK77" s="583">
        <v>230271</v>
      </c>
      <c r="AL77" s="583">
        <v>26989</v>
      </c>
      <c r="AM77" s="583">
        <v>391169</v>
      </c>
      <c r="AN77" s="583">
        <v>37975</v>
      </c>
      <c r="AO77" s="583">
        <v>-26989</v>
      </c>
      <c r="AP77" s="583">
        <v>0</v>
      </c>
      <c r="AQ77" s="583">
        <v>402155</v>
      </c>
      <c r="AR77" s="583">
        <v>0</v>
      </c>
      <c r="AS77" s="583">
        <v>129209</v>
      </c>
      <c r="AT77" s="583">
        <v>0</v>
      </c>
      <c r="AU77" s="583">
        <v>94563</v>
      </c>
      <c r="AV77" s="583">
        <v>0</v>
      </c>
      <c r="AW77" s="583">
        <v>223772</v>
      </c>
      <c r="AX77" s="583">
        <v>94563</v>
      </c>
      <c r="AY77" s="583">
        <v>250132</v>
      </c>
      <c r="AZ77" s="583">
        <v>9310</v>
      </c>
      <c r="BA77" s="583">
        <v>0</v>
      </c>
      <c r="BB77" s="583">
        <v>0</v>
      </c>
      <c r="BC77" s="583">
        <v>259442</v>
      </c>
      <c r="BD77" s="583">
        <v>94563</v>
      </c>
      <c r="BE77" s="583">
        <v>527767</v>
      </c>
      <c r="BF77" s="583">
        <v>0</v>
      </c>
      <c r="BG77" s="583">
        <v>-94563</v>
      </c>
      <c r="BH77" s="583">
        <v>0</v>
      </c>
      <c r="BI77" s="583">
        <v>433204</v>
      </c>
      <c r="BJ77" s="583">
        <v>0</v>
      </c>
      <c r="BK77" s="583">
        <v>195877</v>
      </c>
      <c r="BL77" s="583">
        <v>0</v>
      </c>
      <c r="BM77" s="583">
        <v>27895</v>
      </c>
      <c r="BN77" s="583">
        <v>0</v>
      </c>
      <c r="BO77" s="583">
        <v>223772</v>
      </c>
      <c r="BP77" s="583">
        <v>27895</v>
      </c>
      <c r="BQ77" s="583">
        <v>375355</v>
      </c>
      <c r="BR77" s="583">
        <v>61187</v>
      </c>
      <c r="BS77" s="583">
        <v>-27895</v>
      </c>
      <c r="BT77" s="583">
        <v>0</v>
      </c>
      <c r="BU77" s="583">
        <v>408647</v>
      </c>
      <c r="BV77" s="583">
        <v>0</v>
      </c>
    </row>
    <row r="78" spans="1:74" x14ac:dyDescent="0.2">
      <c r="A78" s="580">
        <v>5706</v>
      </c>
      <c r="B78" s="580" t="s">
        <v>382</v>
      </c>
      <c r="C78" s="583">
        <v>116459</v>
      </c>
      <c r="D78" s="583">
        <v>0</v>
      </c>
      <c r="E78" s="583">
        <v>63156</v>
      </c>
      <c r="F78" s="583">
        <v>0</v>
      </c>
      <c r="G78" s="583">
        <v>179615</v>
      </c>
      <c r="H78" s="583">
        <v>63156</v>
      </c>
      <c r="I78" s="583">
        <v>61929</v>
      </c>
      <c r="J78" s="583">
        <v>0</v>
      </c>
      <c r="K78" s="583">
        <v>117686</v>
      </c>
      <c r="L78" s="583">
        <v>0</v>
      </c>
      <c r="M78" s="583">
        <v>179615</v>
      </c>
      <c r="N78" s="583">
        <v>180842</v>
      </c>
      <c r="O78" s="583">
        <v>176669</v>
      </c>
      <c r="P78" s="583">
        <v>0</v>
      </c>
      <c r="Q78" s="583">
        <v>0</v>
      </c>
      <c r="R78" s="583">
        <v>0</v>
      </c>
      <c r="S78" s="583">
        <v>176669</v>
      </c>
      <c r="T78" s="583">
        <v>180842</v>
      </c>
      <c r="U78" s="583">
        <v>93808</v>
      </c>
      <c r="V78" s="583">
        <v>0</v>
      </c>
      <c r="W78" s="583">
        <v>85807</v>
      </c>
      <c r="X78" s="583">
        <v>0</v>
      </c>
      <c r="Y78" s="583">
        <v>179615</v>
      </c>
      <c r="Z78" s="583">
        <v>266649</v>
      </c>
      <c r="AA78" s="583">
        <v>816308</v>
      </c>
      <c r="AB78" s="583">
        <v>7534</v>
      </c>
      <c r="AC78" s="583">
        <v>-266649</v>
      </c>
      <c r="AD78" s="583">
        <v>0</v>
      </c>
      <c r="AE78" s="583">
        <v>557193</v>
      </c>
      <c r="AF78" s="583">
        <v>0</v>
      </c>
      <c r="AG78" s="583">
        <v>161690</v>
      </c>
      <c r="AH78" s="583">
        <v>5340</v>
      </c>
      <c r="AI78" s="583">
        <v>17925</v>
      </c>
      <c r="AJ78" s="583">
        <v>0</v>
      </c>
      <c r="AK78" s="583">
        <v>184955</v>
      </c>
      <c r="AL78" s="583">
        <v>17925</v>
      </c>
      <c r="AM78" s="583">
        <v>321411</v>
      </c>
      <c r="AN78" s="583">
        <v>31203</v>
      </c>
      <c r="AO78" s="583">
        <v>-17925</v>
      </c>
      <c r="AP78" s="583">
        <v>0</v>
      </c>
      <c r="AQ78" s="583">
        <v>334689</v>
      </c>
      <c r="AR78" s="583">
        <v>0</v>
      </c>
      <c r="AS78" s="583">
        <v>106167</v>
      </c>
      <c r="AT78" s="583">
        <v>0</v>
      </c>
      <c r="AU78" s="583">
        <v>73448</v>
      </c>
      <c r="AV78" s="583">
        <v>0</v>
      </c>
      <c r="AW78" s="583">
        <v>179615</v>
      </c>
      <c r="AX78" s="583">
        <v>73448</v>
      </c>
      <c r="AY78" s="583">
        <v>205525</v>
      </c>
      <c r="AZ78" s="583">
        <v>7649</v>
      </c>
      <c r="BA78" s="583">
        <v>0</v>
      </c>
      <c r="BB78" s="583">
        <v>0</v>
      </c>
      <c r="BC78" s="583">
        <v>213174</v>
      </c>
      <c r="BD78" s="583">
        <v>73448</v>
      </c>
      <c r="BE78" s="583">
        <v>433649</v>
      </c>
      <c r="BF78" s="583">
        <v>0</v>
      </c>
      <c r="BG78" s="583">
        <v>-73448</v>
      </c>
      <c r="BH78" s="583">
        <v>0</v>
      </c>
      <c r="BI78" s="583">
        <v>360201</v>
      </c>
      <c r="BJ78" s="583">
        <v>0</v>
      </c>
      <c r="BK78" s="583">
        <v>160946</v>
      </c>
      <c r="BL78" s="583">
        <v>0</v>
      </c>
      <c r="BM78" s="583">
        <v>18669</v>
      </c>
      <c r="BN78" s="583">
        <v>0</v>
      </c>
      <c r="BO78" s="583">
        <v>179615</v>
      </c>
      <c r="BP78" s="583">
        <v>18669</v>
      </c>
      <c r="BQ78" s="583">
        <v>308416</v>
      </c>
      <c r="BR78" s="583">
        <v>50275</v>
      </c>
      <c r="BS78" s="583">
        <v>-18669</v>
      </c>
      <c r="BT78" s="583">
        <v>0</v>
      </c>
      <c r="BU78" s="583">
        <v>340022</v>
      </c>
      <c r="BV78" s="583">
        <v>0</v>
      </c>
    </row>
    <row r="79" spans="1:74" x14ac:dyDescent="0.2">
      <c r="A79" s="580">
        <v>5801</v>
      </c>
      <c r="B79" s="580" t="s">
        <v>383</v>
      </c>
      <c r="C79" s="583">
        <v>663906</v>
      </c>
      <c r="D79" s="583">
        <v>0</v>
      </c>
      <c r="E79" s="583">
        <v>370932</v>
      </c>
      <c r="F79" s="583">
        <v>0</v>
      </c>
      <c r="G79" s="583">
        <v>1034838</v>
      </c>
      <c r="H79" s="583">
        <v>370932</v>
      </c>
      <c r="I79" s="583">
        <v>353043</v>
      </c>
      <c r="J79" s="583">
        <v>0</v>
      </c>
      <c r="K79" s="583">
        <v>681795</v>
      </c>
      <c r="L79" s="583">
        <v>0</v>
      </c>
      <c r="M79" s="583">
        <v>1034838</v>
      </c>
      <c r="N79" s="583">
        <v>1052727</v>
      </c>
      <c r="O79" s="583">
        <v>1007152</v>
      </c>
      <c r="P79" s="583">
        <v>0</v>
      </c>
      <c r="Q79" s="583">
        <v>0</v>
      </c>
      <c r="R79" s="583">
        <v>0</v>
      </c>
      <c r="S79" s="583">
        <v>1007152</v>
      </c>
      <c r="T79" s="583">
        <v>1052727</v>
      </c>
      <c r="U79" s="583">
        <v>534782</v>
      </c>
      <c r="V79" s="583">
        <v>0</v>
      </c>
      <c r="W79" s="583">
        <v>500056</v>
      </c>
      <c r="X79" s="583">
        <v>0</v>
      </c>
      <c r="Y79" s="583">
        <v>1034838</v>
      </c>
      <c r="Z79" s="583">
        <v>1552783</v>
      </c>
      <c r="AA79" s="583">
        <v>4653605</v>
      </c>
      <c r="AB79" s="583">
        <v>42952</v>
      </c>
      <c r="AC79" s="583">
        <v>-1552783</v>
      </c>
      <c r="AD79" s="583">
        <v>0</v>
      </c>
      <c r="AE79" s="583">
        <v>3143774</v>
      </c>
      <c r="AF79" s="583">
        <v>0</v>
      </c>
      <c r="AG79" s="583">
        <v>921760</v>
      </c>
      <c r="AH79" s="583">
        <v>30440</v>
      </c>
      <c r="AI79" s="583">
        <v>113078</v>
      </c>
      <c r="AJ79" s="583">
        <v>0</v>
      </c>
      <c r="AK79" s="583">
        <v>1065278</v>
      </c>
      <c r="AL79" s="583">
        <v>113078</v>
      </c>
      <c r="AM79" s="583">
        <v>1832295</v>
      </c>
      <c r="AN79" s="583">
        <v>177883</v>
      </c>
      <c r="AO79" s="583">
        <v>-113078</v>
      </c>
      <c r="AP79" s="583">
        <v>0</v>
      </c>
      <c r="AQ79" s="583">
        <v>1897100</v>
      </c>
      <c r="AR79" s="583">
        <v>0</v>
      </c>
      <c r="AS79" s="583">
        <v>605235</v>
      </c>
      <c r="AT79" s="583">
        <v>0</v>
      </c>
      <c r="AU79" s="583">
        <v>429603</v>
      </c>
      <c r="AV79" s="583">
        <v>0</v>
      </c>
      <c r="AW79" s="583">
        <v>1034838</v>
      </c>
      <c r="AX79" s="583">
        <v>429603</v>
      </c>
      <c r="AY79" s="583">
        <v>1171655</v>
      </c>
      <c r="AZ79" s="583">
        <v>43608</v>
      </c>
      <c r="BA79" s="583">
        <v>0</v>
      </c>
      <c r="BB79" s="583">
        <v>0</v>
      </c>
      <c r="BC79" s="583">
        <v>1215263</v>
      </c>
      <c r="BD79" s="583">
        <v>429603</v>
      </c>
      <c r="BE79" s="583">
        <v>2472141</v>
      </c>
      <c r="BF79" s="583">
        <v>0</v>
      </c>
      <c r="BG79" s="583">
        <v>-429603</v>
      </c>
      <c r="BH79" s="583">
        <v>0</v>
      </c>
      <c r="BI79" s="583">
        <v>2042538</v>
      </c>
      <c r="BJ79" s="583">
        <v>0</v>
      </c>
      <c r="BK79" s="583">
        <v>917517</v>
      </c>
      <c r="BL79" s="583">
        <v>0</v>
      </c>
      <c r="BM79" s="583">
        <v>117321</v>
      </c>
      <c r="BN79" s="583">
        <v>0</v>
      </c>
      <c r="BO79" s="583">
        <v>1034838</v>
      </c>
      <c r="BP79" s="583">
        <v>117321</v>
      </c>
      <c r="BQ79" s="583">
        <v>1758217</v>
      </c>
      <c r="BR79" s="583">
        <v>286608</v>
      </c>
      <c r="BS79" s="583">
        <v>-117321</v>
      </c>
      <c r="BT79" s="583">
        <v>0</v>
      </c>
      <c r="BU79" s="583">
        <v>1927504</v>
      </c>
      <c r="BV79" s="583">
        <v>0</v>
      </c>
    </row>
    <row r="80" spans="1:74" x14ac:dyDescent="0.2">
      <c r="A80" s="580">
        <v>5802</v>
      </c>
      <c r="B80" s="580" t="s">
        <v>110</v>
      </c>
      <c r="C80" s="583">
        <v>241626</v>
      </c>
      <c r="D80" s="583">
        <v>0</v>
      </c>
      <c r="E80" s="583">
        <v>146298</v>
      </c>
      <c r="F80" s="583">
        <v>0</v>
      </c>
      <c r="G80" s="583">
        <v>387924</v>
      </c>
      <c r="H80" s="583">
        <v>146298</v>
      </c>
      <c r="I80" s="583">
        <v>128488</v>
      </c>
      <c r="J80" s="583">
        <v>0</v>
      </c>
      <c r="K80" s="583">
        <v>259436</v>
      </c>
      <c r="L80" s="583">
        <v>0</v>
      </c>
      <c r="M80" s="583">
        <v>387924</v>
      </c>
      <c r="N80" s="583">
        <v>405734</v>
      </c>
      <c r="O80" s="583">
        <v>366548</v>
      </c>
      <c r="P80" s="583">
        <v>0</v>
      </c>
      <c r="Q80" s="583">
        <v>0</v>
      </c>
      <c r="R80" s="583">
        <v>0</v>
      </c>
      <c r="S80" s="583">
        <v>366548</v>
      </c>
      <c r="T80" s="583">
        <v>405734</v>
      </c>
      <c r="U80" s="583">
        <v>194631</v>
      </c>
      <c r="V80" s="583">
        <v>0</v>
      </c>
      <c r="W80" s="583">
        <v>193293</v>
      </c>
      <c r="X80" s="583">
        <v>0</v>
      </c>
      <c r="Y80" s="583">
        <v>387924</v>
      </c>
      <c r="Z80" s="583">
        <v>599027</v>
      </c>
      <c r="AA80" s="583">
        <v>1693657</v>
      </c>
      <c r="AB80" s="583">
        <v>15632</v>
      </c>
      <c r="AC80" s="583">
        <v>-599027</v>
      </c>
      <c r="AD80" s="583">
        <v>0</v>
      </c>
      <c r="AE80" s="583">
        <v>1110262</v>
      </c>
      <c r="AF80" s="583">
        <v>0</v>
      </c>
      <c r="AG80" s="583">
        <v>335470</v>
      </c>
      <c r="AH80" s="583">
        <v>11079</v>
      </c>
      <c r="AI80" s="583">
        <v>52454</v>
      </c>
      <c r="AJ80" s="583">
        <v>0</v>
      </c>
      <c r="AK80" s="583">
        <v>399003</v>
      </c>
      <c r="AL80" s="583">
        <v>52454</v>
      </c>
      <c r="AM80" s="583">
        <v>666855</v>
      </c>
      <c r="AN80" s="583">
        <v>64740</v>
      </c>
      <c r="AO80" s="583">
        <v>-52454</v>
      </c>
      <c r="AP80" s="583">
        <v>0</v>
      </c>
      <c r="AQ80" s="583">
        <v>679141</v>
      </c>
      <c r="AR80" s="583">
        <v>0</v>
      </c>
      <c r="AS80" s="583">
        <v>220272</v>
      </c>
      <c r="AT80" s="583">
        <v>0</v>
      </c>
      <c r="AU80" s="583">
        <v>167652</v>
      </c>
      <c r="AV80" s="583">
        <v>0</v>
      </c>
      <c r="AW80" s="583">
        <v>387924</v>
      </c>
      <c r="AX80" s="583">
        <v>167652</v>
      </c>
      <c r="AY80" s="583">
        <v>426418</v>
      </c>
      <c r="AZ80" s="583">
        <v>15871</v>
      </c>
      <c r="BA80" s="583">
        <v>0</v>
      </c>
      <c r="BB80" s="583">
        <v>0</v>
      </c>
      <c r="BC80" s="583">
        <v>442289</v>
      </c>
      <c r="BD80" s="583">
        <v>167652</v>
      </c>
      <c r="BE80" s="583">
        <v>899724</v>
      </c>
      <c r="BF80" s="583">
        <v>0</v>
      </c>
      <c r="BG80" s="583">
        <v>-167652</v>
      </c>
      <c r="BH80" s="583">
        <v>0</v>
      </c>
      <c r="BI80" s="583">
        <v>732072</v>
      </c>
      <c r="BJ80" s="583">
        <v>0</v>
      </c>
      <c r="BK80" s="583">
        <v>333926</v>
      </c>
      <c r="BL80" s="583">
        <v>0</v>
      </c>
      <c r="BM80" s="583">
        <v>53998</v>
      </c>
      <c r="BN80" s="583">
        <v>0</v>
      </c>
      <c r="BO80" s="583">
        <v>387924</v>
      </c>
      <c r="BP80" s="583">
        <v>53998</v>
      </c>
      <c r="BQ80" s="583">
        <v>639895</v>
      </c>
      <c r="BR80" s="583">
        <v>104309</v>
      </c>
      <c r="BS80" s="583">
        <v>-53998</v>
      </c>
      <c r="BT80" s="583">
        <v>0</v>
      </c>
      <c r="BU80" s="583">
        <v>690206</v>
      </c>
      <c r="BV80" s="583">
        <v>0</v>
      </c>
    </row>
    <row r="81" spans="1:74" x14ac:dyDescent="0.2">
      <c r="A81" s="580">
        <v>5803</v>
      </c>
      <c r="B81" s="580" t="s">
        <v>384</v>
      </c>
      <c r="C81" s="583">
        <v>93132</v>
      </c>
      <c r="D81" s="583">
        <v>0</v>
      </c>
      <c r="E81" s="583">
        <v>62401</v>
      </c>
      <c r="F81" s="583">
        <v>0</v>
      </c>
      <c r="G81" s="583">
        <v>155533</v>
      </c>
      <c r="H81" s="583">
        <v>62401</v>
      </c>
      <c r="I81" s="583">
        <v>49524</v>
      </c>
      <c r="J81" s="583">
        <v>0</v>
      </c>
      <c r="K81" s="583">
        <v>106009</v>
      </c>
      <c r="L81" s="583">
        <v>0</v>
      </c>
      <c r="M81" s="583">
        <v>155533</v>
      </c>
      <c r="N81" s="583">
        <v>168410</v>
      </c>
      <c r="O81" s="583">
        <v>141282</v>
      </c>
      <c r="P81" s="583">
        <v>0</v>
      </c>
      <c r="Q81" s="583">
        <v>0</v>
      </c>
      <c r="R81" s="583">
        <v>0</v>
      </c>
      <c r="S81" s="583">
        <v>141282</v>
      </c>
      <c r="T81" s="583">
        <v>168410</v>
      </c>
      <c r="U81" s="583">
        <v>75018</v>
      </c>
      <c r="V81" s="583">
        <v>0</v>
      </c>
      <c r="W81" s="583">
        <v>80515</v>
      </c>
      <c r="X81" s="583">
        <v>0</v>
      </c>
      <c r="Y81" s="583">
        <v>155533</v>
      </c>
      <c r="Z81" s="583">
        <v>248925</v>
      </c>
      <c r="AA81" s="583">
        <v>652800</v>
      </c>
      <c r="AB81" s="583">
        <v>6025</v>
      </c>
      <c r="AC81" s="583">
        <v>-248925</v>
      </c>
      <c r="AD81" s="583">
        <v>0</v>
      </c>
      <c r="AE81" s="583">
        <v>409900</v>
      </c>
      <c r="AF81" s="583">
        <v>0</v>
      </c>
      <c r="AG81" s="583">
        <v>129303</v>
      </c>
      <c r="AH81" s="583">
        <v>4270</v>
      </c>
      <c r="AI81" s="583">
        <v>26230</v>
      </c>
      <c r="AJ81" s="583">
        <v>0</v>
      </c>
      <c r="AK81" s="583">
        <v>159803</v>
      </c>
      <c r="AL81" s="583">
        <v>26230</v>
      </c>
      <c r="AM81" s="583">
        <v>257032</v>
      </c>
      <c r="AN81" s="583">
        <v>24953</v>
      </c>
      <c r="AO81" s="583">
        <v>-20780</v>
      </c>
      <c r="AP81" s="583">
        <v>0</v>
      </c>
      <c r="AQ81" s="583">
        <v>261205</v>
      </c>
      <c r="AR81" s="583">
        <v>5450</v>
      </c>
      <c r="AS81" s="583">
        <v>84901</v>
      </c>
      <c r="AT81" s="583">
        <v>0</v>
      </c>
      <c r="AU81" s="583">
        <v>70632</v>
      </c>
      <c r="AV81" s="583">
        <v>0</v>
      </c>
      <c r="AW81" s="583">
        <v>155533</v>
      </c>
      <c r="AX81" s="583">
        <v>76082</v>
      </c>
      <c r="AY81" s="583">
        <v>164358</v>
      </c>
      <c r="AZ81" s="583">
        <v>6117</v>
      </c>
      <c r="BA81" s="583">
        <v>0</v>
      </c>
      <c r="BB81" s="583">
        <v>0</v>
      </c>
      <c r="BC81" s="583">
        <v>170475</v>
      </c>
      <c r="BD81" s="583">
        <v>76082</v>
      </c>
      <c r="BE81" s="583">
        <v>346788</v>
      </c>
      <c r="BF81" s="583">
        <v>0</v>
      </c>
      <c r="BG81" s="583">
        <v>-76082</v>
      </c>
      <c r="BH81" s="583">
        <v>0</v>
      </c>
      <c r="BI81" s="583">
        <v>270706</v>
      </c>
      <c r="BJ81" s="583">
        <v>0</v>
      </c>
      <c r="BK81" s="583">
        <v>128708</v>
      </c>
      <c r="BL81" s="583">
        <v>0</v>
      </c>
      <c r="BM81" s="583">
        <v>26825</v>
      </c>
      <c r="BN81" s="583">
        <v>0</v>
      </c>
      <c r="BO81" s="583">
        <v>155533</v>
      </c>
      <c r="BP81" s="583">
        <v>26825</v>
      </c>
      <c r="BQ81" s="583">
        <v>246640</v>
      </c>
      <c r="BR81" s="583">
        <v>40205</v>
      </c>
      <c r="BS81" s="583">
        <v>-26825</v>
      </c>
      <c r="BT81" s="583">
        <v>0</v>
      </c>
      <c r="BU81" s="583">
        <v>260020</v>
      </c>
      <c r="BV81" s="583">
        <v>0</v>
      </c>
    </row>
    <row r="82" spans="1:74" x14ac:dyDescent="0.2">
      <c r="A82" s="580">
        <v>5804</v>
      </c>
      <c r="B82" s="580" t="s">
        <v>96</v>
      </c>
      <c r="C82" s="583">
        <v>586037</v>
      </c>
      <c r="D82" s="583">
        <v>0</v>
      </c>
      <c r="E82" s="583">
        <v>376393</v>
      </c>
      <c r="F82" s="583">
        <v>0</v>
      </c>
      <c r="G82" s="583">
        <v>962430</v>
      </c>
      <c r="H82" s="583">
        <v>376393</v>
      </c>
      <c r="I82" s="583">
        <v>311635</v>
      </c>
      <c r="J82" s="583">
        <v>0</v>
      </c>
      <c r="K82" s="583">
        <v>650795</v>
      </c>
      <c r="L82" s="583">
        <v>0</v>
      </c>
      <c r="M82" s="583">
        <v>962430</v>
      </c>
      <c r="N82" s="583">
        <v>1027188</v>
      </c>
      <c r="O82" s="583">
        <v>889024</v>
      </c>
      <c r="P82" s="583">
        <v>0</v>
      </c>
      <c r="Q82" s="583">
        <v>0</v>
      </c>
      <c r="R82" s="583">
        <v>0</v>
      </c>
      <c r="S82" s="583">
        <v>889024</v>
      </c>
      <c r="T82" s="583">
        <v>1027188</v>
      </c>
      <c r="U82" s="583">
        <v>472058</v>
      </c>
      <c r="V82" s="583">
        <v>0</v>
      </c>
      <c r="W82" s="583">
        <v>490372</v>
      </c>
      <c r="X82" s="583">
        <v>0</v>
      </c>
      <c r="Y82" s="583">
        <v>962430</v>
      </c>
      <c r="Z82" s="583">
        <v>1517560</v>
      </c>
      <c r="AA82" s="583">
        <v>4107786</v>
      </c>
      <c r="AB82" s="583">
        <v>37914</v>
      </c>
      <c r="AC82" s="583">
        <v>-1517560</v>
      </c>
      <c r="AD82" s="583">
        <v>0</v>
      </c>
      <c r="AE82" s="583">
        <v>2628140</v>
      </c>
      <c r="AF82" s="583">
        <v>0</v>
      </c>
      <c r="AG82" s="583">
        <v>813648</v>
      </c>
      <c r="AH82" s="583">
        <v>26870</v>
      </c>
      <c r="AI82" s="583">
        <v>148782</v>
      </c>
      <c r="AJ82" s="583">
        <v>0</v>
      </c>
      <c r="AK82" s="583">
        <v>989300</v>
      </c>
      <c r="AL82" s="583">
        <v>148782</v>
      </c>
      <c r="AM82" s="583">
        <v>1617386</v>
      </c>
      <c r="AN82" s="583">
        <v>157019</v>
      </c>
      <c r="AO82" s="583">
        <v>-148782</v>
      </c>
      <c r="AP82" s="583">
        <v>0</v>
      </c>
      <c r="AQ82" s="583">
        <v>1625623</v>
      </c>
      <c r="AR82" s="583">
        <v>0</v>
      </c>
      <c r="AS82" s="583">
        <v>534247</v>
      </c>
      <c r="AT82" s="583">
        <v>0</v>
      </c>
      <c r="AU82" s="583">
        <v>428183</v>
      </c>
      <c r="AV82" s="583">
        <v>0</v>
      </c>
      <c r="AW82" s="583">
        <v>962430</v>
      </c>
      <c r="AX82" s="583">
        <v>428183</v>
      </c>
      <c r="AY82" s="583">
        <v>1034232</v>
      </c>
      <c r="AZ82" s="583">
        <v>38493</v>
      </c>
      <c r="BA82" s="583">
        <v>0</v>
      </c>
      <c r="BB82" s="583">
        <v>0</v>
      </c>
      <c r="BC82" s="583">
        <v>1072725</v>
      </c>
      <c r="BD82" s="583">
        <v>428183</v>
      </c>
      <c r="BE82" s="583">
        <v>2182185</v>
      </c>
      <c r="BF82" s="583">
        <v>0</v>
      </c>
      <c r="BG82" s="583">
        <v>-428183</v>
      </c>
      <c r="BH82" s="583">
        <v>0</v>
      </c>
      <c r="BI82" s="583">
        <v>1754002</v>
      </c>
      <c r="BJ82" s="583">
        <v>0</v>
      </c>
      <c r="BK82" s="583">
        <v>809902</v>
      </c>
      <c r="BL82" s="583">
        <v>0</v>
      </c>
      <c r="BM82" s="583">
        <v>152528</v>
      </c>
      <c r="BN82" s="583">
        <v>0</v>
      </c>
      <c r="BO82" s="583">
        <v>962430</v>
      </c>
      <c r="BP82" s="583">
        <v>152528</v>
      </c>
      <c r="BQ82" s="583">
        <v>1551997</v>
      </c>
      <c r="BR82" s="583">
        <v>252991</v>
      </c>
      <c r="BS82" s="583">
        <v>-152528</v>
      </c>
      <c r="BT82" s="583">
        <v>0</v>
      </c>
      <c r="BU82" s="583">
        <v>1652460</v>
      </c>
      <c r="BV82" s="583">
        <v>0</v>
      </c>
    </row>
    <row r="83" spans="1:74" x14ac:dyDescent="0.2">
      <c r="A83" s="580">
        <v>6101</v>
      </c>
      <c r="B83" s="580" t="s">
        <v>119</v>
      </c>
      <c r="C83" s="583">
        <v>861639</v>
      </c>
      <c r="D83" s="583">
        <v>0</v>
      </c>
      <c r="E83" s="583">
        <v>469245</v>
      </c>
      <c r="F83" s="583">
        <v>0</v>
      </c>
      <c r="G83" s="583">
        <v>1330884</v>
      </c>
      <c r="H83" s="583">
        <v>469245</v>
      </c>
      <c r="I83" s="583">
        <v>458191</v>
      </c>
      <c r="J83" s="583">
        <v>0</v>
      </c>
      <c r="K83" s="583">
        <v>872693</v>
      </c>
      <c r="L83" s="583">
        <v>0</v>
      </c>
      <c r="M83" s="583">
        <v>1330884</v>
      </c>
      <c r="N83" s="583">
        <v>1341938</v>
      </c>
      <c r="O83" s="583">
        <v>1307115</v>
      </c>
      <c r="P83" s="583">
        <v>0</v>
      </c>
      <c r="Q83" s="583">
        <v>0</v>
      </c>
      <c r="R83" s="583">
        <v>0</v>
      </c>
      <c r="S83" s="583">
        <v>1307115</v>
      </c>
      <c r="T83" s="583">
        <v>1341938</v>
      </c>
      <c r="U83" s="583">
        <v>694058</v>
      </c>
      <c r="V83" s="583">
        <v>0</v>
      </c>
      <c r="W83" s="583">
        <v>636826</v>
      </c>
      <c r="X83" s="583">
        <v>0</v>
      </c>
      <c r="Y83" s="583">
        <v>1330884</v>
      </c>
      <c r="Z83" s="583">
        <v>1978764</v>
      </c>
      <c r="AA83" s="583">
        <v>6039600</v>
      </c>
      <c r="AB83" s="583">
        <v>55744</v>
      </c>
      <c r="AC83" s="583">
        <v>-1978764</v>
      </c>
      <c r="AD83" s="583">
        <v>0</v>
      </c>
      <c r="AE83" s="583">
        <v>4116580</v>
      </c>
      <c r="AF83" s="583">
        <v>0</v>
      </c>
      <c r="AG83" s="583">
        <v>1196290</v>
      </c>
      <c r="AH83" s="583">
        <v>39506</v>
      </c>
      <c r="AI83" s="583">
        <v>134594</v>
      </c>
      <c r="AJ83" s="583">
        <v>0</v>
      </c>
      <c r="AK83" s="583">
        <v>1370390</v>
      </c>
      <c r="AL83" s="583">
        <v>134594</v>
      </c>
      <c r="AM83" s="583">
        <v>2378012</v>
      </c>
      <c r="AN83" s="583">
        <v>230862</v>
      </c>
      <c r="AO83" s="583">
        <v>-134594</v>
      </c>
      <c r="AP83" s="583">
        <v>0</v>
      </c>
      <c r="AQ83" s="583">
        <v>2474280</v>
      </c>
      <c r="AR83" s="583">
        <v>0</v>
      </c>
      <c r="AS83" s="583">
        <v>785494</v>
      </c>
      <c r="AT83" s="583">
        <v>0</v>
      </c>
      <c r="AU83" s="583">
        <v>545390</v>
      </c>
      <c r="AV83" s="583">
        <v>0</v>
      </c>
      <c r="AW83" s="583">
        <v>1330884</v>
      </c>
      <c r="AX83" s="583">
        <v>545390</v>
      </c>
      <c r="AY83" s="583">
        <v>1520612</v>
      </c>
      <c r="AZ83" s="583">
        <v>56596</v>
      </c>
      <c r="BA83" s="583">
        <v>0</v>
      </c>
      <c r="BB83" s="583">
        <v>0</v>
      </c>
      <c r="BC83" s="583">
        <v>1577208</v>
      </c>
      <c r="BD83" s="583">
        <v>545390</v>
      </c>
      <c r="BE83" s="583">
        <v>3208425</v>
      </c>
      <c r="BF83" s="583">
        <v>0</v>
      </c>
      <c r="BG83" s="583">
        <v>-545390</v>
      </c>
      <c r="BH83" s="583">
        <v>0</v>
      </c>
      <c r="BI83" s="583">
        <v>2663035</v>
      </c>
      <c r="BJ83" s="583">
        <v>0</v>
      </c>
      <c r="BK83" s="583">
        <v>1190784</v>
      </c>
      <c r="BL83" s="583">
        <v>0</v>
      </c>
      <c r="BM83" s="583">
        <v>140100</v>
      </c>
      <c r="BN83" s="583">
        <v>0</v>
      </c>
      <c r="BO83" s="583">
        <v>1330884</v>
      </c>
      <c r="BP83" s="583">
        <v>140100</v>
      </c>
      <c r="BQ83" s="583">
        <v>2281871</v>
      </c>
      <c r="BR83" s="583">
        <v>371969</v>
      </c>
      <c r="BS83" s="583">
        <v>-140100</v>
      </c>
      <c r="BT83" s="583">
        <v>0</v>
      </c>
      <c r="BU83" s="583">
        <v>2513740</v>
      </c>
      <c r="BV83" s="583">
        <v>0</v>
      </c>
    </row>
    <row r="84" spans="1:74" x14ac:dyDescent="0.2">
      <c r="A84" s="580">
        <v>6102</v>
      </c>
      <c r="B84" s="580" t="s">
        <v>124</v>
      </c>
      <c r="C84" s="583">
        <v>83185</v>
      </c>
      <c r="D84" s="583">
        <v>0</v>
      </c>
      <c r="E84" s="583">
        <v>55737</v>
      </c>
      <c r="F84" s="583">
        <v>0</v>
      </c>
      <c r="G84" s="583">
        <v>138922</v>
      </c>
      <c r="H84" s="583">
        <v>55737</v>
      </c>
      <c r="I84" s="583">
        <v>44235</v>
      </c>
      <c r="J84" s="583">
        <v>0</v>
      </c>
      <c r="K84" s="583">
        <v>94687</v>
      </c>
      <c r="L84" s="583">
        <v>0</v>
      </c>
      <c r="M84" s="583">
        <v>138922</v>
      </c>
      <c r="N84" s="583">
        <v>150424</v>
      </c>
      <c r="O84" s="583">
        <v>126193</v>
      </c>
      <c r="P84" s="583">
        <v>0</v>
      </c>
      <c r="Q84" s="583">
        <v>0</v>
      </c>
      <c r="R84" s="583">
        <v>0</v>
      </c>
      <c r="S84" s="583">
        <v>126193</v>
      </c>
      <c r="T84" s="583">
        <v>150424</v>
      </c>
      <c r="U84" s="583">
        <v>67006</v>
      </c>
      <c r="V84" s="583">
        <v>0</v>
      </c>
      <c r="W84" s="583">
        <v>71916</v>
      </c>
      <c r="X84" s="583">
        <v>0</v>
      </c>
      <c r="Y84" s="583">
        <v>138922</v>
      </c>
      <c r="Z84" s="583">
        <v>222340</v>
      </c>
      <c r="AA84" s="583">
        <v>583082</v>
      </c>
      <c r="AB84" s="583">
        <v>5382</v>
      </c>
      <c r="AC84" s="583">
        <v>-222340</v>
      </c>
      <c r="AD84" s="583">
        <v>0</v>
      </c>
      <c r="AE84" s="583">
        <v>366124</v>
      </c>
      <c r="AF84" s="583">
        <v>0</v>
      </c>
      <c r="AG84" s="583">
        <v>115494</v>
      </c>
      <c r="AH84" s="583">
        <v>3814</v>
      </c>
      <c r="AI84" s="583">
        <v>23428</v>
      </c>
      <c r="AJ84" s="583">
        <v>0</v>
      </c>
      <c r="AK84" s="583">
        <v>142736</v>
      </c>
      <c r="AL84" s="583">
        <v>23428</v>
      </c>
      <c r="AM84" s="583">
        <v>229581</v>
      </c>
      <c r="AN84" s="583">
        <v>22288</v>
      </c>
      <c r="AO84" s="583">
        <v>-18560</v>
      </c>
      <c r="AP84" s="583">
        <v>0</v>
      </c>
      <c r="AQ84" s="583">
        <v>233309</v>
      </c>
      <c r="AR84" s="583">
        <v>4868</v>
      </c>
      <c r="AS84" s="583">
        <v>75834</v>
      </c>
      <c r="AT84" s="583">
        <v>0</v>
      </c>
      <c r="AU84" s="583">
        <v>63088</v>
      </c>
      <c r="AV84" s="583">
        <v>0</v>
      </c>
      <c r="AW84" s="583">
        <v>138922</v>
      </c>
      <c r="AX84" s="583">
        <v>67956</v>
      </c>
      <c r="AY84" s="583">
        <v>146805</v>
      </c>
      <c r="AZ84" s="583">
        <v>5464</v>
      </c>
      <c r="BA84" s="583">
        <v>0</v>
      </c>
      <c r="BB84" s="583">
        <v>0</v>
      </c>
      <c r="BC84" s="583">
        <v>152269</v>
      </c>
      <c r="BD84" s="583">
        <v>67956</v>
      </c>
      <c r="BE84" s="583">
        <v>309751</v>
      </c>
      <c r="BF84" s="583">
        <v>0</v>
      </c>
      <c r="BG84" s="583">
        <v>-67956</v>
      </c>
      <c r="BH84" s="583">
        <v>0</v>
      </c>
      <c r="BI84" s="583">
        <v>241795</v>
      </c>
      <c r="BJ84" s="583">
        <v>0</v>
      </c>
      <c r="BK84" s="583">
        <v>114962</v>
      </c>
      <c r="BL84" s="583">
        <v>0</v>
      </c>
      <c r="BM84" s="583">
        <v>23960</v>
      </c>
      <c r="BN84" s="583">
        <v>0</v>
      </c>
      <c r="BO84" s="583">
        <v>138922</v>
      </c>
      <c r="BP84" s="583">
        <v>23960</v>
      </c>
      <c r="BQ84" s="583">
        <v>220299</v>
      </c>
      <c r="BR84" s="583">
        <v>35911</v>
      </c>
      <c r="BS84" s="583">
        <v>-23960</v>
      </c>
      <c r="BT84" s="583">
        <v>0</v>
      </c>
      <c r="BU84" s="583">
        <v>232250</v>
      </c>
      <c r="BV84" s="583">
        <v>0</v>
      </c>
    </row>
    <row r="85" spans="1:74" x14ac:dyDescent="0.2">
      <c r="A85" s="580">
        <v>6103</v>
      </c>
      <c r="B85" s="580" t="s">
        <v>131</v>
      </c>
      <c r="C85" s="583">
        <v>89171</v>
      </c>
      <c r="D85" s="583">
        <v>0</v>
      </c>
      <c r="E85" s="583">
        <v>51709</v>
      </c>
      <c r="F85" s="583">
        <v>0</v>
      </c>
      <c r="G85" s="583">
        <v>140880</v>
      </c>
      <c r="H85" s="583">
        <v>51709</v>
      </c>
      <c r="I85" s="583">
        <v>47418</v>
      </c>
      <c r="J85" s="583">
        <v>0</v>
      </c>
      <c r="K85" s="583">
        <v>93462</v>
      </c>
      <c r="L85" s="583">
        <v>0</v>
      </c>
      <c r="M85" s="583">
        <v>140880</v>
      </c>
      <c r="N85" s="583">
        <v>145171</v>
      </c>
      <c r="O85" s="583">
        <v>135274</v>
      </c>
      <c r="P85" s="583">
        <v>0</v>
      </c>
      <c r="Q85" s="583">
        <v>0</v>
      </c>
      <c r="R85" s="583">
        <v>0</v>
      </c>
      <c r="S85" s="583">
        <v>135274</v>
      </c>
      <c r="T85" s="583">
        <v>145171</v>
      </c>
      <c r="U85" s="583">
        <v>71828</v>
      </c>
      <c r="V85" s="583">
        <v>0</v>
      </c>
      <c r="W85" s="583">
        <v>69052</v>
      </c>
      <c r="X85" s="583">
        <v>0</v>
      </c>
      <c r="Y85" s="583">
        <v>140880</v>
      </c>
      <c r="Z85" s="583">
        <v>214223</v>
      </c>
      <c r="AA85" s="583">
        <v>625039</v>
      </c>
      <c r="AB85" s="583">
        <v>5769</v>
      </c>
      <c r="AC85" s="583">
        <v>-214223</v>
      </c>
      <c r="AD85" s="583">
        <v>0</v>
      </c>
      <c r="AE85" s="583">
        <v>416585</v>
      </c>
      <c r="AF85" s="583">
        <v>0</v>
      </c>
      <c r="AG85" s="583">
        <v>123804</v>
      </c>
      <c r="AH85" s="583">
        <v>4089</v>
      </c>
      <c r="AI85" s="583">
        <v>17076</v>
      </c>
      <c r="AJ85" s="583">
        <v>0</v>
      </c>
      <c r="AK85" s="583">
        <v>144969</v>
      </c>
      <c r="AL85" s="583">
        <v>17076</v>
      </c>
      <c r="AM85" s="583">
        <v>246101</v>
      </c>
      <c r="AN85" s="583">
        <v>23892</v>
      </c>
      <c r="AO85" s="583">
        <v>-17076</v>
      </c>
      <c r="AP85" s="583">
        <v>0</v>
      </c>
      <c r="AQ85" s="583">
        <v>252917</v>
      </c>
      <c r="AR85" s="583">
        <v>0</v>
      </c>
      <c r="AS85" s="583">
        <v>81291</v>
      </c>
      <c r="AT85" s="583">
        <v>0</v>
      </c>
      <c r="AU85" s="583">
        <v>59589</v>
      </c>
      <c r="AV85" s="583">
        <v>0</v>
      </c>
      <c r="AW85" s="583">
        <v>140880</v>
      </c>
      <c r="AX85" s="583">
        <v>59589</v>
      </c>
      <c r="AY85" s="583">
        <v>157368</v>
      </c>
      <c r="AZ85" s="583">
        <v>5857</v>
      </c>
      <c r="BA85" s="583">
        <v>0</v>
      </c>
      <c r="BB85" s="583">
        <v>0</v>
      </c>
      <c r="BC85" s="583">
        <v>163225</v>
      </c>
      <c r="BD85" s="583">
        <v>59589</v>
      </c>
      <c r="BE85" s="583">
        <v>332041</v>
      </c>
      <c r="BF85" s="583">
        <v>0</v>
      </c>
      <c r="BG85" s="583">
        <v>-59589</v>
      </c>
      <c r="BH85" s="583">
        <v>0</v>
      </c>
      <c r="BI85" s="583">
        <v>272452</v>
      </c>
      <c r="BJ85" s="583">
        <v>0</v>
      </c>
      <c r="BK85" s="583">
        <v>123234</v>
      </c>
      <c r="BL85" s="583">
        <v>0</v>
      </c>
      <c r="BM85" s="583">
        <v>17646</v>
      </c>
      <c r="BN85" s="583">
        <v>0</v>
      </c>
      <c r="BO85" s="583">
        <v>140880</v>
      </c>
      <c r="BP85" s="583">
        <v>17646</v>
      </c>
      <c r="BQ85" s="583">
        <v>236151</v>
      </c>
      <c r="BR85" s="583">
        <v>38495</v>
      </c>
      <c r="BS85" s="583">
        <v>-17646</v>
      </c>
      <c r="BT85" s="583">
        <v>0</v>
      </c>
      <c r="BU85" s="583">
        <v>257000</v>
      </c>
      <c r="BV85" s="583">
        <v>0</v>
      </c>
    </row>
    <row r="86" spans="1:74" x14ac:dyDescent="0.2">
      <c r="A86" s="580">
        <v>6104</v>
      </c>
      <c r="B86" s="580" t="s">
        <v>123</v>
      </c>
      <c r="C86" s="583">
        <v>166471</v>
      </c>
      <c r="D86" s="583">
        <v>0</v>
      </c>
      <c r="E86" s="583">
        <v>94929</v>
      </c>
      <c r="F86" s="583">
        <v>0</v>
      </c>
      <c r="G86" s="583">
        <v>261400</v>
      </c>
      <c r="H86" s="583">
        <v>94929</v>
      </c>
      <c r="I86" s="583">
        <v>88524</v>
      </c>
      <c r="J86" s="583">
        <v>0</v>
      </c>
      <c r="K86" s="583">
        <v>172876</v>
      </c>
      <c r="L86" s="583">
        <v>0</v>
      </c>
      <c r="M86" s="583">
        <v>261400</v>
      </c>
      <c r="N86" s="583">
        <v>267805</v>
      </c>
      <c r="O86" s="583">
        <v>252538</v>
      </c>
      <c r="P86" s="583">
        <v>0</v>
      </c>
      <c r="Q86" s="583">
        <v>0</v>
      </c>
      <c r="R86" s="583">
        <v>0</v>
      </c>
      <c r="S86" s="583">
        <v>252538</v>
      </c>
      <c r="T86" s="583">
        <v>267805</v>
      </c>
      <c r="U86" s="583">
        <v>134094</v>
      </c>
      <c r="V86" s="583">
        <v>0</v>
      </c>
      <c r="W86" s="583">
        <v>127306</v>
      </c>
      <c r="X86" s="583">
        <v>0</v>
      </c>
      <c r="Y86" s="583">
        <v>261400</v>
      </c>
      <c r="Z86" s="583">
        <v>395111</v>
      </c>
      <c r="AA86" s="583">
        <v>1166867</v>
      </c>
      <c r="AB86" s="583">
        <v>10770</v>
      </c>
      <c r="AC86" s="583">
        <v>-395111</v>
      </c>
      <c r="AD86" s="583">
        <v>0</v>
      </c>
      <c r="AE86" s="583">
        <v>782526</v>
      </c>
      <c r="AF86" s="583">
        <v>0</v>
      </c>
      <c r="AG86" s="583">
        <v>231127</v>
      </c>
      <c r="AH86" s="583">
        <v>7633</v>
      </c>
      <c r="AI86" s="583">
        <v>30273</v>
      </c>
      <c r="AJ86" s="583">
        <v>0</v>
      </c>
      <c r="AK86" s="583">
        <v>269033</v>
      </c>
      <c r="AL86" s="583">
        <v>30273</v>
      </c>
      <c r="AM86" s="583">
        <v>459438</v>
      </c>
      <c r="AN86" s="583">
        <v>44603</v>
      </c>
      <c r="AO86" s="583">
        <v>-30273</v>
      </c>
      <c r="AP86" s="583">
        <v>0</v>
      </c>
      <c r="AQ86" s="583">
        <v>473768</v>
      </c>
      <c r="AR86" s="583">
        <v>0</v>
      </c>
      <c r="AS86" s="583">
        <v>151760</v>
      </c>
      <c r="AT86" s="583">
        <v>0</v>
      </c>
      <c r="AU86" s="583">
        <v>109640</v>
      </c>
      <c r="AV86" s="583">
        <v>0</v>
      </c>
      <c r="AW86" s="583">
        <v>261400</v>
      </c>
      <c r="AX86" s="583">
        <v>109640</v>
      </c>
      <c r="AY86" s="583">
        <v>293786</v>
      </c>
      <c r="AZ86" s="583">
        <v>10934</v>
      </c>
      <c r="BA86" s="583">
        <v>0</v>
      </c>
      <c r="BB86" s="583">
        <v>0</v>
      </c>
      <c r="BC86" s="583">
        <v>304720</v>
      </c>
      <c r="BD86" s="583">
        <v>109640</v>
      </c>
      <c r="BE86" s="583">
        <v>619876</v>
      </c>
      <c r="BF86" s="583">
        <v>0</v>
      </c>
      <c r="BG86" s="583">
        <v>-109640</v>
      </c>
      <c r="BH86" s="583">
        <v>0</v>
      </c>
      <c r="BI86" s="583">
        <v>510236</v>
      </c>
      <c r="BJ86" s="583">
        <v>0</v>
      </c>
      <c r="BK86" s="583">
        <v>230063</v>
      </c>
      <c r="BL86" s="583">
        <v>0</v>
      </c>
      <c r="BM86" s="583">
        <v>31337</v>
      </c>
      <c r="BN86" s="583">
        <v>0</v>
      </c>
      <c r="BO86" s="583">
        <v>261400</v>
      </c>
      <c r="BP86" s="583">
        <v>31337</v>
      </c>
      <c r="BQ86" s="583">
        <v>440864</v>
      </c>
      <c r="BR86" s="583">
        <v>71865</v>
      </c>
      <c r="BS86" s="583">
        <v>-31337</v>
      </c>
      <c r="BT86" s="583">
        <v>0</v>
      </c>
      <c r="BU86" s="583">
        <v>481392</v>
      </c>
      <c r="BV86" s="583">
        <v>0</v>
      </c>
    </row>
    <row r="87" spans="1:74" x14ac:dyDescent="0.2">
      <c r="A87" s="580">
        <v>6105</v>
      </c>
      <c r="B87" s="580" t="s">
        <v>122</v>
      </c>
      <c r="C87" s="583">
        <v>145038</v>
      </c>
      <c r="D87" s="583">
        <v>0</v>
      </c>
      <c r="E87" s="583">
        <v>77809</v>
      </c>
      <c r="F87" s="583">
        <v>0</v>
      </c>
      <c r="G87" s="583">
        <v>222847</v>
      </c>
      <c r="H87" s="583">
        <v>77809</v>
      </c>
      <c r="I87" s="583">
        <v>77127</v>
      </c>
      <c r="J87" s="583">
        <v>0</v>
      </c>
      <c r="K87" s="583">
        <v>145720</v>
      </c>
      <c r="L87" s="583">
        <v>0</v>
      </c>
      <c r="M87" s="583">
        <v>222847</v>
      </c>
      <c r="N87" s="583">
        <v>223529</v>
      </c>
      <c r="O87" s="583">
        <v>220025</v>
      </c>
      <c r="P87" s="583">
        <v>0</v>
      </c>
      <c r="Q87" s="583">
        <v>0</v>
      </c>
      <c r="R87" s="583">
        <v>0</v>
      </c>
      <c r="S87" s="583">
        <v>220025</v>
      </c>
      <c r="T87" s="583">
        <v>223529</v>
      </c>
      <c r="U87" s="583">
        <v>116830</v>
      </c>
      <c r="V87" s="583">
        <v>0</v>
      </c>
      <c r="W87" s="583">
        <v>106017</v>
      </c>
      <c r="X87" s="583">
        <v>0</v>
      </c>
      <c r="Y87" s="583">
        <v>222847</v>
      </c>
      <c r="Z87" s="583">
        <v>329546</v>
      </c>
      <c r="AA87" s="583">
        <v>1016636</v>
      </c>
      <c r="AB87" s="583">
        <v>9383</v>
      </c>
      <c r="AC87" s="583">
        <v>-329546</v>
      </c>
      <c r="AD87" s="583">
        <v>0</v>
      </c>
      <c r="AE87" s="583">
        <v>696473</v>
      </c>
      <c r="AF87" s="583">
        <v>0</v>
      </c>
      <c r="AG87" s="583">
        <v>201370</v>
      </c>
      <c r="AH87" s="583">
        <v>6650</v>
      </c>
      <c r="AI87" s="583">
        <v>21477</v>
      </c>
      <c r="AJ87" s="583">
        <v>0</v>
      </c>
      <c r="AK87" s="583">
        <v>229497</v>
      </c>
      <c r="AL87" s="583">
        <v>21477</v>
      </c>
      <c r="AM87" s="583">
        <v>400287</v>
      </c>
      <c r="AN87" s="583">
        <v>38861</v>
      </c>
      <c r="AO87" s="583">
        <v>-21477</v>
      </c>
      <c r="AP87" s="583">
        <v>0</v>
      </c>
      <c r="AQ87" s="583">
        <v>417671</v>
      </c>
      <c r="AR87" s="583">
        <v>0</v>
      </c>
      <c r="AS87" s="583">
        <v>132221</v>
      </c>
      <c r="AT87" s="583">
        <v>0</v>
      </c>
      <c r="AU87" s="583">
        <v>90626</v>
      </c>
      <c r="AV87" s="583">
        <v>0</v>
      </c>
      <c r="AW87" s="583">
        <v>222847</v>
      </c>
      <c r="AX87" s="583">
        <v>90626</v>
      </c>
      <c r="AY87" s="583">
        <v>255962</v>
      </c>
      <c r="AZ87" s="583">
        <v>9527</v>
      </c>
      <c r="BA87" s="583">
        <v>0</v>
      </c>
      <c r="BB87" s="583">
        <v>0</v>
      </c>
      <c r="BC87" s="583">
        <v>265489</v>
      </c>
      <c r="BD87" s="583">
        <v>90626</v>
      </c>
      <c r="BE87" s="583">
        <v>540069</v>
      </c>
      <c r="BF87" s="583">
        <v>0</v>
      </c>
      <c r="BG87" s="583">
        <v>-90626</v>
      </c>
      <c r="BH87" s="583">
        <v>0</v>
      </c>
      <c r="BI87" s="583">
        <v>449443</v>
      </c>
      <c r="BJ87" s="583">
        <v>0</v>
      </c>
      <c r="BK87" s="583">
        <v>200443</v>
      </c>
      <c r="BL87" s="583">
        <v>0</v>
      </c>
      <c r="BM87" s="583">
        <v>22404</v>
      </c>
      <c r="BN87" s="583">
        <v>0</v>
      </c>
      <c r="BO87" s="583">
        <v>222847</v>
      </c>
      <c r="BP87" s="583">
        <v>22404</v>
      </c>
      <c r="BQ87" s="583">
        <v>384104</v>
      </c>
      <c r="BR87" s="583">
        <v>62613</v>
      </c>
      <c r="BS87" s="583">
        <v>-22404</v>
      </c>
      <c r="BT87" s="583">
        <v>0</v>
      </c>
      <c r="BU87" s="583">
        <v>424313</v>
      </c>
      <c r="BV87" s="583">
        <v>0</v>
      </c>
    </row>
    <row r="88" spans="1:74" x14ac:dyDescent="0.2">
      <c r="A88" s="580">
        <v>6106</v>
      </c>
      <c r="B88" s="580" t="s">
        <v>120</v>
      </c>
      <c r="C88" s="583">
        <v>196067</v>
      </c>
      <c r="D88" s="583">
        <v>0</v>
      </c>
      <c r="E88" s="583">
        <v>105511</v>
      </c>
      <c r="F88" s="583">
        <v>0</v>
      </c>
      <c r="G88" s="583">
        <v>301578</v>
      </c>
      <c r="H88" s="583">
        <v>105511</v>
      </c>
      <c r="I88" s="583">
        <v>104262</v>
      </c>
      <c r="J88" s="583">
        <v>0</v>
      </c>
      <c r="K88" s="583">
        <v>197316</v>
      </c>
      <c r="L88" s="583">
        <v>0</v>
      </c>
      <c r="M88" s="583">
        <v>301578</v>
      </c>
      <c r="N88" s="583">
        <v>302827</v>
      </c>
      <c r="O88" s="583">
        <v>297436</v>
      </c>
      <c r="P88" s="583">
        <v>0</v>
      </c>
      <c r="Q88" s="583">
        <v>0</v>
      </c>
      <c r="R88" s="583">
        <v>0</v>
      </c>
      <c r="S88" s="583">
        <v>297436</v>
      </c>
      <c r="T88" s="583">
        <v>302827</v>
      </c>
      <c r="U88" s="583">
        <v>157934</v>
      </c>
      <c r="V88" s="583">
        <v>0</v>
      </c>
      <c r="W88" s="583">
        <v>143644</v>
      </c>
      <c r="X88" s="583">
        <v>0</v>
      </c>
      <c r="Y88" s="583">
        <v>301578</v>
      </c>
      <c r="Z88" s="583">
        <v>446471</v>
      </c>
      <c r="AA88" s="583">
        <v>1374320</v>
      </c>
      <c r="AB88" s="583">
        <v>12685</v>
      </c>
      <c r="AC88" s="583">
        <v>-446471</v>
      </c>
      <c r="AD88" s="583">
        <v>0</v>
      </c>
      <c r="AE88" s="583">
        <v>940534</v>
      </c>
      <c r="AF88" s="583">
        <v>0</v>
      </c>
      <c r="AG88" s="583">
        <v>272218</v>
      </c>
      <c r="AH88" s="583">
        <v>8990</v>
      </c>
      <c r="AI88" s="583">
        <v>29360</v>
      </c>
      <c r="AJ88" s="583">
        <v>0</v>
      </c>
      <c r="AK88" s="583">
        <v>310568</v>
      </c>
      <c r="AL88" s="583">
        <v>29360</v>
      </c>
      <c r="AM88" s="583">
        <v>541120</v>
      </c>
      <c r="AN88" s="583">
        <v>52533</v>
      </c>
      <c r="AO88" s="583">
        <v>-29360</v>
      </c>
      <c r="AP88" s="583">
        <v>0</v>
      </c>
      <c r="AQ88" s="583">
        <v>564293</v>
      </c>
      <c r="AR88" s="583">
        <v>0</v>
      </c>
      <c r="AS88" s="583">
        <v>178740</v>
      </c>
      <c r="AT88" s="583">
        <v>0</v>
      </c>
      <c r="AU88" s="583">
        <v>122838</v>
      </c>
      <c r="AV88" s="583">
        <v>0</v>
      </c>
      <c r="AW88" s="583">
        <v>301578</v>
      </c>
      <c r="AX88" s="583">
        <v>122838</v>
      </c>
      <c r="AY88" s="583">
        <v>346018</v>
      </c>
      <c r="AZ88" s="583">
        <v>12878</v>
      </c>
      <c r="BA88" s="583">
        <v>0</v>
      </c>
      <c r="BB88" s="583">
        <v>0</v>
      </c>
      <c r="BC88" s="583">
        <v>358896</v>
      </c>
      <c r="BD88" s="583">
        <v>122838</v>
      </c>
      <c r="BE88" s="583">
        <v>730082</v>
      </c>
      <c r="BF88" s="583">
        <v>0</v>
      </c>
      <c r="BG88" s="583">
        <v>-122838</v>
      </c>
      <c r="BH88" s="583">
        <v>0</v>
      </c>
      <c r="BI88" s="583">
        <v>607244</v>
      </c>
      <c r="BJ88" s="583">
        <v>0</v>
      </c>
      <c r="BK88" s="583">
        <v>270965</v>
      </c>
      <c r="BL88" s="583">
        <v>0</v>
      </c>
      <c r="BM88" s="583">
        <v>30613</v>
      </c>
      <c r="BN88" s="583">
        <v>0</v>
      </c>
      <c r="BO88" s="583">
        <v>301578</v>
      </c>
      <c r="BP88" s="583">
        <v>30613</v>
      </c>
      <c r="BQ88" s="583">
        <v>519243</v>
      </c>
      <c r="BR88" s="583">
        <v>84642</v>
      </c>
      <c r="BS88" s="583">
        <v>-30613</v>
      </c>
      <c r="BT88" s="583">
        <v>0</v>
      </c>
      <c r="BU88" s="583">
        <v>573272</v>
      </c>
      <c r="BV88" s="583">
        <v>0</v>
      </c>
    </row>
    <row r="89" spans="1:74" x14ac:dyDescent="0.2">
      <c r="A89" s="580">
        <v>6107</v>
      </c>
      <c r="B89" s="580" t="s">
        <v>126</v>
      </c>
      <c r="C89" s="583">
        <v>101339</v>
      </c>
      <c r="D89" s="583">
        <v>0</v>
      </c>
      <c r="E89" s="583">
        <v>59152</v>
      </c>
      <c r="F89" s="583">
        <v>0</v>
      </c>
      <c r="G89" s="583">
        <v>160491</v>
      </c>
      <c r="H89" s="583">
        <v>59152</v>
      </c>
      <c r="I89" s="583">
        <v>53889</v>
      </c>
      <c r="J89" s="583">
        <v>0</v>
      </c>
      <c r="K89" s="583">
        <v>106602</v>
      </c>
      <c r="L89" s="583">
        <v>0</v>
      </c>
      <c r="M89" s="583">
        <v>160491</v>
      </c>
      <c r="N89" s="583">
        <v>165754</v>
      </c>
      <c r="O89" s="583">
        <v>153733</v>
      </c>
      <c r="P89" s="583">
        <v>0</v>
      </c>
      <c r="Q89" s="583">
        <v>0</v>
      </c>
      <c r="R89" s="583">
        <v>0</v>
      </c>
      <c r="S89" s="583">
        <v>153733</v>
      </c>
      <c r="T89" s="583">
        <v>165754</v>
      </c>
      <c r="U89" s="583">
        <v>81630</v>
      </c>
      <c r="V89" s="583">
        <v>0</v>
      </c>
      <c r="W89" s="583">
        <v>78861</v>
      </c>
      <c r="X89" s="583">
        <v>0</v>
      </c>
      <c r="Y89" s="583">
        <v>160491</v>
      </c>
      <c r="Z89" s="583">
        <v>244615</v>
      </c>
      <c r="AA89" s="583">
        <v>710332</v>
      </c>
      <c r="AB89" s="583">
        <v>6556</v>
      </c>
      <c r="AC89" s="583">
        <v>-244615</v>
      </c>
      <c r="AD89" s="583">
        <v>0</v>
      </c>
      <c r="AE89" s="583">
        <v>472273</v>
      </c>
      <c r="AF89" s="583">
        <v>0</v>
      </c>
      <c r="AG89" s="583">
        <v>140699</v>
      </c>
      <c r="AH89" s="583">
        <v>4646</v>
      </c>
      <c r="AI89" s="583">
        <v>19792</v>
      </c>
      <c r="AJ89" s="583">
        <v>0</v>
      </c>
      <c r="AK89" s="583">
        <v>165137</v>
      </c>
      <c r="AL89" s="583">
        <v>19792</v>
      </c>
      <c r="AM89" s="583">
        <v>279684</v>
      </c>
      <c r="AN89" s="583">
        <v>27152</v>
      </c>
      <c r="AO89" s="583">
        <v>-19792</v>
      </c>
      <c r="AP89" s="583">
        <v>0</v>
      </c>
      <c r="AQ89" s="583">
        <v>287044</v>
      </c>
      <c r="AR89" s="583">
        <v>0</v>
      </c>
      <c r="AS89" s="583">
        <v>92384</v>
      </c>
      <c r="AT89" s="583">
        <v>0</v>
      </c>
      <c r="AU89" s="583">
        <v>68107</v>
      </c>
      <c r="AV89" s="583">
        <v>0</v>
      </c>
      <c r="AW89" s="583">
        <v>160491</v>
      </c>
      <c r="AX89" s="583">
        <v>68107</v>
      </c>
      <c r="AY89" s="583">
        <v>178843</v>
      </c>
      <c r="AZ89" s="583">
        <v>6656</v>
      </c>
      <c r="BA89" s="583">
        <v>0</v>
      </c>
      <c r="BB89" s="583">
        <v>0</v>
      </c>
      <c r="BC89" s="583">
        <v>185499</v>
      </c>
      <c r="BD89" s="583">
        <v>68107</v>
      </c>
      <c r="BE89" s="583">
        <v>377351</v>
      </c>
      <c r="BF89" s="583">
        <v>0</v>
      </c>
      <c r="BG89" s="583">
        <v>-68107</v>
      </c>
      <c r="BH89" s="583">
        <v>0</v>
      </c>
      <c r="BI89" s="583">
        <v>309244</v>
      </c>
      <c r="BJ89" s="583">
        <v>0</v>
      </c>
      <c r="BK89" s="583">
        <v>140051</v>
      </c>
      <c r="BL89" s="583">
        <v>0</v>
      </c>
      <c r="BM89" s="583">
        <v>20440</v>
      </c>
      <c r="BN89" s="583">
        <v>0</v>
      </c>
      <c r="BO89" s="583">
        <v>160491</v>
      </c>
      <c r="BP89" s="583">
        <v>20440</v>
      </c>
      <c r="BQ89" s="583">
        <v>268376</v>
      </c>
      <c r="BR89" s="583">
        <v>43748</v>
      </c>
      <c r="BS89" s="583">
        <v>-20440</v>
      </c>
      <c r="BT89" s="583">
        <v>0</v>
      </c>
      <c r="BU89" s="583">
        <v>291684</v>
      </c>
      <c r="BV89" s="583">
        <v>0</v>
      </c>
    </row>
    <row r="90" spans="1:74" x14ac:dyDescent="0.2">
      <c r="A90" s="580">
        <v>6108</v>
      </c>
      <c r="B90" s="580" t="s">
        <v>385</v>
      </c>
      <c r="C90" s="583">
        <v>105752</v>
      </c>
      <c r="D90" s="583">
        <v>0</v>
      </c>
      <c r="E90" s="583">
        <v>63509</v>
      </c>
      <c r="F90" s="583">
        <v>0</v>
      </c>
      <c r="G90" s="583">
        <v>169261</v>
      </c>
      <c r="H90" s="583">
        <v>63509</v>
      </c>
      <c r="I90" s="583">
        <v>56235</v>
      </c>
      <c r="J90" s="583">
        <v>0</v>
      </c>
      <c r="K90" s="583">
        <v>113026</v>
      </c>
      <c r="L90" s="583">
        <v>0</v>
      </c>
      <c r="M90" s="583">
        <v>169261</v>
      </c>
      <c r="N90" s="583">
        <v>176535</v>
      </c>
      <c r="O90" s="583">
        <v>160427</v>
      </c>
      <c r="P90" s="583">
        <v>0</v>
      </c>
      <c r="Q90" s="583">
        <v>0</v>
      </c>
      <c r="R90" s="583">
        <v>0</v>
      </c>
      <c r="S90" s="583">
        <v>160427</v>
      </c>
      <c r="T90" s="583">
        <v>176535</v>
      </c>
      <c r="U90" s="583">
        <v>85184</v>
      </c>
      <c r="V90" s="583">
        <v>0</v>
      </c>
      <c r="W90" s="583">
        <v>84077</v>
      </c>
      <c r="X90" s="583">
        <v>0</v>
      </c>
      <c r="Y90" s="583">
        <v>169261</v>
      </c>
      <c r="Z90" s="583">
        <v>260612</v>
      </c>
      <c r="AA90" s="583">
        <v>741260</v>
      </c>
      <c r="AB90" s="583">
        <v>6842</v>
      </c>
      <c r="AC90" s="583">
        <v>-260612</v>
      </c>
      <c r="AD90" s="583">
        <v>0</v>
      </c>
      <c r="AE90" s="583">
        <v>487490</v>
      </c>
      <c r="AF90" s="583">
        <v>0</v>
      </c>
      <c r="AG90" s="583">
        <v>146825</v>
      </c>
      <c r="AH90" s="583">
        <v>4849</v>
      </c>
      <c r="AI90" s="583">
        <v>22436</v>
      </c>
      <c r="AJ90" s="583">
        <v>0</v>
      </c>
      <c r="AK90" s="583">
        <v>174110</v>
      </c>
      <c r="AL90" s="583">
        <v>22436</v>
      </c>
      <c r="AM90" s="583">
        <v>291861</v>
      </c>
      <c r="AN90" s="583">
        <v>28334</v>
      </c>
      <c r="AO90" s="583">
        <v>-22436</v>
      </c>
      <c r="AP90" s="583">
        <v>0</v>
      </c>
      <c r="AQ90" s="583">
        <v>297759</v>
      </c>
      <c r="AR90" s="583">
        <v>0</v>
      </c>
      <c r="AS90" s="583">
        <v>96406</v>
      </c>
      <c r="AT90" s="583">
        <v>0</v>
      </c>
      <c r="AU90" s="583">
        <v>72855</v>
      </c>
      <c r="AV90" s="583">
        <v>0</v>
      </c>
      <c r="AW90" s="583">
        <v>169261</v>
      </c>
      <c r="AX90" s="583">
        <v>72855</v>
      </c>
      <c r="AY90" s="583">
        <v>186630</v>
      </c>
      <c r="AZ90" s="583">
        <v>6946</v>
      </c>
      <c r="BA90" s="583">
        <v>0</v>
      </c>
      <c r="BB90" s="583">
        <v>0</v>
      </c>
      <c r="BC90" s="583">
        <v>193576</v>
      </c>
      <c r="BD90" s="583">
        <v>72855</v>
      </c>
      <c r="BE90" s="583">
        <v>393781</v>
      </c>
      <c r="BF90" s="583">
        <v>0</v>
      </c>
      <c r="BG90" s="583">
        <v>-72855</v>
      </c>
      <c r="BH90" s="583">
        <v>0</v>
      </c>
      <c r="BI90" s="583">
        <v>320926</v>
      </c>
      <c r="BJ90" s="583">
        <v>0</v>
      </c>
      <c r="BK90" s="583">
        <v>146149</v>
      </c>
      <c r="BL90" s="583">
        <v>0</v>
      </c>
      <c r="BM90" s="583">
        <v>23112</v>
      </c>
      <c r="BN90" s="583">
        <v>0</v>
      </c>
      <c r="BO90" s="583">
        <v>169261</v>
      </c>
      <c r="BP90" s="583">
        <v>23112</v>
      </c>
      <c r="BQ90" s="583">
        <v>280062</v>
      </c>
      <c r="BR90" s="583">
        <v>45653</v>
      </c>
      <c r="BS90" s="583">
        <v>-23112</v>
      </c>
      <c r="BT90" s="583">
        <v>0</v>
      </c>
      <c r="BU90" s="583">
        <v>302603</v>
      </c>
      <c r="BV90" s="583">
        <v>0</v>
      </c>
    </row>
    <row r="91" spans="1:74" x14ac:dyDescent="0.2">
      <c r="A91" s="580">
        <v>6109</v>
      </c>
      <c r="B91" s="580" t="s">
        <v>130</v>
      </c>
      <c r="C91" s="583">
        <v>123966</v>
      </c>
      <c r="D91" s="583">
        <v>0</v>
      </c>
      <c r="E91" s="583">
        <v>69640</v>
      </c>
      <c r="F91" s="583">
        <v>0</v>
      </c>
      <c r="G91" s="583">
        <v>193606</v>
      </c>
      <c r="H91" s="583">
        <v>69640</v>
      </c>
      <c r="I91" s="583">
        <v>65921</v>
      </c>
      <c r="J91" s="583">
        <v>0</v>
      </c>
      <c r="K91" s="583">
        <v>127685</v>
      </c>
      <c r="L91" s="583">
        <v>0</v>
      </c>
      <c r="M91" s="583">
        <v>193606</v>
      </c>
      <c r="N91" s="583">
        <v>197325</v>
      </c>
      <c r="O91" s="583">
        <v>188057</v>
      </c>
      <c r="P91" s="583">
        <v>0</v>
      </c>
      <c r="Q91" s="583">
        <v>0</v>
      </c>
      <c r="R91" s="583">
        <v>0</v>
      </c>
      <c r="S91" s="583">
        <v>188057</v>
      </c>
      <c r="T91" s="583">
        <v>197325</v>
      </c>
      <c r="U91" s="583">
        <v>99856</v>
      </c>
      <c r="V91" s="583">
        <v>0</v>
      </c>
      <c r="W91" s="583">
        <v>93750</v>
      </c>
      <c r="X91" s="583">
        <v>0</v>
      </c>
      <c r="Y91" s="583">
        <v>193606</v>
      </c>
      <c r="Z91" s="583">
        <v>291075</v>
      </c>
      <c r="AA91" s="583">
        <v>868930</v>
      </c>
      <c r="AB91" s="583">
        <v>8020</v>
      </c>
      <c r="AC91" s="583">
        <v>-291075</v>
      </c>
      <c r="AD91" s="583">
        <v>0</v>
      </c>
      <c r="AE91" s="583">
        <v>585875</v>
      </c>
      <c r="AF91" s="583">
        <v>0</v>
      </c>
      <c r="AG91" s="583">
        <v>172113</v>
      </c>
      <c r="AH91" s="583">
        <v>5684</v>
      </c>
      <c r="AI91" s="583">
        <v>21493</v>
      </c>
      <c r="AJ91" s="583">
        <v>0</v>
      </c>
      <c r="AK91" s="583">
        <v>199290</v>
      </c>
      <c r="AL91" s="583">
        <v>21493</v>
      </c>
      <c r="AM91" s="583">
        <v>342130</v>
      </c>
      <c r="AN91" s="583">
        <v>33215</v>
      </c>
      <c r="AO91" s="583">
        <v>-21493</v>
      </c>
      <c r="AP91" s="583">
        <v>0</v>
      </c>
      <c r="AQ91" s="583">
        <v>353852</v>
      </c>
      <c r="AR91" s="583">
        <v>0</v>
      </c>
      <c r="AS91" s="583">
        <v>113011</v>
      </c>
      <c r="AT91" s="583">
        <v>0</v>
      </c>
      <c r="AU91" s="583">
        <v>80595</v>
      </c>
      <c r="AV91" s="583">
        <v>0</v>
      </c>
      <c r="AW91" s="583">
        <v>193606</v>
      </c>
      <c r="AX91" s="583">
        <v>80595</v>
      </c>
      <c r="AY91" s="583">
        <v>218774</v>
      </c>
      <c r="AZ91" s="583">
        <v>8143</v>
      </c>
      <c r="BA91" s="583">
        <v>0</v>
      </c>
      <c r="BB91" s="583">
        <v>0</v>
      </c>
      <c r="BC91" s="583">
        <v>226917</v>
      </c>
      <c r="BD91" s="583">
        <v>80595</v>
      </c>
      <c r="BE91" s="583">
        <v>461603</v>
      </c>
      <c r="BF91" s="583">
        <v>0</v>
      </c>
      <c r="BG91" s="583">
        <v>-80595</v>
      </c>
      <c r="BH91" s="583">
        <v>0</v>
      </c>
      <c r="BI91" s="583">
        <v>381008</v>
      </c>
      <c r="BJ91" s="583">
        <v>0</v>
      </c>
      <c r="BK91" s="583">
        <v>171321</v>
      </c>
      <c r="BL91" s="583">
        <v>0</v>
      </c>
      <c r="BM91" s="583">
        <v>22285</v>
      </c>
      <c r="BN91" s="583">
        <v>0</v>
      </c>
      <c r="BO91" s="583">
        <v>193606</v>
      </c>
      <c r="BP91" s="583">
        <v>22285</v>
      </c>
      <c r="BQ91" s="583">
        <v>328298</v>
      </c>
      <c r="BR91" s="583">
        <v>53516</v>
      </c>
      <c r="BS91" s="583">
        <v>-22285</v>
      </c>
      <c r="BT91" s="583">
        <v>0</v>
      </c>
      <c r="BU91" s="583">
        <v>359529</v>
      </c>
      <c r="BV91" s="583">
        <v>0</v>
      </c>
    </row>
    <row r="92" spans="1:74" x14ac:dyDescent="0.2">
      <c r="A92" s="580">
        <v>6110</v>
      </c>
      <c r="B92" s="580" t="s">
        <v>121</v>
      </c>
      <c r="C92" s="583">
        <v>100878</v>
      </c>
      <c r="D92" s="583">
        <v>0</v>
      </c>
      <c r="E92" s="583">
        <v>61228</v>
      </c>
      <c r="F92" s="583">
        <v>0</v>
      </c>
      <c r="G92" s="583">
        <v>162106</v>
      </c>
      <c r="H92" s="583">
        <v>61228</v>
      </c>
      <c r="I92" s="583">
        <v>53644</v>
      </c>
      <c r="J92" s="583">
        <v>0</v>
      </c>
      <c r="K92" s="583">
        <v>108462</v>
      </c>
      <c r="L92" s="583">
        <v>0</v>
      </c>
      <c r="M92" s="583">
        <v>162106</v>
      </c>
      <c r="N92" s="583">
        <v>169690</v>
      </c>
      <c r="O92" s="583">
        <v>153034</v>
      </c>
      <c r="P92" s="583">
        <v>0</v>
      </c>
      <c r="Q92" s="583">
        <v>0</v>
      </c>
      <c r="R92" s="583">
        <v>0</v>
      </c>
      <c r="S92" s="583">
        <v>153034</v>
      </c>
      <c r="T92" s="583">
        <v>169690</v>
      </c>
      <c r="U92" s="583">
        <v>81258</v>
      </c>
      <c r="V92" s="583">
        <v>0</v>
      </c>
      <c r="W92" s="583">
        <v>80848</v>
      </c>
      <c r="X92" s="583">
        <v>0</v>
      </c>
      <c r="Y92" s="583">
        <v>162106</v>
      </c>
      <c r="Z92" s="583">
        <v>250538</v>
      </c>
      <c r="AA92" s="583">
        <v>707100</v>
      </c>
      <c r="AB92" s="583">
        <v>6526</v>
      </c>
      <c r="AC92" s="583">
        <v>-250538</v>
      </c>
      <c r="AD92" s="583">
        <v>0</v>
      </c>
      <c r="AE92" s="583">
        <v>463088</v>
      </c>
      <c r="AF92" s="583">
        <v>0</v>
      </c>
      <c r="AG92" s="583">
        <v>140058</v>
      </c>
      <c r="AH92" s="583">
        <v>4625</v>
      </c>
      <c r="AI92" s="583">
        <v>22048</v>
      </c>
      <c r="AJ92" s="583">
        <v>0</v>
      </c>
      <c r="AK92" s="583">
        <v>166731</v>
      </c>
      <c r="AL92" s="583">
        <v>22048</v>
      </c>
      <c r="AM92" s="583">
        <v>278411</v>
      </c>
      <c r="AN92" s="583">
        <v>27029</v>
      </c>
      <c r="AO92" s="583">
        <v>-22048</v>
      </c>
      <c r="AP92" s="583">
        <v>0</v>
      </c>
      <c r="AQ92" s="583">
        <v>283392</v>
      </c>
      <c r="AR92" s="583">
        <v>0</v>
      </c>
      <c r="AS92" s="583">
        <v>91964</v>
      </c>
      <c r="AT92" s="583">
        <v>0</v>
      </c>
      <c r="AU92" s="583">
        <v>70142</v>
      </c>
      <c r="AV92" s="583">
        <v>0</v>
      </c>
      <c r="AW92" s="583">
        <v>162106</v>
      </c>
      <c r="AX92" s="583">
        <v>70142</v>
      </c>
      <c r="AY92" s="583">
        <v>178029</v>
      </c>
      <c r="AZ92" s="583">
        <v>6626</v>
      </c>
      <c r="BA92" s="583">
        <v>0</v>
      </c>
      <c r="BB92" s="583">
        <v>0</v>
      </c>
      <c r="BC92" s="583">
        <v>184655</v>
      </c>
      <c r="BD92" s="583">
        <v>70142</v>
      </c>
      <c r="BE92" s="583">
        <v>375634</v>
      </c>
      <c r="BF92" s="583">
        <v>0</v>
      </c>
      <c r="BG92" s="583">
        <v>-70142</v>
      </c>
      <c r="BH92" s="583">
        <v>0</v>
      </c>
      <c r="BI92" s="583">
        <v>305492</v>
      </c>
      <c r="BJ92" s="583">
        <v>0</v>
      </c>
      <c r="BK92" s="583">
        <v>139414</v>
      </c>
      <c r="BL92" s="583">
        <v>0</v>
      </c>
      <c r="BM92" s="583">
        <v>22692</v>
      </c>
      <c r="BN92" s="583">
        <v>0</v>
      </c>
      <c r="BO92" s="583">
        <v>162106</v>
      </c>
      <c r="BP92" s="583">
        <v>22692</v>
      </c>
      <c r="BQ92" s="583">
        <v>267155</v>
      </c>
      <c r="BR92" s="583">
        <v>43549</v>
      </c>
      <c r="BS92" s="583">
        <v>-22692</v>
      </c>
      <c r="BT92" s="583">
        <v>0</v>
      </c>
      <c r="BU92" s="583">
        <v>288012</v>
      </c>
      <c r="BV92" s="583">
        <v>0</v>
      </c>
    </row>
    <row r="93" spans="1:74" x14ac:dyDescent="0.2">
      <c r="A93" s="580">
        <v>6111</v>
      </c>
      <c r="B93" s="580" t="s">
        <v>129</v>
      </c>
      <c r="C93" s="583">
        <v>76509</v>
      </c>
      <c r="D93" s="583">
        <v>0</v>
      </c>
      <c r="E93" s="583">
        <v>46923</v>
      </c>
      <c r="F93" s="583">
        <v>0</v>
      </c>
      <c r="G93" s="583">
        <v>123432</v>
      </c>
      <c r="H93" s="583">
        <v>46923</v>
      </c>
      <c r="I93" s="583">
        <v>40685</v>
      </c>
      <c r="J93" s="583">
        <v>0</v>
      </c>
      <c r="K93" s="583">
        <v>82747</v>
      </c>
      <c r="L93" s="583">
        <v>0</v>
      </c>
      <c r="M93" s="583">
        <v>123432</v>
      </c>
      <c r="N93" s="583">
        <v>129670</v>
      </c>
      <c r="O93" s="583">
        <v>116065</v>
      </c>
      <c r="P93" s="583">
        <v>0</v>
      </c>
      <c r="Q93" s="583">
        <v>0</v>
      </c>
      <c r="R93" s="583">
        <v>0</v>
      </c>
      <c r="S93" s="583">
        <v>116065</v>
      </c>
      <c r="T93" s="583">
        <v>129670</v>
      </c>
      <c r="U93" s="583">
        <v>61629</v>
      </c>
      <c r="V93" s="583">
        <v>0</v>
      </c>
      <c r="W93" s="583">
        <v>61803</v>
      </c>
      <c r="X93" s="583">
        <v>0</v>
      </c>
      <c r="Y93" s="583">
        <v>123432</v>
      </c>
      <c r="Z93" s="583">
        <v>191473</v>
      </c>
      <c r="AA93" s="583">
        <v>536284</v>
      </c>
      <c r="AB93" s="583">
        <v>4950</v>
      </c>
      <c r="AC93" s="583">
        <v>-191473</v>
      </c>
      <c r="AD93" s="583">
        <v>0</v>
      </c>
      <c r="AE93" s="583">
        <v>349761</v>
      </c>
      <c r="AF93" s="583">
        <v>0</v>
      </c>
      <c r="AG93" s="583">
        <v>106224</v>
      </c>
      <c r="AH93" s="583">
        <v>3508</v>
      </c>
      <c r="AI93" s="583">
        <v>17208</v>
      </c>
      <c r="AJ93" s="583">
        <v>0</v>
      </c>
      <c r="AK93" s="583">
        <v>126940</v>
      </c>
      <c r="AL93" s="583">
        <v>17208</v>
      </c>
      <c r="AM93" s="583">
        <v>211155</v>
      </c>
      <c r="AN93" s="583">
        <v>20499</v>
      </c>
      <c r="AO93" s="583">
        <v>-17208</v>
      </c>
      <c r="AP93" s="583">
        <v>0</v>
      </c>
      <c r="AQ93" s="583">
        <v>214446</v>
      </c>
      <c r="AR93" s="583">
        <v>0</v>
      </c>
      <c r="AS93" s="583">
        <v>69748</v>
      </c>
      <c r="AT93" s="583">
        <v>0</v>
      </c>
      <c r="AU93" s="583">
        <v>53684</v>
      </c>
      <c r="AV93" s="583">
        <v>0</v>
      </c>
      <c r="AW93" s="583">
        <v>123432</v>
      </c>
      <c r="AX93" s="583">
        <v>53684</v>
      </c>
      <c r="AY93" s="583">
        <v>135022</v>
      </c>
      <c r="AZ93" s="583">
        <v>5025</v>
      </c>
      <c r="BA93" s="583">
        <v>0</v>
      </c>
      <c r="BB93" s="583">
        <v>0</v>
      </c>
      <c r="BC93" s="583">
        <v>140047</v>
      </c>
      <c r="BD93" s="583">
        <v>53684</v>
      </c>
      <c r="BE93" s="583">
        <v>284891</v>
      </c>
      <c r="BF93" s="583">
        <v>0</v>
      </c>
      <c r="BG93" s="583">
        <v>-53684</v>
      </c>
      <c r="BH93" s="583">
        <v>0</v>
      </c>
      <c r="BI93" s="583">
        <v>231207</v>
      </c>
      <c r="BJ93" s="583">
        <v>0</v>
      </c>
      <c r="BK93" s="583">
        <v>105735</v>
      </c>
      <c r="BL93" s="583">
        <v>0</v>
      </c>
      <c r="BM93" s="583">
        <v>17697</v>
      </c>
      <c r="BN93" s="583">
        <v>0</v>
      </c>
      <c r="BO93" s="583">
        <v>123432</v>
      </c>
      <c r="BP93" s="583">
        <v>17697</v>
      </c>
      <c r="BQ93" s="583">
        <v>202618</v>
      </c>
      <c r="BR93" s="583">
        <v>33029</v>
      </c>
      <c r="BS93" s="583">
        <v>-17697</v>
      </c>
      <c r="BT93" s="583">
        <v>0</v>
      </c>
      <c r="BU93" s="583">
        <v>217950</v>
      </c>
      <c r="BV93" s="583">
        <v>0</v>
      </c>
    </row>
    <row r="94" spans="1:74" x14ac:dyDescent="0.2">
      <c r="A94" s="580">
        <v>6112</v>
      </c>
      <c r="B94" s="580" t="s">
        <v>125</v>
      </c>
      <c r="C94" s="583">
        <v>116206</v>
      </c>
      <c r="D94" s="583">
        <v>0</v>
      </c>
      <c r="E94" s="583">
        <v>57581</v>
      </c>
      <c r="F94" s="583">
        <v>0</v>
      </c>
      <c r="G94" s="583">
        <v>173787</v>
      </c>
      <c r="H94" s="583">
        <v>57581</v>
      </c>
      <c r="I94" s="583">
        <v>61794</v>
      </c>
      <c r="J94" s="583">
        <v>0</v>
      </c>
      <c r="K94" s="583">
        <v>111993</v>
      </c>
      <c r="L94" s="583">
        <v>0</v>
      </c>
      <c r="M94" s="583">
        <v>173787</v>
      </c>
      <c r="N94" s="583">
        <v>169574</v>
      </c>
      <c r="O94" s="583">
        <v>176285</v>
      </c>
      <c r="P94" s="583">
        <v>0</v>
      </c>
      <c r="Q94" s="583">
        <v>0</v>
      </c>
      <c r="R94" s="583">
        <v>0</v>
      </c>
      <c r="S94" s="583">
        <v>176285</v>
      </c>
      <c r="T94" s="583">
        <v>169574</v>
      </c>
      <c r="U94" s="583">
        <v>93605</v>
      </c>
      <c r="V94" s="583">
        <v>0</v>
      </c>
      <c r="W94" s="583">
        <v>80182</v>
      </c>
      <c r="X94" s="583">
        <v>0</v>
      </c>
      <c r="Y94" s="583">
        <v>173787</v>
      </c>
      <c r="Z94" s="583">
        <v>249756</v>
      </c>
      <c r="AA94" s="583">
        <v>814536</v>
      </c>
      <c r="AB94" s="583">
        <v>7518</v>
      </c>
      <c r="AC94" s="583">
        <v>-249756</v>
      </c>
      <c r="AD94" s="583">
        <v>0</v>
      </c>
      <c r="AE94" s="583">
        <v>572298</v>
      </c>
      <c r="AF94" s="583">
        <v>0</v>
      </c>
      <c r="AG94" s="583">
        <v>161339</v>
      </c>
      <c r="AH94" s="583">
        <v>5328</v>
      </c>
      <c r="AI94" s="583">
        <v>12448</v>
      </c>
      <c r="AJ94" s="583">
        <v>0</v>
      </c>
      <c r="AK94" s="583">
        <v>179115</v>
      </c>
      <c r="AL94" s="583">
        <v>12448</v>
      </c>
      <c r="AM94" s="583">
        <v>320713</v>
      </c>
      <c r="AN94" s="583">
        <v>31135</v>
      </c>
      <c r="AO94" s="583">
        <v>-12448</v>
      </c>
      <c r="AP94" s="583">
        <v>0</v>
      </c>
      <c r="AQ94" s="583">
        <v>339400</v>
      </c>
      <c r="AR94" s="583">
        <v>0</v>
      </c>
      <c r="AS94" s="583">
        <v>105936</v>
      </c>
      <c r="AT94" s="583">
        <v>0</v>
      </c>
      <c r="AU94" s="583">
        <v>67851</v>
      </c>
      <c r="AV94" s="583">
        <v>0</v>
      </c>
      <c r="AW94" s="583">
        <v>173787</v>
      </c>
      <c r="AX94" s="583">
        <v>67851</v>
      </c>
      <c r="AY94" s="583">
        <v>205079</v>
      </c>
      <c r="AZ94" s="583">
        <v>7633</v>
      </c>
      <c r="BA94" s="583">
        <v>0</v>
      </c>
      <c r="BB94" s="583">
        <v>0</v>
      </c>
      <c r="BC94" s="583">
        <v>212712</v>
      </c>
      <c r="BD94" s="583">
        <v>67851</v>
      </c>
      <c r="BE94" s="583">
        <v>432707</v>
      </c>
      <c r="BF94" s="583">
        <v>0</v>
      </c>
      <c r="BG94" s="583">
        <v>-67851</v>
      </c>
      <c r="BH94" s="583">
        <v>0</v>
      </c>
      <c r="BI94" s="583">
        <v>364856</v>
      </c>
      <c r="BJ94" s="583">
        <v>0</v>
      </c>
      <c r="BK94" s="583">
        <v>160596</v>
      </c>
      <c r="BL94" s="583">
        <v>0</v>
      </c>
      <c r="BM94" s="583">
        <v>13191</v>
      </c>
      <c r="BN94" s="583">
        <v>0</v>
      </c>
      <c r="BO94" s="583">
        <v>173787</v>
      </c>
      <c r="BP94" s="583">
        <v>13191</v>
      </c>
      <c r="BQ94" s="583">
        <v>307747</v>
      </c>
      <c r="BR94" s="583">
        <v>50166</v>
      </c>
      <c r="BS94" s="583">
        <v>-13191</v>
      </c>
      <c r="BT94" s="583">
        <v>0</v>
      </c>
      <c r="BU94" s="583">
        <v>344722</v>
      </c>
      <c r="BV94" s="583">
        <v>0</v>
      </c>
    </row>
    <row r="95" spans="1:74" x14ac:dyDescent="0.2">
      <c r="A95" s="580">
        <v>6113</v>
      </c>
      <c r="B95" s="580" t="s">
        <v>127</v>
      </c>
      <c r="C95" s="583">
        <v>163192</v>
      </c>
      <c r="D95" s="583">
        <v>0</v>
      </c>
      <c r="E95" s="583">
        <v>77708</v>
      </c>
      <c r="F95" s="583">
        <v>0</v>
      </c>
      <c r="G95" s="583">
        <v>240900</v>
      </c>
      <c r="H95" s="583">
        <v>77708</v>
      </c>
      <c r="I95" s="583">
        <v>86780</v>
      </c>
      <c r="J95" s="583">
        <v>0</v>
      </c>
      <c r="K95" s="583">
        <v>154120</v>
      </c>
      <c r="L95" s="583">
        <v>0</v>
      </c>
      <c r="M95" s="583">
        <v>240900</v>
      </c>
      <c r="N95" s="583">
        <v>231828</v>
      </c>
      <c r="O95" s="583">
        <v>247564</v>
      </c>
      <c r="P95" s="583">
        <v>0</v>
      </c>
      <c r="Q95" s="583">
        <v>0</v>
      </c>
      <c r="R95" s="583">
        <v>0</v>
      </c>
      <c r="S95" s="583">
        <v>247564</v>
      </c>
      <c r="T95" s="583">
        <v>231828</v>
      </c>
      <c r="U95" s="583">
        <v>131452</v>
      </c>
      <c r="V95" s="583">
        <v>0</v>
      </c>
      <c r="W95" s="583">
        <v>109448</v>
      </c>
      <c r="X95" s="583">
        <v>0</v>
      </c>
      <c r="Y95" s="583">
        <v>240900</v>
      </c>
      <c r="Z95" s="583">
        <v>341276</v>
      </c>
      <c r="AA95" s="583">
        <v>1143882</v>
      </c>
      <c r="AB95" s="583">
        <v>10558</v>
      </c>
      <c r="AC95" s="583">
        <v>-341276</v>
      </c>
      <c r="AD95" s="583">
        <v>0</v>
      </c>
      <c r="AE95" s="583">
        <v>813164</v>
      </c>
      <c r="AF95" s="583">
        <v>0</v>
      </c>
      <c r="AG95" s="583">
        <v>226574</v>
      </c>
      <c r="AH95" s="583">
        <v>7482</v>
      </c>
      <c r="AI95" s="583">
        <v>14326</v>
      </c>
      <c r="AJ95" s="583">
        <v>0</v>
      </c>
      <c r="AK95" s="583">
        <v>248382</v>
      </c>
      <c r="AL95" s="583">
        <v>14326</v>
      </c>
      <c r="AM95" s="583">
        <v>450388</v>
      </c>
      <c r="AN95" s="583">
        <v>43725</v>
      </c>
      <c r="AO95" s="583">
        <v>-14326</v>
      </c>
      <c r="AP95" s="583">
        <v>0</v>
      </c>
      <c r="AQ95" s="583">
        <v>479787</v>
      </c>
      <c r="AR95" s="583">
        <v>0</v>
      </c>
      <c r="AS95" s="583">
        <v>148770</v>
      </c>
      <c r="AT95" s="583">
        <v>0</v>
      </c>
      <c r="AU95" s="583">
        <v>92130</v>
      </c>
      <c r="AV95" s="583">
        <v>0</v>
      </c>
      <c r="AW95" s="583">
        <v>240900</v>
      </c>
      <c r="AX95" s="583">
        <v>92130</v>
      </c>
      <c r="AY95" s="583">
        <v>287999</v>
      </c>
      <c r="AZ95" s="583">
        <v>10719</v>
      </c>
      <c r="BA95" s="583">
        <v>0</v>
      </c>
      <c r="BB95" s="583">
        <v>0</v>
      </c>
      <c r="BC95" s="583">
        <v>298718</v>
      </c>
      <c r="BD95" s="583">
        <v>92130</v>
      </c>
      <c r="BE95" s="583">
        <v>607666</v>
      </c>
      <c r="BF95" s="583">
        <v>0</v>
      </c>
      <c r="BG95" s="583">
        <v>-92130</v>
      </c>
      <c r="BH95" s="583">
        <v>0</v>
      </c>
      <c r="BI95" s="583">
        <v>515536</v>
      </c>
      <c r="BJ95" s="583">
        <v>0</v>
      </c>
      <c r="BK95" s="583">
        <v>225531</v>
      </c>
      <c r="BL95" s="583">
        <v>0</v>
      </c>
      <c r="BM95" s="583">
        <v>15369</v>
      </c>
      <c r="BN95" s="583">
        <v>0</v>
      </c>
      <c r="BO95" s="583">
        <v>240900</v>
      </c>
      <c r="BP95" s="583">
        <v>15369</v>
      </c>
      <c r="BQ95" s="583">
        <v>432180</v>
      </c>
      <c r="BR95" s="583">
        <v>70450</v>
      </c>
      <c r="BS95" s="583">
        <v>-15369</v>
      </c>
      <c r="BT95" s="583">
        <v>0</v>
      </c>
      <c r="BU95" s="583">
        <v>487261</v>
      </c>
      <c r="BV95" s="583">
        <v>0</v>
      </c>
    </row>
    <row r="96" spans="1:74" x14ac:dyDescent="0.2">
      <c r="A96" s="580">
        <v>6114</v>
      </c>
      <c r="B96" s="580" t="s">
        <v>132</v>
      </c>
      <c r="C96" s="583">
        <v>107534</v>
      </c>
      <c r="D96" s="583">
        <v>0</v>
      </c>
      <c r="E96" s="583">
        <v>64370</v>
      </c>
      <c r="F96" s="583">
        <v>0</v>
      </c>
      <c r="G96" s="583">
        <v>171904</v>
      </c>
      <c r="H96" s="583">
        <v>64370</v>
      </c>
      <c r="I96" s="583">
        <v>57183</v>
      </c>
      <c r="J96" s="583">
        <v>0</v>
      </c>
      <c r="K96" s="583">
        <v>114721</v>
      </c>
      <c r="L96" s="583">
        <v>0</v>
      </c>
      <c r="M96" s="583">
        <v>171904</v>
      </c>
      <c r="N96" s="583">
        <v>179091</v>
      </c>
      <c r="O96" s="583">
        <v>163130</v>
      </c>
      <c r="P96" s="583">
        <v>0</v>
      </c>
      <c r="Q96" s="583">
        <v>0</v>
      </c>
      <c r="R96" s="583">
        <v>0</v>
      </c>
      <c r="S96" s="583">
        <v>163130</v>
      </c>
      <c r="T96" s="583">
        <v>179091</v>
      </c>
      <c r="U96" s="583">
        <v>86619</v>
      </c>
      <c r="V96" s="583">
        <v>0</v>
      </c>
      <c r="W96" s="583">
        <v>85285</v>
      </c>
      <c r="X96" s="583">
        <v>0</v>
      </c>
      <c r="Y96" s="583">
        <v>171904</v>
      </c>
      <c r="Z96" s="583">
        <v>264376</v>
      </c>
      <c r="AA96" s="583">
        <v>753752</v>
      </c>
      <c r="AB96" s="583">
        <v>6957</v>
      </c>
      <c r="AC96" s="583">
        <v>-264376</v>
      </c>
      <c r="AD96" s="583">
        <v>0</v>
      </c>
      <c r="AE96" s="583">
        <v>496333</v>
      </c>
      <c r="AF96" s="583">
        <v>0</v>
      </c>
      <c r="AG96" s="583">
        <v>149299</v>
      </c>
      <c r="AH96" s="583">
        <v>4930</v>
      </c>
      <c r="AI96" s="583">
        <v>22605</v>
      </c>
      <c r="AJ96" s="583">
        <v>0</v>
      </c>
      <c r="AK96" s="583">
        <v>176834</v>
      </c>
      <c r="AL96" s="583">
        <v>22605</v>
      </c>
      <c r="AM96" s="583">
        <v>296780</v>
      </c>
      <c r="AN96" s="583">
        <v>28812</v>
      </c>
      <c r="AO96" s="583">
        <v>-22605</v>
      </c>
      <c r="AP96" s="583">
        <v>0</v>
      </c>
      <c r="AQ96" s="583">
        <v>302987</v>
      </c>
      <c r="AR96" s="583">
        <v>0</v>
      </c>
      <c r="AS96" s="583">
        <v>98031</v>
      </c>
      <c r="AT96" s="583">
        <v>0</v>
      </c>
      <c r="AU96" s="583">
        <v>73873</v>
      </c>
      <c r="AV96" s="583">
        <v>0</v>
      </c>
      <c r="AW96" s="583">
        <v>171904</v>
      </c>
      <c r="AX96" s="583">
        <v>73873</v>
      </c>
      <c r="AY96" s="583">
        <v>189775</v>
      </c>
      <c r="AZ96" s="583">
        <v>7063</v>
      </c>
      <c r="BA96" s="583">
        <v>0</v>
      </c>
      <c r="BB96" s="583">
        <v>0</v>
      </c>
      <c r="BC96" s="583">
        <v>196838</v>
      </c>
      <c r="BD96" s="583">
        <v>73873</v>
      </c>
      <c r="BE96" s="583">
        <v>400417</v>
      </c>
      <c r="BF96" s="583">
        <v>0</v>
      </c>
      <c r="BG96" s="583">
        <v>-73873</v>
      </c>
      <c r="BH96" s="583">
        <v>0</v>
      </c>
      <c r="BI96" s="583">
        <v>326544</v>
      </c>
      <c r="BJ96" s="583">
        <v>0</v>
      </c>
      <c r="BK96" s="583">
        <v>148612</v>
      </c>
      <c r="BL96" s="583">
        <v>0</v>
      </c>
      <c r="BM96" s="583">
        <v>23292</v>
      </c>
      <c r="BN96" s="583">
        <v>0</v>
      </c>
      <c r="BO96" s="583">
        <v>171904</v>
      </c>
      <c r="BP96" s="583">
        <v>23292</v>
      </c>
      <c r="BQ96" s="583">
        <v>284781</v>
      </c>
      <c r="BR96" s="583">
        <v>46422</v>
      </c>
      <c r="BS96" s="583">
        <v>-23292</v>
      </c>
      <c r="BT96" s="583">
        <v>0</v>
      </c>
      <c r="BU96" s="583">
        <v>307911</v>
      </c>
      <c r="BV96" s="583">
        <v>0</v>
      </c>
    </row>
    <row r="97" spans="1:74" x14ac:dyDescent="0.2">
      <c r="A97" s="580">
        <v>6115</v>
      </c>
      <c r="B97" s="580" t="s">
        <v>128</v>
      </c>
      <c r="C97" s="583">
        <v>312698</v>
      </c>
      <c r="D97" s="583">
        <v>0</v>
      </c>
      <c r="E97" s="583">
        <v>178126</v>
      </c>
      <c r="F97" s="583">
        <v>0</v>
      </c>
      <c r="G97" s="583">
        <v>490824</v>
      </c>
      <c r="H97" s="583">
        <v>178126</v>
      </c>
      <c r="I97" s="583">
        <v>166282</v>
      </c>
      <c r="J97" s="583">
        <v>0</v>
      </c>
      <c r="K97" s="583">
        <v>324542</v>
      </c>
      <c r="L97" s="583">
        <v>0</v>
      </c>
      <c r="M97" s="583">
        <v>490824</v>
      </c>
      <c r="N97" s="583">
        <v>502668</v>
      </c>
      <c r="O97" s="583">
        <v>474366</v>
      </c>
      <c r="P97" s="583">
        <v>0</v>
      </c>
      <c r="Q97" s="583">
        <v>0</v>
      </c>
      <c r="R97" s="583">
        <v>0</v>
      </c>
      <c r="S97" s="583">
        <v>474366</v>
      </c>
      <c r="T97" s="583">
        <v>502668</v>
      </c>
      <c r="U97" s="583">
        <v>251881</v>
      </c>
      <c r="V97" s="583">
        <v>0</v>
      </c>
      <c r="W97" s="583">
        <v>238943</v>
      </c>
      <c r="X97" s="583">
        <v>0</v>
      </c>
      <c r="Y97" s="583">
        <v>490824</v>
      </c>
      <c r="Z97" s="583">
        <v>741611</v>
      </c>
      <c r="AA97" s="583">
        <v>2191834</v>
      </c>
      <c r="AB97" s="583">
        <v>20230</v>
      </c>
      <c r="AC97" s="583">
        <v>-741611</v>
      </c>
      <c r="AD97" s="583">
        <v>0</v>
      </c>
      <c r="AE97" s="583">
        <v>1470453</v>
      </c>
      <c r="AF97" s="583">
        <v>0</v>
      </c>
      <c r="AG97" s="583">
        <v>434146</v>
      </c>
      <c r="AH97" s="583">
        <v>14337</v>
      </c>
      <c r="AI97" s="583">
        <v>56678</v>
      </c>
      <c r="AJ97" s="583">
        <v>0</v>
      </c>
      <c r="AK97" s="583">
        <v>505161</v>
      </c>
      <c r="AL97" s="583">
        <v>56678</v>
      </c>
      <c r="AM97" s="583">
        <v>863006</v>
      </c>
      <c r="AN97" s="583">
        <v>83782</v>
      </c>
      <c r="AO97" s="583">
        <v>-56678</v>
      </c>
      <c r="AP97" s="583">
        <v>0</v>
      </c>
      <c r="AQ97" s="583">
        <v>890110</v>
      </c>
      <c r="AR97" s="583">
        <v>0</v>
      </c>
      <c r="AS97" s="583">
        <v>285064</v>
      </c>
      <c r="AT97" s="583">
        <v>0</v>
      </c>
      <c r="AU97" s="583">
        <v>205760</v>
      </c>
      <c r="AV97" s="583">
        <v>0</v>
      </c>
      <c r="AW97" s="583">
        <v>490824</v>
      </c>
      <c r="AX97" s="583">
        <v>205760</v>
      </c>
      <c r="AY97" s="583">
        <v>551846</v>
      </c>
      <c r="AZ97" s="583">
        <v>20539</v>
      </c>
      <c r="BA97" s="583">
        <v>0</v>
      </c>
      <c r="BB97" s="583">
        <v>0</v>
      </c>
      <c r="BC97" s="583">
        <v>572385</v>
      </c>
      <c r="BD97" s="583">
        <v>205760</v>
      </c>
      <c r="BE97" s="583">
        <v>1164371</v>
      </c>
      <c r="BF97" s="583">
        <v>0</v>
      </c>
      <c r="BG97" s="583">
        <v>-205760</v>
      </c>
      <c r="BH97" s="583">
        <v>0</v>
      </c>
      <c r="BI97" s="583">
        <v>958611</v>
      </c>
      <c r="BJ97" s="583">
        <v>0</v>
      </c>
      <c r="BK97" s="583">
        <v>432148</v>
      </c>
      <c r="BL97" s="583">
        <v>0</v>
      </c>
      <c r="BM97" s="583">
        <v>58676</v>
      </c>
      <c r="BN97" s="583">
        <v>0</v>
      </c>
      <c r="BO97" s="583">
        <v>490824</v>
      </c>
      <c r="BP97" s="583">
        <v>58676</v>
      </c>
      <c r="BQ97" s="583">
        <v>828115</v>
      </c>
      <c r="BR97" s="583">
        <v>134991</v>
      </c>
      <c r="BS97" s="583">
        <v>-58676</v>
      </c>
      <c r="BT97" s="583">
        <v>0</v>
      </c>
      <c r="BU97" s="583">
        <v>904430</v>
      </c>
      <c r="BV97" s="583">
        <v>0</v>
      </c>
    </row>
    <row r="98" spans="1:74" x14ac:dyDescent="0.2">
      <c r="A98" s="580">
        <v>6116</v>
      </c>
      <c r="B98" s="580" t="s">
        <v>499</v>
      </c>
      <c r="C98" s="583">
        <v>92879</v>
      </c>
      <c r="D98" s="583">
        <v>0</v>
      </c>
      <c r="E98" s="583">
        <v>57059</v>
      </c>
      <c r="F98" s="583">
        <v>0</v>
      </c>
      <c r="G98" s="583">
        <v>149938</v>
      </c>
      <c r="H98" s="583">
        <v>57059</v>
      </c>
      <c r="I98" s="583">
        <v>49390</v>
      </c>
      <c r="J98" s="583">
        <v>0</v>
      </c>
      <c r="K98" s="583">
        <v>100548</v>
      </c>
      <c r="L98" s="583">
        <v>0</v>
      </c>
      <c r="M98" s="583">
        <v>149938</v>
      </c>
      <c r="N98" s="583">
        <v>157607</v>
      </c>
      <c r="O98" s="583">
        <v>140899</v>
      </c>
      <c r="P98" s="583">
        <v>0</v>
      </c>
      <c r="Q98" s="583">
        <v>0</v>
      </c>
      <c r="R98" s="583">
        <v>0</v>
      </c>
      <c r="S98" s="583">
        <v>140899</v>
      </c>
      <c r="T98" s="583">
        <v>157607</v>
      </c>
      <c r="U98" s="583">
        <v>74815</v>
      </c>
      <c r="V98" s="583">
        <v>0</v>
      </c>
      <c r="W98" s="583">
        <v>75123</v>
      </c>
      <c r="X98" s="583">
        <v>0</v>
      </c>
      <c r="Y98" s="583">
        <v>149938</v>
      </c>
      <c r="Z98" s="583">
        <v>232730</v>
      </c>
      <c r="AA98" s="583">
        <v>651030</v>
      </c>
      <c r="AB98" s="583">
        <v>6009</v>
      </c>
      <c r="AC98" s="583">
        <v>-232730</v>
      </c>
      <c r="AD98" s="583">
        <v>0</v>
      </c>
      <c r="AE98" s="583">
        <v>424309</v>
      </c>
      <c r="AF98" s="583">
        <v>0</v>
      </c>
      <c r="AG98" s="583">
        <v>128952</v>
      </c>
      <c r="AH98" s="583">
        <v>4259</v>
      </c>
      <c r="AI98" s="583">
        <v>20986</v>
      </c>
      <c r="AJ98" s="583">
        <v>0</v>
      </c>
      <c r="AK98" s="583">
        <v>154197</v>
      </c>
      <c r="AL98" s="583">
        <v>20986</v>
      </c>
      <c r="AM98" s="583">
        <v>256335</v>
      </c>
      <c r="AN98" s="583">
        <v>24885</v>
      </c>
      <c r="AO98" s="583">
        <v>-20986</v>
      </c>
      <c r="AP98" s="583">
        <v>0</v>
      </c>
      <c r="AQ98" s="583">
        <v>260234</v>
      </c>
      <c r="AR98" s="583">
        <v>0</v>
      </c>
      <c r="AS98" s="583">
        <v>84671</v>
      </c>
      <c r="AT98" s="583">
        <v>0</v>
      </c>
      <c r="AU98" s="583">
        <v>65267</v>
      </c>
      <c r="AV98" s="583">
        <v>0</v>
      </c>
      <c r="AW98" s="583">
        <v>149938</v>
      </c>
      <c r="AX98" s="583">
        <v>65267</v>
      </c>
      <c r="AY98" s="583">
        <v>163912</v>
      </c>
      <c r="AZ98" s="583">
        <v>6101</v>
      </c>
      <c r="BA98" s="583">
        <v>0</v>
      </c>
      <c r="BB98" s="583">
        <v>0</v>
      </c>
      <c r="BC98" s="583">
        <v>170013</v>
      </c>
      <c r="BD98" s="583">
        <v>65267</v>
      </c>
      <c r="BE98" s="583">
        <v>345848</v>
      </c>
      <c r="BF98" s="583">
        <v>0</v>
      </c>
      <c r="BG98" s="583">
        <v>-65267</v>
      </c>
      <c r="BH98" s="583">
        <v>0</v>
      </c>
      <c r="BI98" s="583">
        <v>280581</v>
      </c>
      <c r="BJ98" s="583">
        <v>0</v>
      </c>
      <c r="BK98" s="583">
        <v>128359</v>
      </c>
      <c r="BL98" s="583">
        <v>0</v>
      </c>
      <c r="BM98" s="583">
        <v>21579</v>
      </c>
      <c r="BN98" s="583">
        <v>0</v>
      </c>
      <c r="BO98" s="583">
        <v>149938</v>
      </c>
      <c r="BP98" s="583">
        <v>21579</v>
      </c>
      <c r="BQ98" s="583">
        <v>245971</v>
      </c>
      <c r="BR98" s="583">
        <v>40096</v>
      </c>
      <c r="BS98" s="583">
        <v>-21579</v>
      </c>
      <c r="BT98" s="583">
        <v>0</v>
      </c>
      <c r="BU98" s="583">
        <v>264488</v>
      </c>
      <c r="BV98" s="583">
        <v>0</v>
      </c>
    </row>
    <row r="99" spans="1:74" x14ac:dyDescent="0.2">
      <c r="A99" s="580">
        <v>6117</v>
      </c>
      <c r="B99" s="580" t="s">
        <v>316</v>
      </c>
      <c r="C99" s="583">
        <v>295519</v>
      </c>
      <c r="D99" s="583">
        <v>0</v>
      </c>
      <c r="E99" s="583">
        <v>171671</v>
      </c>
      <c r="F99" s="583">
        <v>0</v>
      </c>
      <c r="G99" s="583">
        <v>467190</v>
      </c>
      <c r="H99" s="583">
        <v>171671</v>
      </c>
      <c r="I99" s="583">
        <v>157147</v>
      </c>
      <c r="J99" s="583">
        <v>0</v>
      </c>
      <c r="K99" s="583">
        <v>310043</v>
      </c>
      <c r="L99" s="583">
        <v>0</v>
      </c>
      <c r="M99" s="583">
        <v>467190</v>
      </c>
      <c r="N99" s="583">
        <v>481714</v>
      </c>
      <c r="O99" s="583">
        <v>448305</v>
      </c>
      <c r="P99" s="583">
        <v>0</v>
      </c>
      <c r="Q99" s="583">
        <v>0</v>
      </c>
      <c r="R99" s="583">
        <v>0</v>
      </c>
      <c r="S99" s="583">
        <v>448305</v>
      </c>
      <c r="T99" s="583">
        <v>481714</v>
      </c>
      <c r="U99" s="583">
        <v>238043</v>
      </c>
      <c r="V99" s="583">
        <v>0</v>
      </c>
      <c r="W99" s="583">
        <v>229147</v>
      </c>
      <c r="X99" s="583">
        <v>0</v>
      </c>
      <c r="Y99" s="583">
        <v>467190</v>
      </c>
      <c r="Z99" s="583">
        <v>710861</v>
      </c>
      <c r="AA99" s="583">
        <v>2071422</v>
      </c>
      <c r="AB99" s="583">
        <v>19119</v>
      </c>
      <c r="AC99" s="583">
        <v>-710861</v>
      </c>
      <c r="AD99" s="583">
        <v>0</v>
      </c>
      <c r="AE99" s="583">
        <v>1379680</v>
      </c>
      <c r="AF99" s="583">
        <v>0</v>
      </c>
      <c r="AG99" s="583">
        <v>410296</v>
      </c>
      <c r="AH99" s="583">
        <v>13550</v>
      </c>
      <c r="AI99" s="583">
        <v>56894</v>
      </c>
      <c r="AJ99" s="583">
        <v>0</v>
      </c>
      <c r="AK99" s="583">
        <v>480740</v>
      </c>
      <c r="AL99" s="583">
        <v>56894</v>
      </c>
      <c r="AM99" s="583">
        <v>815595</v>
      </c>
      <c r="AN99" s="583">
        <v>79179</v>
      </c>
      <c r="AO99" s="583">
        <v>-56894</v>
      </c>
      <c r="AP99" s="583">
        <v>0</v>
      </c>
      <c r="AQ99" s="583">
        <v>837880</v>
      </c>
      <c r="AR99" s="583">
        <v>0</v>
      </c>
      <c r="AS99" s="583">
        <v>269403</v>
      </c>
      <c r="AT99" s="583">
        <v>0</v>
      </c>
      <c r="AU99" s="583">
        <v>197787</v>
      </c>
      <c r="AV99" s="583">
        <v>0</v>
      </c>
      <c r="AW99" s="583">
        <v>467190</v>
      </c>
      <c r="AX99" s="583">
        <v>197787</v>
      </c>
      <c r="AY99" s="583">
        <v>521529</v>
      </c>
      <c r="AZ99" s="583">
        <v>19411</v>
      </c>
      <c r="BA99" s="583">
        <v>0</v>
      </c>
      <c r="BB99" s="583">
        <v>0</v>
      </c>
      <c r="BC99" s="583">
        <v>540940</v>
      </c>
      <c r="BD99" s="583">
        <v>197787</v>
      </c>
      <c r="BE99" s="583">
        <v>1100404</v>
      </c>
      <c r="BF99" s="583">
        <v>0</v>
      </c>
      <c r="BG99" s="583">
        <v>-197787</v>
      </c>
      <c r="BH99" s="583">
        <v>0</v>
      </c>
      <c r="BI99" s="583">
        <v>902617</v>
      </c>
      <c r="BJ99" s="583">
        <v>0</v>
      </c>
      <c r="BK99" s="583">
        <v>408407</v>
      </c>
      <c r="BL99" s="583">
        <v>0</v>
      </c>
      <c r="BM99" s="583">
        <v>58783</v>
      </c>
      <c r="BN99" s="583">
        <v>0</v>
      </c>
      <c r="BO99" s="583">
        <v>467190</v>
      </c>
      <c r="BP99" s="583">
        <v>58783</v>
      </c>
      <c r="BQ99" s="583">
        <v>782621</v>
      </c>
      <c r="BR99" s="583">
        <v>127575</v>
      </c>
      <c r="BS99" s="583">
        <v>-58783</v>
      </c>
      <c r="BT99" s="583">
        <v>0</v>
      </c>
      <c r="BU99" s="583">
        <v>851413</v>
      </c>
      <c r="BV99" s="583">
        <v>0</v>
      </c>
    </row>
    <row r="100" spans="1:74" x14ac:dyDescent="0.2">
      <c r="A100" s="580">
        <v>6201</v>
      </c>
      <c r="B100" s="580" t="s">
        <v>142</v>
      </c>
      <c r="C100" s="583">
        <v>358318</v>
      </c>
      <c r="D100" s="583">
        <v>0</v>
      </c>
      <c r="E100" s="583">
        <v>240083</v>
      </c>
      <c r="F100" s="583">
        <v>0</v>
      </c>
      <c r="G100" s="583">
        <v>598401</v>
      </c>
      <c r="H100" s="583">
        <v>240083</v>
      </c>
      <c r="I100" s="583">
        <v>190541</v>
      </c>
      <c r="J100" s="583">
        <v>0</v>
      </c>
      <c r="K100" s="583">
        <v>407860</v>
      </c>
      <c r="L100" s="583">
        <v>0</v>
      </c>
      <c r="M100" s="583">
        <v>598401</v>
      </c>
      <c r="N100" s="583">
        <v>647943</v>
      </c>
      <c r="O100" s="583">
        <v>543571</v>
      </c>
      <c r="P100" s="583">
        <v>0</v>
      </c>
      <c r="Q100" s="583">
        <v>0</v>
      </c>
      <c r="R100" s="583">
        <v>0</v>
      </c>
      <c r="S100" s="583">
        <v>543571</v>
      </c>
      <c r="T100" s="583">
        <v>647943</v>
      </c>
      <c r="U100" s="583">
        <v>288628</v>
      </c>
      <c r="V100" s="583">
        <v>0</v>
      </c>
      <c r="W100" s="583">
        <v>309773</v>
      </c>
      <c r="X100" s="583">
        <v>0</v>
      </c>
      <c r="Y100" s="583">
        <v>598401</v>
      </c>
      <c r="Z100" s="583">
        <v>957716</v>
      </c>
      <c r="AA100" s="583">
        <v>2511603</v>
      </c>
      <c r="AB100" s="583">
        <v>23181</v>
      </c>
      <c r="AC100" s="583">
        <v>-957716</v>
      </c>
      <c r="AD100" s="583">
        <v>0</v>
      </c>
      <c r="AE100" s="583">
        <v>1577068</v>
      </c>
      <c r="AF100" s="583">
        <v>0</v>
      </c>
      <c r="AG100" s="583">
        <v>497484</v>
      </c>
      <c r="AH100" s="583">
        <v>16429</v>
      </c>
      <c r="AI100" s="583">
        <v>100917</v>
      </c>
      <c r="AJ100" s="583">
        <v>0</v>
      </c>
      <c r="AK100" s="583">
        <v>614830</v>
      </c>
      <c r="AL100" s="583">
        <v>100917</v>
      </c>
      <c r="AM100" s="583">
        <v>988910</v>
      </c>
      <c r="AN100" s="583">
        <v>96005</v>
      </c>
      <c r="AO100" s="583">
        <v>-79946</v>
      </c>
      <c r="AP100" s="583">
        <v>0</v>
      </c>
      <c r="AQ100" s="583">
        <v>1004969</v>
      </c>
      <c r="AR100" s="583">
        <v>20971</v>
      </c>
      <c r="AS100" s="583">
        <v>326652</v>
      </c>
      <c r="AT100" s="583">
        <v>0</v>
      </c>
      <c r="AU100" s="583">
        <v>271749</v>
      </c>
      <c r="AV100" s="583">
        <v>0</v>
      </c>
      <c r="AW100" s="583">
        <v>598401</v>
      </c>
      <c r="AX100" s="583">
        <v>292720</v>
      </c>
      <c r="AY100" s="583">
        <v>632355</v>
      </c>
      <c r="AZ100" s="583">
        <v>23536</v>
      </c>
      <c r="BA100" s="583">
        <v>0</v>
      </c>
      <c r="BB100" s="583">
        <v>0</v>
      </c>
      <c r="BC100" s="583">
        <v>655891</v>
      </c>
      <c r="BD100" s="583">
        <v>292720</v>
      </c>
      <c r="BE100" s="583">
        <v>1334242</v>
      </c>
      <c r="BF100" s="583">
        <v>0</v>
      </c>
      <c r="BG100" s="583">
        <v>-292720</v>
      </c>
      <c r="BH100" s="583">
        <v>0</v>
      </c>
      <c r="BI100" s="583">
        <v>1041522</v>
      </c>
      <c r="BJ100" s="583">
        <v>0</v>
      </c>
      <c r="BK100" s="583">
        <v>495194</v>
      </c>
      <c r="BL100" s="583">
        <v>0</v>
      </c>
      <c r="BM100" s="583">
        <v>103207</v>
      </c>
      <c r="BN100" s="583">
        <v>0</v>
      </c>
      <c r="BO100" s="583">
        <v>598401</v>
      </c>
      <c r="BP100" s="583">
        <v>103207</v>
      </c>
      <c r="BQ100" s="583">
        <v>948929</v>
      </c>
      <c r="BR100" s="583">
        <v>154685</v>
      </c>
      <c r="BS100" s="583">
        <v>-103207</v>
      </c>
      <c r="BT100" s="583">
        <v>0</v>
      </c>
      <c r="BU100" s="583">
        <v>1000407</v>
      </c>
      <c r="BV100" s="583">
        <v>0</v>
      </c>
    </row>
    <row r="101" spans="1:74" x14ac:dyDescent="0.2">
      <c r="A101" s="580">
        <v>6202</v>
      </c>
      <c r="B101" s="580" t="s">
        <v>145</v>
      </c>
      <c r="C101" s="583">
        <v>62565</v>
      </c>
      <c r="D101" s="583">
        <v>0</v>
      </c>
      <c r="E101" s="583">
        <v>36980</v>
      </c>
      <c r="F101" s="583">
        <v>0</v>
      </c>
      <c r="G101" s="583">
        <v>99545</v>
      </c>
      <c r="H101" s="583">
        <v>36980</v>
      </c>
      <c r="I101" s="583">
        <v>33270</v>
      </c>
      <c r="J101" s="583">
        <v>0</v>
      </c>
      <c r="K101" s="583">
        <v>66275</v>
      </c>
      <c r="L101" s="583">
        <v>0</v>
      </c>
      <c r="M101" s="583">
        <v>99545</v>
      </c>
      <c r="N101" s="583">
        <v>103255</v>
      </c>
      <c r="O101" s="583">
        <v>94911</v>
      </c>
      <c r="P101" s="583">
        <v>0</v>
      </c>
      <c r="Q101" s="583">
        <v>0</v>
      </c>
      <c r="R101" s="583">
        <v>0</v>
      </c>
      <c r="S101" s="583">
        <v>94911</v>
      </c>
      <c r="T101" s="583">
        <v>103255</v>
      </c>
      <c r="U101" s="583">
        <v>50396</v>
      </c>
      <c r="V101" s="583">
        <v>0</v>
      </c>
      <c r="W101" s="583">
        <v>49149</v>
      </c>
      <c r="X101" s="583">
        <v>0</v>
      </c>
      <c r="Y101" s="583">
        <v>99545</v>
      </c>
      <c r="Z101" s="583">
        <v>152404</v>
      </c>
      <c r="AA101" s="583">
        <v>438542</v>
      </c>
      <c r="AB101" s="583">
        <v>4048</v>
      </c>
      <c r="AC101" s="583">
        <v>-152404</v>
      </c>
      <c r="AD101" s="583">
        <v>0</v>
      </c>
      <c r="AE101" s="583">
        <v>290186</v>
      </c>
      <c r="AF101" s="583">
        <v>0</v>
      </c>
      <c r="AG101" s="583">
        <v>86864</v>
      </c>
      <c r="AH101" s="583">
        <v>2869</v>
      </c>
      <c r="AI101" s="583">
        <v>12681</v>
      </c>
      <c r="AJ101" s="583">
        <v>0</v>
      </c>
      <c r="AK101" s="583">
        <v>102414</v>
      </c>
      <c r="AL101" s="583">
        <v>12681</v>
      </c>
      <c r="AM101" s="583">
        <v>172670</v>
      </c>
      <c r="AN101" s="583">
        <v>16763</v>
      </c>
      <c r="AO101" s="583">
        <v>-12681</v>
      </c>
      <c r="AP101" s="583">
        <v>0</v>
      </c>
      <c r="AQ101" s="583">
        <v>176752</v>
      </c>
      <c r="AR101" s="583">
        <v>0</v>
      </c>
      <c r="AS101" s="583">
        <v>57036</v>
      </c>
      <c r="AT101" s="583">
        <v>0</v>
      </c>
      <c r="AU101" s="583">
        <v>42509</v>
      </c>
      <c r="AV101" s="583">
        <v>0</v>
      </c>
      <c r="AW101" s="583">
        <v>99545</v>
      </c>
      <c r="AX101" s="583">
        <v>42509</v>
      </c>
      <c r="AY101" s="583">
        <v>110413</v>
      </c>
      <c r="AZ101" s="583">
        <v>4109</v>
      </c>
      <c r="BA101" s="583">
        <v>0</v>
      </c>
      <c r="BB101" s="583">
        <v>0</v>
      </c>
      <c r="BC101" s="583">
        <v>114522</v>
      </c>
      <c r="BD101" s="583">
        <v>42509</v>
      </c>
      <c r="BE101" s="583">
        <v>232967</v>
      </c>
      <c r="BF101" s="583">
        <v>0</v>
      </c>
      <c r="BG101" s="583">
        <v>-42509</v>
      </c>
      <c r="BH101" s="583">
        <v>0</v>
      </c>
      <c r="BI101" s="583">
        <v>190458</v>
      </c>
      <c r="BJ101" s="583">
        <v>0</v>
      </c>
      <c r="BK101" s="583">
        <v>86464</v>
      </c>
      <c r="BL101" s="583">
        <v>0</v>
      </c>
      <c r="BM101" s="583">
        <v>13081</v>
      </c>
      <c r="BN101" s="583">
        <v>0</v>
      </c>
      <c r="BO101" s="583">
        <v>99545</v>
      </c>
      <c r="BP101" s="583">
        <v>13081</v>
      </c>
      <c r="BQ101" s="583">
        <v>165689</v>
      </c>
      <c r="BR101" s="583">
        <v>27009</v>
      </c>
      <c r="BS101" s="583">
        <v>-13081</v>
      </c>
      <c r="BT101" s="583">
        <v>0</v>
      </c>
      <c r="BU101" s="583">
        <v>179617</v>
      </c>
      <c r="BV101" s="583">
        <v>0</v>
      </c>
    </row>
    <row r="102" spans="1:74" x14ac:dyDescent="0.2">
      <c r="A102" s="580">
        <v>6203</v>
      </c>
      <c r="B102" s="580" t="s">
        <v>144</v>
      </c>
      <c r="C102" s="583">
        <v>66986</v>
      </c>
      <c r="D102" s="583">
        <v>0</v>
      </c>
      <c r="E102" s="583">
        <v>40013</v>
      </c>
      <c r="F102" s="583">
        <v>0</v>
      </c>
      <c r="G102" s="583">
        <v>106999</v>
      </c>
      <c r="H102" s="583">
        <v>40013</v>
      </c>
      <c r="I102" s="583">
        <v>35621</v>
      </c>
      <c r="J102" s="583">
        <v>0</v>
      </c>
      <c r="K102" s="583">
        <v>71378</v>
      </c>
      <c r="L102" s="583">
        <v>0</v>
      </c>
      <c r="M102" s="583">
        <v>106999</v>
      </c>
      <c r="N102" s="583">
        <v>111391</v>
      </c>
      <c r="O102" s="583">
        <v>101619</v>
      </c>
      <c r="P102" s="583">
        <v>0</v>
      </c>
      <c r="Q102" s="583">
        <v>0</v>
      </c>
      <c r="R102" s="583">
        <v>0</v>
      </c>
      <c r="S102" s="583">
        <v>101619</v>
      </c>
      <c r="T102" s="583">
        <v>111391</v>
      </c>
      <c r="U102" s="583">
        <v>53958</v>
      </c>
      <c r="V102" s="583">
        <v>0</v>
      </c>
      <c r="W102" s="583">
        <v>53041</v>
      </c>
      <c r="X102" s="583">
        <v>0</v>
      </c>
      <c r="Y102" s="583">
        <v>106999</v>
      </c>
      <c r="Z102" s="583">
        <v>164432</v>
      </c>
      <c r="AA102" s="583">
        <v>469535</v>
      </c>
      <c r="AB102" s="583">
        <v>4334</v>
      </c>
      <c r="AC102" s="583">
        <v>-164432</v>
      </c>
      <c r="AD102" s="583">
        <v>0</v>
      </c>
      <c r="AE102" s="583">
        <v>309437</v>
      </c>
      <c r="AF102" s="583">
        <v>0</v>
      </c>
      <c r="AG102" s="583">
        <v>93003</v>
      </c>
      <c r="AH102" s="583">
        <v>3071</v>
      </c>
      <c r="AI102" s="583">
        <v>13996</v>
      </c>
      <c r="AJ102" s="583">
        <v>0</v>
      </c>
      <c r="AK102" s="583">
        <v>110070</v>
      </c>
      <c r="AL102" s="583">
        <v>13996</v>
      </c>
      <c r="AM102" s="583">
        <v>184873</v>
      </c>
      <c r="AN102" s="583">
        <v>17948</v>
      </c>
      <c r="AO102" s="583">
        <v>-13996</v>
      </c>
      <c r="AP102" s="583">
        <v>0</v>
      </c>
      <c r="AQ102" s="583">
        <v>188825</v>
      </c>
      <c r="AR102" s="583">
        <v>0</v>
      </c>
      <c r="AS102" s="583">
        <v>61066</v>
      </c>
      <c r="AT102" s="583">
        <v>0</v>
      </c>
      <c r="AU102" s="583">
        <v>45933</v>
      </c>
      <c r="AV102" s="583">
        <v>0</v>
      </c>
      <c r="AW102" s="583">
        <v>106999</v>
      </c>
      <c r="AX102" s="583">
        <v>45933</v>
      </c>
      <c r="AY102" s="583">
        <v>118216</v>
      </c>
      <c r="AZ102" s="583">
        <v>4400</v>
      </c>
      <c r="BA102" s="583">
        <v>0</v>
      </c>
      <c r="BB102" s="583">
        <v>0</v>
      </c>
      <c r="BC102" s="583">
        <v>122616</v>
      </c>
      <c r="BD102" s="583">
        <v>45933</v>
      </c>
      <c r="BE102" s="583">
        <v>249432</v>
      </c>
      <c r="BF102" s="583">
        <v>0</v>
      </c>
      <c r="BG102" s="583">
        <v>-45933</v>
      </c>
      <c r="BH102" s="583">
        <v>0</v>
      </c>
      <c r="BI102" s="583">
        <v>203499</v>
      </c>
      <c r="BJ102" s="583">
        <v>0</v>
      </c>
      <c r="BK102" s="583">
        <v>92575</v>
      </c>
      <c r="BL102" s="583">
        <v>0</v>
      </c>
      <c r="BM102" s="583">
        <v>14424</v>
      </c>
      <c r="BN102" s="583">
        <v>0</v>
      </c>
      <c r="BO102" s="583">
        <v>106999</v>
      </c>
      <c r="BP102" s="583">
        <v>14424</v>
      </c>
      <c r="BQ102" s="583">
        <v>177399</v>
      </c>
      <c r="BR102" s="583">
        <v>28918</v>
      </c>
      <c r="BS102" s="583">
        <v>-14424</v>
      </c>
      <c r="BT102" s="583">
        <v>0</v>
      </c>
      <c r="BU102" s="583">
        <v>191893</v>
      </c>
      <c r="BV102" s="583">
        <v>0</v>
      </c>
    </row>
    <row r="103" spans="1:74" x14ac:dyDescent="0.2">
      <c r="A103" s="580">
        <v>6204</v>
      </c>
      <c r="B103" s="580" t="s">
        <v>29</v>
      </c>
      <c r="C103" s="583">
        <v>71192</v>
      </c>
      <c r="D103" s="583">
        <v>0</v>
      </c>
      <c r="E103" s="583">
        <v>42570</v>
      </c>
      <c r="F103" s="583">
        <v>0</v>
      </c>
      <c r="G103" s="583">
        <v>113762</v>
      </c>
      <c r="H103" s="583">
        <v>42570</v>
      </c>
      <c r="I103" s="583">
        <v>37858</v>
      </c>
      <c r="J103" s="583">
        <v>0</v>
      </c>
      <c r="K103" s="583">
        <v>75904</v>
      </c>
      <c r="L103" s="583">
        <v>0</v>
      </c>
      <c r="M103" s="583">
        <v>113762</v>
      </c>
      <c r="N103" s="583">
        <v>118474</v>
      </c>
      <c r="O103" s="583">
        <v>107999</v>
      </c>
      <c r="P103" s="583">
        <v>0</v>
      </c>
      <c r="Q103" s="583">
        <v>0</v>
      </c>
      <c r="R103" s="583">
        <v>0</v>
      </c>
      <c r="S103" s="583">
        <v>107999</v>
      </c>
      <c r="T103" s="583">
        <v>118474</v>
      </c>
      <c r="U103" s="583">
        <v>57346</v>
      </c>
      <c r="V103" s="583">
        <v>0</v>
      </c>
      <c r="W103" s="583">
        <v>56416</v>
      </c>
      <c r="X103" s="583">
        <v>0</v>
      </c>
      <c r="Y103" s="583">
        <v>113762</v>
      </c>
      <c r="Z103" s="583">
        <v>174890</v>
      </c>
      <c r="AA103" s="583">
        <v>499018</v>
      </c>
      <c r="AB103" s="583">
        <v>4606</v>
      </c>
      <c r="AC103" s="583">
        <v>-174890</v>
      </c>
      <c r="AD103" s="583">
        <v>0</v>
      </c>
      <c r="AE103" s="583">
        <v>328734</v>
      </c>
      <c r="AF103" s="583">
        <v>0</v>
      </c>
      <c r="AG103" s="583">
        <v>98843</v>
      </c>
      <c r="AH103" s="583">
        <v>3264</v>
      </c>
      <c r="AI103" s="583">
        <v>14919</v>
      </c>
      <c r="AJ103" s="583">
        <v>0</v>
      </c>
      <c r="AK103" s="583">
        <v>117026</v>
      </c>
      <c r="AL103" s="583">
        <v>14919</v>
      </c>
      <c r="AM103" s="583">
        <v>196482</v>
      </c>
      <c r="AN103" s="583">
        <v>19075</v>
      </c>
      <c r="AO103" s="583">
        <v>-14919</v>
      </c>
      <c r="AP103" s="583">
        <v>0</v>
      </c>
      <c r="AQ103" s="583">
        <v>200638</v>
      </c>
      <c r="AR103" s="583">
        <v>0</v>
      </c>
      <c r="AS103" s="583">
        <v>64901</v>
      </c>
      <c r="AT103" s="583">
        <v>0</v>
      </c>
      <c r="AU103" s="583">
        <v>48861</v>
      </c>
      <c r="AV103" s="583">
        <v>0</v>
      </c>
      <c r="AW103" s="583">
        <v>113762</v>
      </c>
      <c r="AX103" s="583">
        <v>48861</v>
      </c>
      <c r="AY103" s="583">
        <v>125640</v>
      </c>
      <c r="AZ103" s="583">
        <v>4676</v>
      </c>
      <c r="BA103" s="583">
        <v>0</v>
      </c>
      <c r="BB103" s="583">
        <v>0</v>
      </c>
      <c r="BC103" s="583">
        <v>130316</v>
      </c>
      <c r="BD103" s="583">
        <v>48861</v>
      </c>
      <c r="BE103" s="583">
        <v>265094</v>
      </c>
      <c r="BF103" s="583">
        <v>0</v>
      </c>
      <c r="BG103" s="583">
        <v>-48861</v>
      </c>
      <c r="BH103" s="583">
        <v>0</v>
      </c>
      <c r="BI103" s="583">
        <v>216233</v>
      </c>
      <c r="BJ103" s="583">
        <v>0</v>
      </c>
      <c r="BK103" s="583">
        <v>98388</v>
      </c>
      <c r="BL103" s="583">
        <v>0</v>
      </c>
      <c r="BM103" s="583">
        <v>15374</v>
      </c>
      <c r="BN103" s="583">
        <v>0</v>
      </c>
      <c r="BO103" s="583">
        <v>113762</v>
      </c>
      <c r="BP103" s="583">
        <v>15374</v>
      </c>
      <c r="BQ103" s="583">
        <v>188538</v>
      </c>
      <c r="BR103" s="583">
        <v>30734</v>
      </c>
      <c r="BS103" s="583">
        <v>-15374</v>
      </c>
      <c r="BT103" s="583">
        <v>0</v>
      </c>
      <c r="BU103" s="583">
        <v>203898</v>
      </c>
      <c r="BV103" s="583">
        <v>0</v>
      </c>
    </row>
    <row r="104" spans="1:74" x14ac:dyDescent="0.2">
      <c r="A104" s="580">
        <v>6205</v>
      </c>
      <c r="B104" s="580" t="s">
        <v>143</v>
      </c>
      <c r="C104" s="583">
        <v>210785</v>
      </c>
      <c r="D104" s="583">
        <v>0</v>
      </c>
      <c r="E104" s="583">
        <v>141233</v>
      </c>
      <c r="F104" s="583">
        <v>0</v>
      </c>
      <c r="G104" s="583">
        <v>352018</v>
      </c>
      <c r="H104" s="583">
        <v>141233</v>
      </c>
      <c r="I104" s="583">
        <v>112089</v>
      </c>
      <c r="J104" s="583">
        <v>0</v>
      </c>
      <c r="K104" s="583">
        <v>239929</v>
      </c>
      <c r="L104" s="583">
        <v>0</v>
      </c>
      <c r="M104" s="583">
        <v>352018</v>
      </c>
      <c r="N104" s="583">
        <v>381162</v>
      </c>
      <c r="O104" s="583">
        <v>319764</v>
      </c>
      <c r="P104" s="583">
        <v>0</v>
      </c>
      <c r="Q104" s="583">
        <v>0</v>
      </c>
      <c r="R104" s="583">
        <v>0</v>
      </c>
      <c r="S104" s="583">
        <v>319764</v>
      </c>
      <c r="T104" s="583">
        <v>381162</v>
      </c>
      <c r="U104" s="583">
        <v>169789</v>
      </c>
      <c r="V104" s="583">
        <v>0</v>
      </c>
      <c r="W104" s="583">
        <v>182229</v>
      </c>
      <c r="X104" s="583">
        <v>0</v>
      </c>
      <c r="Y104" s="583">
        <v>352018</v>
      </c>
      <c r="Z104" s="583">
        <v>563391</v>
      </c>
      <c r="AA104" s="583">
        <v>1477486</v>
      </c>
      <c r="AB104" s="583">
        <v>13637</v>
      </c>
      <c r="AC104" s="583">
        <v>-563391</v>
      </c>
      <c r="AD104" s="583">
        <v>0</v>
      </c>
      <c r="AE104" s="583">
        <v>927732</v>
      </c>
      <c r="AF104" s="583">
        <v>0</v>
      </c>
      <c r="AG104" s="583">
        <v>292652</v>
      </c>
      <c r="AH104" s="583">
        <v>9665</v>
      </c>
      <c r="AI104" s="583">
        <v>59366</v>
      </c>
      <c r="AJ104" s="583">
        <v>0</v>
      </c>
      <c r="AK104" s="583">
        <v>361683</v>
      </c>
      <c r="AL104" s="583">
        <v>59366</v>
      </c>
      <c r="AM104" s="583">
        <v>581741</v>
      </c>
      <c r="AN104" s="583">
        <v>56476</v>
      </c>
      <c r="AO104" s="583">
        <v>-47030</v>
      </c>
      <c r="AP104" s="583">
        <v>0</v>
      </c>
      <c r="AQ104" s="583">
        <v>591187</v>
      </c>
      <c r="AR104" s="583">
        <v>12336</v>
      </c>
      <c r="AS104" s="583">
        <v>192158</v>
      </c>
      <c r="AT104" s="583">
        <v>0</v>
      </c>
      <c r="AU104" s="583">
        <v>159860</v>
      </c>
      <c r="AV104" s="583">
        <v>0</v>
      </c>
      <c r="AW104" s="583">
        <v>352018</v>
      </c>
      <c r="AX104" s="583">
        <v>172196</v>
      </c>
      <c r="AY104" s="583">
        <v>371992</v>
      </c>
      <c r="AZ104" s="583">
        <v>13845</v>
      </c>
      <c r="BA104" s="583">
        <v>0</v>
      </c>
      <c r="BB104" s="583">
        <v>0</v>
      </c>
      <c r="BC104" s="583">
        <v>385837</v>
      </c>
      <c r="BD104" s="583">
        <v>172196</v>
      </c>
      <c r="BE104" s="583">
        <v>784887</v>
      </c>
      <c r="BF104" s="583">
        <v>0</v>
      </c>
      <c r="BG104" s="583">
        <v>-172196</v>
      </c>
      <c r="BH104" s="583">
        <v>0</v>
      </c>
      <c r="BI104" s="583">
        <v>612691</v>
      </c>
      <c r="BJ104" s="583">
        <v>0</v>
      </c>
      <c r="BK104" s="583">
        <v>291305</v>
      </c>
      <c r="BL104" s="583">
        <v>0</v>
      </c>
      <c r="BM104" s="583">
        <v>60713</v>
      </c>
      <c r="BN104" s="583">
        <v>0</v>
      </c>
      <c r="BO104" s="583">
        <v>352018</v>
      </c>
      <c r="BP104" s="583">
        <v>60713</v>
      </c>
      <c r="BQ104" s="583">
        <v>558221</v>
      </c>
      <c r="BR104" s="583">
        <v>90996</v>
      </c>
      <c r="BS104" s="583">
        <v>-60713</v>
      </c>
      <c r="BT104" s="583">
        <v>0</v>
      </c>
      <c r="BU104" s="583">
        <v>588504</v>
      </c>
      <c r="BV104" s="583">
        <v>0</v>
      </c>
    </row>
    <row r="105" spans="1:74" x14ac:dyDescent="0.2">
      <c r="A105" s="580">
        <v>6206</v>
      </c>
      <c r="B105" s="580" t="s">
        <v>146</v>
      </c>
      <c r="C105" s="583">
        <v>113560</v>
      </c>
      <c r="D105" s="583">
        <v>0</v>
      </c>
      <c r="E105" s="583">
        <v>76088</v>
      </c>
      <c r="F105" s="583">
        <v>0</v>
      </c>
      <c r="G105" s="583">
        <v>189648</v>
      </c>
      <c r="H105" s="583">
        <v>76088</v>
      </c>
      <c r="I105" s="583">
        <v>60387</v>
      </c>
      <c r="J105" s="583">
        <v>0</v>
      </c>
      <c r="K105" s="583">
        <v>129261</v>
      </c>
      <c r="L105" s="583">
        <v>0</v>
      </c>
      <c r="M105" s="583">
        <v>189648</v>
      </c>
      <c r="N105" s="583">
        <v>205349</v>
      </c>
      <c r="O105" s="583">
        <v>172271</v>
      </c>
      <c r="P105" s="583">
        <v>0</v>
      </c>
      <c r="Q105" s="583">
        <v>0</v>
      </c>
      <c r="R105" s="583">
        <v>0</v>
      </c>
      <c r="S105" s="583">
        <v>172271</v>
      </c>
      <c r="T105" s="583">
        <v>205349</v>
      </c>
      <c r="U105" s="583">
        <v>91473</v>
      </c>
      <c r="V105" s="583">
        <v>0</v>
      </c>
      <c r="W105" s="583">
        <v>98175</v>
      </c>
      <c r="X105" s="583">
        <v>0</v>
      </c>
      <c r="Y105" s="583">
        <v>189648</v>
      </c>
      <c r="Z105" s="583">
        <v>303524</v>
      </c>
      <c r="AA105" s="583">
        <v>795988</v>
      </c>
      <c r="AB105" s="583">
        <v>7347</v>
      </c>
      <c r="AC105" s="583">
        <v>-303524</v>
      </c>
      <c r="AD105" s="583">
        <v>0</v>
      </c>
      <c r="AE105" s="583">
        <v>499811</v>
      </c>
      <c r="AF105" s="583">
        <v>0</v>
      </c>
      <c r="AG105" s="583">
        <v>157665</v>
      </c>
      <c r="AH105" s="583">
        <v>5207</v>
      </c>
      <c r="AI105" s="583">
        <v>31983</v>
      </c>
      <c r="AJ105" s="583">
        <v>0</v>
      </c>
      <c r="AK105" s="583">
        <v>194855</v>
      </c>
      <c r="AL105" s="583">
        <v>31983</v>
      </c>
      <c r="AM105" s="583">
        <v>313410</v>
      </c>
      <c r="AN105" s="583">
        <v>30426</v>
      </c>
      <c r="AO105" s="583">
        <v>-25337</v>
      </c>
      <c r="AP105" s="583">
        <v>0</v>
      </c>
      <c r="AQ105" s="583">
        <v>318499</v>
      </c>
      <c r="AR105" s="583">
        <v>6646</v>
      </c>
      <c r="AS105" s="583">
        <v>103524</v>
      </c>
      <c r="AT105" s="583">
        <v>0</v>
      </c>
      <c r="AU105" s="583">
        <v>86124</v>
      </c>
      <c r="AV105" s="583">
        <v>0</v>
      </c>
      <c r="AW105" s="583">
        <v>189648</v>
      </c>
      <c r="AX105" s="583">
        <v>92770</v>
      </c>
      <c r="AY105" s="583">
        <v>200409</v>
      </c>
      <c r="AZ105" s="583">
        <v>7459</v>
      </c>
      <c r="BA105" s="583">
        <v>0</v>
      </c>
      <c r="BB105" s="583">
        <v>0</v>
      </c>
      <c r="BC105" s="583">
        <v>207868</v>
      </c>
      <c r="BD105" s="583">
        <v>92770</v>
      </c>
      <c r="BE105" s="583">
        <v>422854</v>
      </c>
      <c r="BF105" s="583">
        <v>0</v>
      </c>
      <c r="BG105" s="583">
        <v>-92770</v>
      </c>
      <c r="BH105" s="583">
        <v>0</v>
      </c>
      <c r="BI105" s="583">
        <v>330084</v>
      </c>
      <c r="BJ105" s="583">
        <v>0</v>
      </c>
      <c r="BK105" s="583">
        <v>156939</v>
      </c>
      <c r="BL105" s="583">
        <v>0</v>
      </c>
      <c r="BM105" s="583">
        <v>32709</v>
      </c>
      <c r="BN105" s="583">
        <v>0</v>
      </c>
      <c r="BO105" s="583">
        <v>189648</v>
      </c>
      <c r="BP105" s="583">
        <v>32709</v>
      </c>
      <c r="BQ105" s="583">
        <v>300739</v>
      </c>
      <c r="BR105" s="583">
        <v>49024</v>
      </c>
      <c r="BS105" s="583">
        <v>-32709</v>
      </c>
      <c r="BT105" s="583">
        <v>0</v>
      </c>
      <c r="BU105" s="583">
        <v>317054</v>
      </c>
      <c r="BV105" s="583">
        <v>0</v>
      </c>
    </row>
    <row r="106" spans="1:74" x14ac:dyDescent="0.2">
      <c r="A106" s="580">
        <v>6301</v>
      </c>
      <c r="B106" s="580" t="s">
        <v>133</v>
      </c>
      <c r="C106" s="583">
        <v>310355</v>
      </c>
      <c r="D106" s="583">
        <v>0</v>
      </c>
      <c r="E106" s="583">
        <v>177703</v>
      </c>
      <c r="F106" s="583">
        <v>0</v>
      </c>
      <c r="G106" s="583">
        <v>488058</v>
      </c>
      <c r="H106" s="583">
        <v>177703</v>
      </c>
      <c r="I106" s="583">
        <v>165036</v>
      </c>
      <c r="J106" s="583">
        <v>0</v>
      </c>
      <c r="K106" s="583">
        <v>323022</v>
      </c>
      <c r="L106" s="583">
        <v>0</v>
      </c>
      <c r="M106" s="583">
        <v>488058</v>
      </c>
      <c r="N106" s="583">
        <v>500725</v>
      </c>
      <c r="O106" s="583">
        <v>470811</v>
      </c>
      <c r="P106" s="583">
        <v>0</v>
      </c>
      <c r="Q106" s="583">
        <v>0</v>
      </c>
      <c r="R106" s="583">
        <v>0</v>
      </c>
      <c r="S106" s="583">
        <v>470811</v>
      </c>
      <c r="T106" s="583">
        <v>500725</v>
      </c>
      <c r="U106" s="583">
        <v>249993</v>
      </c>
      <c r="V106" s="583">
        <v>0</v>
      </c>
      <c r="W106" s="583">
        <v>238065</v>
      </c>
      <c r="X106" s="583">
        <v>0</v>
      </c>
      <c r="Y106" s="583">
        <v>488058</v>
      </c>
      <c r="Z106" s="583">
        <v>738790</v>
      </c>
      <c r="AA106" s="583">
        <v>2175409</v>
      </c>
      <c r="AB106" s="583">
        <v>20078</v>
      </c>
      <c r="AC106" s="583">
        <v>-738790</v>
      </c>
      <c r="AD106" s="583">
        <v>0</v>
      </c>
      <c r="AE106" s="583">
        <v>1456697</v>
      </c>
      <c r="AF106" s="583">
        <v>0</v>
      </c>
      <c r="AG106" s="583">
        <v>430893</v>
      </c>
      <c r="AH106" s="583">
        <v>14230</v>
      </c>
      <c r="AI106" s="583">
        <v>57165</v>
      </c>
      <c r="AJ106" s="583">
        <v>0</v>
      </c>
      <c r="AK106" s="583">
        <v>502288</v>
      </c>
      <c r="AL106" s="583">
        <v>57165</v>
      </c>
      <c r="AM106" s="583">
        <v>856539</v>
      </c>
      <c r="AN106" s="583">
        <v>83154</v>
      </c>
      <c r="AO106" s="583">
        <v>-57165</v>
      </c>
      <c r="AP106" s="583">
        <v>0</v>
      </c>
      <c r="AQ106" s="583">
        <v>882528</v>
      </c>
      <c r="AR106" s="583">
        <v>0</v>
      </c>
      <c r="AS106" s="583">
        <v>282928</v>
      </c>
      <c r="AT106" s="583">
        <v>0</v>
      </c>
      <c r="AU106" s="583">
        <v>205130</v>
      </c>
      <c r="AV106" s="583">
        <v>0</v>
      </c>
      <c r="AW106" s="583">
        <v>488058</v>
      </c>
      <c r="AX106" s="583">
        <v>205130</v>
      </c>
      <c r="AY106" s="583">
        <v>547711</v>
      </c>
      <c r="AZ106" s="583">
        <v>20385</v>
      </c>
      <c r="BA106" s="583">
        <v>0</v>
      </c>
      <c r="BB106" s="583">
        <v>0</v>
      </c>
      <c r="BC106" s="583">
        <v>568096</v>
      </c>
      <c r="BD106" s="583">
        <v>205130</v>
      </c>
      <c r="BE106" s="583">
        <v>1155646</v>
      </c>
      <c r="BF106" s="583">
        <v>0</v>
      </c>
      <c r="BG106" s="583">
        <v>-205130</v>
      </c>
      <c r="BH106" s="583">
        <v>0</v>
      </c>
      <c r="BI106" s="583">
        <v>950516</v>
      </c>
      <c r="BJ106" s="583">
        <v>0</v>
      </c>
      <c r="BK106" s="583">
        <v>428910</v>
      </c>
      <c r="BL106" s="583">
        <v>0</v>
      </c>
      <c r="BM106" s="583">
        <v>59148</v>
      </c>
      <c r="BN106" s="583">
        <v>0</v>
      </c>
      <c r="BO106" s="583">
        <v>488058</v>
      </c>
      <c r="BP106" s="583">
        <v>59148</v>
      </c>
      <c r="BQ106" s="583">
        <v>821909</v>
      </c>
      <c r="BR106" s="583">
        <v>133980</v>
      </c>
      <c r="BS106" s="583">
        <v>-59148</v>
      </c>
      <c r="BT106" s="583">
        <v>0</v>
      </c>
      <c r="BU106" s="583">
        <v>896741</v>
      </c>
      <c r="BV106" s="583">
        <v>0</v>
      </c>
    </row>
    <row r="107" spans="1:74" x14ac:dyDescent="0.2">
      <c r="A107" s="580">
        <v>6302</v>
      </c>
      <c r="B107" s="580" t="s">
        <v>386</v>
      </c>
      <c r="C107" s="583">
        <v>137119</v>
      </c>
      <c r="D107" s="583">
        <v>0</v>
      </c>
      <c r="E107" s="583">
        <v>71387</v>
      </c>
      <c r="F107" s="583">
        <v>0</v>
      </c>
      <c r="G107" s="583">
        <v>208506</v>
      </c>
      <c r="H107" s="583">
        <v>71387</v>
      </c>
      <c r="I107" s="583">
        <v>72915</v>
      </c>
      <c r="J107" s="583">
        <v>0</v>
      </c>
      <c r="K107" s="583">
        <v>135591</v>
      </c>
      <c r="L107" s="583">
        <v>0</v>
      </c>
      <c r="M107" s="583">
        <v>208506</v>
      </c>
      <c r="N107" s="583">
        <v>206978</v>
      </c>
      <c r="O107" s="583">
        <v>208011</v>
      </c>
      <c r="P107" s="583">
        <v>0</v>
      </c>
      <c r="Q107" s="583">
        <v>0</v>
      </c>
      <c r="R107" s="583">
        <v>0</v>
      </c>
      <c r="S107" s="583">
        <v>208011</v>
      </c>
      <c r="T107" s="583">
        <v>206978</v>
      </c>
      <c r="U107" s="583">
        <v>110451</v>
      </c>
      <c r="V107" s="583">
        <v>0</v>
      </c>
      <c r="W107" s="583">
        <v>98055</v>
      </c>
      <c r="X107" s="583">
        <v>0</v>
      </c>
      <c r="Y107" s="583">
        <v>208506</v>
      </c>
      <c r="Z107" s="583">
        <v>305033</v>
      </c>
      <c r="AA107" s="583">
        <v>961128</v>
      </c>
      <c r="AB107" s="583">
        <v>8871</v>
      </c>
      <c r="AC107" s="583">
        <v>-305033</v>
      </c>
      <c r="AD107" s="583">
        <v>0</v>
      </c>
      <c r="AE107" s="583">
        <v>664966</v>
      </c>
      <c r="AF107" s="583">
        <v>0</v>
      </c>
      <c r="AG107" s="583">
        <v>190375</v>
      </c>
      <c r="AH107" s="583">
        <v>6287</v>
      </c>
      <c r="AI107" s="583">
        <v>18131</v>
      </c>
      <c r="AJ107" s="583">
        <v>0</v>
      </c>
      <c r="AK107" s="583">
        <v>214793</v>
      </c>
      <c r="AL107" s="583">
        <v>18131</v>
      </c>
      <c r="AM107" s="583">
        <v>378431</v>
      </c>
      <c r="AN107" s="583">
        <v>36739</v>
      </c>
      <c r="AO107" s="583">
        <v>-18131</v>
      </c>
      <c r="AP107" s="583">
        <v>0</v>
      </c>
      <c r="AQ107" s="583">
        <v>397039</v>
      </c>
      <c r="AR107" s="583">
        <v>0</v>
      </c>
      <c r="AS107" s="583">
        <v>125002</v>
      </c>
      <c r="AT107" s="583">
        <v>0</v>
      </c>
      <c r="AU107" s="583">
        <v>83504</v>
      </c>
      <c r="AV107" s="583">
        <v>0</v>
      </c>
      <c r="AW107" s="583">
        <v>208506</v>
      </c>
      <c r="AX107" s="583">
        <v>83504</v>
      </c>
      <c r="AY107" s="583">
        <v>241987</v>
      </c>
      <c r="AZ107" s="583">
        <v>9007</v>
      </c>
      <c r="BA107" s="583">
        <v>0</v>
      </c>
      <c r="BB107" s="583">
        <v>0</v>
      </c>
      <c r="BC107" s="583">
        <v>250994</v>
      </c>
      <c r="BD107" s="583">
        <v>83504</v>
      </c>
      <c r="BE107" s="583">
        <v>510581</v>
      </c>
      <c r="BF107" s="583">
        <v>0</v>
      </c>
      <c r="BG107" s="583">
        <v>-83504</v>
      </c>
      <c r="BH107" s="583">
        <v>0</v>
      </c>
      <c r="BI107" s="583">
        <v>427077</v>
      </c>
      <c r="BJ107" s="583">
        <v>0</v>
      </c>
      <c r="BK107" s="583">
        <v>189499</v>
      </c>
      <c r="BL107" s="583">
        <v>0</v>
      </c>
      <c r="BM107" s="583">
        <v>19007</v>
      </c>
      <c r="BN107" s="583">
        <v>0</v>
      </c>
      <c r="BO107" s="583">
        <v>208506</v>
      </c>
      <c r="BP107" s="583">
        <v>19007</v>
      </c>
      <c r="BQ107" s="583">
        <v>363132</v>
      </c>
      <c r="BR107" s="583">
        <v>59194</v>
      </c>
      <c r="BS107" s="583">
        <v>-19007</v>
      </c>
      <c r="BT107" s="583">
        <v>0</v>
      </c>
      <c r="BU107" s="583">
        <v>403319</v>
      </c>
      <c r="BV107" s="583">
        <v>0</v>
      </c>
    </row>
    <row r="108" spans="1:74" x14ac:dyDescent="0.2">
      <c r="A108" s="580">
        <v>6303</v>
      </c>
      <c r="B108" s="580" t="s">
        <v>134</v>
      </c>
      <c r="C108" s="583">
        <v>248715</v>
      </c>
      <c r="D108" s="583">
        <v>0</v>
      </c>
      <c r="E108" s="583">
        <v>134129</v>
      </c>
      <c r="F108" s="583">
        <v>0</v>
      </c>
      <c r="G108" s="583">
        <v>382844</v>
      </c>
      <c r="H108" s="583">
        <v>134129</v>
      </c>
      <c r="I108" s="583">
        <v>132258</v>
      </c>
      <c r="J108" s="583">
        <v>0</v>
      </c>
      <c r="K108" s="583">
        <v>250586</v>
      </c>
      <c r="L108" s="583">
        <v>0</v>
      </c>
      <c r="M108" s="583">
        <v>382844</v>
      </c>
      <c r="N108" s="583">
        <v>384715</v>
      </c>
      <c r="O108" s="583">
        <v>377303</v>
      </c>
      <c r="P108" s="583">
        <v>0</v>
      </c>
      <c r="Q108" s="583">
        <v>0</v>
      </c>
      <c r="R108" s="583">
        <v>0</v>
      </c>
      <c r="S108" s="583">
        <v>377303</v>
      </c>
      <c r="T108" s="583">
        <v>384715</v>
      </c>
      <c r="U108" s="583">
        <v>200342</v>
      </c>
      <c r="V108" s="583">
        <v>0</v>
      </c>
      <c r="W108" s="583">
        <v>182502</v>
      </c>
      <c r="X108" s="583">
        <v>0</v>
      </c>
      <c r="Y108" s="583">
        <v>382844</v>
      </c>
      <c r="Z108" s="583">
        <v>567217</v>
      </c>
      <c r="AA108" s="583">
        <v>1743350</v>
      </c>
      <c r="AB108" s="583">
        <v>16091</v>
      </c>
      <c r="AC108" s="583">
        <v>-567217</v>
      </c>
      <c r="AD108" s="583">
        <v>0</v>
      </c>
      <c r="AE108" s="583">
        <v>1192224</v>
      </c>
      <c r="AF108" s="583">
        <v>0</v>
      </c>
      <c r="AG108" s="583">
        <v>345313</v>
      </c>
      <c r="AH108" s="583">
        <v>11404</v>
      </c>
      <c r="AI108" s="583">
        <v>37531</v>
      </c>
      <c r="AJ108" s="583">
        <v>0</v>
      </c>
      <c r="AK108" s="583">
        <v>394248</v>
      </c>
      <c r="AL108" s="583">
        <v>37531</v>
      </c>
      <c r="AM108" s="583">
        <v>686421</v>
      </c>
      <c r="AN108" s="583">
        <v>66639</v>
      </c>
      <c r="AO108" s="583">
        <v>-37531</v>
      </c>
      <c r="AP108" s="583">
        <v>0</v>
      </c>
      <c r="AQ108" s="583">
        <v>715529</v>
      </c>
      <c r="AR108" s="583">
        <v>0</v>
      </c>
      <c r="AS108" s="583">
        <v>226735</v>
      </c>
      <c r="AT108" s="583">
        <v>0</v>
      </c>
      <c r="AU108" s="583">
        <v>156109</v>
      </c>
      <c r="AV108" s="583">
        <v>0</v>
      </c>
      <c r="AW108" s="583">
        <v>382844</v>
      </c>
      <c r="AX108" s="583">
        <v>156109</v>
      </c>
      <c r="AY108" s="583">
        <v>438930</v>
      </c>
      <c r="AZ108" s="583">
        <v>16337</v>
      </c>
      <c r="BA108" s="583">
        <v>0</v>
      </c>
      <c r="BB108" s="583">
        <v>0</v>
      </c>
      <c r="BC108" s="583">
        <v>455267</v>
      </c>
      <c r="BD108" s="583">
        <v>156109</v>
      </c>
      <c r="BE108" s="583">
        <v>926123</v>
      </c>
      <c r="BF108" s="583">
        <v>0</v>
      </c>
      <c r="BG108" s="583">
        <v>-156109</v>
      </c>
      <c r="BH108" s="583">
        <v>0</v>
      </c>
      <c r="BI108" s="583">
        <v>770014</v>
      </c>
      <c r="BJ108" s="583">
        <v>0</v>
      </c>
      <c r="BK108" s="583">
        <v>343724</v>
      </c>
      <c r="BL108" s="583">
        <v>0</v>
      </c>
      <c r="BM108" s="583">
        <v>39120</v>
      </c>
      <c r="BN108" s="583">
        <v>0</v>
      </c>
      <c r="BO108" s="583">
        <v>382844</v>
      </c>
      <c r="BP108" s="583">
        <v>39120</v>
      </c>
      <c r="BQ108" s="583">
        <v>658670</v>
      </c>
      <c r="BR108" s="583">
        <v>107370</v>
      </c>
      <c r="BS108" s="583">
        <v>-39120</v>
      </c>
      <c r="BT108" s="583">
        <v>0</v>
      </c>
      <c r="BU108" s="583">
        <v>726920</v>
      </c>
      <c r="BV108" s="583">
        <v>0</v>
      </c>
    </row>
    <row r="109" spans="1:74" x14ac:dyDescent="0.2">
      <c r="A109" s="580">
        <v>6304</v>
      </c>
      <c r="B109" s="580" t="s">
        <v>138</v>
      </c>
      <c r="C109" s="583">
        <v>77053</v>
      </c>
      <c r="D109" s="583">
        <v>0</v>
      </c>
      <c r="E109" s="583">
        <v>45630</v>
      </c>
      <c r="F109" s="583">
        <v>0</v>
      </c>
      <c r="G109" s="583">
        <v>122683</v>
      </c>
      <c r="H109" s="583">
        <v>45630</v>
      </c>
      <c r="I109" s="583">
        <v>40974</v>
      </c>
      <c r="J109" s="583">
        <v>0</v>
      </c>
      <c r="K109" s="583">
        <v>81709</v>
      </c>
      <c r="L109" s="583">
        <v>0</v>
      </c>
      <c r="M109" s="583">
        <v>122683</v>
      </c>
      <c r="N109" s="583">
        <v>127339</v>
      </c>
      <c r="O109" s="583">
        <v>116890</v>
      </c>
      <c r="P109" s="583">
        <v>0</v>
      </c>
      <c r="Q109" s="583">
        <v>0</v>
      </c>
      <c r="R109" s="583">
        <v>0</v>
      </c>
      <c r="S109" s="583">
        <v>116890</v>
      </c>
      <c r="T109" s="583">
        <v>127339</v>
      </c>
      <c r="U109" s="583">
        <v>62067</v>
      </c>
      <c r="V109" s="583">
        <v>0</v>
      </c>
      <c r="W109" s="583">
        <v>60616</v>
      </c>
      <c r="X109" s="583">
        <v>0</v>
      </c>
      <c r="Y109" s="583">
        <v>122683</v>
      </c>
      <c r="Z109" s="583">
        <v>187955</v>
      </c>
      <c r="AA109" s="583">
        <v>540099</v>
      </c>
      <c r="AB109" s="583">
        <v>4985</v>
      </c>
      <c r="AC109" s="583">
        <v>-187955</v>
      </c>
      <c r="AD109" s="583">
        <v>0</v>
      </c>
      <c r="AE109" s="583">
        <v>357129</v>
      </c>
      <c r="AF109" s="583">
        <v>0</v>
      </c>
      <c r="AG109" s="583">
        <v>106980</v>
      </c>
      <c r="AH109" s="583">
        <v>3533</v>
      </c>
      <c r="AI109" s="583">
        <v>15703</v>
      </c>
      <c r="AJ109" s="583">
        <v>0</v>
      </c>
      <c r="AK109" s="583">
        <v>126216</v>
      </c>
      <c r="AL109" s="583">
        <v>15703</v>
      </c>
      <c r="AM109" s="583">
        <v>212657</v>
      </c>
      <c r="AN109" s="583">
        <v>20645</v>
      </c>
      <c r="AO109" s="583">
        <v>-15703</v>
      </c>
      <c r="AP109" s="583">
        <v>0</v>
      </c>
      <c r="AQ109" s="583">
        <v>217599</v>
      </c>
      <c r="AR109" s="583">
        <v>0</v>
      </c>
      <c r="AS109" s="583">
        <v>70244</v>
      </c>
      <c r="AT109" s="583">
        <v>0</v>
      </c>
      <c r="AU109" s="583">
        <v>52439</v>
      </c>
      <c r="AV109" s="583">
        <v>0</v>
      </c>
      <c r="AW109" s="583">
        <v>122683</v>
      </c>
      <c r="AX109" s="583">
        <v>52439</v>
      </c>
      <c r="AY109" s="583">
        <v>135983</v>
      </c>
      <c r="AZ109" s="583">
        <v>5061</v>
      </c>
      <c r="BA109" s="583">
        <v>0</v>
      </c>
      <c r="BB109" s="583">
        <v>0</v>
      </c>
      <c r="BC109" s="583">
        <v>141044</v>
      </c>
      <c r="BD109" s="583">
        <v>52439</v>
      </c>
      <c r="BE109" s="583">
        <v>286918</v>
      </c>
      <c r="BF109" s="583">
        <v>0</v>
      </c>
      <c r="BG109" s="583">
        <v>-52439</v>
      </c>
      <c r="BH109" s="583">
        <v>0</v>
      </c>
      <c r="BI109" s="583">
        <v>234479</v>
      </c>
      <c r="BJ109" s="583">
        <v>0</v>
      </c>
      <c r="BK109" s="583">
        <v>106487</v>
      </c>
      <c r="BL109" s="583">
        <v>0</v>
      </c>
      <c r="BM109" s="583">
        <v>16196</v>
      </c>
      <c r="BN109" s="583">
        <v>0</v>
      </c>
      <c r="BO109" s="583">
        <v>122683</v>
      </c>
      <c r="BP109" s="583">
        <v>16196</v>
      </c>
      <c r="BQ109" s="583">
        <v>204059</v>
      </c>
      <c r="BR109" s="583">
        <v>33264</v>
      </c>
      <c r="BS109" s="583">
        <v>-16196</v>
      </c>
      <c r="BT109" s="583">
        <v>0</v>
      </c>
      <c r="BU109" s="583">
        <v>221127</v>
      </c>
      <c r="BV109" s="583">
        <v>0</v>
      </c>
    </row>
    <row r="110" spans="1:74" x14ac:dyDescent="0.2">
      <c r="A110" s="580">
        <v>6305</v>
      </c>
      <c r="B110" s="580" t="s">
        <v>135</v>
      </c>
      <c r="C110" s="583">
        <v>128269</v>
      </c>
      <c r="D110" s="583">
        <v>0</v>
      </c>
      <c r="E110" s="583">
        <v>70649</v>
      </c>
      <c r="F110" s="583">
        <v>0</v>
      </c>
      <c r="G110" s="583">
        <v>198918</v>
      </c>
      <c r="H110" s="583">
        <v>70649</v>
      </c>
      <c r="I110" s="583">
        <v>68209</v>
      </c>
      <c r="J110" s="583">
        <v>0</v>
      </c>
      <c r="K110" s="583">
        <v>130709</v>
      </c>
      <c r="L110" s="583">
        <v>0</v>
      </c>
      <c r="M110" s="583">
        <v>198918</v>
      </c>
      <c r="N110" s="583">
        <v>201358</v>
      </c>
      <c r="O110" s="583">
        <v>194586</v>
      </c>
      <c r="P110" s="583">
        <v>0</v>
      </c>
      <c r="Q110" s="583">
        <v>0</v>
      </c>
      <c r="R110" s="583">
        <v>0</v>
      </c>
      <c r="S110" s="583">
        <v>194586</v>
      </c>
      <c r="T110" s="583">
        <v>201358</v>
      </c>
      <c r="U110" s="583">
        <v>103322</v>
      </c>
      <c r="V110" s="583">
        <v>0</v>
      </c>
      <c r="W110" s="583">
        <v>95596</v>
      </c>
      <c r="X110" s="583">
        <v>0</v>
      </c>
      <c r="Y110" s="583">
        <v>198918</v>
      </c>
      <c r="Z110" s="583">
        <v>296954</v>
      </c>
      <c r="AA110" s="583">
        <v>899095</v>
      </c>
      <c r="AB110" s="583">
        <v>8298</v>
      </c>
      <c r="AC110" s="583">
        <v>-296954</v>
      </c>
      <c r="AD110" s="583">
        <v>0</v>
      </c>
      <c r="AE110" s="583">
        <v>610439</v>
      </c>
      <c r="AF110" s="583">
        <v>0</v>
      </c>
      <c r="AG110" s="583">
        <v>178088</v>
      </c>
      <c r="AH110" s="583">
        <v>5881</v>
      </c>
      <c r="AI110" s="583">
        <v>20830</v>
      </c>
      <c r="AJ110" s="583">
        <v>0</v>
      </c>
      <c r="AK110" s="583">
        <v>204799</v>
      </c>
      <c r="AL110" s="583">
        <v>20830</v>
      </c>
      <c r="AM110" s="583">
        <v>354007</v>
      </c>
      <c r="AN110" s="583">
        <v>34368</v>
      </c>
      <c r="AO110" s="583">
        <v>-20830</v>
      </c>
      <c r="AP110" s="583">
        <v>0</v>
      </c>
      <c r="AQ110" s="583">
        <v>367545</v>
      </c>
      <c r="AR110" s="583">
        <v>0</v>
      </c>
      <c r="AS110" s="583">
        <v>116934</v>
      </c>
      <c r="AT110" s="583">
        <v>0</v>
      </c>
      <c r="AU110" s="583">
        <v>81984</v>
      </c>
      <c r="AV110" s="583">
        <v>0</v>
      </c>
      <c r="AW110" s="583">
        <v>198918</v>
      </c>
      <c r="AX110" s="583">
        <v>81984</v>
      </c>
      <c r="AY110" s="583">
        <v>226368</v>
      </c>
      <c r="AZ110" s="583">
        <v>8425</v>
      </c>
      <c r="BA110" s="583">
        <v>0</v>
      </c>
      <c r="BB110" s="583">
        <v>0</v>
      </c>
      <c r="BC110" s="583">
        <v>234793</v>
      </c>
      <c r="BD110" s="583">
        <v>81984</v>
      </c>
      <c r="BE110" s="583">
        <v>477628</v>
      </c>
      <c r="BF110" s="583">
        <v>0</v>
      </c>
      <c r="BG110" s="583">
        <v>-81984</v>
      </c>
      <c r="BH110" s="583">
        <v>0</v>
      </c>
      <c r="BI110" s="583">
        <v>395644</v>
      </c>
      <c r="BJ110" s="583">
        <v>0</v>
      </c>
      <c r="BK110" s="583">
        <v>177268</v>
      </c>
      <c r="BL110" s="583">
        <v>0</v>
      </c>
      <c r="BM110" s="583">
        <v>21650</v>
      </c>
      <c r="BN110" s="583">
        <v>0</v>
      </c>
      <c r="BO110" s="583">
        <v>198918</v>
      </c>
      <c r="BP110" s="583">
        <v>21650</v>
      </c>
      <c r="BQ110" s="583">
        <v>339695</v>
      </c>
      <c r="BR110" s="583">
        <v>55374</v>
      </c>
      <c r="BS110" s="583">
        <v>-21650</v>
      </c>
      <c r="BT110" s="583">
        <v>0</v>
      </c>
      <c r="BU110" s="583">
        <v>373419</v>
      </c>
      <c r="BV110" s="583">
        <v>0</v>
      </c>
    </row>
    <row r="111" spans="1:74" x14ac:dyDescent="0.2">
      <c r="A111" s="580">
        <v>6306</v>
      </c>
      <c r="B111" s="580" t="s">
        <v>139</v>
      </c>
      <c r="C111" s="583">
        <v>80222</v>
      </c>
      <c r="D111" s="583">
        <v>0</v>
      </c>
      <c r="E111" s="583">
        <v>47033</v>
      </c>
      <c r="F111" s="583">
        <v>0</v>
      </c>
      <c r="G111" s="583">
        <v>127255</v>
      </c>
      <c r="H111" s="583">
        <v>47033</v>
      </c>
      <c r="I111" s="583">
        <v>42659</v>
      </c>
      <c r="J111" s="583">
        <v>0</v>
      </c>
      <c r="K111" s="583">
        <v>84596</v>
      </c>
      <c r="L111" s="583">
        <v>0</v>
      </c>
      <c r="M111" s="583">
        <v>127255</v>
      </c>
      <c r="N111" s="583">
        <v>131629</v>
      </c>
      <c r="O111" s="583">
        <v>121698</v>
      </c>
      <c r="P111" s="583">
        <v>0</v>
      </c>
      <c r="Q111" s="583">
        <v>0</v>
      </c>
      <c r="R111" s="583">
        <v>0</v>
      </c>
      <c r="S111" s="583">
        <v>121698</v>
      </c>
      <c r="T111" s="583">
        <v>131629</v>
      </c>
      <c r="U111" s="583">
        <v>64620</v>
      </c>
      <c r="V111" s="583">
        <v>0</v>
      </c>
      <c r="W111" s="583">
        <v>62635</v>
      </c>
      <c r="X111" s="583">
        <v>0</v>
      </c>
      <c r="Y111" s="583">
        <v>127255</v>
      </c>
      <c r="Z111" s="583">
        <v>194264</v>
      </c>
      <c r="AA111" s="583">
        <v>562311</v>
      </c>
      <c r="AB111" s="583">
        <v>5190</v>
      </c>
      <c r="AC111" s="583">
        <v>-194264</v>
      </c>
      <c r="AD111" s="583">
        <v>0</v>
      </c>
      <c r="AE111" s="583">
        <v>373237</v>
      </c>
      <c r="AF111" s="583">
        <v>0</v>
      </c>
      <c r="AG111" s="583">
        <v>111380</v>
      </c>
      <c r="AH111" s="583">
        <v>3678</v>
      </c>
      <c r="AI111" s="583">
        <v>15875</v>
      </c>
      <c r="AJ111" s="583">
        <v>0</v>
      </c>
      <c r="AK111" s="583">
        <v>130933</v>
      </c>
      <c r="AL111" s="583">
        <v>15875</v>
      </c>
      <c r="AM111" s="583">
        <v>221403</v>
      </c>
      <c r="AN111" s="583">
        <v>21494</v>
      </c>
      <c r="AO111" s="583">
        <v>-15875</v>
      </c>
      <c r="AP111" s="583">
        <v>0</v>
      </c>
      <c r="AQ111" s="583">
        <v>227022</v>
      </c>
      <c r="AR111" s="583">
        <v>0</v>
      </c>
      <c r="AS111" s="583">
        <v>73133</v>
      </c>
      <c r="AT111" s="583">
        <v>0</v>
      </c>
      <c r="AU111" s="583">
        <v>54122</v>
      </c>
      <c r="AV111" s="583">
        <v>0</v>
      </c>
      <c r="AW111" s="583">
        <v>127255</v>
      </c>
      <c r="AX111" s="583">
        <v>54122</v>
      </c>
      <c r="AY111" s="583">
        <v>141575</v>
      </c>
      <c r="AZ111" s="583">
        <v>5269</v>
      </c>
      <c r="BA111" s="583">
        <v>0</v>
      </c>
      <c r="BB111" s="583">
        <v>0</v>
      </c>
      <c r="BC111" s="583">
        <v>146844</v>
      </c>
      <c r="BD111" s="583">
        <v>54122</v>
      </c>
      <c r="BE111" s="583">
        <v>298717</v>
      </c>
      <c r="BF111" s="583">
        <v>0</v>
      </c>
      <c r="BG111" s="583">
        <v>-54122</v>
      </c>
      <c r="BH111" s="583">
        <v>0</v>
      </c>
      <c r="BI111" s="583">
        <v>244595</v>
      </c>
      <c r="BJ111" s="583">
        <v>0</v>
      </c>
      <c r="BK111" s="583">
        <v>110867</v>
      </c>
      <c r="BL111" s="583">
        <v>0</v>
      </c>
      <c r="BM111" s="583">
        <v>16388</v>
      </c>
      <c r="BN111" s="583">
        <v>0</v>
      </c>
      <c r="BO111" s="583">
        <v>127255</v>
      </c>
      <c r="BP111" s="583">
        <v>16388</v>
      </c>
      <c r="BQ111" s="583">
        <v>212452</v>
      </c>
      <c r="BR111" s="583">
        <v>34632</v>
      </c>
      <c r="BS111" s="583">
        <v>-16388</v>
      </c>
      <c r="BT111" s="583">
        <v>0</v>
      </c>
      <c r="BU111" s="583">
        <v>230696</v>
      </c>
      <c r="BV111" s="583">
        <v>0</v>
      </c>
    </row>
    <row r="112" spans="1:74" x14ac:dyDescent="0.2">
      <c r="A112" s="580">
        <v>6307</v>
      </c>
      <c r="B112" s="580" t="s">
        <v>140</v>
      </c>
      <c r="C112" s="583">
        <v>79938</v>
      </c>
      <c r="D112" s="583">
        <v>0</v>
      </c>
      <c r="E112" s="583">
        <v>50613</v>
      </c>
      <c r="F112" s="583">
        <v>0</v>
      </c>
      <c r="G112" s="583">
        <v>130551</v>
      </c>
      <c r="H112" s="583">
        <v>50613</v>
      </c>
      <c r="I112" s="583">
        <v>42508</v>
      </c>
      <c r="J112" s="583">
        <v>0</v>
      </c>
      <c r="K112" s="583">
        <v>88043</v>
      </c>
      <c r="L112" s="583">
        <v>0</v>
      </c>
      <c r="M112" s="583">
        <v>130551</v>
      </c>
      <c r="N112" s="583">
        <v>138656</v>
      </c>
      <c r="O112" s="583">
        <v>121266</v>
      </c>
      <c r="P112" s="583">
        <v>0</v>
      </c>
      <c r="Q112" s="583">
        <v>0</v>
      </c>
      <c r="R112" s="583">
        <v>0</v>
      </c>
      <c r="S112" s="583">
        <v>121266</v>
      </c>
      <c r="T112" s="583">
        <v>138656</v>
      </c>
      <c r="U112" s="583">
        <v>64390</v>
      </c>
      <c r="V112" s="583">
        <v>0</v>
      </c>
      <c r="W112" s="583">
        <v>66161</v>
      </c>
      <c r="X112" s="583">
        <v>0</v>
      </c>
      <c r="Y112" s="583">
        <v>130551</v>
      </c>
      <c r="Z112" s="583">
        <v>204817</v>
      </c>
      <c r="AA112" s="583">
        <v>560317</v>
      </c>
      <c r="AB112" s="583">
        <v>5172</v>
      </c>
      <c r="AC112" s="583">
        <v>-204817</v>
      </c>
      <c r="AD112" s="583">
        <v>0</v>
      </c>
      <c r="AE112" s="583">
        <v>360672</v>
      </c>
      <c r="AF112" s="583">
        <v>0</v>
      </c>
      <c r="AG112" s="583">
        <v>110984</v>
      </c>
      <c r="AH112" s="583">
        <v>3665</v>
      </c>
      <c r="AI112" s="583">
        <v>19567</v>
      </c>
      <c r="AJ112" s="583">
        <v>0</v>
      </c>
      <c r="AK112" s="583">
        <v>134216</v>
      </c>
      <c r="AL112" s="583">
        <v>19567</v>
      </c>
      <c r="AM112" s="583">
        <v>220617</v>
      </c>
      <c r="AN112" s="583">
        <v>21418</v>
      </c>
      <c r="AO112" s="583">
        <v>-19567</v>
      </c>
      <c r="AP112" s="583">
        <v>0</v>
      </c>
      <c r="AQ112" s="583">
        <v>222468</v>
      </c>
      <c r="AR112" s="583">
        <v>0</v>
      </c>
      <c r="AS112" s="583">
        <v>72873</v>
      </c>
      <c r="AT112" s="583">
        <v>0</v>
      </c>
      <c r="AU112" s="583">
        <v>57678</v>
      </c>
      <c r="AV112" s="583">
        <v>0</v>
      </c>
      <c r="AW112" s="583">
        <v>130551</v>
      </c>
      <c r="AX112" s="583">
        <v>57678</v>
      </c>
      <c r="AY112" s="583">
        <v>141073</v>
      </c>
      <c r="AZ112" s="583">
        <v>5251</v>
      </c>
      <c r="BA112" s="583">
        <v>0</v>
      </c>
      <c r="BB112" s="583">
        <v>0</v>
      </c>
      <c r="BC112" s="583">
        <v>146324</v>
      </c>
      <c r="BD112" s="583">
        <v>57678</v>
      </c>
      <c r="BE112" s="583">
        <v>297658</v>
      </c>
      <c r="BF112" s="583">
        <v>0</v>
      </c>
      <c r="BG112" s="583">
        <v>-57678</v>
      </c>
      <c r="BH112" s="583">
        <v>0</v>
      </c>
      <c r="BI112" s="583">
        <v>239980</v>
      </c>
      <c r="BJ112" s="583">
        <v>0</v>
      </c>
      <c r="BK112" s="583">
        <v>110474</v>
      </c>
      <c r="BL112" s="583">
        <v>0</v>
      </c>
      <c r="BM112" s="583">
        <v>20077</v>
      </c>
      <c r="BN112" s="583">
        <v>0</v>
      </c>
      <c r="BO112" s="583">
        <v>130551</v>
      </c>
      <c r="BP112" s="583">
        <v>20077</v>
      </c>
      <c r="BQ112" s="583">
        <v>211698</v>
      </c>
      <c r="BR112" s="583">
        <v>34509</v>
      </c>
      <c r="BS112" s="583">
        <v>-20077</v>
      </c>
      <c r="BT112" s="583">
        <v>0</v>
      </c>
      <c r="BU112" s="583">
        <v>226130</v>
      </c>
      <c r="BV112" s="583">
        <v>0</v>
      </c>
    </row>
    <row r="113" spans="1:74" x14ac:dyDescent="0.2">
      <c r="A113" s="580">
        <v>6308</v>
      </c>
      <c r="B113" s="580" t="s">
        <v>136</v>
      </c>
      <c r="C113" s="583">
        <v>91293</v>
      </c>
      <c r="D113" s="583">
        <v>0</v>
      </c>
      <c r="E113" s="583">
        <v>48435</v>
      </c>
      <c r="F113" s="583">
        <v>0</v>
      </c>
      <c r="G113" s="583">
        <v>139728</v>
      </c>
      <c r="H113" s="583">
        <v>48435</v>
      </c>
      <c r="I113" s="583">
        <v>48546</v>
      </c>
      <c r="J113" s="583">
        <v>0</v>
      </c>
      <c r="K113" s="583">
        <v>91182</v>
      </c>
      <c r="L113" s="583">
        <v>0</v>
      </c>
      <c r="M113" s="583">
        <v>139728</v>
      </c>
      <c r="N113" s="583">
        <v>139617</v>
      </c>
      <c r="O113" s="583">
        <v>138492</v>
      </c>
      <c r="P113" s="583">
        <v>0</v>
      </c>
      <c r="Q113" s="583">
        <v>0</v>
      </c>
      <c r="R113" s="583">
        <v>0</v>
      </c>
      <c r="S113" s="583">
        <v>138492</v>
      </c>
      <c r="T113" s="583">
        <v>139617</v>
      </c>
      <c r="U113" s="583">
        <v>73537</v>
      </c>
      <c r="V113" s="583">
        <v>0</v>
      </c>
      <c r="W113" s="583">
        <v>66191</v>
      </c>
      <c r="X113" s="583">
        <v>0</v>
      </c>
      <c r="Y113" s="583">
        <v>139728</v>
      </c>
      <c r="Z113" s="583">
        <v>205808</v>
      </c>
      <c r="AA113" s="583">
        <v>639909</v>
      </c>
      <c r="AB113" s="583">
        <v>5906</v>
      </c>
      <c r="AC113" s="583">
        <v>-205808</v>
      </c>
      <c r="AD113" s="583">
        <v>0</v>
      </c>
      <c r="AE113" s="583">
        <v>440007</v>
      </c>
      <c r="AF113" s="583">
        <v>0</v>
      </c>
      <c r="AG113" s="583">
        <v>126750</v>
      </c>
      <c r="AH113" s="583">
        <v>4186</v>
      </c>
      <c r="AI113" s="583">
        <v>12978</v>
      </c>
      <c r="AJ113" s="583">
        <v>0</v>
      </c>
      <c r="AK113" s="583">
        <v>143914</v>
      </c>
      <c r="AL113" s="583">
        <v>12978</v>
      </c>
      <c r="AM113" s="583">
        <v>251956</v>
      </c>
      <c r="AN113" s="583">
        <v>24460</v>
      </c>
      <c r="AO113" s="583">
        <v>-12978</v>
      </c>
      <c r="AP113" s="583">
        <v>0</v>
      </c>
      <c r="AQ113" s="583">
        <v>263438</v>
      </c>
      <c r="AR113" s="583">
        <v>0</v>
      </c>
      <c r="AS113" s="583">
        <v>83225</v>
      </c>
      <c r="AT113" s="583">
        <v>0</v>
      </c>
      <c r="AU113" s="583">
        <v>56503</v>
      </c>
      <c r="AV113" s="583">
        <v>0</v>
      </c>
      <c r="AW113" s="583">
        <v>139728</v>
      </c>
      <c r="AX113" s="583">
        <v>56503</v>
      </c>
      <c r="AY113" s="583">
        <v>161112</v>
      </c>
      <c r="AZ113" s="583">
        <v>5996</v>
      </c>
      <c r="BA113" s="583">
        <v>0</v>
      </c>
      <c r="BB113" s="583">
        <v>0</v>
      </c>
      <c r="BC113" s="583">
        <v>167108</v>
      </c>
      <c r="BD113" s="583">
        <v>56503</v>
      </c>
      <c r="BE113" s="583">
        <v>339940</v>
      </c>
      <c r="BF113" s="583">
        <v>0</v>
      </c>
      <c r="BG113" s="583">
        <v>-56503</v>
      </c>
      <c r="BH113" s="583">
        <v>0</v>
      </c>
      <c r="BI113" s="583">
        <v>283437</v>
      </c>
      <c r="BJ113" s="583">
        <v>0</v>
      </c>
      <c r="BK113" s="583">
        <v>126166</v>
      </c>
      <c r="BL113" s="583">
        <v>0</v>
      </c>
      <c r="BM113" s="583">
        <v>13562</v>
      </c>
      <c r="BN113" s="583">
        <v>0</v>
      </c>
      <c r="BO113" s="583">
        <v>139728</v>
      </c>
      <c r="BP113" s="583">
        <v>13562</v>
      </c>
      <c r="BQ113" s="583">
        <v>241769</v>
      </c>
      <c r="BR113" s="583">
        <v>39411</v>
      </c>
      <c r="BS113" s="583">
        <v>-13562</v>
      </c>
      <c r="BT113" s="583">
        <v>0</v>
      </c>
      <c r="BU113" s="583">
        <v>267618</v>
      </c>
      <c r="BV113" s="583">
        <v>0</v>
      </c>
    </row>
    <row r="114" spans="1:74" x14ac:dyDescent="0.2">
      <c r="A114" s="580">
        <v>6309</v>
      </c>
      <c r="B114" s="580" t="s">
        <v>141</v>
      </c>
      <c r="C114" s="583">
        <v>65055</v>
      </c>
      <c r="D114" s="583">
        <v>0</v>
      </c>
      <c r="E114" s="583">
        <v>38808</v>
      </c>
      <c r="F114" s="583">
        <v>0</v>
      </c>
      <c r="G114" s="583">
        <v>103863</v>
      </c>
      <c r="H114" s="583">
        <v>38808</v>
      </c>
      <c r="I114" s="583">
        <v>34594</v>
      </c>
      <c r="J114" s="583">
        <v>0</v>
      </c>
      <c r="K114" s="583">
        <v>69269</v>
      </c>
      <c r="L114" s="583">
        <v>0</v>
      </c>
      <c r="M114" s="583">
        <v>103863</v>
      </c>
      <c r="N114" s="583">
        <v>108077</v>
      </c>
      <c r="O114" s="583">
        <v>98689</v>
      </c>
      <c r="P114" s="583">
        <v>0</v>
      </c>
      <c r="Q114" s="583">
        <v>0</v>
      </c>
      <c r="R114" s="583">
        <v>0</v>
      </c>
      <c r="S114" s="583">
        <v>98689</v>
      </c>
      <c r="T114" s="583">
        <v>108077</v>
      </c>
      <c r="U114" s="583">
        <v>52402</v>
      </c>
      <c r="V114" s="583">
        <v>0</v>
      </c>
      <c r="W114" s="583">
        <v>51461</v>
      </c>
      <c r="X114" s="583">
        <v>0</v>
      </c>
      <c r="Y114" s="583">
        <v>103863</v>
      </c>
      <c r="Z114" s="583">
        <v>159538</v>
      </c>
      <c r="AA114" s="583">
        <v>455996</v>
      </c>
      <c r="AB114" s="583">
        <v>4209</v>
      </c>
      <c r="AC114" s="583">
        <v>-159538</v>
      </c>
      <c r="AD114" s="583">
        <v>0</v>
      </c>
      <c r="AE114" s="583">
        <v>300667</v>
      </c>
      <c r="AF114" s="583">
        <v>0</v>
      </c>
      <c r="AG114" s="583">
        <v>90321</v>
      </c>
      <c r="AH114" s="583">
        <v>2983</v>
      </c>
      <c r="AI114" s="583">
        <v>13542</v>
      </c>
      <c r="AJ114" s="583">
        <v>0</v>
      </c>
      <c r="AK114" s="583">
        <v>106846</v>
      </c>
      <c r="AL114" s="583">
        <v>13542</v>
      </c>
      <c r="AM114" s="583">
        <v>179543</v>
      </c>
      <c r="AN114" s="583">
        <v>17430</v>
      </c>
      <c r="AO114" s="583">
        <v>-13542</v>
      </c>
      <c r="AP114" s="583">
        <v>0</v>
      </c>
      <c r="AQ114" s="583">
        <v>183431</v>
      </c>
      <c r="AR114" s="583">
        <v>0</v>
      </c>
      <c r="AS114" s="583">
        <v>59306</v>
      </c>
      <c r="AT114" s="583">
        <v>0</v>
      </c>
      <c r="AU114" s="583">
        <v>44557</v>
      </c>
      <c r="AV114" s="583">
        <v>0</v>
      </c>
      <c r="AW114" s="583">
        <v>103863</v>
      </c>
      <c r="AX114" s="583">
        <v>44557</v>
      </c>
      <c r="AY114" s="583">
        <v>114808</v>
      </c>
      <c r="AZ114" s="583">
        <v>4273</v>
      </c>
      <c r="BA114" s="583">
        <v>0</v>
      </c>
      <c r="BB114" s="583">
        <v>0</v>
      </c>
      <c r="BC114" s="583">
        <v>119081</v>
      </c>
      <c r="BD114" s="583">
        <v>44557</v>
      </c>
      <c r="BE114" s="583">
        <v>242240</v>
      </c>
      <c r="BF114" s="583">
        <v>0</v>
      </c>
      <c r="BG114" s="583">
        <v>-44557</v>
      </c>
      <c r="BH114" s="583">
        <v>0</v>
      </c>
      <c r="BI114" s="583">
        <v>197683</v>
      </c>
      <c r="BJ114" s="583">
        <v>0</v>
      </c>
      <c r="BK114" s="583">
        <v>89905</v>
      </c>
      <c r="BL114" s="583">
        <v>0</v>
      </c>
      <c r="BM114" s="583">
        <v>13958</v>
      </c>
      <c r="BN114" s="583">
        <v>0</v>
      </c>
      <c r="BO114" s="583">
        <v>103863</v>
      </c>
      <c r="BP114" s="583">
        <v>13958</v>
      </c>
      <c r="BQ114" s="583">
        <v>172284</v>
      </c>
      <c r="BR114" s="583">
        <v>28084</v>
      </c>
      <c r="BS114" s="583">
        <v>-13958</v>
      </c>
      <c r="BT114" s="583">
        <v>0</v>
      </c>
      <c r="BU114" s="583">
        <v>186410</v>
      </c>
      <c r="BV114" s="583">
        <v>0</v>
      </c>
    </row>
    <row r="115" spans="1:74" x14ac:dyDescent="0.2">
      <c r="A115" s="580">
        <v>6310</v>
      </c>
      <c r="B115" s="580" t="s">
        <v>137</v>
      </c>
      <c r="C115" s="583">
        <v>189094</v>
      </c>
      <c r="D115" s="583">
        <v>0</v>
      </c>
      <c r="E115" s="583">
        <v>111373</v>
      </c>
      <c r="F115" s="583">
        <v>0</v>
      </c>
      <c r="G115" s="583">
        <v>300467</v>
      </c>
      <c r="H115" s="583">
        <v>111373</v>
      </c>
      <c r="I115" s="583">
        <v>100554</v>
      </c>
      <c r="J115" s="583">
        <v>0</v>
      </c>
      <c r="K115" s="583">
        <v>199913</v>
      </c>
      <c r="L115" s="583">
        <v>0</v>
      </c>
      <c r="M115" s="583">
        <v>300467</v>
      </c>
      <c r="N115" s="583">
        <v>311286</v>
      </c>
      <c r="O115" s="583">
        <v>286857</v>
      </c>
      <c r="P115" s="583">
        <v>0</v>
      </c>
      <c r="Q115" s="583">
        <v>0</v>
      </c>
      <c r="R115" s="583">
        <v>0</v>
      </c>
      <c r="S115" s="583">
        <v>286857</v>
      </c>
      <c r="T115" s="583">
        <v>311286</v>
      </c>
      <c r="U115" s="583">
        <v>152317</v>
      </c>
      <c r="V115" s="583">
        <v>0</v>
      </c>
      <c r="W115" s="583">
        <v>148150</v>
      </c>
      <c r="X115" s="583">
        <v>0</v>
      </c>
      <c r="Y115" s="583">
        <v>300467</v>
      </c>
      <c r="Z115" s="583">
        <v>459436</v>
      </c>
      <c r="AA115" s="583">
        <v>1325441</v>
      </c>
      <c r="AB115" s="583">
        <v>12233</v>
      </c>
      <c r="AC115" s="583">
        <v>-459436</v>
      </c>
      <c r="AD115" s="583">
        <v>0</v>
      </c>
      <c r="AE115" s="583">
        <v>878238</v>
      </c>
      <c r="AF115" s="583">
        <v>0</v>
      </c>
      <c r="AG115" s="583">
        <v>262536</v>
      </c>
      <c r="AH115" s="583">
        <v>8670</v>
      </c>
      <c r="AI115" s="583">
        <v>37931</v>
      </c>
      <c r="AJ115" s="583">
        <v>0</v>
      </c>
      <c r="AK115" s="583">
        <v>309137</v>
      </c>
      <c r="AL115" s="583">
        <v>37931</v>
      </c>
      <c r="AM115" s="583">
        <v>521875</v>
      </c>
      <c r="AN115" s="583">
        <v>50665</v>
      </c>
      <c r="AO115" s="583">
        <v>-37931</v>
      </c>
      <c r="AP115" s="583">
        <v>0</v>
      </c>
      <c r="AQ115" s="583">
        <v>534609</v>
      </c>
      <c r="AR115" s="583">
        <v>0</v>
      </c>
      <c r="AS115" s="583">
        <v>172383</v>
      </c>
      <c r="AT115" s="583">
        <v>0</v>
      </c>
      <c r="AU115" s="583">
        <v>128084</v>
      </c>
      <c r="AV115" s="583">
        <v>0</v>
      </c>
      <c r="AW115" s="583">
        <v>300467</v>
      </c>
      <c r="AX115" s="583">
        <v>128084</v>
      </c>
      <c r="AY115" s="583">
        <v>333711</v>
      </c>
      <c r="AZ115" s="583">
        <v>12420</v>
      </c>
      <c r="BA115" s="583">
        <v>0</v>
      </c>
      <c r="BB115" s="583">
        <v>0</v>
      </c>
      <c r="BC115" s="583">
        <v>346131</v>
      </c>
      <c r="BD115" s="583">
        <v>128084</v>
      </c>
      <c r="BE115" s="583">
        <v>704116</v>
      </c>
      <c r="BF115" s="583">
        <v>0</v>
      </c>
      <c r="BG115" s="583">
        <v>-128084</v>
      </c>
      <c r="BH115" s="583">
        <v>0</v>
      </c>
      <c r="BI115" s="583">
        <v>576032</v>
      </c>
      <c r="BJ115" s="583">
        <v>0</v>
      </c>
      <c r="BK115" s="583">
        <v>261328</v>
      </c>
      <c r="BL115" s="583">
        <v>0</v>
      </c>
      <c r="BM115" s="583">
        <v>39139</v>
      </c>
      <c r="BN115" s="583">
        <v>0</v>
      </c>
      <c r="BO115" s="583">
        <v>300467</v>
      </c>
      <c r="BP115" s="583">
        <v>39139</v>
      </c>
      <c r="BQ115" s="583">
        <v>500776</v>
      </c>
      <c r="BR115" s="583">
        <v>81632</v>
      </c>
      <c r="BS115" s="583">
        <v>-39139</v>
      </c>
      <c r="BT115" s="583">
        <v>0</v>
      </c>
      <c r="BU115" s="583">
        <v>543269</v>
      </c>
      <c r="BV115" s="583">
        <v>0</v>
      </c>
    </row>
    <row r="116" spans="1:74" x14ac:dyDescent="0.2">
      <c r="A116" s="580">
        <v>7101</v>
      </c>
      <c r="B116" s="580" t="s">
        <v>152</v>
      </c>
      <c r="C116" s="583">
        <v>795468</v>
      </c>
      <c r="D116" s="583">
        <v>0</v>
      </c>
      <c r="E116" s="583">
        <v>440764</v>
      </c>
      <c r="F116" s="583">
        <v>0</v>
      </c>
      <c r="G116" s="583">
        <v>1236232</v>
      </c>
      <c r="H116" s="583">
        <v>440764</v>
      </c>
      <c r="I116" s="583">
        <v>423003</v>
      </c>
      <c r="J116" s="583">
        <v>0</v>
      </c>
      <c r="K116" s="583">
        <v>813229</v>
      </c>
      <c r="L116" s="583">
        <v>0</v>
      </c>
      <c r="M116" s="583">
        <v>1236232</v>
      </c>
      <c r="N116" s="583">
        <v>1253993</v>
      </c>
      <c r="O116" s="583">
        <v>1206733</v>
      </c>
      <c r="P116" s="583">
        <v>0</v>
      </c>
      <c r="Q116" s="583">
        <v>0</v>
      </c>
      <c r="R116" s="583">
        <v>0</v>
      </c>
      <c r="S116" s="583">
        <v>1206733</v>
      </c>
      <c r="T116" s="583">
        <v>1253993</v>
      </c>
      <c r="U116" s="583">
        <v>640756</v>
      </c>
      <c r="V116" s="583">
        <v>0</v>
      </c>
      <c r="W116" s="583">
        <v>595476</v>
      </c>
      <c r="X116" s="583">
        <v>0</v>
      </c>
      <c r="Y116" s="583">
        <v>1236232</v>
      </c>
      <c r="Z116" s="583">
        <v>1849469</v>
      </c>
      <c r="AA116" s="583">
        <v>5575778</v>
      </c>
      <c r="AB116" s="583">
        <v>51463</v>
      </c>
      <c r="AC116" s="583">
        <v>-1849469</v>
      </c>
      <c r="AD116" s="583">
        <v>0</v>
      </c>
      <c r="AE116" s="583">
        <v>3777772</v>
      </c>
      <c r="AF116" s="583">
        <v>0</v>
      </c>
      <c r="AG116" s="583">
        <v>1104419</v>
      </c>
      <c r="AH116" s="583">
        <v>36472</v>
      </c>
      <c r="AI116" s="583">
        <v>131813</v>
      </c>
      <c r="AJ116" s="583">
        <v>0</v>
      </c>
      <c r="AK116" s="583">
        <v>1272704</v>
      </c>
      <c r="AL116" s="583">
        <v>131813</v>
      </c>
      <c r="AM116" s="583">
        <v>2195389</v>
      </c>
      <c r="AN116" s="583">
        <v>213132</v>
      </c>
      <c r="AO116" s="583">
        <v>-131813</v>
      </c>
      <c r="AP116" s="583">
        <v>0</v>
      </c>
      <c r="AQ116" s="583">
        <v>2276708</v>
      </c>
      <c r="AR116" s="583">
        <v>0</v>
      </c>
      <c r="AS116" s="583">
        <v>725170</v>
      </c>
      <c r="AT116" s="583">
        <v>0</v>
      </c>
      <c r="AU116" s="583">
        <v>511062</v>
      </c>
      <c r="AV116" s="583">
        <v>0</v>
      </c>
      <c r="AW116" s="583">
        <v>1236232</v>
      </c>
      <c r="AX116" s="583">
        <v>511062</v>
      </c>
      <c r="AY116" s="583">
        <v>1403834</v>
      </c>
      <c r="AZ116" s="583">
        <v>52249</v>
      </c>
      <c r="BA116" s="583">
        <v>0</v>
      </c>
      <c r="BB116" s="583">
        <v>0</v>
      </c>
      <c r="BC116" s="583">
        <v>1456083</v>
      </c>
      <c r="BD116" s="583">
        <v>511062</v>
      </c>
      <c r="BE116" s="583">
        <v>2962029</v>
      </c>
      <c r="BF116" s="583">
        <v>0</v>
      </c>
      <c r="BG116" s="583">
        <v>-511062</v>
      </c>
      <c r="BH116" s="583">
        <v>0</v>
      </c>
      <c r="BI116" s="583">
        <v>2450967</v>
      </c>
      <c r="BJ116" s="583">
        <v>0</v>
      </c>
      <c r="BK116" s="583">
        <v>1099335</v>
      </c>
      <c r="BL116" s="583">
        <v>0</v>
      </c>
      <c r="BM116" s="583">
        <v>136897</v>
      </c>
      <c r="BN116" s="583">
        <v>0</v>
      </c>
      <c r="BO116" s="583">
        <v>1236232</v>
      </c>
      <c r="BP116" s="583">
        <v>136897</v>
      </c>
      <c r="BQ116" s="583">
        <v>2106631</v>
      </c>
      <c r="BR116" s="583">
        <v>343403</v>
      </c>
      <c r="BS116" s="583">
        <v>-136897</v>
      </c>
      <c r="BT116" s="583">
        <v>0</v>
      </c>
      <c r="BU116" s="583">
        <v>2313137</v>
      </c>
      <c r="BV116" s="583">
        <v>0</v>
      </c>
    </row>
    <row r="117" spans="1:74" x14ac:dyDescent="0.2">
      <c r="A117" s="580">
        <v>7102</v>
      </c>
      <c r="B117" s="580" t="s">
        <v>387</v>
      </c>
      <c r="C117" s="583">
        <v>410312</v>
      </c>
      <c r="D117" s="583">
        <v>0</v>
      </c>
      <c r="E117" s="583">
        <v>225640</v>
      </c>
      <c r="F117" s="583">
        <v>0</v>
      </c>
      <c r="G117" s="583">
        <v>635952</v>
      </c>
      <c r="H117" s="583">
        <v>225640</v>
      </c>
      <c r="I117" s="583">
        <v>218190</v>
      </c>
      <c r="J117" s="583">
        <v>0</v>
      </c>
      <c r="K117" s="583">
        <v>417762</v>
      </c>
      <c r="L117" s="583">
        <v>0</v>
      </c>
      <c r="M117" s="583">
        <v>635952</v>
      </c>
      <c r="N117" s="583">
        <v>643402</v>
      </c>
      <c r="O117" s="583">
        <v>622447</v>
      </c>
      <c r="P117" s="583">
        <v>0</v>
      </c>
      <c r="Q117" s="583">
        <v>0</v>
      </c>
      <c r="R117" s="583">
        <v>0</v>
      </c>
      <c r="S117" s="583">
        <v>622447</v>
      </c>
      <c r="T117" s="583">
        <v>643402</v>
      </c>
      <c r="U117" s="583">
        <v>330510</v>
      </c>
      <c r="V117" s="583">
        <v>0</v>
      </c>
      <c r="W117" s="583">
        <v>305442</v>
      </c>
      <c r="X117" s="583">
        <v>0</v>
      </c>
      <c r="Y117" s="583">
        <v>635952</v>
      </c>
      <c r="Z117" s="583">
        <v>948844</v>
      </c>
      <c r="AA117" s="583">
        <v>2876053</v>
      </c>
      <c r="AB117" s="583">
        <v>26545</v>
      </c>
      <c r="AC117" s="583">
        <v>-948844</v>
      </c>
      <c r="AD117" s="583">
        <v>0</v>
      </c>
      <c r="AE117" s="583">
        <v>1953754</v>
      </c>
      <c r="AF117" s="583">
        <v>0</v>
      </c>
      <c r="AG117" s="583">
        <v>569673</v>
      </c>
      <c r="AH117" s="583">
        <v>18813</v>
      </c>
      <c r="AI117" s="583">
        <v>66279</v>
      </c>
      <c r="AJ117" s="583">
        <v>0</v>
      </c>
      <c r="AK117" s="583">
        <v>654765</v>
      </c>
      <c r="AL117" s="583">
        <v>66279</v>
      </c>
      <c r="AM117" s="583">
        <v>1132408</v>
      </c>
      <c r="AN117" s="583">
        <v>109936</v>
      </c>
      <c r="AO117" s="583">
        <v>-66279</v>
      </c>
      <c r="AP117" s="583">
        <v>0</v>
      </c>
      <c r="AQ117" s="583">
        <v>1176065</v>
      </c>
      <c r="AR117" s="583">
        <v>0</v>
      </c>
      <c r="AS117" s="583">
        <v>374052</v>
      </c>
      <c r="AT117" s="583">
        <v>0</v>
      </c>
      <c r="AU117" s="583">
        <v>261900</v>
      </c>
      <c r="AV117" s="583">
        <v>0</v>
      </c>
      <c r="AW117" s="583">
        <v>635952</v>
      </c>
      <c r="AX117" s="583">
        <v>261900</v>
      </c>
      <c r="AY117" s="583">
        <v>724114</v>
      </c>
      <c r="AZ117" s="583">
        <v>26951</v>
      </c>
      <c r="BA117" s="583">
        <v>0</v>
      </c>
      <c r="BB117" s="583">
        <v>0</v>
      </c>
      <c r="BC117" s="583">
        <v>751065</v>
      </c>
      <c r="BD117" s="583">
        <v>261900</v>
      </c>
      <c r="BE117" s="583">
        <v>1527850</v>
      </c>
      <c r="BF117" s="583">
        <v>0</v>
      </c>
      <c r="BG117" s="583">
        <v>-261900</v>
      </c>
      <c r="BH117" s="583">
        <v>0</v>
      </c>
      <c r="BI117" s="583">
        <v>1265950</v>
      </c>
      <c r="BJ117" s="583">
        <v>0</v>
      </c>
      <c r="BK117" s="583">
        <v>567050</v>
      </c>
      <c r="BL117" s="583">
        <v>0</v>
      </c>
      <c r="BM117" s="583">
        <v>68902</v>
      </c>
      <c r="BN117" s="583">
        <v>0</v>
      </c>
      <c r="BO117" s="583">
        <v>635952</v>
      </c>
      <c r="BP117" s="583">
        <v>68902</v>
      </c>
      <c r="BQ117" s="583">
        <v>1086625</v>
      </c>
      <c r="BR117" s="583">
        <v>177131</v>
      </c>
      <c r="BS117" s="583">
        <v>-68902</v>
      </c>
      <c r="BT117" s="583">
        <v>0</v>
      </c>
      <c r="BU117" s="583">
        <v>1194854</v>
      </c>
      <c r="BV117" s="583">
        <v>0</v>
      </c>
    </row>
    <row r="118" spans="1:74" x14ac:dyDescent="0.2">
      <c r="A118" s="580">
        <v>7103</v>
      </c>
      <c r="B118" s="580" t="s">
        <v>157</v>
      </c>
      <c r="C118" s="583">
        <v>159048</v>
      </c>
      <c r="D118" s="583">
        <v>0</v>
      </c>
      <c r="E118" s="583">
        <v>75064</v>
      </c>
      <c r="F118" s="583">
        <v>0</v>
      </c>
      <c r="G118" s="583">
        <v>234112</v>
      </c>
      <c r="H118" s="583">
        <v>75064</v>
      </c>
      <c r="I118" s="583">
        <v>84576</v>
      </c>
      <c r="J118" s="583">
        <v>0</v>
      </c>
      <c r="K118" s="583">
        <v>149536</v>
      </c>
      <c r="L118" s="583">
        <v>0</v>
      </c>
      <c r="M118" s="583">
        <v>234112</v>
      </c>
      <c r="N118" s="583">
        <v>224600</v>
      </c>
      <c r="O118" s="583">
        <v>241277</v>
      </c>
      <c r="P118" s="583">
        <v>0</v>
      </c>
      <c r="Q118" s="583">
        <v>0</v>
      </c>
      <c r="R118" s="583">
        <v>0</v>
      </c>
      <c r="S118" s="583">
        <v>241277</v>
      </c>
      <c r="T118" s="583">
        <v>224600</v>
      </c>
      <c r="U118" s="583">
        <v>128114</v>
      </c>
      <c r="V118" s="583">
        <v>0</v>
      </c>
      <c r="W118" s="583">
        <v>105998</v>
      </c>
      <c r="X118" s="583">
        <v>0</v>
      </c>
      <c r="Y118" s="583">
        <v>234112</v>
      </c>
      <c r="Z118" s="583">
        <v>330598</v>
      </c>
      <c r="AA118" s="583">
        <v>1114833</v>
      </c>
      <c r="AB118" s="583">
        <v>10290</v>
      </c>
      <c r="AC118" s="583">
        <v>-330598</v>
      </c>
      <c r="AD118" s="583">
        <v>0</v>
      </c>
      <c r="AE118" s="583">
        <v>794525</v>
      </c>
      <c r="AF118" s="583">
        <v>0</v>
      </c>
      <c r="AG118" s="583">
        <v>220820</v>
      </c>
      <c r="AH118" s="583">
        <v>7292</v>
      </c>
      <c r="AI118" s="583">
        <v>13292</v>
      </c>
      <c r="AJ118" s="583">
        <v>0</v>
      </c>
      <c r="AK118" s="583">
        <v>241404</v>
      </c>
      <c r="AL118" s="583">
        <v>13292</v>
      </c>
      <c r="AM118" s="583">
        <v>438951</v>
      </c>
      <c r="AN118" s="583">
        <v>42614</v>
      </c>
      <c r="AO118" s="583">
        <v>-13292</v>
      </c>
      <c r="AP118" s="583">
        <v>0</v>
      </c>
      <c r="AQ118" s="583">
        <v>468273</v>
      </c>
      <c r="AR118" s="583">
        <v>0</v>
      </c>
      <c r="AS118" s="583">
        <v>144992</v>
      </c>
      <c r="AT118" s="583">
        <v>0</v>
      </c>
      <c r="AU118" s="583">
        <v>89120</v>
      </c>
      <c r="AV118" s="583">
        <v>0</v>
      </c>
      <c r="AW118" s="583">
        <v>234112</v>
      </c>
      <c r="AX118" s="583">
        <v>89120</v>
      </c>
      <c r="AY118" s="583">
        <v>280686</v>
      </c>
      <c r="AZ118" s="583">
        <v>10447</v>
      </c>
      <c r="BA118" s="583">
        <v>0</v>
      </c>
      <c r="BB118" s="583">
        <v>0</v>
      </c>
      <c r="BC118" s="583">
        <v>291133</v>
      </c>
      <c r="BD118" s="583">
        <v>89120</v>
      </c>
      <c r="BE118" s="583">
        <v>592235</v>
      </c>
      <c r="BF118" s="583">
        <v>0</v>
      </c>
      <c r="BG118" s="583">
        <v>-89120</v>
      </c>
      <c r="BH118" s="583">
        <v>0</v>
      </c>
      <c r="BI118" s="583">
        <v>503115</v>
      </c>
      <c r="BJ118" s="583">
        <v>0</v>
      </c>
      <c r="BK118" s="583">
        <v>219804</v>
      </c>
      <c r="BL118" s="583">
        <v>0</v>
      </c>
      <c r="BM118" s="583">
        <v>14308</v>
      </c>
      <c r="BN118" s="583">
        <v>0</v>
      </c>
      <c r="BO118" s="583">
        <v>234112</v>
      </c>
      <c r="BP118" s="583">
        <v>14308</v>
      </c>
      <c r="BQ118" s="583">
        <v>421204</v>
      </c>
      <c r="BR118" s="583">
        <v>68661</v>
      </c>
      <c r="BS118" s="583">
        <v>-14308</v>
      </c>
      <c r="BT118" s="583">
        <v>0</v>
      </c>
      <c r="BU118" s="583">
        <v>475557</v>
      </c>
      <c r="BV118" s="583">
        <v>0</v>
      </c>
    </row>
    <row r="119" spans="1:74" x14ac:dyDescent="0.2">
      <c r="A119" s="580">
        <v>7104</v>
      </c>
      <c r="B119" s="580" t="s">
        <v>158</v>
      </c>
      <c r="C119" s="583">
        <v>108346</v>
      </c>
      <c r="D119" s="583">
        <v>0</v>
      </c>
      <c r="E119" s="583">
        <v>57320</v>
      </c>
      <c r="F119" s="583">
        <v>0</v>
      </c>
      <c r="G119" s="583">
        <v>165666</v>
      </c>
      <c r="H119" s="583">
        <v>57320</v>
      </c>
      <c r="I119" s="583">
        <v>57615</v>
      </c>
      <c r="J119" s="583">
        <v>0</v>
      </c>
      <c r="K119" s="583">
        <v>108051</v>
      </c>
      <c r="L119" s="583">
        <v>0</v>
      </c>
      <c r="M119" s="583">
        <v>165666</v>
      </c>
      <c r="N119" s="583">
        <v>165371</v>
      </c>
      <c r="O119" s="583">
        <v>164361</v>
      </c>
      <c r="P119" s="583">
        <v>0</v>
      </c>
      <c r="Q119" s="583">
        <v>0</v>
      </c>
      <c r="R119" s="583">
        <v>0</v>
      </c>
      <c r="S119" s="583">
        <v>164361</v>
      </c>
      <c r="T119" s="583">
        <v>165371</v>
      </c>
      <c r="U119" s="583">
        <v>87273</v>
      </c>
      <c r="V119" s="583">
        <v>0</v>
      </c>
      <c r="W119" s="583">
        <v>78393</v>
      </c>
      <c r="X119" s="583">
        <v>0</v>
      </c>
      <c r="Y119" s="583">
        <v>165666</v>
      </c>
      <c r="Z119" s="583">
        <v>243764</v>
      </c>
      <c r="AA119" s="583">
        <v>759441</v>
      </c>
      <c r="AB119" s="583">
        <v>7009</v>
      </c>
      <c r="AC119" s="583">
        <v>-243764</v>
      </c>
      <c r="AD119" s="583">
        <v>0</v>
      </c>
      <c r="AE119" s="583">
        <v>522686</v>
      </c>
      <c r="AF119" s="583">
        <v>0</v>
      </c>
      <c r="AG119" s="583">
        <v>150426</v>
      </c>
      <c r="AH119" s="583">
        <v>4968</v>
      </c>
      <c r="AI119" s="583">
        <v>15240</v>
      </c>
      <c r="AJ119" s="583">
        <v>0</v>
      </c>
      <c r="AK119" s="583">
        <v>170634</v>
      </c>
      <c r="AL119" s="583">
        <v>15240</v>
      </c>
      <c r="AM119" s="583">
        <v>299020</v>
      </c>
      <c r="AN119" s="583">
        <v>29029</v>
      </c>
      <c r="AO119" s="583">
        <v>-15240</v>
      </c>
      <c r="AP119" s="583">
        <v>0</v>
      </c>
      <c r="AQ119" s="583">
        <v>312809</v>
      </c>
      <c r="AR119" s="583">
        <v>0</v>
      </c>
      <c r="AS119" s="583">
        <v>98771</v>
      </c>
      <c r="AT119" s="583">
        <v>0</v>
      </c>
      <c r="AU119" s="583">
        <v>66895</v>
      </c>
      <c r="AV119" s="583">
        <v>0</v>
      </c>
      <c r="AW119" s="583">
        <v>165666</v>
      </c>
      <c r="AX119" s="583">
        <v>66895</v>
      </c>
      <c r="AY119" s="583">
        <v>191207</v>
      </c>
      <c r="AZ119" s="583">
        <v>7117</v>
      </c>
      <c r="BA119" s="583">
        <v>0</v>
      </c>
      <c r="BB119" s="583">
        <v>0</v>
      </c>
      <c r="BC119" s="583">
        <v>198324</v>
      </c>
      <c r="BD119" s="583">
        <v>66895</v>
      </c>
      <c r="BE119" s="583">
        <v>403439</v>
      </c>
      <c r="BF119" s="583">
        <v>0</v>
      </c>
      <c r="BG119" s="583">
        <v>-66895</v>
      </c>
      <c r="BH119" s="583">
        <v>0</v>
      </c>
      <c r="BI119" s="583">
        <v>336544</v>
      </c>
      <c r="BJ119" s="583">
        <v>0</v>
      </c>
      <c r="BK119" s="583">
        <v>149734</v>
      </c>
      <c r="BL119" s="583">
        <v>0</v>
      </c>
      <c r="BM119" s="583">
        <v>15932</v>
      </c>
      <c r="BN119" s="583">
        <v>0</v>
      </c>
      <c r="BO119" s="583">
        <v>165666</v>
      </c>
      <c r="BP119" s="583">
        <v>15932</v>
      </c>
      <c r="BQ119" s="583">
        <v>286931</v>
      </c>
      <c r="BR119" s="583">
        <v>46773</v>
      </c>
      <c r="BS119" s="583">
        <v>-15932</v>
      </c>
      <c r="BT119" s="583">
        <v>0</v>
      </c>
      <c r="BU119" s="583">
        <v>317772</v>
      </c>
      <c r="BV119" s="583">
        <v>0</v>
      </c>
    </row>
    <row r="120" spans="1:74" x14ac:dyDescent="0.2">
      <c r="A120" s="580">
        <v>7105</v>
      </c>
      <c r="B120" s="580" t="s">
        <v>156</v>
      </c>
      <c r="C120" s="583">
        <v>362703</v>
      </c>
      <c r="D120" s="583">
        <v>0</v>
      </c>
      <c r="E120" s="583">
        <v>192081</v>
      </c>
      <c r="F120" s="583">
        <v>0</v>
      </c>
      <c r="G120" s="583">
        <v>554784</v>
      </c>
      <c r="H120" s="583">
        <v>192081</v>
      </c>
      <c r="I120" s="583">
        <v>192873</v>
      </c>
      <c r="J120" s="583">
        <v>0</v>
      </c>
      <c r="K120" s="583">
        <v>361911</v>
      </c>
      <c r="L120" s="583">
        <v>0</v>
      </c>
      <c r="M120" s="583">
        <v>554784</v>
      </c>
      <c r="N120" s="583">
        <v>553992</v>
      </c>
      <c r="O120" s="583">
        <v>550224</v>
      </c>
      <c r="P120" s="583">
        <v>0</v>
      </c>
      <c r="Q120" s="583">
        <v>0</v>
      </c>
      <c r="R120" s="583">
        <v>0</v>
      </c>
      <c r="S120" s="583">
        <v>550224</v>
      </c>
      <c r="T120" s="583">
        <v>553992</v>
      </c>
      <c r="U120" s="583">
        <v>292160</v>
      </c>
      <c r="V120" s="583">
        <v>0</v>
      </c>
      <c r="W120" s="583">
        <v>262624</v>
      </c>
      <c r="X120" s="583">
        <v>0</v>
      </c>
      <c r="Y120" s="583">
        <v>554784</v>
      </c>
      <c r="Z120" s="583">
        <v>816616</v>
      </c>
      <c r="AA120" s="583">
        <v>2542341</v>
      </c>
      <c r="AB120" s="583">
        <v>23465</v>
      </c>
      <c r="AC120" s="583">
        <v>-816616</v>
      </c>
      <c r="AD120" s="583">
        <v>0</v>
      </c>
      <c r="AE120" s="583">
        <v>1749190</v>
      </c>
      <c r="AF120" s="583">
        <v>0</v>
      </c>
      <c r="AG120" s="583">
        <v>503573</v>
      </c>
      <c r="AH120" s="583">
        <v>16630</v>
      </c>
      <c r="AI120" s="583">
        <v>51211</v>
      </c>
      <c r="AJ120" s="583">
        <v>0</v>
      </c>
      <c r="AK120" s="583">
        <v>571414</v>
      </c>
      <c r="AL120" s="583">
        <v>51211</v>
      </c>
      <c r="AM120" s="583">
        <v>1001013</v>
      </c>
      <c r="AN120" s="583">
        <v>97180</v>
      </c>
      <c r="AO120" s="583">
        <v>-51211</v>
      </c>
      <c r="AP120" s="583">
        <v>0</v>
      </c>
      <c r="AQ120" s="583">
        <v>1046982</v>
      </c>
      <c r="AR120" s="583">
        <v>0</v>
      </c>
      <c r="AS120" s="583">
        <v>330650</v>
      </c>
      <c r="AT120" s="583">
        <v>0</v>
      </c>
      <c r="AU120" s="583">
        <v>224134</v>
      </c>
      <c r="AV120" s="583">
        <v>0</v>
      </c>
      <c r="AW120" s="583">
        <v>554784</v>
      </c>
      <c r="AX120" s="583">
        <v>224134</v>
      </c>
      <c r="AY120" s="583">
        <v>640094</v>
      </c>
      <c r="AZ120" s="583">
        <v>23824</v>
      </c>
      <c r="BA120" s="583">
        <v>0</v>
      </c>
      <c r="BB120" s="583">
        <v>0</v>
      </c>
      <c r="BC120" s="583">
        <v>663918</v>
      </c>
      <c r="BD120" s="583">
        <v>224134</v>
      </c>
      <c r="BE120" s="583">
        <v>1350571</v>
      </c>
      <c r="BF120" s="583">
        <v>0</v>
      </c>
      <c r="BG120" s="583">
        <v>-224134</v>
      </c>
      <c r="BH120" s="583">
        <v>0</v>
      </c>
      <c r="BI120" s="583">
        <v>1126437</v>
      </c>
      <c r="BJ120" s="583">
        <v>0</v>
      </c>
      <c r="BK120" s="583">
        <v>501255</v>
      </c>
      <c r="BL120" s="583">
        <v>0</v>
      </c>
      <c r="BM120" s="583">
        <v>53529</v>
      </c>
      <c r="BN120" s="583">
        <v>0</v>
      </c>
      <c r="BO120" s="583">
        <v>554784</v>
      </c>
      <c r="BP120" s="583">
        <v>53529</v>
      </c>
      <c r="BQ120" s="583">
        <v>960543</v>
      </c>
      <c r="BR120" s="583">
        <v>156578</v>
      </c>
      <c r="BS120" s="583">
        <v>-53529</v>
      </c>
      <c r="BT120" s="583">
        <v>0</v>
      </c>
      <c r="BU120" s="583">
        <v>1063592</v>
      </c>
      <c r="BV120" s="583">
        <v>0</v>
      </c>
    </row>
    <row r="121" spans="1:74" x14ac:dyDescent="0.2">
      <c r="A121" s="580">
        <v>7106</v>
      </c>
      <c r="B121" s="580" t="s">
        <v>154</v>
      </c>
      <c r="C121" s="583">
        <v>80099</v>
      </c>
      <c r="D121" s="583">
        <v>0</v>
      </c>
      <c r="E121" s="583">
        <v>47500</v>
      </c>
      <c r="F121" s="583">
        <v>0</v>
      </c>
      <c r="G121" s="583">
        <v>127599</v>
      </c>
      <c r="H121" s="583">
        <v>47500</v>
      </c>
      <c r="I121" s="583">
        <v>42594</v>
      </c>
      <c r="J121" s="583">
        <v>0</v>
      </c>
      <c r="K121" s="583">
        <v>85005</v>
      </c>
      <c r="L121" s="583">
        <v>0</v>
      </c>
      <c r="M121" s="583">
        <v>127599</v>
      </c>
      <c r="N121" s="583">
        <v>132505</v>
      </c>
      <c r="O121" s="583">
        <v>121512</v>
      </c>
      <c r="P121" s="583">
        <v>0</v>
      </c>
      <c r="Q121" s="583">
        <v>0</v>
      </c>
      <c r="R121" s="583">
        <v>0</v>
      </c>
      <c r="S121" s="583">
        <v>121512</v>
      </c>
      <c r="T121" s="583">
        <v>132505</v>
      </c>
      <c r="U121" s="583">
        <v>64521</v>
      </c>
      <c r="V121" s="583">
        <v>0</v>
      </c>
      <c r="W121" s="583">
        <v>63078</v>
      </c>
      <c r="X121" s="583">
        <v>0</v>
      </c>
      <c r="Y121" s="583">
        <v>127599</v>
      </c>
      <c r="Z121" s="583">
        <v>195583</v>
      </c>
      <c r="AA121" s="583">
        <v>561452</v>
      </c>
      <c r="AB121" s="583">
        <v>5182</v>
      </c>
      <c r="AC121" s="583">
        <v>-195583</v>
      </c>
      <c r="AD121" s="583">
        <v>0</v>
      </c>
      <c r="AE121" s="583">
        <v>371051</v>
      </c>
      <c r="AF121" s="583">
        <v>0</v>
      </c>
      <c r="AG121" s="583">
        <v>111209</v>
      </c>
      <c r="AH121" s="583">
        <v>3673</v>
      </c>
      <c r="AI121" s="583">
        <v>16390</v>
      </c>
      <c r="AJ121" s="583">
        <v>0</v>
      </c>
      <c r="AK121" s="583">
        <v>131272</v>
      </c>
      <c r="AL121" s="583">
        <v>16390</v>
      </c>
      <c r="AM121" s="583">
        <v>221064</v>
      </c>
      <c r="AN121" s="583">
        <v>21461</v>
      </c>
      <c r="AO121" s="583">
        <v>-16390</v>
      </c>
      <c r="AP121" s="583">
        <v>0</v>
      </c>
      <c r="AQ121" s="583">
        <v>226135</v>
      </c>
      <c r="AR121" s="583">
        <v>0</v>
      </c>
      <c r="AS121" s="583">
        <v>73021</v>
      </c>
      <c r="AT121" s="583">
        <v>0</v>
      </c>
      <c r="AU121" s="583">
        <v>54578</v>
      </c>
      <c r="AV121" s="583">
        <v>0</v>
      </c>
      <c r="AW121" s="583">
        <v>127599</v>
      </c>
      <c r="AX121" s="583">
        <v>54578</v>
      </c>
      <c r="AY121" s="583">
        <v>141359</v>
      </c>
      <c r="AZ121" s="583">
        <v>5261</v>
      </c>
      <c r="BA121" s="583">
        <v>0</v>
      </c>
      <c r="BB121" s="583">
        <v>0</v>
      </c>
      <c r="BC121" s="583">
        <v>146620</v>
      </c>
      <c r="BD121" s="583">
        <v>54578</v>
      </c>
      <c r="BE121" s="583">
        <v>298261</v>
      </c>
      <c r="BF121" s="583">
        <v>0</v>
      </c>
      <c r="BG121" s="583">
        <v>-54578</v>
      </c>
      <c r="BH121" s="583">
        <v>0</v>
      </c>
      <c r="BI121" s="583">
        <v>243683</v>
      </c>
      <c r="BJ121" s="583">
        <v>0</v>
      </c>
      <c r="BK121" s="583">
        <v>110697</v>
      </c>
      <c r="BL121" s="583">
        <v>0</v>
      </c>
      <c r="BM121" s="583">
        <v>16902</v>
      </c>
      <c r="BN121" s="583">
        <v>0</v>
      </c>
      <c r="BO121" s="583">
        <v>127599</v>
      </c>
      <c r="BP121" s="583">
        <v>16902</v>
      </c>
      <c r="BQ121" s="583">
        <v>212127</v>
      </c>
      <c r="BR121" s="583">
        <v>34579</v>
      </c>
      <c r="BS121" s="583">
        <v>-16902</v>
      </c>
      <c r="BT121" s="583">
        <v>0</v>
      </c>
      <c r="BU121" s="583">
        <v>229804</v>
      </c>
      <c r="BV121" s="583">
        <v>0</v>
      </c>
    </row>
    <row r="122" spans="1:74" x14ac:dyDescent="0.2">
      <c r="A122" s="580">
        <v>7107</v>
      </c>
      <c r="B122" s="580" t="s">
        <v>155</v>
      </c>
      <c r="C122" s="583">
        <v>83504</v>
      </c>
      <c r="D122" s="583">
        <v>0</v>
      </c>
      <c r="E122" s="583">
        <v>48898</v>
      </c>
      <c r="F122" s="583">
        <v>0</v>
      </c>
      <c r="G122" s="583">
        <v>132402</v>
      </c>
      <c r="H122" s="583">
        <v>48898</v>
      </c>
      <c r="I122" s="583">
        <v>44405</v>
      </c>
      <c r="J122" s="583">
        <v>0</v>
      </c>
      <c r="K122" s="583">
        <v>87997</v>
      </c>
      <c r="L122" s="583">
        <v>0</v>
      </c>
      <c r="M122" s="583">
        <v>132402</v>
      </c>
      <c r="N122" s="583">
        <v>136895</v>
      </c>
      <c r="O122" s="583">
        <v>126677</v>
      </c>
      <c r="P122" s="583">
        <v>0</v>
      </c>
      <c r="Q122" s="583">
        <v>0</v>
      </c>
      <c r="R122" s="583">
        <v>0</v>
      </c>
      <c r="S122" s="583">
        <v>126677</v>
      </c>
      <c r="T122" s="583">
        <v>136895</v>
      </c>
      <c r="U122" s="583">
        <v>67264</v>
      </c>
      <c r="V122" s="583">
        <v>0</v>
      </c>
      <c r="W122" s="583">
        <v>65138</v>
      </c>
      <c r="X122" s="583">
        <v>0</v>
      </c>
      <c r="Y122" s="583">
        <v>132402</v>
      </c>
      <c r="Z122" s="583">
        <v>202033</v>
      </c>
      <c r="AA122" s="583">
        <v>585318</v>
      </c>
      <c r="AB122" s="583">
        <v>5402</v>
      </c>
      <c r="AC122" s="583">
        <v>-202033</v>
      </c>
      <c r="AD122" s="583">
        <v>0</v>
      </c>
      <c r="AE122" s="583">
        <v>388687</v>
      </c>
      <c r="AF122" s="583">
        <v>0</v>
      </c>
      <c r="AG122" s="583">
        <v>115937</v>
      </c>
      <c r="AH122" s="583">
        <v>3829</v>
      </c>
      <c r="AI122" s="583">
        <v>16465</v>
      </c>
      <c r="AJ122" s="583">
        <v>0</v>
      </c>
      <c r="AK122" s="583">
        <v>136231</v>
      </c>
      <c r="AL122" s="583">
        <v>16465</v>
      </c>
      <c r="AM122" s="583">
        <v>230461</v>
      </c>
      <c r="AN122" s="583">
        <v>22374</v>
      </c>
      <c r="AO122" s="583">
        <v>-16465</v>
      </c>
      <c r="AP122" s="583">
        <v>0</v>
      </c>
      <c r="AQ122" s="583">
        <v>236370</v>
      </c>
      <c r="AR122" s="583">
        <v>0</v>
      </c>
      <c r="AS122" s="583">
        <v>76125</v>
      </c>
      <c r="AT122" s="583">
        <v>0</v>
      </c>
      <c r="AU122" s="583">
        <v>56277</v>
      </c>
      <c r="AV122" s="583">
        <v>0</v>
      </c>
      <c r="AW122" s="583">
        <v>132402</v>
      </c>
      <c r="AX122" s="583">
        <v>56277</v>
      </c>
      <c r="AY122" s="583">
        <v>147368</v>
      </c>
      <c r="AZ122" s="583">
        <v>5485</v>
      </c>
      <c r="BA122" s="583">
        <v>0</v>
      </c>
      <c r="BB122" s="583">
        <v>0</v>
      </c>
      <c r="BC122" s="583">
        <v>152853</v>
      </c>
      <c r="BD122" s="583">
        <v>56277</v>
      </c>
      <c r="BE122" s="583">
        <v>310940</v>
      </c>
      <c r="BF122" s="583">
        <v>0</v>
      </c>
      <c r="BG122" s="583">
        <v>-56277</v>
      </c>
      <c r="BH122" s="583">
        <v>0</v>
      </c>
      <c r="BI122" s="583">
        <v>254663</v>
      </c>
      <c r="BJ122" s="583">
        <v>0</v>
      </c>
      <c r="BK122" s="583">
        <v>115403</v>
      </c>
      <c r="BL122" s="583">
        <v>0</v>
      </c>
      <c r="BM122" s="583">
        <v>16999</v>
      </c>
      <c r="BN122" s="583">
        <v>0</v>
      </c>
      <c r="BO122" s="583">
        <v>132402</v>
      </c>
      <c r="BP122" s="583">
        <v>16999</v>
      </c>
      <c r="BQ122" s="583">
        <v>221144</v>
      </c>
      <c r="BR122" s="583">
        <v>36049</v>
      </c>
      <c r="BS122" s="583">
        <v>-16999</v>
      </c>
      <c r="BT122" s="583">
        <v>0</v>
      </c>
      <c r="BU122" s="583">
        <v>240194</v>
      </c>
      <c r="BV122" s="583">
        <v>0</v>
      </c>
    </row>
    <row r="123" spans="1:74" x14ac:dyDescent="0.2">
      <c r="A123" s="580">
        <v>7108</v>
      </c>
      <c r="B123" s="580" t="s">
        <v>388</v>
      </c>
      <c r="C123" s="583">
        <v>90246</v>
      </c>
      <c r="D123" s="583">
        <v>0</v>
      </c>
      <c r="E123" s="583">
        <v>52997</v>
      </c>
      <c r="F123" s="583">
        <v>0</v>
      </c>
      <c r="G123" s="583">
        <v>143243</v>
      </c>
      <c r="H123" s="583">
        <v>52997</v>
      </c>
      <c r="I123" s="583">
        <v>47990</v>
      </c>
      <c r="J123" s="583">
        <v>0</v>
      </c>
      <c r="K123" s="583">
        <v>95253</v>
      </c>
      <c r="L123" s="583">
        <v>0</v>
      </c>
      <c r="M123" s="583">
        <v>143243</v>
      </c>
      <c r="N123" s="583">
        <v>148250</v>
      </c>
      <c r="O123" s="583">
        <v>136905</v>
      </c>
      <c r="P123" s="583">
        <v>0</v>
      </c>
      <c r="Q123" s="583">
        <v>0</v>
      </c>
      <c r="R123" s="583">
        <v>0</v>
      </c>
      <c r="S123" s="583">
        <v>136905</v>
      </c>
      <c r="T123" s="583">
        <v>148250</v>
      </c>
      <c r="U123" s="583">
        <v>72694</v>
      </c>
      <c r="V123" s="583">
        <v>0</v>
      </c>
      <c r="W123" s="583">
        <v>70549</v>
      </c>
      <c r="X123" s="583">
        <v>0</v>
      </c>
      <c r="Y123" s="583">
        <v>143243</v>
      </c>
      <c r="Z123" s="583">
        <v>218799</v>
      </c>
      <c r="AA123" s="583">
        <v>632576</v>
      </c>
      <c r="AB123" s="583">
        <v>5839</v>
      </c>
      <c r="AC123" s="583">
        <v>-218799</v>
      </c>
      <c r="AD123" s="583">
        <v>0</v>
      </c>
      <c r="AE123" s="583">
        <v>419616</v>
      </c>
      <c r="AF123" s="583">
        <v>0</v>
      </c>
      <c r="AG123" s="583">
        <v>125297</v>
      </c>
      <c r="AH123" s="583">
        <v>4138</v>
      </c>
      <c r="AI123" s="583">
        <v>17946</v>
      </c>
      <c r="AJ123" s="583">
        <v>0</v>
      </c>
      <c r="AK123" s="583">
        <v>147381</v>
      </c>
      <c r="AL123" s="583">
        <v>17946</v>
      </c>
      <c r="AM123" s="583">
        <v>249068</v>
      </c>
      <c r="AN123" s="583">
        <v>24180</v>
      </c>
      <c r="AO123" s="583">
        <v>-17946</v>
      </c>
      <c r="AP123" s="583">
        <v>0</v>
      </c>
      <c r="AQ123" s="583">
        <v>255302</v>
      </c>
      <c r="AR123" s="583">
        <v>0</v>
      </c>
      <c r="AS123" s="583">
        <v>82271</v>
      </c>
      <c r="AT123" s="583">
        <v>0</v>
      </c>
      <c r="AU123" s="583">
        <v>60972</v>
      </c>
      <c r="AV123" s="583">
        <v>0</v>
      </c>
      <c r="AW123" s="583">
        <v>143243</v>
      </c>
      <c r="AX123" s="583">
        <v>60972</v>
      </c>
      <c r="AY123" s="583">
        <v>159266</v>
      </c>
      <c r="AZ123" s="583">
        <v>5928</v>
      </c>
      <c r="BA123" s="583">
        <v>0</v>
      </c>
      <c r="BB123" s="583">
        <v>0</v>
      </c>
      <c r="BC123" s="583">
        <v>165194</v>
      </c>
      <c r="BD123" s="583">
        <v>60972</v>
      </c>
      <c r="BE123" s="583">
        <v>336044</v>
      </c>
      <c r="BF123" s="583">
        <v>0</v>
      </c>
      <c r="BG123" s="583">
        <v>-60972</v>
      </c>
      <c r="BH123" s="583">
        <v>0</v>
      </c>
      <c r="BI123" s="583">
        <v>275072</v>
      </c>
      <c r="BJ123" s="583">
        <v>0</v>
      </c>
      <c r="BK123" s="583">
        <v>124720</v>
      </c>
      <c r="BL123" s="583">
        <v>0</v>
      </c>
      <c r="BM123" s="583">
        <v>18523</v>
      </c>
      <c r="BN123" s="583">
        <v>0</v>
      </c>
      <c r="BO123" s="583">
        <v>143243</v>
      </c>
      <c r="BP123" s="583">
        <v>18523</v>
      </c>
      <c r="BQ123" s="583">
        <v>238999</v>
      </c>
      <c r="BR123" s="583">
        <v>38959</v>
      </c>
      <c r="BS123" s="583">
        <v>-18523</v>
      </c>
      <c r="BT123" s="583">
        <v>0</v>
      </c>
      <c r="BU123" s="583">
        <v>259435</v>
      </c>
      <c r="BV123" s="583">
        <v>0</v>
      </c>
    </row>
    <row r="124" spans="1:74" x14ac:dyDescent="0.2">
      <c r="A124" s="580">
        <v>7109</v>
      </c>
      <c r="B124" s="580" t="s">
        <v>153</v>
      </c>
      <c r="C124" s="583">
        <v>332614</v>
      </c>
      <c r="D124" s="583">
        <v>0</v>
      </c>
      <c r="E124" s="583">
        <v>185111</v>
      </c>
      <c r="F124" s="583">
        <v>0</v>
      </c>
      <c r="G124" s="583">
        <v>517725</v>
      </c>
      <c r="H124" s="583">
        <v>185111</v>
      </c>
      <c r="I124" s="583">
        <v>176873</v>
      </c>
      <c r="J124" s="583">
        <v>0</v>
      </c>
      <c r="K124" s="583">
        <v>340852</v>
      </c>
      <c r="L124" s="583">
        <v>0</v>
      </c>
      <c r="M124" s="583">
        <v>517725</v>
      </c>
      <c r="N124" s="583">
        <v>525963</v>
      </c>
      <c r="O124" s="583">
        <v>504579</v>
      </c>
      <c r="P124" s="583">
        <v>0</v>
      </c>
      <c r="Q124" s="583">
        <v>0</v>
      </c>
      <c r="R124" s="583">
        <v>0</v>
      </c>
      <c r="S124" s="583">
        <v>504579</v>
      </c>
      <c r="T124" s="583">
        <v>525963</v>
      </c>
      <c r="U124" s="583">
        <v>267924</v>
      </c>
      <c r="V124" s="583">
        <v>0</v>
      </c>
      <c r="W124" s="583">
        <v>249801</v>
      </c>
      <c r="X124" s="583">
        <v>0</v>
      </c>
      <c r="Y124" s="583">
        <v>517725</v>
      </c>
      <c r="Z124" s="583">
        <v>775764</v>
      </c>
      <c r="AA124" s="583">
        <v>2331437</v>
      </c>
      <c r="AB124" s="583">
        <v>21519</v>
      </c>
      <c r="AC124" s="583">
        <v>-775764</v>
      </c>
      <c r="AD124" s="583">
        <v>0</v>
      </c>
      <c r="AE124" s="583">
        <v>1577192</v>
      </c>
      <c r="AF124" s="583">
        <v>0</v>
      </c>
      <c r="AG124" s="583">
        <v>461798</v>
      </c>
      <c r="AH124" s="583">
        <v>15250</v>
      </c>
      <c r="AI124" s="583">
        <v>55927</v>
      </c>
      <c r="AJ124" s="583">
        <v>0</v>
      </c>
      <c r="AK124" s="583">
        <v>532975</v>
      </c>
      <c r="AL124" s="583">
        <v>55927</v>
      </c>
      <c r="AM124" s="583">
        <v>917972</v>
      </c>
      <c r="AN124" s="583">
        <v>89118</v>
      </c>
      <c r="AO124" s="583">
        <v>-55927</v>
      </c>
      <c r="AP124" s="583">
        <v>0</v>
      </c>
      <c r="AQ124" s="583">
        <v>951163</v>
      </c>
      <c r="AR124" s="583">
        <v>0</v>
      </c>
      <c r="AS124" s="583">
        <v>303220</v>
      </c>
      <c r="AT124" s="583">
        <v>0</v>
      </c>
      <c r="AU124" s="583">
        <v>214505</v>
      </c>
      <c r="AV124" s="583">
        <v>0</v>
      </c>
      <c r="AW124" s="583">
        <v>517725</v>
      </c>
      <c r="AX124" s="583">
        <v>214505</v>
      </c>
      <c r="AY124" s="583">
        <v>586994</v>
      </c>
      <c r="AZ124" s="583">
        <v>21847</v>
      </c>
      <c r="BA124" s="583">
        <v>0</v>
      </c>
      <c r="BB124" s="583">
        <v>0</v>
      </c>
      <c r="BC124" s="583">
        <v>608841</v>
      </c>
      <c r="BD124" s="583">
        <v>214505</v>
      </c>
      <c r="BE124" s="583">
        <v>1238533</v>
      </c>
      <c r="BF124" s="583">
        <v>0</v>
      </c>
      <c r="BG124" s="583">
        <v>-214505</v>
      </c>
      <c r="BH124" s="583">
        <v>0</v>
      </c>
      <c r="BI124" s="583">
        <v>1024028</v>
      </c>
      <c r="BJ124" s="583">
        <v>0</v>
      </c>
      <c r="BK124" s="583">
        <v>459672</v>
      </c>
      <c r="BL124" s="583">
        <v>0</v>
      </c>
      <c r="BM124" s="583">
        <v>58053</v>
      </c>
      <c r="BN124" s="583">
        <v>0</v>
      </c>
      <c r="BO124" s="583">
        <v>517725</v>
      </c>
      <c r="BP124" s="583">
        <v>58053</v>
      </c>
      <c r="BQ124" s="583">
        <v>880859</v>
      </c>
      <c r="BR124" s="583">
        <v>143589</v>
      </c>
      <c r="BS124" s="583">
        <v>-58053</v>
      </c>
      <c r="BT124" s="583">
        <v>0</v>
      </c>
      <c r="BU124" s="583">
        <v>966395</v>
      </c>
      <c r="BV124" s="583">
        <v>0</v>
      </c>
    </row>
    <row r="125" spans="1:74" x14ac:dyDescent="0.2">
      <c r="A125" s="580">
        <v>7110</v>
      </c>
      <c r="B125" s="580" t="s">
        <v>159</v>
      </c>
      <c r="C125" s="583">
        <v>110571</v>
      </c>
      <c r="D125" s="583">
        <v>0</v>
      </c>
      <c r="E125" s="583">
        <v>54213</v>
      </c>
      <c r="F125" s="583">
        <v>0</v>
      </c>
      <c r="G125" s="583">
        <v>164784</v>
      </c>
      <c r="H125" s="583">
        <v>54213</v>
      </c>
      <c r="I125" s="583">
        <v>58798</v>
      </c>
      <c r="J125" s="583">
        <v>0</v>
      </c>
      <c r="K125" s="583">
        <v>105986</v>
      </c>
      <c r="L125" s="583">
        <v>0</v>
      </c>
      <c r="M125" s="583">
        <v>164784</v>
      </c>
      <c r="N125" s="583">
        <v>160199</v>
      </c>
      <c r="O125" s="583">
        <v>167737</v>
      </c>
      <c r="P125" s="583">
        <v>0</v>
      </c>
      <c r="Q125" s="583">
        <v>0</v>
      </c>
      <c r="R125" s="583">
        <v>0</v>
      </c>
      <c r="S125" s="583">
        <v>167737</v>
      </c>
      <c r="T125" s="583">
        <v>160199</v>
      </c>
      <c r="U125" s="583">
        <v>89066</v>
      </c>
      <c r="V125" s="583">
        <v>0</v>
      </c>
      <c r="W125" s="583">
        <v>75718</v>
      </c>
      <c r="X125" s="583">
        <v>0</v>
      </c>
      <c r="Y125" s="583">
        <v>164784</v>
      </c>
      <c r="Z125" s="583">
        <v>235917</v>
      </c>
      <c r="AA125" s="583">
        <v>775036</v>
      </c>
      <c r="AB125" s="583">
        <v>7153</v>
      </c>
      <c r="AC125" s="583">
        <v>-235917</v>
      </c>
      <c r="AD125" s="583">
        <v>0</v>
      </c>
      <c r="AE125" s="583">
        <v>546272</v>
      </c>
      <c r="AF125" s="583">
        <v>0</v>
      </c>
      <c r="AG125" s="583">
        <v>153515</v>
      </c>
      <c r="AH125" s="583">
        <v>5070</v>
      </c>
      <c r="AI125" s="583">
        <v>11269</v>
      </c>
      <c r="AJ125" s="583">
        <v>0</v>
      </c>
      <c r="AK125" s="583">
        <v>169854</v>
      </c>
      <c r="AL125" s="583">
        <v>11269</v>
      </c>
      <c r="AM125" s="583">
        <v>305160</v>
      </c>
      <c r="AN125" s="583">
        <v>29626</v>
      </c>
      <c r="AO125" s="583">
        <v>-11269</v>
      </c>
      <c r="AP125" s="583">
        <v>0</v>
      </c>
      <c r="AQ125" s="583">
        <v>323517</v>
      </c>
      <c r="AR125" s="583">
        <v>0</v>
      </c>
      <c r="AS125" s="583">
        <v>100799</v>
      </c>
      <c r="AT125" s="583">
        <v>0</v>
      </c>
      <c r="AU125" s="583">
        <v>63985</v>
      </c>
      <c r="AV125" s="583">
        <v>0</v>
      </c>
      <c r="AW125" s="583">
        <v>164784</v>
      </c>
      <c r="AX125" s="583">
        <v>63985</v>
      </c>
      <c r="AY125" s="583">
        <v>195134</v>
      </c>
      <c r="AZ125" s="583">
        <v>7263</v>
      </c>
      <c r="BA125" s="583">
        <v>0</v>
      </c>
      <c r="BB125" s="583">
        <v>0</v>
      </c>
      <c r="BC125" s="583">
        <v>202397</v>
      </c>
      <c r="BD125" s="583">
        <v>63985</v>
      </c>
      <c r="BE125" s="583">
        <v>411724</v>
      </c>
      <c r="BF125" s="583">
        <v>0</v>
      </c>
      <c r="BG125" s="583">
        <v>-63985</v>
      </c>
      <c r="BH125" s="583">
        <v>0</v>
      </c>
      <c r="BI125" s="583">
        <v>347739</v>
      </c>
      <c r="BJ125" s="583">
        <v>0</v>
      </c>
      <c r="BK125" s="583">
        <v>152808</v>
      </c>
      <c r="BL125" s="583">
        <v>0</v>
      </c>
      <c r="BM125" s="583">
        <v>11976</v>
      </c>
      <c r="BN125" s="583">
        <v>0</v>
      </c>
      <c r="BO125" s="583">
        <v>164784</v>
      </c>
      <c r="BP125" s="583">
        <v>11976</v>
      </c>
      <c r="BQ125" s="583">
        <v>292823</v>
      </c>
      <c r="BR125" s="583">
        <v>47733</v>
      </c>
      <c r="BS125" s="583">
        <v>-11976</v>
      </c>
      <c r="BT125" s="583">
        <v>0</v>
      </c>
      <c r="BU125" s="583">
        <v>328580</v>
      </c>
      <c r="BV125" s="583">
        <v>0</v>
      </c>
    </row>
    <row r="126" spans="1:74" x14ac:dyDescent="0.2">
      <c r="A126" s="580">
        <v>7201</v>
      </c>
      <c r="B126" s="580" t="s">
        <v>166</v>
      </c>
      <c r="C126" s="583">
        <v>355361</v>
      </c>
      <c r="D126" s="583">
        <v>0</v>
      </c>
      <c r="E126" s="583">
        <v>194547</v>
      </c>
      <c r="F126" s="583">
        <v>0</v>
      </c>
      <c r="G126" s="583">
        <v>549908</v>
      </c>
      <c r="H126" s="583">
        <v>194547</v>
      </c>
      <c r="I126" s="583">
        <v>188969</v>
      </c>
      <c r="J126" s="583">
        <v>0</v>
      </c>
      <c r="K126" s="583">
        <v>360939</v>
      </c>
      <c r="L126" s="583">
        <v>0</v>
      </c>
      <c r="M126" s="583">
        <v>549908</v>
      </c>
      <c r="N126" s="583">
        <v>555486</v>
      </c>
      <c r="O126" s="583">
        <v>539086</v>
      </c>
      <c r="P126" s="583">
        <v>0</v>
      </c>
      <c r="Q126" s="583">
        <v>0</v>
      </c>
      <c r="R126" s="583">
        <v>0</v>
      </c>
      <c r="S126" s="583">
        <v>539086</v>
      </c>
      <c r="T126" s="583">
        <v>555486</v>
      </c>
      <c r="U126" s="583">
        <v>286246</v>
      </c>
      <c r="V126" s="583">
        <v>0</v>
      </c>
      <c r="W126" s="583">
        <v>263662</v>
      </c>
      <c r="X126" s="583">
        <v>0</v>
      </c>
      <c r="Y126" s="583">
        <v>549908</v>
      </c>
      <c r="Z126" s="583">
        <v>819148</v>
      </c>
      <c r="AA126" s="583">
        <v>2490879</v>
      </c>
      <c r="AB126" s="583">
        <v>22990</v>
      </c>
      <c r="AC126" s="583">
        <v>-819148</v>
      </c>
      <c r="AD126" s="583">
        <v>0</v>
      </c>
      <c r="AE126" s="583">
        <v>1694721</v>
      </c>
      <c r="AF126" s="583">
        <v>0</v>
      </c>
      <c r="AG126" s="583">
        <v>493380</v>
      </c>
      <c r="AH126" s="583">
        <v>16293</v>
      </c>
      <c r="AI126" s="583">
        <v>56528</v>
      </c>
      <c r="AJ126" s="583">
        <v>0</v>
      </c>
      <c r="AK126" s="583">
        <v>566201</v>
      </c>
      <c r="AL126" s="583">
        <v>56528</v>
      </c>
      <c r="AM126" s="583">
        <v>980751</v>
      </c>
      <c r="AN126" s="583">
        <v>95213</v>
      </c>
      <c r="AO126" s="583">
        <v>-56528</v>
      </c>
      <c r="AP126" s="583">
        <v>0</v>
      </c>
      <c r="AQ126" s="583">
        <v>1019436</v>
      </c>
      <c r="AR126" s="583">
        <v>0</v>
      </c>
      <c r="AS126" s="583">
        <v>323957</v>
      </c>
      <c r="AT126" s="583">
        <v>0</v>
      </c>
      <c r="AU126" s="583">
        <v>225951</v>
      </c>
      <c r="AV126" s="583">
        <v>0</v>
      </c>
      <c r="AW126" s="583">
        <v>549908</v>
      </c>
      <c r="AX126" s="583">
        <v>225951</v>
      </c>
      <c r="AY126" s="583">
        <v>627138</v>
      </c>
      <c r="AZ126" s="583">
        <v>23341</v>
      </c>
      <c r="BA126" s="583">
        <v>0</v>
      </c>
      <c r="BB126" s="583">
        <v>0</v>
      </c>
      <c r="BC126" s="583">
        <v>650479</v>
      </c>
      <c r="BD126" s="583">
        <v>225951</v>
      </c>
      <c r="BE126" s="583">
        <v>1323234</v>
      </c>
      <c r="BF126" s="583">
        <v>0</v>
      </c>
      <c r="BG126" s="583">
        <v>-225951</v>
      </c>
      <c r="BH126" s="583">
        <v>0</v>
      </c>
      <c r="BI126" s="583">
        <v>1097283</v>
      </c>
      <c r="BJ126" s="583">
        <v>0</v>
      </c>
      <c r="BK126" s="583">
        <v>491109</v>
      </c>
      <c r="BL126" s="583">
        <v>0</v>
      </c>
      <c r="BM126" s="583">
        <v>58799</v>
      </c>
      <c r="BN126" s="583">
        <v>0</v>
      </c>
      <c r="BO126" s="583">
        <v>549908</v>
      </c>
      <c r="BP126" s="583">
        <v>58799</v>
      </c>
      <c r="BQ126" s="583">
        <v>941100</v>
      </c>
      <c r="BR126" s="583">
        <v>153409</v>
      </c>
      <c r="BS126" s="583">
        <v>-58799</v>
      </c>
      <c r="BT126" s="583">
        <v>0</v>
      </c>
      <c r="BU126" s="583">
        <v>1035710</v>
      </c>
      <c r="BV126" s="583">
        <v>0</v>
      </c>
    </row>
    <row r="127" spans="1:74" x14ac:dyDescent="0.2">
      <c r="A127" s="580">
        <v>7202</v>
      </c>
      <c r="B127" s="580" t="s">
        <v>168</v>
      </c>
      <c r="C127" s="583">
        <v>145497</v>
      </c>
      <c r="D127" s="583">
        <v>0</v>
      </c>
      <c r="E127" s="583">
        <v>69810</v>
      </c>
      <c r="F127" s="583">
        <v>0</v>
      </c>
      <c r="G127" s="583">
        <v>215307</v>
      </c>
      <c r="H127" s="583">
        <v>69810</v>
      </c>
      <c r="I127" s="583">
        <v>77370</v>
      </c>
      <c r="J127" s="583">
        <v>0</v>
      </c>
      <c r="K127" s="583">
        <v>137937</v>
      </c>
      <c r="L127" s="583">
        <v>0</v>
      </c>
      <c r="M127" s="583">
        <v>215307</v>
      </c>
      <c r="N127" s="583">
        <v>207747</v>
      </c>
      <c r="O127" s="583">
        <v>220720</v>
      </c>
      <c r="P127" s="583">
        <v>0</v>
      </c>
      <c r="Q127" s="583">
        <v>0</v>
      </c>
      <c r="R127" s="583">
        <v>0</v>
      </c>
      <c r="S127" s="583">
        <v>220720</v>
      </c>
      <c r="T127" s="583">
        <v>207747</v>
      </c>
      <c r="U127" s="583">
        <v>117199</v>
      </c>
      <c r="V127" s="583">
        <v>0</v>
      </c>
      <c r="W127" s="583">
        <v>98108</v>
      </c>
      <c r="X127" s="583">
        <v>0</v>
      </c>
      <c r="Y127" s="583">
        <v>215307</v>
      </c>
      <c r="Z127" s="583">
        <v>305855</v>
      </c>
      <c r="AA127" s="583">
        <v>1019850</v>
      </c>
      <c r="AB127" s="583">
        <v>9413</v>
      </c>
      <c r="AC127" s="583">
        <v>-305855</v>
      </c>
      <c r="AD127" s="583">
        <v>0</v>
      </c>
      <c r="AE127" s="583">
        <v>723408</v>
      </c>
      <c r="AF127" s="583">
        <v>0</v>
      </c>
      <c r="AG127" s="583">
        <v>202006</v>
      </c>
      <c r="AH127" s="583">
        <v>6671</v>
      </c>
      <c r="AI127" s="583">
        <v>13301</v>
      </c>
      <c r="AJ127" s="583">
        <v>0</v>
      </c>
      <c r="AK127" s="583">
        <v>221978</v>
      </c>
      <c r="AL127" s="583">
        <v>13301</v>
      </c>
      <c r="AM127" s="583">
        <v>401553</v>
      </c>
      <c r="AN127" s="583">
        <v>38983</v>
      </c>
      <c r="AO127" s="583">
        <v>-13301</v>
      </c>
      <c r="AP127" s="583">
        <v>0</v>
      </c>
      <c r="AQ127" s="583">
        <v>427235</v>
      </c>
      <c r="AR127" s="583">
        <v>0</v>
      </c>
      <c r="AS127" s="583">
        <v>132639</v>
      </c>
      <c r="AT127" s="583">
        <v>0</v>
      </c>
      <c r="AU127" s="583">
        <v>82668</v>
      </c>
      <c r="AV127" s="583">
        <v>0</v>
      </c>
      <c r="AW127" s="583">
        <v>215307</v>
      </c>
      <c r="AX127" s="583">
        <v>82668</v>
      </c>
      <c r="AY127" s="583">
        <v>256771</v>
      </c>
      <c r="AZ127" s="583">
        <v>9557</v>
      </c>
      <c r="BA127" s="583">
        <v>0</v>
      </c>
      <c r="BB127" s="583">
        <v>0</v>
      </c>
      <c r="BC127" s="583">
        <v>266328</v>
      </c>
      <c r="BD127" s="583">
        <v>82668</v>
      </c>
      <c r="BE127" s="583">
        <v>541777</v>
      </c>
      <c r="BF127" s="583">
        <v>0</v>
      </c>
      <c r="BG127" s="583">
        <v>-82668</v>
      </c>
      <c r="BH127" s="583">
        <v>0</v>
      </c>
      <c r="BI127" s="583">
        <v>459109</v>
      </c>
      <c r="BJ127" s="583">
        <v>0</v>
      </c>
      <c r="BK127" s="583">
        <v>201076</v>
      </c>
      <c r="BL127" s="583">
        <v>0</v>
      </c>
      <c r="BM127" s="583">
        <v>14231</v>
      </c>
      <c r="BN127" s="583">
        <v>0</v>
      </c>
      <c r="BO127" s="583">
        <v>215307</v>
      </c>
      <c r="BP127" s="583">
        <v>14231</v>
      </c>
      <c r="BQ127" s="583">
        <v>385318</v>
      </c>
      <c r="BR127" s="583">
        <v>62811</v>
      </c>
      <c r="BS127" s="583">
        <v>-14231</v>
      </c>
      <c r="BT127" s="583">
        <v>0</v>
      </c>
      <c r="BU127" s="583">
        <v>433898</v>
      </c>
      <c r="BV127" s="583">
        <v>0</v>
      </c>
    </row>
    <row r="128" spans="1:74" x14ac:dyDescent="0.2">
      <c r="A128" s="580">
        <v>7203</v>
      </c>
      <c r="B128" s="580" t="s">
        <v>167</v>
      </c>
      <c r="C128" s="583">
        <v>280653</v>
      </c>
      <c r="D128" s="583">
        <v>0</v>
      </c>
      <c r="E128" s="583">
        <v>172128</v>
      </c>
      <c r="F128" s="583">
        <v>0</v>
      </c>
      <c r="G128" s="583">
        <v>452781</v>
      </c>
      <c r="H128" s="583">
        <v>172128</v>
      </c>
      <c r="I128" s="583">
        <v>149242</v>
      </c>
      <c r="J128" s="583">
        <v>0</v>
      </c>
      <c r="K128" s="583">
        <v>303539</v>
      </c>
      <c r="L128" s="583">
        <v>0</v>
      </c>
      <c r="M128" s="583">
        <v>452781</v>
      </c>
      <c r="N128" s="583">
        <v>475667</v>
      </c>
      <c r="O128" s="583">
        <v>425754</v>
      </c>
      <c r="P128" s="583">
        <v>0</v>
      </c>
      <c r="Q128" s="583">
        <v>0</v>
      </c>
      <c r="R128" s="583">
        <v>0</v>
      </c>
      <c r="S128" s="583">
        <v>425754</v>
      </c>
      <c r="T128" s="583">
        <v>475667</v>
      </c>
      <c r="U128" s="583">
        <v>226069</v>
      </c>
      <c r="V128" s="583">
        <v>0</v>
      </c>
      <c r="W128" s="583">
        <v>226712</v>
      </c>
      <c r="X128" s="583">
        <v>0</v>
      </c>
      <c r="Y128" s="583">
        <v>452781</v>
      </c>
      <c r="Z128" s="583">
        <v>702379</v>
      </c>
      <c r="AA128" s="583">
        <v>1967219</v>
      </c>
      <c r="AB128" s="583">
        <v>18157</v>
      </c>
      <c r="AC128" s="583">
        <v>-702379</v>
      </c>
      <c r="AD128" s="583">
        <v>0</v>
      </c>
      <c r="AE128" s="583">
        <v>1282997</v>
      </c>
      <c r="AF128" s="583">
        <v>0</v>
      </c>
      <c r="AG128" s="583">
        <v>389656</v>
      </c>
      <c r="AH128" s="583">
        <v>12868</v>
      </c>
      <c r="AI128" s="583">
        <v>63125</v>
      </c>
      <c r="AJ128" s="583">
        <v>0</v>
      </c>
      <c r="AK128" s="583">
        <v>465649</v>
      </c>
      <c r="AL128" s="583">
        <v>63125</v>
      </c>
      <c r="AM128" s="583">
        <v>774566</v>
      </c>
      <c r="AN128" s="583">
        <v>75196</v>
      </c>
      <c r="AO128" s="583">
        <v>-63125</v>
      </c>
      <c r="AP128" s="583">
        <v>0</v>
      </c>
      <c r="AQ128" s="583">
        <v>786637</v>
      </c>
      <c r="AR128" s="583">
        <v>0</v>
      </c>
      <c r="AS128" s="583">
        <v>255851</v>
      </c>
      <c r="AT128" s="583">
        <v>0</v>
      </c>
      <c r="AU128" s="583">
        <v>196930</v>
      </c>
      <c r="AV128" s="583">
        <v>0</v>
      </c>
      <c r="AW128" s="583">
        <v>452781</v>
      </c>
      <c r="AX128" s="583">
        <v>196930</v>
      </c>
      <c r="AY128" s="583">
        <v>495294</v>
      </c>
      <c r="AZ128" s="583">
        <v>18434</v>
      </c>
      <c r="BA128" s="583">
        <v>0</v>
      </c>
      <c r="BB128" s="583">
        <v>0</v>
      </c>
      <c r="BC128" s="583">
        <v>513728</v>
      </c>
      <c r="BD128" s="583">
        <v>196930</v>
      </c>
      <c r="BE128" s="583">
        <v>1045049</v>
      </c>
      <c r="BF128" s="583">
        <v>0</v>
      </c>
      <c r="BG128" s="583">
        <v>-196930</v>
      </c>
      <c r="BH128" s="583">
        <v>0</v>
      </c>
      <c r="BI128" s="583">
        <v>848119</v>
      </c>
      <c r="BJ128" s="583">
        <v>0</v>
      </c>
      <c r="BK128" s="583">
        <v>387862</v>
      </c>
      <c r="BL128" s="583">
        <v>0</v>
      </c>
      <c r="BM128" s="583">
        <v>64919</v>
      </c>
      <c r="BN128" s="583">
        <v>0</v>
      </c>
      <c r="BO128" s="583">
        <v>452781</v>
      </c>
      <c r="BP128" s="583">
        <v>64919</v>
      </c>
      <c r="BQ128" s="583">
        <v>743251</v>
      </c>
      <c r="BR128" s="583">
        <v>121158</v>
      </c>
      <c r="BS128" s="583">
        <v>-64919</v>
      </c>
      <c r="BT128" s="583">
        <v>0</v>
      </c>
      <c r="BU128" s="583">
        <v>799490</v>
      </c>
      <c r="BV128" s="583">
        <v>0</v>
      </c>
    </row>
    <row r="129" spans="1:74" x14ac:dyDescent="0.2">
      <c r="A129" s="580">
        <v>7301</v>
      </c>
      <c r="B129" s="580" t="s">
        <v>389</v>
      </c>
      <c r="C129" s="583">
        <v>586211</v>
      </c>
      <c r="D129" s="583">
        <v>0</v>
      </c>
      <c r="E129" s="583">
        <v>336489</v>
      </c>
      <c r="F129" s="583">
        <v>0</v>
      </c>
      <c r="G129" s="583">
        <v>922700</v>
      </c>
      <c r="H129" s="583">
        <v>336489</v>
      </c>
      <c r="I129" s="583">
        <v>311727</v>
      </c>
      <c r="J129" s="583">
        <v>0</v>
      </c>
      <c r="K129" s="583">
        <v>610973</v>
      </c>
      <c r="L129" s="583">
        <v>0</v>
      </c>
      <c r="M129" s="583">
        <v>922700</v>
      </c>
      <c r="N129" s="583">
        <v>947462</v>
      </c>
      <c r="O129" s="583">
        <v>889288</v>
      </c>
      <c r="P129" s="583">
        <v>0</v>
      </c>
      <c r="Q129" s="583">
        <v>0</v>
      </c>
      <c r="R129" s="583">
        <v>0</v>
      </c>
      <c r="S129" s="583">
        <v>889288</v>
      </c>
      <c r="T129" s="583">
        <v>947462</v>
      </c>
      <c r="U129" s="583">
        <v>472198</v>
      </c>
      <c r="V129" s="583">
        <v>0</v>
      </c>
      <c r="W129" s="583">
        <v>450502</v>
      </c>
      <c r="X129" s="583">
        <v>0</v>
      </c>
      <c r="Y129" s="583">
        <v>922700</v>
      </c>
      <c r="Z129" s="583">
        <v>1397964</v>
      </c>
      <c r="AA129" s="583">
        <v>4109005</v>
      </c>
      <c r="AB129" s="583">
        <v>37925</v>
      </c>
      <c r="AC129" s="583">
        <v>-1397964</v>
      </c>
      <c r="AD129" s="583">
        <v>0</v>
      </c>
      <c r="AE129" s="583">
        <v>2748966</v>
      </c>
      <c r="AF129" s="583">
        <v>0</v>
      </c>
      <c r="AG129" s="583">
        <v>813889</v>
      </c>
      <c r="AH129" s="583">
        <v>26878</v>
      </c>
      <c r="AI129" s="583">
        <v>108811</v>
      </c>
      <c r="AJ129" s="583">
        <v>0</v>
      </c>
      <c r="AK129" s="583">
        <v>949578</v>
      </c>
      <c r="AL129" s="583">
        <v>108811</v>
      </c>
      <c r="AM129" s="583">
        <v>1617866</v>
      </c>
      <c r="AN129" s="583">
        <v>157065</v>
      </c>
      <c r="AO129" s="583">
        <v>-108811</v>
      </c>
      <c r="AP129" s="583">
        <v>0</v>
      </c>
      <c r="AQ129" s="583">
        <v>1666120</v>
      </c>
      <c r="AR129" s="583">
        <v>0</v>
      </c>
      <c r="AS129" s="583">
        <v>534406</v>
      </c>
      <c r="AT129" s="583">
        <v>0</v>
      </c>
      <c r="AU129" s="583">
        <v>388294</v>
      </c>
      <c r="AV129" s="583">
        <v>0</v>
      </c>
      <c r="AW129" s="583">
        <v>922700</v>
      </c>
      <c r="AX129" s="583">
        <v>388294</v>
      </c>
      <c r="AY129" s="583">
        <v>1034539</v>
      </c>
      <c r="AZ129" s="583">
        <v>38505</v>
      </c>
      <c r="BA129" s="583">
        <v>0</v>
      </c>
      <c r="BB129" s="583">
        <v>0</v>
      </c>
      <c r="BC129" s="583">
        <v>1073044</v>
      </c>
      <c r="BD129" s="583">
        <v>388294</v>
      </c>
      <c r="BE129" s="583">
        <v>2182833</v>
      </c>
      <c r="BF129" s="583">
        <v>0</v>
      </c>
      <c r="BG129" s="583">
        <v>-388294</v>
      </c>
      <c r="BH129" s="583">
        <v>0</v>
      </c>
      <c r="BI129" s="583">
        <v>1794539</v>
      </c>
      <c r="BJ129" s="583">
        <v>0</v>
      </c>
      <c r="BK129" s="583">
        <v>810143</v>
      </c>
      <c r="BL129" s="583">
        <v>0</v>
      </c>
      <c r="BM129" s="583">
        <v>112557</v>
      </c>
      <c r="BN129" s="583">
        <v>0</v>
      </c>
      <c r="BO129" s="583">
        <v>922700</v>
      </c>
      <c r="BP129" s="583">
        <v>112557</v>
      </c>
      <c r="BQ129" s="583">
        <v>1552457</v>
      </c>
      <c r="BR129" s="583">
        <v>253067</v>
      </c>
      <c r="BS129" s="583">
        <v>-112557</v>
      </c>
      <c r="BT129" s="583">
        <v>0</v>
      </c>
      <c r="BU129" s="583">
        <v>1692967</v>
      </c>
      <c r="BV129" s="583">
        <v>0</v>
      </c>
    </row>
    <row r="130" spans="1:74" x14ac:dyDescent="0.2">
      <c r="A130" s="580">
        <v>7302</v>
      </c>
      <c r="B130" s="580" t="s">
        <v>390</v>
      </c>
      <c r="C130" s="583">
        <v>115515</v>
      </c>
      <c r="D130" s="583">
        <v>0</v>
      </c>
      <c r="E130" s="583">
        <v>53467</v>
      </c>
      <c r="F130" s="583">
        <v>0</v>
      </c>
      <c r="G130" s="583">
        <v>168982</v>
      </c>
      <c r="H130" s="583">
        <v>53467</v>
      </c>
      <c r="I130" s="583">
        <v>61427</v>
      </c>
      <c r="J130" s="583">
        <v>0</v>
      </c>
      <c r="K130" s="583">
        <v>107555</v>
      </c>
      <c r="L130" s="583">
        <v>0</v>
      </c>
      <c r="M130" s="583">
        <v>168982</v>
      </c>
      <c r="N130" s="583">
        <v>161022</v>
      </c>
      <c r="O130" s="583">
        <v>175237</v>
      </c>
      <c r="P130" s="583">
        <v>0</v>
      </c>
      <c r="Q130" s="583">
        <v>0</v>
      </c>
      <c r="R130" s="583">
        <v>0</v>
      </c>
      <c r="S130" s="583">
        <v>175237</v>
      </c>
      <c r="T130" s="583">
        <v>161022</v>
      </c>
      <c r="U130" s="583">
        <v>93048</v>
      </c>
      <c r="V130" s="583">
        <v>0</v>
      </c>
      <c r="W130" s="583">
        <v>75934</v>
      </c>
      <c r="X130" s="583">
        <v>0</v>
      </c>
      <c r="Y130" s="583">
        <v>168982</v>
      </c>
      <c r="Z130" s="583">
        <v>236956</v>
      </c>
      <c r="AA130" s="583">
        <v>809692</v>
      </c>
      <c r="AB130" s="583">
        <v>7473</v>
      </c>
      <c r="AC130" s="583">
        <v>-236956</v>
      </c>
      <c r="AD130" s="583">
        <v>0</v>
      </c>
      <c r="AE130" s="583">
        <v>580209</v>
      </c>
      <c r="AF130" s="583">
        <v>0</v>
      </c>
      <c r="AG130" s="583">
        <v>160379</v>
      </c>
      <c r="AH130" s="583">
        <v>5296</v>
      </c>
      <c r="AI130" s="583">
        <v>8603</v>
      </c>
      <c r="AJ130" s="583">
        <v>0</v>
      </c>
      <c r="AK130" s="583">
        <v>174278</v>
      </c>
      <c r="AL130" s="583">
        <v>8603</v>
      </c>
      <c r="AM130" s="583">
        <v>318805</v>
      </c>
      <c r="AN130" s="583">
        <v>30950</v>
      </c>
      <c r="AO130" s="583">
        <v>-8603</v>
      </c>
      <c r="AP130" s="583">
        <v>0</v>
      </c>
      <c r="AQ130" s="583">
        <v>341152</v>
      </c>
      <c r="AR130" s="583">
        <v>0</v>
      </c>
      <c r="AS130" s="583">
        <v>105306</v>
      </c>
      <c r="AT130" s="583">
        <v>0</v>
      </c>
      <c r="AU130" s="583">
        <v>63676</v>
      </c>
      <c r="AV130" s="583">
        <v>0</v>
      </c>
      <c r="AW130" s="583">
        <v>168982</v>
      </c>
      <c r="AX130" s="583">
        <v>63676</v>
      </c>
      <c r="AY130" s="583">
        <v>203859</v>
      </c>
      <c r="AZ130" s="583">
        <v>7587</v>
      </c>
      <c r="BA130" s="583">
        <v>0</v>
      </c>
      <c r="BB130" s="583">
        <v>0</v>
      </c>
      <c r="BC130" s="583">
        <v>211446</v>
      </c>
      <c r="BD130" s="583">
        <v>63676</v>
      </c>
      <c r="BE130" s="583">
        <v>430134</v>
      </c>
      <c r="BF130" s="583">
        <v>0</v>
      </c>
      <c r="BG130" s="583">
        <v>-63676</v>
      </c>
      <c r="BH130" s="583">
        <v>0</v>
      </c>
      <c r="BI130" s="583">
        <v>366458</v>
      </c>
      <c r="BJ130" s="583">
        <v>0</v>
      </c>
      <c r="BK130" s="583">
        <v>159641</v>
      </c>
      <c r="BL130" s="583">
        <v>0</v>
      </c>
      <c r="BM130" s="583">
        <v>9341</v>
      </c>
      <c r="BN130" s="583">
        <v>0</v>
      </c>
      <c r="BO130" s="583">
        <v>168982</v>
      </c>
      <c r="BP130" s="583">
        <v>9341</v>
      </c>
      <c r="BQ130" s="583">
        <v>305916</v>
      </c>
      <c r="BR130" s="583">
        <v>49868</v>
      </c>
      <c r="BS130" s="583">
        <v>-9341</v>
      </c>
      <c r="BT130" s="583">
        <v>0</v>
      </c>
      <c r="BU130" s="583">
        <v>346443</v>
      </c>
      <c r="BV130" s="583">
        <v>0</v>
      </c>
    </row>
    <row r="131" spans="1:74" x14ac:dyDescent="0.2">
      <c r="A131" s="580">
        <v>7303</v>
      </c>
      <c r="B131" s="580" t="s">
        <v>391</v>
      </c>
      <c r="C131" s="583">
        <v>197259</v>
      </c>
      <c r="D131" s="583">
        <v>0</v>
      </c>
      <c r="E131" s="583">
        <v>98431</v>
      </c>
      <c r="F131" s="583">
        <v>0</v>
      </c>
      <c r="G131" s="583">
        <v>295690</v>
      </c>
      <c r="H131" s="583">
        <v>98431</v>
      </c>
      <c r="I131" s="583">
        <v>104896</v>
      </c>
      <c r="J131" s="583">
        <v>0</v>
      </c>
      <c r="K131" s="583">
        <v>190794</v>
      </c>
      <c r="L131" s="583">
        <v>0</v>
      </c>
      <c r="M131" s="583">
        <v>295690</v>
      </c>
      <c r="N131" s="583">
        <v>289225</v>
      </c>
      <c r="O131" s="583">
        <v>299244</v>
      </c>
      <c r="P131" s="583">
        <v>0</v>
      </c>
      <c r="Q131" s="583">
        <v>0</v>
      </c>
      <c r="R131" s="583">
        <v>0</v>
      </c>
      <c r="S131" s="583">
        <v>299244</v>
      </c>
      <c r="T131" s="583">
        <v>289225</v>
      </c>
      <c r="U131" s="583">
        <v>158894</v>
      </c>
      <c r="V131" s="583">
        <v>0</v>
      </c>
      <c r="W131" s="583">
        <v>136796</v>
      </c>
      <c r="X131" s="583">
        <v>0</v>
      </c>
      <c r="Y131" s="583">
        <v>295690</v>
      </c>
      <c r="Z131" s="583">
        <v>426021</v>
      </c>
      <c r="AA131" s="583">
        <v>1382676</v>
      </c>
      <c r="AB131" s="583">
        <v>12762</v>
      </c>
      <c r="AC131" s="583">
        <v>-426021</v>
      </c>
      <c r="AD131" s="583">
        <v>0</v>
      </c>
      <c r="AE131" s="583">
        <v>969417</v>
      </c>
      <c r="AF131" s="583">
        <v>0</v>
      </c>
      <c r="AG131" s="583">
        <v>273873</v>
      </c>
      <c r="AH131" s="583">
        <v>9044</v>
      </c>
      <c r="AI131" s="583">
        <v>21817</v>
      </c>
      <c r="AJ131" s="583">
        <v>0</v>
      </c>
      <c r="AK131" s="583">
        <v>304734</v>
      </c>
      <c r="AL131" s="583">
        <v>21817</v>
      </c>
      <c r="AM131" s="583">
        <v>544410</v>
      </c>
      <c r="AN131" s="583">
        <v>52852</v>
      </c>
      <c r="AO131" s="583">
        <v>-21817</v>
      </c>
      <c r="AP131" s="583">
        <v>0</v>
      </c>
      <c r="AQ131" s="583">
        <v>575445</v>
      </c>
      <c r="AR131" s="583">
        <v>0</v>
      </c>
      <c r="AS131" s="583">
        <v>179827</v>
      </c>
      <c r="AT131" s="583">
        <v>0</v>
      </c>
      <c r="AU131" s="583">
        <v>115863</v>
      </c>
      <c r="AV131" s="583">
        <v>0</v>
      </c>
      <c r="AW131" s="583">
        <v>295690</v>
      </c>
      <c r="AX131" s="583">
        <v>115863</v>
      </c>
      <c r="AY131" s="583">
        <v>348121</v>
      </c>
      <c r="AZ131" s="583">
        <v>12957</v>
      </c>
      <c r="BA131" s="583">
        <v>0</v>
      </c>
      <c r="BB131" s="583">
        <v>0</v>
      </c>
      <c r="BC131" s="583">
        <v>361078</v>
      </c>
      <c r="BD131" s="583">
        <v>115863</v>
      </c>
      <c r="BE131" s="583">
        <v>734521</v>
      </c>
      <c r="BF131" s="583">
        <v>0</v>
      </c>
      <c r="BG131" s="583">
        <v>-115863</v>
      </c>
      <c r="BH131" s="583">
        <v>0</v>
      </c>
      <c r="BI131" s="583">
        <v>618658</v>
      </c>
      <c r="BJ131" s="583">
        <v>0</v>
      </c>
      <c r="BK131" s="583">
        <v>272612</v>
      </c>
      <c r="BL131" s="583">
        <v>0</v>
      </c>
      <c r="BM131" s="583">
        <v>23078</v>
      </c>
      <c r="BN131" s="583">
        <v>0</v>
      </c>
      <c r="BO131" s="583">
        <v>295690</v>
      </c>
      <c r="BP131" s="583">
        <v>23078</v>
      </c>
      <c r="BQ131" s="583">
        <v>522400</v>
      </c>
      <c r="BR131" s="583">
        <v>85157</v>
      </c>
      <c r="BS131" s="583">
        <v>-23078</v>
      </c>
      <c r="BT131" s="583">
        <v>0</v>
      </c>
      <c r="BU131" s="583">
        <v>584479</v>
      </c>
      <c r="BV131" s="583">
        <v>0</v>
      </c>
    </row>
    <row r="132" spans="1:74" x14ac:dyDescent="0.2">
      <c r="A132" s="580">
        <v>7304</v>
      </c>
      <c r="B132" s="580" t="s">
        <v>150</v>
      </c>
      <c r="C132" s="583">
        <v>320057</v>
      </c>
      <c r="D132" s="583">
        <v>0</v>
      </c>
      <c r="E132" s="583">
        <v>195969</v>
      </c>
      <c r="F132" s="583">
        <v>0</v>
      </c>
      <c r="G132" s="583">
        <v>516026</v>
      </c>
      <c r="H132" s="583">
        <v>195969</v>
      </c>
      <c r="I132" s="583">
        <v>170195</v>
      </c>
      <c r="J132" s="583">
        <v>0</v>
      </c>
      <c r="K132" s="583">
        <v>345831</v>
      </c>
      <c r="L132" s="583">
        <v>0</v>
      </c>
      <c r="M132" s="583">
        <v>516026</v>
      </c>
      <c r="N132" s="583">
        <v>541800</v>
      </c>
      <c r="O132" s="583">
        <v>485529</v>
      </c>
      <c r="P132" s="583">
        <v>0</v>
      </c>
      <c r="Q132" s="583">
        <v>0</v>
      </c>
      <c r="R132" s="583">
        <v>0</v>
      </c>
      <c r="S132" s="583">
        <v>485529</v>
      </c>
      <c r="T132" s="583">
        <v>541800</v>
      </c>
      <c r="U132" s="583">
        <v>257808</v>
      </c>
      <c r="V132" s="583">
        <v>0</v>
      </c>
      <c r="W132" s="583">
        <v>258218</v>
      </c>
      <c r="X132" s="583">
        <v>0</v>
      </c>
      <c r="Y132" s="583">
        <v>516026</v>
      </c>
      <c r="Z132" s="583">
        <v>800018</v>
      </c>
      <c r="AA132" s="583">
        <v>2243416</v>
      </c>
      <c r="AB132" s="583">
        <v>20706</v>
      </c>
      <c r="AC132" s="583">
        <v>-800018</v>
      </c>
      <c r="AD132" s="583">
        <v>0</v>
      </c>
      <c r="AE132" s="583">
        <v>1464104</v>
      </c>
      <c r="AF132" s="583">
        <v>0</v>
      </c>
      <c r="AG132" s="583">
        <v>444363</v>
      </c>
      <c r="AH132" s="583">
        <v>14675</v>
      </c>
      <c r="AI132" s="583">
        <v>71663</v>
      </c>
      <c r="AJ132" s="583">
        <v>0</v>
      </c>
      <c r="AK132" s="583">
        <v>530701</v>
      </c>
      <c r="AL132" s="583">
        <v>71663</v>
      </c>
      <c r="AM132" s="583">
        <v>883315</v>
      </c>
      <c r="AN132" s="583">
        <v>85754</v>
      </c>
      <c r="AO132" s="583">
        <v>-71663</v>
      </c>
      <c r="AP132" s="583">
        <v>0</v>
      </c>
      <c r="AQ132" s="583">
        <v>897406</v>
      </c>
      <c r="AR132" s="583">
        <v>0</v>
      </c>
      <c r="AS132" s="583">
        <v>291773</v>
      </c>
      <c r="AT132" s="583">
        <v>0</v>
      </c>
      <c r="AU132" s="583">
        <v>224253</v>
      </c>
      <c r="AV132" s="583">
        <v>0</v>
      </c>
      <c r="AW132" s="583">
        <v>516026</v>
      </c>
      <c r="AX132" s="583">
        <v>224253</v>
      </c>
      <c r="AY132" s="583">
        <v>564833</v>
      </c>
      <c r="AZ132" s="583">
        <v>21023</v>
      </c>
      <c r="BA132" s="583">
        <v>0</v>
      </c>
      <c r="BB132" s="583">
        <v>0</v>
      </c>
      <c r="BC132" s="583">
        <v>585856</v>
      </c>
      <c r="BD132" s="583">
        <v>224253</v>
      </c>
      <c r="BE132" s="583">
        <v>1191773</v>
      </c>
      <c r="BF132" s="583">
        <v>0</v>
      </c>
      <c r="BG132" s="583">
        <v>-224253</v>
      </c>
      <c r="BH132" s="583">
        <v>0</v>
      </c>
      <c r="BI132" s="583">
        <v>967520</v>
      </c>
      <c r="BJ132" s="583">
        <v>0</v>
      </c>
      <c r="BK132" s="583">
        <v>442318</v>
      </c>
      <c r="BL132" s="583">
        <v>0</v>
      </c>
      <c r="BM132" s="583">
        <v>73708</v>
      </c>
      <c r="BN132" s="583">
        <v>0</v>
      </c>
      <c r="BO132" s="583">
        <v>516026</v>
      </c>
      <c r="BP132" s="583">
        <v>73708</v>
      </c>
      <c r="BQ132" s="583">
        <v>847603</v>
      </c>
      <c r="BR132" s="583">
        <v>138168</v>
      </c>
      <c r="BS132" s="583">
        <v>-73708</v>
      </c>
      <c r="BT132" s="583">
        <v>0</v>
      </c>
      <c r="BU132" s="583">
        <v>912063</v>
      </c>
      <c r="BV132" s="583">
        <v>0</v>
      </c>
    </row>
    <row r="133" spans="1:74" x14ac:dyDescent="0.2">
      <c r="A133" s="580">
        <v>7305</v>
      </c>
      <c r="B133" s="580" t="s">
        <v>149</v>
      </c>
      <c r="C133" s="583">
        <v>101572</v>
      </c>
      <c r="D133" s="583">
        <v>0</v>
      </c>
      <c r="E133" s="583">
        <v>54038</v>
      </c>
      <c r="F133" s="583">
        <v>0</v>
      </c>
      <c r="G133" s="583">
        <v>155610</v>
      </c>
      <c r="H133" s="583">
        <v>54038</v>
      </c>
      <c r="I133" s="583">
        <v>54012</v>
      </c>
      <c r="J133" s="583">
        <v>0</v>
      </c>
      <c r="K133" s="583">
        <v>101598</v>
      </c>
      <c r="L133" s="583">
        <v>0</v>
      </c>
      <c r="M133" s="583">
        <v>155610</v>
      </c>
      <c r="N133" s="583">
        <v>155636</v>
      </c>
      <c r="O133" s="583">
        <v>154085</v>
      </c>
      <c r="P133" s="583">
        <v>0</v>
      </c>
      <c r="Q133" s="583">
        <v>0</v>
      </c>
      <c r="R133" s="583">
        <v>0</v>
      </c>
      <c r="S133" s="583">
        <v>154085</v>
      </c>
      <c r="T133" s="583">
        <v>155636</v>
      </c>
      <c r="U133" s="583">
        <v>81817</v>
      </c>
      <c r="V133" s="583">
        <v>0</v>
      </c>
      <c r="W133" s="583">
        <v>73793</v>
      </c>
      <c r="X133" s="583">
        <v>0</v>
      </c>
      <c r="Y133" s="583">
        <v>155610</v>
      </c>
      <c r="Z133" s="583">
        <v>229429</v>
      </c>
      <c r="AA133" s="583">
        <v>711960</v>
      </c>
      <c r="AB133" s="583">
        <v>6571</v>
      </c>
      <c r="AC133" s="583">
        <v>-229429</v>
      </c>
      <c r="AD133" s="583">
        <v>0</v>
      </c>
      <c r="AE133" s="583">
        <v>489102</v>
      </c>
      <c r="AF133" s="583">
        <v>0</v>
      </c>
      <c r="AG133" s="583">
        <v>141021</v>
      </c>
      <c r="AH133" s="583">
        <v>4657</v>
      </c>
      <c r="AI133" s="583">
        <v>14589</v>
      </c>
      <c r="AJ133" s="583">
        <v>0</v>
      </c>
      <c r="AK133" s="583">
        <v>160267</v>
      </c>
      <c r="AL133" s="583">
        <v>14589</v>
      </c>
      <c r="AM133" s="583">
        <v>280325</v>
      </c>
      <c r="AN133" s="583">
        <v>27214</v>
      </c>
      <c r="AO133" s="583">
        <v>-14589</v>
      </c>
      <c r="AP133" s="583">
        <v>0</v>
      </c>
      <c r="AQ133" s="583">
        <v>292950</v>
      </c>
      <c r="AR133" s="583">
        <v>0</v>
      </c>
      <c r="AS133" s="583">
        <v>92596</v>
      </c>
      <c r="AT133" s="583">
        <v>0</v>
      </c>
      <c r="AU133" s="583">
        <v>63014</v>
      </c>
      <c r="AV133" s="583">
        <v>0</v>
      </c>
      <c r="AW133" s="583">
        <v>155610</v>
      </c>
      <c r="AX133" s="583">
        <v>63014</v>
      </c>
      <c r="AY133" s="583">
        <v>179253</v>
      </c>
      <c r="AZ133" s="583">
        <v>6672</v>
      </c>
      <c r="BA133" s="583">
        <v>0</v>
      </c>
      <c r="BB133" s="583">
        <v>0</v>
      </c>
      <c r="BC133" s="583">
        <v>185925</v>
      </c>
      <c r="BD133" s="583">
        <v>63014</v>
      </c>
      <c r="BE133" s="583">
        <v>378216</v>
      </c>
      <c r="BF133" s="583">
        <v>0</v>
      </c>
      <c r="BG133" s="583">
        <v>-63014</v>
      </c>
      <c r="BH133" s="583">
        <v>0</v>
      </c>
      <c r="BI133" s="583">
        <v>315202</v>
      </c>
      <c r="BJ133" s="583">
        <v>0</v>
      </c>
      <c r="BK133" s="583">
        <v>140372</v>
      </c>
      <c r="BL133" s="583">
        <v>0</v>
      </c>
      <c r="BM133" s="583">
        <v>15238</v>
      </c>
      <c r="BN133" s="583">
        <v>0</v>
      </c>
      <c r="BO133" s="583">
        <v>155610</v>
      </c>
      <c r="BP133" s="583">
        <v>15238</v>
      </c>
      <c r="BQ133" s="583">
        <v>268992</v>
      </c>
      <c r="BR133" s="583">
        <v>43848</v>
      </c>
      <c r="BS133" s="583">
        <v>-15238</v>
      </c>
      <c r="BT133" s="583">
        <v>0</v>
      </c>
      <c r="BU133" s="583">
        <v>297602</v>
      </c>
      <c r="BV133" s="583">
        <v>0</v>
      </c>
    </row>
    <row r="134" spans="1:74" x14ac:dyDescent="0.2">
      <c r="A134" s="580">
        <v>7306</v>
      </c>
      <c r="B134" s="580" t="s">
        <v>148</v>
      </c>
      <c r="C134" s="583">
        <v>91378</v>
      </c>
      <c r="D134" s="583">
        <v>0</v>
      </c>
      <c r="E134" s="583">
        <v>53637</v>
      </c>
      <c r="F134" s="583">
        <v>0</v>
      </c>
      <c r="G134" s="583">
        <v>145015</v>
      </c>
      <c r="H134" s="583">
        <v>53637</v>
      </c>
      <c r="I134" s="583">
        <v>48592</v>
      </c>
      <c r="J134" s="583">
        <v>0</v>
      </c>
      <c r="K134" s="583">
        <v>96423</v>
      </c>
      <c r="L134" s="583">
        <v>0</v>
      </c>
      <c r="M134" s="583">
        <v>145015</v>
      </c>
      <c r="N134" s="583">
        <v>150060</v>
      </c>
      <c r="O134" s="583">
        <v>138622</v>
      </c>
      <c r="P134" s="583">
        <v>0</v>
      </c>
      <c r="Q134" s="583">
        <v>0</v>
      </c>
      <c r="R134" s="583">
        <v>0</v>
      </c>
      <c r="S134" s="583">
        <v>138622</v>
      </c>
      <c r="T134" s="583">
        <v>150060</v>
      </c>
      <c r="U134" s="583">
        <v>73606</v>
      </c>
      <c r="V134" s="583">
        <v>0</v>
      </c>
      <c r="W134" s="583">
        <v>71409</v>
      </c>
      <c r="X134" s="583">
        <v>0</v>
      </c>
      <c r="Y134" s="583">
        <v>145015</v>
      </c>
      <c r="Z134" s="583">
        <v>221469</v>
      </c>
      <c r="AA134" s="583">
        <v>640509</v>
      </c>
      <c r="AB134" s="583">
        <v>5912</v>
      </c>
      <c r="AC134" s="583">
        <v>-221469</v>
      </c>
      <c r="AD134" s="583">
        <v>0</v>
      </c>
      <c r="AE134" s="583">
        <v>424952</v>
      </c>
      <c r="AF134" s="583">
        <v>0</v>
      </c>
      <c r="AG134" s="583">
        <v>126868</v>
      </c>
      <c r="AH134" s="583">
        <v>4190</v>
      </c>
      <c r="AI134" s="583">
        <v>18147</v>
      </c>
      <c r="AJ134" s="583">
        <v>0</v>
      </c>
      <c r="AK134" s="583">
        <v>149205</v>
      </c>
      <c r="AL134" s="583">
        <v>18147</v>
      </c>
      <c r="AM134" s="583">
        <v>252192</v>
      </c>
      <c r="AN134" s="583">
        <v>24483</v>
      </c>
      <c r="AO134" s="583">
        <v>-18147</v>
      </c>
      <c r="AP134" s="583">
        <v>0</v>
      </c>
      <c r="AQ134" s="583">
        <v>258528</v>
      </c>
      <c r="AR134" s="583">
        <v>0</v>
      </c>
      <c r="AS134" s="583">
        <v>83303</v>
      </c>
      <c r="AT134" s="583">
        <v>0</v>
      </c>
      <c r="AU134" s="583">
        <v>61712</v>
      </c>
      <c r="AV134" s="583">
        <v>0</v>
      </c>
      <c r="AW134" s="583">
        <v>145015</v>
      </c>
      <c r="AX134" s="583">
        <v>61712</v>
      </c>
      <c r="AY134" s="583">
        <v>161263</v>
      </c>
      <c r="AZ134" s="583">
        <v>6002</v>
      </c>
      <c r="BA134" s="583">
        <v>0</v>
      </c>
      <c r="BB134" s="583">
        <v>0</v>
      </c>
      <c r="BC134" s="583">
        <v>167265</v>
      </c>
      <c r="BD134" s="583">
        <v>61712</v>
      </c>
      <c r="BE134" s="583">
        <v>340258</v>
      </c>
      <c r="BF134" s="583">
        <v>0</v>
      </c>
      <c r="BG134" s="583">
        <v>-61712</v>
      </c>
      <c r="BH134" s="583">
        <v>0</v>
      </c>
      <c r="BI134" s="583">
        <v>278546</v>
      </c>
      <c r="BJ134" s="583">
        <v>0</v>
      </c>
      <c r="BK134" s="583">
        <v>126284</v>
      </c>
      <c r="BL134" s="583">
        <v>0</v>
      </c>
      <c r="BM134" s="583">
        <v>18731</v>
      </c>
      <c r="BN134" s="583">
        <v>0</v>
      </c>
      <c r="BO134" s="583">
        <v>145015</v>
      </c>
      <c r="BP134" s="583">
        <v>18731</v>
      </c>
      <c r="BQ134" s="583">
        <v>241996</v>
      </c>
      <c r="BR134" s="583">
        <v>39448</v>
      </c>
      <c r="BS134" s="583">
        <v>-18731</v>
      </c>
      <c r="BT134" s="583">
        <v>0</v>
      </c>
      <c r="BU134" s="583">
        <v>262713</v>
      </c>
      <c r="BV134" s="583">
        <v>0</v>
      </c>
    </row>
    <row r="135" spans="1:74" x14ac:dyDescent="0.2">
      <c r="A135" s="580">
        <v>7307</v>
      </c>
      <c r="B135" s="580" t="s">
        <v>151</v>
      </c>
      <c r="C135" s="583">
        <v>98319</v>
      </c>
      <c r="D135" s="583">
        <v>0</v>
      </c>
      <c r="E135" s="583">
        <v>60542</v>
      </c>
      <c r="F135" s="583">
        <v>0</v>
      </c>
      <c r="G135" s="583">
        <v>158861</v>
      </c>
      <c r="H135" s="583">
        <v>60542</v>
      </c>
      <c r="I135" s="583">
        <v>52283</v>
      </c>
      <c r="J135" s="583">
        <v>0</v>
      </c>
      <c r="K135" s="583">
        <v>106578</v>
      </c>
      <c r="L135" s="583">
        <v>0</v>
      </c>
      <c r="M135" s="583">
        <v>158861</v>
      </c>
      <c r="N135" s="583">
        <v>167120</v>
      </c>
      <c r="O135" s="583">
        <v>149150</v>
      </c>
      <c r="P135" s="583">
        <v>0</v>
      </c>
      <c r="Q135" s="583">
        <v>0</v>
      </c>
      <c r="R135" s="583">
        <v>0</v>
      </c>
      <c r="S135" s="583">
        <v>149150</v>
      </c>
      <c r="T135" s="583">
        <v>167120</v>
      </c>
      <c r="U135" s="583">
        <v>79197</v>
      </c>
      <c r="V135" s="583">
        <v>0</v>
      </c>
      <c r="W135" s="583">
        <v>79664</v>
      </c>
      <c r="X135" s="583">
        <v>0</v>
      </c>
      <c r="Y135" s="583">
        <v>158861</v>
      </c>
      <c r="Z135" s="583">
        <v>246784</v>
      </c>
      <c r="AA135" s="583">
        <v>689158</v>
      </c>
      <c r="AB135" s="583">
        <v>6361</v>
      </c>
      <c r="AC135" s="583">
        <v>-246784</v>
      </c>
      <c r="AD135" s="583">
        <v>0</v>
      </c>
      <c r="AE135" s="583">
        <v>448735</v>
      </c>
      <c r="AF135" s="583">
        <v>0</v>
      </c>
      <c r="AG135" s="583">
        <v>136505</v>
      </c>
      <c r="AH135" s="583">
        <v>4508</v>
      </c>
      <c r="AI135" s="583">
        <v>22356</v>
      </c>
      <c r="AJ135" s="583">
        <v>0</v>
      </c>
      <c r="AK135" s="583">
        <v>163369</v>
      </c>
      <c r="AL135" s="583">
        <v>22356</v>
      </c>
      <c r="AM135" s="583">
        <v>271347</v>
      </c>
      <c r="AN135" s="583">
        <v>26343</v>
      </c>
      <c r="AO135" s="583">
        <v>-22356</v>
      </c>
      <c r="AP135" s="583">
        <v>0</v>
      </c>
      <c r="AQ135" s="583">
        <v>275334</v>
      </c>
      <c r="AR135" s="583">
        <v>0</v>
      </c>
      <c r="AS135" s="583">
        <v>89630</v>
      </c>
      <c r="AT135" s="583">
        <v>0</v>
      </c>
      <c r="AU135" s="583">
        <v>69231</v>
      </c>
      <c r="AV135" s="583">
        <v>0</v>
      </c>
      <c r="AW135" s="583">
        <v>158861</v>
      </c>
      <c r="AX135" s="583">
        <v>69231</v>
      </c>
      <c r="AY135" s="583">
        <v>173512</v>
      </c>
      <c r="AZ135" s="583">
        <v>6458</v>
      </c>
      <c r="BA135" s="583">
        <v>0</v>
      </c>
      <c r="BB135" s="583">
        <v>0</v>
      </c>
      <c r="BC135" s="583">
        <v>179970</v>
      </c>
      <c r="BD135" s="583">
        <v>69231</v>
      </c>
      <c r="BE135" s="583">
        <v>366102</v>
      </c>
      <c r="BF135" s="583">
        <v>0</v>
      </c>
      <c r="BG135" s="583">
        <v>-69231</v>
      </c>
      <c r="BH135" s="583">
        <v>0</v>
      </c>
      <c r="BI135" s="583">
        <v>296871</v>
      </c>
      <c r="BJ135" s="583">
        <v>0</v>
      </c>
      <c r="BK135" s="583">
        <v>135876</v>
      </c>
      <c r="BL135" s="583">
        <v>0</v>
      </c>
      <c r="BM135" s="583">
        <v>22985</v>
      </c>
      <c r="BN135" s="583">
        <v>0</v>
      </c>
      <c r="BO135" s="583">
        <v>158861</v>
      </c>
      <c r="BP135" s="583">
        <v>22985</v>
      </c>
      <c r="BQ135" s="583">
        <v>260377</v>
      </c>
      <c r="BR135" s="583">
        <v>42444</v>
      </c>
      <c r="BS135" s="583">
        <v>-22985</v>
      </c>
      <c r="BT135" s="583">
        <v>0</v>
      </c>
      <c r="BU135" s="583">
        <v>279836</v>
      </c>
      <c r="BV135" s="583">
        <v>0</v>
      </c>
    </row>
    <row r="136" spans="1:74" x14ac:dyDescent="0.2">
      <c r="A136" s="580">
        <v>7308</v>
      </c>
      <c r="B136" s="580" t="s">
        <v>147</v>
      </c>
      <c r="C136" s="583">
        <v>126155</v>
      </c>
      <c r="D136" s="583">
        <v>0</v>
      </c>
      <c r="E136" s="583">
        <v>84527</v>
      </c>
      <c r="F136" s="583">
        <v>0</v>
      </c>
      <c r="G136" s="583">
        <v>210682</v>
      </c>
      <c r="H136" s="583">
        <v>84527</v>
      </c>
      <c r="I136" s="583">
        <v>67085</v>
      </c>
      <c r="J136" s="583">
        <v>0</v>
      </c>
      <c r="K136" s="583">
        <v>143597</v>
      </c>
      <c r="L136" s="583">
        <v>0</v>
      </c>
      <c r="M136" s="583">
        <v>210682</v>
      </c>
      <c r="N136" s="583">
        <v>228124</v>
      </c>
      <c r="O136" s="583">
        <v>191378</v>
      </c>
      <c r="P136" s="583">
        <v>0</v>
      </c>
      <c r="Q136" s="583">
        <v>0</v>
      </c>
      <c r="R136" s="583">
        <v>0</v>
      </c>
      <c r="S136" s="583">
        <v>191378</v>
      </c>
      <c r="T136" s="583">
        <v>228124</v>
      </c>
      <c r="U136" s="583">
        <v>101619</v>
      </c>
      <c r="V136" s="583">
        <v>0</v>
      </c>
      <c r="W136" s="583">
        <v>109063</v>
      </c>
      <c r="X136" s="583">
        <v>0</v>
      </c>
      <c r="Y136" s="583">
        <v>210682</v>
      </c>
      <c r="Z136" s="583">
        <v>337187</v>
      </c>
      <c r="AA136" s="583">
        <v>884273</v>
      </c>
      <c r="AB136" s="583">
        <v>8162</v>
      </c>
      <c r="AC136" s="583">
        <v>-337187</v>
      </c>
      <c r="AD136" s="583">
        <v>0</v>
      </c>
      <c r="AE136" s="583">
        <v>555248</v>
      </c>
      <c r="AF136" s="583">
        <v>0</v>
      </c>
      <c r="AG136" s="583">
        <v>175152</v>
      </c>
      <c r="AH136" s="583">
        <v>5784</v>
      </c>
      <c r="AI136" s="583">
        <v>35530</v>
      </c>
      <c r="AJ136" s="583">
        <v>0</v>
      </c>
      <c r="AK136" s="583">
        <v>216466</v>
      </c>
      <c r="AL136" s="583">
        <v>35530</v>
      </c>
      <c r="AM136" s="583">
        <v>348171</v>
      </c>
      <c r="AN136" s="583">
        <v>33801</v>
      </c>
      <c r="AO136" s="583">
        <v>-28147</v>
      </c>
      <c r="AP136" s="583">
        <v>0</v>
      </c>
      <c r="AQ136" s="583">
        <v>353825</v>
      </c>
      <c r="AR136" s="583">
        <v>7383</v>
      </c>
      <c r="AS136" s="583">
        <v>115006</v>
      </c>
      <c r="AT136" s="583">
        <v>0</v>
      </c>
      <c r="AU136" s="583">
        <v>95676</v>
      </c>
      <c r="AV136" s="583">
        <v>0</v>
      </c>
      <c r="AW136" s="583">
        <v>210682</v>
      </c>
      <c r="AX136" s="583">
        <v>103059</v>
      </c>
      <c r="AY136" s="583">
        <v>222637</v>
      </c>
      <c r="AZ136" s="583">
        <v>8286</v>
      </c>
      <c r="BA136" s="583">
        <v>0</v>
      </c>
      <c r="BB136" s="583">
        <v>0</v>
      </c>
      <c r="BC136" s="583">
        <v>230923</v>
      </c>
      <c r="BD136" s="583">
        <v>103059</v>
      </c>
      <c r="BE136" s="583">
        <v>469754</v>
      </c>
      <c r="BF136" s="583">
        <v>0</v>
      </c>
      <c r="BG136" s="583">
        <v>-103059</v>
      </c>
      <c r="BH136" s="583">
        <v>0</v>
      </c>
      <c r="BI136" s="583">
        <v>366695</v>
      </c>
      <c r="BJ136" s="583">
        <v>0</v>
      </c>
      <c r="BK136" s="583">
        <v>174346</v>
      </c>
      <c r="BL136" s="583">
        <v>0</v>
      </c>
      <c r="BM136" s="583">
        <v>36336</v>
      </c>
      <c r="BN136" s="583">
        <v>0</v>
      </c>
      <c r="BO136" s="583">
        <v>210682</v>
      </c>
      <c r="BP136" s="583">
        <v>36336</v>
      </c>
      <c r="BQ136" s="583">
        <v>334095</v>
      </c>
      <c r="BR136" s="583">
        <v>54461</v>
      </c>
      <c r="BS136" s="583">
        <v>-36336</v>
      </c>
      <c r="BT136" s="583">
        <v>0</v>
      </c>
      <c r="BU136" s="583">
        <v>352220</v>
      </c>
      <c r="BV136" s="583">
        <v>0</v>
      </c>
    </row>
    <row r="137" spans="1:74" x14ac:dyDescent="0.2">
      <c r="A137" s="580">
        <v>7309</v>
      </c>
      <c r="B137" s="580" t="s">
        <v>392</v>
      </c>
      <c r="C137" s="583">
        <v>68872</v>
      </c>
      <c r="D137" s="583">
        <v>0</v>
      </c>
      <c r="E137" s="583">
        <v>41759</v>
      </c>
      <c r="F137" s="583">
        <v>0</v>
      </c>
      <c r="G137" s="583">
        <v>110631</v>
      </c>
      <c r="H137" s="583">
        <v>41759</v>
      </c>
      <c r="I137" s="583">
        <v>36624</v>
      </c>
      <c r="J137" s="583">
        <v>0</v>
      </c>
      <c r="K137" s="583">
        <v>74007</v>
      </c>
      <c r="L137" s="583">
        <v>0</v>
      </c>
      <c r="M137" s="583">
        <v>110631</v>
      </c>
      <c r="N137" s="583">
        <v>115766</v>
      </c>
      <c r="O137" s="583">
        <v>104479</v>
      </c>
      <c r="P137" s="583">
        <v>0</v>
      </c>
      <c r="Q137" s="583">
        <v>0</v>
      </c>
      <c r="R137" s="583">
        <v>0</v>
      </c>
      <c r="S137" s="583">
        <v>104479</v>
      </c>
      <c r="T137" s="583">
        <v>115766</v>
      </c>
      <c r="U137" s="583">
        <v>55477</v>
      </c>
      <c r="V137" s="583">
        <v>0</v>
      </c>
      <c r="W137" s="583">
        <v>55154</v>
      </c>
      <c r="X137" s="583">
        <v>0</v>
      </c>
      <c r="Y137" s="583">
        <v>110631</v>
      </c>
      <c r="Z137" s="583">
        <v>170920</v>
      </c>
      <c r="AA137" s="583">
        <v>482752</v>
      </c>
      <c r="AB137" s="583">
        <v>4456</v>
      </c>
      <c r="AC137" s="583">
        <v>-170920</v>
      </c>
      <c r="AD137" s="583">
        <v>0</v>
      </c>
      <c r="AE137" s="583">
        <v>316288</v>
      </c>
      <c r="AF137" s="583">
        <v>0</v>
      </c>
      <c r="AG137" s="583">
        <v>95621</v>
      </c>
      <c r="AH137" s="583">
        <v>3158</v>
      </c>
      <c r="AI137" s="583">
        <v>15010</v>
      </c>
      <c r="AJ137" s="583">
        <v>0</v>
      </c>
      <c r="AK137" s="583">
        <v>113789</v>
      </c>
      <c r="AL137" s="583">
        <v>15010</v>
      </c>
      <c r="AM137" s="583">
        <v>190077</v>
      </c>
      <c r="AN137" s="583">
        <v>18453</v>
      </c>
      <c r="AO137" s="583">
        <v>-15010</v>
      </c>
      <c r="AP137" s="583">
        <v>0</v>
      </c>
      <c r="AQ137" s="583">
        <v>193520</v>
      </c>
      <c r="AR137" s="583">
        <v>0</v>
      </c>
      <c r="AS137" s="583">
        <v>62785</v>
      </c>
      <c r="AT137" s="583">
        <v>0</v>
      </c>
      <c r="AU137" s="583">
        <v>47846</v>
      </c>
      <c r="AV137" s="583">
        <v>0</v>
      </c>
      <c r="AW137" s="583">
        <v>110631</v>
      </c>
      <c r="AX137" s="583">
        <v>47846</v>
      </c>
      <c r="AY137" s="583">
        <v>121544</v>
      </c>
      <c r="AZ137" s="583">
        <v>4524</v>
      </c>
      <c r="BA137" s="583">
        <v>0</v>
      </c>
      <c r="BB137" s="583">
        <v>0</v>
      </c>
      <c r="BC137" s="583">
        <v>126068</v>
      </c>
      <c r="BD137" s="583">
        <v>47846</v>
      </c>
      <c r="BE137" s="583">
        <v>256453</v>
      </c>
      <c r="BF137" s="583">
        <v>0</v>
      </c>
      <c r="BG137" s="583">
        <v>-47846</v>
      </c>
      <c r="BH137" s="583">
        <v>0</v>
      </c>
      <c r="BI137" s="583">
        <v>208607</v>
      </c>
      <c r="BJ137" s="583">
        <v>0</v>
      </c>
      <c r="BK137" s="583">
        <v>95181</v>
      </c>
      <c r="BL137" s="583">
        <v>0</v>
      </c>
      <c r="BM137" s="583">
        <v>15450</v>
      </c>
      <c r="BN137" s="583">
        <v>0</v>
      </c>
      <c r="BO137" s="583">
        <v>110631</v>
      </c>
      <c r="BP137" s="583">
        <v>15450</v>
      </c>
      <c r="BQ137" s="583">
        <v>182393</v>
      </c>
      <c r="BR137" s="583">
        <v>29732</v>
      </c>
      <c r="BS137" s="583">
        <v>-15450</v>
      </c>
      <c r="BT137" s="583">
        <v>0</v>
      </c>
      <c r="BU137" s="583">
        <v>196675</v>
      </c>
      <c r="BV137" s="583">
        <v>0</v>
      </c>
    </row>
    <row r="138" spans="1:74" x14ac:dyDescent="0.2">
      <c r="A138" s="580">
        <v>7401</v>
      </c>
      <c r="B138" s="580" t="s">
        <v>160</v>
      </c>
      <c r="C138" s="583">
        <v>581518</v>
      </c>
      <c r="D138" s="583">
        <v>0</v>
      </c>
      <c r="E138" s="583">
        <v>318991</v>
      </c>
      <c r="F138" s="583">
        <v>0</v>
      </c>
      <c r="G138" s="583">
        <v>900509</v>
      </c>
      <c r="H138" s="583">
        <v>318991</v>
      </c>
      <c r="I138" s="583">
        <v>309232</v>
      </c>
      <c r="J138" s="583">
        <v>0</v>
      </c>
      <c r="K138" s="583">
        <v>591277</v>
      </c>
      <c r="L138" s="583">
        <v>0</v>
      </c>
      <c r="M138" s="583">
        <v>900509</v>
      </c>
      <c r="N138" s="583">
        <v>910268</v>
      </c>
      <c r="O138" s="583">
        <v>882168</v>
      </c>
      <c r="P138" s="583">
        <v>0</v>
      </c>
      <c r="Q138" s="583">
        <v>0</v>
      </c>
      <c r="R138" s="583">
        <v>0</v>
      </c>
      <c r="S138" s="583">
        <v>882168</v>
      </c>
      <c r="T138" s="583">
        <v>910268</v>
      </c>
      <c r="U138" s="583">
        <v>468417</v>
      </c>
      <c r="V138" s="583">
        <v>0</v>
      </c>
      <c r="W138" s="583">
        <v>432092</v>
      </c>
      <c r="X138" s="583">
        <v>0</v>
      </c>
      <c r="Y138" s="583">
        <v>900509</v>
      </c>
      <c r="Z138" s="583">
        <v>1342360</v>
      </c>
      <c r="AA138" s="583">
        <v>4076108</v>
      </c>
      <c r="AB138" s="583">
        <v>37621</v>
      </c>
      <c r="AC138" s="583">
        <v>-1342360</v>
      </c>
      <c r="AD138" s="583">
        <v>0</v>
      </c>
      <c r="AE138" s="583">
        <v>2771369</v>
      </c>
      <c r="AF138" s="583">
        <v>0</v>
      </c>
      <c r="AG138" s="583">
        <v>807373</v>
      </c>
      <c r="AH138" s="583">
        <v>26663</v>
      </c>
      <c r="AI138" s="583">
        <v>93136</v>
      </c>
      <c r="AJ138" s="583">
        <v>0</v>
      </c>
      <c r="AK138" s="583">
        <v>927172</v>
      </c>
      <c r="AL138" s="583">
        <v>93136</v>
      </c>
      <c r="AM138" s="583">
        <v>1604914</v>
      </c>
      <c r="AN138" s="583">
        <v>155808</v>
      </c>
      <c r="AO138" s="583">
        <v>-93136</v>
      </c>
      <c r="AP138" s="583">
        <v>0</v>
      </c>
      <c r="AQ138" s="583">
        <v>1667586</v>
      </c>
      <c r="AR138" s="583">
        <v>0</v>
      </c>
      <c r="AS138" s="583">
        <v>530127</v>
      </c>
      <c r="AT138" s="583">
        <v>0</v>
      </c>
      <c r="AU138" s="583">
        <v>370382</v>
      </c>
      <c r="AV138" s="583">
        <v>0</v>
      </c>
      <c r="AW138" s="583">
        <v>900509</v>
      </c>
      <c r="AX138" s="583">
        <v>370382</v>
      </c>
      <c r="AY138" s="583">
        <v>1026257</v>
      </c>
      <c r="AZ138" s="583">
        <v>38196</v>
      </c>
      <c r="BA138" s="583">
        <v>0</v>
      </c>
      <c r="BB138" s="583">
        <v>0</v>
      </c>
      <c r="BC138" s="583">
        <v>1064453</v>
      </c>
      <c r="BD138" s="583">
        <v>370382</v>
      </c>
      <c r="BE138" s="583">
        <v>2165357</v>
      </c>
      <c r="BF138" s="583">
        <v>0</v>
      </c>
      <c r="BG138" s="583">
        <v>-370382</v>
      </c>
      <c r="BH138" s="583">
        <v>0</v>
      </c>
      <c r="BI138" s="583">
        <v>1794975</v>
      </c>
      <c r="BJ138" s="583">
        <v>0</v>
      </c>
      <c r="BK138" s="583">
        <v>803657</v>
      </c>
      <c r="BL138" s="583">
        <v>0</v>
      </c>
      <c r="BM138" s="583">
        <v>96852</v>
      </c>
      <c r="BN138" s="583">
        <v>0</v>
      </c>
      <c r="BO138" s="583">
        <v>900509</v>
      </c>
      <c r="BP138" s="583">
        <v>96852</v>
      </c>
      <c r="BQ138" s="583">
        <v>1540028</v>
      </c>
      <c r="BR138" s="583">
        <v>251041</v>
      </c>
      <c r="BS138" s="583">
        <v>-96852</v>
      </c>
      <c r="BT138" s="583">
        <v>0</v>
      </c>
      <c r="BU138" s="583">
        <v>1694217</v>
      </c>
      <c r="BV138" s="583">
        <v>0</v>
      </c>
    </row>
    <row r="139" spans="1:74" x14ac:dyDescent="0.2">
      <c r="A139" s="580">
        <v>7402</v>
      </c>
      <c r="B139" s="580" t="s">
        <v>393</v>
      </c>
      <c r="C139" s="583">
        <v>140606</v>
      </c>
      <c r="D139" s="583">
        <v>0</v>
      </c>
      <c r="E139" s="583">
        <v>94210</v>
      </c>
      <c r="F139" s="583">
        <v>0</v>
      </c>
      <c r="G139" s="583">
        <v>234816</v>
      </c>
      <c r="H139" s="583">
        <v>94210</v>
      </c>
      <c r="I139" s="583">
        <v>74769</v>
      </c>
      <c r="J139" s="583">
        <v>0</v>
      </c>
      <c r="K139" s="583">
        <v>160047</v>
      </c>
      <c r="L139" s="583">
        <v>0</v>
      </c>
      <c r="M139" s="583">
        <v>234816</v>
      </c>
      <c r="N139" s="583">
        <v>254257</v>
      </c>
      <c r="O139" s="583">
        <v>213300</v>
      </c>
      <c r="P139" s="583">
        <v>0</v>
      </c>
      <c r="Q139" s="583">
        <v>0</v>
      </c>
      <c r="R139" s="583">
        <v>0</v>
      </c>
      <c r="S139" s="583">
        <v>213300</v>
      </c>
      <c r="T139" s="583">
        <v>254257</v>
      </c>
      <c r="U139" s="583">
        <v>113259</v>
      </c>
      <c r="V139" s="583">
        <v>0</v>
      </c>
      <c r="W139" s="583">
        <v>121557</v>
      </c>
      <c r="X139" s="583">
        <v>0</v>
      </c>
      <c r="Y139" s="583">
        <v>234816</v>
      </c>
      <c r="Z139" s="583">
        <v>375814</v>
      </c>
      <c r="AA139" s="583">
        <v>985566</v>
      </c>
      <c r="AB139" s="583">
        <v>9097</v>
      </c>
      <c r="AC139" s="583">
        <v>-375814</v>
      </c>
      <c r="AD139" s="583">
        <v>0</v>
      </c>
      <c r="AE139" s="583">
        <v>618849</v>
      </c>
      <c r="AF139" s="583">
        <v>0</v>
      </c>
      <c r="AG139" s="583">
        <v>195215</v>
      </c>
      <c r="AH139" s="583">
        <v>6447</v>
      </c>
      <c r="AI139" s="583">
        <v>39601</v>
      </c>
      <c r="AJ139" s="583">
        <v>0</v>
      </c>
      <c r="AK139" s="583">
        <v>241263</v>
      </c>
      <c r="AL139" s="583">
        <v>39601</v>
      </c>
      <c r="AM139" s="583">
        <v>388054</v>
      </c>
      <c r="AN139" s="583">
        <v>37673</v>
      </c>
      <c r="AO139" s="583">
        <v>-31372</v>
      </c>
      <c r="AP139" s="583">
        <v>0</v>
      </c>
      <c r="AQ139" s="583">
        <v>394355</v>
      </c>
      <c r="AR139" s="583">
        <v>8229</v>
      </c>
      <c r="AS139" s="583">
        <v>128180</v>
      </c>
      <c r="AT139" s="583">
        <v>0</v>
      </c>
      <c r="AU139" s="583">
        <v>106636</v>
      </c>
      <c r="AV139" s="583">
        <v>0</v>
      </c>
      <c r="AW139" s="583">
        <v>234816</v>
      </c>
      <c r="AX139" s="583">
        <v>114865</v>
      </c>
      <c r="AY139" s="583">
        <v>248139</v>
      </c>
      <c r="AZ139" s="583">
        <v>9236</v>
      </c>
      <c r="BA139" s="583">
        <v>0</v>
      </c>
      <c r="BB139" s="583">
        <v>0</v>
      </c>
      <c r="BC139" s="583">
        <v>257375</v>
      </c>
      <c r="BD139" s="583">
        <v>114865</v>
      </c>
      <c r="BE139" s="583">
        <v>523564</v>
      </c>
      <c r="BF139" s="583">
        <v>0</v>
      </c>
      <c r="BG139" s="583">
        <v>-114865</v>
      </c>
      <c r="BH139" s="583">
        <v>0</v>
      </c>
      <c r="BI139" s="583">
        <v>408699</v>
      </c>
      <c r="BJ139" s="583">
        <v>0</v>
      </c>
      <c r="BK139" s="583">
        <v>194317</v>
      </c>
      <c r="BL139" s="583">
        <v>0</v>
      </c>
      <c r="BM139" s="583">
        <v>40499</v>
      </c>
      <c r="BN139" s="583">
        <v>0</v>
      </c>
      <c r="BO139" s="583">
        <v>234816</v>
      </c>
      <c r="BP139" s="583">
        <v>40499</v>
      </c>
      <c r="BQ139" s="583">
        <v>372365</v>
      </c>
      <c r="BR139" s="583">
        <v>60699</v>
      </c>
      <c r="BS139" s="583">
        <v>-40499</v>
      </c>
      <c r="BT139" s="583">
        <v>0</v>
      </c>
      <c r="BU139" s="583">
        <v>392565</v>
      </c>
      <c r="BV139" s="583">
        <v>0</v>
      </c>
    </row>
    <row r="140" spans="1:74" x14ac:dyDescent="0.2">
      <c r="A140" s="580">
        <v>7403</v>
      </c>
      <c r="B140" s="580" t="s">
        <v>394</v>
      </c>
      <c r="C140" s="583">
        <v>290019</v>
      </c>
      <c r="D140" s="583">
        <v>0</v>
      </c>
      <c r="E140" s="583">
        <v>149924</v>
      </c>
      <c r="F140" s="583">
        <v>0</v>
      </c>
      <c r="G140" s="583">
        <v>439943</v>
      </c>
      <c r="H140" s="583">
        <v>149924</v>
      </c>
      <c r="I140" s="583">
        <v>154223</v>
      </c>
      <c r="J140" s="583">
        <v>0</v>
      </c>
      <c r="K140" s="583">
        <v>285720</v>
      </c>
      <c r="L140" s="583">
        <v>0</v>
      </c>
      <c r="M140" s="583">
        <v>439943</v>
      </c>
      <c r="N140" s="583">
        <v>435644</v>
      </c>
      <c r="O140" s="583">
        <v>439962</v>
      </c>
      <c r="P140" s="583">
        <v>0</v>
      </c>
      <c r="Q140" s="583">
        <v>0</v>
      </c>
      <c r="R140" s="583">
        <v>0</v>
      </c>
      <c r="S140" s="583">
        <v>439962</v>
      </c>
      <c r="T140" s="583">
        <v>435644</v>
      </c>
      <c r="U140" s="583">
        <v>233613</v>
      </c>
      <c r="V140" s="583">
        <v>0</v>
      </c>
      <c r="W140" s="583">
        <v>206330</v>
      </c>
      <c r="X140" s="583">
        <v>0</v>
      </c>
      <c r="Y140" s="583">
        <v>439943</v>
      </c>
      <c r="Z140" s="583">
        <v>641974</v>
      </c>
      <c r="AA140" s="583">
        <v>2032871</v>
      </c>
      <c r="AB140" s="583">
        <v>18763</v>
      </c>
      <c r="AC140" s="583">
        <v>-641974</v>
      </c>
      <c r="AD140" s="583">
        <v>0</v>
      </c>
      <c r="AE140" s="583">
        <v>1409660</v>
      </c>
      <c r="AF140" s="583">
        <v>0</v>
      </c>
      <c r="AG140" s="583">
        <v>402660</v>
      </c>
      <c r="AH140" s="583">
        <v>13297</v>
      </c>
      <c r="AI140" s="583">
        <v>37283</v>
      </c>
      <c r="AJ140" s="583">
        <v>0</v>
      </c>
      <c r="AK140" s="583">
        <v>453240</v>
      </c>
      <c r="AL140" s="583">
        <v>37283</v>
      </c>
      <c r="AM140" s="583">
        <v>800416</v>
      </c>
      <c r="AN140" s="583">
        <v>77706</v>
      </c>
      <c r="AO140" s="583">
        <v>-37283</v>
      </c>
      <c r="AP140" s="583">
        <v>0</v>
      </c>
      <c r="AQ140" s="583">
        <v>840839</v>
      </c>
      <c r="AR140" s="583">
        <v>0</v>
      </c>
      <c r="AS140" s="583">
        <v>264390</v>
      </c>
      <c r="AT140" s="583">
        <v>0</v>
      </c>
      <c r="AU140" s="583">
        <v>175553</v>
      </c>
      <c r="AV140" s="583">
        <v>0</v>
      </c>
      <c r="AW140" s="583">
        <v>439943</v>
      </c>
      <c r="AX140" s="583">
        <v>175553</v>
      </c>
      <c r="AY140" s="583">
        <v>511823</v>
      </c>
      <c r="AZ140" s="583">
        <v>19050</v>
      </c>
      <c r="BA140" s="583">
        <v>0</v>
      </c>
      <c r="BB140" s="583">
        <v>0</v>
      </c>
      <c r="BC140" s="583">
        <v>530873</v>
      </c>
      <c r="BD140" s="583">
        <v>175553</v>
      </c>
      <c r="BE140" s="583">
        <v>1079925</v>
      </c>
      <c r="BF140" s="583">
        <v>0</v>
      </c>
      <c r="BG140" s="583">
        <v>-175553</v>
      </c>
      <c r="BH140" s="583">
        <v>0</v>
      </c>
      <c r="BI140" s="583">
        <v>904372</v>
      </c>
      <c r="BJ140" s="583">
        <v>0</v>
      </c>
      <c r="BK140" s="583">
        <v>400806</v>
      </c>
      <c r="BL140" s="583">
        <v>0</v>
      </c>
      <c r="BM140" s="583">
        <v>39137</v>
      </c>
      <c r="BN140" s="583">
        <v>0</v>
      </c>
      <c r="BO140" s="583">
        <v>439943</v>
      </c>
      <c r="BP140" s="583">
        <v>39137</v>
      </c>
      <c r="BQ140" s="583">
        <v>768056</v>
      </c>
      <c r="BR140" s="583">
        <v>125201</v>
      </c>
      <c r="BS140" s="583">
        <v>-39137</v>
      </c>
      <c r="BT140" s="583">
        <v>0</v>
      </c>
      <c r="BU140" s="583">
        <v>854120</v>
      </c>
      <c r="BV140" s="583">
        <v>0</v>
      </c>
    </row>
    <row r="141" spans="1:74" x14ac:dyDescent="0.2">
      <c r="A141" s="580">
        <v>7404</v>
      </c>
      <c r="B141" s="580" t="s">
        <v>162</v>
      </c>
      <c r="C141" s="583">
        <v>345960</v>
      </c>
      <c r="D141" s="583">
        <v>0</v>
      </c>
      <c r="E141" s="583">
        <v>177084</v>
      </c>
      <c r="F141" s="583">
        <v>0</v>
      </c>
      <c r="G141" s="583">
        <v>523044</v>
      </c>
      <c r="H141" s="583">
        <v>177084</v>
      </c>
      <c r="I141" s="583">
        <v>183970</v>
      </c>
      <c r="J141" s="583">
        <v>0</v>
      </c>
      <c r="K141" s="583">
        <v>339074</v>
      </c>
      <c r="L141" s="583">
        <v>0</v>
      </c>
      <c r="M141" s="583">
        <v>523044</v>
      </c>
      <c r="N141" s="583">
        <v>516158</v>
      </c>
      <c r="O141" s="583">
        <v>524825</v>
      </c>
      <c r="P141" s="583">
        <v>0</v>
      </c>
      <c r="Q141" s="583">
        <v>0</v>
      </c>
      <c r="R141" s="583">
        <v>0</v>
      </c>
      <c r="S141" s="583">
        <v>524825</v>
      </c>
      <c r="T141" s="583">
        <v>516158</v>
      </c>
      <c r="U141" s="583">
        <v>278674</v>
      </c>
      <c r="V141" s="583">
        <v>0</v>
      </c>
      <c r="W141" s="583">
        <v>244370</v>
      </c>
      <c r="X141" s="583">
        <v>0</v>
      </c>
      <c r="Y141" s="583">
        <v>523044</v>
      </c>
      <c r="Z141" s="583">
        <v>760528</v>
      </c>
      <c r="AA141" s="583">
        <v>2424985</v>
      </c>
      <c r="AB141" s="583">
        <v>22382</v>
      </c>
      <c r="AC141" s="583">
        <v>-760528</v>
      </c>
      <c r="AD141" s="583">
        <v>0</v>
      </c>
      <c r="AE141" s="583">
        <v>1686839</v>
      </c>
      <c r="AF141" s="583">
        <v>0</v>
      </c>
      <c r="AG141" s="583">
        <v>480327</v>
      </c>
      <c r="AH141" s="583">
        <v>15862</v>
      </c>
      <c r="AI141" s="583">
        <v>42717</v>
      </c>
      <c r="AJ141" s="583">
        <v>0</v>
      </c>
      <c r="AK141" s="583">
        <v>538906</v>
      </c>
      <c r="AL141" s="583">
        <v>42717</v>
      </c>
      <c r="AM141" s="583">
        <v>954806</v>
      </c>
      <c r="AN141" s="583">
        <v>92694</v>
      </c>
      <c r="AO141" s="583">
        <v>-42717</v>
      </c>
      <c r="AP141" s="583">
        <v>0</v>
      </c>
      <c r="AQ141" s="583">
        <v>1004783</v>
      </c>
      <c r="AR141" s="583">
        <v>0</v>
      </c>
      <c r="AS141" s="583">
        <v>315387</v>
      </c>
      <c r="AT141" s="583">
        <v>0</v>
      </c>
      <c r="AU141" s="583">
        <v>207657</v>
      </c>
      <c r="AV141" s="583">
        <v>0</v>
      </c>
      <c r="AW141" s="583">
        <v>523044</v>
      </c>
      <c r="AX141" s="583">
        <v>207657</v>
      </c>
      <c r="AY141" s="583">
        <v>610547</v>
      </c>
      <c r="AZ141" s="583">
        <v>22724</v>
      </c>
      <c r="BA141" s="583">
        <v>0</v>
      </c>
      <c r="BB141" s="583">
        <v>0</v>
      </c>
      <c r="BC141" s="583">
        <v>633271</v>
      </c>
      <c r="BD141" s="583">
        <v>207657</v>
      </c>
      <c r="BE141" s="583">
        <v>1288228</v>
      </c>
      <c r="BF141" s="583">
        <v>0</v>
      </c>
      <c r="BG141" s="583">
        <v>-207657</v>
      </c>
      <c r="BH141" s="583">
        <v>0</v>
      </c>
      <c r="BI141" s="583">
        <v>1080571</v>
      </c>
      <c r="BJ141" s="583">
        <v>0</v>
      </c>
      <c r="BK141" s="583">
        <v>478117</v>
      </c>
      <c r="BL141" s="583">
        <v>0</v>
      </c>
      <c r="BM141" s="583">
        <v>44927</v>
      </c>
      <c r="BN141" s="583">
        <v>0</v>
      </c>
      <c r="BO141" s="583">
        <v>523044</v>
      </c>
      <c r="BP141" s="583">
        <v>44927</v>
      </c>
      <c r="BQ141" s="583">
        <v>916204</v>
      </c>
      <c r="BR141" s="583">
        <v>149351</v>
      </c>
      <c r="BS141" s="583">
        <v>-44927</v>
      </c>
      <c r="BT141" s="583">
        <v>0</v>
      </c>
      <c r="BU141" s="583">
        <v>1020628</v>
      </c>
      <c r="BV141" s="583">
        <v>0</v>
      </c>
    </row>
    <row r="142" spans="1:74" x14ac:dyDescent="0.2">
      <c r="A142" s="580">
        <v>7405</v>
      </c>
      <c r="B142" s="580" t="s">
        <v>163</v>
      </c>
      <c r="C142" s="583">
        <v>201299</v>
      </c>
      <c r="D142" s="583">
        <v>0</v>
      </c>
      <c r="E142" s="583">
        <v>93479</v>
      </c>
      <c r="F142" s="583">
        <v>0</v>
      </c>
      <c r="G142" s="583">
        <v>294778</v>
      </c>
      <c r="H142" s="583">
        <v>93479</v>
      </c>
      <c r="I142" s="583">
        <v>107044</v>
      </c>
      <c r="J142" s="583">
        <v>0</v>
      </c>
      <c r="K142" s="583">
        <v>187734</v>
      </c>
      <c r="L142" s="583">
        <v>0</v>
      </c>
      <c r="M142" s="583">
        <v>294778</v>
      </c>
      <c r="N142" s="583">
        <v>281213</v>
      </c>
      <c r="O142" s="583">
        <v>305372</v>
      </c>
      <c r="P142" s="583">
        <v>0</v>
      </c>
      <c r="Q142" s="583">
        <v>0</v>
      </c>
      <c r="R142" s="583">
        <v>0</v>
      </c>
      <c r="S142" s="583">
        <v>305372</v>
      </c>
      <c r="T142" s="583">
        <v>281213</v>
      </c>
      <c r="U142" s="583">
        <v>162148</v>
      </c>
      <c r="V142" s="583">
        <v>0</v>
      </c>
      <c r="W142" s="583">
        <v>132630</v>
      </c>
      <c r="X142" s="583">
        <v>0</v>
      </c>
      <c r="Y142" s="583">
        <v>294778</v>
      </c>
      <c r="Z142" s="583">
        <v>413843</v>
      </c>
      <c r="AA142" s="583">
        <v>1410989</v>
      </c>
      <c r="AB142" s="583">
        <v>13023</v>
      </c>
      <c r="AC142" s="583">
        <v>-413843</v>
      </c>
      <c r="AD142" s="583">
        <v>0</v>
      </c>
      <c r="AE142" s="583">
        <v>1010169</v>
      </c>
      <c r="AF142" s="583">
        <v>0</v>
      </c>
      <c r="AG142" s="583">
        <v>279481</v>
      </c>
      <c r="AH142" s="583">
        <v>9230</v>
      </c>
      <c r="AI142" s="583">
        <v>15297</v>
      </c>
      <c r="AJ142" s="583">
        <v>0</v>
      </c>
      <c r="AK142" s="583">
        <v>304008</v>
      </c>
      <c r="AL142" s="583">
        <v>15297</v>
      </c>
      <c r="AM142" s="583">
        <v>555558</v>
      </c>
      <c r="AN142" s="583">
        <v>53935</v>
      </c>
      <c r="AO142" s="583">
        <v>-15297</v>
      </c>
      <c r="AP142" s="583">
        <v>0</v>
      </c>
      <c r="AQ142" s="583">
        <v>594196</v>
      </c>
      <c r="AR142" s="583">
        <v>0</v>
      </c>
      <c r="AS142" s="583">
        <v>183509</v>
      </c>
      <c r="AT142" s="583">
        <v>0</v>
      </c>
      <c r="AU142" s="583">
        <v>111269</v>
      </c>
      <c r="AV142" s="583">
        <v>0</v>
      </c>
      <c r="AW142" s="583">
        <v>294778</v>
      </c>
      <c r="AX142" s="583">
        <v>111269</v>
      </c>
      <c r="AY142" s="583">
        <v>355250</v>
      </c>
      <c r="AZ142" s="583">
        <v>13222</v>
      </c>
      <c r="BA142" s="583">
        <v>0</v>
      </c>
      <c r="BB142" s="583">
        <v>0</v>
      </c>
      <c r="BC142" s="583">
        <v>368472</v>
      </c>
      <c r="BD142" s="583">
        <v>111269</v>
      </c>
      <c r="BE142" s="583">
        <v>749562</v>
      </c>
      <c r="BF142" s="583">
        <v>0</v>
      </c>
      <c r="BG142" s="583">
        <v>-111269</v>
      </c>
      <c r="BH142" s="583">
        <v>0</v>
      </c>
      <c r="BI142" s="583">
        <v>638293</v>
      </c>
      <c r="BJ142" s="583">
        <v>0</v>
      </c>
      <c r="BK142" s="583">
        <v>278195</v>
      </c>
      <c r="BL142" s="583">
        <v>0</v>
      </c>
      <c r="BM142" s="583">
        <v>16583</v>
      </c>
      <c r="BN142" s="583">
        <v>0</v>
      </c>
      <c r="BO142" s="583">
        <v>294778</v>
      </c>
      <c r="BP142" s="583">
        <v>16583</v>
      </c>
      <c r="BQ142" s="583">
        <v>533098</v>
      </c>
      <c r="BR142" s="583">
        <v>86900</v>
      </c>
      <c r="BS142" s="583">
        <v>-16583</v>
      </c>
      <c r="BT142" s="583">
        <v>0</v>
      </c>
      <c r="BU142" s="583">
        <v>603415</v>
      </c>
      <c r="BV142" s="583">
        <v>0</v>
      </c>
    </row>
    <row r="143" spans="1:74" x14ac:dyDescent="0.2">
      <c r="A143" s="580">
        <v>7406</v>
      </c>
      <c r="B143" s="580" t="s">
        <v>165</v>
      </c>
      <c r="C143" s="583">
        <v>348714</v>
      </c>
      <c r="D143" s="583">
        <v>0</v>
      </c>
      <c r="E143" s="583">
        <v>193604</v>
      </c>
      <c r="F143" s="583">
        <v>0</v>
      </c>
      <c r="G143" s="583">
        <v>542318</v>
      </c>
      <c r="H143" s="583">
        <v>193604</v>
      </c>
      <c r="I143" s="583">
        <v>185434</v>
      </c>
      <c r="J143" s="583">
        <v>0</v>
      </c>
      <c r="K143" s="583">
        <v>356884</v>
      </c>
      <c r="L143" s="583">
        <v>0</v>
      </c>
      <c r="M143" s="583">
        <v>542318</v>
      </c>
      <c r="N143" s="583">
        <v>550488</v>
      </c>
      <c r="O143" s="583">
        <v>529002</v>
      </c>
      <c r="P143" s="583">
        <v>0</v>
      </c>
      <c r="Q143" s="583">
        <v>0</v>
      </c>
      <c r="R143" s="583">
        <v>0</v>
      </c>
      <c r="S143" s="583">
        <v>529002</v>
      </c>
      <c r="T143" s="583">
        <v>550488</v>
      </c>
      <c r="U143" s="583">
        <v>280892</v>
      </c>
      <c r="V143" s="583">
        <v>0</v>
      </c>
      <c r="W143" s="583">
        <v>261426</v>
      </c>
      <c r="X143" s="583">
        <v>0</v>
      </c>
      <c r="Y143" s="583">
        <v>542318</v>
      </c>
      <c r="Z143" s="583">
        <v>811914</v>
      </c>
      <c r="AA143" s="583">
        <v>2444284</v>
      </c>
      <c r="AB143" s="583">
        <v>22560</v>
      </c>
      <c r="AC143" s="583">
        <v>-811914</v>
      </c>
      <c r="AD143" s="583">
        <v>0</v>
      </c>
      <c r="AE143" s="583">
        <v>1654930</v>
      </c>
      <c r="AF143" s="583">
        <v>0</v>
      </c>
      <c r="AG143" s="583">
        <v>484150</v>
      </c>
      <c r="AH143" s="583">
        <v>15989</v>
      </c>
      <c r="AI143" s="583">
        <v>58168</v>
      </c>
      <c r="AJ143" s="583">
        <v>0</v>
      </c>
      <c r="AK143" s="583">
        <v>558307</v>
      </c>
      <c r="AL143" s="583">
        <v>58168</v>
      </c>
      <c r="AM143" s="583">
        <v>962405</v>
      </c>
      <c r="AN143" s="583">
        <v>93432</v>
      </c>
      <c r="AO143" s="583">
        <v>-58168</v>
      </c>
      <c r="AP143" s="583">
        <v>0</v>
      </c>
      <c r="AQ143" s="583">
        <v>997669</v>
      </c>
      <c r="AR143" s="583">
        <v>0</v>
      </c>
      <c r="AS143" s="583">
        <v>317897</v>
      </c>
      <c r="AT143" s="583">
        <v>0</v>
      </c>
      <c r="AU143" s="583">
        <v>224421</v>
      </c>
      <c r="AV143" s="583">
        <v>0</v>
      </c>
      <c r="AW143" s="583">
        <v>542318</v>
      </c>
      <c r="AX143" s="583">
        <v>224421</v>
      </c>
      <c r="AY143" s="583">
        <v>615406</v>
      </c>
      <c r="AZ143" s="583">
        <v>22905</v>
      </c>
      <c r="BA143" s="583">
        <v>0</v>
      </c>
      <c r="BB143" s="583">
        <v>0</v>
      </c>
      <c r="BC143" s="583">
        <v>638311</v>
      </c>
      <c r="BD143" s="583">
        <v>224421</v>
      </c>
      <c r="BE143" s="583">
        <v>1298481</v>
      </c>
      <c r="BF143" s="583">
        <v>0</v>
      </c>
      <c r="BG143" s="583">
        <v>-224421</v>
      </c>
      <c r="BH143" s="583">
        <v>0</v>
      </c>
      <c r="BI143" s="583">
        <v>1074060</v>
      </c>
      <c r="BJ143" s="583">
        <v>0</v>
      </c>
      <c r="BK143" s="583">
        <v>481922</v>
      </c>
      <c r="BL143" s="583">
        <v>0</v>
      </c>
      <c r="BM143" s="583">
        <v>60396</v>
      </c>
      <c r="BN143" s="583">
        <v>0</v>
      </c>
      <c r="BO143" s="583">
        <v>542318</v>
      </c>
      <c r="BP143" s="583">
        <v>60396</v>
      </c>
      <c r="BQ143" s="583">
        <v>923495</v>
      </c>
      <c r="BR143" s="583">
        <v>150539</v>
      </c>
      <c r="BS143" s="583">
        <v>-60396</v>
      </c>
      <c r="BT143" s="583">
        <v>0</v>
      </c>
      <c r="BU143" s="583">
        <v>1013638</v>
      </c>
      <c r="BV143" s="583">
        <v>0</v>
      </c>
    </row>
    <row r="144" spans="1:74" x14ac:dyDescent="0.2">
      <c r="A144" s="580">
        <v>7407</v>
      </c>
      <c r="B144" s="580" t="s">
        <v>164</v>
      </c>
      <c r="C144" s="583">
        <v>163969</v>
      </c>
      <c r="D144" s="583">
        <v>0</v>
      </c>
      <c r="E144" s="583">
        <v>82196</v>
      </c>
      <c r="F144" s="583">
        <v>0</v>
      </c>
      <c r="G144" s="583">
        <v>246165</v>
      </c>
      <c r="H144" s="583">
        <v>82196</v>
      </c>
      <c r="I144" s="583">
        <v>87193</v>
      </c>
      <c r="J144" s="583">
        <v>0</v>
      </c>
      <c r="K144" s="583">
        <v>158972</v>
      </c>
      <c r="L144" s="583">
        <v>0</v>
      </c>
      <c r="M144" s="583">
        <v>246165</v>
      </c>
      <c r="N144" s="583">
        <v>241168</v>
      </c>
      <c r="O144" s="583">
        <v>248743</v>
      </c>
      <c r="P144" s="583">
        <v>0</v>
      </c>
      <c r="Q144" s="583">
        <v>0</v>
      </c>
      <c r="R144" s="583">
        <v>0</v>
      </c>
      <c r="S144" s="583">
        <v>248743</v>
      </c>
      <c r="T144" s="583">
        <v>241168</v>
      </c>
      <c r="U144" s="583">
        <v>132079</v>
      </c>
      <c r="V144" s="583">
        <v>0</v>
      </c>
      <c r="W144" s="583">
        <v>114086</v>
      </c>
      <c r="X144" s="583">
        <v>0</v>
      </c>
      <c r="Y144" s="583">
        <v>246165</v>
      </c>
      <c r="Z144" s="583">
        <v>355254</v>
      </c>
      <c r="AA144" s="583">
        <v>1149331</v>
      </c>
      <c r="AB144" s="583">
        <v>10608</v>
      </c>
      <c r="AC144" s="583">
        <v>-355254</v>
      </c>
      <c r="AD144" s="583">
        <v>0</v>
      </c>
      <c r="AE144" s="583">
        <v>804685</v>
      </c>
      <c r="AF144" s="583">
        <v>0</v>
      </c>
      <c r="AG144" s="583">
        <v>227653</v>
      </c>
      <c r="AH144" s="583">
        <v>7518</v>
      </c>
      <c r="AI144" s="583">
        <v>18512</v>
      </c>
      <c r="AJ144" s="583">
        <v>0</v>
      </c>
      <c r="AK144" s="583">
        <v>253683</v>
      </c>
      <c r="AL144" s="583">
        <v>18512</v>
      </c>
      <c r="AM144" s="583">
        <v>452534</v>
      </c>
      <c r="AN144" s="583">
        <v>43933</v>
      </c>
      <c r="AO144" s="583">
        <v>-18512</v>
      </c>
      <c r="AP144" s="583">
        <v>0</v>
      </c>
      <c r="AQ144" s="583">
        <v>477955</v>
      </c>
      <c r="AR144" s="583">
        <v>0</v>
      </c>
      <c r="AS144" s="583">
        <v>149479</v>
      </c>
      <c r="AT144" s="583">
        <v>0</v>
      </c>
      <c r="AU144" s="583">
        <v>96686</v>
      </c>
      <c r="AV144" s="583">
        <v>0</v>
      </c>
      <c r="AW144" s="583">
        <v>246165</v>
      </c>
      <c r="AX144" s="583">
        <v>96686</v>
      </c>
      <c r="AY144" s="583">
        <v>289371</v>
      </c>
      <c r="AZ144" s="583">
        <v>10770</v>
      </c>
      <c r="BA144" s="583">
        <v>0</v>
      </c>
      <c r="BB144" s="583">
        <v>0</v>
      </c>
      <c r="BC144" s="583">
        <v>300141</v>
      </c>
      <c r="BD144" s="583">
        <v>96686</v>
      </c>
      <c r="BE144" s="583">
        <v>610561</v>
      </c>
      <c r="BF144" s="583">
        <v>0</v>
      </c>
      <c r="BG144" s="583">
        <v>-96686</v>
      </c>
      <c r="BH144" s="583">
        <v>0</v>
      </c>
      <c r="BI144" s="583">
        <v>513875</v>
      </c>
      <c r="BJ144" s="583">
        <v>0</v>
      </c>
      <c r="BK144" s="583">
        <v>226605</v>
      </c>
      <c r="BL144" s="583">
        <v>0</v>
      </c>
      <c r="BM144" s="583">
        <v>19560</v>
      </c>
      <c r="BN144" s="583">
        <v>0</v>
      </c>
      <c r="BO144" s="583">
        <v>246165</v>
      </c>
      <c r="BP144" s="583">
        <v>19560</v>
      </c>
      <c r="BQ144" s="583">
        <v>434238</v>
      </c>
      <c r="BR144" s="583">
        <v>70785</v>
      </c>
      <c r="BS144" s="583">
        <v>-19560</v>
      </c>
      <c r="BT144" s="583">
        <v>0</v>
      </c>
      <c r="BU144" s="583">
        <v>485463</v>
      </c>
      <c r="BV144" s="583">
        <v>0</v>
      </c>
    </row>
    <row r="145" spans="1:74" x14ac:dyDescent="0.2">
      <c r="A145" s="580">
        <v>7408</v>
      </c>
      <c r="B145" s="580" t="s">
        <v>161</v>
      </c>
      <c r="C145" s="583">
        <v>147476</v>
      </c>
      <c r="D145" s="583">
        <v>0</v>
      </c>
      <c r="E145" s="583">
        <v>72790</v>
      </c>
      <c r="F145" s="583">
        <v>0</v>
      </c>
      <c r="G145" s="583">
        <v>220266</v>
      </c>
      <c r="H145" s="583">
        <v>72790</v>
      </c>
      <c r="I145" s="583">
        <v>78423</v>
      </c>
      <c r="J145" s="583">
        <v>0</v>
      </c>
      <c r="K145" s="583">
        <v>141843</v>
      </c>
      <c r="L145" s="583">
        <v>0</v>
      </c>
      <c r="M145" s="583">
        <v>220266</v>
      </c>
      <c r="N145" s="583">
        <v>214633</v>
      </c>
      <c r="O145" s="583">
        <v>223722</v>
      </c>
      <c r="P145" s="583">
        <v>0</v>
      </c>
      <c r="Q145" s="583">
        <v>0</v>
      </c>
      <c r="R145" s="583">
        <v>0</v>
      </c>
      <c r="S145" s="583">
        <v>223722</v>
      </c>
      <c r="T145" s="583">
        <v>214633</v>
      </c>
      <c r="U145" s="583">
        <v>118793</v>
      </c>
      <c r="V145" s="583">
        <v>0</v>
      </c>
      <c r="W145" s="583">
        <v>101473</v>
      </c>
      <c r="X145" s="583">
        <v>0</v>
      </c>
      <c r="Y145" s="583">
        <v>220266</v>
      </c>
      <c r="Z145" s="583">
        <v>316106</v>
      </c>
      <c r="AA145" s="583">
        <v>1033721</v>
      </c>
      <c r="AB145" s="583">
        <v>9541</v>
      </c>
      <c r="AC145" s="583">
        <v>-316106</v>
      </c>
      <c r="AD145" s="583">
        <v>0</v>
      </c>
      <c r="AE145" s="583">
        <v>727156</v>
      </c>
      <c r="AF145" s="583">
        <v>0</v>
      </c>
      <c r="AG145" s="583">
        <v>204754</v>
      </c>
      <c r="AH145" s="583">
        <v>6762</v>
      </c>
      <c r="AI145" s="583">
        <v>15512</v>
      </c>
      <c r="AJ145" s="583">
        <v>0</v>
      </c>
      <c r="AK145" s="583">
        <v>227028</v>
      </c>
      <c r="AL145" s="583">
        <v>15512</v>
      </c>
      <c r="AM145" s="583">
        <v>407014</v>
      </c>
      <c r="AN145" s="583">
        <v>39514</v>
      </c>
      <c r="AO145" s="583">
        <v>-15512</v>
      </c>
      <c r="AP145" s="583">
        <v>0</v>
      </c>
      <c r="AQ145" s="583">
        <v>431016</v>
      </c>
      <c r="AR145" s="583">
        <v>0</v>
      </c>
      <c r="AS145" s="583">
        <v>134443</v>
      </c>
      <c r="AT145" s="583">
        <v>0</v>
      </c>
      <c r="AU145" s="583">
        <v>85823</v>
      </c>
      <c r="AV145" s="583">
        <v>0</v>
      </c>
      <c r="AW145" s="583">
        <v>220266</v>
      </c>
      <c r="AX145" s="583">
        <v>85823</v>
      </c>
      <c r="AY145" s="583">
        <v>260264</v>
      </c>
      <c r="AZ145" s="583">
        <v>9687</v>
      </c>
      <c r="BA145" s="583">
        <v>0</v>
      </c>
      <c r="BB145" s="583">
        <v>0</v>
      </c>
      <c r="BC145" s="583">
        <v>269951</v>
      </c>
      <c r="BD145" s="583">
        <v>85823</v>
      </c>
      <c r="BE145" s="583">
        <v>549145</v>
      </c>
      <c r="BF145" s="583">
        <v>0</v>
      </c>
      <c r="BG145" s="583">
        <v>-85823</v>
      </c>
      <c r="BH145" s="583">
        <v>0</v>
      </c>
      <c r="BI145" s="583">
        <v>463322</v>
      </c>
      <c r="BJ145" s="583">
        <v>0</v>
      </c>
      <c r="BK145" s="583">
        <v>203811</v>
      </c>
      <c r="BL145" s="583">
        <v>0</v>
      </c>
      <c r="BM145" s="583">
        <v>16455</v>
      </c>
      <c r="BN145" s="583">
        <v>0</v>
      </c>
      <c r="BO145" s="583">
        <v>220266</v>
      </c>
      <c r="BP145" s="583">
        <v>16455</v>
      </c>
      <c r="BQ145" s="583">
        <v>390559</v>
      </c>
      <c r="BR145" s="583">
        <v>63665</v>
      </c>
      <c r="BS145" s="583">
        <v>-16455</v>
      </c>
      <c r="BT145" s="583">
        <v>0</v>
      </c>
      <c r="BU145" s="583">
        <v>437769</v>
      </c>
      <c r="BV145" s="583">
        <v>0</v>
      </c>
    </row>
    <row r="146" spans="1:74" x14ac:dyDescent="0.2">
      <c r="A146" s="580">
        <v>8101</v>
      </c>
      <c r="B146" s="580" t="s">
        <v>395</v>
      </c>
      <c r="C146" s="583">
        <v>338657</v>
      </c>
      <c r="D146" s="583">
        <v>0</v>
      </c>
      <c r="E146" s="583">
        <v>197111</v>
      </c>
      <c r="F146" s="583">
        <v>0</v>
      </c>
      <c r="G146" s="583">
        <v>535768</v>
      </c>
      <c r="H146" s="583">
        <v>197111</v>
      </c>
      <c r="I146" s="583">
        <v>180086</v>
      </c>
      <c r="J146" s="583">
        <v>0</v>
      </c>
      <c r="K146" s="583">
        <v>355682</v>
      </c>
      <c r="L146" s="583">
        <v>0</v>
      </c>
      <c r="M146" s="583">
        <v>535768</v>
      </c>
      <c r="N146" s="583">
        <v>552793</v>
      </c>
      <c r="O146" s="583">
        <v>513746</v>
      </c>
      <c r="P146" s="583">
        <v>0</v>
      </c>
      <c r="Q146" s="583">
        <v>0</v>
      </c>
      <c r="R146" s="583">
        <v>0</v>
      </c>
      <c r="S146" s="583">
        <v>513746</v>
      </c>
      <c r="T146" s="583">
        <v>552793</v>
      </c>
      <c r="U146" s="583">
        <v>272791</v>
      </c>
      <c r="V146" s="583">
        <v>0</v>
      </c>
      <c r="W146" s="583">
        <v>262977</v>
      </c>
      <c r="X146" s="583">
        <v>0</v>
      </c>
      <c r="Y146" s="583">
        <v>535768</v>
      </c>
      <c r="Z146" s="583">
        <v>815770</v>
      </c>
      <c r="AA146" s="583">
        <v>2373794</v>
      </c>
      <c r="AB146" s="583">
        <v>21910</v>
      </c>
      <c r="AC146" s="583">
        <v>-815770</v>
      </c>
      <c r="AD146" s="583">
        <v>0</v>
      </c>
      <c r="AE146" s="583">
        <v>1579934</v>
      </c>
      <c r="AF146" s="583">
        <v>0</v>
      </c>
      <c r="AG146" s="583">
        <v>470188</v>
      </c>
      <c r="AH146" s="583">
        <v>15527</v>
      </c>
      <c r="AI146" s="583">
        <v>65580</v>
      </c>
      <c r="AJ146" s="583">
        <v>0</v>
      </c>
      <c r="AK146" s="583">
        <v>551295</v>
      </c>
      <c r="AL146" s="583">
        <v>65580</v>
      </c>
      <c r="AM146" s="583">
        <v>934650</v>
      </c>
      <c r="AN146" s="583">
        <v>90738</v>
      </c>
      <c r="AO146" s="583">
        <v>-65580</v>
      </c>
      <c r="AP146" s="583">
        <v>0</v>
      </c>
      <c r="AQ146" s="583">
        <v>959808</v>
      </c>
      <c r="AR146" s="583">
        <v>0</v>
      </c>
      <c r="AS146" s="583">
        <v>308729</v>
      </c>
      <c r="AT146" s="583">
        <v>0</v>
      </c>
      <c r="AU146" s="583">
        <v>227039</v>
      </c>
      <c r="AV146" s="583">
        <v>0</v>
      </c>
      <c r="AW146" s="583">
        <v>535768</v>
      </c>
      <c r="AX146" s="583">
        <v>227039</v>
      </c>
      <c r="AY146" s="583">
        <v>597659</v>
      </c>
      <c r="AZ146" s="583">
        <v>22244</v>
      </c>
      <c r="BA146" s="583">
        <v>0</v>
      </c>
      <c r="BB146" s="583">
        <v>0</v>
      </c>
      <c r="BC146" s="583">
        <v>619903</v>
      </c>
      <c r="BD146" s="583">
        <v>227039</v>
      </c>
      <c r="BE146" s="583">
        <v>1261034</v>
      </c>
      <c r="BF146" s="583">
        <v>0</v>
      </c>
      <c r="BG146" s="583">
        <v>-227039</v>
      </c>
      <c r="BH146" s="583">
        <v>0</v>
      </c>
      <c r="BI146" s="583">
        <v>1033995</v>
      </c>
      <c r="BJ146" s="583">
        <v>0</v>
      </c>
      <c r="BK146" s="583">
        <v>468024</v>
      </c>
      <c r="BL146" s="583">
        <v>0</v>
      </c>
      <c r="BM146" s="583">
        <v>67744</v>
      </c>
      <c r="BN146" s="583">
        <v>0</v>
      </c>
      <c r="BO146" s="583">
        <v>535768</v>
      </c>
      <c r="BP146" s="583">
        <v>67744</v>
      </c>
      <c r="BQ146" s="583">
        <v>896863</v>
      </c>
      <c r="BR146" s="583">
        <v>146198</v>
      </c>
      <c r="BS146" s="583">
        <v>-67744</v>
      </c>
      <c r="BT146" s="583">
        <v>0</v>
      </c>
      <c r="BU146" s="583">
        <v>975317</v>
      </c>
      <c r="BV146" s="583">
        <v>0</v>
      </c>
    </row>
    <row r="147" spans="1:74" x14ac:dyDescent="0.2">
      <c r="A147" s="580">
        <v>8102</v>
      </c>
      <c r="B147" s="580" t="s">
        <v>187</v>
      </c>
      <c r="C147" s="583">
        <v>511727</v>
      </c>
      <c r="D147" s="583">
        <v>0</v>
      </c>
      <c r="E147" s="583">
        <v>342873</v>
      </c>
      <c r="F147" s="583">
        <v>0</v>
      </c>
      <c r="G147" s="583">
        <v>854600</v>
      </c>
      <c r="H147" s="583">
        <v>342873</v>
      </c>
      <c r="I147" s="583">
        <v>272119</v>
      </c>
      <c r="J147" s="583">
        <v>0</v>
      </c>
      <c r="K147" s="583">
        <v>582481</v>
      </c>
      <c r="L147" s="583">
        <v>0</v>
      </c>
      <c r="M147" s="583">
        <v>854600</v>
      </c>
      <c r="N147" s="583">
        <v>925354</v>
      </c>
      <c r="O147" s="583">
        <v>776295</v>
      </c>
      <c r="P147" s="583">
        <v>0</v>
      </c>
      <c r="Q147" s="583">
        <v>0</v>
      </c>
      <c r="R147" s="583">
        <v>0</v>
      </c>
      <c r="S147" s="583">
        <v>776295</v>
      </c>
      <c r="T147" s="583">
        <v>925354</v>
      </c>
      <c r="U147" s="583">
        <v>412200</v>
      </c>
      <c r="V147" s="583">
        <v>0</v>
      </c>
      <c r="W147" s="583">
        <v>442400</v>
      </c>
      <c r="X147" s="583">
        <v>0</v>
      </c>
      <c r="Y147" s="583">
        <v>854600</v>
      </c>
      <c r="Z147" s="583">
        <v>1367754</v>
      </c>
      <c r="AA147" s="583">
        <v>3586915</v>
      </c>
      <c r="AB147" s="583">
        <v>33106</v>
      </c>
      <c r="AC147" s="583">
        <v>-1367754</v>
      </c>
      <c r="AD147" s="583">
        <v>0</v>
      </c>
      <c r="AE147" s="583">
        <v>2252267</v>
      </c>
      <c r="AF147" s="583">
        <v>0</v>
      </c>
      <c r="AG147" s="583">
        <v>710476</v>
      </c>
      <c r="AH147" s="583">
        <v>23463</v>
      </c>
      <c r="AI147" s="583">
        <v>144124</v>
      </c>
      <c r="AJ147" s="583">
        <v>0</v>
      </c>
      <c r="AK147" s="583">
        <v>878063</v>
      </c>
      <c r="AL147" s="583">
        <v>144124</v>
      </c>
      <c r="AM147" s="583">
        <v>1412300</v>
      </c>
      <c r="AN147" s="583">
        <v>137109</v>
      </c>
      <c r="AO147" s="583">
        <v>-114174</v>
      </c>
      <c r="AP147" s="583">
        <v>0</v>
      </c>
      <c r="AQ147" s="583">
        <v>1435235</v>
      </c>
      <c r="AR147" s="583">
        <v>29950</v>
      </c>
      <c r="AS147" s="583">
        <v>466504</v>
      </c>
      <c r="AT147" s="583">
        <v>0</v>
      </c>
      <c r="AU147" s="583">
        <v>388096</v>
      </c>
      <c r="AV147" s="583">
        <v>0</v>
      </c>
      <c r="AW147" s="583">
        <v>854600</v>
      </c>
      <c r="AX147" s="583">
        <v>418046</v>
      </c>
      <c r="AY147" s="583">
        <v>903091</v>
      </c>
      <c r="AZ147" s="583">
        <v>33612</v>
      </c>
      <c r="BA147" s="583">
        <v>0</v>
      </c>
      <c r="BB147" s="583">
        <v>0</v>
      </c>
      <c r="BC147" s="583">
        <v>936703</v>
      </c>
      <c r="BD147" s="583">
        <v>418046</v>
      </c>
      <c r="BE147" s="583">
        <v>1905482</v>
      </c>
      <c r="BF147" s="583">
        <v>0</v>
      </c>
      <c r="BG147" s="583">
        <v>-418046</v>
      </c>
      <c r="BH147" s="583">
        <v>0</v>
      </c>
      <c r="BI147" s="583">
        <v>1487436</v>
      </c>
      <c r="BJ147" s="583">
        <v>0</v>
      </c>
      <c r="BK147" s="583">
        <v>707206</v>
      </c>
      <c r="BL147" s="583">
        <v>0</v>
      </c>
      <c r="BM147" s="583">
        <v>147394</v>
      </c>
      <c r="BN147" s="583">
        <v>0</v>
      </c>
      <c r="BO147" s="583">
        <v>854600</v>
      </c>
      <c r="BP147" s="583">
        <v>147394</v>
      </c>
      <c r="BQ147" s="583">
        <v>1355202</v>
      </c>
      <c r="BR147" s="583">
        <v>220912</v>
      </c>
      <c r="BS147" s="583">
        <v>-147394</v>
      </c>
      <c r="BT147" s="583">
        <v>0</v>
      </c>
      <c r="BU147" s="583">
        <v>1428720</v>
      </c>
      <c r="BV147" s="583">
        <v>0</v>
      </c>
    </row>
    <row r="148" spans="1:74" x14ac:dyDescent="0.2">
      <c r="A148" s="580">
        <v>8103</v>
      </c>
      <c r="B148" s="580" t="s">
        <v>191</v>
      </c>
      <c r="C148" s="583">
        <v>366201</v>
      </c>
      <c r="D148" s="583">
        <v>0</v>
      </c>
      <c r="E148" s="583">
        <v>245365</v>
      </c>
      <c r="F148" s="583">
        <v>0</v>
      </c>
      <c r="G148" s="583">
        <v>611566</v>
      </c>
      <c r="H148" s="583">
        <v>245365</v>
      </c>
      <c r="I148" s="583">
        <v>194733</v>
      </c>
      <c r="J148" s="583">
        <v>0</v>
      </c>
      <c r="K148" s="583">
        <v>416833</v>
      </c>
      <c r="L148" s="583">
        <v>0</v>
      </c>
      <c r="M148" s="583">
        <v>611566</v>
      </c>
      <c r="N148" s="583">
        <v>662198</v>
      </c>
      <c r="O148" s="583">
        <v>555530</v>
      </c>
      <c r="P148" s="583">
        <v>0</v>
      </c>
      <c r="Q148" s="583">
        <v>0</v>
      </c>
      <c r="R148" s="583">
        <v>0</v>
      </c>
      <c r="S148" s="583">
        <v>555530</v>
      </c>
      <c r="T148" s="583">
        <v>662198</v>
      </c>
      <c r="U148" s="583">
        <v>294978</v>
      </c>
      <c r="V148" s="583">
        <v>0</v>
      </c>
      <c r="W148" s="583">
        <v>316588</v>
      </c>
      <c r="X148" s="583">
        <v>0</v>
      </c>
      <c r="Y148" s="583">
        <v>611566</v>
      </c>
      <c r="Z148" s="583">
        <v>978786</v>
      </c>
      <c r="AA148" s="583">
        <v>2566858</v>
      </c>
      <c r="AB148" s="583">
        <v>23691</v>
      </c>
      <c r="AC148" s="583">
        <v>-978786</v>
      </c>
      <c r="AD148" s="583">
        <v>0</v>
      </c>
      <c r="AE148" s="583">
        <v>1611763</v>
      </c>
      <c r="AF148" s="583">
        <v>0</v>
      </c>
      <c r="AG148" s="583">
        <v>508429</v>
      </c>
      <c r="AH148" s="583">
        <v>16790</v>
      </c>
      <c r="AI148" s="583">
        <v>103137</v>
      </c>
      <c r="AJ148" s="583">
        <v>0</v>
      </c>
      <c r="AK148" s="583">
        <v>628356</v>
      </c>
      <c r="AL148" s="583">
        <v>103137</v>
      </c>
      <c r="AM148" s="583">
        <v>1010666</v>
      </c>
      <c r="AN148" s="583">
        <v>98117</v>
      </c>
      <c r="AO148" s="583">
        <v>-81705</v>
      </c>
      <c r="AP148" s="583">
        <v>0</v>
      </c>
      <c r="AQ148" s="583">
        <v>1027078</v>
      </c>
      <c r="AR148" s="583">
        <v>21432</v>
      </c>
      <c r="AS148" s="583">
        <v>333839</v>
      </c>
      <c r="AT148" s="583">
        <v>0</v>
      </c>
      <c r="AU148" s="583">
        <v>277727</v>
      </c>
      <c r="AV148" s="583">
        <v>0</v>
      </c>
      <c r="AW148" s="583">
        <v>611566</v>
      </c>
      <c r="AX148" s="583">
        <v>299159</v>
      </c>
      <c r="AY148" s="583">
        <v>646267</v>
      </c>
      <c r="AZ148" s="583">
        <v>24053</v>
      </c>
      <c r="BA148" s="583">
        <v>0</v>
      </c>
      <c r="BB148" s="583">
        <v>0</v>
      </c>
      <c r="BC148" s="583">
        <v>670320</v>
      </c>
      <c r="BD148" s="583">
        <v>299159</v>
      </c>
      <c r="BE148" s="583">
        <v>1363596</v>
      </c>
      <c r="BF148" s="583">
        <v>0</v>
      </c>
      <c r="BG148" s="583">
        <v>-299159</v>
      </c>
      <c r="BH148" s="583">
        <v>0</v>
      </c>
      <c r="BI148" s="583">
        <v>1064437</v>
      </c>
      <c r="BJ148" s="583">
        <v>0</v>
      </c>
      <c r="BK148" s="583">
        <v>506089</v>
      </c>
      <c r="BL148" s="583">
        <v>0</v>
      </c>
      <c r="BM148" s="583">
        <v>105477</v>
      </c>
      <c r="BN148" s="583">
        <v>0</v>
      </c>
      <c r="BO148" s="583">
        <v>611566</v>
      </c>
      <c r="BP148" s="583">
        <v>105477</v>
      </c>
      <c r="BQ148" s="583">
        <v>969806</v>
      </c>
      <c r="BR148" s="583">
        <v>158088</v>
      </c>
      <c r="BS148" s="583">
        <v>-105477</v>
      </c>
      <c r="BT148" s="583">
        <v>0</v>
      </c>
      <c r="BU148" s="583">
        <v>1022417</v>
      </c>
      <c r="BV148" s="583">
        <v>0</v>
      </c>
    </row>
    <row r="149" spans="1:74" x14ac:dyDescent="0.2">
      <c r="A149" s="580">
        <v>8104</v>
      </c>
      <c r="B149" s="580" t="s">
        <v>185</v>
      </c>
      <c r="C149" s="583">
        <v>147505</v>
      </c>
      <c r="D149" s="583">
        <v>0</v>
      </c>
      <c r="E149" s="583">
        <v>69677</v>
      </c>
      <c r="F149" s="583">
        <v>0</v>
      </c>
      <c r="G149" s="583">
        <v>217182</v>
      </c>
      <c r="H149" s="583">
        <v>69677</v>
      </c>
      <c r="I149" s="583">
        <v>78438</v>
      </c>
      <c r="J149" s="583">
        <v>0</v>
      </c>
      <c r="K149" s="583">
        <v>138744</v>
      </c>
      <c r="L149" s="583">
        <v>0</v>
      </c>
      <c r="M149" s="583">
        <v>217182</v>
      </c>
      <c r="N149" s="583">
        <v>208421</v>
      </c>
      <c r="O149" s="583">
        <v>223766</v>
      </c>
      <c r="P149" s="583">
        <v>0</v>
      </c>
      <c r="Q149" s="583">
        <v>0</v>
      </c>
      <c r="R149" s="583">
        <v>0</v>
      </c>
      <c r="S149" s="583">
        <v>223766</v>
      </c>
      <c r="T149" s="583">
        <v>208421</v>
      </c>
      <c r="U149" s="583">
        <v>118816</v>
      </c>
      <c r="V149" s="583">
        <v>0</v>
      </c>
      <c r="W149" s="583">
        <v>98366</v>
      </c>
      <c r="X149" s="583">
        <v>0</v>
      </c>
      <c r="Y149" s="583">
        <v>217182</v>
      </c>
      <c r="Z149" s="583">
        <v>306787</v>
      </c>
      <c r="AA149" s="583">
        <v>1033923</v>
      </c>
      <c r="AB149" s="583">
        <v>9543</v>
      </c>
      <c r="AC149" s="583">
        <v>-306787</v>
      </c>
      <c r="AD149" s="583">
        <v>0</v>
      </c>
      <c r="AE149" s="583">
        <v>736679</v>
      </c>
      <c r="AF149" s="583">
        <v>0</v>
      </c>
      <c r="AG149" s="583">
        <v>204794</v>
      </c>
      <c r="AH149" s="583">
        <v>6763</v>
      </c>
      <c r="AI149" s="583">
        <v>12388</v>
      </c>
      <c r="AJ149" s="583">
        <v>0</v>
      </c>
      <c r="AK149" s="583">
        <v>223945</v>
      </c>
      <c r="AL149" s="583">
        <v>12388</v>
      </c>
      <c r="AM149" s="583">
        <v>407093</v>
      </c>
      <c r="AN149" s="583">
        <v>39521</v>
      </c>
      <c r="AO149" s="583">
        <v>-12388</v>
      </c>
      <c r="AP149" s="583">
        <v>0</v>
      </c>
      <c r="AQ149" s="583">
        <v>434226</v>
      </c>
      <c r="AR149" s="583">
        <v>0</v>
      </c>
      <c r="AS149" s="583">
        <v>134469</v>
      </c>
      <c r="AT149" s="583">
        <v>0</v>
      </c>
      <c r="AU149" s="583">
        <v>82713</v>
      </c>
      <c r="AV149" s="583">
        <v>0</v>
      </c>
      <c r="AW149" s="583">
        <v>217182</v>
      </c>
      <c r="AX149" s="583">
        <v>82713</v>
      </c>
      <c r="AY149" s="583">
        <v>260315</v>
      </c>
      <c r="AZ149" s="583">
        <v>9689</v>
      </c>
      <c r="BA149" s="583">
        <v>0</v>
      </c>
      <c r="BB149" s="583">
        <v>0</v>
      </c>
      <c r="BC149" s="583">
        <v>270004</v>
      </c>
      <c r="BD149" s="583">
        <v>82713</v>
      </c>
      <c r="BE149" s="583">
        <v>549252</v>
      </c>
      <c r="BF149" s="583">
        <v>0</v>
      </c>
      <c r="BG149" s="583">
        <v>-82713</v>
      </c>
      <c r="BH149" s="583">
        <v>0</v>
      </c>
      <c r="BI149" s="583">
        <v>466539</v>
      </c>
      <c r="BJ149" s="583">
        <v>0</v>
      </c>
      <c r="BK149" s="583">
        <v>203851</v>
      </c>
      <c r="BL149" s="583">
        <v>0</v>
      </c>
      <c r="BM149" s="583">
        <v>13331</v>
      </c>
      <c r="BN149" s="583">
        <v>0</v>
      </c>
      <c r="BO149" s="583">
        <v>217182</v>
      </c>
      <c r="BP149" s="583">
        <v>13331</v>
      </c>
      <c r="BQ149" s="583">
        <v>390635</v>
      </c>
      <c r="BR149" s="583">
        <v>63678</v>
      </c>
      <c r="BS149" s="583">
        <v>-13331</v>
      </c>
      <c r="BT149" s="583">
        <v>0</v>
      </c>
      <c r="BU149" s="583">
        <v>440982</v>
      </c>
      <c r="BV149" s="583">
        <v>0</v>
      </c>
    </row>
    <row r="150" spans="1:74" x14ac:dyDescent="0.2">
      <c r="A150" s="580">
        <v>8105</v>
      </c>
      <c r="B150" s="580" t="s">
        <v>184</v>
      </c>
      <c r="C150" s="583">
        <v>211379</v>
      </c>
      <c r="D150" s="583">
        <v>0</v>
      </c>
      <c r="E150" s="583">
        <v>119744</v>
      </c>
      <c r="F150" s="583">
        <v>0</v>
      </c>
      <c r="G150" s="583">
        <v>331123</v>
      </c>
      <c r="H150" s="583">
        <v>119744</v>
      </c>
      <c r="I150" s="583">
        <v>112404</v>
      </c>
      <c r="J150" s="583">
        <v>0</v>
      </c>
      <c r="K150" s="583">
        <v>218719</v>
      </c>
      <c r="L150" s="583">
        <v>0</v>
      </c>
      <c r="M150" s="583">
        <v>331123</v>
      </c>
      <c r="N150" s="583">
        <v>338463</v>
      </c>
      <c r="O150" s="583">
        <v>320664</v>
      </c>
      <c r="P150" s="583">
        <v>0</v>
      </c>
      <c r="Q150" s="583">
        <v>0</v>
      </c>
      <c r="R150" s="583">
        <v>0</v>
      </c>
      <c r="S150" s="583">
        <v>320664</v>
      </c>
      <c r="T150" s="583">
        <v>338463</v>
      </c>
      <c r="U150" s="583">
        <v>170268</v>
      </c>
      <c r="V150" s="583">
        <v>0</v>
      </c>
      <c r="W150" s="583">
        <v>160855</v>
      </c>
      <c r="X150" s="583">
        <v>0</v>
      </c>
      <c r="Y150" s="583">
        <v>331123</v>
      </c>
      <c r="Z150" s="583">
        <v>499318</v>
      </c>
      <c r="AA150" s="583">
        <v>1481648</v>
      </c>
      <c r="AB150" s="583">
        <v>13675</v>
      </c>
      <c r="AC150" s="583">
        <v>-499318</v>
      </c>
      <c r="AD150" s="583">
        <v>0</v>
      </c>
      <c r="AE150" s="583">
        <v>996005</v>
      </c>
      <c r="AF150" s="583">
        <v>0</v>
      </c>
      <c r="AG150" s="583">
        <v>293477</v>
      </c>
      <c r="AH150" s="583">
        <v>9692</v>
      </c>
      <c r="AI150" s="583">
        <v>37646</v>
      </c>
      <c r="AJ150" s="583">
        <v>0</v>
      </c>
      <c r="AK150" s="583">
        <v>340815</v>
      </c>
      <c r="AL150" s="583">
        <v>37646</v>
      </c>
      <c r="AM150" s="583">
        <v>583379</v>
      </c>
      <c r="AN150" s="583">
        <v>56636</v>
      </c>
      <c r="AO150" s="583">
        <v>-37646</v>
      </c>
      <c r="AP150" s="583">
        <v>0</v>
      </c>
      <c r="AQ150" s="583">
        <v>602369</v>
      </c>
      <c r="AR150" s="583">
        <v>0</v>
      </c>
      <c r="AS150" s="583">
        <v>192699</v>
      </c>
      <c r="AT150" s="583">
        <v>0</v>
      </c>
      <c r="AU150" s="583">
        <v>138424</v>
      </c>
      <c r="AV150" s="583">
        <v>0</v>
      </c>
      <c r="AW150" s="583">
        <v>331123</v>
      </c>
      <c r="AX150" s="583">
        <v>138424</v>
      </c>
      <c r="AY150" s="583">
        <v>373040</v>
      </c>
      <c r="AZ150" s="583">
        <v>13884</v>
      </c>
      <c r="BA150" s="583">
        <v>0</v>
      </c>
      <c r="BB150" s="583">
        <v>0</v>
      </c>
      <c r="BC150" s="583">
        <v>386924</v>
      </c>
      <c r="BD150" s="583">
        <v>138424</v>
      </c>
      <c r="BE150" s="583">
        <v>787098</v>
      </c>
      <c r="BF150" s="583">
        <v>0</v>
      </c>
      <c r="BG150" s="583">
        <v>-138424</v>
      </c>
      <c r="BH150" s="583">
        <v>0</v>
      </c>
      <c r="BI150" s="583">
        <v>648674</v>
      </c>
      <c r="BJ150" s="583">
        <v>0</v>
      </c>
      <c r="BK150" s="583">
        <v>292126</v>
      </c>
      <c r="BL150" s="583">
        <v>0</v>
      </c>
      <c r="BM150" s="583">
        <v>38997</v>
      </c>
      <c r="BN150" s="583">
        <v>0</v>
      </c>
      <c r="BO150" s="583">
        <v>331123</v>
      </c>
      <c r="BP150" s="583">
        <v>38997</v>
      </c>
      <c r="BQ150" s="583">
        <v>559794</v>
      </c>
      <c r="BR150" s="583">
        <v>91252</v>
      </c>
      <c r="BS150" s="583">
        <v>-38997</v>
      </c>
      <c r="BT150" s="583">
        <v>0</v>
      </c>
      <c r="BU150" s="583">
        <v>612049</v>
      </c>
      <c r="BV150" s="583">
        <v>0</v>
      </c>
    </row>
    <row r="151" spans="1:74" x14ac:dyDescent="0.2">
      <c r="A151" s="580">
        <v>8106</v>
      </c>
      <c r="B151" s="580" t="s">
        <v>188</v>
      </c>
      <c r="C151" s="583">
        <v>331897</v>
      </c>
      <c r="D151" s="583">
        <v>0</v>
      </c>
      <c r="E151" s="583">
        <v>222381</v>
      </c>
      <c r="F151" s="583">
        <v>0</v>
      </c>
      <c r="G151" s="583">
        <v>554278</v>
      </c>
      <c r="H151" s="583">
        <v>222381</v>
      </c>
      <c r="I151" s="583">
        <v>176492</v>
      </c>
      <c r="J151" s="583">
        <v>0</v>
      </c>
      <c r="K151" s="583">
        <v>377786</v>
      </c>
      <c r="L151" s="583">
        <v>0</v>
      </c>
      <c r="M151" s="583">
        <v>554278</v>
      </c>
      <c r="N151" s="583">
        <v>600167</v>
      </c>
      <c r="O151" s="583">
        <v>503491</v>
      </c>
      <c r="P151" s="583">
        <v>0</v>
      </c>
      <c r="Q151" s="583">
        <v>0</v>
      </c>
      <c r="R151" s="583">
        <v>0</v>
      </c>
      <c r="S151" s="583">
        <v>503491</v>
      </c>
      <c r="T151" s="583">
        <v>600167</v>
      </c>
      <c r="U151" s="583">
        <v>267346</v>
      </c>
      <c r="V151" s="583">
        <v>0</v>
      </c>
      <c r="W151" s="583">
        <v>286932</v>
      </c>
      <c r="X151" s="583">
        <v>0</v>
      </c>
      <c r="Y151" s="583">
        <v>554278</v>
      </c>
      <c r="Z151" s="583">
        <v>887099</v>
      </c>
      <c r="AA151" s="583">
        <v>2326409</v>
      </c>
      <c r="AB151" s="583">
        <v>21472</v>
      </c>
      <c r="AC151" s="583">
        <v>-887099</v>
      </c>
      <c r="AD151" s="583">
        <v>0</v>
      </c>
      <c r="AE151" s="583">
        <v>1460782</v>
      </c>
      <c r="AF151" s="583">
        <v>0</v>
      </c>
      <c r="AG151" s="583">
        <v>460802</v>
      </c>
      <c r="AH151" s="583">
        <v>15217</v>
      </c>
      <c r="AI151" s="583">
        <v>93476</v>
      </c>
      <c r="AJ151" s="583">
        <v>0</v>
      </c>
      <c r="AK151" s="583">
        <v>569495</v>
      </c>
      <c r="AL151" s="583">
        <v>93476</v>
      </c>
      <c r="AM151" s="583">
        <v>915993</v>
      </c>
      <c r="AN151" s="583">
        <v>88926</v>
      </c>
      <c r="AO151" s="583">
        <v>-74052</v>
      </c>
      <c r="AP151" s="583">
        <v>0</v>
      </c>
      <c r="AQ151" s="583">
        <v>930867</v>
      </c>
      <c r="AR151" s="583">
        <v>19424</v>
      </c>
      <c r="AS151" s="583">
        <v>302566</v>
      </c>
      <c r="AT151" s="583">
        <v>0</v>
      </c>
      <c r="AU151" s="583">
        <v>251712</v>
      </c>
      <c r="AV151" s="583">
        <v>0</v>
      </c>
      <c r="AW151" s="583">
        <v>554278</v>
      </c>
      <c r="AX151" s="583">
        <v>271136</v>
      </c>
      <c r="AY151" s="583">
        <v>585728</v>
      </c>
      <c r="AZ151" s="583">
        <v>21800</v>
      </c>
      <c r="BA151" s="583">
        <v>0</v>
      </c>
      <c r="BB151" s="583">
        <v>0</v>
      </c>
      <c r="BC151" s="583">
        <v>607528</v>
      </c>
      <c r="BD151" s="583">
        <v>271136</v>
      </c>
      <c r="BE151" s="583">
        <v>1235862</v>
      </c>
      <c r="BF151" s="583">
        <v>0</v>
      </c>
      <c r="BG151" s="583">
        <v>-271136</v>
      </c>
      <c r="BH151" s="583">
        <v>0</v>
      </c>
      <c r="BI151" s="583">
        <v>964726</v>
      </c>
      <c r="BJ151" s="583">
        <v>0</v>
      </c>
      <c r="BK151" s="583">
        <v>458681</v>
      </c>
      <c r="BL151" s="583">
        <v>0</v>
      </c>
      <c r="BM151" s="583">
        <v>95597</v>
      </c>
      <c r="BN151" s="583">
        <v>0</v>
      </c>
      <c r="BO151" s="583">
        <v>554278</v>
      </c>
      <c r="BP151" s="583">
        <v>95597</v>
      </c>
      <c r="BQ151" s="583">
        <v>878960</v>
      </c>
      <c r="BR151" s="583">
        <v>143280</v>
      </c>
      <c r="BS151" s="583">
        <v>-95597</v>
      </c>
      <c r="BT151" s="583">
        <v>0</v>
      </c>
      <c r="BU151" s="583">
        <v>926643</v>
      </c>
      <c r="BV151" s="583">
        <v>0</v>
      </c>
    </row>
    <row r="152" spans="1:74" x14ac:dyDescent="0.2">
      <c r="A152" s="580">
        <v>8107</v>
      </c>
      <c r="B152" s="580" t="s">
        <v>183</v>
      </c>
      <c r="C152" s="583">
        <v>263904</v>
      </c>
      <c r="D152" s="583">
        <v>0</v>
      </c>
      <c r="E152" s="583">
        <v>149178</v>
      </c>
      <c r="F152" s="583">
        <v>0</v>
      </c>
      <c r="G152" s="583">
        <v>413082</v>
      </c>
      <c r="H152" s="583">
        <v>149178</v>
      </c>
      <c r="I152" s="583">
        <v>140335</v>
      </c>
      <c r="J152" s="583">
        <v>0</v>
      </c>
      <c r="K152" s="583">
        <v>272747</v>
      </c>
      <c r="L152" s="583">
        <v>0</v>
      </c>
      <c r="M152" s="583">
        <v>413082</v>
      </c>
      <c r="N152" s="583">
        <v>421925</v>
      </c>
      <c r="O152" s="583">
        <v>400344</v>
      </c>
      <c r="P152" s="583">
        <v>0</v>
      </c>
      <c r="Q152" s="583">
        <v>0</v>
      </c>
      <c r="R152" s="583">
        <v>0</v>
      </c>
      <c r="S152" s="583">
        <v>400344</v>
      </c>
      <c r="T152" s="583">
        <v>421925</v>
      </c>
      <c r="U152" s="583">
        <v>212577</v>
      </c>
      <c r="V152" s="583">
        <v>0</v>
      </c>
      <c r="W152" s="583">
        <v>200505</v>
      </c>
      <c r="X152" s="583">
        <v>0</v>
      </c>
      <c r="Y152" s="583">
        <v>413082</v>
      </c>
      <c r="Z152" s="583">
        <v>622430</v>
      </c>
      <c r="AA152" s="583">
        <v>1849815</v>
      </c>
      <c r="AB152" s="583">
        <v>17073</v>
      </c>
      <c r="AC152" s="583">
        <v>-622430</v>
      </c>
      <c r="AD152" s="583">
        <v>0</v>
      </c>
      <c r="AE152" s="583">
        <v>1244458</v>
      </c>
      <c r="AF152" s="583">
        <v>0</v>
      </c>
      <c r="AG152" s="583">
        <v>366401</v>
      </c>
      <c r="AH152" s="583">
        <v>12100</v>
      </c>
      <c r="AI152" s="583">
        <v>46681</v>
      </c>
      <c r="AJ152" s="583">
        <v>0</v>
      </c>
      <c r="AK152" s="583">
        <v>425182</v>
      </c>
      <c r="AL152" s="583">
        <v>46681</v>
      </c>
      <c r="AM152" s="583">
        <v>728340</v>
      </c>
      <c r="AN152" s="583">
        <v>70709</v>
      </c>
      <c r="AO152" s="583">
        <v>-46681</v>
      </c>
      <c r="AP152" s="583">
        <v>0</v>
      </c>
      <c r="AQ152" s="583">
        <v>752368</v>
      </c>
      <c r="AR152" s="583">
        <v>0</v>
      </c>
      <c r="AS152" s="583">
        <v>240582</v>
      </c>
      <c r="AT152" s="583">
        <v>0</v>
      </c>
      <c r="AU152" s="583">
        <v>172500</v>
      </c>
      <c r="AV152" s="583">
        <v>0</v>
      </c>
      <c r="AW152" s="583">
        <v>413082</v>
      </c>
      <c r="AX152" s="583">
        <v>172500</v>
      </c>
      <c r="AY152" s="583">
        <v>465735</v>
      </c>
      <c r="AZ152" s="583">
        <v>17334</v>
      </c>
      <c r="BA152" s="583">
        <v>0</v>
      </c>
      <c r="BB152" s="583">
        <v>0</v>
      </c>
      <c r="BC152" s="583">
        <v>483069</v>
      </c>
      <c r="BD152" s="583">
        <v>172500</v>
      </c>
      <c r="BE152" s="583">
        <v>982680</v>
      </c>
      <c r="BF152" s="583">
        <v>0</v>
      </c>
      <c r="BG152" s="583">
        <v>-172500</v>
      </c>
      <c r="BH152" s="583">
        <v>0</v>
      </c>
      <c r="BI152" s="583">
        <v>810180</v>
      </c>
      <c r="BJ152" s="583">
        <v>0</v>
      </c>
      <c r="BK152" s="583">
        <v>364715</v>
      </c>
      <c r="BL152" s="583">
        <v>0</v>
      </c>
      <c r="BM152" s="583">
        <v>48367</v>
      </c>
      <c r="BN152" s="583">
        <v>0</v>
      </c>
      <c r="BO152" s="583">
        <v>413082</v>
      </c>
      <c r="BP152" s="583">
        <v>48367</v>
      </c>
      <c r="BQ152" s="583">
        <v>698894</v>
      </c>
      <c r="BR152" s="583">
        <v>113927</v>
      </c>
      <c r="BS152" s="583">
        <v>-48367</v>
      </c>
      <c r="BT152" s="583">
        <v>0</v>
      </c>
      <c r="BU152" s="583">
        <v>764454</v>
      </c>
      <c r="BV152" s="583">
        <v>0</v>
      </c>
    </row>
    <row r="153" spans="1:74" x14ac:dyDescent="0.2">
      <c r="A153" s="580">
        <v>8108</v>
      </c>
      <c r="B153" s="580" t="s">
        <v>190</v>
      </c>
      <c r="C153" s="583">
        <v>372785</v>
      </c>
      <c r="D153" s="583">
        <v>0</v>
      </c>
      <c r="E153" s="583">
        <v>205667</v>
      </c>
      <c r="F153" s="583">
        <v>0</v>
      </c>
      <c r="G153" s="583">
        <v>578452</v>
      </c>
      <c r="H153" s="583">
        <v>205667</v>
      </c>
      <c r="I153" s="583">
        <v>198234</v>
      </c>
      <c r="J153" s="583">
        <v>0</v>
      </c>
      <c r="K153" s="583">
        <v>380218</v>
      </c>
      <c r="L153" s="583">
        <v>0</v>
      </c>
      <c r="M153" s="583">
        <v>578452</v>
      </c>
      <c r="N153" s="583">
        <v>585885</v>
      </c>
      <c r="O153" s="583">
        <v>565518</v>
      </c>
      <c r="P153" s="583">
        <v>0</v>
      </c>
      <c r="Q153" s="583">
        <v>0</v>
      </c>
      <c r="R153" s="583">
        <v>0</v>
      </c>
      <c r="S153" s="583">
        <v>565518</v>
      </c>
      <c r="T153" s="583">
        <v>585885</v>
      </c>
      <c r="U153" s="583">
        <v>300281</v>
      </c>
      <c r="V153" s="583">
        <v>0</v>
      </c>
      <c r="W153" s="583">
        <v>278171</v>
      </c>
      <c r="X153" s="583">
        <v>0</v>
      </c>
      <c r="Y153" s="583">
        <v>578452</v>
      </c>
      <c r="Z153" s="583">
        <v>864056</v>
      </c>
      <c r="AA153" s="583">
        <v>2613010</v>
      </c>
      <c r="AB153" s="583">
        <v>24117</v>
      </c>
      <c r="AC153" s="583">
        <v>-864056</v>
      </c>
      <c r="AD153" s="583">
        <v>0</v>
      </c>
      <c r="AE153" s="583">
        <v>1773071</v>
      </c>
      <c r="AF153" s="583">
        <v>0</v>
      </c>
      <c r="AG153" s="583">
        <v>517570</v>
      </c>
      <c r="AH153" s="583">
        <v>17092</v>
      </c>
      <c r="AI153" s="583">
        <v>60882</v>
      </c>
      <c r="AJ153" s="583">
        <v>0</v>
      </c>
      <c r="AK153" s="583">
        <v>595544</v>
      </c>
      <c r="AL153" s="583">
        <v>60882</v>
      </c>
      <c r="AM153" s="583">
        <v>1028838</v>
      </c>
      <c r="AN153" s="583">
        <v>99882</v>
      </c>
      <c r="AO153" s="583">
        <v>-60882</v>
      </c>
      <c r="AP153" s="583">
        <v>0</v>
      </c>
      <c r="AQ153" s="583">
        <v>1067838</v>
      </c>
      <c r="AR153" s="583">
        <v>0</v>
      </c>
      <c r="AS153" s="583">
        <v>339841</v>
      </c>
      <c r="AT153" s="583">
        <v>0</v>
      </c>
      <c r="AU153" s="583">
        <v>238611</v>
      </c>
      <c r="AV153" s="583">
        <v>0</v>
      </c>
      <c r="AW153" s="583">
        <v>578452</v>
      </c>
      <c r="AX153" s="583">
        <v>238611</v>
      </c>
      <c r="AY153" s="583">
        <v>657887</v>
      </c>
      <c r="AZ153" s="583">
        <v>24486</v>
      </c>
      <c r="BA153" s="583">
        <v>0</v>
      </c>
      <c r="BB153" s="583">
        <v>0</v>
      </c>
      <c r="BC153" s="583">
        <v>682373</v>
      </c>
      <c r="BD153" s="583">
        <v>238611</v>
      </c>
      <c r="BE153" s="583">
        <v>1388113</v>
      </c>
      <c r="BF153" s="583">
        <v>0</v>
      </c>
      <c r="BG153" s="583">
        <v>-238611</v>
      </c>
      <c r="BH153" s="583">
        <v>0</v>
      </c>
      <c r="BI153" s="583">
        <v>1149502</v>
      </c>
      <c r="BJ153" s="583">
        <v>0</v>
      </c>
      <c r="BK153" s="583">
        <v>515188</v>
      </c>
      <c r="BL153" s="583">
        <v>0</v>
      </c>
      <c r="BM153" s="583">
        <v>63264</v>
      </c>
      <c r="BN153" s="583">
        <v>0</v>
      </c>
      <c r="BO153" s="583">
        <v>578452</v>
      </c>
      <c r="BP153" s="583">
        <v>63264</v>
      </c>
      <c r="BQ153" s="583">
        <v>987243</v>
      </c>
      <c r="BR153" s="583">
        <v>160931</v>
      </c>
      <c r="BS153" s="583">
        <v>-63264</v>
      </c>
      <c r="BT153" s="583">
        <v>0</v>
      </c>
      <c r="BU153" s="583">
        <v>1084910</v>
      </c>
      <c r="BV153" s="583">
        <v>0</v>
      </c>
    </row>
    <row r="154" spans="1:74" x14ac:dyDescent="0.2">
      <c r="A154" s="580">
        <v>8109</v>
      </c>
      <c r="B154" s="580" t="s">
        <v>189</v>
      </c>
      <c r="C154" s="583">
        <v>170015</v>
      </c>
      <c r="D154" s="583">
        <v>0</v>
      </c>
      <c r="E154" s="583">
        <v>98431</v>
      </c>
      <c r="F154" s="583">
        <v>0</v>
      </c>
      <c r="G154" s="583">
        <v>268446</v>
      </c>
      <c r="H154" s="583">
        <v>98431</v>
      </c>
      <c r="I154" s="583">
        <v>90408</v>
      </c>
      <c r="J154" s="583">
        <v>0</v>
      </c>
      <c r="K154" s="583">
        <v>178038</v>
      </c>
      <c r="L154" s="583">
        <v>0</v>
      </c>
      <c r="M154" s="583">
        <v>268446</v>
      </c>
      <c r="N154" s="583">
        <v>276469</v>
      </c>
      <c r="O154" s="583">
        <v>257914</v>
      </c>
      <c r="P154" s="583">
        <v>0</v>
      </c>
      <c r="Q154" s="583">
        <v>0</v>
      </c>
      <c r="R154" s="583">
        <v>0</v>
      </c>
      <c r="S154" s="583">
        <v>257914</v>
      </c>
      <c r="T154" s="583">
        <v>276469</v>
      </c>
      <c r="U154" s="583">
        <v>136948</v>
      </c>
      <c r="V154" s="583">
        <v>0</v>
      </c>
      <c r="W154" s="583">
        <v>131498</v>
      </c>
      <c r="X154" s="583">
        <v>0</v>
      </c>
      <c r="Y154" s="583">
        <v>268446</v>
      </c>
      <c r="Z154" s="583">
        <v>407967</v>
      </c>
      <c r="AA154" s="583">
        <v>1191705</v>
      </c>
      <c r="AB154" s="583">
        <v>10999</v>
      </c>
      <c r="AC154" s="583">
        <v>-407967</v>
      </c>
      <c r="AD154" s="583">
        <v>0</v>
      </c>
      <c r="AE154" s="583">
        <v>794737</v>
      </c>
      <c r="AF154" s="583">
        <v>0</v>
      </c>
      <c r="AG154" s="583">
        <v>236046</v>
      </c>
      <c r="AH154" s="583">
        <v>7795</v>
      </c>
      <c r="AI154" s="583">
        <v>32400</v>
      </c>
      <c r="AJ154" s="583">
        <v>0</v>
      </c>
      <c r="AK154" s="583">
        <v>276241</v>
      </c>
      <c r="AL154" s="583">
        <v>32400</v>
      </c>
      <c r="AM154" s="583">
        <v>469218</v>
      </c>
      <c r="AN154" s="583">
        <v>45553</v>
      </c>
      <c r="AO154" s="583">
        <v>-32400</v>
      </c>
      <c r="AP154" s="583">
        <v>0</v>
      </c>
      <c r="AQ154" s="583">
        <v>482371</v>
      </c>
      <c r="AR154" s="583">
        <v>0</v>
      </c>
      <c r="AS154" s="583">
        <v>154990</v>
      </c>
      <c r="AT154" s="583">
        <v>0</v>
      </c>
      <c r="AU154" s="583">
        <v>113456</v>
      </c>
      <c r="AV154" s="583">
        <v>0</v>
      </c>
      <c r="AW154" s="583">
        <v>268446</v>
      </c>
      <c r="AX154" s="583">
        <v>113456</v>
      </c>
      <c r="AY154" s="583">
        <v>300040</v>
      </c>
      <c r="AZ154" s="583">
        <v>11167</v>
      </c>
      <c r="BA154" s="583">
        <v>0</v>
      </c>
      <c r="BB154" s="583">
        <v>0</v>
      </c>
      <c r="BC154" s="583">
        <v>311207</v>
      </c>
      <c r="BD154" s="583">
        <v>113456</v>
      </c>
      <c r="BE154" s="583">
        <v>633071</v>
      </c>
      <c r="BF154" s="583">
        <v>0</v>
      </c>
      <c r="BG154" s="583">
        <v>-113456</v>
      </c>
      <c r="BH154" s="583">
        <v>0</v>
      </c>
      <c r="BI154" s="583">
        <v>519615</v>
      </c>
      <c r="BJ154" s="583">
        <v>0</v>
      </c>
      <c r="BK154" s="583">
        <v>234960</v>
      </c>
      <c r="BL154" s="583">
        <v>0</v>
      </c>
      <c r="BM154" s="583">
        <v>33486</v>
      </c>
      <c r="BN154" s="583">
        <v>0</v>
      </c>
      <c r="BO154" s="583">
        <v>268446</v>
      </c>
      <c r="BP154" s="583">
        <v>33486</v>
      </c>
      <c r="BQ154" s="583">
        <v>450248</v>
      </c>
      <c r="BR154" s="583">
        <v>73395</v>
      </c>
      <c r="BS154" s="583">
        <v>-33486</v>
      </c>
      <c r="BT154" s="583">
        <v>0</v>
      </c>
      <c r="BU154" s="583">
        <v>490157</v>
      </c>
      <c r="BV154" s="583">
        <v>0</v>
      </c>
    </row>
    <row r="155" spans="1:74" x14ac:dyDescent="0.2">
      <c r="A155" s="580">
        <v>8110</v>
      </c>
      <c r="B155" s="580" t="s">
        <v>186</v>
      </c>
      <c r="C155" s="583">
        <v>329524</v>
      </c>
      <c r="D155" s="583">
        <v>0</v>
      </c>
      <c r="E155" s="583">
        <v>212313</v>
      </c>
      <c r="F155" s="583">
        <v>0</v>
      </c>
      <c r="G155" s="583">
        <v>541837</v>
      </c>
      <c r="H155" s="583">
        <v>212313</v>
      </c>
      <c r="I155" s="583">
        <v>175230</v>
      </c>
      <c r="J155" s="583">
        <v>0</v>
      </c>
      <c r="K155" s="583">
        <v>366607</v>
      </c>
      <c r="L155" s="583">
        <v>0</v>
      </c>
      <c r="M155" s="583">
        <v>541837</v>
      </c>
      <c r="N155" s="583">
        <v>578920</v>
      </c>
      <c r="O155" s="583">
        <v>499891</v>
      </c>
      <c r="P155" s="583">
        <v>0</v>
      </c>
      <c r="Q155" s="583">
        <v>0</v>
      </c>
      <c r="R155" s="583">
        <v>0</v>
      </c>
      <c r="S155" s="583">
        <v>499891</v>
      </c>
      <c r="T155" s="583">
        <v>578920</v>
      </c>
      <c r="U155" s="583">
        <v>265434</v>
      </c>
      <c r="V155" s="583">
        <v>0</v>
      </c>
      <c r="W155" s="583">
        <v>276403</v>
      </c>
      <c r="X155" s="583">
        <v>0</v>
      </c>
      <c r="Y155" s="583">
        <v>541837</v>
      </c>
      <c r="Z155" s="583">
        <v>855323</v>
      </c>
      <c r="AA155" s="583">
        <v>2309775</v>
      </c>
      <c r="AB155" s="583">
        <v>21319</v>
      </c>
      <c r="AC155" s="583">
        <v>-855323</v>
      </c>
      <c r="AD155" s="583">
        <v>0</v>
      </c>
      <c r="AE155" s="583">
        <v>1475771</v>
      </c>
      <c r="AF155" s="583">
        <v>0</v>
      </c>
      <c r="AG155" s="583">
        <v>457507</v>
      </c>
      <c r="AH155" s="583">
        <v>15109</v>
      </c>
      <c r="AI155" s="583">
        <v>84330</v>
      </c>
      <c r="AJ155" s="583">
        <v>0</v>
      </c>
      <c r="AK155" s="583">
        <v>556946</v>
      </c>
      <c r="AL155" s="583">
        <v>84330</v>
      </c>
      <c r="AM155" s="583">
        <v>909443</v>
      </c>
      <c r="AN155" s="583">
        <v>88290</v>
      </c>
      <c r="AO155" s="583">
        <v>-84330</v>
      </c>
      <c r="AP155" s="583">
        <v>0</v>
      </c>
      <c r="AQ155" s="583">
        <v>913403</v>
      </c>
      <c r="AR155" s="583">
        <v>0</v>
      </c>
      <c r="AS155" s="583">
        <v>300403</v>
      </c>
      <c r="AT155" s="583">
        <v>0</v>
      </c>
      <c r="AU155" s="583">
        <v>241434</v>
      </c>
      <c r="AV155" s="583">
        <v>0</v>
      </c>
      <c r="AW155" s="583">
        <v>541837</v>
      </c>
      <c r="AX155" s="583">
        <v>241434</v>
      </c>
      <c r="AY155" s="583">
        <v>581540</v>
      </c>
      <c r="AZ155" s="583">
        <v>21644</v>
      </c>
      <c r="BA155" s="583">
        <v>0</v>
      </c>
      <c r="BB155" s="583">
        <v>0</v>
      </c>
      <c r="BC155" s="583">
        <v>603184</v>
      </c>
      <c r="BD155" s="583">
        <v>241434</v>
      </c>
      <c r="BE155" s="583">
        <v>1227025</v>
      </c>
      <c r="BF155" s="583">
        <v>0</v>
      </c>
      <c r="BG155" s="583">
        <v>-241434</v>
      </c>
      <c r="BH155" s="583">
        <v>0</v>
      </c>
      <c r="BI155" s="583">
        <v>985591</v>
      </c>
      <c r="BJ155" s="583">
        <v>0</v>
      </c>
      <c r="BK155" s="583">
        <v>455402</v>
      </c>
      <c r="BL155" s="583">
        <v>0</v>
      </c>
      <c r="BM155" s="583">
        <v>86435</v>
      </c>
      <c r="BN155" s="583">
        <v>0</v>
      </c>
      <c r="BO155" s="583">
        <v>541837</v>
      </c>
      <c r="BP155" s="583">
        <v>86435</v>
      </c>
      <c r="BQ155" s="583">
        <v>872675</v>
      </c>
      <c r="BR155" s="583">
        <v>142255</v>
      </c>
      <c r="BS155" s="583">
        <v>-86435</v>
      </c>
      <c r="BT155" s="583">
        <v>0</v>
      </c>
      <c r="BU155" s="583">
        <v>928495</v>
      </c>
      <c r="BV155" s="583">
        <v>0</v>
      </c>
    </row>
    <row r="156" spans="1:74" x14ac:dyDescent="0.2">
      <c r="A156" s="580">
        <v>8111</v>
      </c>
      <c r="B156" s="580" t="s">
        <v>396</v>
      </c>
      <c r="C156" s="583">
        <v>553545</v>
      </c>
      <c r="D156" s="583">
        <v>0</v>
      </c>
      <c r="E156" s="583">
        <v>287844</v>
      </c>
      <c r="F156" s="583">
        <v>0</v>
      </c>
      <c r="G156" s="583">
        <v>841389</v>
      </c>
      <c r="H156" s="583">
        <v>287844</v>
      </c>
      <c r="I156" s="583">
        <v>294357</v>
      </c>
      <c r="J156" s="583">
        <v>0</v>
      </c>
      <c r="K156" s="583">
        <v>547032</v>
      </c>
      <c r="L156" s="583">
        <v>0</v>
      </c>
      <c r="M156" s="583">
        <v>841389</v>
      </c>
      <c r="N156" s="583">
        <v>834876</v>
      </c>
      <c r="O156" s="583">
        <v>839733</v>
      </c>
      <c r="P156" s="583">
        <v>0</v>
      </c>
      <c r="Q156" s="583">
        <v>0</v>
      </c>
      <c r="R156" s="583">
        <v>0</v>
      </c>
      <c r="S156" s="583">
        <v>839733</v>
      </c>
      <c r="T156" s="583">
        <v>834876</v>
      </c>
      <c r="U156" s="583">
        <v>445885</v>
      </c>
      <c r="V156" s="583">
        <v>0</v>
      </c>
      <c r="W156" s="583">
        <v>395504</v>
      </c>
      <c r="X156" s="583">
        <v>0</v>
      </c>
      <c r="Y156" s="583">
        <v>841389</v>
      </c>
      <c r="Z156" s="583">
        <v>1230380</v>
      </c>
      <c r="AA156" s="583">
        <v>3880035</v>
      </c>
      <c r="AB156" s="583">
        <v>35812</v>
      </c>
      <c r="AC156" s="583">
        <v>-1230380</v>
      </c>
      <c r="AD156" s="583">
        <v>0</v>
      </c>
      <c r="AE156" s="583">
        <v>2685467</v>
      </c>
      <c r="AF156" s="583">
        <v>0</v>
      </c>
      <c r="AG156" s="583">
        <v>768536</v>
      </c>
      <c r="AH156" s="583">
        <v>25380</v>
      </c>
      <c r="AI156" s="583">
        <v>72853</v>
      </c>
      <c r="AJ156" s="583">
        <v>0</v>
      </c>
      <c r="AK156" s="583">
        <v>866769</v>
      </c>
      <c r="AL156" s="583">
        <v>72853</v>
      </c>
      <c r="AM156" s="583">
        <v>1527712</v>
      </c>
      <c r="AN156" s="583">
        <v>148313</v>
      </c>
      <c r="AO156" s="583">
        <v>-72853</v>
      </c>
      <c r="AP156" s="583">
        <v>0</v>
      </c>
      <c r="AQ156" s="583">
        <v>1603172</v>
      </c>
      <c r="AR156" s="583">
        <v>0</v>
      </c>
      <c r="AS156" s="583">
        <v>504627</v>
      </c>
      <c r="AT156" s="583">
        <v>0</v>
      </c>
      <c r="AU156" s="583">
        <v>336762</v>
      </c>
      <c r="AV156" s="583">
        <v>0</v>
      </c>
      <c r="AW156" s="583">
        <v>841389</v>
      </c>
      <c r="AX156" s="583">
        <v>336762</v>
      </c>
      <c r="AY156" s="583">
        <v>976890</v>
      </c>
      <c r="AZ156" s="583">
        <v>36359</v>
      </c>
      <c r="BA156" s="583">
        <v>0</v>
      </c>
      <c r="BB156" s="583">
        <v>0</v>
      </c>
      <c r="BC156" s="583">
        <v>1013249</v>
      </c>
      <c r="BD156" s="583">
        <v>336762</v>
      </c>
      <c r="BE156" s="583">
        <v>2061197</v>
      </c>
      <c r="BF156" s="583">
        <v>0</v>
      </c>
      <c r="BG156" s="583">
        <v>-336762</v>
      </c>
      <c r="BH156" s="583">
        <v>0</v>
      </c>
      <c r="BI156" s="583">
        <v>1724435</v>
      </c>
      <c r="BJ156" s="583">
        <v>0</v>
      </c>
      <c r="BK156" s="583">
        <v>764998</v>
      </c>
      <c r="BL156" s="583">
        <v>0</v>
      </c>
      <c r="BM156" s="583">
        <v>76391</v>
      </c>
      <c r="BN156" s="583">
        <v>0</v>
      </c>
      <c r="BO156" s="583">
        <v>841389</v>
      </c>
      <c r="BP156" s="583">
        <v>76391</v>
      </c>
      <c r="BQ156" s="583">
        <v>1465948</v>
      </c>
      <c r="BR156" s="583">
        <v>238965</v>
      </c>
      <c r="BS156" s="583">
        <v>-76391</v>
      </c>
      <c r="BT156" s="583">
        <v>0</v>
      </c>
      <c r="BU156" s="583">
        <v>1628522</v>
      </c>
      <c r="BV156" s="583">
        <v>0</v>
      </c>
    </row>
    <row r="157" spans="1:74" x14ac:dyDescent="0.2">
      <c r="A157" s="580">
        <v>8112</v>
      </c>
      <c r="B157" s="580" t="s">
        <v>397</v>
      </c>
      <c r="C157" s="583">
        <v>324017</v>
      </c>
      <c r="D157" s="583">
        <v>0</v>
      </c>
      <c r="E157" s="583">
        <v>206943</v>
      </c>
      <c r="F157" s="583">
        <v>0</v>
      </c>
      <c r="G157" s="583">
        <v>530960</v>
      </c>
      <c r="H157" s="583">
        <v>206943</v>
      </c>
      <c r="I157" s="583">
        <v>172301</v>
      </c>
      <c r="J157" s="583">
        <v>0</v>
      </c>
      <c r="K157" s="583">
        <v>358659</v>
      </c>
      <c r="L157" s="583">
        <v>0</v>
      </c>
      <c r="M157" s="583">
        <v>530960</v>
      </c>
      <c r="N157" s="583">
        <v>565602</v>
      </c>
      <c r="O157" s="583">
        <v>491537</v>
      </c>
      <c r="P157" s="583">
        <v>0</v>
      </c>
      <c r="Q157" s="583">
        <v>0</v>
      </c>
      <c r="R157" s="583">
        <v>0</v>
      </c>
      <c r="S157" s="583">
        <v>491537</v>
      </c>
      <c r="T157" s="583">
        <v>565602</v>
      </c>
      <c r="U157" s="583">
        <v>260999</v>
      </c>
      <c r="V157" s="583">
        <v>0</v>
      </c>
      <c r="W157" s="583">
        <v>269961</v>
      </c>
      <c r="X157" s="583">
        <v>0</v>
      </c>
      <c r="Y157" s="583">
        <v>530960</v>
      </c>
      <c r="Z157" s="583">
        <v>835563</v>
      </c>
      <c r="AA157" s="583">
        <v>2271176</v>
      </c>
      <c r="AB157" s="583">
        <v>20962</v>
      </c>
      <c r="AC157" s="583">
        <v>-835563</v>
      </c>
      <c r="AD157" s="583">
        <v>0</v>
      </c>
      <c r="AE157" s="583">
        <v>1456575</v>
      </c>
      <c r="AF157" s="583">
        <v>0</v>
      </c>
      <c r="AG157" s="583">
        <v>449862</v>
      </c>
      <c r="AH157" s="583">
        <v>14856</v>
      </c>
      <c r="AI157" s="583">
        <v>81098</v>
      </c>
      <c r="AJ157" s="583">
        <v>0</v>
      </c>
      <c r="AK157" s="583">
        <v>545816</v>
      </c>
      <c r="AL157" s="583">
        <v>81098</v>
      </c>
      <c r="AM157" s="583">
        <v>894246</v>
      </c>
      <c r="AN157" s="583">
        <v>86815</v>
      </c>
      <c r="AO157" s="583">
        <v>-81098</v>
      </c>
      <c r="AP157" s="583">
        <v>0</v>
      </c>
      <c r="AQ157" s="583">
        <v>899963</v>
      </c>
      <c r="AR157" s="583">
        <v>0</v>
      </c>
      <c r="AS157" s="583">
        <v>295383</v>
      </c>
      <c r="AT157" s="583">
        <v>0</v>
      </c>
      <c r="AU157" s="583">
        <v>235577</v>
      </c>
      <c r="AV157" s="583">
        <v>0</v>
      </c>
      <c r="AW157" s="583">
        <v>530960</v>
      </c>
      <c r="AX157" s="583">
        <v>235577</v>
      </c>
      <c r="AY157" s="583">
        <v>571822</v>
      </c>
      <c r="AZ157" s="583">
        <v>21283</v>
      </c>
      <c r="BA157" s="583">
        <v>0</v>
      </c>
      <c r="BB157" s="583">
        <v>0</v>
      </c>
      <c r="BC157" s="583">
        <v>593105</v>
      </c>
      <c r="BD157" s="583">
        <v>235577</v>
      </c>
      <c r="BE157" s="583">
        <v>1206520</v>
      </c>
      <c r="BF157" s="583">
        <v>0</v>
      </c>
      <c r="BG157" s="583">
        <v>-235577</v>
      </c>
      <c r="BH157" s="583">
        <v>0</v>
      </c>
      <c r="BI157" s="583">
        <v>970943</v>
      </c>
      <c r="BJ157" s="583">
        <v>0</v>
      </c>
      <c r="BK157" s="583">
        <v>447791</v>
      </c>
      <c r="BL157" s="583">
        <v>0</v>
      </c>
      <c r="BM157" s="583">
        <v>83169</v>
      </c>
      <c r="BN157" s="583">
        <v>0</v>
      </c>
      <c r="BO157" s="583">
        <v>530960</v>
      </c>
      <c r="BP157" s="583">
        <v>83169</v>
      </c>
      <c r="BQ157" s="583">
        <v>858092</v>
      </c>
      <c r="BR157" s="583">
        <v>139878</v>
      </c>
      <c r="BS157" s="583">
        <v>-83169</v>
      </c>
      <c r="BT157" s="583">
        <v>0</v>
      </c>
      <c r="BU157" s="583">
        <v>914801</v>
      </c>
      <c r="BV157" s="583">
        <v>0</v>
      </c>
    </row>
    <row r="158" spans="1:74" x14ac:dyDescent="0.2">
      <c r="A158" s="580">
        <v>8201</v>
      </c>
      <c r="B158" s="580" t="s">
        <v>194</v>
      </c>
      <c r="C158" s="583">
        <v>217308</v>
      </c>
      <c r="D158" s="583">
        <v>0</v>
      </c>
      <c r="E158" s="583">
        <v>129760</v>
      </c>
      <c r="F158" s="583">
        <v>0</v>
      </c>
      <c r="G158" s="583">
        <v>347068</v>
      </c>
      <c r="H158" s="583">
        <v>129760</v>
      </c>
      <c r="I158" s="583">
        <v>115557</v>
      </c>
      <c r="J158" s="583">
        <v>0</v>
      </c>
      <c r="K158" s="583">
        <v>231511</v>
      </c>
      <c r="L158" s="583">
        <v>0</v>
      </c>
      <c r="M158" s="583">
        <v>347068</v>
      </c>
      <c r="N158" s="583">
        <v>361271</v>
      </c>
      <c r="O158" s="583">
        <v>329659</v>
      </c>
      <c r="P158" s="583">
        <v>0</v>
      </c>
      <c r="Q158" s="583">
        <v>0</v>
      </c>
      <c r="R158" s="583">
        <v>0</v>
      </c>
      <c r="S158" s="583">
        <v>329659</v>
      </c>
      <c r="T158" s="583">
        <v>361271</v>
      </c>
      <c r="U158" s="583">
        <v>175044</v>
      </c>
      <c r="V158" s="583">
        <v>0</v>
      </c>
      <c r="W158" s="583">
        <v>172024</v>
      </c>
      <c r="X158" s="583">
        <v>0</v>
      </c>
      <c r="Y158" s="583">
        <v>347068</v>
      </c>
      <c r="Z158" s="583">
        <v>533295</v>
      </c>
      <c r="AA158" s="583">
        <v>1523209</v>
      </c>
      <c r="AB158" s="583">
        <v>14059</v>
      </c>
      <c r="AC158" s="583">
        <v>-533295</v>
      </c>
      <c r="AD158" s="583">
        <v>0</v>
      </c>
      <c r="AE158" s="583">
        <v>1003973</v>
      </c>
      <c r="AF158" s="583">
        <v>0</v>
      </c>
      <c r="AG158" s="583">
        <v>301709</v>
      </c>
      <c r="AH158" s="583">
        <v>9964</v>
      </c>
      <c r="AI158" s="583">
        <v>45359</v>
      </c>
      <c r="AJ158" s="583">
        <v>0</v>
      </c>
      <c r="AK158" s="583">
        <v>357032</v>
      </c>
      <c r="AL158" s="583">
        <v>45359</v>
      </c>
      <c r="AM158" s="583">
        <v>599743</v>
      </c>
      <c r="AN158" s="583">
        <v>58224</v>
      </c>
      <c r="AO158" s="583">
        <v>-45359</v>
      </c>
      <c r="AP158" s="583">
        <v>0</v>
      </c>
      <c r="AQ158" s="583">
        <v>612608</v>
      </c>
      <c r="AR158" s="583">
        <v>0</v>
      </c>
      <c r="AS158" s="583">
        <v>198104</v>
      </c>
      <c r="AT158" s="583">
        <v>0</v>
      </c>
      <c r="AU158" s="583">
        <v>148964</v>
      </c>
      <c r="AV158" s="583">
        <v>0</v>
      </c>
      <c r="AW158" s="583">
        <v>347068</v>
      </c>
      <c r="AX158" s="583">
        <v>148964</v>
      </c>
      <c r="AY158" s="583">
        <v>383504</v>
      </c>
      <c r="AZ158" s="583">
        <v>14274</v>
      </c>
      <c r="BA158" s="583">
        <v>0</v>
      </c>
      <c r="BB158" s="583">
        <v>0</v>
      </c>
      <c r="BC158" s="583">
        <v>397778</v>
      </c>
      <c r="BD158" s="583">
        <v>148964</v>
      </c>
      <c r="BE158" s="583">
        <v>809176</v>
      </c>
      <c r="BF158" s="583">
        <v>0</v>
      </c>
      <c r="BG158" s="583">
        <v>-148964</v>
      </c>
      <c r="BH158" s="583">
        <v>0</v>
      </c>
      <c r="BI158" s="583">
        <v>660212</v>
      </c>
      <c r="BJ158" s="583">
        <v>0</v>
      </c>
      <c r="BK158" s="583">
        <v>300320</v>
      </c>
      <c r="BL158" s="583">
        <v>0</v>
      </c>
      <c r="BM158" s="583">
        <v>46748</v>
      </c>
      <c r="BN158" s="583">
        <v>0</v>
      </c>
      <c r="BO158" s="583">
        <v>347068</v>
      </c>
      <c r="BP158" s="583">
        <v>46748</v>
      </c>
      <c r="BQ158" s="583">
        <v>575496</v>
      </c>
      <c r="BR158" s="583">
        <v>93812</v>
      </c>
      <c r="BS158" s="583">
        <v>-46748</v>
      </c>
      <c r="BT158" s="583">
        <v>0</v>
      </c>
      <c r="BU158" s="583">
        <v>622560</v>
      </c>
      <c r="BV158" s="583">
        <v>0</v>
      </c>
    </row>
    <row r="159" spans="1:74" x14ac:dyDescent="0.2">
      <c r="A159" s="580">
        <v>8202</v>
      </c>
      <c r="B159" s="580" t="s">
        <v>192</v>
      </c>
      <c r="C159" s="583">
        <v>276162</v>
      </c>
      <c r="D159" s="583">
        <v>0</v>
      </c>
      <c r="E159" s="583">
        <v>185037</v>
      </c>
      <c r="F159" s="583">
        <v>0</v>
      </c>
      <c r="G159" s="583">
        <v>461199</v>
      </c>
      <c r="H159" s="583">
        <v>185037</v>
      </c>
      <c r="I159" s="583">
        <v>146854</v>
      </c>
      <c r="J159" s="583">
        <v>0</v>
      </c>
      <c r="K159" s="583">
        <v>314345</v>
      </c>
      <c r="L159" s="583">
        <v>0</v>
      </c>
      <c r="M159" s="583">
        <v>461199</v>
      </c>
      <c r="N159" s="583">
        <v>499382</v>
      </c>
      <c r="O159" s="583">
        <v>418941</v>
      </c>
      <c r="P159" s="583">
        <v>0</v>
      </c>
      <c r="Q159" s="583">
        <v>0</v>
      </c>
      <c r="R159" s="583">
        <v>0</v>
      </c>
      <c r="S159" s="583">
        <v>418941</v>
      </c>
      <c r="T159" s="583">
        <v>499382</v>
      </c>
      <c r="U159" s="583">
        <v>222451</v>
      </c>
      <c r="V159" s="583">
        <v>0</v>
      </c>
      <c r="W159" s="583">
        <v>238748</v>
      </c>
      <c r="X159" s="583">
        <v>0</v>
      </c>
      <c r="Y159" s="583">
        <v>461199</v>
      </c>
      <c r="Z159" s="583">
        <v>738130</v>
      </c>
      <c r="AA159" s="583">
        <v>1935741</v>
      </c>
      <c r="AB159" s="583">
        <v>17866</v>
      </c>
      <c r="AC159" s="583">
        <v>-738130</v>
      </c>
      <c r="AD159" s="583">
        <v>0</v>
      </c>
      <c r="AE159" s="583">
        <v>1215477</v>
      </c>
      <c r="AF159" s="583">
        <v>0</v>
      </c>
      <c r="AG159" s="583">
        <v>383421</v>
      </c>
      <c r="AH159" s="583">
        <v>12662</v>
      </c>
      <c r="AI159" s="583">
        <v>77778</v>
      </c>
      <c r="AJ159" s="583">
        <v>0</v>
      </c>
      <c r="AK159" s="583">
        <v>473861</v>
      </c>
      <c r="AL159" s="583">
        <v>77778</v>
      </c>
      <c r="AM159" s="583">
        <v>762172</v>
      </c>
      <c r="AN159" s="583">
        <v>73993</v>
      </c>
      <c r="AO159" s="583">
        <v>-61616</v>
      </c>
      <c r="AP159" s="583">
        <v>0</v>
      </c>
      <c r="AQ159" s="583">
        <v>774549</v>
      </c>
      <c r="AR159" s="583">
        <v>16162</v>
      </c>
      <c r="AS159" s="583">
        <v>251757</v>
      </c>
      <c r="AT159" s="583">
        <v>0</v>
      </c>
      <c r="AU159" s="583">
        <v>209442</v>
      </c>
      <c r="AV159" s="583">
        <v>0</v>
      </c>
      <c r="AW159" s="583">
        <v>461199</v>
      </c>
      <c r="AX159" s="583">
        <v>225604</v>
      </c>
      <c r="AY159" s="583">
        <v>487368</v>
      </c>
      <c r="AZ159" s="583">
        <v>18139</v>
      </c>
      <c r="BA159" s="583">
        <v>0</v>
      </c>
      <c r="BB159" s="583">
        <v>0</v>
      </c>
      <c r="BC159" s="583">
        <v>505507</v>
      </c>
      <c r="BD159" s="583">
        <v>225604</v>
      </c>
      <c r="BE159" s="583">
        <v>1028326</v>
      </c>
      <c r="BF159" s="583">
        <v>0</v>
      </c>
      <c r="BG159" s="583">
        <v>-225604</v>
      </c>
      <c r="BH159" s="583">
        <v>0</v>
      </c>
      <c r="BI159" s="583">
        <v>802722</v>
      </c>
      <c r="BJ159" s="583">
        <v>0</v>
      </c>
      <c r="BK159" s="583">
        <v>381656</v>
      </c>
      <c r="BL159" s="583">
        <v>0</v>
      </c>
      <c r="BM159" s="583">
        <v>79543</v>
      </c>
      <c r="BN159" s="583">
        <v>0</v>
      </c>
      <c r="BO159" s="583">
        <v>461199</v>
      </c>
      <c r="BP159" s="583">
        <v>79543</v>
      </c>
      <c r="BQ159" s="583">
        <v>731358</v>
      </c>
      <c r="BR159" s="583">
        <v>119219</v>
      </c>
      <c r="BS159" s="583">
        <v>-79543</v>
      </c>
      <c r="BT159" s="583">
        <v>0</v>
      </c>
      <c r="BU159" s="583">
        <v>771034</v>
      </c>
      <c r="BV159" s="583">
        <v>0</v>
      </c>
    </row>
    <row r="160" spans="1:74" x14ac:dyDescent="0.2">
      <c r="A160" s="580">
        <v>8203</v>
      </c>
      <c r="B160" s="580" t="s">
        <v>195</v>
      </c>
      <c r="C160" s="583">
        <v>306203</v>
      </c>
      <c r="D160" s="583">
        <v>0</v>
      </c>
      <c r="E160" s="583">
        <v>177354</v>
      </c>
      <c r="F160" s="583">
        <v>0</v>
      </c>
      <c r="G160" s="583">
        <v>483557</v>
      </c>
      <c r="H160" s="583">
        <v>177354</v>
      </c>
      <c r="I160" s="583">
        <v>162828</v>
      </c>
      <c r="J160" s="583">
        <v>0</v>
      </c>
      <c r="K160" s="583">
        <v>320729</v>
      </c>
      <c r="L160" s="583">
        <v>0</v>
      </c>
      <c r="M160" s="583">
        <v>483557</v>
      </c>
      <c r="N160" s="583">
        <v>498083</v>
      </c>
      <c r="O160" s="583">
        <v>464513</v>
      </c>
      <c r="P160" s="583">
        <v>0</v>
      </c>
      <c r="Q160" s="583">
        <v>0</v>
      </c>
      <c r="R160" s="583">
        <v>0</v>
      </c>
      <c r="S160" s="583">
        <v>464513</v>
      </c>
      <c r="T160" s="583">
        <v>498083</v>
      </c>
      <c r="U160" s="583">
        <v>246649</v>
      </c>
      <c r="V160" s="583">
        <v>0</v>
      </c>
      <c r="W160" s="583">
        <v>236908</v>
      </c>
      <c r="X160" s="583">
        <v>0</v>
      </c>
      <c r="Y160" s="583">
        <v>483557</v>
      </c>
      <c r="Z160" s="583">
        <v>734991</v>
      </c>
      <c r="AA160" s="583">
        <v>2146308</v>
      </c>
      <c r="AB160" s="583">
        <v>19810</v>
      </c>
      <c r="AC160" s="583">
        <v>-734991</v>
      </c>
      <c r="AD160" s="583">
        <v>0</v>
      </c>
      <c r="AE160" s="583">
        <v>1431127</v>
      </c>
      <c r="AF160" s="583">
        <v>0</v>
      </c>
      <c r="AG160" s="583">
        <v>425129</v>
      </c>
      <c r="AH160" s="583">
        <v>14039</v>
      </c>
      <c r="AI160" s="583">
        <v>58428</v>
      </c>
      <c r="AJ160" s="583">
        <v>0</v>
      </c>
      <c r="AK160" s="583">
        <v>497596</v>
      </c>
      <c r="AL160" s="583">
        <v>58428</v>
      </c>
      <c r="AM160" s="583">
        <v>845080</v>
      </c>
      <c r="AN160" s="583">
        <v>82042</v>
      </c>
      <c r="AO160" s="583">
        <v>-58428</v>
      </c>
      <c r="AP160" s="583">
        <v>0</v>
      </c>
      <c r="AQ160" s="583">
        <v>868694</v>
      </c>
      <c r="AR160" s="583">
        <v>0</v>
      </c>
      <c r="AS160" s="583">
        <v>279143</v>
      </c>
      <c r="AT160" s="583">
        <v>0</v>
      </c>
      <c r="AU160" s="583">
        <v>204414</v>
      </c>
      <c r="AV160" s="583">
        <v>0</v>
      </c>
      <c r="AW160" s="583">
        <v>483557</v>
      </c>
      <c r="AX160" s="583">
        <v>204414</v>
      </c>
      <c r="AY160" s="583">
        <v>540384</v>
      </c>
      <c r="AZ160" s="583">
        <v>20113</v>
      </c>
      <c r="BA160" s="583">
        <v>0</v>
      </c>
      <c r="BB160" s="583">
        <v>0</v>
      </c>
      <c r="BC160" s="583">
        <v>560497</v>
      </c>
      <c r="BD160" s="583">
        <v>204414</v>
      </c>
      <c r="BE160" s="583">
        <v>1140187</v>
      </c>
      <c r="BF160" s="583">
        <v>0</v>
      </c>
      <c r="BG160" s="583">
        <v>-204414</v>
      </c>
      <c r="BH160" s="583">
        <v>0</v>
      </c>
      <c r="BI160" s="583">
        <v>935773</v>
      </c>
      <c r="BJ160" s="583">
        <v>0</v>
      </c>
      <c r="BK160" s="583">
        <v>423172</v>
      </c>
      <c r="BL160" s="583">
        <v>0</v>
      </c>
      <c r="BM160" s="583">
        <v>60385</v>
      </c>
      <c r="BN160" s="583">
        <v>0</v>
      </c>
      <c r="BO160" s="583">
        <v>483557</v>
      </c>
      <c r="BP160" s="583">
        <v>60385</v>
      </c>
      <c r="BQ160" s="583">
        <v>810915</v>
      </c>
      <c r="BR160" s="583">
        <v>132187</v>
      </c>
      <c r="BS160" s="583">
        <v>-60385</v>
      </c>
      <c r="BT160" s="583">
        <v>0</v>
      </c>
      <c r="BU160" s="583">
        <v>882717</v>
      </c>
      <c r="BV160" s="583">
        <v>0</v>
      </c>
    </row>
    <row r="161" spans="1:74" x14ac:dyDescent="0.2">
      <c r="A161" s="580">
        <v>8204</v>
      </c>
      <c r="B161" s="580" t="s">
        <v>196</v>
      </c>
      <c r="C161" s="583">
        <v>135481</v>
      </c>
      <c r="D161" s="583">
        <v>0</v>
      </c>
      <c r="E161" s="583">
        <v>89000</v>
      </c>
      <c r="F161" s="583">
        <v>0</v>
      </c>
      <c r="G161" s="583">
        <v>224481</v>
      </c>
      <c r="H161" s="583">
        <v>89000</v>
      </c>
      <c r="I161" s="583">
        <v>72044</v>
      </c>
      <c r="J161" s="583">
        <v>0</v>
      </c>
      <c r="K161" s="583">
        <v>152437</v>
      </c>
      <c r="L161" s="583">
        <v>0</v>
      </c>
      <c r="M161" s="583">
        <v>224481</v>
      </c>
      <c r="N161" s="583">
        <v>241437</v>
      </c>
      <c r="O161" s="583">
        <v>205526</v>
      </c>
      <c r="P161" s="583">
        <v>0</v>
      </c>
      <c r="Q161" s="583">
        <v>0</v>
      </c>
      <c r="R161" s="583">
        <v>0</v>
      </c>
      <c r="S161" s="583">
        <v>205526</v>
      </c>
      <c r="T161" s="583">
        <v>241437</v>
      </c>
      <c r="U161" s="583">
        <v>109131</v>
      </c>
      <c r="V161" s="583">
        <v>0</v>
      </c>
      <c r="W161" s="583">
        <v>115350</v>
      </c>
      <c r="X161" s="583">
        <v>0</v>
      </c>
      <c r="Y161" s="583">
        <v>224481</v>
      </c>
      <c r="Z161" s="583">
        <v>356787</v>
      </c>
      <c r="AA161" s="583">
        <v>949643</v>
      </c>
      <c r="AB161" s="583">
        <v>8765</v>
      </c>
      <c r="AC161" s="583">
        <v>-356787</v>
      </c>
      <c r="AD161" s="583">
        <v>0</v>
      </c>
      <c r="AE161" s="583">
        <v>601621</v>
      </c>
      <c r="AF161" s="583">
        <v>0</v>
      </c>
      <c r="AG161" s="583">
        <v>188100</v>
      </c>
      <c r="AH161" s="583">
        <v>6212</v>
      </c>
      <c r="AI161" s="583">
        <v>36381</v>
      </c>
      <c r="AJ161" s="583">
        <v>0</v>
      </c>
      <c r="AK161" s="583">
        <v>230693</v>
      </c>
      <c r="AL161" s="583">
        <v>36381</v>
      </c>
      <c r="AM161" s="583">
        <v>373909</v>
      </c>
      <c r="AN161" s="583">
        <v>36300</v>
      </c>
      <c r="AO161" s="583">
        <v>-32926</v>
      </c>
      <c r="AP161" s="583">
        <v>0</v>
      </c>
      <c r="AQ161" s="583">
        <v>377283</v>
      </c>
      <c r="AR161" s="583">
        <v>3455</v>
      </c>
      <c r="AS161" s="583">
        <v>123508</v>
      </c>
      <c r="AT161" s="583">
        <v>0</v>
      </c>
      <c r="AU161" s="583">
        <v>100973</v>
      </c>
      <c r="AV161" s="583">
        <v>0</v>
      </c>
      <c r="AW161" s="583">
        <v>224481</v>
      </c>
      <c r="AX161" s="583">
        <v>104428</v>
      </c>
      <c r="AY161" s="583">
        <v>239095</v>
      </c>
      <c r="AZ161" s="583">
        <v>8899</v>
      </c>
      <c r="BA161" s="583">
        <v>0</v>
      </c>
      <c r="BB161" s="583">
        <v>0</v>
      </c>
      <c r="BC161" s="583">
        <v>247994</v>
      </c>
      <c r="BD161" s="583">
        <v>104428</v>
      </c>
      <c r="BE161" s="583">
        <v>504480</v>
      </c>
      <c r="BF161" s="583">
        <v>0</v>
      </c>
      <c r="BG161" s="583">
        <v>-104428</v>
      </c>
      <c r="BH161" s="583">
        <v>0</v>
      </c>
      <c r="BI161" s="583">
        <v>400052</v>
      </c>
      <c r="BJ161" s="583">
        <v>0</v>
      </c>
      <c r="BK161" s="583">
        <v>187234</v>
      </c>
      <c r="BL161" s="583">
        <v>0</v>
      </c>
      <c r="BM161" s="583">
        <v>37247</v>
      </c>
      <c r="BN161" s="583">
        <v>0</v>
      </c>
      <c r="BO161" s="583">
        <v>224481</v>
      </c>
      <c r="BP161" s="583">
        <v>37247</v>
      </c>
      <c r="BQ161" s="583">
        <v>358792</v>
      </c>
      <c r="BR161" s="583">
        <v>58487</v>
      </c>
      <c r="BS161" s="583">
        <v>-37247</v>
      </c>
      <c r="BT161" s="583">
        <v>0</v>
      </c>
      <c r="BU161" s="583">
        <v>380032</v>
      </c>
      <c r="BV161" s="583">
        <v>0</v>
      </c>
    </row>
    <row r="162" spans="1:74" x14ac:dyDescent="0.2">
      <c r="A162" s="580">
        <v>8205</v>
      </c>
      <c r="B162" s="580" t="s">
        <v>193</v>
      </c>
      <c r="C162" s="583">
        <v>230548</v>
      </c>
      <c r="D162" s="583">
        <v>0</v>
      </c>
      <c r="E162" s="583">
        <v>136412</v>
      </c>
      <c r="F162" s="583">
        <v>0</v>
      </c>
      <c r="G162" s="583">
        <v>366960</v>
      </c>
      <c r="H162" s="583">
        <v>136412</v>
      </c>
      <c r="I162" s="583">
        <v>122598</v>
      </c>
      <c r="J162" s="583">
        <v>0</v>
      </c>
      <c r="K162" s="583">
        <v>244362</v>
      </c>
      <c r="L162" s="583">
        <v>0</v>
      </c>
      <c r="M162" s="583">
        <v>366960</v>
      </c>
      <c r="N162" s="583">
        <v>380774</v>
      </c>
      <c r="O162" s="583">
        <v>349744</v>
      </c>
      <c r="P162" s="583">
        <v>0</v>
      </c>
      <c r="Q162" s="583">
        <v>0</v>
      </c>
      <c r="R162" s="583">
        <v>0</v>
      </c>
      <c r="S162" s="583">
        <v>349744</v>
      </c>
      <c r="T162" s="583">
        <v>380774</v>
      </c>
      <c r="U162" s="583">
        <v>185709</v>
      </c>
      <c r="V162" s="583">
        <v>0</v>
      </c>
      <c r="W162" s="583">
        <v>181251</v>
      </c>
      <c r="X162" s="583">
        <v>0</v>
      </c>
      <c r="Y162" s="583">
        <v>366960</v>
      </c>
      <c r="Z162" s="583">
        <v>562025</v>
      </c>
      <c r="AA162" s="583">
        <v>1616013</v>
      </c>
      <c r="AB162" s="583">
        <v>14915</v>
      </c>
      <c r="AC162" s="583">
        <v>-562025</v>
      </c>
      <c r="AD162" s="583">
        <v>0</v>
      </c>
      <c r="AE162" s="583">
        <v>1068903</v>
      </c>
      <c r="AF162" s="583">
        <v>0</v>
      </c>
      <c r="AG162" s="583">
        <v>320091</v>
      </c>
      <c r="AH162" s="583">
        <v>10571</v>
      </c>
      <c r="AI162" s="583">
        <v>46869</v>
      </c>
      <c r="AJ162" s="583">
        <v>0</v>
      </c>
      <c r="AK162" s="583">
        <v>377531</v>
      </c>
      <c r="AL162" s="583">
        <v>46869</v>
      </c>
      <c r="AM162" s="583">
        <v>636284</v>
      </c>
      <c r="AN162" s="583">
        <v>61772</v>
      </c>
      <c r="AO162" s="583">
        <v>-46869</v>
      </c>
      <c r="AP162" s="583">
        <v>0</v>
      </c>
      <c r="AQ162" s="583">
        <v>651187</v>
      </c>
      <c r="AR162" s="583">
        <v>0</v>
      </c>
      <c r="AS162" s="583">
        <v>210174</v>
      </c>
      <c r="AT162" s="583">
        <v>0</v>
      </c>
      <c r="AU162" s="583">
        <v>156786</v>
      </c>
      <c r="AV162" s="583">
        <v>0</v>
      </c>
      <c r="AW162" s="583">
        <v>366960</v>
      </c>
      <c r="AX162" s="583">
        <v>156786</v>
      </c>
      <c r="AY162" s="583">
        <v>406870</v>
      </c>
      <c r="AZ162" s="583">
        <v>15143</v>
      </c>
      <c r="BA162" s="583">
        <v>0</v>
      </c>
      <c r="BB162" s="583">
        <v>0</v>
      </c>
      <c r="BC162" s="583">
        <v>422013</v>
      </c>
      <c r="BD162" s="583">
        <v>156786</v>
      </c>
      <c r="BE162" s="583">
        <v>858477</v>
      </c>
      <c r="BF162" s="583">
        <v>0</v>
      </c>
      <c r="BG162" s="583">
        <v>-156786</v>
      </c>
      <c r="BH162" s="583">
        <v>0</v>
      </c>
      <c r="BI162" s="583">
        <v>701691</v>
      </c>
      <c r="BJ162" s="583">
        <v>0</v>
      </c>
      <c r="BK162" s="583">
        <v>318618</v>
      </c>
      <c r="BL162" s="583">
        <v>0</v>
      </c>
      <c r="BM162" s="583">
        <v>48342</v>
      </c>
      <c r="BN162" s="583">
        <v>0</v>
      </c>
      <c r="BO162" s="583">
        <v>366960</v>
      </c>
      <c r="BP162" s="583">
        <v>48342</v>
      </c>
      <c r="BQ162" s="583">
        <v>610559</v>
      </c>
      <c r="BR162" s="583">
        <v>99527</v>
      </c>
      <c r="BS162" s="583">
        <v>-48342</v>
      </c>
      <c r="BT162" s="583">
        <v>0</v>
      </c>
      <c r="BU162" s="583">
        <v>661744</v>
      </c>
      <c r="BV162" s="583">
        <v>0</v>
      </c>
    </row>
    <row r="163" spans="1:74" x14ac:dyDescent="0.2">
      <c r="A163" s="580">
        <v>8206</v>
      </c>
      <c r="B163" s="580" t="s">
        <v>30</v>
      </c>
      <c r="C163" s="583">
        <v>181556</v>
      </c>
      <c r="D163" s="583">
        <v>0</v>
      </c>
      <c r="E163" s="583">
        <v>99919</v>
      </c>
      <c r="F163" s="583">
        <v>0</v>
      </c>
      <c r="G163" s="583">
        <v>281475</v>
      </c>
      <c r="H163" s="583">
        <v>99919</v>
      </c>
      <c r="I163" s="583">
        <v>96545</v>
      </c>
      <c r="J163" s="583">
        <v>0</v>
      </c>
      <c r="K163" s="583">
        <v>184930</v>
      </c>
      <c r="L163" s="583">
        <v>0</v>
      </c>
      <c r="M163" s="583">
        <v>281475</v>
      </c>
      <c r="N163" s="583">
        <v>284849</v>
      </c>
      <c r="O163" s="583">
        <v>275422</v>
      </c>
      <c r="P163" s="583">
        <v>0</v>
      </c>
      <c r="Q163" s="583">
        <v>0</v>
      </c>
      <c r="R163" s="583">
        <v>0</v>
      </c>
      <c r="S163" s="583">
        <v>275422</v>
      </c>
      <c r="T163" s="583">
        <v>284849</v>
      </c>
      <c r="U163" s="583">
        <v>146245</v>
      </c>
      <c r="V163" s="583">
        <v>0</v>
      </c>
      <c r="W163" s="583">
        <v>135230</v>
      </c>
      <c r="X163" s="583">
        <v>0</v>
      </c>
      <c r="Y163" s="583">
        <v>281475</v>
      </c>
      <c r="Z163" s="583">
        <v>420079</v>
      </c>
      <c r="AA163" s="583">
        <v>1272604</v>
      </c>
      <c r="AB163" s="583">
        <v>11746</v>
      </c>
      <c r="AC163" s="583">
        <v>-420079</v>
      </c>
      <c r="AD163" s="583">
        <v>0</v>
      </c>
      <c r="AE163" s="583">
        <v>864271</v>
      </c>
      <c r="AF163" s="583">
        <v>0</v>
      </c>
      <c r="AG163" s="583">
        <v>252070</v>
      </c>
      <c r="AH163" s="583">
        <v>8324</v>
      </c>
      <c r="AI163" s="583">
        <v>29405</v>
      </c>
      <c r="AJ163" s="583">
        <v>0</v>
      </c>
      <c r="AK163" s="583">
        <v>289799</v>
      </c>
      <c r="AL163" s="583">
        <v>29405</v>
      </c>
      <c r="AM163" s="583">
        <v>501071</v>
      </c>
      <c r="AN163" s="583">
        <v>48645</v>
      </c>
      <c r="AO163" s="583">
        <v>-29405</v>
      </c>
      <c r="AP163" s="583">
        <v>0</v>
      </c>
      <c r="AQ163" s="583">
        <v>520311</v>
      </c>
      <c r="AR163" s="583">
        <v>0</v>
      </c>
      <c r="AS163" s="583">
        <v>165511</v>
      </c>
      <c r="AT163" s="583">
        <v>0</v>
      </c>
      <c r="AU163" s="583">
        <v>115964</v>
      </c>
      <c r="AV163" s="583">
        <v>0</v>
      </c>
      <c r="AW163" s="583">
        <v>281475</v>
      </c>
      <c r="AX163" s="583">
        <v>115964</v>
      </c>
      <c r="AY163" s="583">
        <v>320408</v>
      </c>
      <c r="AZ163" s="583">
        <v>11925</v>
      </c>
      <c r="BA163" s="583">
        <v>0</v>
      </c>
      <c r="BB163" s="583">
        <v>0</v>
      </c>
      <c r="BC163" s="583">
        <v>332333</v>
      </c>
      <c r="BD163" s="583">
        <v>115964</v>
      </c>
      <c r="BE163" s="583">
        <v>676047</v>
      </c>
      <c r="BF163" s="583">
        <v>0</v>
      </c>
      <c r="BG163" s="583">
        <v>-115964</v>
      </c>
      <c r="BH163" s="583">
        <v>0</v>
      </c>
      <c r="BI163" s="583">
        <v>560083</v>
      </c>
      <c r="BJ163" s="583">
        <v>0</v>
      </c>
      <c r="BK163" s="583">
        <v>250910</v>
      </c>
      <c r="BL163" s="583">
        <v>0</v>
      </c>
      <c r="BM163" s="583">
        <v>30565</v>
      </c>
      <c r="BN163" s="583">
        <v>0</v>
      </c>
      <c r="BO163" s="583">
        <v>281475</v>
      </c>
      <c r="BP163" s="583">
        <v>30565</v>
      </c>
      <c r="BQ163" s="583">
        <v>480813</v>
      </c>
      <c r="BR163" s="583">
        <v>78377</v>
      </c>
      <c r="BS163" s="583">
        <v>-30565</v>
      </c>
      <c r="BT163" s="583">
        <v>0</v>
      </c>
      <c r="BU163" s="583">
        <v>528625</v>
      </c>
      <c r="BV163" s="583">
        <v>0</v>
      </c>
    </row>
    <row r="164" spans="1:74" x14ac:dyDescent="0.2">
      <c r="A164" s="580">
        <v>8207</v>
      </c>
      <c r="B164" s="580" t="s">
        <v>31</v>
      </c>
      <c r="C164" s="583">
        <v>155502</v>
      </c>
      <c r="D164" s="583">
        <v>0</v>
      </c>
      <c r="E164" s="583">
        <v>79491</v>
      </c>
      <c r="F164" s="583">
        <v>0</v>
      </c>
      <c r="G164" s="583">
        <v>234993</v>
      </c>
      <c r="H164" s="583">
        <v>79491</v>
      </c>
      <c r="I164" s="583">
        <v>82691</v>
      </c>
      <c r="J164" s="583">
        <v>0</v>
      </c>
      <c r="K164" s="583">
        <v>152302</v>
      </c>
      <c r="L164" s="583">
        <v>0</v>
      </c>
      <c r="M164" s="583">
        <v>234993</v>
      </c>
      <c r="N164" s="583">
        <v>231793</v>
      </c>
      <c r="O164" s="583">
        <v>235898</v>
      </c>
      <c r="P164" s="583">
        <v>0</v>
      </c>
      <c r="Q164" s="583">
        <v>0</v>
      </c>
      <c r="R164" s="583">
        <v>0</v>
      </c>
      <c r="S164" s="583">
        <v>235898</v>
      </c>
      <c r="T164" s="583">
        <v>231793</v>
      </c>
      <c r="U164" s="583">
        <v>125258</v>
      </c>
      <c r="V164" s="583">
        <v>0</v>
      </c>
      <c r="W164" s="583">
        <v>109735</v>
      </c>
      <c r="X164" s="583">
        <v>0</v>
      </c>
      <c r="Y164" s="583">
        <v>234993</v>
      </c>
      <c r="Z164" s="583">
        <v>341528</v>
      </c>
      <c r="AA164" s="583">
        <v>1089980</v>
      </c>
      <c r="AB164" s="583">
        <v>10060</v>
      </c>
      <c r="AC164" s="583">
        <v>-341528</v>
      </c>
      <c r="AD164" s="583">
        <v>0</v>
      </c>
      <c r="AE164" s="583">
        <v>758512</v>
      </c>
      <c r="AF164" s="583">
        <v>0</v>
      </c>
      <c r="AG164" s="583">
        <v>215897</v>
      </c>
      <c r="AH164" s="583">
        <v>7130</v>
      </c>
      <c r="AI164" s="583">
        <v>19096</v>
      </c>
      <c r="AJ164" s="583">
        <v>0</v>
      </c>
      <c r="AK164" s="583">
        <v>242123</v>
      </c>
      <c r="AL164" s="583">
        <v>19096</v>
      </c>
      <c r="AM164" s="583">
        <v>429165</v>
      </c>
      <c r="AN164" s="583">
        <v>41664</v>
      </c>
      <c r="AO164" s="583">
        <v>-19096</v>
      </c>
      <c r="AP164" s="583">
        <v>0</v>
      </c>
      <c r="AQ164" s="583">
        <v>451733</v>
      </c>
      <c r="AR164" s="583">
        <v>0</v>
      </c>
      <c r="AS164" s="583">
        <v>141760</v>
      </c>
      <c r="AT164" s="583">
        <v>0</v>
      </c>
      <c r="AU164" s="583">
        <v>93233</v>
      </c>
      <c r="AV164" s="583">
        <v>0</v>
      </c>
      <c r="AW164" s="583">
        <v>234993</v>
      </c>
      <c r="AX164" s="583">
        <v>93233</v>
      </c>
      <c r="AY164" s="583">
        <v>274428</v>
      </c>
      <c r="AZ164" s="583">
        <v>10214</v>
      </c>
      <c r="BA164" s="583">
        <v>0</v>
      </c>
      <c r="BB164" s="583">
        <v>0</v>
      </c>
      <c r="BC164" s="583">
        <v>284642</v>
      </c>
      <c r="BD164" s="583">
        <v>93233</v>
      </c>
      <c r="BE164" s="583">
        <v>579032</v>
      </c>
      <c r="BF164" s="583">
        <v>0</v>
      </c>
      <c r="BG164" s="583">
        <v>-93233</v>
      </c>
      <c r="BH164" s="583">
        <v>0</v>
      </c>
      <c r="BI164" s="583">
        <v>485799</v>
      </c>
      <c r="BJ164" s="583">
        <v>0</v>
      </c>
      <c r="BK164" s="583">
        <v>214903</v>
      </c>
      <c r="BL164" s="583">
        <v>0</v>
      </c>
      <c r="BM164" s="583">
        <v>20090</v>
      </c>
      <c r="BN164" s="583">
        <v>0</v>
      </c>
      <c r="BO164" s="583">
        <v>234993</v>
      </c>
      <c r="BP164" s="583">
        <v>20090</v>
      </c>
      <c r="BQ164" s="583">
        <v>411814</v>
      </c>
      <c r="BR164" s="583">
        <v>67130</v>
      </c>
      <c r="BS164" s="583">
        <v>-20090</v>
      </c>
      <c r="BT164" s="583">
        <v>0</v>
      </c>
      <c r="BU164" s="583">
        <v>458854</v>
      </c>
      <c r="BV164" s="583">
        <v>0</v>
      </c>
    </row>
    <row r="165" spans="1:74" x14ac:dyDescent="0.2">
      <c r="A165" s="580">
        <v>8301</v>
      </c>
      <c r="B165" s="580" t="s">
        <v>32</v>
      </c>
      <c r="C165" s="583">
        <v>946298</v>
      </c>
      <c r="D165" s="583">
        <v>0</v>
      </c>
      <c r="E165" s="583">
        <v>506875</v>
      </c>
      <c r="F165" s="583">
        <v>0</v>
      </c>
      <c r="G165" s="583">
        <v>1453173</v>
      </c>
      <c r="H165" s="583">
        <v>506875</v>
      </c>
      <c r="I165" s="583">
        <v>503209</v>
      </c>
      <c r="J165" s="583">
        <v>0</v>
      </c>
      <c r="K165" s="583">
        <v>949964</v>
      </c>
      <c r="L165" s="583">
        <v>0</v>
      </c>
      <c r="M165" s="583">
        <v>1453173</v>
      </c>
      <c r="N165" s="583">
        <v>1456839</v>
      </c>
      <c r="O165" s="583">
        <v>1435543</v>
      </c>
      <c r="P165" s="583">
        <v>0</v>
      </c>
      <c r="Q165" s="583">
        <v>0</v>
      </c>
      <c r="R165" s="583">
        <v>0</v>
      </c>
      <c r="S165" s="583">
        <v>1435543</v>
      </c>
      <c r="T165" s="583">
        <v>1456839</v>
      </c>
      <c r="U165" s="583">
        <v>762251</v>
      </c>
      <c r="V165" s="583">
        <v>0</v>
      </c>
      <c r="W165" s="583">
        <v>690922</v>
      </c>
      <c r="X165" s="583">
        <v>0</v>
      </c>
      <c r="Y165" s="583">
        <v>1453173</v>
      </c>
      <c r="Z165" s="583">
        <v>2147761</v>
      </c>
      <c r="AA165" s="583">
        <v>6633011</v>
      </c>
      <c r="AB165" s="583">
        <v>61221</v>
      </c>
      <c r="AC165" s="583">
        <v>-2147761</v>
      </c>
      <c r="AD165" s="583">
        <v>0</v>
      </c>
      <c r="AE165" s="583">
        <v>4546471</v>
      </c>
      <c r="AF165" s="583">
        <v>0</v>
      </c>
      <c r="AG165" s="583">
        <v>1313830</v>
      </c>
      <c r="AH165" s="583">
        <v>43388</v>
      </c>
      <c r="AI165" s="583">
        <v>139343</v>
      </c>
      <c r="AJ165" s="583">
        <v>0</v>
      </c>
      <c r="AK165" s="583">
        <v>1496561</v>
      </c>
      <c r="AL165" s="583">
        <v>139343</v>
      </c>
      <c r="AM165" s="583">
        <v>2611660</v>
      </c>
      <c r="AN165" s="583">
        <v>253545</v>
      </c>
      <c r="AO165" s="583">
        <v>-139343</v>
      </c>
      <c r="AP165" s="583">
        <v>0</v>
      </c>
      <c r="AQ165" s="583">
        <v>2725862</v>
      </c>
      <c r="AR165" s="583">
        <v>0</v>
      </c>
      <c r="AS165" s="583">
        <v>862671</v>
      </c>
      <c r="AT165" s="583">
        <v>0</v>
      </c>
      <c r="AU165" s="583">
        <v>590502</v>
      </c>
      <c r="AV165" s="583">
        <v>0</v>
      </c>
      <c r="AW165" s="583">
        <v>1453173</v>
      </c>
      <c r="AX165" s="583">
        <v>590502</v>
      </c>
      <c r="AY165" s="583">
        <v>1670017</v>
      </c>
      <c r="AZ165" s="583">
        <v>62156</v>
      </c>
      <c r="BA165" s="583">
        <v>0</v>
      </c>
      <c r="BB165" s="583">
        <v>0</v>
      </c>
      <c r="BC165" s="583">
        <v>1732173</v>
      </c>
      <c r="BD165" s="583">
        <v>590502</v>
      </c>
      <c r="BE165" s="583">
        <v>3523664</v>
      </c>
      <c r="BF165" s="583">
        <v>0</v>
      </c>
      <c r="BG165" s="583">
        <v>-590502</v>
      </c>
      <c r="BH165" s="583">
        <v>0</v>
      </c>
      <c r="BI165" s="583">
        <v>2933162</v>
      </c>
      <c r="BJ165" s="583">
        <v>0</v>
      </c>
      <c r="BK165" s="583">
        <v>1307782</v>
      </c>
      <c r="BL165" s="583">
        <v>0</v>
      </c>
      <c r="BM165" s="583">
        <v>145391</v>
      </c>
      <c r="BN165" s="583">
        <v>0</v>
      </c>
      <c r="BO165" s="583">
        <v>1453173</v>
      </c>
      <c r="BP165" s="583">
        <v>145391</v>
      </c>
      <c r="BQ165" s="583">
        <v>2506073</v>
      </c>
      <c r="BR165" s="583">
        <v>408516</v>
      </c>
      <c r="BS165" s="583">
        <v>-145391</v>
      </c>
      <c r="BT165" s="583">
        <v>0</v>
      </c>
      <c r="BU165" s="583">
        <v>2769198</v>
      </c>
      <c r="BV165" s="583">
        <v>0</v>
      </c>
    </row>
    <row r="166" spans="1:74" x14ac:dyDescent="0.2">
      <c r="A166" s="580">
        <v>8302</v>
      </c>
      <c r="B166" s="580" t="s">
        <v>206</v>
      </c>
      <c r="C166" s="583">
        <v>132511</v>
      </c>
      <c r="D166" s="583">
        <v>0</v>
      </c>
      <c r="E166" s="583">
        <v>88786</v>
      </c>
      <c r="F166" s="583">
        <v>0</v>
      </c>
      <c r="G166" s="583">
        <v>221297</v>
      </c>
      <c r="H166" s="583">
        <v>88786</v>
      </c>
      <c r="I166" s="583">
        <v>70465</v>
      </c>
      <c r="J166" s="583">
        <v>0</v>
      </c>
      <c r="K166" s="583">
        <v>150832</v>
      </c>
      <c r="L166" s="583">
        <v>0</v>
      </c>
      <c r="M166" s="583">
        <v>221297</v>
      </c>
      <c r="N166" s="583">
        <v>239618</v>
      </c>
      <c r="O166" s="583">
        <v>201020</v>
      </c>
      <c r="P166" s="583">
        <v>0</v>
      </c>
      <c r="Q166" s="583">
        <v>0</v>
      </c>
      <c r="R166" s="583">
        <v>0</v>
      </c>
      <c r="S166" s="583">
        <v>201020</v>
      </c>
      <c r="T166" s="583">
        <v>239618</v>
      </c>
      <c r="U166" s="583">
        <v>106739</v>
      </c>
      <c r="V166" s="583">
        <v>0</v>
      </c>
      <c r="W166" s="583">
        <v>114558</v>
      </c>
      <c r="X166" s="583">
        <v>0</v>
      </c>
      <c r="Y166" s="583">
        <v>221297</v>
      </c>
      <c r="Z166" s="583">
        <v>354176</v>
      </c>
      <c r="AA166" s="583">
        <v>928826</v>
      </c>
      <c r="AB166" s="583">
        <v>8573</v>
      </c>
      <c r="AC166" s="583">
        <v>-354176</v>
      </c>
      <c r="AD166" s="583">
        <v>0</v>
      </c>
      <c r="AE166" s="583">
        <v>583223</v>
      </c>
      <c r="AF166" s="583">
        <v>0</v>
      </c>
      <c r="AG166" s="583">
        <v>183977</v>
      </c>
      <c r="AH166" s="583">
        <v>6076</v>
      </c>
      <c r="AI166" s="583">
        <v>37320</v>
      </c>
      <c r="AJ166" s="583">
        <v>0</v>
      </c>
      <c r="AK166" s="583">
        <v>227373</v>
      </c>
      <c r="AL166" s="583">
        <v>37320</v>
      </c>
      <c r="AM166" s="583">
        <v>365713</v>
      </c>
      <c r="AN166" s="583">
        <v>35504</v>
      </c>
      <c r="AO166" s="583">
        <v>-29565</v>
      </c>
      <c r="AP166" s="583">
        <v>0</v>
      </c>
      <c r="AQ166" s="583">
        <v>371652</v>
      </c>
      <c r="AR166" s="583">
        <v>7755</v>
      </c>
      <c r="AS166" s="583">
        <v>120801</v>
      </c>
      <c r="AT166" s="583">
        <v>0</v>
      </c>
      <c r="AU166" s="583">
        <v>100496</v>
      </c>
      <c r="AV166" s="583">
        <v>0</v>
      </c>
      <c r="AW166" s="583">
        <v>221297</v>
      </c>
      <c r="AX166" s="583">
        <v>108251</v>
      </c>
      <c r="AY166" s="583">
        <v>233854</v>
      </c>
      <c r="AZ166" s="583">
        <v>8704</v>
      </c>
      <c r="BA166" s="583">
        <v>0</v>
      </c>
      <c r="BB166" s="583">
        <v>0</v>
      </c>
      <c r="BC166" s="583">
        <v>242558</v>
      </c>
      <c r="BD166" s="583">
        <v>108251</v>
      </c>
      <c r="BE166" s="583">
        <v>493422</v>
      </c>
      <c r="BF166" s="583">
        <v>0</v>
      </c>
      <c r="BG166" s="583">
        <v>-108251</v>
      </c>
      <c r="BH166" s="583">
        <v>0</v>
      </c>
      <c r="BI166" s="583">
        <v>385171</v>
      </c>
      <c r="BJ166" s="583">
        <v>0</v>
      </c>
      <c r="BK166" s="583">
        <v>183130</v>
      </c>
      <c r="BL166" s="583">
        <v>0</v>
      </c>
      <c r="BM166" s="583">
        <v>38167</v>
      </c>
      <c r="BN166" s="583">
        <v>0</v>
      </c>
      <c r="BO166" s="583">
        <v>221297</v>
      </c>
      <c r="BP166" s="583">
        <v>38167</v>
      </c>
      <c r="BQ166" s="583">
        <v>350928</v>
      </c>
      <c r="BR166" s="583">
        <v>57205</v>
      </c>
      <c r="BS166" s="583">
        <v>-38167</v>
      </c>
      <c r="BT166" s="583">
        <v>0</v>
      </c>
      <c r="BU166" s="583">
        <v>369966</v>
      </c>
      <c r="BV166" s="583">
        <v>0</v>
      </c>
    </row>
    <row r="167" spans="1:74" x14ac:dyDescent="0.2">
      <c r="A167" s="580">
        <v>8303</v>
      </c>
      <c r="B167" s="580" t="s">
        <v>203</v>
      </c>
      <c r="C167" s="583">
        <v>297739</v>
      </c>
      <c r="D167" s="583">
        <v>0</v>
      </c>
      <c r="E167" s="583">
        <v>187203</v>
      </c>
      <c r="F167" s="583">
        <v>0</v>
      </c>
      <c r="G167" s="583">
        <v>484942</v>
      </c>
      <c r="H167" s="583">
        <v>187203</v>
      </c>
      <c r="I167" s="583">
        <v>158328</v>
      </c>
      <c r="J167" s="583">
        <v>0</v>
      </c>
      <c r="K167" s="583">
        <v>326614</v>
      </c>
      <c r="L167" s="583">
        <v>0</v>
      </c>
      <c r="M167" s="583">
        <v>484942</v>
      </c>
      <c r="N167" s="583">
        <v>513817</v>
      </c>
      <c r="O167" s="583">
        <v>451673</v>
      </c>
      <c r="P167" s="583">
        <v>0</v>
      </c>
      <c r="Q167" s="583">
        <v>0</v>
      </c>
      <c r="R167" s="583">
        <v>0</v>
      </c>
      <c r="S167" s="583">
        <v>451673</v>
      </c>
      <c r="T167" s="583">
        <v>513817</v>
      </c>
      <c r="U167" s="583">
        <v>239831</v>
      </c>
      <c r="V167" s="583">
        <v>0</v>
      </c>
      <c r="W167" s="583">
        <v>245111</v>
      </c>
      <c r="X167" s="583">
        <v>0</v>
      </c>
      <c r="Y167" s="583">
        <v>484942</v>
      </c>
      <c r="Z167" s="583">
        <v>758928</v>
      </c>
      <c r="AA167" s="583">
        <v>2086982</v>
      </c>
      <c r="AB167" s="583">
        <v>19262</v>
      </c>
      <c r="AC167" s="583">
        <v>-758928</v>
      </c>
      <c r="AD167" s="583">
        <v>0</v>
      </c>
      <c r="AE167" s="583">
        <v>1347316</v>
      </c>
      <c r="AF167" s="583">
        <v>0</v>
      </c>
      <c r="AG167" s="583">
        <v>413378</v>
      </c>
      <c r="AH167" s="583">
        <v>13651</v>
      </c>
      <c r="AI167" s="583">
        <v>71564</v>
      </c>
      <c r="AJ167" s="583">
        <v>0</v>
      </c>
      <c r="AK167" s="583">
        <v>498593</v>
      </c>
      <c r="AL167" s="583">
        <v>71564</v>
      </c>
      <c r="AM167" s="583">
        <v>821721</v>
      </c>
      <c r="AN167" s="583">
        <v>79774</v>
      </c>
      <c r="AO167" s="583">
        <v>-71564</v>
      </c>
      <c r="AP167" s="583">
        <v>0</v>
      </c>
      <c r="AQ167" s="583">
        <v>829931</v>
      </c>
      <c r="AR167" s="583">
        <v>0</v>
      </c>
      <c r="AS167" s="583">
        <v>271427</v>
      </c>
      <c r="AT167" s="583">
        <v>0</v>
      </c>
      <c r="AU167" s="583">
        <v>213515</v>
      </c>
      <c r="AV167" s="583">
        <v>0</v>
      </c>
      <c r="AW167" s="583">
        <v>484942</v>
      </c>
      <c r="AX167" s="583">
        <v>213515</v>
      </c>
      <c r="AY167" s="583">
        <v>525447</v>
      </c>
      <c r="AZ167" s="583">
        <v>19557</v>
      </c>
      <c r="BA167" s="583">
        <v>0</v>
      </c>
      <c r="BB167" s="583">
        <v>0</v>
      </c>
      <c r="BC167" s="583">
        <v>545004</v>
      </c>
      <c r="BD167" s="583">
        <v>213515</v>
      </c>
      <c r="BE167" s="583">
        <v>1108670</v>
      </c>
      <c r="BF167" s="583">
        <v>0</v>
      </c>
      <c r="BG167" s="583">
        <v>-213515</v>
      </c>
      <c r="BH167" s="583">
        <v>0</v>
      </c>
      <c r="BI167" s="583">
        <v>895155</v>
      </c>
      <c r="BJ167" s="583">
        <v>0</v>
      </c>
      <c r="BK167" s="583">
        <v>411475</v>
      </c>
      <c r="BL167" s="583">
        <v>0</v>
      </c>
      <c r="BM167" s="583">
        <v>73467</v>
      </c>
      <c r="BN167" s="583">
        <v>0</v>
      </c>
      <c r="BO167" s="583">
        <v>484942</v>
      </c>
      <c r="BP167" s="583">
        <v>73467</v>
      </c>
      <c r="BQ167" s="583">
        <v>788500</v>
      </c>
      <c r="BR167" s="583">
        <v>128534</v>
      </c>
      <c r="BS167" s="583">
        <v>-73467</v>
      </c>
      <c r="BT167" s="583">
        <v>0</v>
      </c>
      <c r="BU167" s="583">
        <v>843567</v>
      </c>
      <c r="BV167" s="583">
        <v>0</v>
      </c>
    </row>
    <row r="168" spans="1:74" x14ac:dyDescent="0.2">
      <c r="A168" s="580">
        <v>8304</v>
      </c>
      <c r="B168" s="580" t="s">
        <v>197</v>
      </c>
      <c r="C168" s="583">
        <v>203637</v>
      </c>
      <c r="D168" s="583">
        <v>0</v>
      </c>
      <c r="E168" s="583">
        <v>112194</v>
      </c>
      <c r="F168" s="583">
        <v>0</v>
      </c>
      <c r="G168" s="583">
        <v>315831</v>
      </c>
      <c r="H168" s="583">
        <v>112194</v>
      </c>
      <c r="I168" s="583">
        <v>108287</v>
      </c>
      <c r="J168" s="583">
        <v>0</v>
      </c>
      <c r="K168" s="583">
        <v>207544</v>
      </c>
      <c r="L168" s="583">
        <v>0</v>
      </c>
      <c r="M168" s="583">
        <v>315831</v>
      </c>
      <c r="N168" s="583">
        <v>319738</v>
      </c>
      <c r="O168" s="583">
        <v>308919</v>
      </c>
      <c r="P168" s="583">
        <v>0</v>
      </c>
      <c r="Q168" s="583">
        <v>0</v>
      </c>
      <c r="R168" s="583">
        <v>0</v>
      </c>
      <c r="S168" s="583">
        <v>308919</v>
      </c>
      <c r="T168" s="583">
        <v>319738</v>
      </c>
      <c r="U168" s="583">
        <v>164031</v>
      </c>
      <c r="V168" s="583">
        <v>0</v>
      </c>
      <c r="W168" s="583">
        <v>151800</v>
      </c>
      <c r="X168" s="583">
        <v>0</v>
      </c>
      <c r="Y168" s="583">
        <v>315831</v>
      </c>
      <c r="Z168" s="583">
        <v>471538</v>
      </c>
      <c r="AA168" s="583">
        <v>1427379</v>
      </c>
      <c r="AB168" s="583">
        <v>13174</v>
      </c>
      <c r="AC168" s="583">
        <v>-471538</v>
      </c>
      <c r="AD168" s="583">
        <v>0</v>
      </c>
      <c r="AE168" s="583">
        <v>969015</v>
      </c>
      <c r="AF168" s="583">
        <v>0</v>
      </c>
      <c r="AG168" s="583">
        <v>282727</v>
      </c>
      <c r="AH168" s="583">
        <v>9337</v>
      </c>
      <c r="AI168" s="583">
        <v>33104</v>
      </c>
      <c r="AJ168" s="583">
        <v>0</v>
      </c>
      <c r="AK168" s="583">
        <v>325168</v>
      </c>
      <c r="AL168" s="583">
        <v>33104</v>
      </c>
      <c r="AM168" s="583">
        <v>562011</v>
      </c>
      <c r="AN168" s="583">
        <v>54561</v>
      </c>
      <c r="AO168" s="583">
        <v>-33104</v>
      </c>
      <c r="AP168" s="583">
        <v>0</v>
      </c>
      <c r="AQ168" s="583">
        <v>583468</v>
      </c>
      <c r="AR168" s="583">
        <v>0</v>
      </c>
      <c r="AS168" s="583">
        <v>185641</v>
      </c>
      <c r="AT168" s="583">
        <v>0</v>
      </c>
      <c r="AU168" s="583">
        <v>130190</v>
      </c>
      <c r="AV168" s="583">
        <v>0</v>
      </c>
      <c r="AW168" s="583">
        <v>315831</v>
      </c>
      <c r="AX168" s="583">
        <v>130190</v>
      </c>
      <c r="AY168" s="583">
        <v>359376</v>
      </c>
      <c r="AZ168" s="583">
        <v>13376</v>
      </c>
      <c r="BA168" s="583">
        <v>0</v>
      </c>
      <c r="BB168" s="583">
        <v>0</v>
      </c>
      <c r="BC168" s="583">
        <v>372752</v>
      </c>
      <c r="BD168" s="583">
        <v>130190</v>
      </c>
      <c r="BE168" s="583">
        <v>758269</v>
      </c>
      <c r="BF168" s="583">
        <v>0</v>
      </c>
      <c r="BG168" s="583">
        <v>-130190</v>
      </c>
      <c r="BH168" s="583">
        <v>0</v>
      </c>
      <c r="BI168" s="583">
        <v>628079</v>
      </c>
      <c r="BJ168" s="583">
        <v>0</v>
      </c>
      <c r="BK168" s="583">
        <v>281426</v>
      </c>
      <c r="BL168" s="583">
        <v>0</v>
      </c>
      <c r="BM168" s="583">
        <v>34405</v>
      </c>
      <c r="BN168" s="583">
        <v>0</v>
      </c>
      <c r="BO168" s="583">
        <v>315831</v>
      </c>
      <c r="BP168" s="583">
        <v>34405</v>
      </c>
      <c r="BQ168" s="583">
        <v>539290</v>
      </c>
      <c r="BR168" s="583">
        <v>87910</v>
      </c>
      <c r="BS168" s="583">
        <v>-34405</v>
      </c>
      <c r="BT168" s="583">
        <v>0</v>
      </c>
      <c r="BU168" s="583">
        <v>592795</v>
      </c>
      <c r="BV168" s="583">
        <v>0</v>
      </c>
    </row>
    <row r="169" spans="1:74" x14ac:dyDescent="0.2">
      <c r="A169" s="580">
        <v>8305</v>
      </c>
      <c r="B169" s="580" t="s">
        <v>398</v>
      </c>
      <c r="C169" s="583">
        <v>159534</v>
      </c>
      <c r="D169" s="583">
        <v>0</v>
      </c>
      <c r="E169" s="583">
        <v>106892</v>
      </c>
      <c r="F169" s="583">
        <v>0</v>
      </c>
      <c r="G169" s="583">
        <v>266426</v>
      </c>
      <c r="H169" s="583">
        <v>106892</v>
      </c>
      <c r="I169" s="583">
        <v>84835</v>
      </c>
      <c r="J169" s="583">
        <v>0</v>
      </c>
      <c r="K169" s="583">
        <v>181591</v>
      </c>
      <c r="L169" s="583">
        <v>0</v>
      </c>
      <c r="M169" s="583">
        <v>266426</v>
      </c>
      <c r="N169" s="583">
        <v>288483</v>
      </c>
      <c r="O169" s="583">
        <v>242014</v>
      </c>
      <c r="P169" s="583">
        <v>0</v>
      </c>
      <c r="Q169" s="583">
        <v>0</v>
      </c>
      <c r="R169" s="583">
        <v>0</v>
      </c>
      <c r="S169" s="583">
        <v>242014</v>
      </c>
      <c r="T169" s="583">
        <v>288483</v>
      </c>
      <c r="U169" s="583">
        <v>128506</v>
      </c>
      <c r="V169" s="583">
        <v>0</v>
      </c>
      <c r="W169" s="583">
        <v>137920</v>
      </c>
      <c r="X169" s="583">
        <v>0</v>
      </c>
      <c r="Y169" s="583">
        <v>266426</v>
      </c>
      <c r="Z169" s="583">
        <v>426403</v>
      </c>
      <c r="AA169" s="583">
        <v>1118240</v>
      </c>
      <c r="AB169" s="583">
        <v>10321</v>
      </c>
      <c r="AC169" s="583">
        <v>-426403</v>
      </c>
      <c r="AD169" s="583">
        <v>0</v>
      </c>
      <c r="AE169" s="583">
        <v>702158</v>
      </c>
      <c r="AF169" s="583">
        <v>0</v>
      </c>
      <c r="AG169" s="583">
        <v>221495</v>
      </c>
      <c r="AH169" s="583">
        <v>7315</v>
      </c>
      <c r="AI169" s="583">
        <v>44931</v>
      </c>
      <c r="AJ169" s="583">
        <v>0</v>
      </c>
      <c r="AK169" s="583">
        <v>273741</v>
      </c>
      <c r="AL169" s="583">
        <v>44931</v>
      </c>
      <c r="AM169" s="583">
        <v>440292</v>
      </c>
      <c r="AN169" s="583">
        <v>42744</v>
      </c>
      <c r="AO169" s="583">
        <v>-35594</v>
      </c>
      <c r="AP169" s="583">
        <v>0</v>
      </c>
      <c r="AQ169" s="583">
        <v>447442</v>
      </c>
      <c r="AR169" s="583">
        <v>9337</v>
      </c>
      <c r="AS169" s="583">
        <v>145435</v>
      </c>
      <c r="AT169" s="583">
        <v>0</v>
      </c>
      <c r="AU169" s="583">
        <v>120991</v>
      </c>
      <c r="AV169" s="583">
        <v>0</v>
      </c>
      <c r="AW169" s="583">
        <v>266426</v>
      </c>
      <c r="AX169" s="583">
        <v>130328</v>
      </c>
      <c r="AY169" s="583">
        <v>281543</v>
      </c>
      <c r="AZ169" s="583">
        <v>10479</v>
      </c>
      <c r="BA169" s="583">
        <v>0</v>
      </c>
      <c r="BB169" s="583">
        <v>0</v>
      </c>
      <c r="BC169" s="583">
        <v>292022</v>
      </c>
      <c r="BD169" s="583">
        <v>130328</v>
      </c>
      <c r="BE169" s="583">
        <v>594044</v>
      </c>
      <c r="BF169" s="583">
        <v>0</v>
      </c>
      <c r="BG169" s="583">
        <v>-130328</v>
      </c>
      <c r="BH169" s="583">
        <v>0</v>
      </c>
      <c r="BI169" s="583">
        <v>463716</v>
      </c>
      <c r="BJ169" s="583">
        <v>0</v>
      </c>
      <c r="BK169" s="583">
        <v>220475</v>
      </c>
      <c r="BL169" s="583">
        <v>0</v>
      </c>
      <c r="BM169" s="583">
        <v>45951</v>
      </c>
      <c r="BN169" s="583">
        <v>0</v>
      </c>
      <c r="BO169" s="583">
        <v>266426</v>
      </c>
      <c r="BP169" s="583">
        <v>45951</v>
      </c>
      <c r="BQ169" s="583">
        <v>422491</v>
      </c>
      <c r="BR169" s="583">
        <v>68870</v>
      </c>
      <c r="BS169" s="583">
        <v>-45951</v>
      </c>
      <c r="BT169" s="583">
        <v>0</v>
      </c>
      <c r="BU169" s="583">
        <v>445410</v>
      </c>
      <c r="BV169" s="583">
        <v>0</v>
      </c>
    </row>
    <row r="170" spans="1:74" x14ac:dyDescent="0.2">
      <c r="A170" s="580">
        <v>8306</v>
      </c>
      <c r="B170" s="580" t="s">
        <v>199</v>
      </c>
      <c r="C170" s="583">
        <v>195324</v>
      </c>
      <c r="D170" s="583">
        <v>0</v>
      </c>
      <c r="E170" s="583">
        <v>99987</v>
      </c>
      <c r="F170" s="583">
        <v>0</v>
      </c>
      <c r="G170" s="583">
        <v>295311</v>
      </c>
      <c r="H170" s="583">
        <v>99987</v>
      </c>
      <c r="I170" s="583">
        <v>103867</v>
      </c>
      <c r="J170" s="583">
        <v>0</v>
      </c>
      <c r="K170" s="583">
        <v>191444</v>
      </c>
      <c r="L170" s="583">
        <v>0</v>
      </c>
      <c r="M170" s="583">
        <v>295311</v>
      </c>
      <c r="N170" s="583">
        <v>291431</v>
      </c>
      <c r="O170" s="583">
        <v>296309</v>
      </c>
      <c r="P170" s="583">
        <v>0</v>
      </c>
      <c r="Q170" s="583">
        <v>0</v>
      </c>
      <c r="R170" s="583">
        <v>0</v>
      </c>
      <c r="S170" s="583">
        <v>296309</v>
      </c>
      <c r="T170" s="583">
        <v>291431</v>
      </c>
      <c r="U170" s="583">
        <v>157335</v>
      </c>
      <c r="V170" s="583">
        <v>0</v>
      </c>
      <c r="W170" s="583">
        <v>137976</v>
      </c>
      <c r="X170" s="583">
        <v>0</v>
      </c>
      <c r="Y170" s="583">
        <v>295311</v>
      </c>
      <c r="Z170" s="583">
        <v>429407</v>
      </c>
      <c r="AA170" s="583">
        <v>1369112</v>
      </c>
      <c r="AB170" s="583">
        <v>12637</v>
      </c>
      <c r="AC170" s="583">
        <v>-429407</v>
      </c>
      <c r="AD170" s="583">
        <v>0</v>
      </c>
      <c r="AE170" s="583">
        <v>952342</v>
      </c>
      <c r="AF170" s="583">
        <v>0</v>
      </c>
      <c r="AG170" s="583">
        <v>271186</v>
      </c>
      <c r="AH170" s="583">
        <v>8956</v>
      </c>
      <c r="AI170" s="583">
        <v>24125</v>
      </c>
      <c r="AJ170" s="583">
        <v>0</v>
      </c>
      <c r="AK170" s="583">
        <v>304267</v>
      </c>
      <c r="AL170" s="583">
        <v>24125</v>
      </c>
      <c r="AM170" s="583">
        <v>539070</v>
      </c>
      <c r="AN170" s="583">
        <v>52334</v>
      </c>
      <c r="AO170" s="583">
        <v>-24125</v>
      </c>
      <c r="AP170" s="583">
        <v>0</v>
      </c>
      <c r="AQ170" s="583">
        <v>567279</v>
      </c>
      <c r="AR170" s="583">
        <v>0</v>
      </c>
      <c r="AS170" s="583">
        <v>178063</v>
      </c>
      <c r="AT170" s="583">
        <v>0</v>
      </c>
      <c r="AU170" s="583">
        <v>117248</v>
      </c>
      <c r="AV170" s="583">
        <v>0</v>
      </c>
      <c r="AW170" s="583">
        <v>295311</v>
      </c>
      <c r="AX170" s="583">
        <v>117248</v>
      </c>
      <c r="AY170" s="583">
        <v>344706</v>
      </c>
      <c r="AZ170" s="583">
        <v>12830</v>
      </c>
      <c r="BA170" s="583">
        <v>0</v>
      </c>
      <c r="BB170" s="583">
        <v>0</v>
      </c>
      <c r="BC170" s="583">
        <v>357536</v>
      </c>
      <c r="BD170" s="583">
        <v>117248</v>
      </c>
      <c r="BE170" s="583">
        <v>727315</v>
      </c>
      <c r="BF170" s="583">
        <v>0</v>
      </c>
      <c r="BG170" s="583">
        <v>-117248</v>
      </c>
      <c r="BH170" s="583">
        <v>0</v>
      </c>
      <c r="BI170" s="583">
        <v>610067</v>
      </c>
      <c r="BJ170" s="583">
        <v>0</v>
      </c>
      <c r="BK170" s="583">
        <v>269938</v>
      </c>
      <c r="BL170" s="583">
        <v>0</v>
      </c>
      <c r="BM170" s="583">
        <v>25373</v>
      </c>
      <c r="BN170" s="583">
        <v>0</v>
      </c>
      <c r="BO170" s="583">
        <v>295311</v>
      </c>
      <c r="BP170" s="583">
        <v>25373</v>
      </c>
      <c r="BQ170" s="583">
        <v>517276</v>
      </c>
      <c r="BR170" s="583">
        <v>84321</v>
      </c>
      <c r="BS170" s="583">
        <v>-25373</v>
      </c>
      <c r="BT170" s="583">
        <v>0</v>
      </c>
      <c r="BU170" s="583">
        <v>576224</v>
      </c>
      <c r="BV170" s="583">
        <v>0</v>
      </c>
    </row>
    <row r="171" spans="1:74" x14ac:dyDescent="0.2">
      <c r="A171" s="580">
        <v>8307</v>
      </c>
      <c r="B171" s="580" t="s">
        <v>200</v>
      </c>
      <c r="C171" s="583">
        <v>106042</v>
      </c>
      <c r="D171" s="583">
        <v>0</v>
      </c>
      <c r="E171" s="583">
        <v>56591</v>
      </c>
      <c r="F171" s="583">
        <v>0</v>
      </c>
      <c r="G171" s="583">
        <v>162633</v>
      </c>
      <c r="H171" s="583">
        <v>56591</v>
      </c>
      <c r="I171" s="583">
        <v>56390</v>
      </c>
      <c r="J171" s="583">
        <v>0</v>
      </c>
      <c r="K171" s="583">
        <v>106243</v>
      </c>
      <c r="L171" s="583">
        <v>0</v>
      </c>
      <c r="M171" s="583">
        <v>162633</v>
      </c>
      <c r="N171" s="583">
        <v>162834</v>
      </c>
      <c r="O171" s="583">
        <v>160867</v>
      </c>
      <c r="P171" s="583">
        <v>0</v>
      </c>
      <c r="Q171" s="583">
        <v>0</v>
      </c>
      <c r="R171" s="583">
        <v>0</v>
      </c>
      <c r="S171" s="583">
        <v>160867</v>
      </c>
      <c r="T171" s="583">
        <v>162834</v>
      </c>
      <c r="U171" s="583">
        <v>85418</v>
      </c>
      <c r="V171" s="583">
        <v>0</v>
      </c>
      <c r="W171" s="583">
        <v>77215</v>
      </c>
      <c r="X171" s="583">
        <v>0</v>
      </c>
      <c r="Y171" s="583">
        <v>162633</v>
      </c>
      <c r="Z171" s="583">
        <v>240049</v>
      </c>
      <c r="AA171" s="583">
        <v>743293</v>
      </c>
      <c r="AB171" s="583">
        <v>6860</v>
      </c>
      <c r="AC171" s="583">
        <v>-240049</v>
      </c>
      <c r="AD171" s="583">
        <v>0</v>
      </c>
      <c r="AE171" s="583">
        <v>510104</v>
      </c>
      <c r="AF171" s="583">
        <v>0</v>
      </c>
      <c r="AG171" s="583">
        <v>147227</v>
      </c>
      <c r="AH171" s="583">
        <v>4862</v>
      </c>
      <c r="AI171" s="583">
        <v>15406</v>
      </c>
      <c r="AJ171" s="583">
        <v>0</v>
      </c>
      <c r="AK171" s="583">
        <v>167495</v>
      </c>
      <c r="AL171" s="583">
        <v>15406</v>
      </c>
      <c r="AM171" s="583">
        <v>292662</v>
      </c>
      <c r="AN171" s="583">
        <v>28412</v>
      </c>
      <c r="AO171" s="583">
        <v>-15406</v>
      </c>
      <c r="AP171" s="583">
        <v>0</v>
      </c>
      <c r="AQ171" s="583">
        <v>305668</v>
      </c>
      <c r="AR171" s="583">
        <v>0</v>
      </c>
      <c r="AS171" s="583">
        <v>96671</v>
      </c>
      <c r="AT171" s="583">
        <v>0</v>
      </c>
      <c r="AU171" s="583">
        <v>65962</v>
      </c>
      <c r="AV171" s="583">
        <v>0</v>
      </c>
      <c r="AW171" s="583">
        <v>162633</v>
      </c>
      <c r="AX171" s="583">
        <v>65962</v>
      </c>
      <c r="AY171" s="583">
        <v>187142</v>
      </c>
      <c r="AZ171" s="583">
        <v>6965</v>
      </c>
      <c r="BA171" s="583">
        <v>0</v>
      </c>
      <c r="BB171" s="583">
        <v>0</v>
      </c>
      <c r="BC171" s="583">
        <v>194107</v>
      </c>
      <c r="BD171" s="583">
        <v>65962</v>
      </c>
      <c r="BE171" s="583">
        <v>394861</v>
      </c>
      <c r="BF171" s="583">
        <v>0</v>
      </c>
      <c r="BG171" s="583">
        <v>-65962</v>
      </c>
      <c r="BH171" s="583">
        <v>0</v>
      </c>
      <c r="BI171" s="583">
        <v>328899</v>
      </c>
      <c r="BJ171" s="583">
        <v>0</v>
      </c>
      <c r="BK171" s="583">
        <v>146550</v>
      </c>
      <c r="BL171" s="583">
        <v>0</v>
      </c>
      <c r="BM171" s="583">
        <v>16083</v>
      </c>
      <c r="BN171" s="583">
        <v>0</v>
      </c>
      <c r="BO171" s="583">
        <v>162633</v>
      </c>
      <c r="BP171" s="583">
        <v>16083</v>
      </c>
      <c r="BQ171" s="583">
        <v>280830</v>
      </c>
      <c r="BR171" s="583">
        <v>45778</v>
      </c>
      <c r="BS171" s="583">
        <v>-16083</v>
      </c>
      <c r="BT171" s="583">
        <v>0</v>
      </c>
      <c r="BU171" s="583">
        <v>310525</v>
      </c>
      <c r="BV171" s="583">
        <v>0</v>
      </c>
    </row>
    <row r="172" spans="1:74" x14ac:dyDescent="0.2">
      <c r="A172" s="580">
        <v>8308</v>
      </c>
      <c r="B172" s="580" t="s">
        <v>201</v>
      </c>
      <c r="C172" s="583">
        <v>71157</v>
      </c>
      <c r="D172" s="583">
        <v>0</v>
      </c>
      <c r="E172" s="583">
        <v>42754</v>
      </c>
      <c r="F172" s="583">
        <v>0</v>
      </c>
      <c r="G172" s="583">
        <v>113911</v>
      </c>
      <c r="H172" s="583">
        <v>42754</v>
      </c>
      <c r="I172" s="583">
        <v>37839</v>
      </c>
      <c r="J172" s="583">
        <v>0</v>
      </c>
      <c r="K172" s="583">
        <v>76072</v>
      </c>
      <c r="L172" s="583">
        <v>0</v>
      </c>
      <c r="M172" s="583">
        <v>113911</v>
      </c>
      <c r="N172" s="583">
        <v>118826</v>
      </c>
      <c r="O172" s="583">
        <v>107945</v>
      </c>
      <c r="P172" s="583">
        <v>0</v>
      </c>
      <c r="Q172" s="583">
        <v>0</v>
      </c>
      <c r="R172" s="583">
        <v>0</v>
      </c>
      <c r="S172" s="583">
        <v>107945</v>
      </c>
      <c r="T172" s="583">
        <v>118826</v>
      </c>
      <c r="U172" s="583">
        <v>57317</v>
      </c>
      <c r="V172" s="583">
        <v>0</v>
      </c>
      <c r="W172" s="583">
        <v>56594</v>
      </c>
      <c r="X172" s="583">
        <v>0</v>
      </c>
      <c r="Y172" s="583">
        <v>113911</v>
      </c>
      <c r="Z172" s="583">
        <v>175420</v>
      </c>
      <c r="AA172" s="583">
        <v>498767</v>
      </c>
      <c r="AB172" s="583">
        <v>4603</v>
      </c>
      <c r="AC172" s="583">
        <v>-175420</v>
      </c>
      <c r="AD172" s="583">
        <v>0</v>
      </c>
      <c r="AE172" s="583">
        <v>327950</v>
      </c>
      <c r="AF172" s="583">
        <v>0</v>
      </c>
      <c r="AG172" s="583">
        <v>98793</v>
      </c>
      <c r="AH172" s="583">
        <v>3263</v>
      </c>
      <c r="AI172" s="583">
        <v>15118</v>
      </c>
      <c r="AJ172" s="583">
        <v>0</v>
      </c>
      <c r="AK172" s="583">
        <v>117174</v>
      </c>
      <c r="AL172" s="583">
        <v>15118</v>
      </c>
      <c r="AM172" s="583">
        <v>196383</v>
      </c>
      <c r="AN172" s="583">
        <v>19065</v>
      </c>
      <c r="AO172" s="583">
        <v>-15118</v>
      </c>
      <c r="AP172" s="583">
        <v>0</v>
      </c>
      <c r="AQ172" s="583">
        <v>200330</v>
      </c>
      <c r="AR172" s="583">
        <v>0</v>
      </c>
      <c r="AS172" s="583">
        <v>64868</v>
      </c>
      <c r="AT172" s="583">
        <v>0</v>
      </c>
      <c r="AU172" s="583">
        <v>49043</v>
      </c>
      <c r="AV172" s="583">
        <v>0</v>
      </c>
      <c r="AW172" s="583">
        <v>113911</v>
      </c>
      <c r="AX172" s="583">
        <v>49043</v>
      </c>
      <c r="AY172" s="583">
        <v>125576</v>
      </c>
      <c r="AZ172" s="583">
        <v>4674</v>
      </c>
      <c r="BA172" s="583">
        <v>0</v>
      </c>
      <c r="BB172" s="583">
        <v>0</v>
      </c>
      <c r="BC172" s="583">
        <v>130250</v>
      </c>
      <c r="BD172" s="583">
        <v>49043</v>
      </c>
      <c r="BE172" s="583">
        <v>264960</v>
      </c>
      <c r="BF172" s="583">
        <v>0</v>
      </c>
      <c r="BG172" s="583">
        <v>-49043</v>
      </c>
      <c r="BH172" s="583">
        <v>0</v>
      </c>
      <c r="BI172" s="583">
        <v>215917</v>
      </c>
      <c r="BJ172" s="583">
        <v>0</v>
      </c>
      <c r="BK172" s="583">
        <v>98338</v>
      </c>
      <c r="BL172" s="583">
        <v>0</v>
      </c>
      <c r="BM172" s="583">
        <v>15573</v>
      </c>
      <c r="BN172" s="583">
        <v>0</v>
      </c>
      <c r="BO172" s="583">
        <v>113911</v>
      </c>
      <c r="BP172" s="583">
        <v>15573</v>
      </c>
      <c r="BQ172" s="583">
        <v>188443</v>
      </c>
      <c r="BR172" s="583">
        <v>30718</v>
      </c>
      <c r="BS172" s="583">
        <v>-15573</v>
      </c>
      <c r="BT172" s="583">
        <v>0</v>
      </c>
      <c r="BU172" s="583">
        <v>203588</v>
      </c>
      <c r="BV172" s="583">
        <v>0</v>
      </c>
    </row>
    <row r="173" spans="1:74" x14ac:dyDescent="0.2">
      <c r="A173" s="580">
        <v>8309</v>
      </c>
      <c r="B173" s="580" t="s">
        <v>198</v>
      </c>
      <c r="C173" s="583">
        <v>96797</v>
      </c>
      <c r="D173" s="583">
        <v>0</v>
      </c>
      <c r="E173" s="583">
        <v>62155</v>
      </c>
      <c r="F173" s="583">
        <v>0</v>
      </c>
      <c r="G173" s="583">
        <v>158952</v>
      </c>
      <c r="H173" s="583">
        <v>62155</v>
      </c>
      <c r="I173" s="583">
        <v>51473</v>
      </c>
      <c r="J173" s="583">
        <v>0</v>
      </c>
      <c r="K173" s="583">
        <v>107479</v>
      </c>
      <c r="L173" s="583">
        <v>0</v>
      </c>
      <c r="M173" s="583">
        <v>158952</v>
      </c>
      <c r="N173" s="583">
        <v>169634</v>
      </c>
      <c r="O173" s="583">
        <v>146842</v>
      </c>
      <c r="P173" s="583">
        <v>0</v>
      </c>
      <c r="Q173" s="583">
        <v>0</v>
      </c>
      <c r="R173" s="583">
        <v>0</v>
      </c>
      <c r="S173" s="583">
        <v>146842</v>
      </c>
      <c r="T173" s="583">
        <v>169634</v>
      </c>
      <c r="U173" s="583">
        <v>77971</v>
      </c>
      <c r="V173" s="583">
        <v>0</v>
      </c>
      <c r="W173" s="583">
        <v>80981</v>
      </c>
      <c r="X173" s="583">
        <v>0</v>
      </c>
      <c r="Y173" s="583">
        <v>158952</v>
      </c>
      <c r="Z173" s="583">
        <v>250615</v>
      </c>
      <c r="AA173" s="583">
        <v>678492</v>
      </c>
      <c r="AB173" s="583">
        <v>6262</v>
      </c>
      <c r="AC173" s="583">
        <v>-250615</v>
      </c>
      <c r="AD173" s="583">
        <v>0</v>
      </c>
      <c r="AE173" s="583">
        <v>434139</v>
      </c>
      <c r="AF173" s="583">
        <v>0</v>
      </c>
      <c r="AG173" s="583">
        <v>134392</v>
      </c>
      <c r="AH173" s="583">
        <v>4438</v>
      </c>
      <c r="AI173" s="583">
        <v>24560</v>
      </c>
      <c r="AJ173" s="583">
        <v>0</v>
      </c>
      <c r="AK173" s="583">
        <v>163390</v>
      </c>
      <c r="AL173" s="583">
        <v>24560</v>
      </c>
      <c r="AM173" s="583">
        <v>267147</v>
      </c>
      <c r="AN173" s="583">
        <v>25935</v>
      </c>
      <c r="AO173" s="583">
        <v>-24560</v>
      </c>
      <c r="AP173" s="583">
        <v>0</v>
      </c>
      <c r="AQ173" s="583">
        <v>268522</v>
      </c>
      <c r="AR173" s="583">
        <v>0</v>
      </c>
      <c r="AS173" s="583">
        <v>88243</v>
      </c>
      <c r="AT173" s="583">
        <v>0</v>
      </c>
      <c r="AU173" s="583">
        <v>70709</v>
      </c>
      <c r="AV173" s="583">
        <v>0</v>
      </c>
      <c r="AW173" s="583">
        <v>158952</v>
      </c>
      <c r="AX173" s="583">
        <v>70709</v>
      </c>
      <c r="AY173" s="583">
        <v>170826</v>
      </c>
      <c r="AZ173" s="583">
        <v>6358</v>
      </c>
      <c r="BA173" s="583">
        <v>0</v>
      </c>
      <c r="BB173" s="583">
        <v>0</v>
      </c>
      <c r="BC173" s="583">
        <v>177184</v>
      </c>
      <c r="BD173" s="583">
        <v>70709</v>
      </c>
      <c r="BE173" s="583">
        <v>360436</v>
      </c>
      <c r="BF173" s="583">
        <v>0</v>
      </c>
      <c r="BG173" s="583">
        <v>-70709</v>
      </c>
      <c r="BH173" s="583">
        <v>0</v>
      </c>
      <c r="BI173" s="583">
        <v>289727</v>
      </c>
      <c r="BJ173" s="583">
        <v>0</v>
      </c>
      <c r="BK173" s="583">
        <v>133773</v>
      </c>
      <c r="BL173" s="583">
        <v>0</v>
      </c>
      <c r="BM173" s="583">
        <v>25179</v>
      </c>
      <c r="BN173" s="583">
        <v>0</v>
      </c>
      <c r="BO173" s="583">
        <v>158952</v>
      </c>
      <c r="BP173" s="583">
        <v>25179</v>
      </c>
      <c r="BQ173" s="583">
        <v>256347</v>
      </c>
      <c r="BR173" s="583">
        <v>41787</v>
      </c>
      <c r="BS173" s="583">
        <v>-25179</v>
      </c>
      <c r="BT173" s="583">
        <v>0</v>
      </c>
      <c r="BU173" s="583">
        <v>272955</v>
      </c>
      <c r="BV173" s="583">
        <v>0</v>
      </c>
    </row>
    <row r="174" spans="1:74" x14ac:dyDescent="0.2">
      <c r="A174" s="580">
        <v>8310</v>
      </c>
      <c r="B174" s="580" t="s">
        <v>204</v>
      </c>
      <c r="C174" s="583">
        <v>86133</v>
      </c>
      <c r="D174" s="583">
        <v>0</v>
      </c>
      <c r="E174" s="583">
        <v>57278</v>
      </c>
      <c r="F174" s="583">
        <v>0</v>
      </c>
      <c r="G174" s="583">
        <v>143411</v>
      </c>
      <c r="H174" s="583">
        <v>57278</v>
      </c>
      <c r="I174" s="583">
        <v>45803</v>
      </c>
      <c r="J174" s="583">
        <v>0</v>
      </c>
      <c r="K174" s="583">
        <v>97608</v>
      </c>
      <c r="L174" s="583">
        <v>0</v>
      </c>
      <c r="M174" s="583">
        <v>143411</v>
      </c>
      <c r="N174" s="583">
        <v>154886</v>
      </c>
      <c r="O174" s="583">
        <v>130665</v>
      </c>
      <c r="P174" s="583">
        <v>0</v>
      </c>
      <c r="Q174" s="583">
        <v>0</v>
      </c>
      <c r="R174" s="583">
        <v>0</v>
      </c>
      <c r="S174" s="583">
        <v>130665</v>
      </c>
      <c r="T174" s="583">
        <v>154886</v>
      </c>
      <c r="U174" s="583">
        <v>69381</v>
      </c>
      <c r="V174" s="583">
        <v>0</v>
      </c>
      <c r="W174" s="583">
        <v>74030</v>
      </c>
      <c r="X174" s="583">
        <v>0</v>
      </c>
      <c r="Y174" s="583">
        <v>143411</v>
      </c>
      <c r="Z174" s="583">
        <v>228916</v>
      </c>
      <c r="AA174" s="583">
        <v>603745</v>
      </c>
      <c r="AB174" s="583">
        <v>5572</v>
      </c>
      <c r="AC174" s="583">
        <v>-228916</v>
      </c>
      <c r="AD174" s="583">
        <v>0</v>
      </c>
      <c r="AE174" s="583">
        <v>380401</v>
      </c>
      <c r="AF174" s="583">
        <v>0</v>
      </c>
      <c r="AG174" s="583">
        <v>119586</v>
      </c>
      <c r="AH174" s="583">
        <v>3949</v>
      </c>
      <c r="AI174" s="583">
        <v>23825</v>
      </c>
      <c r="AJ174" s="583">
        <v>0</v>
      </c>
      <c r="AK174" s="583">
        <v>147360</v>
      </c>
      <c r="AL174" s="583">
        <v>23825</v>
      </c>
      <c r="AM174" s="583">
        <v>237716</v>
      </c>
      <c r="AN174" s="583">
        <v>23078</v>
      </c>
      <c r="AO174" s="583">
        <v>-19876</v>
      </c>
      <c r="AP174" s="583">
        <v>0</v>
      </c>
      <c r="AQ174" s="583">
        <v>240918</v>
      </c>
      <c r="AR174" s="583">
        <v>3949</v>
      </c>
      <c r="AS174" s="583">
        <v>78521</v>
      </c>
      <c r="AT174" s="583">
        <v>0</v>
      </c>
      <c r="AU174" s="583">
        <v>64890</v>
      </c>
      <c r="AV174" s="583">
        <v>0</v>
      </c>
      <c r="AW174" s="583">
        <v>143411</v>
      </c>
      <c r="AX174" s="583">
        <v>68839</v>
      </c>
      <c r="AY174" s="583">
        <v>152007</v>
      </c>
      <c r="AZ174" s="583">
        <v>5658</v>
      </c>
      <c r="BA174" s="583">
        <v>0</v>
      </c>
      <c r="BB174" s="583">
        <v>0</v>
      </c>
      <c r="BC174" s="583">
        <v>157665</v>
      </c>
      <c r="BD174" s="583">
        <v>68839</v>
      </c>
      <c r="BE174" s="583">
        <v>320728</v>
      </c>
      <c r="BF174" s="583">
        <v>0</v>
      </c>
      <c r="BG174" s="583">
        <v>-68839</v>
      </c>
      <c r="BH174" s="583">
        <v>0</v>
      </c>
      <c r="BI174" s="583">
        <v>251889</v>
      </c>
      <c r="BJ174" s="583">
        <v>0</v>
      </c>
      <c r="BK174" s="583">
        <v>119036</v>
      </c>
      <c r="BL174" s="583">
        <v>0</v>
      </c>
      <c r="BM174" s="583">
        <v>24375</v>
      </c>
      <c r="BN174" s="583">
        <v>0</v>
      </c>
      <c r="BO174" s="583">
        <v>143411</v>
      </c>
      <c r="BP174" s="583">
        <v>24375</v>
      </c>
      <c r="BQ174" s="583">
        <v>228106</v>
      </c>
      <c r="BR174" s="583">
        <v>37184</v>
      </c>
      <c r="BS174" s="583">
        <v>-24375</v>
      </c>
      <c r="BT174" s="583">
        <v>0</v>
      </c>
      <c r="BU174" s="583">
        <v>240915</v>
      </c>
      <c r="BV174" s="583">
        <v>0</v>
      </c>
    </row>
    <row r="175" spans="1:74" x14ac:dyDescent="0.2">
      <c r="A175" s="580">
        <v>8311</v>
      </c>
      <c r="B175" s="580" t="s">
        <v>399</v>
      </c>
      <c r="C175" s="583">
        <v>106752</v>
      </c>
      <c r="D175" s="583">
        <v>0</v>
      </c>
      <c r="E175" s="583">
        <v>66715</v>
      </c>
      <c r="F175" s="583">
        <v>0</v>
      </c>
      <c r="G175" s="583">
        <v>173467</v>
      </c>
      <c r="H175" s="583">
        <v>66715</v>
      </c>
      <c r="I175" s="583">
        <v>56767</v>
      </c>
      <c r="J175" s="583">
        <v>0</v>
      </c>
      <c r="K175" s="583">
        <v>116700</v>
      </c>
      <c r="L175" s="583">
        <v>0</v>
      </c>
      <c r="M175" s="583">
        <v>173467</v>
      </c>
      <c r="N175" s="583">
        <v>183415</v>
      </c>
      <c r="O175" s="583">
        <v>161944</v>
      </c>
      <c r="P175" s="583">
        <v>0</v>
      </c>
      <c r="Q175" s="583">
        <v>0</v>
      </c>
      <c r="R175" s="583">
        <v>0</v>
      </c>
      <c r="S175" s="583">
        <v>161944</v>
      </c>
      <c r="T175" s="583">
        <v>183415</v>
      </c>
      <c r="U175" s="583">
        <v>85990</v>
      </c>
      <c r="V175" s="583">
        <v>0</v>
      </c>
      <c r="W175" s="583">
        <v>87477</v>
      </c>
      <c r="X175" s="583">
        <v>0</v>
      </c>
      <c r="Y175" s="583">
        <v>173467</v>
      </c>
      <c r="Z175" s="583">
        <v>270892</v>
      </c>
      <c r="AA175" s="583">
        <v>748272</v>
      </c>
      <c r="AB175" s="583">
        <v>6906</v>
      </c>
      <c r="AC175" s="583">
        <v>-270892</v>
      </c>
      <c r="AD175" s="583">
        <v>0</v>
      </c>
      <c r="AE175" s="583">
        <v>484286</v>
      </c>
      <c r="AF175" s="583">
        <v>0</v>
      </c>
      <c r="AG175" s="583">
        <v>148214</v>
      </c>
      <c r="AH175" s="583">
        <v>4895</v>
      </c>
      <c r="AI175" s="583">
        <v>25253</v>
      </c>
      <c r="AJ175" s="583">
        <v>0</v>
      </c>
      <c r="AK175" s="583">
        <v>178362</v>
      </c>
      <c r="AL175" s="583">
        <v>25253</v>
      </c>
      <c r="AM175" s="583">
        <v>294622</v>
      </c>
      <c r="AN175" s="583">
        <v>28602</v>
      </c>
      <c r="AO175" s="583">
        <v>-25253</v>
      </c>
      <c r="AP175" s="583">
        <v>0</v>
      </c>
      <c r="AQ175" s="583">
        <v>297971</v>
      </c>
      <c r="AR175" s="583">
        <v>0</v>
      </c>
      <c r="AS175" s="583">
        <v>97318</v>
      </c>
      <c r="AT175" s="583">
        <v>0</v>
      </c>
      <c r="AU175" s="583">
        <v>76149</v>
      </c>
      <c r="AV175" s="583">
        <v>0</v>
      </c>
      <c r="AW175" s="583">
        <v>173467</v>
      </c>
      <c r="AX175" s="583">
        <v>76149</v>
      </c>
      <c r="AY175" s="583">
        <v>188395</v>
      </c>
      <c r="AZ175" s="583">
        <v>7012</v>
      </c>
      <c r="BA175" s="583">
        <v>0</v>
      </c>
      <c r="BB175" s="583">
        <v>0</v>
      </c>
      <c r="BC175" s="583">
        <v>195407</v>
      </c>
      <c r="BD175" s="583">
        <v>76149</v>
      </c>
      <c r="BE175" s="583">
        <v>397506</v>
      </c>
      <c r="BF175" s="583">
        <v>0</v>
      </c>
      <c r="BG175" s="583">
        <v>-76149</v>
      </c>
      <c r="BH175" s="583">
        <v>0</v>
      </c>
      <c r="BI175" s="583">
        <v>321357</v>
      </c>
      <c r="BJ175" s="583">
        <v>0</v>
      </c>
      <c r="BK175" s="583">
        <v>147531</v>
      </c>
      <c r="BL175" s="583">
        <v>0</v>
      </c>
      <c r="BM175" s="583">
        <v>25936</v>
      </c>
      <c r="BN175" s="583">
        <v>0</v>
      </c>
      <c r="BO175" s="583">
        <v>173467</v>
      </c>
      <c r="BP175" s="583">
        <v>25936</v>
      </c>
      <c r="BQ175" s="583">
        <v>282711</v>
      </c>
      <c r="BR175" s="583">
        <v>46085</v>
      </c>
      <c r="BS175" s="583">
        <v>-25936</v>
      </c>
      <c r="BT175" s="583">
        <v>0</v>
      </c>
      <c r="BU175" s="583">
        <v>302860</v>
      </c>
      <c r="BV175" s="583">
        <v>0</v>
      </c>
    </row>
    <row r="176" spans="1:74" x14ac:dyDescent="0.2">
      <c r="A176" s="580">
        <v>8312</v>
      </c>
      <c r="B176" s="580" t="s">
        <v>205</v>
      </c>
      <c r="C176" s="583">
        <v>152680</v>
      </c>
      <c r="D176" s="583">
        <v>0</v>
      </c>
      <c r="E176" s="583">
        <v>75884</v>
      </c>
      <c r="F176" s="583">
        <v>0</v>
      </c>
      <c r="G176" s="583">
        <v>228564</v>
      </c>
      <c r="H176" s="583">
        <v>75884</v>
      </c>
      <c r="I176" s="583">
        <v>81190</v>
      </c>
      <c r="J176" s="583">
        <v>0</v>
      </c>
      <c r="K176" s="583">
        <v>147374</v>
      </c>
      <c r="L176" s="583">
        <v>0</v>
      </c>
      <c r="M176" s="583">
        <v>228564</v>
      </c>
      <c r="N176" s="583">
        <v>223258</v>
      </c>
      <c r="O176" s="583">
        <v>231617</v>
      </c>
      <c r="P176" s="583">
        <v>0</v>
      </c>
      <c r="Q176" s="583">
        <v>0</v>
      </c>
      <c r="R176" s="583">
        <v>0</v>
      </c>
      <c r="S176" s="583">
        <v>231617</v>
      </c>
      <c r="T176" s="583">
        <v>223258</v>
      </c>
      <c r="U176" s="583">
        <v>122985</v>
      </c>
      <c r="V176" s="583">
        <v>0</v>
      </c>
      <c r="W176" s="583">
        <v>105579</v>
      </c>
      <c r="X176" s="583">
        <v>0</v>
      </c>
      <c r="Y176" s="583">
        <v>228564</v>
      </c>
      <c r="Z176" s="583">
        <v>328837</v>
      </c>
      <c r="AA176" s="583">
        <v>1070198</v>
      </c>
      <c r="AB176" s="583">
        <v>9878</v>
      </c>
      <c r="AC176" s="583">
        <v>-328837</v>
      </c>
      <c r="AD176" s="583">
        <v>0</v>
      </c>
      <c r="AE176" s="583">
        <v>751239</v>
      </c>
      <c r="AF176" s="583">
        <v>0</v>
      </c>
      <c r="AG176" s="583">
        <v>211979</v>
      </c>
      <c r="AH176" s="583">
        <v>7000</v>
      </c>
      <c r="AI176" s="583">
        <v>16585</v>
      </c>
      <c r="AJ176" s="583">
        <v>0</v>
      </c>
      <c r="AK176" s="583">
        <v>235564</v>
      </c>
      <c r="AL176" s="583">
        <v>16585</v>
      </c>
      <c r="AM176" s="583">
        <v>421376</v>
      </c>
      <c r="AN176" s="583">
        <v>40908</v>
      </c>
      <c r="AO176" s="583">
        <v>-16585</v>
      </c>
      <c r="AP176" s="583">
        <v>0</v>
      </c>
      <c r="AQ176" s="583">
        <v>445699</v>
      </c>
      <c r="AR176" s="583">
        <v>0</v>
      </c>
      <c r="AS176" s="583">
        <v>139187</v>
      </c>
      <c r="AT176" s="583">
        <v>0</v>
      </c>
      <c r="AU176" s="583">
        <v>89377</v>
      </c>
      <c r="AV176" s="583">
        <v>0</v>
      </c>
      <c r="AW176" s="583">
        <v>228564</v>
      </c>
      <c r="AX176" s="583">
        <v>89377</v>
      </c>
      <c r="AY176" s="583">
        <v>269448</v>
      </c>
      <c r="AZ176" s="583">
        <v>10029</v>
      </c>
      <c r="BA176" s="583">
        <v>0</v>
      </c>
      <c r="BB176" s="583">
        <v>0</v>
      </c>
      <c r="BC176" s="583">
        <v>279477</v>
      </c>
      <c r="BD176" s="583">
        <v>89377</v>
      </c>
      <c r="BE176" s="583">
        <v>568523</v>
      </c>
      <c r="BF176" s="583">
        <v>0</v>
      </c>
      <c r="BG176" s="583">
        <v>-89377</v>
      </c>
      <c r="BH176" s="583">
        <v>0</v>
      </c>
      <c r="BI176" s="583">
        <v>479146</v>
      </c>
      <c r="BJ176" s="583">
        <v>0</v>
      </c>
      <c r="BK176" s="583">
        <v>211003</v>
      </c>
      <c r="BL176" s="583">
        <v>0</v>
      </c>
      <c r="BM176" s="583">
        <v>17561</v>
      </c>
      <c r="BN176" s="583">
        <v>0</v>
      </c>
      <c r="BO176" s="583">
        <v>228564</v>
      </c>
      <c r="BP176" s="583">
        <v>17561</v>
      </c>
      <c r="BQ176" s="583">
        <v>404340</v>
      </c>
      <c r="BR176" s="583">
        <v>65912</v>
      </c>
      <c r="BS176" s="583">
        <v>-17561</v>
      </c>
      <c r="BT176" s="583">
        <v>0</v>
      </c>
      <c r="BU176" s="583">
        <v>452691</v>
      </c>
      <c r="BV176" s="583">
        <v>0</v>
      </c>
    </row>
    <row r="177" spans="1:74" x14ac:dyDescent="0.2">
      <c r="A177" s="580">
        <v>8313</v>
      </c>
      <c r="B177" s="580" t="s">
        <v>202</v>
      </c>
      <c r="C177" s="583">
        <v>309226</v>
      </c>
      <c r="D177" s="583">
        <v>0</v>
      </c>
      <c r="E177" s="583">
        <v>138987</v>
      </c>
      <c r="F177" s="583">
        <v>0</v>
      </c>
      <c r="G177" s="583">
        <v>448213</v>
      </c>
      <c r="H177" s="583">
        <v>138987</v>
      </c>
      <c r="I177" s="583">
        <v>164436</v>
      </c>
      <c r="J177" s="583">
        <v>0</v>
      </c>
      <c r="K177" s="583">
        <v>283777</v>
      </c>
      <c r="L177" s="583">
        <v>0</v>
      </c>
      <c r="M177" s="583">
        <v>448213</v>
      </c>
      <c r="N177" s="583">
        <v>422764</v>
      </c>
      <c r="O177" s="583">
        <v>469099</v>
      </c>
      <c r="P177" s="583">
        <v>0</v>
      </c>
      <c r="Q177" s="583">
        <v>0</v>
      </c>
      <c r="R177" s="583">
        <v>0</v>
      </c>
      <c r="S177" s="583">
        <v>469099</v>
      </c>
      <c r="T177" s="583">
        <v>422764</v>
      </c>
      <c r="U177" s="583">
        <v>249084</v>
      </c>
      <c r="V177" s="583">
        <v>0</v>
      </c>
      <c r="W177" s="583">
        <v>199129</v>
      </c>
      <c r="X177" s="583">
        <v>0</v>
      </c>
      <c r="Y177" s="583">
        <v>448213</v>
      </c>
      <c r="Z177" s="583">
        <v>621893</v>
      </c>
      <c r="AA177" s="583">
        <v>2167499</v>
      </c>
      <c r="AB177" s="583">
        <v>20005</v>
      </c>
      <c r="AC177" s="583">
        <v>-621893</v>
      </c>
      <c r="AD177" s="583">
        <v>0</v>
      </c>
      <c r="AE177" s="583">
        <v>1565611</v>
      </c>
      <c r="AF177" s="583">
        <v>0</v>
      </c>
      <c r="AG177" s="583">
        <v>429326</v>
      </c>
      <c r="AH177" s="583">
        <v>14178</v>
      </c>
      <c r="AI177" s="583">
        <v>18887</v>
      </c>
      <c r="AJ177" s="583">
        <v>0</v>
      </c>
      <c r="AK177" s="583">
        <v>462391</v>
      </c>
      <c r="AL177" s="583">
        <v>18887</v>
      </c>
      <c r="AM177" s="583">
        <v>853424</v>
      </c>
      <c r="AN177" s="583">
        <v>82852</v>
      </c>
      <c r="AO177" s="583">
        <v>-18887</v>
      </c>
      <c r="AP177" s="583">
        <v>0</v>
      </c>
      <c r="AQ177" s="583">
        <v>917389</v>
      </c>
      <c r="AR177" s="583">
        <v>0</v>
      </c>
      <c r="AS177" s="583">
        <v>281899</v>
      </c>
      <c r="AT177" s="583">
        <v>0</v>
      </c>
      <c r="AU177" s="583">
        <v>166314</v>
      </c>
      <c r="AV177" s="583">
        <v>0</v>
      </c>
      <c r="AW177" s="583">
        <v>448213</v>
      </c>
      <c r="AX177" s="583">
        <v>166314</v>
      </c>
      <c r="AY177" s="583">
        <v>545719</v>
      </c>
      <c r="AZ177" s="583">
        <v>20311</v>
      </c>
      <c r="BA177" s="583">
        <v>0</v>
      </c>
      <c r="BB177" s="583">
        <v>0</v>
      </c>
      <c r="BC177" s="583">
        <v>566030</v>
      </c>
      <c r="BD177" s="583">
        <v>166314</v>
      </c>
      <c r="BE177" s="583">
        <v>1151444</v>
      </c>
      <c r="BF177" s="583">
        <v>0</v>
      </c>
      <c r="BG177" s="583">
        <v>-166314</v>
      </c>
      <c r="BH177" s="583">
        <v>0</v>
      </c>
      <c r="BI177" s="583">
        <v>985130</v>
      </c>
      <c r="BJ177" s="583">
        <v>0</v>
      </c>
      <c r="BK177" s="583">
        <v>427350</v>
      </c>
      <c r="BL177" s="583">
        <v>0</v>
      </c>
      <c r="BM177" s="583">
        <v>20863</v>
      </c>
      <c r="BN177" s="583">
        <v>0</v>
      </c>
      <c r="BO177" s="583">
        <v>448213</v>
      </c>
      <c r="BP177" s="583">
        <v>20863</v>
      </c>
      <c r="BQ177" s="583">
        <v>818921</v>
      </c>
      <c r="BR177" s="583">
        <v>133493</v>
      </c>
      <c r="BS177" s="583">
        <v>-20863</v>
      </c>
      <c r="BT177" s="583">
        <v>0</v>
      </c>
      <c r="BU177" s="583">
        <v>931551</v>
      </c>
      <c r="BV177" s="583">
        <v>0</v>
      </c>
    </row>
    <row r="178" spans="1:74" x14ac:dyDescent="0.2">
      <c r="A178" s="580">
        <v>8314</v>
      </c>
      <c r="B178" s="580" t="s">
        <v>400</v>
      </c>
      <c r="C178" s="583">
        <v>92542</v>
      </c>
      <c r="D178" s="583">
        <v>0</v>
      </c>
      <c r="E178" s="583">
        <v>54626</v>
      </c>
      <c r="F178" s="583">
        <v>0</v>
      </c>
      <c r="G178" s="583">
        <v>147168</v>
      </c>
      <c r="H178" s="583">
        <v>54626</v>
      </c>
      <c r="I178" s="583">
        <v>49211</v>
      </c>
      <c r="J178" s="583">
        <v>0</v>
      </c>
      <c r="K178" s="583">
        <v>97957</v>
      </c>
      <c r="L178" s="583">
        <v>0</v>
      </c>
      <c r="M178" s="583">
        <v>147168</v>
      </c>
      <c r="N178" s="583">
        <v>152583</v>
      </c>
      <c r="O178" s="583">
        <v>140387</v>
      </c>
      <c r="P178" s="583">
        <v>0</v>
      </c>
      <c r="Q178" s="583">
        <v>0</v>
      </c>
      <c r="R178" s="583">
        <v>0</v>
      </c>
      <c r="S178" s="583">
        <v>140387</v>
      </c>
      <c r="T178" s="583">
        <v>152583</v>
      </c>
      <c r="U178" s="583">
        <v>74543</v>
      </c>
      <c r="V178" s="583">
        <v>0</v>
      </c>
      <c r="W178" s="583">
        <v>72625</v>
      </c>
      <c r="X178" s="583">
        <v>0</v>
      </c>
      <c r="Y178" s="583">
        <v>147168</v>
      </c>
      <c r="Z178" s="583">
        <v>225208</v>
      </c>
      <c r="AA178" s="583">
        <v>648665</v>
      </c>
      <c r="AB178" s="583">
        <v>5987</v>
      </c>
      <c r="AC178" s="583">
        <v>-225208</v>
      </c>
      <c r="AD178" s="583">
        <v>0</v>
      </c>
      <c r="AE178" s="583">
        <v>429444</v>
      </c>
      <c r="AF178" s="583">
        <v>0</v>
      </c>
      <c r="AG178" s="583">
        <v>128484</v>
      </c>
      <c r="AH178" s="583">
        <v>4243</v>
      </c>
      <c r="AI178" s="583">
        <v>18684</v>
      </c>
      <c r="AJ178" s="583">
        <v>0</v>
      </c>
      <c r="AK178" s="583">
        <v>151411</v>
      </c>
      <c r="AL178" s="583">
        <v>18684</v>
      </c>
      <c r="AM178" s="583">
        <v>255403</v>
      </c>
      <c r="AN178" s="583">
        <v>24795</v>
      </c>
      <c r="AO178" s="583">
        <v>-18684</v>
      </c>
      <c r="AP178" s="583">
        <v>0</v>
      </c>
      <c r="AQ178" s="583">
        <v>261514</v>
      </c>
      <c r="AR178" s="583">
        <v>0</v>
      </c>
      <c r="AS178" s="583">
        <v>84364</v>
      </c>
      <c r="AT178" s="583">
        <v>0</v>
      </c>
      <c r="AU178" s="583">
        <v>62804</v>
      </c>
      <c r="AV178" s="583">
        <v>0</v>
      </c>
      <c r="AW178" s="583">
        <v>147168</v>
      </c>
      <c r="AX178" s="583">
        <v>62804</v>
      </c>
      <c r="AY178" s="583">
        <v>163317</v>
      </c>
      <c r="AZ178" s="583">
        <v>6078</v>
      </c>
      <c r="BA178" s="583">
        <v>0</v>
      </c>
      <c r="BB178" s="583">
        <v>0</v>
      </c>
      <c r="BC178" s="583">
        <v>169395</v>
      </c>
      <c r="BD178" s="583">
        <v>62804</v>
      </c>
      <c r="BE178" s="583">
        <v>344591</v>
      </c>
      <c r="BF178" s="583">
        <v>0</v>
      </c>
      <c r="BG178" s="583">
        <v>-62804</v>
      </c>
      <c r="BH178" s="583">
        <v>0</v>
      </c>
      <c r="BI178" s="583">
        <v>281787</v>
      </c>
      <c r="BJ178" s="583">
        <v>0</v>
      </c>
      <c r="BK178" s="583">
        <v>127893</v>
      </c>
      <c r="BL178" s="583">
        <v>0</v>
      </c>
      <c r="BM178" s="583">
        <v>19275</v>
      </c>
      <c r="BN178" s="583">
        <v>0</v>
      </c>
      <c r="BO178" s="583">
        <v>147168</v>
      </c>
      <c r="BP178" s="583">
        <v>19275</v>
      </c>
      <c r="BQ178" s="583">
        <v>245078</v>
      </c>
      <c r="BR178" s="583">
        <v>39950</v>
      </c>
      <c r="BS178" s="583">
        <v>-19275</v>
      </c>
      <c r="BT178" s="583">
        <v>0</v>
      </c>
      <c r="BU178" s="583">
        <v>265753</v>
      </c>
      <c r="BV178" s="583">
        <v>0</v>
      </c>
    </row>
    <row r="179" spans="1:74" x14ac:dyDescent="0.2">
      <c r="A179" s="580">
        <v>9101</v>
      </c>
      <c r="B179" s="580" t="s">
        <v>215</v>
      </c>
      <c r="C179" s="583">
        <v>1017889</v>
      </c>
      <c r="D179" s="583">
        <v>0</v>
      </c>
      <c r="E179" s="583">
        <v>682015</v>
      </c>
      <c r="F179" s="583">
        <v>0</v>
      </c>
      <c r="G179" s="583">
        <v>1699904</v>
      </c>
      <c r="H179" s="583">
        <v>682015</v>
      </c>
      <c r="I179" s="583">
        <v>541279</v>
      </c>
      <c r="J179" s="583">
        <v>0</v>
      </c>
      <c r="K179" s="583">
        <v>1158625</v>
      </c>
      <c r="L179" s="583">
        <v>0</v>
      </c>
      <c r="M179" s="583">
        <v>1699904</v>
      </c>
      <c r="N179" s="583">
        <v>1840640</v>
      </c>
      <c r="O179" s="583">
        <v>1544147</v>
      </c>
      <c r="P179" s="583">
        <v>0</v>
      </c>
      <c r="Q179" s="583">
        <v>0</v>
      </c>
      <c r="R179" s="583">
        <v>0</v>
      </c>
      <c r="S179" s="583">
        <v>1544147</v>
      </c>
      <c r="T179" s="583">
        <v>1840640</v>
      </c>
      <c r="U179" s="583">
        <v>819918</v>
      </c>
      <c r="V179" s="583">
        <v>0</v>
      </c>
      <c r="W179" s="583">
        <v>879986</v>
      </c>
      <c r="X179" s="583">
        <v>0</v>
      </c>
      <c r="Y179" s="583">
        <v>1699904</v>
      </c>
      <c r="Z179" s="583">
        <v>2720626</v>
      </c>
      <c r="AA179" s="583">
        <v>7134818</v>
      </c>
      <c r="AB179" s="583">
        <v>65853</v>
      </c>
      <c r="AC179" s="583">
        <v>-2720626</v>
      </c>
      <c r="AD179" s="583">
        <v>0</v>
      </c>
      <c r="AE179" s="583">
        <v>4480045</v>
      </c>
      <c r="AF179" s="583">
        <v>0</v>
      </c>
      <c r="AG179" s="583">
        <v>1413225</v>
      </c>
      <c r="AH179" s="583">
        <v>46670</v>
      </c>
      <c r="AI179" s="583">
        <v>286679</v>
      </c>
      <c r="AJ179" s="583">
        <v>0</v>
      </c>
      <c r="AK179" s="583">
        <v>1746574</v>
      </c>
      <c r="AL179" s="583">
        <v>286679</v>
      </c>
      <c r="AM179" s="583">
        <v>2809240</v>
      </c>
      <c r="AN179" s="583">
        <v>272726</v>
      </c>
      <c r="AO179" s="583">
        <v>-227107</v>
      </c>
      <c r="AP179" s="583">
        <v>0</v>
      </c>
      <c r="AQ179" s="583">
        <v>2854859</v>
      </c>
      <c r="AR179" s="583">
        <v>59572</v>
      </c>
      <c r="AS179" s="583">
        <v>927935</v>
      </c>
      <c r="AT179" s="583">
        <v>0</v>
      </c>
      <c r="AU179" s="583">
        <v>771969</v>
      </c>
      <c r="AV179" s="583">
        <v>0</v>
      </c>
      <c r="AW179" s="583">
        <v>1699904</v>
      </c>
      <c r="AX179" s="583">
        <v>831541</v>
      </c>
      <c r="AY179" s="583">
        <v>1796359</v>
      </c>
      <c r="AZ179" s="583">
        <v>66859</v>
      </c>
      <c r="BA179" s="583">
        <v>0</v>
      </c>
      <c r="BB179" s="583">
        <v>0</v>
      </c>
      <c r="BC179" s="583">
        <v>1863218</v>
      </c>
      <c r="BD179" s="583">
        <v>831541</v>
      </c>
      <c r="BE179" s="583">
        <v>3790240</v>
      </c>
      <c r="BF179" s="583">
        <v>0</v>
      </c>
      <c r="BG179" s="583">
        <v>-831541</v>
      </c>
      <c r="BH179" s="583">
        <v>0</v>
      </c>
      <c r="BI179" s="583">
        <v>2958699</v>
      </c>
      <c r="BJ179" s="583">
        <v>0</v>
      </c>
      <c r="BK179" s="583">
        <v>1406720</v>
      </c>
      <c r="BL179" s="583">
        <v>0</v>
      </c>
      <c r="BM179" s="583">
        <v>293184</v>
      </c>
      <c r="BN179" s="583">
        <v>0</v>
      </c>
      <c r="BO179" s="583">
        <v>1699904</v>
      </c>
      <c r="BP179" s="583">
        <v>293184</v>
      </c>
      <c r="BQ179" s="583">
        <v>2695665</v>
      </c>
      <c r="BR179" s="583">
        <v>439421</v>
      </c>
      <c r="BS179" s="583">
        <v>-293184</v>
      </c>
      <c r="BT179" s="583">
        <v>0</v>
      </c>
      <c r="BU179" s="583">
        <v>2841902</v>
      </c>
      <c r="BV179" s="583">
        <v>0</v>
      </c>
    </row>
    <row r="180" spans="1:74" x14ac:dyDescent="0.2">
      <c r="A180" s="580">
        <v>9102</v>
      </c>
      <c r="B180" s="580" t="s">
        <v>222</v>
      </c>
      <c r="C180" s="583">
        <v>271997</v>
      </c>
      <c r="D180" s="583">
        <v>0</v>
      </c>
      <c r="E180" s="583">
        <v>159765</v>
      </c>
      <c r="F180" s="583">
        <v>0</v>
      </c>
      <c r="G180" s="583">
        <v>431762</v>
      </c>
      <c r="H180" s="583">
        <v>159765</v>
      </c>
      <c r="I180" s="583">
        <v>144639</v>
      </c>
      <c r="J180" s="583">
        <v>0</v>
      </c>
      <c r="K180" s="583">
        <v>287123</v>
      </c>
      <c r="L180" s="583">
        <v>0</v>
      </c>
      <c r="M180" s="583">
        <v>431762</v>
      </c>
      <c r="N180" s="583">
        <v>446888</v>
      </c>
      <c r="O180" s="583">
        <v>412622</v>
      </c>
      <c r="P180" s="583">
        <v>0</v>
      </c>
      <c r="Q180" s="583">
        <v>0</v>
      </c>
      <c r="R180" s="583">
        <v>0</v>
      </c>
      <c r="S180" s="583">
        <v>412622</v>
      </c>
      <c r="T180" s="583">
        <v>446888</v>
      </c>
      <c r="U180" s="583">
        <v>219096</v>
      </c>
      <c r="V180" s="583">
        <v>0</v>
      </c>
      <c r="W180" s="583">
        <v>212666</v>
      </c>
      <c r="X180" s="583">
        <v>0</v>
      </c>
      <c r="Y180" s="583">
        <v>431762</v>
      </c>
      <c r="Z180" s="583">
        <v>659554</v>
      </c>
      <c r="AA180" s="583">
        <v>1906544</v>
      </c>
      <c r="AB180" s="583">
        <v>17597</v>
      </c>
      <c r="AC180" s="583">
        <v>-659554</v>
      </c>
      <c r="AD180" s="583">
        <v>0</v>
      </c>
      <c r="AE180" s="583">
        <v>1264587</v>
      </c>
      <c r="AF180" s="583">
        <v>0</v>
      </c>
      <c r="AG180" s="583">
        <v>377638</v>
      </c>
      <c r="AH180" s="583">
        <v>12471</v>
      </c>
      <c r="AI180" s="583">
        <v>54124</v>
      </c>
      <c r="AJ180" s="583">
        <v>0</v>
      </c>
      <c r="AK180" s="583">
        <v>444233</v>
      </c>
      <c r="AL180" s="583">
        <v>54124</v>
      </c>
      <c r="AM180" s="583">
        <v>750676</v>
      </c>
      <c r="AN180" s="583">
        <v>72877</v>
      </c>
      <c r="AO180" s="583">
        <v>-54124</v>
      </c>
      <c r="AP180" s="583">
        <v>0</v>
      </c>
      <c r="AQ180" s="583">
        <v>769429</v>
      </c>
      <c r="AR180" s="583">
        <v>0</v>
      </c>
      <c r="AS180" s="583">
        <v>247960</v>
      </c>
      <c r="AT180" s="583">
        <v>0</v>
      </c>
      <c r="AU180" s="583">
        <v>183802</v>
      </c>
      <c r="AV180" s="583">
        <v>0</v>
      </c>
      <c r="AW180" s="583">
        <v>431762</v>
      </c>
      <c r="AX180" s="583">
        <v>183802</v>
      </c>
      <c r="AY180" s="583">
        <v>480018</v>
      </c>
      <c r="AZ180" s="583">
        <v>17866</v>
      </c>
      <c r="BA180" s="583">
        <v>0</v>
      </c>
      <c r="BB180" s="583">
        <v>0</v>
      </c>
      <c r="BC180" s="583">
        <v>497884</v>
      </c>
      <c r="BD180" s="583">
        <v>183802</v>
      </c>
      <c r="BE180" s="583">
        <v>1012816</v>
      </c>
      <c r="BF180" s="583">
        <v>0</v>
      </c>
      <c r="BG180" s="583">
        <v>-183802</v>
      </c>
      <c r="BH180" s="583">
        <v>0</v>
      </c>
      <c r="BI180" s="583">
        <v>829014</v>
      </c>
      <c r="BJ180" s="583">
        <v>0</v>
      </c>
      <c r="BK180" s="583">
        <v>375899</v>
      </c>
      <c r="BL180" s="583">
        <v>0</v>
      </c>
      <c r="BM180" s="583">
        <v>55863</v>
      </c>
      <c r="BN180" s="583">
        <v>0</v>
      </c>
      <c r="BO180" s="583">
        <v>431762</v>
      </c>
      <c r="BP180" s="583">
        <v>55863</v>
      </c>
      <c r="BQ180" s="583">
        <v>720327</v>
      </c>
      <c r="BR180" s="583">
        <v>117421</v>
      </c>
      <c r="BS180" s="583">
        <v>-55863</v>
      </c>
      <c r="BT180" s="583">
        <v>0</v>
      </c>
      <c r="BU180" s="583">
        <v>781885</v>
      </c>
      <c r="BV180" s="583">
        <v>0</v>
      </c>
    </row>
    <row r="181" spans="1:74" x14ac:dyDescent="0.2">
      <c r="A181" s="580">
        <v>9103</v>
      </c>
      <c r="B181" s="580" t="s">
        <v>217</v>
      </c>
      <c r="C181" s="583">
        <v>192553</v>
      </c>
      <c r="D181" s="583">
        <v>0</v>
      </c>
      <c r="E181" s="583">
        <v>86233</v>
      </c>
      <c r="F181" s="583">
        <v>0</v>
      </c>
      <c r="G181" s="583">
        <v>278786</v>
      </c>
      <c r="H181" s="583">
        <v>86233</v>
      </c>
      <c r="I181" s="583">
        <v>102393</v>
      </c>
      <c r="J181" s="583">
        <v>0</v>
      </c>
      <c r="K181" s="583">
        <v>176393</v>
      </c>
      <c r="L181" s="583">
        <v>0</v>
      </c>
      <c r="M181" s="583">
        <v>278786</v>
      </c>
      <c r="N181" s="583">
        <v>262626</v>
      </c>
      <c r="O181" s="583">
        <v>292105</v>
      </c>
      <c r="P181" s="583">
        <v>0</v>
      </c>
      <c r="Q181" s="583">
        <v>0</v>
      </c>
      <c r="R181" s="583">
        <v>0</v>
      </c>
      <c r="S181" s="583">
        <v>292105</v>
      </c>
      <c r="T181" s="583">
        <v>262626</v>
      </c>
      <c r="U181" s="583">
        <v>155103</v>
      </c>
      <c r="V181" s="583">
        <v>0</v>
      </c>
      <c r="W181" s="583">
        <v>123683</v>
      </c>
      <c r="X181" s="583">
        <v>0</v>
      </c>
      <c r="Y181" s="583">
        <v>278786</v>
      </c>
      <c r="Z181" s="583">
        <v>386309</v>
      </c>
      <c r="AA181" s="583">
        <v>1349689</v>
      </c>
      <c r="AB181" s="583">
        <v>12457</v>
      </c>
      <c r="AC181" s="583">
        <v>-386309</v>
      </c>
      <c r="AD181" s="583">
        <v>0</v>
      </c>
      <c r="AE181" s="583">
        <v>975837</v>
      </c>
      <c r="AF181" s="583">
        <v>0</v>
      </c>
      <c r="AG181" s="583">
        <v>267339</v>
      </c>
      <c r="AH181" s="583">
        <v>8829</v>
      </c>
      <c r="AI181" s="583">
        <v>11447</v>
      </c>
      <c r="AJ181" s="583">
        <v>0</v>
      </c>
      <c r="AK181" s="583">
        <v>287615</v>
      </c>
      <c r="AL181" s="583">
        <v>11447</v>
      </c>
      <c r="AM181" s="583">
        <v>531422</v>
      </c>
      <c r="AN181" s="583">
        <v>51591</v>
      </c>
      <c r="AO181" s="583">
        <v>-11447</v>
      </c>
      <c r="AP181" s="583">
        <v>0</v>
      </c>
      <c r="AQ181" s="583">
        <v>571566</v>
      </c>
      <c r="AR181" s="583">
        <v>0</v>
      </c>
      <c r="AS181" s="583">
        <v>175537</v>
      </c>
      <c r="AT181" s="583">
        <v>0</v>
      </c>
      <c r="AU181" s="583">
        <v>103249</v>
      </c>
      <c r="AV181" s="583">
        <v>0</v>
      </c>
      <c r="AW181" s="583">
        <v>278786</v>
      </c>
      <c r="AX181" s="583">
        <v>103249</v>
      </c>
      <c r="AY181" s="583">
        <v>339816</v>
      </c>
      <c r="AZ181" s="583">
        <v>12648</v>
      </c>
      <c r="BA181" s="583">
        <v>0</v>
      </c>
      <c r="BB181" s="583">
        <v>0</v>
      </c>
      <c r="BC181" s="583">
        <v>352464</v>
      </c>
      <c r="BD181" s="583">
        <v>103249</v>
      </c>
      <c r="BE181" s="583">
        <v>716997</v>
      </c>
      <c r="BF181" s="583">
        <v>0</v>
      </c>
      <c r="BG181" s="583">
        <v>-103249</v>
      </c>
      <c r="BH181" s="583">
        <v>0</v>
      </c>
      <c r="BI181" s="583">
        <v>613748</v>
      </c>
      <c r="BJ181" s="583">
        <v>0</v>
      </c>
      <c r="BK181" s="583">
        <v>266108</v>
      </c>
      <c r="BL181" s="583">
        <v>0</v>
      </c>
      <c r="BM181" s="583">
        <v>12678</v>
      </c>
      <c r="BN181" s="583">
        <v>0</v>
      </c>
      <c r="BO181" s="583">
        <v>278786</v>
      </c>
      <c r="BP181" s="583">
        <v>12678</v>
      </c>
      <c r="BQ181" s="583">
        <v>509937</v>
      </c>
      <c r="BR181" s="583">
        <v>83125</v>
      </c>
      <c r="BS181" s="583">
        <v>-12678</v>
      </c>
      <c r="BT181" s="583">
        <v>0</v>
      </c>
      <c r="BU181" s="583">
        <v>580384</v>
      </c>
      <c r="BV181" s="583">
        <v>0</v>
      </c>
    </row>
    <row r="182" spans="1:74" x14ac:dyDescent="0.2">
      <c r="A182" s="580">
        <v>9104</v>
      </c>
      <c r="B182" s="580" t="s">
        <v>228</v>
      </c>
      <c r="C182" s="583">
        <v>105035</v>
      </c>
      <c r="D182" s="583">
        <v>0</v>
      </c>
      <c r="E182" s="583">
        <v>59522</v>
      </c>
      <c r="F182" s="583">
        <v>0</v>
      </c>
      <c r="G182" s="583">
        <v>164557</v>
      </c>
      <c r="H182" s="583">
        <v>59522</v>
      </c>
      <c r="I182" s="583">
        <v>55854</v>
      </c>
      <c r="J182" s="583">
        <v>0</v>
      </c>
      <c r="K182" s="583">
        <v>108703</v>
      </c>
      <c r="L182" s="583">
        <v>0</v>
      </c>
      <c r="M182" s="583">
        <v>164557</v>
      </c>
      <c r="N182" s="583">
        <v>168225</v>
      </c>
      <c r="O182" s="583">
        <v>159340</v>
      </c>
      <c r="P182" s="583">
        <v>0</v>
      </c>
      <c r="Q182" s="583">
        <v>0</v>
      </c>
      <c r="R182" s="583">
        <v>0</v>
      </c>
      <c r="S182" s="583">
        <v>159340</v>
      </c>
      <c r="T182" s="583">
        <v>168225</v>
      </c>
      <c r="U182" s="583">
        <v>84607</v>
      </c>
      <c r="V182" s="583">
        <v>0</v>
      </c>
      <c r="W182" s="583">
        <v>79950</v>
      </c>
      <c r="X182" s="583">
        <v>0</v>
      </c>
      <c r="Y182" s="583">
        <v>164557</v>
      </c>
      <c r="Z182" s="583">
        <v>248175</v>
      </c>
      <c r="AA182" s="583">
        <v>736239</v>
      </c>
      <c r="AB182" s="583">
        <v>6795</v>
      </c>
      <c r="AC182" s="583">
        <v>-248175</v>
      </c>
      <c r="AD182" s="583">
        <v>0</v>
      </c>
      <c r="AE182" s="583">
        <v>494859</v>
      </c>
      <c r="AF182" s="583">
        <v>0</v>
      </c>
      <c r="AG182" s="583">
        <v>145830</v>
      </c>
      <c r="AH182" s="583">
        <v>4816</v>
      </c>
      <c r="AI182" s="583">
        <v>18727</v>
      </c>
      <c r="AJ182" s="583">
        <v>0</v>
      </c>
      <c r="AK182" s="583">
        <v>169373</v>
      </c>
      <c r="AL182" s="583">
        <v>18727</v>
      </c>
      <c r="AM182" s="583">
        <v>289884</v>
      </c>
      <c r="AN182" s="583">
        <v>28143</v>
      </c>
      <c r="AO182" s="583">
        <v>-18727</v>
      </c>
      <c r="AP182" s="583">
        <v>0</v>
      </c>
      <c r="AQ182" s="583">
        <v>299300</v>
      </c>
      <c r="AR182" s="583">
        <v>0</v>
      </c>
      <c r="AS182" s="583">
        <v>95753</v>
      </c>
      <c r="AT182" s="583">
        <v>0</v>
      </c>
      <c r="AU182" s="583">
        <v>68804</v>
      </c>
      <c r="AV182" s="583">
        <v>0</v>
      </c>
      <c r="AW182" s="583">
        <v>164557</v>
      </c>
      <c r="AX182" s="583">
        <v>68804</v>
      </c>
      <c r="AY182" s="583">
        <v>185366</v>
      </c>
      <c r="AZ182" s="583">
        <v>6899</v>
      </c>
      <c r="BA182" s="583">
        <v>0</v>
      </c>
      <c r="BB182" s="583">
        <v>0</v>
      </c>
      <c r="BC182" s="583">
        <v>192265</v>
      </c>
      <c r="BD182" s="583">
        <v>68804</v>
      </c>
      <c r="BE182" s="583">
        <v>391113</v>
      </c>
      <c r="BF182" s="583">
        <v>0</v>
      </c>
      <c r="BG182" s="583">
        <v>-68804</v>
      </c>
      <c r="BH182" s="583">
        <v>0</v>
      </c>
      <c r="BI182" s="583">
        <v>322309</v>
      </c>
      <c r="BJ182" s="583">
        <v>0</v>
      </c>
      <c r="BK182" s="583">
        <v>145159</v>
      </c>
      <c r="BL182" s="583">
        <v>0</v>
      </c>
      <c r="BM182" s="583">
        <v>19398</v>
      </c>
      <c r="BN182" s="583">
        <v>0</v>
      </c>
      <c r="BO182" s="583">
        <v>164557</v>
      </c>
      <c r="BP182" s="583">
        <v>19398</v>
      </c>
      <c r="BQ182" s="583">
        <v>278165</v>
      </c>
      <c r="BR182" s="583">
        <v>45344</v>
      </c>
      <c r="BS182" s="583">
        <v>-19398</v>
      </c>
      <c r="BT182" s="583">
        <v>0</v>
      </c>
      <c r="BU182" s="583">
        <v>304111</v>
      </c>
      <c r="BV182" s="583">
        <v>0</v>
      </c>
    </row>
    <row r="183" spans="1:74" x14ac:dyDescent="0.2">
      <c r="A183" s="580">
        <v>9105</v>
      </c>
      <c r="B183" s="580" t="s">
        <v>216</v>
      </c>
      <c r="C183" s="583">
        <v>209306</v>
      </c>
      <c r="D183" s="583">
        <v>0</v>
      </c>
      <c r="E183" s="583">
        <v>116334</v>
      </c>
      <c r="F183" s="583">
        <v>0</v>
      </c>
      <c r="G183" s="583">
        <v>325640</v>
      </c>
      <c r="H183" s="583">
        <v>116334</v>
      </c>
      <c r="I183" s="583">
        <v>111302</v>
      </c>
      <c r="J183" s="583">
        <v>0</v>
      </c>
      <c r="K183" s="583">
        <v>214338</v>
      </c>
      <c r="L183" s="583">
        <v>0</v>
      </c>
      <c r="M183" s="583">
        <v>325640</v>
      </c>
      <c r="N183" s="583">
        <v>330672</v>
      </c>
      <c r="O183" s="583">
        <v>317519</v>
      </c>
      <c r="P183" s="583">
        <v>0</v>
      </c>
      <c r="Q183" s="583">
        <v>0</v>
      </c>
      <c r="R183" s="583">
        <v>0</v>
      </c>
      <c r="S183" s="583">
        <v>317519</v>
      </c>
      <c r="T183" s="583">
        <v>330672</v>
      </c>
      <c r="U183" s="583">
        <v>168597</v>
      </c>
      <c r="V183" s="583">
        <v>0</v>
      </c>
      <c r="W183" s="583">
        <v>157043</v>
      </c>
      <c r="X183" s="583">
        <v>0</v>
      </c>
      <c r="Y183" s="583">
        <v>325640</v>
      </c>
      <c r="Z183" s="583">
        <v>487715</v>
      </c>
      <c r="AA183" s="583">
        <v>1467113</v>
      </c>
      <c r="AB183" s="583">
        <v>13541</v>
      </c>
      <c r="AC183" s="583">
        <v>-487715</v>
      </c>
      <c r="AD183" s="583">
        <v>0</v>
      </c>
      <c r="AE183" s="583">
        <v>992939</v>
      </c>
      <c r="AF183" s="583">
        <v>0</v>
      </c>
      <c r="AG183" s="583">
        <v>290598</v>
      </c>
      <c r="AH183" s="583">
        <v>9597</v>
      </c>
      <c r="AI183" s="583">
        <v>35042</v>
      </c>
      <c r="AJ183" s="583">
        <v>0</v>
      </c>
      <c r="AK183" s="583">
        <v>335237</v>
      </c>
      <c r="AL183" s="583">
        <v>35042</v>
      </c>
      <c r="AM183" s="583">
        <v>577656</v>
      </c>
      <c r="AN183" s="583">
        <v>56080</v>
      </c>
      <c r="AO183" s="583">
        <v>-35042</v>
      </c>
      <c r="AP183" s="583">
        <v>0</v>
      </c>
      <c r="AQ183" s="583">
        <v>598694</v>
      </c>
      <c r="AR183" s="583">
        <v>0</v>
      </c>
      <c r="AS183" s="583">
        <v>190809</v>
      </c>
      <c r="AT183" s="583">
        <v>0</v>
      </c>
      <c r="AU183" s="583">
        <v>134831</v>
      </c>
      <c r="AV183" s="583">
        <v>0</v>
      </c>
      <c r="AW183" s="583">
        <v>325640</v>
      </c>
      <c r="AX183" s="583">
        <v>134831</v>
      </c>
      <c r="AY183" s="583">
        <v>369380</v>
      </c>
      <c r="AZ183" s="583">
        <v>13748</v>
      </c>
      <c r="BA183" s="583">
        <v>0</v>
      </c>
      <c r="BB183" s="583">
        <v>0</v>
      </c>
      <c r="BC183" s="583">
        <v>383128</v>
      </c>
      <c r="BD183" s="583">
        <v>134831</v>
      </c>
      <c r="BE183" s="583">
        <v>779376</v>
      </c>
      <c r="BF183" s="583">
        <v>0</v>
      </c>
      <c r="BG183" s="583">
        <v>-134831</v>
      </c>
      <c r="BH183" s="583">
        <v>0</v>
      </c>
      <c r="BI183" s="583">
        <v>644545</v>
      </c>
      <c r="BJ183" s="583">
        <v>0</v>
      </c>
      <c r="BK183" s="583">
        <v>289260</v>
      </c>
      <c r="BL183" s="583">
        <v>0</v>
      </c>
      <c r="BM183" s="583">
        <v>36380</v>
      </c>
      <c r="BN183" s="583">
        <v>0</v>
      </c>
      <c r="BO183" s="583">
        <v>325640</v>
      </c>
      <c r="BP183" s="583">
        <v>36380</v>
      </c>
      <c r="BQ183" s="583">
        <v>554302</v>
      </c>
      <c r="BR183" s="583">
        <v>90357</v>
      </c>
      <c r="BS183" s="583">
        <v>-36380</v>
      </c>
      <c r="BT183" s="583">
        <v>0</v>
      </c>
      <c r="BU183" s="583">
        <v>608279</v>
      </c>
      <c r="BV183" s="583">
        <v>0</v>
      </c>
    </row>
    <row r="184" spans="1:74" x14ac:dyDescent="0.2">
      <c r="A184" s="580">
        <v>9106</v>
      </c>
      <c r="B184" s="580" t="s">
        <v>220</v>
      </c>
      <c r="C184" s="583">
        <v>146588</v>
      </c>
      <c r="D184" s="583">
        <v>0</v>
      </c>
      <c r="E184" s="583">
        <v>83825</v>
      </c>
      <c r="F184" s="583">
        <v>0</v>
      </c>
      <c r="G184" s="583">
        <v>230413</v>
      </c>
      <c r="H184" s="583">
        <v>83825</v>
      </c>
      <c r="I184" s="583">
        <v>77951</v>
      </c>
      <c r="J184" s="583">
        <v>0</v>
      </c>
      <c r="K184" s="583">
        <v>152462</v>
      </c>
      <c r="L184" s="583">
        <v>0</v>
      </c>
      <c r="M184" s="583">
        <v>230413</v>
      </c>
      <c r="N184" s="583">
        <v>236287</v>
      </c>
      <c r="O184" s="583">
        <v>222375</v>
      </c>
      <c r="P184" s="583">
        <v>0</v>
      </c>
      <c r="Q184" s="583">
        <v>0</v>
      </c>
      <c r="R184" s="583">
        <v>0</v>
      </c>
      <c r="S184" s="583">
        <v>222375</v>
      </c>
      <c r="T184" s="583">
        <v>236287</v>
      </c>
      <c r="U184" s="583">
        <v>118078</v>
      </c>
      <c r="V184" s="583">
        <v>0</v>
      </c>
      <c r="W184" s="583">
        <v>112335</v>
      </c>
      <c r="X184" s="583">
        <v>0</v>
      </c>
      <c r="Y184" s="583">
        <v>230413</v>
      </c>
      <c r="Z184" s="583">
        <v>348622</v>
      </c>
      <c r="AA184" s="583">
        <v>1027498</v>
      </c>
      <c r="AB184" s="583">
        <v>9484</v>
      </c>
      <c r="AC184" s="583">
        <v>-348622</v>
      </c>
      <c r="AD184" s="583">
        <v>0</v>
      </c>
      <c r="AE184" s="583">
        <v>688360</v>
      </c>
      <c r="AF184" s="583">
        <v>0</v>
      </c>
      <c r="AG184" s="583">
        <v>203521</v>
      </c>
      <c r="AH184" s="583">
        <v>6721</v>
      </c>
      <c r="AI184" s="583">
        <v>26892</v>
      </c>
      <c r="AJ184" s="583">
        <v>0</v>
      </c>
      <c r="AK184" s="583">
        <v>237134</v>
      </c>
      <c r="AL184" s="583">
        <v>26892</v>
      </c>
      <c r="AM184" s="583">
        <v>404564</v>
      </c>
      <c r="AN184" s="583">
        <v>39276</v>
      </c>
      <c r="AO184" s="583">
        <v>-26892</v>
      </c>
      <c r="AP184" s="583">
        <v>0</v>
      </c>
      <c r="AQ184" s="583">
        <v>416948</v>
      </c>
      <c r="AR184" s="583">
        <v>0</v>
      </c>
      <c r="AS184" s="583">
        <v>133634</v>
      </c>
      <c r="AT184" s="583">
        <v>0</v>
      </c>
      <c r="AU184" s="583">
        <v>96779</v>
      </c>
      <c r="AV184" s="583">
        <v>0</v>
      </c>
      <c r="AW184" s="583">
        <v>230413</v>
      </c>
      <c r="AX184" s="583">
        <v>96779</v>
      </c>
      <c r="AY184" s="583">
        <v>258697</v>
      </c>
      <c r="AZ184" s="583">
        <v>9628</v>
      </c>
      <c r="BA184" s="583">
        <v>0</v>
      </c>
      <c r="BB184" s="583">
        <v>0</v>
      </c>
      <c r="BC184" s="583">
        <v>268325</v>
      </c>
      <c r="BD184" s="583">
        <v>96779</v>
      </c>
      <c r="BE184" s="583">
        <v>545839</v>
      </c>
      <c r="BF184" s="583">
        <v>0</v>
      </c>
      <c r="BG184" s="583">
        <v>-96779</v>
      </c>
      <c r="BH184" s="583">
        <v>0</v>
      </c>
      <c r="BI184" s="583">
        <v>449060</v>
      </c>
      <c r="BJ184" s="583">
        <v>0</v>
      </c>
      <c r="BK184" s="583">
        <v>202584</v>
      </c>
      <c r="BL184" s="583">
        <v>0</v>
      </c>
      <c r="BM184" s="583">
        <v>27829</v>
      </c>
      <c r="BN184" s="583">
        <v>0</v>
      </c>
      <c r="BO184" s="583">
        <v>230413</v>
      </c>
      <c r="BP184" s="583">
        <v>27829</v>
      </c>
      <c r="BQ184" s="583">
        <v>388207</v>
      </c>
      <c r="BR184" s="583">
        <v>63282</v>
      </c>
      <c r="BS184" s="583">
        <v>-27829</v>
      </c>
      <c r="BT184" s="583">
        <v>0</v>
      </c>
      <c r="BU184" s="583">
        <v>423660</v>
      </c>
      <c r="BV184" s="583">
        <v>0</v>
      </c>
    </row>
    <row r="185" spans="1:74" x14ac:dyDescent="0.2">
      <c r="A185" s="580">
        <v>9107</v>
      </c>
      <c r="B185" s="580" t="s">
        <v>224</v>
      </c>
      <c r="C185" s="583">
        <v>162719</v>
      </c>
      <c r="D185" s="583">
        <v>0</v>
      </c>
      <c r="E185" s="583">
        <v>90126</v>
      </c>
      <c r="F185" s="583">
        <v>0</v>
      </c>
      <c r="G185" s="583">
        <v>252845</v>
      </c>
      <c r="H185" s="583">
        <v>90126</v>
      </c>
      <c r="I185" s="583">
        <v>86528</v>
      </c>
      <c r="J185" s="583">
        <v>0</v>
      </c>
      <c r="K185" s="583">
        <v>166317</v>
      </c>
      <c r="L185" s="583">
        <v>0</v>
      </c>
      <c r="M185" s="583">
        <v>252845</v>
      </c>
      <c r="N185" s="583">
        <v>256443</v>
      </c>
      <c r="O185" s="583">
        <v>246846</v>
      </c>
      <c r="P185" s="583">
        <v>0</v>
      </c>
      <c r="Q185" s="583">
        <v>0</v>
      </c>
      <c r="R185" s="583">
        <v>0</v>
      </c>
      <c r="S185" s="583">
        <v>246846</v>
      </c>
      <c r="T185" s="583">
        <v>256443</v>
      </c>
      <c r="U185" s="583">
        <v>131071</v>
      </c>
      <c r="V185" s="583">
        <v>0</v>
      </c>
      <c r="W185" s="583">
        <v>121774</v>
      </c>
      <c r="X185" s="583">
        <v>0</v>
      </c>
      <c r="Y185" s="583">
        <v>252845</v>
      </c>
      <c r="Z185" s="583">
        <v>378217</v>
      </c>
      <c r="AA185" s="583">
        <v>1140564</v>
      </c>
      <c r="AB185" s="583">
        <v>10527</v>
      </c>
      <c r="AC185" s="583">
        <v>-378217</v>
      </c>
      <c r="AD185" s="583">
        <v>0</v>
      </c>
      <c r="AE185" s="583">
        <v>772874</v>
      </c>
      <c r="AF185" s="583">
        <v>0</v>
      </c>
      <c r="AG185" s="583">
        <v>225917</v>
      </c>
      <c r="AH185" s="583">
        <v>7461</v>
      </c>
      <c r="AI185" s="583">
        <v>26928</v>
      </c>
      <c r="AJ185" s="583">
        <v>0</v>
      </c>
      <c r="AK185" s="583">
        <v>260306</v>
      </c>
      <c r="AL185" s="583">
        <v>26928</v>
      </c>
      <c r="AM185" s="583">
        <v>449082</v>
      </c>
      <c r="AN185" s="583">
        <v>43598</v>
      </c>
      <c r="AO185" s="583">
        <v>-26928</v>
      </c>
      <c r="AP185" s="583">
        <v>0</v>
      </c>
      <c r="AQ185" s="583">
        <v>465752</v>
      </c>
      <c r="AR185" s="583">
        <v>0</v>
      </c>
      <c r="AS185" s="583">
        <v>148339</v>
      </c>
      <c r="AT185" s="583">
        <v>0</v>
      </c>
      <c r="AU185" s="583">
        <v>104506</v>
      </c>
      <c r="AV185" s="583">
        <v>0</v>
      </c>
      <c r="AW185" s="583">
        <v>252845</v>
      </c>
      <c r="AX185" s="583">
        <v>104506</v>
      </c>
      <c r="AY185" s="583">
        <v>287164</v>
      </c>
      <c r="AZ185" s="583">
        <v>10688</v>
      </c>
      <c r="BA185" s="583">
        <v>0</v>
      </c>
      <c r="BB185" s="583">
        <v>0</v>
      </c>
      <c r="BC185" s="583">
        <v>297852</v>
      </c>
      <c r="BD185" s="583">
        <v>104506</v>
      </c>
      <c r="BE185" s="583">
        <v>605903</v>
      </c>
      <c r="BF185" s="583">
        <v>0</v>
      </c>
      <c r="BG185" s="583">
        <v>-104506</v>
      </c>
      <c r="BH185" s="583">
        <v>0</v>
      </c>
      <c r="BI185" s="583">
        <v>501397</v>
      </c>
      <c r="BJ185" s="583">
        <v>0</v>
      </c>
      <c r="BK185" s="583">
        <v>224877</v>
      </c>
      <c r="BL185" s="583">
        <v>0</v>
      </c>
      <c r="BM185" s="583">
        <v>27968</v>
      </c>
      <c r="BN185" s="583">
        <v>0</v>
      </c>
      <c r="BO185" s="583">
        <v>252845</v>
      </c>
      <c r="BP185" s="583">
        <v>27968</v>
      </c>
      <c r="BQ185" s="583">
        <v>430926</v>
      </c>
      <c r="BR185" s="583">
        <v>70245</v>
      </c>
      <c r="BS185" s="583">
        <v>-27968</v>
      </c>
      <c r="BT185" s="583">
        <v>0</v>
      </c>
      <c r="BU185" s="583">
        <v>473203</v>
      </c>
      <c r="BV185" s="583">
        <v>0</v>
      </c>
    </row>
    <row r="186" spans="1:74" x14ac:dyDescent="0.2">
      <c r="A186" s="580">
        <v>9108</v>
      </c>
      <c r="B186" s="580" t="s">
        <v>218</v>
      </c>
      <c r="C186" s="583">
        <v>222480</v>
      </c>
      <c r="D186" s="583">
        <v>0</v>
      </c>
      <c r="E186" s="583">
        <v>109200</v>
      </c>
      <c r="F186" s="583">
        <v>0</v>
      </c>
      <c r="G186" s="583">
        <v>331680</v>
      </c>
      <c r="H186" s="583">
        <v>109200</v>
      </c>
      <c r="I186" s="583">
        <v>118307</v>
      </c>
      <c r="J186" s="583">
        <v>0</v>
      </c>
      <c r="K186" s="583">
        <v>213373</v>
      </c>
      <c r="L186" s="583">
        <v>0</v>
      </c>
      <c r="M186" s="583">
        <v>331680</v>
      </c>
      <c r="N186" s="583">
        <v>322573</v>
      </c>
      <c r="O186" s="583">
        <v>337504</v>
      </c>
      <c r="P186" s="583">
        <v>0</v>
      </c>
      <c r="Q186" s="583">
        <v>0</v>
      </c>
      <c r="R186" s="583">
        <v>0</v>
      </c>
      <c r="S186" s="583">
        <v>337504</v>
      </c>
      <c r="T186" s="583">
        <v>322573</v>
      </c>
      <c r="U186" s="583">
        <v>179209</v>
      </c>
      <c r="V186" s="583">
        <v>0</v>
      </c>
      <c r="W186" s="583">
        <v>152471</v>
      </c>
      <c r="X186" s="583">
        <v>0</v>
      </c>
      <c r="Y186" s="583">
        <v>331680</v>
      </c>
      <c r="Z186" s="583">
        <v>475044</v>
      </c>
      <c r="AA186" s="583">
        <v>1559457</v>
      </c>
      <c r="AB186" s="583">
        <v>14393</v>
      </c>
      <c r="AC186" s="583">
        <v>-475044</v>
      </c>
      <c r="AD186" s="583">
        <v>0</v>
      </c>
      <c r="AE186" s="583">
        <v>1098806</v>
      </c>
      <c r="AF186" s="583">
        <v>0</v>
      </c>
      <c r="AG186" s="583">
        <v>308889</v>
      </c>
      <c r="AH186" s="583">
        <v>10201</v>
      </c>
      <c r="AI186" s="583">
        <v>22791</v>
      </c>
      <c r="AJ186" s="583">
        <v>0</v>
      </c>
      <c r="AK186" s="583">
        <v>341881</v>
      </c>
      <c r="AL186" s="583">
        <v>22791</v>
      </c>
      <c r="AM186" s="583">
        <v>614015</v>
      </c>
      <c r="AN186" s="583">
        <v>59610</v>
      </c>
      <c r="AO186" s="583">
        <v>-22791</v>
      </c>
      <c r="AP186" s="583">
        <v>0</v>
      </c>
      <c r="AQ186" s="583">
        <v>650834</v>
      </c>
      <c r="AR186" s="583">
        <v>0</v>
      </c>
      <c r="AS186" s="583">
        <v>202819</v>
      </c>
      <c r="AT186" s="583">
        <v>0</v>
      </c>
      <c r="AU186" s="583">
        <v>128861</v>
      </c>
      <c r="AV186" s="583">
        <v>0</v>
      </c>
      <c r="AW186" s="583">
        <v>331680</v>
      </c>
      <c r="AX186" s="583">
        <v>128861</v>
      </c>
      <c r="AY186" s="583">
        <v>392630</v>
      </c>
      <c r="AZ186" s="583">
        <v>14613</v>
      </c>
      <c r="BA186" s="583">
        <v>0</v>
      </c>
      <c r="BB186" s="583">
        <v>0</v>
      </c>
      <c r="BC186" s="583">
        <v>407243</v>
      </c>
      <c r="BD186" s="583">
        <v>128861</v>
      </c>
      <c r="BE186" s="583">
        <v>828432</v>
      </c>
      <c r="BF186" s="583">
        <v>0</v>
      </c>
      <c r="BG186" s="583">
        <v>-128861</v>
      </c>
      <c r="BH186" s="583">
        <v>0</v>
      </c>
      <c r="BI186" s="583">
        <v>699571</v>
      </c>
      <c r="BJ186" s="583">
        <v>0</v>
      </c>
      <c r="BK186" s="583">
        <v>307467</v>
      </c>
      <c r="BL186" s="583">
        <v>0</v>
      </c>
      <c r="BM186" s="583">
        <v>24213</v>
      </c>
      <c r="BN186" s="583">
        <v>0</v>
      </c>
      <c r="BO186" s="583">
        <v>331680</v>
      </c>
      <c r="BP186" s="583">
        <v>24213</v>
      </c>
      <c r="BQ186" s="583">
        <v>589191</v>
      </c>
      <c r="BR186" s="583">
        <v>96044</v>
      </c>
      <c r="BS186" s="583">
        <v>-24213</v>
      </c>
      <c r="BT186" s="583">
        <v>0</v>
      </c>
      <c r="BU186" s="583">
        <v>661022</v>
      </c>
      <c r="BV186" s="583">
        <v>0</v>
      </c>
    </row>
    <row r="187" spans="1:74" x14ac:dyDescent="0.2">
      <c r="A187" s="580">
        <v>9109</v>
      </c>
      <c r="B187" s="580" t="s">
        <v>225</v>
      </c>
      <c r="C187" s="583">
        <v>220049</v>
      </c>
      <c r="D187" s="583">
        <v>0</v>
      </c>
      <c r="E187" s="583">
        <v>107840</v>
      </c>
      <c r="F187" s="583">
        <v>0</v>
      </c>
      <c r="G187" s="583">
        <v>327889</v>
      </c>
      <c r="H187" s="583">
        <v>107840</v>
      </c>
      <c r="I187" s="583">
        <v>117014</v>
      </c>
      <c r="J187" s="583">
        <v>0</v>
      </c>
      <c r="K187" s="583">
        <v>210875</v>
      </c>
      <c r="L187" s="583">
        <v>0</v>
      </c>
      <c r="M187" s="583">
        <v>327889</v>
      </c>
      <c r="N187" s="583">
        <v>318715</v>
      </c>
      <c r="O187" s="583">
        <v>333816</v>
      </c>
      <c r="P187" s="583">
        <v>0</v>
      </c>
      <c r="Q187" s="583">
        <v>0</v>
      </c>
      <c r="R187" s="583">
        <v>0</v>
      </c>
      <c r="S187" s="583">
        <v>333816</v>
      </c>
      <c r="T187" s="583">
        <v>318715</v>
      </c>
      <c r="U187" s="583">
        <v>177251</v>
      </c>
      <c r="V187" s="583">
        <v>0</v>
      </c>
      <c r="W187" s="583">
        <v>150638</v>
      </c>
      <c r="X187" s="583">
        <v>0</v>
      </c>
      <c r="Y187" s="583">
        <v>327889</v>
      </c>
      <c r="Z187" s="583">
        <v>469353</v>
      </c>
      <c r="AA187" s="583">
        <v>1542415</v>
      </c>
      <c r="AB187" s="583">
        <v>14236</v>
      </c>
      <c r="AC187" s="583">
        <v>-469353</v>
      </c>
      <c r="AD187" s="583">
        <v>0</v>
      </c>
      <c r="AE187" s="583">
        <v>1087298</v>
      </c>
      <c r="AF187" s="583">
        <v>0</v>
      </c>
      <c r="AG187" s="583">
        <v>305513</v>
      </c>
      <c r="AH187" s="583">
        <v>10089</v>
      </c>
      <c r="AI187" s="583">
        <v>22376</v>
      </c>
      <c r="AJ187" s="583">
        <v>0</v>
      </c>
      <c r="AK187" s="583">
        <v>337978</v>
      </c>
      <c r="AL187" s="583">
        <v>22376</v>
      </c>
      <c r="AM187" s="583">
        <v>607305</v>
      </c>
      <c r="AN187" s="583">
        <v>58958</v>
      </c>
      <c r="AO187" s="583">
        <v>-22376</v>
      </c>
      <c r="AP187" s="583">
        <v>0</v>
      </c>
      <c r="AQ187" s="583">
        <v>643887</v>
      </c>
      <c r="AR187" s="583">
        <v>0</v>
      </c>
      <c r="AS187" s="583">
        <v>200602</v>
      </c>
      <c r="AT187" s="583">
        <v>0</v>
      </c>
      <c r="AU187" s="583">
        <v>127287</v>
      </c>
      <c r="AV187" s="583">
        <v>0</v>
      </c>
      <c r="AW187" s="583">
        <v>327889</v>
      </c>
      <c r="AX187" s="583">
        <v>127287</v>
      </c>
      <c r="AY187" s="583">
        <v>388339</v>
      </c>
      <c r="AZ187" s="583">
        <v>14454</v>
      </c>
      <c r="BA187" s="583">
        <v>0</v>
      </c>
      <c r="BB187" s="583">
        <v>0</v>
      </c>
      <c r="BC187" s="583">
        <v>402793</v>
      </c>
      <c r="BD187" s="583">
        <v>127287</v>
      </c>
      <c r="BE187" s="583">
        <v>819379</v>
      </c>
      <c r="BF187" s="583">
        <v>0</v>
      </c>
      <c r="BG187" s="583">
        <v>-127287</v>
      </c>
      <c r="BH187" s="583">
        <v>0</v>
      </c>
      <c r="BI187" s="583">
        <v>692092</v>
      </c>
      <c r="BJ187" s="583">
        <v>0</v>
      </c>
      <c r="BK187" s="583">
        <v>304107</v>
      </c>
      <c r="BL187" s="583">
        <v>0</v>
      </c>
      <c r="BM187" s="583">
        <v>23782</v>
      </c>
      <c r="BN187" s="583">
        <v>0</v>
      </c>
      <c r="BO187" s="583">
        <v>327889</v>
      </c>
      <c r="BP187" s="583">
        <v>23782</v>
      </c>
      <c r="BQ187" s="583">
        <v>582753</v>
      </c>
      <c r="BR187" s="583">
        <v>94995</v>
      </c>
      <c r="BS187" s="583">
        <v>-23782</v>
      </c>
      <c r="BT187" s="583">
        <v>0</v>
      </c>
      <c r="BU187" s="583">
        <v>653966</v>
      </c>
      <c r="BV187" s="583">
        <v>0</v>
      </c>
    </row>
    <row r="188" spans="1:74" x14ac:dyDescent="0.2">
      <c r="A188" s="580">
        <v>9110</v>
      </c>
      <c r="B188" s="580" t="s">
        <v>227</v>
      </c>
      <c r="C188" s="583">
        <v>147546</v>
      </c>
      <c r="D188" s="583">
        <v>0</v>
      </c>
      <c r="E188" s="583">
        <v>85144</v>
      </c>
      <c r="F188" s="583">
        <v>0</v>
      </c>
      <c r="G188" s="583">
        <v>232690</v>
      </c>
      <c r="H188" s="583">
        <v>85144</v>
      </c>
      <c r="I188" s="583">
        <v>78460</v>
      </c>
      <c r="J188" s="583">
        <v>0</v>
      </c>
      <c r="K188" s="583">
        <v>154230</v>
      </c>
      <c r="L188" s="583">
        <v>0</v>
      </c>
      <c r="M188" s="583">
        <v>232690</v>
      </c>
      <c r="N188" s="583">
        <v>239374</v>
      </c>
      <c r="O188" s="583">
        <v>223828</v>
      </c>
      <c r="P188" s="583">
        <v>0</v>
      </c>
      <c r="Q188" s="583">
        <v>0</v>
      </c>
      <c r="R188" s="583">
        <v>0</v>
      </c>
      <c r="S188" s="583">
        <v>223828</v>
      </c>
      <c r="T188" s="583">
        <v>239374</v>
      </c>
      <c r="U188" s="583">
        <v>118849</v>
      </c>
      <c r="V188" s="583">
        <v>0</v>
      </c>
      <c r="W188" s="583">
        <v>113841</v>
      </c>
      <c r="X188" s="583">
        <v>0</v>
      </c>
      <c r="Y188" s="583">
        <v>232690</v>
      </c>
      <c r="Z188" s="583">
        <v>353215</v>
      </c>
      <c r="AA188" s="583">
        <v>1034212</v>
      </c>
      <c r="AB188" s="583">
        <v>9546</v>
      </c>
      <c r="AC188" s="583">
        <v>-353215</v>
      </c>
      <c r="AD188" s="583">
        <v>0</v>
      </c>
      <c r="AE188" s="583">
        <v>690543</v>
      </c>
      <c r="AF188" s="583">
        <v>0</v>
      </c>
      <c r="AG188" s="583">
        <v>204851</v>
      </c>
      <c r="AH188" s="583">
        <v>6765</v>
      </c>
      <c r="AI188" s="583">
        <v>27839</v>
      </c>
      <c r="AJ188" s="583">
        <v>0</v>
      </c>
      <c r="AK188" s="583">
        <v>239455</v>
      </c>
      <c r="AL188" s="583">
        <v>27839</v>
      </c>
      <c r="AM188" s="583">
        <v>407207</v>
      </c>
      <c r="AN188" s="583">
        <v>39532</v>
      </c>
      <c r="AO188" s="583">
        <v>-27839</v>
      </c>
      <c r="AP188" s="583">
        <v>0</v>
      </c>
      <c r="AQ188" s="583">
        <v>418900</v>
      </c>
      <c r="AR188" s="583">
        <v>0</v>
      </c>
      <c r="AS188" s="583">
        <v>134507</v>
      </c>
      <c r="AT188" s="583">
        <v>0</v>
      </c>
      <c r="AU188" s="583">
        <v>98183</v>
      </c>
      <c r="AV188" s="583">
        <v>0</v>
      </c>
      <c r="AW188" s="583">
        <v>232690</v>
      </c>
      <c r="AX188" s="583">
        <v>98183</v>
      </c>
      <c r="AY188" s="583">
        <v>260387</v>
      </c>
      <c r="AZ188" s="583">
        <v>9691</v>
      </c>
      <c r="BA188" s="583">
        <v>0</v>
      </c>
      <c r="BB188" s="583">
        <v>0</v>
      </c>
      <c r="BC188" s="583">
        <v>270078</v>
      </c>
      <c r="BD188" s="583">
        <v>98183</v>
      </c>
      <c r="BE188" s="583">
        <v>549406</v>
      </c>
      <c r="BF188" s="583">
        <v>0</v>
      </c>
      <c r="BG188" s="583">
        <v>-98183</v>
      </c>
      <c r="BH188" s="583">
        <v>0</v>
      </c>
      <c r="BI188" s="583">
        <v>451223</v>
      </c>
      <c r="BJ188" s="583">
        <v>0</v>
      </c>
      <c r="BK188" s="583">
        <v>203908</v>
      </c>
      <c r="BL188" s="583">
        <v>0</v>
      </c>
      <c r="BM188" s="583">
        <v>28782</v>
      </c>
      <c r="BN188" s="583">
        <v>0</v>
      </c>
      <c r="BO188" s="583">
        <v>232690</v>
      </c>
      <c r="BP188" s="583">
        <v>28782</v>
      </c>
      <c r="BQ188" s="583">
        <v>390744</v>
      </c>
      <c r="BR188" s="583">
        <v>63695</v>
      </c>
      <c r="BS188" s="583">
        <v>-28782</v>
      </c>
      <c r="BT188" s="583">
        <v>0</v>
      </c>
      <c r="BU188" s="583">
        <v>425657</v>
      </c>
      <c r="BV188" s="583">
        <v>0</v>
      </c>
    </row>
    <row r="189" spans="1:74" x14ac:dyDescent="0.2">
      <c r="A189" s="580">
        <v>9111</v>
      </c>
      <c r="B189" s="580" t="s">
        <v>221</v>
      </c>
      <c r="C189" s="583">
        <v>282865</v>
      </c>
      <c r="D189" s="583">
        <v>0</v>
      </c>
      <c r="E189" s="583">
        <v>163283</v>
      </c>
      <c r="F189" s="583">
        <v>0</v>
      </c>
      <c r="G189" s="583">
        <v>446148</v>
      </c>
      <c r="H189" s="583">
        <v>163283</v>
      </c>
      <c r="I189" s="583">
        <v>150418</v>
      </c>
      <c r="J189" s="583">
        <v>0</v>
      </c>
      <c r="K189" s="583">
        <v>295730</v>
      </c>
      <c r="L189" s="583">
        <v>0</v>
      </c>
      <c r="M189" s="583">
        <v>446148</v>
      </c>
      <c r="N189" s="583">
        <v>459013</v>
      </c>
      <c r="O189" s="583">
        <v>429109</v>
      </c>
      <c r="P189" s="583">
        <v>0</v>
      </c>
      <c r="Q189" s="583">
        <v>0</v>
      </c>
      <c r="R189" s="583">
        <v>0</v>
      </c>
      <c r="S189" s="583">
        <v>429109</v>
      </c>
      <c r="T189" s="583">
        <v>459013</v>
      </c>
      <c r="U189" s="583">
        <v>227850</v>
      </c>
      <c r="V189" s="583">
        <v>0</v>
      </c>
      <c r="W189" s="583">
        <v>218298</v>
      </c>
      <c r="X189" s="583">
        <v>0</v>
      </c>
      <c r="Y189" s="583">
        <v>446148</v>
      </c>
      <c r="Z189" s="583">
        <v>677311</v>
      </c>
      <c r="AA189" s="583">
        <v>1982721</v>
      </c>
      <c r="AB189" s="583">
        <v>18300</v>
      </c>
      <c r="AC189" s="583">
        <v>-677311</v>
      </c>
      <c r="AD189" s="583">
        <v>0</v>
      </c>
      <c r="AE189" s="583">
        <v>1323710</v>
      </c>
      <c r="AF189" s="583">
        <v>0</v>
      </c>
      <c r="AG189" s="583">
        <v>392726</v>
      </c>
      <c r="AH189" s="583">
        <v>12969</v>
      </c>
      <c r="AI189" s="583">
        <v>53422</v>
      </c>
      <c r="AJ189" s="583">
        <v>0</v>
      </c>
      <c r="AK189" s="583">
        <v>459117</v>
      </c>
      <c r="AL189" s="583">
        <v>53422</v>
      </c>
      <c r="AM189" s="583">
        <v>780670</v>
      </c>
      <c r="AN189" s="583">
        <v>75789</v>
      </c>
      <c r="AO189" s="583">
        <v>-53422</v>
      </c>
      <c r="AP189" s="583">
        <v>0</v>
      </c>
      <c r="AQ189" s="583">
        <v>803037</v>
      </c>
      <c r="AR189" s="583">
        <v>0</v>
      </c>
      <c r="AS189" s="583">
        <v>257867</v>
      </c>
      <c r="AT189" s="583">
        <v>0</v>
      </c>
      <c r="AU189" s="583">
        <v>188281</v>
      </c>
      <c r="AV189" s="583">
        <v>0</v>
      </c>
      <c r="AW189" s="583">
        <v>446148</v>
      </c>
      <c r="AX189" s="583">
        <v>188281</v>
      </c>
      <c r="AY189" s="583">
        <v>499197</v>
      </c>
      <c r="AZ189" s="583">
        <v>18580</v>
      </c>
      <c r="BA189" s="583">
        <v>0</v>
      </c>
      <c r="BB189" s="583">
        <v>0</v>
      </c>
      <c r="BC189" s="583">
        <v>517777</v>
      </c>
      <c r="BD189" s="583">
        <v>188281</v>
      </c>
      <c r="BE189" s="583">
        <v>1053284</v>
      </c>
      <c r="BF189" s="583">
        <v>0</v>
      </c>
      <c r="BG189" s="583">
        <v>-188281</v>
      </c>
      <c r="BH189" s="583">
        <v>0</v>
      </c>
      <c r="BI189" s="583">
        <v>865003</v>
      </c>
      <c r="BJ189" s="583">
        <v>0</v>
      </c>
      <c r="BK189" s="583">
        <v>390919</v>
      </c>
      <c r="BL189" s="583">
        <v>0</v>
      </c>
      <c r="BM189" s="583">
        <v>55229</v>
      </c>
      <c r="BN189" s="583">
        <v>0</v>
      </c>
      <c r="BO189" s="583">
        <v>446148</v>
      </c>
      <c r="BP189" s="583">
        <v>55229</v>
      </c>
      <c r="BQ189" s="583">
        <v>749108</v>
      </c>
      <c r="BR189" s="583">
        <v>122112</v>
      </c>
      <c r="BS189" s="583">
        <v>-55229</v>
      </c>
      <c r="BT189" s="583">
        <v>0</v>
      </c>
      <c r="BU189" s="583">
        <v>815991</v>
      </c>
      <c r="BV189" s="583">
        <v>0</v>
      </c>
    </row>
    <row r="190" spans="1:74" x14ac:dyDescent="0.2">
      <c r="A190" s="580">
        <v>9112</v>
      </c>
      <c r="B190" s="580" t="s">
        <v>230</v>
      </c>
      <c r="C190" s="583">
        <v>482184</v>
      </c>
      <c r="D190" s="583">
        <v>0</v>
      </c>
      <c r="E190" s="583">
        <v>265719</v>
      </c>
      <c r="F190" s="583">
        <v>0</v>
      </c>
      <c r="G190" s="583">
        <v>747903</v>
      </c>
      <c r="H190" s="583">
        <v>265719</v>
      </c>
      <c r="I190" s="583">
        <v>256409</v>
      </c>
      <c r="J190" s="583">
        <v>0</v>
      </c>
      <c r="K190" s="583">
        <v>491494</v>
      </c>
      <c r="L190" s="583">
        <v>0</v>
      </c>
      <c r="M190" s="583">
        <v>747903</v>
      </c>
      <c r="N190" s="583">
        <v>757213</v>
      </c>
      <c r="O190" s="583">
        <v>731478</v>
      </c>
      <c r="P190" s="583">
        <v>0</v>
      </c>
      <c r="Q190" s="583">
        <v>0</v>
      </c>
      <c r="R190" s="583">
        <v>0</v>
      </c>
      <c r="S190" s="583">
        <v>731478</v>
      </c>
      <c r="T190" s="583">
        <v>757213</v>
      </c>
      <c r="U190" s="583">
        <v>388403</v>
      </c>
      <c r="V190" s="583">
        <v>0</v>
      </c>
      <c r="W190" s="583">
        <v>359500</v>
      </c>
      <c r="X190" s="583">
        <v>0</v>
      </c>
      <c r="Y190" s="583">
        <v>747903</v>
      </c>
      <c r="Z190" s="583">
        <v>1116713</v>
      </c>
      <c r="AA190" s="583">
        <v>3379837</v>
      </c>
      <c r="AB190" s="583">
        <v>31195</v>
      </c>
      <c r="AC190" s="583">
        <v>-1116713</v>
      </c>
      <c r="AD190" s="583">
        <v>0</v>
      </c>
      <c r="AE190" s="583">
        <v>2294319</v>
      </c>
      <c r="AF190" s="583">
        <v>0</v>
      </c>
      <c r="AG190" s="583">
        <v>669459</v>
      </c>
      <c r="AH190" s="583">
        <v>22108</v>
      </c>
      <c r="AI190" s="583">
        <v>78444</v>
      </c>
      <c r="AJ190" s="583">
        <v>0</v>
      </c>
      <c r="AK190" s="583">
        <v>770011</v>
      </c>
      <c r="AL190" s="583">
        <v>78444</v>
      </c>
      <c r="AM190" s="583">
        <v>1330766</v>
      </c>
      <c r="AN190" s="583">
        <v>129193</v>
      </c>
      <c r="AO190" s="583">
        <v>-78444</v>
      </c>
      <c r="AP190" s="583">
        <v>0</v>
      </c>
      <c r="AQ190" s="583">
        <v>1381515</v>
      </c>
      <c r="AR190" s="583">
        <v>0</v>
      </c>
      <c r="AS190" s="583">
        <v>439572</v>
      </c>
      <c r="AT190" s="583">
        <v>0</v>
      </c>
      <c r="AU190" s="583">
        <v>308331</v>
      </c>
      <c r="AV190" s="583">
        <v>0</v>
      </c>
      <c r="AW190" s="583">
        <v>747903</v>
      </c>
      <c r="AX190" s="583">
        <v>308331</v>
      </c>
      <c r="AY190" s="583">
        <v>850954</v>
      </c>
      <c r="AZ190" s="583">
        <v>31672</v>
      </c>
      <c r="BA190" s="583">
        <v>0</v>
      </c>
      <c r="BB190" s="583">
        <v>0</v>
      </c>
      <c r="BC190" s="583">
        <v>882626</v>
      </c>
      <c r="BD190" s="583">
        <v>308331</v>
      </c>
      <c r="BE190" s="583">
        <v>1795476</v>
      </c>
      <c r="BF190" s="583">
        <v>0</v>
      </c>
      <c r="BG190" s="583">
        <v>-308331</v>
      </c>
      <c r="BH190" s="583">
        <v>0</v>
      </c>
      <c r="BI190" s="583">
        <v>1487145</v>
      </c>
      <c r="BJ190" s="583">
        <v>0</v>
      </c>
      <c r="BK190" s="583">
        <v>666378</v>
      </c>
      <c r="BL190" s="583">
        <v>0</v>
      </c>
      <c r="BM190" s="583">
        <v>81525</v>
      </c>
      <c r="BN190" s="583">
        <v>0</v>
      </c>
      <c r="BO190" s="583">
        <v>747903</v>
      </c>
      <c r="BP190" s="583">
        <v>81525</v>
      </c>
      <c r="BQ190" s="583">
        <v>1276964</v>
      </c>
      <c r="BR190" s="583">
        <v>208158</v>
      </c>
      <c r="BS190" s="583">
        <v>-81525</v>
      </c>
      <c r="BT190" s="583">
        <v>0</v>
      </c>
      <c r="BU190" s="583">
        <v>1403597</v>
      </c>
      <c r="BV190" s="583">
        <v>0</v>
      </c>
    </row>
    <row r="191" spans="1:74" x14ac:dyDescent="0.2">
      <c r="A191" s="580">
        <v>9113</v>
      </c>
      <c r="B191" s="580" t="s">
        <v>219</v>
      </c>
      <c r="C191" s="583">
        <v>105969</v>
      </c>
      <c r="D191" s="583">
        <v>0</v>
      </c>
      <c r="E191" s="583">
        <v>57671</v>
      </c>
      <c r="F191" s="583">
        <v>0</v>
      </c>
      <c r="G191" s="583">
        <v>163640</v>
      </c>
      <c r="H191" s="583">
        <v>57671</v>
      </c>
      <c r="I191" s="583">
        <v>56351</v>
      </c>
      <c r="J191" s="583">
        <v>0</v>
      </c>
      <c r="K191" s="583">
        <v>107289</v>
      </c>
      <c r="L191" s="583">
        <v>0</v>
      </c>
      <c r="M191" s="583">
        <v>163640</v>
      </c>
      <c r="N191" s="583">
        <v>164960</v>
      </c>
      <c r="O191" s="583">
        <v>160755</v>
      </c>
      <c r="P191" s="583">
        <v>0</v>
      </c>
      <c r="Q191" s="583">
        <v>0</v>
      </c>
      <c r="R191" s="583">
        <v>0</v>
      </c>
      <c r="S191" s="583">
        <v>160755</v>
      </c>
      <c r="T191" s="583">
        <v>164960</v>
      </c>
      <c r="U191" s="583">
        <v>85359</v>
      </c>
      <c r="V191" s="583">
        <v>0</v>
      </c>
      <c r="W191" s="583">
        <v>78281</v>
      </c>
      <c r="X191" s="583">
        <v>0</v>
      </c>
      <c r="Y191" s="583">
        <v>163640</v>
      </c>
      <c r="Z191" s="583">
        <v>243241</v>
      </c>
      <c r="AA191" s="583">
        <v>742779</v>
      </c>
      <c r="AB191" s="583">
        <v>6856</v>
      </c>
      <c r="AC191" s="583">
        <v>-243241</v>
      </c>
      <c r="AD191" s="583">
        <v>0</v>
      </c>
      <c r="AE191" s="583">
        <v>506394</v>
      </c>
      <c r="AF191" s="583">
        <v>0</v>
      </c>
      <c r="AG191" s="583">
        <v>147126</v>
      </c>
      <c r="AH191" s="583">
        <v>4859</v>
      </c>
      <c r="AI191" s="583">
        <v>16514</v>
      </c>
      <c r="AJ191" s="583">
        <v>0</v>
      </c>
      <c r="AK191" s="583">
        <v>168499</v>
      </c>
      <c r="AL191" s="583">
        <v>16514</v>
      </c>
      <c r="AM191" s="583">
        <v>292460</v>
      </c>
      <c r="AN191" s="583">
        <v>28393</v>
      </c>
      <c r="AO191" s="583">
        <v>-16514</v>
      </c>
      <c r="AP191" s="583">
        <v>0</v>
      </c>
      <c r="AQ191" s="583">
        <v>304339</v>
      </c>
      <c r="AR191" s="583">
        <v>0</v>
      </c>
      <c r="AS191" s="583">
        <v>96604</v>
      </c>
      <c r="AT191" s="583">
        <v>0</v>
      </c>
      <c r="AU191" s="583">
        <v>67036</v>
      </c>
      <c r="AV191" s="583">
        <v>0</v>
      </c>
      <c r="AW191" s="583">
        <v>163640</v>
      </c>
      <c r="AX191" s="583">
        <v>67036</v>
      </c>
      <c r="AY191" s="583">
        <v>187012</v>
      </c>
      <c r="AZ191" s="583">
        <v>6960</v>
      </c>
      <c r="BA191" s="583">
        <v>0</v>
      </c>
      <c r="BB191" s="583">
        <v>0</v>
      </c>
      <c r="BC191" s="583">
        <v>193972</v>
      </c>
      <c r="BD191" s="583">
        <v>67036</v>
      </c>
      <c r="BE191" s="583">
        <v>394588</v>
      </c>
      <c r="BF191" s="583">
        <v>0</v>
      </c>
      <c r="BG191" s="583">
        <v>-67036</v>
      </c>
      <c r="BH191" s="583">
        <v>0</v>
      </c>
      <c r="BI191" s="583">
        <v>327552</v>
      </c>
      <c r="BJ191" s="583">
        <v>0</v>
      </c>
      <c r="BK191" s="583">
        <v>146448</v>
      </c>
      <c r="BL191" s="583">
        <v>0</v>
      </c>
      <c r="BM191" s="583">
        <v>17192</v>
      </c>
      <c r="BN191" s="583">
        <v>0</v>
      </c>
      <c r="BO191" s="583">
        <v>163640</v>
      </c>
      <c r="BP191" s="583">
        <v>17192</v>
      </c>
      <c r="BQ191" s="583">
        <v>280636</v>
      </c>
      <c r="BR191" s="583">
        <v>45746</v>
      </c>
      <c r="BS191" s="583">
        <v>-17192</v>
      </c>
      <c r="BT191" s="583">
        <v>0</v>
      </c>
      <c r="BU191" s="583">
        <v>309190</v>
      </c>
      <c r="BV191" s="583">
        <v>0</v>
      </c>
    </row>
    <row r="192" spans="1:74" x14ac:dyDescent="0.2">
      <c r="A192" s="580">
        <v>9114</v>
      </c>
      <c r="B192" s="580" t="s">
        <v>407</v>
      </c>
      <c r="C192" s="583">
        <v>235974</v>
      </c>
      <c r="D192" s="583">
        <v>0</v>
      </c>
      <c r="E192" s="583">
        <v>133092</v>
      </c>
      <c r="F192" s="583">
        <v>0</v>
      </c>
      <c r="G192" s="583">
        <v>369066</v>
      </c>
      <c r="H192" s="583">
        <v>133092</v>
      </c>
      <c r="I192" s="583">
        <v>125483</v>
      </c>
      <c r="J192" s="583">
        <v>0</v>
      </c>
      <c r="K192" s="583">
        <v>243583</v>
      </c>
      <c r="L192" s="583">
        <v>0</v>
      </c>
      <c r="M192" s="583">
        <v>369066</v>
      </c>
      <c r="N192" s="583">
        <v>376675</v>
      </c>
      <c r="O192" s="583">
        <v>357975</v>
      </c>
      <c r="P192" s="583">
        <v>0</v>
      </c>
      <c r="Q192" s="583">
        <v>0</v>
      </c>
      <c r="R192" s="583">
        <v>0</v>
      </c>
      <c r="S192" s="583">
        <v>357975</v>
      </c>
      <c r="T192" s="583">
        <v>376675</v>
      </c>
      <c r="U192" s="583">
        <v>190079</v>
      </c>
      <c r="V192" s="583">
        <v>0</v>
      </c>
      <c r="W192" s="583">
        <v>178987</v>
      </c>
      <c r="X192" s="583">
        <v>0</v>
      </c>
      <c r="Y192" s="583">
        <v>369066</v>
      </c>
      <c r="Z192" s="583">
        <v>555662</v>
      </c>
      <c r="AA192" s="583">
        <v>1654044</v>
      </c>
      <c r="AB192" s="583">
        <v>15266</v>
      </c>
      <c r="AC192" s="583">
        <v>-555662</v>
      </c>
      <c r="AD192" s="583">
        <v>0</v>
      </c>
      <c r="AE192" s="583">
        <v>1113648</v>
      </c>
      <c r="AF192" s="583">
        <v>0</v>
      </c>
      <c r="AG192" s="583">
        <v>327624</v>
      </c>
      <c r="AH192" s="583">
        <v>10819</v>
      </c>
      <c r="AI192" s="583">
        <v>41442</v>
      </c>
      <c r="AJ192" s="583">
        <v>0</v>
      </c>
      <c r="AK192" s="583">
        <v>379885</v>
      </c>
      <c r="AL192" s="583">
        <v>41442</v>
      </c>
      <c r="AM192" s="583">
        <v>651258</v>
      </c>
      <c r="AN192" s="583">
        <v>63225</v>
      </c>
      <c r="AO192" s="583">
        <v>-41442</v>
      </c>
      <c r="AP192" s="583">
        <v>0</v>
      </c>
      <c r="AQ192" s="583">
        <v>673041</v>
      </c>
      <c r="AR192" s="583">
        <v>0</v>
      </c>
      <c r="AS192" s="583">
        <v>215120</v>
      </c>
      <c r="AT192" s="583">
        <v>0</v>
      </c>
      <c r="AU192" s="583">
        <v>153946</v>
      </c>
      <c r="AV192" s="583">
        <v>0</v>
      </c>
      <c r="AW192" s="583">
        <v>369066</v>
      </c>
      <c r="AX192" s="583">
        <v>153946</v>
      </c>
      <c r="AY192" s="583">
        <v>416445</v>
      </c>
      <c r="AZ192" s="583">
        <v>15500</v>
      </c>
      <c r="BA192" s="583">
        <v>0</v>
      </c>
      <c r="BB192" s="583">
        <v>0</v>
      </c>
      <c r="BC192" s="583">
        <v>431945</v>
      </c>
      <c r="BD192" s="583">
        <v>153946</v>
      </c>
      <c r="BE192" s="583">
        <v>878680</v>
      </c>
      <c r="BF192" s="583">
        <v>0</v>
      </c>
      <c r="BG192" s="583">
        <v>-153946</v>
      </c>
      <c r="BH192" s="583">
        <v>0</v>
      </c>
      <c r="BI192" s="583">
        <v>724734</v>
      </c>
      <c r="BJ192" s="583">
        <v>0</v>
      </c>
      <c r="BK192" s="583">
        <v>326116</v>
      </c>
      <c r="BL192" s="583">
        <v>0</v>
      </c>
      <c r="BM192" s="583">
        <v>42950</v>
      </c>
      <c r="BN192" s="583">
        <v>0</v>
      </c>
      <c r="BO192" s="583">
        <v>369066</v>
      </c>
      <c r="BP192" s="583">
        <v>42950</v>
      </c>
      <c r="BQ192" s="583">
        <v>624928</v>
      </c>
      <c r="BR192" s="583">
        <v>101870</v>
      </c>
      <c r="BS192" s="583">
        <v>-42950</v>
      </c>
      <c r="BT192" s="583">
        <v>0</v>
      </c>
      <c r="BU192" s="583">
        <v>683848</v>
      </c>
      <c r="BV192" s="583">
        <v>0</v>
      </c>
    </row>
    <row r="193" spans="1:74" x14ac:dyDescent="0.2">
      <c r="A193" s="580">
        <v>9115</v>
      </c>
      <c r="B193" s="580" t="s">
        <v>408</v>
      </c>
      <c r="C193" s="583">
        <v>95453</v>
      </c>
      <c r="D193" s="583">
        <v>0</v>
      </c>
      <c r="E193" s="583">
        <v>56745</v>
      </c>
      <c r="F193" s="583">
        <v>0</v>
      </c>
      <c r="G193" s="583">
        <v>152198</v>
      </c>
      <c r="H193" s="583">
        <v>56745</v>
      </c>
      <c r="I193" s="583">
        <v>50759</v>
      </c>
      <c r="J193" s="583">
        <v>0</v>
      </c>
      <c r="K193" s="583">
        <v>101439</v>
      </c>
      <c r="L193" s="583">
        <v>0</v>
      </c>
      <c r="M193" s="583">
        <v>152198</v>
      </c>
      <c r="N193" s="583">
        <v>158184</v>
      </c>
      <c r="O193" s="583">
        <v>144803</v>
      </c>
      <c r="P193" s="583">
        <v>0</v>
      </c>
      <c r="Q193" s="583">
        <v>0</v>
      </c>
      <c r="R193" s="583">
        <v>0</v>
      </c>
      <c r="S193" s="583">
        <v>144803</v>
      </c>
      <c r="T193" s="583">
        <v>158184</v>
      </c>
      <c r="U193" s="583">
        <v>76888</v>
      </c>
      <c r="V193" s="583">
        <v>0</v>
      </c>
      <c r="W193" s="583">
        <v>75310</v>
      </c>
      <c r="X193" s="583">
        <v>0</v>
      </c>
      <c r="Y193" s="583">
        <v>152198</v>
      </c>
      <c r="Z193" s="583">
        <v>233494</v>
      </c>
      <c r="AA193" s="583">
        <v>669071</v>
      </c>
      <c r="AB193" s="583">
        <v>6175</v>
      </c>
      <c r="AC193" s="583">
        <v>-233494</v>
      </c>
      <c r="AD193" s="583">
        <v>0</v>
      </c>
      <c r="AE193" s="583">
        <v>441752</v>
      </c>
      <c r="AF193" s="583">
        <v>0</v>
      </c>
      <c r="AG193" s="583">
        <v>132526</v>
      </c>
      <c r="AH193" s="583">
        <v>4377</v>
      </c>
      <c r="AI193" s="583">
        <v>19672</v>
      </c>
      <c r="AJ193" s="583">
        <v>0</v>
      </c>
      <c r="AK193" s="583">
        <v>156575</v>
      </c>
      <c r="AL193" s="583">
        <v>19672</v>
      </c>
      <c r="AM193" s="583">
        <v>263438</v>
      </c>
      <c r="AN193" s="583">
        <v>25575</v>
      </c>
      <c r="AO193" s="583">
        <v>-19672</v>
      </c>
      <c r="AP193" s="583">
        <v>0</v>
      </c>
      <c r="AQ193" s="583">
        <v>269341</v>
      </c>
      <c r="AR193" s="583">
        <v>0</v>
      </c>
      <c r="AS193" s="583">
        <v>87018</v>
      </c>
      <c r="AT193" s="583">
        <v>0</v>
      </c>
      <c r="AU193" s="583">
        <v>65180</v>
      </c>
      <c r="AV193" s="583">
        <v>0</v>
      </c>
      <c r="AW193" s="583">
        <v>152198</v>
      </c>
      <c r="AX193" s="583">
        <v>65180</v>
      </c>
      <c r="AY193" s="583">
        <v>168454</v>
      </c>
      <c r="AZ193" s="583">
        <v>6270</v>
      </c>
      <c r="BA193" s="583">
        <v>0</v>
      </c>
      <c r="BB193" s="583">
        <v>0</v>
      </c>
      <c r="BC193" s="583">
        <v>174724</v>
      </c>
      <c r="BD193" s="583">
        <v>65180</v>
      </c>
      <c r="BE193" s="583">
        <v>355431</v>
      </c>
      <c r="BF193" s="583">
        <v>0</v>
      </c>
      <c r="BG193" s="583">
        <v>-65180</v>
      </c>
      <c r="BH193" s="583">
        <v>0</v>
      </c>
      <c r="BI193" s="583">
        <v>290251</v>
      </c>
      <c r="BJ193" s="583">
        <v>0</v>
      </c>
      <c r="BK193" s="583">
        <v>131916</v>
      </c>
      <c r="BL193" s="583">
        <v>0</v>
      </c>
      <c r="BM193" s="583">
        <v>20282</v>
      </c>
      <c r="BN193" s="583">
        <v>0</v>
      </c>
      <c r="BO193" s="583">
        <v>152198</v>
      </c>
      <c r="BP193" s="583">
        <v>20282</v>
      </c>
      <c r="BQ193" s="583">
        <v>252787</v>
      </c>
      <c r="BR193" s="583">
        <v>41207</v>
      </c>
      <c r="BS193" s="583">
        <v>-20282</v>
      </c>
      <c r="BT193" s="583">
        <v>0</v>
      </c>
      <c r="BU193" s="583">
        <v>273712</v>
      </c>
      <c r="BV193" s="583">
        <v>0</v>
      </c>
    </row>
    <row r="194" spans="1:74" x14ac:dyDescent="0.2">
      <c r="A194" s="580">
        <v>9116</v>
      </c>
      <c r="B194" s="580" t="s">
        <v>223</v>
      </c>
      <c r="C194" s="583">
        <v>199406</v>
      </c>
      <c r="D194" s="583">
        <v>0</v>
      </c>
      <c r="E194" s="583">
        <v>99672</v>
      </c>
      <c r="F194" s="583">
        <v>0</v>
      </c>
      <c r="G194" s="583">
        <v>299078</v>
      </c>
      <c r="H194" s="583">
        <v>99672</v>
      </c>
      <c r="I194" s="583">
        <v>106037</v>
      </c>
      <c r="J194" s="583">
        <v>0</v>
      </c>
      <c r="K194" s="583">
        <v>193041</v>
      </c>
      <c r="L194" s="583">
        <v>0</v>
      </c>
      <c r="M194" s="583">
        <v>299078</v>
      </c>
      <c r="N194" s="583">
        <v>292713</v>
      </c>
      <c r="O194" s="583">
        <v>302500</v>
      </c>
      <c r="P194" s="583">
        <v>0</v>
      </c>
      <c r="Q194" s="583">
        <v>0</v>
      </c>
      <c r="R194" s="583">
        <v>0</v>
      </c>
      <c r="S194" s="583">
        <v>302500</v>
      </c>
      <c r="T194" s="583">
        <v>292713</v>
      </c>
      <c r="U194" s="583">
        <v>160623</v>
      </c>
      <c r="V194" s="583">
        <v>0</v>
      </c>
      <c r="W194" s="583">
        <v>138455</v>
      </c>
      <c r="X194" s="583">
        <v>0</v>
      </c>
      <c r="Y194" s="583">
        <v>299078</v>
      </c>
      <c r="Z194" s="583">
        <v>431168</v>
      </c>
      <c r="AA194" s="583">
        <v>1397720</v>
      </c>
      <c r="AB194" s="583">
        <v>12901</v>
      </c>
      <c r="AC194" s="583">
        <v>-431168</v>
      </c>
      <c r="AD194" s="583">
        <v>0</v>
      </c>
      <c r="AE194" s="583">
        <v>979453</v>
      </c>
      <c r="AF194" s="583">
        <v>0</v>
      </c>
      <c r="AG194" s="583">
        <v>276853</v>
      </c>
      <c r="AH194" s="583">
        <v>9143</v>
      </c>
      <c r="AI194" s="583">
        <v>22225</v>
      </c>
      <c r="AJ194" s="583">
        <v>0</v>
      </c>
      <c r="AK194" s="583">
        <v>308221</v>
      </c>
      <c r="AL194" s="583">
        <v>22225</v>
      </c>
      <c r="AM194" s="583">
        <v>550334</v>
      </c>
      <c r="AN194" s="583">
        <v>53427</v>
      </c>
      <c r="AO194" s="583">
        <v>-22225</v>
      </c>
      <c r="AP194" s="583">
        <v>0</v>
      </c>
      <c r="AQ194" s="583">
        <v>581536</v>
      </c>
      <c r="AR194" s="583">
        <v>0</v>
      </c>
      <c r="AS194" s="583">
        <v>181784</v>
      </c>
      <c r="AT194" s="583">
        <v>0</v>
      </c>
      <c r="AU194" s="583">
        <v>117294</v>
      </c>
      <c r="AV194" s="583">
        <v>0</v>
      </c>
      <c r="AW194" s="583">
        <v>299078</v>
      </c>
      <c r="AX194" s="583">
        <v>117294</v>
      </c>
      <c r="AY194" s="583">
        <v>351909</v>
      </c>
      <c r="AZ194" s="583">
        <v>13098</v>
      </c>
      <c r="BA194" s="583">
        <v>0</v>
      </c>
      <c r="BB194" s="583">
        <v>0</v>
      </c>
      <c r="BC194" s="583">
        <v>365007</v>
      </c>
      <c r="BD194" s="583">
        <v>117294</v>
      </c>
      <c r="BE194" s="583">
        <v>742513</v>
      </c>
      <c r="BF194" s="583">
        <v>0</v>
      </c>
      <c r="BG194" s="583">
        <v>-117294</v>
      </c>
      <c r="BH194" s="583">
        <v>0</v>
      </c>
      <c r="BI194" s="583">
        <v>625219</v>
      </c>
      <c r="BJ194" s="583">
        <v>0</v>
      </c>
      <c r="BK194" s="583">
        <v>275578</v>
      </c>
      <c r="BL194" s="583">
        <v>0</v>
      </c>
      <c r="BM194" s="583">
        <v>23500</v>
      </c>
      <c r="BN194" s="583">
        <v>0</v>
      </c>
      <c r="BO194" s="583">
        <v>299078</v>
      </c>
      <c r="BP194" s="583">
        <v>23500</v>
      </c>
      <c r="BQ194" s="583">
        <v>528084</v>
      </c>
      <c r="BR194" s="583">
        <v>86083</v>
      </c>
      <c r="BS194" s="583">
        <v>-23500</v>
      </c>
      <c r="BT194" s="583">
        <v>0</v>
      </c>
      <c r="BU194" s="583">
        <v>590667</v>
      </c>
      <c r="BV194" s="583">
        <v>0</v>
      </c>
    </row>
    <row r="195" spans="1:74" x14ac:dyDescent="0.2">
      <c r="A195" s="580">
        <v>9117</v>
      </c>
      <c r="B195" s="580" t="s">
        <v>229</v>
      </c>
      <c r="C195" s="583">
        <v>195932</v>
      </c>
      <c r="D195" s="583">
        <v>0</v>
      </c>
      <c r="E195" s="583">
        <v>98080</v>
      </c>
      <c r="F195" s="583">
        <v>0</v>
      </c>
      <c r="G195" s="583">
        <v>294012</v>
      </c>
      <c r="H195" s="583">
        <v>98080</v>
      </c>
      <c r="I195" s="583">
        <v>104190</v>
      </c>
      <c r="J195" s="583">
        <v>0</v>
      </c>
      <c r="K195" s="583">
        <v>189822</v>
      </c>
      <c r="L195" s="583">
        <v>0</v>
      </c>
      <c r="M195" s="583">
        <v>294012</v>
      </c>
      <c r="N195" s="583">
        <v>287902</v>
      </c>
      <c r="O195" s="583">
        <v>297231</v>
      </c>
      <c r="P195" s="583">
        <v>0</v>
      </c>
      <c r="Q195" s="583">
        <v>0</v>
      </c>
      <c r="R195" s="583">
        <v>0</v>
      </c>
      <c r="S195" s="583">
        <v>297231</v>
      </c>
      <c r="T195" s="583">
        <v>287902</v>
      </c>
      <c r="U195" s="583">
        <v>157825</v>
      </c>
      <c r="V195" s="583">
        <v>0</v>
      </c>
      <c r="W195" s="583">
        <v>136187</v>
      </c>
      <c r="X195" s="583">
        <v>0</v>
      </c>
      <c r="Y195" s="583">
        <v>294012</v>
      </c>
      <c r="Z195" s="583">
        <v>424089</v>
      </c>
      <c r="AA195" s="583">
        <v>1373371</v>
      </c>
      <c r="AB195" s="583">
        <v>12676</v>
      </c>
      <c r="AC195" s="583">
        <v>-424089</v>
      </c>
      <c r="AD195" s="583">
        <v>0</v>
      </c>
      <c r="AE195" s="583">
        <v>961958</v>
      </c>
      <c r="AF195" s="583">
        <v>0</v>
      </c>
      <c r="AG195" s="583">
        <v>272030</v>
      </c>
      <c r="AH195" s="583">
        <v>8983</v>
      </c>
      <c r="AI195" s="583">
        <v>21982</v>
      </c>
      <c r="AJ195" s="583">
        <v>0</v>
      </c>
      <c r="AK195" s="583">
        <v>302995</v>
      </c>
      <c r="AL195" s="583">
        <v>21982</v>
      </c>
      <c r="AM195" s="583">
        <v>540747</v>
      </c>
      <c r="AN195" s="583">
        <v>52497</v>
      </c>
      <c r="AO195" s="583">
        <v>-21982</v>
      </c>
      <c r="AP195" s="583">
        <v>0</v>
      </c>
      <c r="AQ195" s="583">
        <v>571262</v>
      </c>
      <c r="AR195" s="583">
        <v>0</v>
      </c>
      <c r="AS195" s="583">
        <v>178617</v>
      </c>
      <c r="AT195" s="583">
        <v>0</v>
      </c>
      <c r="AU195" s="583">
        <v>115395</v>
      </c>
      <c r="AV195" s="583">
        <v>0</v>
      </c>
      <c r="AW195" s="583">
        <v>294012</v>
      </c>
      <c r="AX195" s="583">
        <v>115395</v>
      </c>
      <c r="AY195" s="583">
        <v>345779</v>
      </c>
      <c r="AZ195" s="583">
        <v>12870</v>
      </c>
      <c r="BA195" s="583">
        <v>0</v>
      </c>
      <c r="BB195" s="583">
        <v>0</v>
      </c>
      <c r="BC195" s="583">
        <v>358649</v>
      </c>
      <c r="BD195" s="583">
        <v>115395</v>
      </c>
      <c r="BE195" s="583">
        <v>729578</v>
      </c>
      <c r="BF195" s="583">
        <v>0</v>
      </c>
      <c r="BG195" s="583">
        <v>-115395</v>
      </c>
      <c r="BH195" s="583">
        <v>0</v>
      </c>
      <c r="BI195" s="583">
        <v>614183</v>
      </c>
      <c r="BJ195" s="583">
        <v>0</v>
      </c>
      <c r="BK195" s="583">
        <v>270778</v>
      </c>
      <c r="BL195" s="583">
        <v>0</v>
      </c>
      <c r="BM195" s="583">
        <v>23234</v>
      </c>
      <c r="BN195" s="583">
        <v>0</v>
      </c>
      <c r="BO195" s="583">
        <v>294012</v>
      </c>
      <c r="BP195" s="583">
        <v>23234</v>
      </c>
      <c r="BQ195" s="583">
        <v>518885</v>
      </c>
      <c r="BR195" s="583">
        <v>84584</v>
      </c>
      <c r="BS195" s="583">
        <v>-23234</v>
      </c>
      <c r="BT195" s="583">
        <v>0</v>
      </c>
      <c r="BU195" s="583">
        <v>580235</v>
      </c>
      <c r="BV195" s="583">
        <v>0</v>
      </c>
    </row>
    <row r="196" spans="1:74" x14ac:dyDescent="0.2">
      <c r="A196" s="580">
        <v>9118</v>
      </c>
      <c r="B196" s="580" t="s">
        <v>409</v>
      </c>
      <c r="C196" s="583">
        <v>156623</v>
      </c>
      <c r="D196" s="583">
        <v>0</v>
      </c>
      <c r="E196" s="583">
        <v>87816</v>
      </c>
      <c r="F196" s="583">
        <v>0</v>
      </c>
      <c r="G196" s="583">
        <v>244439</v>
      </c>
      <c r="H196" s="583">
        <v>87816</v>
      </c>
      <c r="I196" s="583">
        <v>83287</v>
      </c>
      <c r="J196" s="583">
        <v>0</v>
      </c>
      <c r="K196" s="583">
        <v>161152</v>
      </c>
      <c r="L196" s="583">
        <v>0</v>
      </c>
      <c r="M196" s="583">
        <v>244439</v>
      </c>
      <c r="N196" s="583">
        <v>248968</v>
      </c>
      <c r="O196" s="583">
        <v>237598</v>
      </c>
      <c r="P196" s="583">
        <v>0</v>
      </c>
      <c r="Q196" s="583">
        <v>0</v>
      </c>
      <c r="R196" s="583">
        <v>0</v>
      </c>
      <c r="S196" s="583">
        <v>237598</v>
      </c>
      <c r="T196" s="583">
        <v>248968</v>
      </c>
      <c r="U196" s="583">
        <v>126161</v>
      </c>
      <c r="V196" s="583">
        <v>0</v>
      </c>
      <c r="W196" s="583">
        <v>118278</v>
      </c>
      <c r="X196" s="583">
        <v>0</v>
      </c>
      <c r="Y196" s="583">
        <v>244439</v>
      </c>
      <c r="Z196" s="583">
        <v>367246</v>
      </c>
      <c r="AA196" s="583">
        <v>1097838</v>
      </c>
      <c r="AB196" s="583">
        <v>10133</v>
      </c>
      <c r="AC196" s="583">
        <v>-367246</v>
      </c>
      <c r="AD196" s="583">
        <v>0</v>
      </c>
      <c r="AE196" s="583">
        <v>740725</v>
      </c>
      <c r="AF196" s="583">
        <v>0</v>
      </c>
      <c r="AG196" s="583">
        <v>217454</v>
      </c>
      <c r="AH196" s="583">
        <v>7181</v>
      </c>
      <c r="AI196" s="583">
        <v>26985</v>
      </c>
      <c r="AJ196" s="583">
        <v>0</v>
      </c>
      <c r="AK196" s="583">
        <v>251620</v>
      </c>
      <c r="AL196" s="583">
        <v>26985</v>
      </c>
      <c r="AM196" s="583">
        <v>432259</v>
      </c>
      <c r="AN196" s="583">
        <v>41965</v>
      </c>
      <c r="AO196" s="583">
        <v>-26985</v>
      </c>
      <c r="AP196" s="583">
        <v>0</v>
      </c>
      <c r="AQ196" s="583">
        <v>447239</v>
      </c>
      <c r="AR196" s="583">
        <v>0</v>
      </c>
      <c r="AS196" s="583">
        <v>142782</v>
      </c>
      <c r="AT196" s="583">
        <v>0</v>
      </c>
      <c r="AU196" s="583">
        <v>101657</v>
      </c>
      <c r="AV196" s="583">
        <v>0</v>
      </c>
      <c r="AW196" s="583">
        <v>244439</v>
      </c>
      <c r="AX196" s="583">
        <v>101657</v>
      </c>
      <c r="AY196" s="583">
        <v>276407</v>
      </c>
      <c r="AZ196" s="583">
        <v>10288</v>
      </c>
      <c r="BA196" s="583">
        <v>0</v>
      </c>
      <c r="BB196" s="583">
        <v>0</v>
      </c>
      <c r="BC196" s="583">
        <v>286695</v>
      </c>
      <c r="BD196" s="583">
        <v>101657</v>
      </c>
      <c r="BE196" s="583">
        <v>583206</v>
      </c>
      <c r="BF196" s="583">
        <v>0</v>
      </c>
      <c r="BG196" s="583">
        <v>-101657</v>
      </c>
      <c r="BH196" s="583">
        <v>0</v>
      </c>
      <c r="BI196" s="583">
        <v>481549</v>
      </c>
      <c r="BJ196" s="583">
        <v>0</v>
      </c>
      <c r="BK196" s="583">
        <v>216453</v>
      </c>
      <c r="BL196" s="583">
        <v>0</v>
      </c>
      <c r="BM196" s="583">
        <v>27986</v>
      </c>
      <c r="BN196" s="583">
        <v>0</v>
      </c>
      <c r="BO196" s="583">
        <v>244439</v>
      </c>
      <c r="BP196" s="583">
        <v>27986</v>
      </c>
      <c r="BQ196" s="583">
        <v>414783</v>
      </c>
      <c r="BR196" s="583">
        <v>67614</v>
      </c>
      <c r="BS196" s="583">
        <v>-27986</v>
      </c>
      <c r="BT196" s="583">
        <v>0</v>
      </c>
      <c r="BU196" s="583">
        <v>454411</v>
      </c>
      <c r="BV196" s="583">
        <v>0</v>
      </c>
    </row>
    <row r="197" spans="1:74" x14ac:dyDescent="0.2">
      <c r="A197" s="580">
        <v>9119</v>
      </c>
      <c r="B197" s="580" t="s">
        <v>410</v>
      </c>
      <c r="C197" s="583">
        <v>256129</v>
      </c>
      <c r="D197" s="583">
        <v>0</v>
      </c>
      <c r="E197" s="583">
        <v>126190</v>
      </c>
      <c r="F197" s="583">
        <v>0</v>
      </c>
      <c r="G197" s="583">
        <v>382319</v>
      </c>
      <c r="H197" s="583">
        <v>126190</v>
      </c>
      <c r="I197" s="583">
        <v>136201</v>
      </c>
      <c r="J197" s="583">
        <v>0</v>
      </c>
      <c r="K197" s="583">
        <v>246118</v>
      </c>
      <c r="L197" s="583">
        <v>0</v>
      </c>
      <c r="M197" s="583">
        <v>382319</v>
      </c>
      <c r="N197" s="583">
        <v>372308</v>
      </c>
      <c r="O197" s="583">
        <v>388551</v>
      </c>
      <c r="P197" s="583">
        <v>0</v>
      </c>
      <c r="Q197" s="583">
        <v>0</v>
      </c>
      <c r="R197" s="583">
        <v>0</v>
      </c>
      <c r="S197" s="583">
        <v>388551</v>
      </c>
      <c r="T197" s="583">
        <v>372308</v>
      </c>
      <c r="U197" s="583">
        <v>206314</v>
      </c>
      <c r="V197" s="583">
        <v>0</v>
      </c>
      <c r="W197" s="583">
        <v>176005</v>
      </c>
      <c r="X197" s="583">
        <v>0</v>
      </c>
      <c r="Y197" s="583">
        <v>382319</v>
      </c>
      <c r="Z197" s="583">
        <v>548313</v>
      </c>
      <c r="AA197" s="583">
        <v>1795321</v>
      </c>
      <c r="AB197" s="583">
        <v>16570</v>
      </c>
      <c r="AC197" s="583">
        <v>-548313</v>
      </c>
      <c r="AD197" s="583">
        <v>0</v>
      </c>
      <c r="AE197" s="583">
        <v>1263578</v>
      </c>
      <c r="AF197" s="583">
        <v>0</v>
      </c>
      <c r="AG197" s="583">
        <v>355607</v>
      </c>
      <c r="AH197" s="583">
        <v>11744</v>
      </c>
      <c r="AI197" s="583">
        <v>26712</v>
      </c>
      <c r="AJ197" s="583">
        <v>0</v>
      </c>
      <c r="AK197" s="583">
        <v>394063</v>
      </c>
      <c r="AL197" s="583">
        <v>26712</v>
      </c>
      <c r="AM197" s="583">
        <v>706884</v>
      </c>
      <c r="AN197" s="583">
        <v>68626</v>
      </c>
      <c r="AO197" s="583">
        <v>-26712</v>
      </c>
      <c r="AP197" s="583">
        <v>0</v>
      </c>
      <c r="AQ197" s="583">
        <v>748798</v>
      </c>
      <c r="AR197" s="583">
        <v>0</v>
      </c>
      <c r="AS197" s="583">
        <v>233495</v>
      </c>
      <c r="AT197" s="583">
        <v>0</v>
      </c>
      <c r="AU197" s="583">
        <v>148824</v>
      </c>
      <c r="AV197" s="583">
        <v>0</v>
      </c>
      <c r="AW197" s="583">
        <v>382319</v>
      </c>
      <c r="AX197" s="583">
        <v>148824</v>
      </c>
      <c r="AY197" s="583">
        <v>452014</v>
      </c>
      <c r="AZ197" s="583">
        <v>16824</v>
      </c>
      <c r="BA197" s="583">
        <v>0</v>
      </c>
      <c r="BB197" s="583">
        <v>0</v>
      </c>
      <c r="BC197" s="583">
        <v>468838</v>
      </c>
      <c r="BD197" s="583">
        <v>148824</v>
      </c>
      <c r="BE197" s="583">
        <v>953731</v>
      </c>
      <c r="BF197" s="583">
        <v>0</v>
      </c>
      <c r="BG197" s="583">
        <v>-148824</v>
      </c>
      <c r="BH197" s="583">
        <v>0</v>
      </c>
      <c r="BI197" s="583">
        <v>804907</v>
      </c>
      <c r="BJ197" s="583">
        <v>0</v>
      </c>
      <c r="BK197" s="583">
        <v>353970</v>
      </c>
      <c r="BL197" s="583">
        <v>0</v>
      </c>
      <c r="BM197" s="583">
        <v>28349</v>
      </c>
      <c r="BN197" s="583">
        <v>0</v>
      </c>
      <c r="BO197" s="583">
        <v>382319</v>
      </c>
      <c r="BP197" s="583">
        <v>28349</v>
      </c>
      <c r="BQ197" s="583">
        <v>678305</v>
      </c>
      <c r="BR197" s="583">
        <v>110571</v>
      </c>
      <c r="BS197" s="583">
        <v>-28349</v>
      </c>
      <c r="BT197" s="583">
        <v>0</v>
      </c>
      <c r="BU197" s="583">
        <v>760527</v>
      </c>
      <c r="BV197" s="583">
        <v>0</v>
      </c>
    </row>
    <row r="198" spans="1:74" x14ac:dyDescent="0.2">
      <c r="A198" s="580">
        <v>9120</v>
      </c>
      <c r="B198" s="580" t="s">
        <v>226</v>
      </c>
      <c r="C198" s="583">
        <v>181762</v>
      </c>
      <c r="D198" s="583">
        <v>0</v>
      </c>
      <c r="E198" s="583">
        <v>121786</v>
      </c>
      <c r="F198" s="583">
        <v>0</v>
      </c>
      <c r="G198" s="583">
        <v>303548</v>
      </c>
      <c r="H198" s="583">
        <v>121786</v>
      </c>
      <c r="I198" s="583">
        <v>96655</v>
      </c>
      <c r="J198" s="583">
        <v>0</v>
      </c>
      <c r="K198" s="583">
        <v>206893</v>
      </c>
      <c r="L198" s="583">
        <v>0</v>
      </c>
      <c r="M198" s="583">
        <v>303548</v>
      </c>
      <c r="N198" s="583">
        <v>328679</v>
      </c>
      <c r="O198" s="583">
        <v>275734</v>
      </c>
      <c r="P198" s="583">
        <v>0</v>
      </c>
      <c r="Q198" s="583">
        <v>0</v>
      </c>
      <c r="R198" s="583">
        <v>0</v>
      </c>
      <c r="S198" s="583">
        <v>275734</v>
      </c>
      <c r="T198" s="583">
        <v>328679</v>
      </c>
      <c r="U198" s="583">
        <v>146411</v>
      </c>
      <c r="V198" s="583">
        <v>0</v>
      </c>
      <c r="W198" s="583">
        <v>157137</v>
      </c>
      <c r="X198" s="583">
        <v>0</v>
      </c>
      <c r="Y198" s="583">
        <v>303548</v>
      </c>
      <c r="Z198" s="583">
        <v>485816</v>
      </c>
      <c r="AA198" s="583">
        <v>1274047</v>
      </c>
      <c r="AB198" s="583">
        <v>11759</v>
      </c>
      <c r="AC198" s="583">
        <v>-485816</v>
      </c>
      <c r="AD198" s="583">
        <v>0</v>
      </c>
      <c r="AE198" s="583">
        <v>799990</v>
      </c>
      <c r="AF198" s="583">
        <v>0</v>
      </c>
      <c r="AG198" s="583">
        <v>252356</v>
      </c>
      <c r="AH198" s="583">
        <v>8334</v>
      </c>
      <c r="AI198" s="583">
        <v>51192</v>
      </c>
      <c r="AJ198" s="583">
        <v>0</v>
      </c>
      <c r="AK198" s="583">
        <v>311882</v>
      </c>
      <c r="AL198" s="583">
        <v>51192</v>
      </c>
      <c r="AM198" s="583">
        <v>501639</v>
      </c>
      <c r="AN198" s="583">
        <v>48700</v>
      </c>
      <c r="AO198" s="583">
        <v>-40554</v>
      </c>
      <c r="AP198" s="583">
        <v>0</v>
      </c>
      <c r="AQ198" s="583">
        <v>509785</v>
      </c>
      <c r="AR198" s="583">
        <v>10638</v>
      </c>
      <c r="AS198" s="583">
        <v>165699</v>
      </c>
      <c r="AT198" s="583">
        <v>0</v>
      </c>
      <c r="AU198" s="583">
        <v>137849</v>
      </c>
      <c r="AV198" s="583">
        <v>0</v>
      </c>
      <c r="AW198" s="583">
        <v>303548</v>
      </c>
      <c r="AX198" s="583">
        <v>148487</v>
      </c>
      <c r="AY198" s="583">
        <v>320771</v>
      </c>
      <c r="AZ198" s="583">
        <v>11939</v>
      </c>
      <c r="BA198" s="583">
        <v>0</v>
      </c>
      <c r="BB198" s="583">
        <v>0</v>
      </c>
      <c r="BC198" s="583">
        <v>332710</v>
      </c>
      <c r="BD198" s="583">
        <v>148487</v>
      </c>
      <c r="BE198" s="583">
        <v>676814</v>
      </c>
      <c r="BF198" s="583">
        <v>0</v>
      </c>
      <c r="BG198" s="583">
        <v>-148487</v>
      </c>
      <c r="BH198" s="583">
        <v>0</v>
      </c>
      <c r="BI198" s="583">
        <v>528327</v>
      </c>
      <c r="BJ198" s="583">
        <v>0</v>
      </c>
      <c r="BK198" s="583">
        <v>251195</v>
      </c>
      <c r="BL198" s="583">
        <v>0</v>
      </c>
      <c r="BM198" s="583">
        <v>52353</v>
      </c>
      <c r="BN198" s="583">
        <v>0</v>
      </c>
      <c r="BO198" s="583">
        <v>303548</v>
      </c>
      <c r="BP198" s="583">
        <v>52353</v>
      </c>
      <c r="BQ198" s="583">
        <v>481358</v>
      </c>
      <c r="BR198" s="583">
        <v>78466</v>
      </c>
      <c r="BS198" s="583">
        <v>-52353</v>
      </c>
      <c r="BT198" s="583">
        <v>0</v>
      </c>
      <c r="BU198" s="583">
        <v>507471</v>
      </c>
      <c r="BV198" s="583">
        <v>0</v>
      </c>
    </row>
    <row r="199" spans="1:74" x14ac:dyDescent="0.2">
      <c r="A199" s="580">
        <v>9121</v>
      </c>
      <c r="B199" s="580" t="s">
        <v>231</v>
      </c>
      <c r="C199" s="583">
        <v>148700</v>
      </c>
      <c r="D199" s="583">
        <v>0</v>
      </c>
      <c r="E199" s="583">
        <v>81759</v>
      </c>
      <c r="F199" s="583">
        <v>0</v>
      </c>
      <c r="G199" s="583">
        <v>230459</v>
      </c>
      <c r="H199" s="583">
        <v>81759</v>
      </c>
      <c r="I199" s="583">
        <v>79074</v>
      </c>
      <c r="J199" s="583">
        <v>0</v>
      </c>
      <c r="K199" s="583">
        <v>151385</v>
      </c>
      <c r="L199" s="583">
        <v>0</v>
      </c>
      <c r="M199" s="583">
        <v>230459</v>
      </c>
      <c r="N199" s="583">
        <v>233144</v>
      </c>
      <c r="O199" s="583">
        <v>225579</v>
      </c>
      <c r="P199" s="583">
        <v>0</v>
      </c>
      <c r="Q199" s="583">
        <v>0</v>
      </c>
      <c r="R199" s="583">
        <v>0</v>
      </c>
      <c r="S199" s="583">
        <v>225579</v>
      </c>
      <c r="T199" s="583">
        <v>233144</v>
      </c>
      <c r="U199" s="583">
        <v>119779</v>
      </c>
      <c r="V199" s="583">
        <v>0</v>
      </c>
      <c r="W199" s="583">
        <v>110680</v>
      </c>
      <c r="X199" s="583">
        <v>0</v>
      </c>
      <c r="Y199" s="583">
        <v>230459</v>
      </c>
      <c r="Z199" s="583">
        <v>343824</v>
      </c>
      <c r="AA199" s="583">
        <v>1042301</v>
      </c>
      <c r="AB199" s="583">
        <v>9620</v>
      </c>
      <c r="AC199" s="583">
        <v>-343824</v>
      </c>
      <c r="AD199" s="583">
        <v>0</v>
      </c>
      <c r="AE199" s="583">
        <v>708097</v>
      </c>
      <c r="AF199" s="583">
        <v>0</v>
      </c>
      <c r="AG199" s="583">
        <v>206453</v>
      </c>
      <c r="AH199" s="583">
        <v>6818</v>
      </c>
      <c r="AI199" s="583">
        <v>24006</v>
      </c>
      <c r="AJ199" s="583">
        <v>0</v>
      </c>
      <c r="AK199" s="583">
        <v>237277</v>
      </c>
      <c r="AL199" s="583">
        <v>24006</v>
      </c>
      <c r="AM199" s="583">
        <v>410392</v>
      </c>
      <c r="AN199" s="583">
        <v>39842</v>
      </c>
      <c r="AO199" s="583">
        <v>-24006</v>
      </c>
      <c r="AP199" s="583">
        <v>0</v>
      </c>
      <c r="AQ199" s="583">
        <v>426228</v>
      </c>
      <c r="AR199" s="583">
        <v>0</v>
      </c>
      <c r="AS199" s="583">
        <v>135559</v>
      </c>
      <c r="AT199" s="583">
        <v>0</v>
      </c>
      <c r="AU199" s="583">
        <v>94900</v>
      </c>
      <c r="AV199" s="583">
        <v>0</v>
      </c>
      <c r="AW199" s="583">
        <v>230459</v>
      </c>
      <c r="AX199" s="583">
        <v>94900</v>
      </c>
      <c r="AY199" s="583">
        <v>262424</v>
      </c>
      <c r="AZ199" s="583">
        <v>9767</v>
      </c>
      <c r="BA199" s="583">
        <v>0</v>
      </c>
      <c r="BB199" s="583">
        <v>0</v>
      </c>
      <c r="BC199" s="583">
        <v>272191</v>
      </c>
      <c r="BD199" s="583">
        <v>94900</v>
      </c>
      <c r="BE199" s="583">
        <v>553703</v>
      </c>
      <c r="BF199" s="583">
        <v>0</v>
      </c>
      <c r="BG199" s="583">
        <v>-94900</v>
      </c>
      <c r="BH199" s="583">
        <v>0</v>
      </c>
      <c r="BI199" s="583">
        <v>458803</v>
      </c>
      <c r="BJ199" s="583">
        <v>0</v>
      </c>
      <c r="BK199" s="583">
        <v>205503</v>
      </c>
      <c r="BL199" s="583">
        <v>0</v>
      </c>
      <c r="BM199" s="583">
        <v>24956</v>
      </c>
      <c r="BN199" s="583">
        <v>0</v>
      </c>
      <c r="BO199" s="583">
        <v>230459</v>
      </c>
      <c r="BP199" s="583">
        <v>24956</v>
      </c>
      <c r="BQ199" s="583">
        <v>393800</v>
      </c>
      <c r="BR199" s="583">
        <v>64194</v>
      </c>
      <c r="BS199" s="583">
        <v>-24956</v>
      </c>
      <c r="BT199" s="583">
        <v>0</v>
      </c>
      <c r="BU199" s="583">
        <v>433038</v>
      </c>
      <c r="BV199" s="583">
        <v>0</v>
      </c>
    </row>
    <row r="200" spans="1:74" x14ac:dyDescent="0.2">
      <c r="A200" s="580">
        <v>9201</v>
      </c>
      <c r="B200" s="580" t="s">
        <v>207</v>
      </c>
      <c r="C200" s="583">
        <v>376155</v>
      </c>
      <c r="D200" s="583">
        <v>0</v>
      </c>
      <c r="E200" s="583">
        <v>230798</v>
      </c>
      <c r="F200" s="583">
        <v>0</v>
      </c>
      <c r="G200" s="583">
        <v>606953</v>
      </c>
      <c r="H200" s="583">
        <v>230798</v>
      </c>
      <c r="I200" s="583">
        <v>200026</v>
      </c>
      <c r="J200" s="583">
        <v>0</v>
      </c>
      <c r="K200" s="583">
        <v>406927</v>
      </c>
      <c r="L200" s="583">
        <v>0</v>
      </c>
      <c r="M200" s="583">
        <v>606953</v>
      </c>
      <c r="N200" s="583">
        <v>637725</v>
      </c>
      <c r="O200" s="583">
        <v>570631</v>
      </c>
      <c r="P200" s="583">
        <v>0</v>
      </c>
      <c r="Q200" s="583">
        <v>0</v>
      </c>
      <c r="R200" s="583">
        <v>0</v>
      </c>
      <c r="S200" s="583">
        <v>570631</v>
      </c>
      <c r="T200" s="583">
        <v>637725</v>
      </c>
      <c r="U200" s="583">
        <v>302996</v>
      </c>
      <c r="V200" s="583">
        <v>0</v>
      </c>
      <c r="W200" s="583">
        <v>303957</v>
      </c>
      <c r="X200" s="583">
        <v>0</v>
      </c>
      <c r="Y200" s="583">
        <v>606953</v>
      </c>
      <c r="Z200" s="583">
        <v>941682</v>
      </c>
      <c r="AA200" s="583">
        <v>2636631</v>
      </c>
      <c r="AB200" s="583">
        <v>24335</v>
      </c>
      <c r="AC200" s="583">
        <v>-941682</v>
      </c>
      <c r="AD200" s="583">
        <v>0</v>
      </c>
      <c r="AE200" s="583">
        <v>1719284</v>
      </c>
      <c r="AF200" s="583">
        <v>0</v>
      </c>
      <c r="AG200" s="583">
        <v>522249</v>
      </c>
      <c r="AH200" s="583">
        <v>17247</v>
      </c>
      <c r="AI200" s="583">
        <v>84704</v>
      </c>
      <c r="AJ200" s="583">
        <v>0</v>
      </c>
      <c r="AK200" s="583">
        <v>624200</v>
      </c>
      <c r="AL200" s="583">
        <v>84704</v>
      </c>
      <c r="AM200" s="583">
        <v>1038139</v>
      </c>
      <c r="AN200" s="583">
        <v>100784</v>
      </c>
      <c r="AO200" s="583">
        <v>-84704</v>
      </c>
      <c r="AP200" s="583">
        <v>0</v>
      </c>
      <c r="AQ200" s="583">
        <v>1054219</v>
      </c>
      <c r="AR200" s="583">
        <v>0</v>
      </c>
      <c r="AS200" s="583">
        <v>342913</v>
      </c>
      <c r="AT200" s="583">
        <v>0</v>
      </c>
      <c r="AU200" s="583">
        <v>264040</v>
      </c>
      <c r="AV200" s="583">
        <v>0</v>
      </c>
      <c r="AW200" s="583">
        <v>606953</v>
      </c>
      <c r="AX200" s="583">
        <v>264040</v>
      </c>
      <c r="AY200" s="583">
        <v>663834</v>
      </c>
      <c r="AZ200" s="583">
        <v>24707</v>
      </c>
      <c r="BA200" s="583">
        <v>0</v>
      </c>
      <c r="BB200" s="583">
        <v>0</v>
      </c>
      <c r="BC200" s="583">
        <v>688541</v>
      </c>
      <c r="BD200" s="583">
        <v>264040</v>
      </c>
      <c r="BE200" s="583">
        <v>1400662</v>
      </c>
      <c r="BF200" s="583">
        <v>0</v>
      </c>
      <c r="BG200" s="583">
        <v>-264040</v>
      </c>
      <c r="BH200" s="583">
        <v>0</v>
      </c>
      <c r="BI200" s="583">
        <v>1136622</v>
      </c>
      <c r="BJ200" s="583">
        <v>0</v>
      </c>
      <c r="BK200" s="583">
        <v>519845</v>
      </c>
      <c r="BL200" s="583">
        <v>0</v>
      </c>
      <c r="BM200" s="583">
        <v>87108</v>
      </c>
      <c r="BN200" s="583">
        <v>0</v>
      </c>
      <c r="BO200" s="583">
        <v>606953</v>
      </c>
      <c r="BP200" s="583">
        <v>87108</v>
      </c>
      <c r="BQ200" s="583">
        <v>996168</v>
      </c>
      <c r="BR200" s="583">
        <v>162386</v>
      </c>
      <c r="BS200" s="583">
        <v>-87108</v>
      </c>
      <c r="BT200" s="583">
        <v>0</v>
      </c>
      <c r="BU200" s="583">
        <v>1071446</v>
      </c>
      <c r="BV200" s="583">
        <v>0</v>
      </c>
    </row>
    <row r="201" spans="1:74" x14ac:dyDescent="0.2">
      <c r="A201" s="580">
        <v>9202</v>
      </c>
      <c r="B201" s="580" t="s">
        <v>210</v>
      </c>
      <c r="C201" s="583">
        <v>182393</v>
      </c>
      <c r="D201" s="583">
        <v>0</v>
      </c>
      <c r="E201" s="583">
        <v>94267</v>
      </c>
      <c r="F201" s="583">
        <v>0</v>
      </c>
      <c r="G201" s="583">
        <v>276660</v>
      </c>
      <c r="H201" s="583">
        <v>94267</v>
      </c>
      <c r="I201" s="583">
        <v>96990</v>
      </c>
      <c r="J201" s="583">
        <v>0</v>
      </c>
      <c r="K201" s="583">
        <v>179670</v>
      </c>
      <c r="L201" s="583">
        <v>0</v>
      </c>
      <c r="M201" s="583">
        <v>276660</v>
      </c>
      <c r="N201" s="583">
        <v>273937</v>
      </c>
      <c r="O201" s="583">
        <v>276692</v>
      </c>
      <c r="P201" s="583">
        <v>0</v>
      </c>
      <c r="Q201" s="583">
        <v>0</v>
      </c>
      <c r="R201" s="583">
        <v>0</v>
      </c>
      <c r="S201" s="583">
        <v>276692</v>
      </c>
      <c r="T201" s="583">
        <v>273937</v>
      </c>
      <c r="U201" s="583">
        <v>146919</v>
      </c>
      <c r="V201" s="583">
        <v>0</v>
      </c>
      <c r="W201" s="583">
        <v>129741</v>
      </c>
      <c r="X201" s="583">
        <v>0</v>
      </c>
      <c r="Y201" s="583">
        <v>276660</v>
      </c>
      <c r="Z201" s="583">
        <v>403678</v>
      </c>
      <c r="AA201" s="583">
        <v>1278471</v>
      </c>
      <c r="AB201" s="583">
        <v>11800</v>
      </c>
      <c r="AC201" s="583">
        <v>-403678</v>
      </c>
      <c r="AD201" s="583">
        <v>0</v>
      </c>
      <c r="AE201" s="583">
        <v>886593</v>
      </c>
      <c r="AF201" s="583">
        <v>0</v>
      </c>
      <c r="AG201" s="583">
        <v>253232</v>
      </c>
      <c r="AH201" s="583">
        <v>8363</v>
      </c>
      <c r="AI201" s="583">
        <v>23428</v>
      </c>
      <c r="AJ201" s="583">
        <v>0</v>
      </c>
      <c r="AK201" s="583">
        <v>285023</v>
      </c>
      <c r="AL201" s="583">
        <v>23428</v>
      </c>
      <c r="AM201" s="583">
        <v>503381</v>
      </c>
      <c r="AN201" s="583">
        <v>48869</v>
      </c>
      <c r="AO201" s="583">
        <v>-23428</v>
      </c>
      <c r="AP201" s="583">
        <v>0</v>
      </c>
      <c r="AQ201" s="583">
        <v>528822</v>
      </c>
      <c r="AR201" s="583">
        <v>0</v>
      </c>
      <c r="AS201" s="583">
        <v>166274</v>
      </c>
      <c r="AT201" s="583">
        <v>0</v>
      </c>
      <c r="AU201" s="583">
        <v>110386</v>
      </c>
      <c r="AV201" s="583">
        <v>0</v>
      </c>
      <c r="AW201" s="583">
        <v>276660</v>
      </c>
      <c r="AX201" s="583">
        <v>110386</v>
      </c>
      <c r="AY201" s="583">
        <v>321885</v>
      </c>
      <c r="AZ201" s="583">
        <v>11980</v>
      </c>
      <c r="BA201" s="583">
        <v>0</v>
      </c>
      <c r="BB201" s="583">
        <v>0</v>
      </c>
      <c r="BC201" s="583">
        <v>333865</v>
      </c>
      <c r="BD201" s="583">
        <v>110386</v>
      </c>
      <c r="BE201" s="583">
        <v>679164</v>
      </c>
      <c r="BF201" s="583">
        <v>0</v>
      </c>
      <c r="BG201" s="583">
        <v>-110386</v>
      </c>
      <c r="BH201" s="583">
        <v>0</v>
      </c>
      <c r="BI201" s="583">
        <v>568778</v>
      </c>
      <c r="BJ201" s="583">
        <v>0</v>
      </c>
      <c r="BK201" s="583">
        <v>252067</v>
      </c>
      <c r="BL201" s="583">
        <v>0</v>
      </c>
      <c r="BM201" s="583">
        <v>24593</v>
      </c>
      <c r="BN201" s="583">
        <v>0</v>
      </c>
      <c r="BO201" s="583">
        <v>276660</v>
      </c>
      <c r="BP201" s="583">
        <v>24593</v>
      </c>
      <c r="BQ201" s="583">
        <v>483030</v>
      </c>
      <c r="BR201" s="583">
        <v>78739</v>
      </c>
      <c r="BS201" s="583">
        <v>-24593</v>
      </c>
      <c r="BT201" s="583">
        <v>0</v>
      </c>
      <c r="BU201" s="583">
        <v>537176</v>
      </c>
      <c r="BV201" s="583">
        <v>0</v>
      </c>
    </row>
    <row r="202" spans="1:74" x14ac:dyDescent="0.2">
      <c r="A202" s="580">
        <v>9203</v>
      </c>
      <c r="B202" s="580" t="s">
        <v>411</v>
      </c>
      <c r="C202" s="583">
        <v>262103</v>
      </c>
      <c r="D202" s="583">
        <v>0</v>
      </c>
      <c r="E202" s="583">
        <v>112525</v>
      </c>
      <c r="F202" s="583">
        <v>0</v>
      </c>
      <c r="G202" s="583">
        <v>374628</v>
      </c>
      <c r="H202" s="583">
        <v>112525</v>
      </c>
      <c r="I202" s="583">
        <v>139378</v>
      </c>
      <c r="J202" s="583">
        <v>0</v>
      </c>
      <c r="K202" s="583">
        <v>235250</v>
      </c>
      <c r="L202" s="583">
        <v>0</v>
      </c>
      <c r="M202" s="583">
        <v>374628</v>
      </c>
      <c r="N202" s="583">
        <v>347775</v>
      </c>
      <c r="O202" s="583">
        <v>397613</v>
      </c>
      <c r="P202" s="583">
        <v>0</v>
      </c>
      <c r="Q202" s="583">
        <v>0</v>
      </c>
      <c r="R202" s="583">
        <v>0</v>
      </c>
      <c r="S202" s="583">
        <v>397613</v>
      </c>
      <c r="T202" s="583">
        <v>347775</v>
      </c>
      <c r="U202" s="583">
        <v>211126</v>
      </c>
      <c r="V202" s="583">
        <v>0</v>
      </c>
      <c r="W202" s="583">
        <v>163502</v>
      </c>
      <c r="X202" s="583">
        <v>0</v>
      </c>
      <c r="Y202" s="583">
        <v>374628</v>
      </c>
      <c r="Z202" s="583">
        <v>511277</v>
      </c>
      <c r="AA202" s="583">
        <v>1837195</v>
      </c>
      <c r="AB202" s="583">
        <v>16957</v>
      </c>
      <c r="AC202" s="583">
        <v>-511277</v>
      </c>
      <c r="AD202" s="583">
        <v>0</v>
      </c>
      <c r="AE202" s="583">
        <v>1342875</v>
      </c>
      <c r="AF202" s="583">
        <v>0</v>
      </c>
      <c r="AG202" s="583">
        <v>363901</v>
      </c>
      <c r="AH202" s="583">
        <v>12017</v>
      </c>
      <c r="AI202" s="583">
        <v>10727</v>
      </c>
      <c r="AJ202" s="583">
        <v>0</v>
      </c>
      <c r="AK202" s="583">
        <v>386645</v>
      </c>
      <c r="AL202" s="583">
        <v>10727</v>
      </c>
      <c r="AM202" s="583">
        <v>723371</v>
      </c>
      <c r="AN202" s="583">
        <v>70226</v>
      </c>
      <c r="AO202" s="583">
        <v>-10727</v>
      </c>
      <c r="AP202" s="583">
        <v>0</v>
      </c>
      <c r="AQ202" s="583">
        <v>782870</v>
      </c>
      <c r="AR202" s="583">
        <v>0</v>
      </c>
      <c r="AS202" s="583">
        <v>238941</v>
      </c>
      <c r="AT202" s="583">
        <v>0</v>
      </c>
      <c r="AU202" s="583">
        <v>135687</v>
      </c>
      <c r="AV202" s="583">
        <v>0</v>
      </c>
      <c r="AW202" s="583">
        <v>374628</v>
      </c>
      <c r="AX202" s="583">
        <v>135687</v>
      </c>
      <c r="AY202" s="583">
        <v>462557</v>
      </c>
      <c r="AZ202" s="583">
        <v>17216</v>
      </c>
      <c r="BA202" s="583">
        <v>0</v>
      </c>
      <c r="BB202" s="583">
        <v>0</v>
      </c>
      <c r="BC202" s="583">
        <v>479773</v>
      </c>
      <c r="BD202" s="583">
        <v>135687</v>
      </c>
      <c r="BE202" s="583">
        <v>975976</v>
      </c>
      <c r="BF202" s="583">
        <v>0</v>
      </c>
      <c r="BG202" s="583">
        <v>-135687</v>
      </c>
      <c r="BH202" s="583">
        <v>0</v>
      </c>
      <c r="BI202" s="583">
        <v>840289</v>
      </c>
      <c r="BJ202" s="583">
        <v>0</v>
      </c>
      <c r="BK202" s="583">
        <v>362226</v>
      </c>
      <c r="BL202" s="583">
        <v>0</v>
      </c>
      <c r="BM202" s="583">
        <v>12402</v>
      </c>
      <c r="BN202" s="583">
        <v>0</v>
      </c>
      <c r="BO202" s="583">
        <v>374628</v>
      </c>
      <c r="BP202" s="583">
        <v>12402</v>
      </c>
      <c r="BQ202" s="583">
        <v>694126</v>
      </c>
      <c r="BR202" s="583">
        <v>113150</v>
      </c>
      <c r="BS202" s="583">
        <v>-12402</v>
      </c>
      <c r="BT202" s="583">
        <v>0</v>
      </c>
      <c r="BU202" s="583">
        <v>794874</v>
      </c>
      <c r="BV202" s="583">
        <v>0</v>
      </c>
    </row>
    <row r="203" spans="1:74" x14ac:dyDescent="0.2">
      <c r="A203" s="580">
        <v>9204</v>
      </c>
      <c r="B203" s="580" t="s">
        <v>211</v>
      </c>
      <c r="C203" s="583">
        <v>120900</v>
      </c>
      <c r="D203" s="583">
        <v>0</v>
      </c>
      <c r="E203" s="583">
        <v>62526</v>
      </c>
      <c r="F203" s="583">
        <v>0</v>
      </c>
      <c r="G203" s="583">
        <v>183426</v>
      </c>
      <c r="H203" s="583">
        <v>62526</v>
      </c>
      <c r="I203" s="583">
        <v>64291</v>
      </c>
      <c r="J203" s="583">
        <v>0</v>
      </c>
      <c r="K203" s="583">
        <v>119135</v>
      </c>
      <c r="L203" s="583">
        <v>0</v>
      </c>
      <c r="M203" s="583">
        <v>183426</v>
      </c>
      <c r="N203" s="583">
        <v>181661</v>
      </c>
      <c r="O203" s="583">
        <v>183407</v>
      </c>
      <c r="P203" s="583">
        <v>0</v>
      </c>
      <c r="Q203" s="583">
        <v>0</v>
      </c>
      <c r="R203" s="583">
        <v>0</v>
      </c>
      <c r="S203" s="583">
        <v>183407</v>
      </c>
      <c r="T203" s="583">
        <v>181661</v>
      </c>
      <c r="U203" s="583">
        <v>97386</v>
      </c>
      <c r="V203" s="583">
        <v>0</v>
      </c>
      <c r="W203" s="583">
        <v>86040</v>
      </c>
      <c r="X203" s="583">
        <v>0</v>
      </c>
      <c r="Y203" s="583">
        <v>183426</v>
      </c>
      <c r="Z203" s="583">
        <v>267701</v>
      </c>
      <c r="AA203" s="583">
        <v>847441</v>
      </c>
      <c r="AB203" s="583">
        <v>7822</v>
      </c>
      <c r="AC203" s="583">
        <v>-267701</v>
      </c>
      <c r="AD203" s="583">
        <v>0</v>
      </c>
      <c r="AE203" s="583">
        <v>587562</v>
      </c>
      <c r="AF203" s="583">
        <v>0</v>
      </c>
      <c r="AG203" s="583">
        <v>167856</v>
      </c>
      <c r="AH203" s="583">
        <v>5543</v>
      </c>
      <c r="AI203" s="583">
        <v>15570</v>
      </c>
      <c r="AJ203" s="583">
        <v>0</v>
      </c>
      <c r="AK203" s="583">
        <v>188969</v>
      </c>
      <c r="AL203" s="583">
        <v>15570</v>
      </c>
      <c r="AM203" s="583">
        <v>333669</v>
      </c>
      <c r="AN203" s="583">
        <v>32393</v>
      </c>
      <c r="AO203" s="583">
        <v>-15570</v>
      </c>
      <c r="AP203" s="583">
        <v>0</v>
      </c>
      <c r="AQ203" s="583">
        <v>350492</v>
      </c>
      <c r="AR203" s="583">
        <v>0</v>
      </c>
      <c r="AS203" s="583">
        <v>110216</v>
      </c>
      <c r="AT203" s="583">
        <v>0</v>
      </c>
      <c r="AU203" s="583">
        <v>73210</v>
      </c>
      <c r="AV203" s="583">
        <v>0</v>
      </c>
      <c r="AW203" s="583">
        <v>183426</v>
      </c>
      <c r="AX203" s="583">
        <v>73210</v>
      </c>
      <c r="AY203" s="583">
        <v>213363</v>
      </c>
      <c r="AZ203" s="583">
        <v>7941</v>
      </c>
      <c r="BA203" s="583">
        <v>0</v>
      </c>
      <c r="BB203" s="583">
        <v>0</v>
      </c>
      <c r="BC203" s="583">
        <v>221304</v>
      </c>
      <c r="BD203" s="583">
        <v>73210</v>
      </c>
      <c r="BE203" s="583">
        <v>450187</v>
      </c>
      <c r="BF203" s="583">
        <v>0</v>
      </c>
      <c r="BG203" s="583">
        <v>-73210</v>
      </c>
      <c r="BH203" s="583">
        <v>0</v>
      </c>
      <c r="BI203" s="583">
        <v>376977</v>
      </c>
      <c r="BJ203" s="583">
        <v>0</v>
      </c>
      <c r="BK203" s="583">
        <v>167084</v>
      </c>
      <c r="BL203" s="583">
        <v>0</v>
      </c>
      <c r="BM203" s="583">
        <v>16342</v>
      </c>
      <c r="BN203" s="583">
        <v>0</v>
      </c>
      <c r="BO203" s="583">
        <v>183426</v>
      </c>
      <c r="BP203" s="583">
        <v>16342</v>
      </c>
      <c r="BQ203" s="583">
        <v>320179</v>
      </c>
      <c r="BR203" s="583">
        <v>52192</v>
      </c>
      <c r="BS203" s="583">
        <v>-16342</v>
      </c>
      <c r="BT203" s="583">
        <v>0</v>
      </c>
      <c r="BU203" s="583">
        <v>356029</v>
      </c>
      <c r="BV203" s="583">
        <v>0</v>
      </c>
    </row>
    <row r="204" spans="1:74" x14ac:dyDescent="0.2">
      <c r="A204" s="580">
        <v>9205</v>
      </c>
      <c r="B204" s="580" t="s">
        <v>214</v>
      </c>
      <c r="C204" s="583">
        <v>164929</v>
      </c>
      <c r="D204" s="583">
        <v>0</v>
      </c>
      <c r="E204" s="583">
        <v>93654</v>
      </c>
      <c r="F204" s="583">
        <v>0</v>
      </c>
      <c r="G204" s="583">
        <v>258583</v>
      </c>
      <c r="H204" s="583">
        <v>93654</v>
      </c>
      <c r="I204" s="583">
        <v>87704</v>
      </c>
      <c r="J204" s="583">
        <v>0</v>
      </c>
      <c r="K204" s="583">
        <v>170879</v>
      </c>
      <c r="L204" s="583">
        <v>0</v>
      </c>
      <c r="M204" s="583">
        <v>258583</v>
      </c>
      <c r="N204" s="583">
        <v>264533</v>
      </c>
      <c r="O204" s="583">
        <v>250199</v>
      </c>
      <c r="P204" s="583">
        <v>0</v>
      </c>
      <c r="Q204" s="583">
        <v>0</v>
      </c>
      <c r="R204" s="583">
        <v>0</v>
      </c>
      <c r="S204" s="583">
        <v>250199</v>
      </c>
      <c r="T204" s="583">
        <v>264533</v>
      </c>
      <c r="U204" s="583">
        <v>132852</v>
      </c>
      <c r="V204" s="583">
        <v>0</v>
      </c>
      <c r="W204" s="583">
        <v>125731</v>
      </c>
      <c r="X204" s="583">
        <v>0</v>
      </c>
      <c r="Y204" s="583">
        <v>258583</v>
      </c>
      <c r="Z204" s="583">
        <v>390264</v>
      </c>
      <c r="AA204" s="583">
        <v>1156057</v>
      </c>
      <c r="AB204" s="583">
        <v>10670</v>
      </c>
      <c r="AC204" s="583">
        <v>-390264</v>
      </c>
      <c r="AD204" s="583">
        <v>0</v>
      </c>
      <c r="AE204" s="583">
        <v>776463</v>
      </c>
      <c r="AF204" s="583">
        <v>0</v>
      </c>
      <c r="AG204" s="583">
        <v>228985</v>
      </c>
      <c r="AH204" s="583">
        <v>7562</v>
      </c>
      <c r="AI204" s="583">
        <v>29598</v>
      </c>
      <c r="AJ204" s="583">
        <v>0</v>
      </c>
      <c r="AK204" s="583">
        <v>266145</v>
      </c>
      <c r="AL204" s="583">
        <v>29598</v>
      </c>
      <c r="AM204" s="583">
        <v>455182</v>
      </c>
      <c r="AN204" s="583">
        <v>44190</v>
      </c>
      <c r="AO204" s="583">
        <v>-29598</v>
      </c>
      <c r="AP204" s="583">
        <v>0</v>
      </c>
      <c r="AQ204" s="583">
        <v>469774</v>
      </c>
      <c r="AR204" s="583">
        <v>0</v>
      </c>
      <c r="AS204" s="583">
        <v>150354</v>
      </c>
      <c r="AT204" s="583">
        <v>0</v>
      </c>
      <c r="AU204" s="583">
        <v>108229</v>
      </c>
      <c r="AV204" s="583">
        <v>0</v>
      </c>
      <c r="AW204" s="583">
        <v>258583</v>
      </c>
      <c r="AX204" s="583">
        <v>108229</v>
      </c>
      <c r="AY204" s="583">
        <v>291065</v>
      </c>
      <c r="AZ204" s="583">
        <v>10833</v>
      </c>
      <c r="BA204" s="583">
        <v>0</v>
      </c>
      <c r="BB204" s="583">
        <v>0</v>
      </c>
      <c r="BC204" s="583">
        <v>301898</v>
      </c>
      <c r="BD204" s="583">
        <v>108229</v>
      </c>
      <c r="BE204" s="583">
        <v>614134</v>
      </c>
      <c r="BF204" s="583">
        <v>0</v>
      </c>
      <c r="BG204" s="583">
        <v>-108229</v>
      </c>
      <c r="BH204" s="583">
        <v>0</v>
      </c>
      <c r="BI204" s="583">
        <v>505905</v>
      </c>
      <c r="BJ204" s="583">
        <v>0</v>
      </c>
      <c r="BK204" s="583">
        <v>227931</v>
      </c>
      <c r="BL204" s="583">
        <v>0</v>
      </c>
      <c r="BM204" s="583">
        <v>30652</v>
      </c>
      <c r="BN204" s="583">
        <v>0</v>
      </c>
      <c r="BO204" s="583">
        <v>258583</v>
      </c>
      <c r="BP204" s="583">
        <v>30652</v>
      </c>
      <c r="BQ204" s="583">
        <v>436779</v>
      </c>
      <c r="BR204" s="583">
        <v>71200</v>
      </c>
      <c r="BS204" s="583">
        <v>-30652</v>
      </c>
      <c r="BT204" s="583">
        <v>0</v>
      </c>
      <c r="BU204" s="583">
        <v>477327</v>
      </c>
      <c r="BV204" s="583">
        <v>0</v>
      </c>
    </row>
    <row r="205" spans="1:74" x14ac:dyDescent="0.2">
      <c r="A205" s="580">
        <v>9206</v>
      </c>
      <c r="B205" s="580" t="s">
        <v>208</v>
      </c>
      <c r="C205" s="583">
        <v>109457</v>
      </c>
      <c r="D205" s="583">
        <v>0</v>
      </c>
      <c r="E205" s="583">
        <v>61438</v>
      </c>
      <c r="F205" s="583">
        <v>0</v>
      </c>
      <c r="G205" s="583">
        <v>170895</v>
      </c>
      <c r="H205" s="583">
        <v>61438</v>
      </c>
      <c r="I205" s="583">
        <v>58206</v>
      </c>
      <c r="J205" s="583">
        <v>0</v>
      </c>
      <c r="K205" s="583">
        <v>112689</v>
      </c>
      <c r="L205" s="583">
        <v>0</v>
      </c>
      <c r="M205" s="583">
        <v>170895</v>
      </c>
      <c r="N205" s="583">
        <v>174127</v>
      </c>
      <c r="O205" s="583">
        <v>166048</v>
      </c>
      <c r="P205" s="583">
        <v>0</v>
      </c>
      <c r="Q205" s="583">
        <v>0</v>
      </c>
      <c r="R205" s="583">
        <v>0</v>
      </c>
      <c r="S205" s="583">
        <v>166048</v>
      </c>
      <c r="T205" s="583">
        <v>174127</v>
      </c>
      <c r="U205" s="583">
        <v>88169</v>
      </c>
      <c r="V205" s="583">
        <v>0</v>
      </c>
      <c r="W205" s="583">
        <v>82726</v>
      </c>
      <c r="X205" s="583">
        <v>0</v>
      </c>
      <c r="Y205" s="583">
        <v>170895</v>
      </c>
      <c r="Z205" s="583">
        <v>256853</v>
      </c>
      <c r="AA205" s="583">
        <v>767234</v>
      </c>
      <c r="AB205" s="583">
        <v>7081</v>
      </c>
      <c r="AC205" s="583">
        <v>-256853</v>
      </c>
      <c r="AD205" s="583">
        <v>0</v>
      </c>
      <c r="AE205" s="583">
        <v>517462</v>
      </c>
      <c r="AF205" s="583">
        <v>0</v>
      </c>
      <c r="AG205" s="583">
        <v>151969</v>
      </c>
      <c r="AH205" s="583">
        <v>5019</v>
      </c>
      <c r="AI205" s="583">
        <v>18926</v>
      </c>
      <c r="AJ205" s="583">
        <v>0</v>
      </c>
      <c r="AK205" s="583">
        <v>175914</v>
      </c>
      <c r="AL205" s="583">
        <v>18926</v>
      </c>
      <c r="AM205" s="583">
        <v>302088</v>
      </c>
      <c r="AN205" s="583">
        <v>29327</v>
      </c>
      <c r="AO205" s="583">
        <v>-18926</v>
      </c>
      <c r="AP205" s="583">
        <v>0</v>
      </c>
      <c r="AQ205" s="583">
        <v>312489</v>
      </c>
      <c r="AR205" s="583">
        <v>0</v>
      </c>
      <c r="AS205" s="583">
        <v>99784</v>
      </c>
      <c r="AT205" s="583">
        <v>0</v>
      </c>
      <c r="AU205" s="583">
        <v>71111</v>
      </c>
      <c r="AV205" s="583">
        <v>0</v>
      </c>
      <c r="AW205" s="583">
        <v>170895</v>
      </c>
      <c r="AX205" s="583">
        <v>71111</v>
      </c>
      <c r="AY205" s="583">
        <v>193169</v>
      </c>
      <c r="AZ205" s="583">
        <v>7190</v>
      </c>
      <c r="BA205" s="583">
        <v>0</v>
      </c>
      <c r="BB205" s="583">
        <v>0</v>
      </c>
      <c r="BC205" s="583">
        <v>200359</v>
      </c>
      <c r="BD205" s="583">
        <v>71111</v>
      </c>
      <c r="BE205" s="583">
        <v>407579</v>
      </c>
      <c r="BF205" s="583">
        <v>0</v>
      </c>
      <c r="BG205" s="583">
        <v>-71111</v>
      </c>
      <c r="BH205" s="583">
        <v>0</v>
      </c>
      <c r="BI205" s="583">
        <v>336468</v>
      </c>
      <c r="BJ205" s="583">
        <v>0</v>
      </c>
      <c r="BK205" s="583">
        <v>151270</v>
      </c>
      <c r="BL205" s="583">
        <v>0</v>
      </c>
      <c r="BM205" s="583">
        <v>19625</v>
      </c>
      <c r="BN205" s="583">
        <v>0</v>
      </c>
      <c r="BO205" s="583">
        <v>170895</v>
      </c>
      <c r="BP205" s="583">
        <v>19625</v>
      </c>
      <c r="BQ205" s="583">
        <v>289875</v>
      </c>
      <c r="BR205" s="583">
        <v>47253</v>
      </c>
      <c r="BS205" s="583">
        <v>-19625</v>
      </c>
      <c r="BT205" s="583">
        <v>0</v>
      </c>
      <c r="BU205" s="583">
        <v>317503</v>
      </c>
      <c r="BV205" s="583">
        <v>0</v>
      </c>
    </row>
    <row r="206" spans="1:74" x14ac:dyDescent="0.2">
      <c r="A206" s="580">
        <v>9207</v>
      </c>
      <c r="B206" s="580" t="s">
        <v>212</v>
      </c>
      <c r="C206" s="583">
        <v>133036</v>
      </c>
      <c r="D206" s="583">
        <v>0</v>
      </c>
      <c r="E206" s="583">
        <v>69867</v>
      </c>
      <c r="F206" s="583">
        <v>0</v>
      </c>
      <c r="G206" s="583">
        <v>202903</v>
      </c>
      <c r="H206" s="583">
        <v>69867</v>
      </c>
      <c r="I206" s="583">
        <v>70744</v>
      </c>
      <c r="J206" s="583">
        <v>0</v>
      </c>
      <c r="K206" s="583">
        <v>132159</v>
      </c>
      <c r="L206" s="583">
        <v>0</v>
      </c>
      <c r="M206" s="583">
        <v>202903</v>
      </c>
      <c r="N206" s="583">
        <v>202026</v>
      </c>
      <c r="O206" s="583">
        <v>201817</v>
      </c>
      <c r="P206" s="583">
        <v>0</v>
      </c>
      <c r="Q206" s="583">
        <v>0</v>
      </c>
      <c r="R206" s="583">
        <v>0</v>
      </c>
      <c r="S206" s="583">
        <v>201817</v>
      </c>
      <c r="T206" s="583">
        <v>202026</v>
      </c>
      <c r="U206" s="583">
        <v>107162</v>
      </c>
      <c r="V206" s="583">
        <v>0</v>
      </c>
      <c r="W206" s="583">
        <v>95741</v>
      </c>
      <c r="X206" s="583">
        <v>0</v>
      </c>
      <c r="Y206" s="583">
        <v>202903</v>
      </c>
      <c r="Z206" s="583">
        <v>297767</v>
      </c>
      <c r="AA206" s="583">
        <v>932509</v>
      </c>
      <c r="AB206" s="583">
        <v>8607</v>
      </c>
      <c r="AC206" s="583">
        <v>-297767</v>
      </c>
      <c r="AD206" s="583">
        <v>0</v>
      </c>
      <c r="AE206" s="583">
        <v>643349</v>
      </c>
      <c r="AF206" s="583">
        <v>0</v>
      </c>
      <c r="AG206" s="583">
        <v>184706</v>
      </c>
      <c r="AH206" s="583">
        <v>6100</v>
      </c>
      <c r="AI206" s="583">
        <v>18197</v>
      </c>
      <c r="AJ206" s="583">
        <v>0</v>
      </c>
      <c r="AK206" s="583">
        <v>209003</v>
      </c>
      <c r="AL206" s="583">
        <v>18197</v>
      </c>
      <c r="AM206" s="583">
        <v>367163</v>
      </c>
      <c r="AN206" s="583">
        <v>35645</v>
      </c>
      <c r="AO206" s="583">
        <v>-18197</v>
      </c>
      <c r="AP206" s="583">
        <v>0</v>
      </c>
      <c r="AQ206" s="583">
        <v>384611</v>
      </c>
      <c r="AR206" s="583">
        <v>0</v>
      </c>
      <c r="AS206" s="583">
        <v>121280</v>
      </c>
      <c r="AT206" s="583">
        <v>0</v>
      </c>
      <c r="AU206" s="583">
        <v>81623</v>
      </c>
      <c r="AV206" s="583">
        <v>0</v>
      </c>
      <c r="AW206" s="583">
        <v>202903</v>
      </c>
      <c r="AX206" s="583">
        <v>81623</v>
      </c>
      <c r="AY206" s="583">
        <v>234781</v>
      </c>
      <c r="AZ206" s="583">
        <v>8738</v>
      </c>
      <c r="BA206" s="583">
        <v>0</v>
      </c>
      <c r="BB206" s="583">
        <v>0</v>
      </c>
      <c r="BC206" s="583">
        <v>243519</v>
      </c>
      <c r="BD206" s="583">
        <v>81623</v>
      </c>
      <c r="BE206" s="583">
        <v>495378</v>
      </c>
      <c r="BF206" s="583">
        <v>0</v>
      </c>
      <c r="BG206" s="583">
        <v>-81623</v>
      </c>
      <c r="BH206" s="583">
        <v>0</v>
      </c>
      <c r="BI206" s="583">
        <v>413755</v>
      </c>
      <c r="BJ206" s="583">
        <v>0</v>
      </c>
      <c r="BK206" s="583">
        <v>183856</v>
      </c>
      <c r="BL206" s="583">
        <v>0</v>
      </c>
      <c r="BM206" s="583">
        <v>19047</v>
      </c>
      <c r="BN206" s="583">
        <v>0</v>
      </c>
      <c r="BO206" s="583">
        <v>202903</v>
      </c>
      <c r="BP206" s="583">
        <v>19047</v>
      </c>
      <c r="BQ206" s="583">
        <v>352319</v>
      </c>
      <c r="BR206" s="583">
        <v>57432</v>
      </c>
      <c r="BS206" s="583">
        <v>-19047</v>
      </c>
      <c r="BT206" s="583">
        <v>0</v>
      </c>
      <c r="BU206" s="583">
        <v>390704</v>
      </c>
      <c r="BV206" s="583">
        <v>0</v>
      </c>
    </row>
    <row r="207" spans="1:74" x14ac:dyDescent="0.2">
      <c r="A207" s="580">
        <v>9208</v>
      </c>
      <c r="B207" s="580" t="s">
        <v>412</v>
      </c>
      <c r="C207" s="583">
        <v>148062</v>
      </c>
      <c r="D207" s="583">
        <v>0</v>
      </c>
      <c r="E207" s="583">
        <v>82300</v>
      </c>
      <c r="F207" s="583">
        <v>0</v>
      </c>
      <c r="G207" s="583">
        <v>230362</v>
      </c>
      <c r="H207" s="583">
        <v>82300</v>
      </c>
      <c r="I207" s="583">
        <v>78734</v>
      </c>
      <c r="J207" s="583">
        <v>0</v>
      </c>
      <c r="K207" s="583">
        <v>151628</v>
      </c>
      <c r="L207" s="583">
        <v>0</v>
      </c>
      <c r="M207" s="583">
        <v>230362</v>
      </c>
      <c r="N207" s="583">
        <v>233928</v>
      </c>
      <c r="O207" s="583">
        <v>224611</v>
      </c>
      <c r="P207" s="583">
        <v>0</v>
      </c>
      <c r="Q207" s="583">
        <v>0</v>
      </c>
      <c r="R207" s="583">
        <v>0</v>
      </c>
      <c r="S207" s="583">
        <v>224611</v>
      </c>
      <c r="T207" s="583">
        <v>233928</v>
      </c>
      <c r="U207" s="583">
        <v>119265</v>
      </c>
      <c r="V207" s="583">
        <v>0</v>
      </c>
      <c r="W207" s="583">
        <v>111097</v>
      </c>
      <c r="X207" s="583">
        <v>0</v>
      </c>
      <c r="Y207" s="583">
        <v>230362</v>
      </c>
      <c r="Z207" s="583">
        <v>345025</v>
      </c>
      <c r="AA207" s="583">
        <v>1037830</v>
      </c>
      <c r="AB207" s="583">
        <v>9579</v>
      </c>
      <c r="AC207" s="583">
        <v>-345025</v>
      </c>
      <c r="AD207" s="583">
        <v>0</v>
      </c>
      <c r="AE207" s="583">
        <v>702384</v>
      </c>
      <c r="AF207" s="583">
        <v>0</v>
      </c>
      <c r="AG207" s="583">
        <v>205568</v>
      </c>
      <c r="AH207" s="583">
        <v>6789</v>
      </c>
      <c r="AI207" s="583">
        <v>24794</v>
      </c>
      <c r="AJ207" s="583">
        <v>0</v>
      </c>
      <c r="AK207" s="583">
        <v>237151</v>
      </c>
      <c r="AL207" s="583">
        <v>24794</v>
      </c>
      <c r="AM207" s="583">
        <v>408632</v>
      </c>
      <c r="AN207" s="583">
        <v>39671</v>
      </c>
      <c r="AO207" s="583">
        <v>-24794</v>
      </c>
      <c r="AP207" s="583">
        <v>0</v>
      </c>
      <c r="AQ207" s="583">
        <v>423509</v>
      </c>
      <c r="AR207" s="583">
        <v>0</v>
      </c>
      <c r="AS207" s="583">
        <v>134977</v>
      </c>
      <c r="AT207" s="583">
        <v>0</v>
      </c>
      <c r="AU207" s="583">
        <v>95385</v>
      </c>
      <c r="AV207" s="583">
        <v>0</v>
      </c>
      <c r="AW207" s="583">
        <v>230362</v>
      </c>
      <c r="AX207" s="583">
        <v>95385</v>
      </c>
      <c r="AY207" s="583">
        <v>261298</v>
      </c>
      <c r="AZ207" s="583">
        <v>9725</v>
      </c>
      <c r="BA207" s="583">
        <v>0</v>
      </c>
      <c r="BB207" s="583">
        <v>0</v>
      </c>
      <c r="BC207" s="583">
        <v>271023</v>
      </c>
      <c r="BD207" s="583">
        <v>95385</v>
      </c>
      <c r="BE207" s="583">
        <v>551328</v>
      </c>
      <c r="BF207" s="583">
        <v>0</v>
      </c>
      <c r="BG207" s="583">
        <v>-95385</v>
      </c>
      <c r="BH207" s="583">
        <v>0</v>
      </c>
      <c r="BI207" s="583">
        <v>455943</v>
      </c>
      <c r="BJ207" s="583">
        <v>0</v>
      </c>
      <c r="BK207" s="583">
        <v>204621</v>
      </c>
      <c r="BL207" s="583">
        <v>0</v>
      </c>
      <c r="BM207" s="583">
        <v>25741</v>
      </c>
      <c r="BN207" s="583">
        <v>0</v>
      </c>
      <c r="BO207" s="583">
        <v>230362</v>
      </c>
      <c r="BP207" s="583">
        <v>25741</v>
      </c>
      <c r="BQ207" s="583">
        <v>392111</v>
      </c>
      <c r="BR207" s="583">
        <v>63918</v>
      </c>
      <c r="BS207" s="583">
        <v>-25741</v>
      </c>
      <c r="BT207" s="583">
        <v>0</v>
      </c>
      <c r="BU207" s="583">
        <v>430288</v>
      </c>
      <c r="BV207" s="583">
        <v>0</v>
      </c>
    </row>
    <row r="208" spans="1:74" x14ac:dyDescent="0.2">
      <c r="A208" s="580">
        <v>9209</v>
      </c>
      <c r="B208" s="580" t="s">
        <v>209</v>
      </c>
      <c r="C208" s="583">
        <v>106975</v>
      </c>
      <c r="D208" s="583">
        <v>0</v>
      </c>
      <c r="E208" s="583">
        <v>59646</v>
      </c>
      <c r="F208" s="583">
        <v>0</v>
      </c>
      <c r="G208" s="583">
        <v>166621</v>
      </c>
      <c r="H208" s="583">
        <v>59646</v>
      </c>
      <c r="I208" s="583">
        <v>56886</v>
      </c>
      <c r="J208" s="583">
        <v>0</v>
      </c>
      <c r="K208" s="583">
        <v>109735</v>
      </c>
      <c r="L208" s="583">
        <v>0</v>
      </c>
      <c r="M208" s="583">
        <v>166621</v>
      </c>
      <c r="N208" s="583">
        <v>169381</v>
      </c>
      <c r="O208" s="583">
        <v>162282</v>
      </c>
      <c r="P208" s="583">
        <v>0</v>
      </c>
      <c r="Q208" s="583">
        <v>0</v>
      </c>
      <c r="R208" s="583">
        <v>0</v>
      </c>
      <c r="S208" s="583">
        <v>162282</v>
      </c>
      <c r="T208" s="583">
        <v>169381</v>
      </c>
      <c r="U208" s="583">
        <v>86169</v>
      </c>
      <c r="V208" s="583">
        <v>0</v>
      </c>
      <c r="W208" s="583">
        <v>80452</v>
      </c>
      <c r="X208" s="583">
        <v>0</v>
      </c>
      <c r="Y208" s="583">
        <v>166621</v>
      </c>
      <c r="Z208" s="583">
        <v>249833</v>
      </c>
      <c r="AA208" s="583">
        <v>749833</v>
      </c>
      <c r="AB208" s="583">
        <v>6921</v>
      </c>
      <c r="AC208" s="583">
        <v>-249833</v>
      </c>
      <c r="AD208" s="583">
        <v>0</v>
      </c>
      <c r="AE208" s="583">
        <v>506921</v>
      </c>
      <c r="AF208" s="583">
        <v>0</v>
      </c>
      <c r="AG208" s="583">
        <v>148523</v>
      </c>
      <c r="AH208" s="583">
        <v>4905</v>
      </c>
      <c r="AI208" s="583">
        <v>18098</v>
      </c>
      <c r="AJ208" s="583">
        <v>0</v>
      </c>
      <c r="AK208" s="583">
        <v>171526</v>
      </c>
      <c r="AL208" s="583">
        <v>18098</v>
      </c>
      <c r="AM208" s="583">
        <v>295237</v>
      </c>
      <c r="AN208" s="583">
        <v>28662</v>
      </c>
      <c r="AO208" s="583">
        <v>-18098</v>
      </c>
      <c r="AP208" s="583">
        <v>0</v>
      </c>
      <c r="AQ208" s="583">
        <v>305801</v>
      </c>
      <c r="AR208" s="583">
        <v>0</v>
      </c>
      <c r="AS208" s="583">
        <v>97521</v>
      </c>
      <c r="AT208" s="583">
        <v>0</v>
      </c>
      <c r="AU208" s="583">
        <v>69100</v>
      </c>
      <c r="AV208" s="583">
        <v>0</v>
      </c>
      <c r="AW208" s="583">
        <v>166621</v>
      </c>
      <c r="AX208" s="583">
        <v>69100</v>
      </c>
      <c r="AY208" s="583">
        <v>188788</v>
      </c>
      <c r="AZ208" s="583">
        <v>7027</v>
      </c>
      <c r="BA208" s="583">
        <v>0</v>
      </c>
      <c r="BB208" s="583">
        <v>0</v>
      </c>
      <c r="BC208" s="583">
        <v>195815</v>
      </c>
      <c r="BD208" s="583">
        <v>69100</v>
      </c>
      <c r="BE208" s="583">
        <v>398335</v>
      </c>
      <c r="BF208" s="583">
        <v>0</v>
      </c>
      <c r="BG208" s="583">
        <v>-69100</v>
      </c>
      <c r="BH208" s="583">
        <v>0</v>
      </c>
      <c r="BI208" s="583">
        <v>329235</v>
      </c>
      <c r="BJ208" s="583">
        <v>0</v>
      </c>
      <c r="BK208" s="583">
        <v>147839</v>
      </c>
      <c r="BL208" s="583">
        <v>0</v>
      </c>
      <c r="BM208" s="583">
        <v>18782</v>
      </c>
      <c r="BN208" s="583">
        <v>0</v>
      </c>
      <c r="BO208" s="583">
        <v>166621</v>
      </c>
      <c r="BP208" s="583">
        <v>18782</v>
      </c>
      <c r="BQ208" s="583">
        <v>283301</v>
      </c>
      <c r="BR208" s="583">
        <v>46181</v>
      </c>
      <c r="BS208" s="583">
        <v>-18782</v>
      </c>
      <c r="BT208" s="583">
        <v>0</v>
      </c>
      <c r="BU208" s="583">
        <v>310700</v>
      </c>
      <c r="BV208" s="583">
        <v>0</v>
      </c>
    </row>
    <row r="209" spans="1:74" x14ac:dyDescent="0.2">
      <c r="A209" s="580">
        <v>9210</v>
      </c>
      <c r="B209" s="580" t="s">
        <v>413</v>
      </c>
      <c r="C209" s="583">
        <v>181234</v>
      </c>
      <c r="D209" s="583">
        <v>0</v>
      </c>
      <c r="E209" s="583">
        <v>120307</v>
      </c>
      <c r="F209" s="583">
        <v>0</v>
      </c>
      <c r="G209" s="583">
        <v>301541</v>
      </c>
      <c r="H209" s="583">
        <v>120307</v>
      </c>
      <c r="I209" s="583">
        <v>96374</v>
      </c>
      <c r="J209" s="583">
        <v>0</v>
      </c>
      <c r="K209" s="583">
        <v>205167</v>
      </c>
      <c r="L209" s="583">
        <v>0</v>
      </c>
      <c r="M209" s="583">
        <v>301541</v>
      </c>
      <c r="N209" s="583">
        <v>325474</v>
      </c>
      <c r="O209" s="583">
        <v>274934</v>
      </c>
      <c r="P209" s="583">
        <v>0</v>
      </c>
      <c r="Q209" s="583">
        <v>0</v>
      </c>
      <c r="R209" s="583">
        <v>0</v>
      </c>
      <c r="S209" s="583">
        <v>274934</v>
      </c>
      <c r="T209" s="583">
        <v>325474</v>
      </c>
      <c r="U209" s="583">
        <v>145986</v>
      </c>
      <c r="V209" s="583">
        <v>0</v>
      </c>
      <c r="W209" s="583">
        <v>155555</v>
      </c>
      <c r="X209" s="583">
        <v>0</v>
      </c>
      <c r="Y209" s="583">
        <v>301541</v>
      </c>
      <c r="Z209" s="583">
        <v>481029</v>
      </c>
      <c r="AA209" s="583">
        <v>1270350</v>
      </c>
      <c r="AB209" s="583">
        <v>11725</v>
      </c>
      <c r="AC209" s="583">
        <v>-481029</v>
      </c>
      <c r="AD209" s="583">
        <v>0</v>
      </c>
      <c r="AE209" s="583">
        <v>801046</v>
      </c>
      <c r="AF209" s="583">
        <v>0</v>
      </c>
      <c r="AG209" s="583">
        <v>251624</v>
      </c>
      <c r="AH209" s="583">
        <v>8310</v>
      </c>
      <c r="AI209" s="583">
        <v>49917</v>
      </c>
      <c r="AJ209" s="583">
        <v>0</v>
      </c>
      <c r="AK209" s="583">
        <v>309851</v>
      </c>
      <c r="AL209" s="583">
        <v>49917</v>
      </c>
      <c r="AM209" s="583">
        <v>500184</v>
      </c>
      <c r="AN209" s="583">
        <v>48559</v>
      </c>
      <c r="AO209" s="583">
        <v>-42147</v>
      </c>
      <c r="AP209" s="583">
        <v>0</v>
      </c>
      <c r="AQ209" s="583">
        <v>506596</v>
      </c>
      <c r="AR209" s="583">
        <v>7770</v>
      </c>
      <c r="AS209" s="583">
        <v>165218</v>
      </c>
      <c r="AT209" s="583">
        <v>0</v>
      </c>
      <c r="AU209" s="583">
        <v>136323</v>
      </c>
      <c r="AV209" s="583">
        <v>0</v>
      </c>
      <c r="AW209" s="583">
        <v>301541</v>
      </c>
      <c r="AX209" s="583">
        <v>144093</v>
      </c>
      <c r="AY209" s="583">
        <v>319841</v>
      </c>
      <c r="AZ209" s="583">
        <v>11904</v>
      </c>
      <c r="BA209" s="583">
        <v>0</v>
      </c>
      <c r="BB209" s="583">
        <v>0</v>
      </c>
      <c r="BC209" s="583">
        <v>331745</v>
      </c>
      <c r="BD209" s="583">
        <v>144093</v>
      </c>
      <c r="BE209" s="583">
        <v>674850</v>
      </c>
      <c r="BF209" s="583">
        <v>0</v>
      </c>
      <c r="BG209" s="583">
        <v>-144093</v>
      </c>
      <c r="BH209" s="583">
        <v>0</v>
      </c>
      <c r="BI209" s="583">
        <v>530757</v>
      </c>
      <c r="BJ209" s="583">
        <v>0</v>
      </c>
      <c r="BK209" s="583">
        <v>250466</v>
      </c>
      <c r="BL209" s="583">
        <v>0</v>
      </c>
      <c r="BM209" s="583">
        <v>51075</v>
      </c>
      <c r="BN209" s="583">
        <v>0</v>
      </c>
      <c r="BO209" s="583">
        <v>301541</v>
      </c>
      <c r="BP209" s="583">
        <v>51075</v>
      </c>
      <c r="BQ209" s="583">
        <v>479961</v>
      </c>
      <c r="BR209" s="583">
        <v>78239</v>
      </c>
      <c r="BS209" s="583">
        <v>-51075</v>
      </c>
      <c r="BT209" s="583">
        <v>0</v>
      </c>
      <c r="BU209" s="583">
        <v>507125</v>
      </c>
      <c r="BV209" s="583">
        <v>0</v>
      </c>
    </row>
    <row r="210" spans="1:74" x14ac:dyDescent="0.2">
      <c r="A210" s="580">
        <v>9211</v>
      </c>
      <c r="B210" s="580" t="s">
        <v>213</v>
      </c>
      <c r="C210" s="583">
        <v>271106</v>
      </c>
      <c r="D210" s="583">
        <v>0</v>
      </c>
      <c r="E210" s="583">
        <v>145657</v>
      </c>
      <c r="F210" s="583">
        <v>0</v>
      </c>
      <c r="G210" s="583">
        <v>416763</v>
      </c>
      <c r="H210" s="583">
        <v>145657</v>
      </c>
      <c r="I210" s="583">
        <v>144165</v>
      </c>
      <c r="J210" s="583">
        <v>0</v>
      </c>
      <c r="K210" s="583">
        <v>272598</v>
      </c>
      <c r="L210" s="583">
        <v>0</v>
      </c>
      <c r="M210" s="583">
        <v>416763</v>
      </c>
      <c r="N210" s="583">
        <v>418255</v>
      </c>
      <c r="O210" s="583">
        <v>411270</v>
      </c>
      <c r="P210" s="583">
        <v>0</v>
      </c>
      <c r="Q210" s="583">
        <v>0</v>
      </c>
      <c r="R210" s="583">
        <v>0</v>
      </c>
      <c r="S210" s="583">
        <v>411270</v>
      </c>
      <c r="T210" s="583">
        <v>418255</v>
      </c>
      <c r="U210" s="583">
        <v>218378</v>
      </c>
      <c r="V210" s="583">
        <v>0</v>
      </c>
      <c r="W210" s="583">
        <v>198385</v>
      </c>
      <c r="X210" s="583">
        <v>0</v>
      </c>
      <c r="Y210" s="583">
        <v>416763</v>
      </c>
      <c r="Z210" s="583">
        <v>616640</v>
      </c>
      <c r="AA210" s="583">
        <v>1900295</v>
      </c>
      <c r="AB210" s="583">
        <v>17539</v>
      </c>
      <c r="AC210" s="583">
        <v>-616640</v>
      </c>
      <c r="AD210" s="583">
        <v>0</v>
      </c>
      <c r="AE210" s="583">
        <v>1301194</v>
      </c>
      <c r="AF210" s="583">
        <v>0</v>
      </c>
      <c r="AG210" s="583">
        <v>376400</v>
      </c>
      <c r="AH210" s="583">
        <v>12430</v>
      </c>
      <c r="AI210" s="583">
        <v>40363</v>
      </c>
      <c r="AJ210" s="583">
        <v>0</v>
      </c>
      <c r="AK210" s="583">
        <v>429193</v>
      </c>
      <c r="AL210" s="583">
        <v>40363</v>
      </c>
      <c r="AM210" s="583">
        <v>748216</v>
      </c>
      <c r="AN210" s="583">
        <v>72638</v>
      </c>
      <c r="AO210" s="583">
        <v>-40363</v>
      </c>
      <c r="AP210" s="583">
        <v>0</v>
      </c>
      <c r="AQ210" s="583">
        <v>780491</v>
      </c>
      <c r="AR210" s="583">
        <v>0</v>
      </c>
      <c r="AS210" s="583">
        <v>247147</v>
      </c>
      <c r="AT210" s="583">
        <v>0</v>
      </c>
      <c r="AU210" s="583">
        <v>169616</v>
      </c>
      <c r="AV210" s="583">
        <v>0</v>
      </c>
      <c r="AW210" s="583">
        <v>416763</v>
      </c>
      <c r="AX210" s="583">
        <v>169616</v>
      </c>
      <c r="AY210" s="583">
        <v>478444</v>
      </c>
      <c r="AZ210" s="583">
        <v>17807</v>
      </c>
      <c r="BA210" s="583">
        <v>0</v>
      </c>
      <c r="BB210" s="583">
        <v>0</v>
      </c>
      <c r="BC210" s="583">
        <v>496251</v>
      </c>
      <c r="BD210" s="583">
        <v>169616</v>
      </c>
      <c r="BE210" s="583">
        <v>1009497</v>
      </c>
      <c r="BF210" s="583">
        <v>0</v>
      </c>
      <c r="BG210" s="583">
        <v>-169616</v>
      </c>
      <c r="BH210" s="583">
        <v>0</v>
      </c>
      <c r="BI210" s="583">
        <v>839881</v>
      </c>
      <c r="BJ210" s="583">
        <v>0</v>
      </c>
      <c r="BK210" s="583">
        <v>374667</v>
      </c>
      <c r="BL210" s="583">
        <v>0</v>
      </c>
      <c r="BM210" s="583">
        <v>42096</v>
      </c>
      <c r="BN210" s="583">
        <v>0</v>
      </c>
      <c r="BO210" s="583">
        <v>416763</v>
      </c>
      <c r="BP210" s="583">
        <v>42096</v>
      </c>
      <c r="BQ210" s="583">
        <v>717966</v>
      </c>
      <c r="BR210" s="583">
        <v>117036</v>
      </c>
      <c r="BS210" s="583">
        <v>-42096</v>
      </c>
      <c r="BT210" s="583">
        <v>0</v>
      </c>
      <c r="BU210" s="583">
        <v>792906</v>
      </c>
      <c r="BV210" s="583">
        <v>0</v>
      </c>
    </row>
    <row r="211" spans="1:74" x14ac:dyDescent="0.2">
      <c r="A211" s="580">
        <v>10101</v>
      </c>
      <c r="B211" s="580" t="s">
        <v>246</v>
      </c>
      <c r="C211" s="583">
        <v>767021</v>
      </c>
      <c r="D211" s="583">
        <v>0</v>
      </c>
      <c r="E211" s="583">
        <v>513926</v>
      </c>
      <c r="F211" s="583">
        <v>0</v>
      </c>
      <c r="G211" s="583">
        <v>1280947</v>
      </c>
      <c r="H211" s="583">
        <v>513926</v>
      </c>
      <c r="I211" s="583">
        <v>407876</v>
      </c>
      <c r="J211" s="583">
        <v>0</v>
      </c>
      <c r="K211" s="583">
        <v>873071</v>
      </c>
      <c r="L211" s="583">
        <v>0</v>
      </c>
      <c r="M211" s="583">
        <v>1280947</v>
      </c>
      <c r="N211" s="583">
        <v>1386997</v>
      </c>
      <c r="O211" s="583">
        <v>1163577</v>
      </c>
      <c r="P211" s="583">
        <v>0</v>
      </c>
      <c r="Q211" s="583">
        <v>0</v>
      </c>
      <c r="R211" s="583">
        <v>0</v>
      </c>
      <c r="S211" s="583">
        <v>1163577</v>
      </c>
      <c r="T211" s="583">
        <v>1386997</v>
      </c>
      <c r="U211" s="583">
        <v>617841</v>
      </c>
      <c r="V211" s="583">
        <v>0</v>
      </c>
      <c r="W211" s="583">
        <v>663106</v>
      </c>
      <c r="X211" s="583">
        <v>0</v>
      </c>
      <c r="Y211" s="583">
        <v>1280947</v>
      </c>
      <c r="Z211" s="583">
        <v>2050103</v>
      </c>
      <c r="AA211" s="583">
        <v>5376377</v>
      </c>
      <c r="AB211" s="583">
        <v>49623</v>
      </c>
      <c r="AC211" s="583">
        <v>-2050103</v>
      </c>
      <c r="AD211" s="583">
        <v>0</v>
      </c>
      <c r="AE211" s="583">
        <v>3375897</v>
      </c>
      <c r="AF211" s="583">
        <v>0</v>
      </c>
      <c r="AG211" s="583">
        <v>1064923</v>
      </c>
      <c r="AH211" s="583">
        <v>35168</v>
      </c>
      <c r="AI211" s="583">
        <v>216024</v>
      </c>
      <c r="AJ211" s="583">
        <v>0</v>
      </c>
      <c r="AK211" s="583">
        <v>1316115</v>
      </c>
      <c r="AL211" s="583">
        <v>216024</v>
      </c>
      <c r="AM211" s="583">
        <v>2116877</v>
      </c>
      <c r="AN211" s="583">
        <v>205510</v>
      </c>
      <c r="AO211" s="583">
        <v>-171134</v>
      </c>
      <c r="AP211" s="583">
        <v>0</v>
      </c>
      <c r="AQ211" s="583">
        <v>2151253</v>
      </c>
      <c r="AR211" s="583">
        <v>44890</v>
      </c>
      <c r="AS211" s="583">
        <v>699237</v>
      </c>
      <c r="AT211" s="583">
        <v>0</v>
      </c>
      <c r="AU211" s="583">
        <v>581710</v>
      </c>
      <c r="AV211" s="583">
        <v>0</v>
      </c>
      <c r="AW211" s="583">
        <v>1280947</v>
      </c>
      <c r="AX211" s="583">
        <v>626600</v>
      </c>
      <c r="AY211" s="583">
        <v>1353630</v>
      </c>
      <c r="AZ211" s="583">
        <v>50381</v>
      </c>
      <c r="BA211" s="583">
        <v>0</v>
      </c>
      <c r="BB211" s="583">
        <v>0</v>
      </c>
      <c r="BC211" s="583">
        <v>1404011</v>
      </c>
      <c r="BD211" s="583">
        <v>626600</v>
      </c>
      <c r="BE211" s="583">
        <v>2856101</v>
      </c>
      <c r="BF211" s="583">
        <v>0</v>
      </c>
      <c r="BG211" s="583">
        <v>-626600</v>
      </c>
      <c r="BH211" s="583">
        <v>0</v>
      </c>
      <c r="BI211" s="583">
        <v>2229501</v>
      </c>
      <c r="BJ211" s="583">
        <v>0</v>
      </c>
      <c r="BK211" s="583">
        <v>1060021</v>
      </c>
      <c r="BL211" s="583">
        <v>0</v>
      </c>
      <c r="BM211" s="583">
        <v>220926</v>
      </c>
      <c r="BN211" s="583">
        <v>0</v>
      </c>
      <c r="BO211" s="583">
        <v>1280947</v>
      </c>
      <c r="BP211" s="583">
        <v>220926</v>
      </c>
      <c r="BQ211" s="583">
        <v>2031293</v>
      </c>
      <c r="BR211" s="583">
        <v>331122</v>
      </c>
      <c r="BS211" s="583">
        <v>-220926</v>
      </c>
      <c r="BT211" s="583">
        <v>0</v>
      </c>
      <c r="BU211" s="583">
        <v>2141489</v>
      </c>
      <c r="BV211" s="583">
        <v>0</v>
      </c>
    </row>
    <row r="212" spans="1:74" x14ac:dyDescent="0.2">
      <c r="A212" s="580">
        <v>10102</v>
      </c>
      <c r="B212" s="580" t="s">
        <v>252</v>
      </c>
      <c r="C212" s="583">
        <v>206041</v>
      </c>
      <c r="D212" s="583">
        <v>0</v>
      </c>
      <c r="E212" s="583">
        <v>121062</v>
      </c>
      <c r="F212" s="583">
        <v>0</v>
      </c>
      <c r="G212" s="583">
        <v>327103</v>
      </c>
      <c r="H212" s="583">
        <v>121062</v>
      </c>
      <c r="I212" s="583">
        <v>109566</v>
      </c>
      <c r="J212" s="583">
        <v>0</v>
      </c>
      <c r="K212" s="583">
        <v>217537</v>
      </c>
      <c r="L212" s="583">
        <v>0</v>
      </c>
      <c r="M212" s="583">
        <v>327103</v>
      </c>
      <c r="N212" s="583">
        <v>338599</v>
      </c>
      <c r="O212" s="583">
        <v>312566</v>
      </c>
      <c r="P212" s="583">
        <v>0</v>
      </c>
      <c r="Q212" s="583">
        <v>0</v>
      </c>
      <c r="R212" s="583">
        <v>0</v>
      </c>
      <c r="S212" s="583">
        <v>312566</v>
      </c>
      <c r="T212" s="583">
        <v>338599</v>
      </c>
      <c r="U212" s="583">
        <v>165968</v>
      </c>
      <c r="V212" s="583">
        <v>0</v>
      </c>
      <c r="W212" s="583">
        <v>161135</v>
      </c>
      <c r="X212" s="583">
        <v>0</v>
      </c>
      <c r="Y212" s="583">
        <v>327103</v>
      </c>
      <c r="Z212" s="583">
        <v>499734</v>
      </c>
      <c r="AA212" s="583">
        <v>1444228</v>
      </c>
      <c r="AB212" s="583">
        <v>13330</v>
      </c>
      <c r="AC212" s="583">
        <v>-499734</v>
      </c>
      <c r="AD212" s="583">
        <v>0</v>
      </c>
      <c r="AE212" s="583">
        <v>957824</v>
      </c>
      <c r="AF212" s="583">
        <v>0</v>
      </c>
      <c r="AG212" s="583">
        <v>286065</v>
      </c>
      <c r="AH212" s="583">
        <v>9447</v>
      </c>
      <c r="AI212" s="583">
        <v>41038</v>
      </c>
      <c r="AJ212" s="583">
        <v>0</v>
      </c>
      <c r="AK212" s="583">
        <v>336550</v>
      </c>
      <c r="AL212" s="583">
        <v>41038</v>
      </c>
      <c r="AM212" s="583">
        <v>568646</v>
      </c>
      <c r="AN212" s="583">
        <v>55205</v>
      </c>
      <c r="AO212" s="583">
        <v>-41038</v>
      </c>
      <c r="AP212" s="583">
        <v>0</v>
      </c>
      <c r="AQ212" s="583">
        <v>582813</v>
      </c>
      <c r="AR212" s="583">
        <v>0</v>
      </c>
      <c r="AS212" s="583">
        <v>187832</v>
      </c>
      <c r="AT212" s="583">
        <v>0</v>
      </c>
      <c r="AU212" s="583">
        <v>139271</v>
      </c>
      <c r="AV212" s="583">
        <v>0</v>
      </c>
      <c r="AW212" s="583">
        <v>327103</v>
      </c>
      <c r="AX212" s="583">
        <v>139271</v>
      </c>
      <c r="AY212" s="583">
        <v>363619</v>
      </c>
      <c r="AZ212" s="583">
        <v>13534</v>
      </c>
      <c r="BA212" s="583">
        <v>0</v>
      </c>
      <c r="BB212" s="583">
        <v>0</v>
      </c>
      <c r="BC212" s="583">
        <v>377153</v>
      </c>
      <c r="BD212" s="583">
        <v>139271</v>
      </c>
      <c r="BE212" s="583">
        <v>767220</v>
      </c>
      <c r="BF212" s="583">
        <v>0</v>
      </c>
      <c r="BG212" s="583">
        <v>-139271</v>
      </c>
      <c r="BH212" s="583">
        <v>0</v>
      </c>
      <c r="BI212" s="583">
        <v>627949</v>
      </c>
      <c r="BJ212" s="583">
        <v>0</v>
      </c>
      <c r="BK212" s="583">
        <v>284748</v>
      </c>
      <c r="BL212" s="583">
        <v>0</v>
      </c>
      <c r="BM212" s="583">
        <v>42355</v>
      </c>
      <c r="BN212" s="583">
        <v>0</v>
      </c>
      <c r="BO212" s="583">
        <v>327103</v>
      </c>
      <c r="BP212" s="583">
        <v>42355</v>
      </c>
      <c r="BQ212" s="583">
        <v>545656</v>
      </c>
      <c r="BR212" s="583">
        <v>88948</v>
      </c>
      <c r="BS212" s="583">
        <v>-42355</v>
      </c>
      <c r="BT212" s="583">
        <v>0</v>
      </c>
      <c r="BU212" s="583">
        <v>592249</v>
      </c>
      <c r="BV212" s="583">
        <v>0</v>
      </c>
    </row>
    <row r="213" spans="1:74" x14ac:dyDescent="0.2">
      <c r="A213" s="580">
        <v>10103</v>
      </c>
      <c r="B213" s="580" t="s">
        <v>414</v>
      </c>
      <c r="C213" s="583">
        <v>66502</v>
      </c>
      <c r="D213" s="583">
        <v>0</v>
      </c>
      <c r="E213" s="583">
        <v>39997</v>
      </c>
      <c r="F213" s="583">
        <v>0</v>
      </c>
      <c r="G213" s="583">
        <v>106499</v>
      </c>
      <c r="H213" s="583">
        <v>39997</v>
      </c>
      <c r="I213" s="583">
        <v>35364</v>
      </c>
      <c r="J213" s="583">
        <v>0</v>
      </c>
      <c r="K213" s="583">
        <v>71135</v>
      </c>
      <c r="L213" s="583">
        <v>0</v>
      </c>
      <c r="M213" s="583">
        <v>106499</v>
      </c>
      <c r="N213" s="583">
        <v>111132</v>
      </c>
      <c r="O213" s="583">
        <v>100885</v>
      </c>
      <c r="P213" s="583">
        <v>0</v>
      </c>
      <c r="Q213" s="583">
        <v>0</v>
      </c>
      <c r="R213" s="583">
        <v>0</v>
      </c>
      <c r="S213" s="583">
        <v>100885</v>
      </c>
      <c r="T213" s="583">
        <v>111132</v>
      </c>
      <c r="U213" s="583">
        <v>53568</v>
      </c>
      <c r="V213" s="583">
        <v>0</v>
      </c>
      <c r="W213" s="583">
        <v>52931</v>
      </c>
      <c r="X213" s="583">
        <v>0</v>
      </c>
      <c r="Y213" s="583">
        <v>106499</v>
      </c>
      <c r="Z213" s="583">
        <v>164063</v>
      </c>
      <c r="AA213" s="583">
        <v>466144</v>
      </c>
      <c r="AB213" s="583">
        <v>4302</v>
      </c>
      <c r="AC213" s="583">
        <v>-164063</v>
      </c>
      <c r="AD213" s="583">
        <v>0</v>
      </c>
      <c r="AE213" s="583">
        <v>306383</v>
      </c>
      <c r="AF213" s="583">
        <v>0</v>
      </c>
      <c r="AG213" s="583">
        <v>92331</v>
      </c>
      <c r="AH213" s="583">
        <v>3049</v>
      </c>
      <c r="AI213" s="583">
        <v>14168</v>
      </c>
      <c r="AJ213" s="583">
        <v>0</v>
      </c>
      <c r="AK213" s="583">
        <v>109548</v>
      </c>
      <c r="AL213" s="583">
        <v>14168</v>
      </c>
      <c r="AM213" s="583">
        <v>183538</v>
      </c>
      <c r="AN213" s="583">
        <v>17818</v>
      </c>
      <c r="AO213" s="583">
        <v>-14168</v>
      </c>
      <c r="AP213" s="583">
        <v>0</v>
      </c>
      <c r="AQ213" s="583">
        <v>187188</v>
      </c>
      <c r="AR213" s="583">
        <v>0</v>
      </c>
      <c r="AS213" s="583">
        <v>60625</v>
      </c>
      <c r="AT213" s="583">
        <v>0</v>
      </c>
      <c r="AU213" s="583">
        <v>45874</v>
      </c>
      <c r="AV213" s="583">
        <v>0</v>
      </c>
      <c r="AW213" s="583">
        <v>106499</v>
      </c>
      <c r="AX213" s="583">
        <v>45874</v>
      </c>
      <c r="AY213" s="583">
        <v>117363</v>
      </c>
      <c r="AZ213" s="583">
        <v>4368</v>
      </c>
      <c r="BA213" s="583">
        <v>0</v>
      </c>
      <c r="BB213" s="583">
        <v>0</v>
      </c>
      <c r="BC213" s="583">
        <v>121731</v>
      </c>
      <c r="BD213" s="583">
        <v>45874</v>
      </c>
      <c r="BE213" s="583">
        <v>247631</v>
      </c>
      <c r="BF213" s="583">
        <v>0</v>
      </c>
      <c r="BG213" s="583">
        <v>-45874</v>
      </c>
      <c r="BH213" s="583">
        <v>0</v>
      </c>
      <c r="BI213" s="583">
        <v>201757</v>
      </c>
      <c r="BJ213" s="583">
        <v>0</v>
      </c>
      <c r="BK213" s="583">
        <v>91906</v>
      </c>
      <c r="BL213" s="583">
        <v>0</v>
      </c>
      <c r="BM213" s="583">
        <v>14593</v>
      </c>
      <c r="BN213" s="583">
        <v>0</v>
      </c>
      <c r="BO213" s="583">
        <v>106499</v>
      </c>
      <c r="BP213" s="583">
        <v>14593</v>
      </c>
      <c r="BQ213" s="583">
        <v>176118</v>
      </c>
      <c r="BR213" s="583">
        <v>28709</v>
      </c>
      <c r="BS213" s="583">
        <v>-14593</v>
      </c>
      <c r="BT213" s="583">
        <v>0</v>
      </c>
      <c r="BU213" s="583">
        <v>190234</v>
      </c>
      <c r="BV213" s="583">
        <v>0</v>
      </c>
    </row>
    <row r="214" spans="1:74" x14ac:dyDescent="0.2">
      <c r="A214" s="580">
        <v>10104</v>
      </c>
      <c r="B214" s="580" t="s">
        <v>248</v>
      </c>
      <c r="C214" s="583">
        <v>97813</v>
      </c>
      <c r="D214" s="583">
        <v>0</v>
      </c>
      <c r="E214" s="583">
        <v>61197</v>
      </c>
      <c r="F214" s="583">
        <v>0</v>
      </c>
      <c r="G214" s="583">
        <v>159010</v>
      </c>
      <c r="H214" s="583">
        <v>61197</v>
      </c>
      <c r="I214" s="583">
        <v>52014</v>
      </c>
      <c r="J214" s="583">
        <v>0</v>
      </c>
      <c r="K214" s="583">
        <v>106996</v>
      </c>
      <c r="L214" s="583">
        <v>0</v>
      </c>
      <c r="M214" s="583">
        <v>159010</v>
      </c>
      <c r="N214" s="583">
        <v>168193</v>
      </c>
      <c r="O214" s="583">
        <v>148384</v>
      </c>
      <c r="P214" s="583">
        <v>0</v>
      </c>
      <c r="Q214" s="583">
        <v>0</v>
      </c>
      <c r="R214" s="583">
        <v>0</v>
      </c>
      <c r="S214" s="583">
        <v>148384</v>
      </c>
      <c r="T214" s="583">
        <v>168193</v>
      </c>
      <c r="U214" s="583">
        <v>78789</v>
      </c>
      <c r="V214" s="583">
        <v>0</v>
      </c>
      <c r="W214" s="583">
        <v>80221</v>
      </c>
      <c r="X214" s="583">
        <v>0</v>
      </c>
      <c r="Y214" s="583">
        <v>159010</v>
      </c>
      <c r="Z214" s="583">
        <v>248414</v>
      </c>
      <c r="AA214" s="583">
        <v>685616</v>
      </c>
      <c r="AB214" s="583">
        <v>6328</v>
      </c>
      <c r="AC214" s="583">
        <v>-248414</v>
      </c>
      <c r="AD214" s="583">
        <v>0</v>
      </c>
      <c r="AE214" s="583">
        <v>443530</v>
      </c>
      <c r="AF214" s="583">
        <v>0</v>
      </c>
      <c r="AG214" s="583">
        <v>135803</v>
      </c>
      <c r="AH214" s="583">
        <v>4485</v>
      </c>
      <c r="AI214" s="583">
        <v>23207</v>
      </c>
      <c r="AJ214" s="583">
        <v>0</v>
      </c>
      <c r="AK214" s="583">
        <v>163495</v>
      </c>
      <c r="AL214" s="583">
        <v>23207</v>
      </c>
      <c r="AM214" s="583">
        <v>269952</v>
      </c>
      <c r="AN214" s="583">
        <v>26207</v>
      </c>
      <c r="AO214" s="583">
        <v>-23207</v>
      </c>
      <c r="AP214" s="583">
        <v>0</v>
      </c>
      <c r="AQ214" s="583">
        <v>272952</v>
      </c>
      <c r="AR214" s="583">
        <v>0</v>
      </c>
      <c r="AS214" s="583">
        <v>89169</v>
      </c>
      <c r="AT214" s="583">
        <v>0</v>
      </c>
      <c r="AU214" s="583">
        <v>69841</v>
      </c>
      <c r="AV214" s="583">
        <v>0</v>
      </c>
      <c r="AW214" s="583">
        <v>159010</v>
      </c>
      <c r="AX214" s="583">
        <v>69841</v>
      </c>
      <c r="AY214" s="583">
        <v>172620</v>
      </c>
      <c r="AZ214" s="583">
        <v>6425</v>
      </c>
      <c r="BA214" s="583">
        <v>0</v>
      </c>
      <c r="BB214" s="583">
        <v>0</v>
      </c>
      <c r="BC214" s="583">
        <v>179045</v>
      </c>
      <c r="BD214" s="583">
        <v>69841</v>
      </c>
      <c r="BE214" s="583">
        <v>364221</v>
      </c>
      <c r="BF214" s="583">
        <v>0</v>
      </c>
      <c r="BG214" s="583">
        <v>-69841</v>
      </c>
      <c r="BH214" s="583">
        <v>0</v>
      </c>
      <c r="BI214" s="583">
        <v>294380</v>
      </c>
      <c r="BJ214" s="583">
        <v>0</v>
      </c>
      <c r="BK214" s="583">
        <v>135178</v>
      </c>
      <c r="BL214" s="583">
        <v>0</v>
      </c>
      <c r="BM214" s="583">
        <v>23832</v>
      </c>
      <c r="BN214" s="583">
        <v>0</v>
      </c>
      <c r="BO214" s="583">
        <v>159010</v>
      </c>
      <c r="BP214" s="583">
        <v>23832</v>
      </c>
      <c r="BQ214" s="583">
        <v>259038</v>
      </c>
      <c r="BR214" s="583">
        <v>42226</v>
      </c>
      <c r="BS214" s="583">
        <v>-23832</v>
      </c>
      <c r="BT214" s="583">
        <v>0</v>
      </c>
      <c r="BU214" s="583">
        <v>277432</v>
      </c>
      <c r="BV214" s="583">
        <v>0</v>
      </c>
    </row>
    <row r="215" spans="1:74" x14ac:dyDescent="0.2">
      <c r="A215" s="580">
        <v>10105</v>
      </c>
      <c r="B215" s="580" t="s">
        <v>249</v>
      </c>
      <c r="C215" s="583">
        <v>83090</v>
      </c>
      <c r="D215" s="583">
        <v>0</v>
      </c>
      <c r="E215" s="583">
        <v>52121</v>
      </c>
      <c r="F215" s="583">
        <v>0</v>
      </c>
      <c r="G215" s="583">
        <v>135211</v>
      </c>
      <c r="H215" s="583">
        <v>52121</v>
      </c>
      <c r="I215" s="583">
        <v>44184</v>
      </c>
      <c r="J215" s="583">
        <v>0</v>
      </c>
      <c r="K215" s="583">
        <v>91027</v>
      </c>
      <c r="L215" s="583">
        <v>0</v>
      </c>
      <c r="M215" s="583">
        <v>135211</v>
      </c>
      <c r="N215" s="583">
        <v>143148</v>
      </c>
      <c r="O215" s="583">
        <v>126048</v>
      </c>
      <c r="P215" s="583">
        <v>0</v>
      </c>
      <c r="Q215" s="583">
        <v>0</v>
      </c>
      <c r="R215" s="583">
        <v>0</v>
      </c>
      <c r="S215" s="583">
        <v>126048</v>
      </c>
      <c r="T215" s="583">
        <v>143148</v>
      </c>
      <c r="U215" s="583">
        <v>66929</v>
      </c>
      <c r="V215" s="583">
        <v>0</v>
      </c>
      <c r="W215" s="583">
        <v>68282</v>
      </c>
      <c r="X215" s="583">
        <v>0</v>
      </c>
      <c r="Y215" s="583">
        <v>135211</v>
      </c>
      <c r="Z215" s="583">
        <v>211430</v>
      </c>
      <c r="AA215" s="583">
        <v>582412</v>
      </c>
      <c r="AB215" s="583">
        <v>5376</v>
      </c>
      <c r="AC215" s="583">
        <v>-211430</v>
      </c>
      <c r="AD215" s="583">
        <v>0</v>
      </c>
      <c r="AE215" s="583">
        <v>376358</v>
      </c>
      <c r="AF215" s="583">
        <v>0</v>
      </c>
      <c r="AG215" s="583">
        <v>115361</v>
      </c>
      <c r="AH215" s="583">
        <v>3810</v>
      </c>
      <c r="AI215" s="583">
        <v>19850</v>
      </c>
      <c r="AJ215" s="583">
        <v>0</v>
      </c>
      <c r="AK215" s="583">
        <v>139021</v>
      </c>
      <c r="AL215" s="583">
        <v>19850</v>
      </c>
      <c r="AM215" s="583">
        <v>229317</v>
      </c>
      <c r="AN215" s="583">
        <v>22263</v>
      </c>
      <c r="AO215" s="583">
        <v>-19850</v>
      </c>
      <c r="AP215" s="583">
        <v>0</v>
      </c>
      <c r="AQ215" s="583">
        <v>231730</v>
      </c>
      <c r="AR215" s="583">
        <v>0</v>
      </c>
      <c r="AS215" s="583">
        <v>75747</v>
      </c>
      <c r="AT215" s="583">
        <v>0</v>
      </c>
      <c r="AU215" s="583">
        <v>59464</v>
      </c>
      <c r="AV215" s="583">
        <v>0</v>
      </c>
      <c r="AW215" s="583">
        <v>135211</v>
      </c>
      <c r="AX215" s="583">
        <v>59464</v>
      </c>
      <c r="AY215" s="583">
        <v>146636</v>
      </c>
      <c r="AZ215" s="583">
        <v>5458</v>
      </c>
      <c r="BA215" s="583">
        <v>0</v>
      </c>
      <c r="BB215" s="583">
        <v>0</v>
      </c>
      <c r="BC215" s="583">
        <v>152094</v>
      </c>
      <c r="BD215" s="583">
        <v>59464</v>
      </c>
      <c r="BE215" s="583">
        <v>309395</v>
      </c>
      <c r="BF215" s="583">
        <v>0</v>
      </c>
      <c r="BG215" s="583">
        <v>-59464</v>
      </c>
      <c r="BH215" s="583">
        <v>0</v>
      </c>
      <c r="BI215" s="583">
        <v>249931</v>
      </c>
      <c r="BJ215" s="583">
        <v>0</v>
      </c>
      <c r="BK215" s="583">
        <v>114830</v>
      </c>
      <c r="BL215" s="583">
        <v>0</v>
      </c>
      <c r="BM215" s="583">
        <v>20381</v>
      </c>
      <c r="BN215" s="583">
        <v>0</v>
      </c>
      <c r="BO215" s="583">
        <v>135211</v>
      </c>
      <c r="BP215" s="583">
        <v>20381</v>
      </c>
      <c r="BQ215" s="583">
        <v>220046</v>
      </c>
      <c r="BR215" s="583">
        <v>35870</v>
      </c>
      <c r="BS215" s="583">
        <v>-20381</v>
      </c>
      <c r="BT215" s="583">
        <v>0</v>
      </c>
      <c r="BU215" s="583">
        <v>235535</v>
      </c>
      <c r="BV215" s="583">
        <v>0</v>
      </c>
    </row>
    <row r="216" spans="1:74" x14ac:dyDescent="0.2">
      <c r="A216" s="580">
        <v>10106</v>
      </c>
      <c r="B216" s="580" t="s">
        <v>251</v>
      </c>
      <c r="C216" s="583">
        <v>113855</v>
      </c>
      <c r="D216" s="583">
        <v>0</v>
      </c>
      <c r="E216" s="583">
        <v>76287</v>
      </c>
      <c r="F216" s="583">
        <v>0</v>
      </c>
      <c r="G216" s="583">
        <v>190142</v>
      </c>
      <c r="H216" s="583">
        <v>76287</v>
      </c>
      <c r="I216" s="583">
        <v>60544</v>
      </c>
      <c r="J216" s="583">
        <v>0</v>
      </c>
      <c r="K216" s="583">
        <v>129598</v>
      </c>
      <c r="L216" s="583">
        <v>0</v>
      </c>
      <c r="M216" s="583">
        <v>190142</v>
      </c>
      <c r="N216" s="583">
        <v>205885</v>
      </c>
      <c r="O216" s="583">
        <v>172720</v>
      </c>
      <c r="P216" s="583">
        <v>0</v>
      </c>
      <c r="Q216" s="583">
        <v>0</v>
      </c>
      <c r="R216" s="583">
        <v>0</v>
      </c>
      <c r="S216" s="583">
        <v>172720</v>
      </c>
      <c r="T216" s="583">
        <v>205885</v>
      </c>
      <c r="U216" s="583">
        <v>91711</v>
      </c>
      <c r="V216" s="583">
        <v>0</v>
      </c>
      <c r="W216" s="583">
        <v>98431</v>
      </c>
      <c r="X216" s="583">
        <v>0</v>
      </c>
      <c r="Y216" s="583">
        <v>190142</v>
      </c>
      <c r="Z216" s="583">
        <v>304316</v>
      </c>
      <c r="AA216" s="583">
        <v>798061</v>
      </c>
      <c r="AB216" s="583">
        <v>7366</v>
      </c>
      <c r="AC216" s="583">
        <v>-304316</v>
      </c>
      <c r="AD216" s="583">
        <v>0</v>
      </c>
      <c r="AE216" s="583">
        <v>501111</v>
      </c>
      <c r="AF216" s="583">
        <v>0</v>
      </c>
      <c r="AG216" s="583">
        <v>158075</v>
      </c>
      <c r="AH216" s="583">
        <v>5220</v>
      </c>
      <c r="AI216" s="583">
        <v>32067</v>
      </c>
      <c r="AJ216" s="583">
        <v>0</v>
      </c>
      <c r="AK216" s="583">
        <v>195362</v>
      </c>
      <c r="AL216" s="583">
        <v>32067</v>
      </c>
      <c r="AM216" s="583">
        <v>314226</v>
      </c>
      <c r="AN216" s="583">
        <v>30506</v>
      </c>
      <c r="AO216" s="583">
        <v>-25403</v>
      </c>
      <c r="AP216" s="583">
        <v>0</v>
      </c>
      <c r="AQ216" s="583">
        <v>319329</v>
      </c>
      <c r="AR216" s="583">
        <v>6664</v>
      </c>
      <c r="AS216" s="583">
        <v>103794</v>
      </c>
      <c r="AT216" s="583">
        <v>0</v>
      </c>
      <c r="AU216" s="583">
        <v>86348</v>
      </c>
      <c r="AV216" s="583">
        <v>0</v>
      </c>
      <c r="AW216" s="583">
        <v>190142</v>
      </c>
      <c r="AX216" s="583">
        <v>93012</v>
      </c>
      <c r="AY216" s="583">
        <v>200931</v>
      </c>
      <c r="AZ216" s="583">
        <v>7478</v>
      </c>
      <c r="BA216" s="583">
        <v>0</v>
      </c>
      <c r="BB216" s="583">
        <v>0</v>
      </c>
      <c r="BC216" s="583">
        <v>208409</v>
      </c>
      <c r="BD216" s="583">
        <v>93012</v>
      </c>
      <c r="BE216" s="583">
        <v>423955</v>
      </c>
      <c r="BF216" s="583">
        <v>0</v>
      </c>
      <c r="BG216" s="583">
        <v>-93012</v>
      </c>
      <c r="BH216" s="583">
        <v>0</v>
      </c>
      <c r="BI216" s="583">
        <v>330943</v>
      </c>
      <c r="BJ216" s="583">
        <v>0</v>
      </c>
      <c r="BK216" s="583">
        <v>157348</v>
      </c>
      <c r="BL216" s="583">
        <v>0</v>
      </c>
      <c r="BM216" s="583">
        <v>32794</v>
      </c>
      <c r="BN216" s="583">
        <v>0</v>
      </c>
      <c r="BO216" s="583">
        <v>190142</v>
      </c>
      <c r="BP216" s="583">
        <v>32794</v>
      </c>
      <c r="BQ216" s="583">
        <v>301522</v>
      </c>
      <c r="BR216" s="583">
        <v>49151</v>
      </c>
      <c r="BS216" s="583">
        <v>-32794</v>
      </c>
      <c r="BT216" s="583">
        <v>0</v>
      </c>
      <c r="BU216" s="583">
        <v>317879</v>
      </c>
      <c r="BV216" s="583">
        <v>0</v>
      </c>
    </row>
    <row r="217" spans="1:74" x14ac:dyDescent="0.2">
      <c r="A217" s="580">
        <v>10107</v>
      </c>
      <c r="B217" s="580" t="s">
        <v>250</v>
      </c>
      <c r="C217" s="583">
        <v>84305</v>
      </c>
      <c r="D217" s="583">
        <v>0</v>
      </c>
      <c r="E217" s="583">
        <v>55497</v>
      </c>
      <c r="F217" s="583">
        <v>0</v>
      </c>
      <c r="G217" s="583">
        <v>139802</v>
      </c>
      <c r="H217" s="583">
        <v>55497</v>
      </c>
      <c r="I217" s="583">
        <v>44830</v>
      </c>
      <c r="J217" s="583">
        <v>0</v>
      </c>
      <c r="K217" s="583">
        <v>94972</v>
      </c>
      <c r="L217" s="583">
        <v>0</v>
      </c>
      <c r="M217" s="583">
        <v>139802</v>
      </c>
      <c r="N217" s="583">
        <v>150469</v>
      </c>
      <c r="O217" s="583">
        <v>127891</v>
      </c>
      <c r="P217" s="583">
        <v>0</v>
      </c>
      <c r="Q217" s="583">
        <v>0</v>
      </c>
      <c r="R217" s="583">
        <v>0</v>
      </c>
      <c r="S217" s="583">
        <v>127891</v>
      </c>
      <c r="T217" s="583">
        <v>150469</v>
      </c>
      <c r="U217" s="583">
        <v>67908</v>
      </c>
      <c r="V217" s="583">
        <v>0</v>
      </c>
      <c r="W217" s="583">
        <v>71894</v>
      </c>
      <c r="X217" s="583">
        <v>0</v>
      </c>
      <c r="Y217" s="583">
        <v>139802</v>
      </c>
      <c r="Z217" s="583">
        <v>222363</v>
      </c>
      <c r="AA217" s="583">
        <v>590928</v>
      </c>
      <c r="AB217" s="583">
        <v>5454</v>
      </c>
      <c r="AC217" s="583">
        <v>-222363</v>
      </c>
      <c r="AD217" s="583">
        <v>0</v>
      </c>
      <c r="AE217" s="583">
        <v>374019</v>
      </c>
      <c r="AF217" s="583">
        <v>0</v>
      </c>
      <c r="AG217" s="583">
        <v>117048</v>
      </c>
      <c r="AH217" s="583">
        <v>3865</v>
      </c>
      <c r="AI217" s="583">
        <v>22754</v>
      </c>
      <c r="AJ217" s="583">
        <v>0</v>
      </c>
      <c r="AK217" s="583">
        <v>143667</v>
      </c>
      <c r="AL217" s="583">
        <v>22754</v>
      </c>
      <c r="AM217" s="583">
        <v>232670</v>
      </c>
      <c r="AN217" s="583">
        <v>22588</v>
      </c>
      <c r="AO217" s="583">
        <v>-20312</v>
      </c>
      <c r="AP217" s="583">
        <v>0</v>
      </c>
      <c r="AQ217" s="583">
        <v>234946</v>
      </c>
      <c r="AR217" s="583">
        <v>2442</v>
      </c>
      <c r="AS217" s="583">
        <v>76855</v>
      </c>
      <c r="AT217" s="583">
        <v>0</v>
      </c>
      <c r="AU217" s="583">
        <v>62947</v>
      </c>
      <c r="AV217" s="583">
        <v>0</v>
      </c>
      <c r="AW217" s="583">
        <v>139802</v>
      </c>
      <c r="AX217" s="583">
        <v>65389</v>
      </c>
      <c r="AY217" s="583">
        <v>148780</v>
      </c>
      <c r="AZ217" s="583">
        <v>5537</v>
      </c>
      <c r="BA217" s="583">
        <v>0</v>
      </c>
      <c r="BB217" s="583">
        <v>0</v>
      </c>
      <c r="BC217" s="583">
        <v>154317</v>
      </c>
      <c r="BD217" s="583">
        <v>65389</v>
      </c>
      <c r="BE217" s="583">
        <v>313920</v>
      </c>
      <c r="BF217" s="583">
        <v>0</v>
      </c>
      <c r="BG217" s="583">
        <v>-65389</v>
      </c>
      <c r="BH217" s="583">
        <v>0</v>
      </c>
      <c r="BI217" s="583">
        <v>248531</v>
      </c>
      <c r="BJ217" s="583">
        <v>0</v>
      </c>
      <c r="BK217" s="583">
        <v>116509</v>
      </c>
      <c r="BL217" s="583">
        <v>0</v>
      </c>
      <c r="BM217" s="583">
        <v>23293</v>
      </c>
      <c r="BN217" s="583">
        <v>0</v>
      </c>
      <c r="BO217" s="583">
        <v>139802</v>
      </c>
      <c r="BP217" s="583">
        <v>23293</v>
      </c>
      <c r="BQ217" s="583">
        <v>223264</v>
      </c>
      <c r="BR217" s="583">
        <v>36394</v>
      </c>
      <c r="BS217" s="583">
        <v>-23293</v>
      </c>
      <c r="BT217" s="583">
        <v>0</v>
      </c>
      <c r="BU217" s="583">
        <v>236365</v>
      </c>
      <c r="BV217" s="583">
        <v>0</v>
      </c>
    </row>
    <row r="218" spans="1:74" x14ac:dyDescent="0.2">
      <c r="A218" s="580">
        <v>10108</v>
      </c>
      <c r="B218" s="580" t="s">
        <v>415</v>
      </c>
      <c r="C218" s="583">
        <v>147857</v>
      </c>
      <c r="D218" s="583">
        <v>0</v>
      </c>
      <c r="E218" s="583">
        <v>69891</v>
      </c>
      <c r="F218" s="583">
        <v>0</v>
      </c>
      <c r="G218" s="583">
        <v>217748</v>
      </c>
      <c r="H218" s="583">
        <v>69891</v>
      </c>
      <c r="I218" s="583">
        <v>78626</v>
      </c>
      <c r="J218" s="583">
        <v>0</v>
      </c>
      <c r="K218" s="583">
        <v>139122</v>
      </c>
      <c r="L218" s="583">
        <v>0</v>
      </c>
      <c r="M218" s="583">
        <v>217748</v>
      </c>
      <c r="N218" s="583">
        <v>209013</v>
      </c>
      <c r="O218" s="583">
        <v>224301</v>
      </c>
      <c r="P218" s="583">
        <v>0</v>
      </c>
      <c r="Q218" s="583">
        <v>0</v>
      </c>
      <c r="R218" s="583">
        <v>0</v>
      </c>
      <c r="S218" s="583">
        <v>224301</v>
      </c>
      <c r="T218" s="583">
        <v>209013</v>
      </c>
      <c r="U218" s="583">
        <v>119100</v>
      </c>
      <c r="V218" s="583">
        <v>0</v>
      </c>
      <c r="W218" s="583">
        <v>98648</v>
      </c>
      <c r="X218" s="583">
        <v>0</v>
      </c>
      <c r="Y218" s="583">
        <v>217748</v>
      </c>
      <c r="Z218" s="583">
        <v>307661</v>
      </c>
      <c r="AA218" s="583">
        <v>1036396</v>
      </c>
      <c r="AB218" s="583">
        <v>9566</v>
      </c>
      <c r="AC218" s="583">
        <v>-307661</v>
      </c>
      <c r="AD218" s="583">
        <v>0</v>
      </c>
      <c r="AE218" s="583">
        <v>738301</v>
      </c>
      <c r="AF218" s="583">
        <v>0</v>
      </c>
      <c r="AG218" s="583">
        <v>205284</v>
      </c>
      <c r="AH218" s="583">
        <v>6779</v>
      </c>
      <c r="AI218" s="583">
        <v>12464</v>
      </c>
      <c r="AJ218" s="583">
        <v>0</v>
      </c>
      <c r="AK218" s="583">
        <v>224527</v>
      </c>
      <c r="AL218" s="583">
        <v>12464</v>
      </c>
      <c r="AM218" s="583">
        <v>408067</v>
      </c>
      <c r="AN218" s="583">
        <v>39616</v>
      </c>
      <c r="AO218" s="583">
        <v>-12464</v>
      </c>
      <c r="AP218" s="583">
        <v>0</v>
      </c>
      <c r="AQ218" s="583">
        <v>435219</v>
      </c>
      <c r="AR218" s="583">
        <v>0</v>
      </c>
      <c r="AS218" s="583">
        <v>134791</v>
      </c>
      <c r="AT218" s="583">
        <v>0</v>
      </c>
      <c r="AU218" s="583">
        <v>82957</v>
      </c>
      <c r="AV218" s="583">
        <v>0</v>
      </c>
      <c r="AW218" s="583">
        <v>217748</v>
      </c>
      <c r="AX218" s="583">
        <v>82957</v>
      </c>
      <c r="AY218" s="583">
        <v>260937</v>
      </c>
      <c r="AZ218" s="583">
        <v>9712</v>
      </c>
      <c r="BA218" s="583">
        <v>0</v>
      </c>
      <c r="BB218" s="583">
        <v>0</v>
      </c>
      <c r="BC218" s="583">
        <v>270649</v>
      </c>
      <c r="BD218" s="583">
        <v>82957</v>
      </c>
      <c r="BE218" s="583">
        <v>550566</v>
      </c>
      <c r="BF218" s="583">
        <v>0</v>
      </c>
      <c r="BG218" s="583">
        <v>-82957</v>
      </c>
      <c r="BH218" s="583">
        <v>0</v>
      </c>
      <c r="BI218" s="583">
        <v>467609</v>
      </c>
      <c r="BJ218" s="583">
        <v>0</v>
      </c>
      <c r="BK218" s="583">
        <v>204339</v>
      </c>
      <c r="BL218" s="583">
        <v>0</v>
      </c>
      <c r="BM218" s="583">
        <v>13409</v>
      </c>
      <c r="BN218" s="583">
        <v>0</v>
      </c>
      <c r="BO218" s="583">
        <v>217748</v>
      </c>
      <c r="BP218" s="583">
        <v>13409</v>
      </c>
      <c r="BQ218" s="583">
        <v>391569</v>
      </c>
      <c r="BR218" s="583">
        <v>63830</v>
      </c>
      <c r="BS218" s="583">
        <v>-13409</v>
      </c>
      <c r="BT218" s="583">
        <v>0</v>
      </c>
      <c r="BU218" s="583">
        <v>441990</v>
      </c>
      <c r="BV218" s="583">
        <v>0</v>
      </c>
    </row>
    <row r="219" spans="1:74" x14ac:dyDescent="0.2">
      <c r="A219" s="580">
        <v>10109</v>
      </c>
      <c r="B219" s="580" t="s">
        <v>247</v>
      </c>
      <c r="C219" s="583">
        <v>85026</v>
      </c>
      <c r="D219" s="583">
        <v>0</v>
      </c>
      <c r="E219" s="583">
        <v>56416</v>
      </c>
      <c r="F219" s="583">
        <v>0</v>
      </c>
      <c r="G219" s="583">
        <v>141442</v>
      </c>
      <c r="H219" s="583">
        <v>56416</v>
      </c>
      <c r="I219" s="583">
        <v>45214</v>
      </c>
      <c r="J219" s="583">
        <v>0</v>
      </c>
      <c r="K219" s="583">
        <v>96228</v>
      </c>
      <c r="L219" s="583">
        <v>0</v>
      </c>
      <c r="M219" s="583">
        <v>141442</v>
      </c>
      <c r="N219" s="583">
        <v>152644</v>
      </c>
      <c r="O219" s="583">
        <v>128985</v>
      </c>
      <c r="P219" s="583">
        <v>0</v>
      </c>
      <c r="Q219" s="583">
        <v>0</v>
      </c>
      <c r="R219" s="583">
        <v>0</v>
      </c>
      <c r="S219" s="583">
        <v>128985</v>
      </c>
      <c r="T219" s="583">
        <v>152644</v>
      </c>
      <c r="U219" s="583">
        <v>68489</v>
      </c>
      <c r="V219" s="583">
        <v>0</v>
      </c>
      <c r="W219" s="583">
        <v>72953</v>
      </c>
      <c r="X219" s="583">
        <v>0</v>
      </c>
      <c r="Y219" s="583">
        <v>141442</v>
      </c>
      <c r="Z219" s="583">
        <v>225597</v>
      </c>
      <c r="AA219" s="583">
        <v>595982</v>
      </c>
      <c r="AB219" s="583">
        <v>5501</v>
      </c>
      <c r="AC219" s="583">
        <v>-225597</v>
      </c>
      <c r="AD219" s="583">
        <v>0</v>
      </c>
      <c r="AE219" s="583">
        <v>375886</v>
      </c>
      <c r="AF219" s="583">
        <v>0</v>
      </c>
      <c r="AG219" s="583">
        <v>118049</v>
      </c>
      <c r="AH219" s="583">
        <v>3898</v>
      </c>
      <c r="AI219" s="583">
        <v>23393</v>
      </c>
      <c r="AJ219" s="583">
        <v>0</v>
      </c>
      <c r="AK219" s="583">
        <v>145340</v>
      </c>
      <c r="AL219" s="583">
        <v>23393</v>
      </c>
      <c r="AM219" s="583">
        <v>234660</v>
      </c>
      <c r="AN219" s="583">
        <v>22781</v>
      </c>
      <c r="AO219" s="583">
        <v>-19811</v>
      </c>
      <c r="AP219" s="583">
        <v>0</v>
      </c>
      <c r="AQ219" s="583">
        <v>237630</v>
      </c>
      <c r="AR219" s="583">
        <v>3582</v>
      </c>
      <c r="AS219" s="583">
        <v>77512</v>
      </c>
      <c r="AT219" s="583">
        <v>0</v>
      </c>
      <c r="AU219" s="583">
        <v>63930</v>
      </c>
      <c r="AV219" s="583">
        <v>0</v>
      </c>
      <c r="AW219" s="583">
        <v>141442</v>
      </c>
      <c r="AX219" s="583">
        <v>67512</v>
      </c>
      <c r="AY219" s="583">
        <v>150053</v>
      </c>
      <c r="AZ219" s="583">
        <v>5585</v>
      </c>
      <c r="BA219" s="583">
        <v>0</v>
      </c>
      <c r="BB219" s="583">
        <v>0</v>
      </c>
      <c r="BC219" s="583">
        <v>155638</v>
      </c>
      <c r="BD219" s="583">
        <v>67512</v>
      </c>
      <c r="BE219" s="583">
        <v>316604</v>
      </c>
      <c r="BF219" s="583">
        <v>0</v>
      </c>
      <c r="BG219" s="583">
        <v>-67512</v>
      </c>
      <c r="BH219" s="583">
        <v>0</v>
      </c>
      <c r="BI219" s="583">
        <v>249092</v>
      </c>
      <c r="BJ219" s="583">
        <v>0</v>
      </c>
      <c r="BK219" s="583">
        <v>117505</v>
      </c>
      <c r="BL219" s="583">
        <v>0</v>
      </c>
      <c r="BM219" s="583">
        <v>23937</v>
      </c>
      <c r="BN219" s="583">
        <v>0</v>
      </c>
      <c r="BO219" s="583">
        <v>141442</v>
      </c>
      <c r="BP219" s="583">
        <v>23937</v>
      </c>
      <c r="BQ219" s="583">
        <v>225173</v>
      </c>
      <c r="BR219" s="583">
        <v>36706</v>
      </c>
      <c r="BS219" s="583">
        <v>-23937</v>
      </c>
      <c r="BT219" s="583">
        <v>0</v>
      </c>
      <c r="BU219" s="583">
        <v>237942</v>
      </c>
      <c r="BV219" s="583">
        <v>0</v>
      </c>
    </row>
    <row r="220" spans="1:74" x14ac:dyDescent="0.2">
      <c r="A220" s="580">
        <v>10201</v>
      </c>
      <c r="B220" s="580" t="s">
        <v>253</v>
      </c>
      <c r="C220" s="583">
        <v>449191</v>
      </c>
      <c r="D220" s="583">
        <v>0</v>
      </c>
      <c r="E220" s="583">
        <v>300971</v>
      </c>
      <c r="F220" s="583">
        <v>0</v>
      </c>
      <c r="G220" s="583">
        <v>750162</v>
      </c>
      <c r="H220" s="583">
        <v>300971</v>
      </c>
      <c r="I220" s="583">
        <v>238864</v>
      </c>
      <c r="J220" s="583">
        <v>0</v>
      </c>
      <c r="K220" s="583">
        <v>511298</v>
      </c>
      <c r="L220" s="583">
        <v>0</v>
      </c>
      <c r="M220" s="583">
        <v>750162</v>
      </c>
      <c r="N220" s="583">
        <v>812269</v>
      </c>
      <c r="O220" s="583">
        <v>681426</v>
      </c>
      <c r="P220" s="583">
        <v>0</v>
      </c>
      <c r="Q220" s="583">
        <v>0</v>
      </c>
      <c r="R220" s="583">
        <v>0</v>
      </c>
      <c r="S220" s="583">
        <v>681426</v>
      </c>
      <c r="T220" s="583">
        <v>812269</v>
      </c>
      <c r="U220" s="583">
        <v>361827</v>
      </c>
      <c r="V220" s="583">
        <v>0</v>
      </c>
      <c r="W220" s="583">
        <v>388335</v>
      </c>
      <c r="X220" s="583">
        <v>0</v>
      </c>
      <c r="Y220" s="583">
        <v>750162</v>
      </c>
      <c r="Z220" s="583">
        <v>1200604</v>
      </c>
      <c r="AA220" s="583">
        <v>3148570</v>
      </c>
      <c r="AB220" s="583">
        <v>29060</v>
      </c>
      <c r="AC220" s="583">
        <v>-1200604</v>
      </c>
      <c r="AD220" s="583">
        <v>0</v>
      </c>
      <c r="AE220" s="583">
        <v>1977026</v>
      </c>
      <c r="AF220" s="583">
        <v>0</v>
      </c>
      <c r="AG220" s="583">
        <v>623651</v>
      </c>
      <c r="AH220" s="583">
        <v>20595</v>
      </c>
      <c r="AI220" s="583">
        <v>126511</v>
      </c>
      <c r="AJ220" s="583">
        <v>0</v>
      </c>
      <c r="AK220" s="583">
        <v>770757</v>
      </c>
      <c r="AL220" s="583">
        <v>126511</v>
      </c>
      <c r="AM220" s="583">
        <v>1239708</v>
      </c>
      <c r="AN220" s="583">
        <v>120353</v>
      </c>
      <c r="AO220" s="583">
        <v>-100222</v>
      </c>
      <c r="AP220" s="583">
        <v>0</v>
      </c>
      <c r="AQ220" s="583">
        <v>1259839</v>
      </c>
      <c r="AR220" s="583">
        <v>26289</v>
      </c>
      <c r="AS220" s="583">
        <v>409494</v>
      </c>
      <c r="AT220" s="583">
        <v>0</v>
      </c>
      <c r="AU220" s="583">
        <v>340668</v>
      </c>
      <c r="AV220" s="583">
        <v>0</v>
      </c>
      <c r="AW220" s="583">
        <v>750162</v>
      </c>
      <c r="AX220" s="583">
        <v>366957</v>
      </c>
      <c r="AY220" s="583">
        <v>792727</v>
      </c>
      <c r="AZ220" s="583">
        <v>29505</v>
      </c>
      <c r="BA220" s="583">
        <v>0</v>
      </c>
      <c r="BB220" s="583">
        <v>0</v>
      </c>
      <c r="BC220" s="583">
        <v>822232</v>
      </c>
      <c r="BD220" s="583">
        <v>366957</v>
      </c>
      <c r="BE220" s="583">
        <v>1672620</v>
      </c>
      <c r="BF220" s="583">
        <v>0</v>
      </c>
      <c r="BG220" s="583">
        <v>-366957</v>
      </c>
      <c r="BH220" s="583">
        <v>0</v>
      </c>
      <c r="BI220" s="583">
        <v>1305663</v>
      </c>
      <c r="BJ220" s="583">
        <v>0</v>
      </c>
      <c r="BK220" s="583">
        <v>620781</v>
      </c>
      <c r="BL220" s="583">
        <v>0</v>
      </c>
      <c r="BM220" s="583">
        <v>129381</v>
      </c>
      <c r="BN220" s="583">
        <v>0</v>
      </c>
      <c r="BO220" s="583">
        <v>750162</v>
      </c>
      <c r="BP220" s="583">
        <v>129381</v>
      </c>
      <c r="BQ220" s="583">
        <v>1189587</v>
      </c>
      <c r="BR220" s="583">
        <v>193915</v>
      </c>
      <c r="BS220" s="583">
        <v>-129381</v>
      </c>
      <c r="BT220" s="583">
        <v>0</v>
      </c>
      <c r="BU220" s="583">
        <v>1254121</v>
      </c>
      <c r="BV220" s="583">
        <v>0</v>
      </c>
    </row>
    <row r="221" spans="1:74" x14ac:dyDescent="0.2">
      <c r="A221" s="580">
        <v>10202</v>
      </c>
      <c r="B221" s="580" t="s">
        <v>255</v>
      </c>
      <c r="C221" s="583">
        <v>300444</v>
      </c>
      <c r="D221" s="583">
        <v>0</v>
      </c>
      <c r="E221" s="583">
        <v>182092</v>
      </c>
      <c r="F221" s="583">
        <v>0</v>
      </c>
      <c r="G221" s="583">
        <v>482536</v>
      </c>
      <c r="H221" s="583">
        <v>182092</v>
      </c>
      <c r="I221" s="583">
        <v>159766</v>
      </c>
      <c r="J221" s="583">
        <v>0</v>
      </c>
      <c r="K221" s="583">
        <v>322770</v>
      </c>
      <c r="L221" s="583">
        <v>0</v>
      </c>
      <c r="M221" s="583">
        <v>482536</v>
      </c>
      <c r="N221" s="583">
        <v>504862</v>
      </c>
      <c r="O221" s="583">
        <v>455776</v>
      </c>
      <c r="P221" s="583">
        <v>0</v>
      </c>
      <c r="Q221" s="583">
        <v>0</v>
      </c>
      <c r="R221" s="583">
        <v>0</v>
      </c>
      <c r="S221" s="583">
        <v>455776</v>
      </c>
      <c r="T221" s="583">
        <v>504862</v>
      </c>
      <c r="U221" s="583">
        <v>242010</v>
      </c>
      <c r="V221" s="583">
        <v>0</v>
      </c>
      <c r="W221" s="583">
        <v>240526</v>
      </c>
      <c r="X221" s="583">
        <v>0</v>
      </c>
      <c r="Y221" s="583">
        <v>482536</v>
      </c>
      <c r="Z221" s="583">
        <v>745388</v>
      </c>
      <c r="AA221" s="583">
        <v>2105942</v>
      </c>
      <c r="AB221" s="583">
        <v>19437</v>
      </c>
      <c r="AC221" s="583">
        <v>-745388</v>
      </c>
      <c r="AD221" s="583">
        <v>0</v>
      </c>
      <c r="AE221" s="583">
        <v>1379991</v>
      </c>
      <c r="AF221" s="583">
        <v>0</v>
      </c>
      <c r="AG221" s="583">
        <v>417133</v>
      </c>
      <c r="AH221" s="583">
        <v>13775</v>
      </c>
      <c r="AI221" s="583">
        <v>65403</v>
      </c>
      <c r="AJ221" s="583">
        <v>0</v>
      </c>
      <c r="AK221" s="583">
        <v>496311</v>
      </c>
      <c r="AL221" s="583">
        <v>65403</v>
      </c>
      <c r="AM221" s="583">
        <v>829187</v>
      </c>
      <c r="AN221" s="583">
        <v>80499</v>
      </c>
      <c r="AO221" s="583">
        <v>-65403</v>
      </c>
      <c r="AP221" s="583">
        <v>0</v>
      </c>
      <c r="AQ221" s="583">
        <v>844283</v>
      </c>
      <c r="AR221" s="583">
        <v>0</v>
      </c>
      <c r="AS221" s="583">
        <v>273893</v>
      </c>
      <c r="AT221" s="583">
        <v>0</v>
      </c>
      <c r="AU221" s="583">
        <v>208643</v>
      </c>
      <c r="AV221" s="583">
        <v>0</v>
      </c>
      <c r="AW221" s="583">
        <v>482536</v>
      </c>
      <c r="AX221" s="583">
        <v>208643</v>
      </c>
      <c r="AY221" s="583">
        <v>530221</v>
      </c>
      <c r="AZ221" s="583">
        <v>19734</v>
      </c>
      <c r="BA221" s="583">
        <v>0</v>
      </c>
      <c r="BB221" s="583">
        <v>0</v>
      </c>
      <c r="BC221" s="583">
        <v>549955</v>
      </c>
      <c r="BD221" s="583">
        <v>208643</v>
      </c>
      <c r="BE221" s="583">
        <v>1118742</v>
      </c>
      <c r="BF221" s="583">
        <v>0</v>
      </c>
      <c r="BG221" s="583">
        <v>-208643</v>
      </c>
      <c r="BH221" s="583">
        <v>0</v>
      </c>
      <c r="BI221" s="583">
        <v>910099</v>
      </c>
      <c r="BJ221" s="583">
        <v>0</v>
      </c>
      <c r="BK221" s="583">
        <v>415213</v>
      </c>
      <c r="BL221" s="583">
        <v>0</v>
      </c>
      <c r="BM221" s="583">
        <v>67323</v>
      </c>
      <c r="BN221" s="583">
        <v>0</v>
      </c>
      <c r="BO221" s="583">
        <v>482536</v>
      </c>
      <c r="BP221" s="583">
        <v>67323</v>
      </c>
      <c r="BQ221" s="583">
        <v>795663</v>
      </c>
      <c r="BR221" s="583">
        <v>129701</v>
      </c>
      <c r="BS221" s="583">
        <v>-67323</v>
      </c>
      <c r="BT221" s="583">
        <v>0</v>
      </c>
      <c r="BU221" s="583">
        <v>858041</v>
      </c>
      <c r="BV221" s="583">
        <v>0</v>
      </c>
    </row>
    <row r="222" spans="1:74" x14ac:dyDescent="0.2">
      <c r="A222" s="580">
        <v>10203</v>
      </c>
      <c r="B222" s="580" t="s">
        <v>254</v>
      </c>
      <c r="C222" s="583">
        <v>131632</v>
      </c>
      <c r="D222" s="583">
        <v>0</v>
      </c>
      <c r="E222" s="583">
        <v>71231</v>
      </c>
      <c r="F222" s="583">
        <v>0</v>
      </c>
      <c r="G222" s="583">
        <v>202863</v>
      </c>
      <c r="H222" s="583">
        <v>71231</v>
      </c>
      <c r="I222" s="583">
        <v>69998</v>
      </c>
      <c r="J222" s="583">
        <v>0</v>
      </c>
      <c r="K222" s="583">
        <v>132865</v>
      </c>
      <c r="L222" s="583">
        <v>0</v>
      </c>
      <c r="M222" s="583">
        <v>202863</v>
      </c>
      <c r="N222" s="583">
        <v>204096</v>
      </c>
      <c r="O222" s="583">
        <v>199688</v>
      </c>
      <c r="P222" s="583">
        <v>0</v>
      </c>
      <c r="Q222" s="583">
        <v>0</v>
      </c>
      <c r="R222" s="583">
        <v>0</v>
      </c>
      <c r="S222" s="583">
        <v>199688</v>
      </c>
      <c r="T222" s="583">
        <v>204096</v>
      </c>
      <c r="U222" s="583">
        <v>106031</v>
      </c>
      <c r="V222" s="583">
        <v>0</v>
      </c>
      <c r="W222" s="583">
        <v>96832</v>
      </c>
      <c r="X222" s="583">
        <v>0</v>
      </c>
      <c r="Y222" s="583">
        <v>202863</v>
      </c>
      <c r="Z222" s="583">
        <v>300928</v>
      </c>
      <c r="AA222" s="583">
        <v>922668</v>
      </c>
      <c r="AB222" s="583">
        <v>8516</v>
      </c>
      <c r="AC222" s="583">
        <v>-300928</v>
      </c>
      <c r="AD222" s="583">
        <v>0</v>
      </c>
      <c r="AE222" s="583">
        <v>630256</v>
      </c>
      <c r="AF222" s="583">
        <v>0</v>
      </c>
      <c r="AG222" s="583">
        <v>182757</v>
      </c>
      <c r="AH222" s="583">
        <v>6035</v>
      </c>
      <c r="AI222" s="583">
        <v>20106</v>
      </c>
      <c r="AJ222" s="583">
        <v>0</v>
      </c>
      <c r="AK222" s="583">
        <v>208898</v>
      </c>
      <c r="AL222" s="583">
        <v>20106</v>
      </c>
      <c r="AM222" s="583">
        <v>363288</v>
      </c>
      <c r="AN222" s="583">
        <v>35269</v>
      </c>
      <c r="AO222" s="583">
        <v>-20106</v>
      </c>
      <c r="AP222" s="583">
        <v>0</v>
      </c>
      <c r="AQ222" s="583">
        <v>378451</v>
      </c>
      <c r="AR222" s="583">
        <v>0</v>
      </c>
      <c r="AS222" s="583">
        <v>120000</v>
      </c>
      <c r="AT222" s="583">
        <v>0</v>
      </c>
      <c r="AU222" s="583">
        <v>82863</v>
      </c>
      <c r="AV222" s="583">
        <v>0</v>
      </c>
      <c r="AW222" s="583">
        <v>202863</v>
      </c>
      <c r="AX222" s="583">
        <v>82863</v>
      </c>
      <c r="AY222" s="583">
        <v>232303</v>
      </c>
      <c r="AZ222" s="583">
        <v>8646</v>
      </c>
      <c r="BA222" s="583">
        <v>0</v>
      </c>
      <c r="BB222" s="583">
        <v>0</v>
      </c>
      <c r="BC222" s="583">
        <v>240949</v>
      </c>
      <c r="BD222" s="583">
        <v>82863</v>
      </c>
      <c r="BE222" s="583">
        <v>490150</v>
      </c>
      <c r="BF222" s="583">
        <v>0</v>
      </c>
      <c r="BG222" s="583">
        <v>-82863</v>
      </c>
      <c r="BH222" s="583">
        <v>0</v>
      </c>
      <c r="BI222" s="583">
        <v>407287</v>
      </c>
      <c r="BJ222" s="583">
        <v>0</v>
      </c>
      <c r="BK222" s="583">
        <v>181916</v>
      </c>
      <c r="BL222" s="583">
        <v>0</v>
      </c>
      <c r="BM222" s="583">
        <v>20947</v>
      </c>
      <c r="BN222" s="583">
        <v>0</v>
      </c>
      <c r="BO222" s="583">
        <v>202863</v>
      </c>
      <c r="BP222" s="583">
        <v>20947</v>
      </c>
      <c r="BQ222" s="583">
        <v>348601</v>
      </c>
      <c r="BR222" s="583">
        <v>56826</v>
      </c>
      <c r="BS222" s="583">
        <v>-20947</v>
      </c>
      <c r="BT222" s="583">
        <v>0</v>
      </c>
      <c r="BU222" s="583">
        <v>384480</v>
      </c>
      <c r="BV222" s="583">
        <v>0</v>
      </c>
    </row>
    <row r="223" spans="1:74" x14ac:dyDescent="0.2">
      <c r="A223" s="580">
        <v>10204</v>
      </c>
      <c r="B223" s="580" t="s">
        <v>416</v>
      </c>
      <c r="C223" s="583">
        <v>86963</v>
      </c>
      <c r="D223" s="583">
        <v>0</v>
      </c>
      <c r="E223" s="583">
        <v>51830</v>
      </c>
      <c r="F223" s="583">
        <v>0</v>
      </c>
      <c r="G223" s="583">
        <v>138793</v>
      </c>
      <c r="H223" s="583">
        <v>51830</v>
      </c>
      <c r="I223" s="583">
        <v>46244</v>
      </c>
      <c r="J223" s="583">
        <v>0</v>
      </c>
      <c r="K223" s="583">
        <v>92549</v>
      </c>
      <c r="L223" s="583">
        <v>0</v>
      </c>
      <c r="M223" s="583">
        <v>138793</v>
      </c>
      <c r="N223" s="583">
        <v>144379</v>
      </c>
      <c r="O223" s="583">
        <v>131924</v>
      </c>
      <c r="P223" s="583">
        <v>0</v>
      </c>
      <c r="Q223" s="583">
        <v>0</v>
      </c>
      <c r="R223" s="583">
        <v>0</v>
      </c>
      <c r="S223" s="583">
        <v>131924</v>
      </c>
      <c r="T223" s="583">
        <v>144379</v>
      </c>
      <c r="U223" s="583">
        <v>70050</v>
      </c>
      <c r="V223" s="583">
        <v>0</v>
      </c>
      <c r="W223" s="583">
        <v>68743</v>
      </c>
      <c r="X223" s="583">
        <v>0</v>
      </c>
      <c r="Y223" s="583">
        <v>138793</v>
      </c>
      <c r="Z223" s="583">
        <v>213122</v>
      </c>
      <c r="AA223" s="583">
        <v>609562</v>
      </c>
      <c r="AB223" s="583">
        <v>5626</v>
      </c>
      <c r="AC223" s="583">
        <v>-213122</v>
      </c>
      <c r="AD223" s="583">
        <v>0</v>
      </c>
      <c r="AE223" s="583">
        <v>402066</v>
      </c>
      <c r="AF223" s="583">
        <v>0</v>
      </c>
      <c r="AG223" s="583">
        <v>120739</v>
      </c>
      <c r="AH223" s="583">
        <v>3987</v>
      </c>
      <c r="AI223" s="583">
        <v>18054</v>
      </c>
      <c r="AJ223" s="583">
        <v>0</v>
      </c>
      <c r="AK223" s="583">
        <v>142780</v>
      </c>
      <c r="AL223" s="583">
        <v>18054</v>
      </c>
      <c r="AM223" s="583">
        <v>240007</v>
      </c>
      <c r="AN223" s="583">
        <v>23300</v>
      </c>
      <c r="AO223" s="583">
        <v>-18054</v>
      </c>
      <c r="AP223" s="583">
        <v>0</v>
      </c>
      <c r="AQ223" s="583">
        <v>245253</v>
      </c>
      <c r="AR223" s="583">
        <v>0</v>
      </c>
      <c r="AS223" s="583">
        <v>79278</v>
      </c>
      <c r="AT223" s="583">
        <v>0</v>
      </c>
      <c r="AU223" s="583">
        <v>59515</v>
      </c>
      <c r="AV223" s="583">
        <v>0</v>
      </c>
      <c r="AW223" s="583">
        <v>138793</v>
      </c>
      <c r="AX223" s="583">
        <v>59515</v>
      </c>
      <c r="AY223" s="583">
        <v>153472</v>
      </c>
      <c r="AZ223" s="583">
        <v>5712</v>
      </c>
      <c r="BA223" s="583">
        <v>0</v>
      </c>
      <c r="BB223" s="583">
        <v>0</v>
      </c>
      <c r="BC223" s="583">
        <v>159184</v>
      </c>
      <c r="BD223" s="583">
        <v>59515</v>
      </c>
      <c r="BE223" s="583">
        <v>323819</v>
      </c>
      <c r="BF223" s="583">
        <v>0</v>
      </c>
      <c r="BG223" s="583">
        <v>-59515</v>
      </c>
      <c r="BH223" s="583">
        <v>0</v>
      </c>
      <c r="BI223" s="583">
        <v>264304</v>
      </c>
      <c r="BJ223" s="583">
        <v>0</v>
      </c>
      <c r="BK223" s="583">
        <v>120183</v>
      </c>
      <c r="BL223" s="583">
        <v>0</v>
      </c>
      <c r="BM223" s="583">
        <v>18610</v>
      </c>
      <c r="BN223" s="583">
        <v>0</v>
      </c>
      <c r="BO223" s="583">
        <v>138793</v>
      </c>
      <c r="BP223" s="583">
        <v>18610</v>
      </c>
      <c r="BQ223" s="583">
        <v>230304</v>
      </c>
      <c r="BR223" s="583">
        <v>37542</v>
      </c>
      <c r="BS223" s="583">
        <v>-18610</v>
      </c>
      <c r="BT223" s="583">
        <v>0</v>
      </c>
      <c r="BU223" s="583">
        <v>249236</v>
      </c>
      <c r="BV223" s="583">
        <v>0</v>
      </c>
    </row>
    <row r="224" spans="1:74" x14ac:dyDescent="0.2">
      <c r="A224" s="580">
        <v>10205</v>
      </c>
      <c r="B224" s="580" t="s">
        <v>257</v>
      </c>
      <c r="C224" s="583">
        <v>142588</v>
      </c>
      <c r="D224" s="583">
        <v>0</v>
      </c>
      <c r="E224" s="583">
        <v>80704</v>
      </c>
      <c r="F224" s="583">
        <v>0</v>
      </c>
      <c r="G224" s="583">
        <v>223292</v>
      </c>
      <c r="H224" s="583">
        <v>80704</v>
      </c>
      <c r="I224" s="583">
        <v>75823</v>
      </c>
      <c r="J224" s="583">
        <v>0</v>
      </c>
      <c r="K224" s="583">
        <v>147469</v>
      </c>
      <c r="L224" s="583">
        <v>0</v>
      </c>
      <c r="M224" s="583">
        <v>223292</v>
      </c>
      <c r="N224" s="583">
        <v>228173</v>
      </c>
      <c r="O224" s="583">
        <v>216307</v>
      </c>
      <c r="P224" s="583">
        <v>0</v>
      </c>
      <c r="Q224" s="583">
        <v>0</v>
      </c>
      <c r="R224" s="583">
        <v>0</v>
      </c>
      <c r="S224" s="583">
        <v>216307</v>
      </c>
      <c r="T224" s="583">
        <v>228173</v>
      </c>
      <c r="U224" s="583">
        <v>114855</v>
      </c>
      <c r="V224" s="583">
        <v>0</v>
      </c>
      <c r="W224" s="583">
        <v>108437</v>
      </c>
      <c r="X224" s="583">
        <v>0</v>
      </c>
      <c r="Y224" s="583">
        <v>223292</v>
      </c>
      <c r="Z224" s="583">
        <v>336610</v>
      </c>
      <c r="AA224" s="583">
        <v>999458</v>
      </c>
      <c r="AB224" s="583">
        <v>9225</v>
      </c>
      <c r="AC224" s="583">
        <v>-336610</v>
      </c>
      <c r="AD224" s="583">
        <v>0</v>
      </c>
      <c r="AE224" s="583">
        <v>672073</v>
      </c>
      <c r="AF224" s="583">
        <v>0</v>
      </c>
      <c r="AG224" s="583">
        <v>197967</v>
      </c>
      <c r="AH224" s="583">
        <v>6538</v>
      </c>
      <c r="AI224" s="583">
        <v>25325</v>
      </c>
      <c r="AJ224" s="583">
        <v>0</v>
      </c>
      <c r="AK224" s="583">
        <v>229830</v>
      </c>
      <c r="AL224" s="583">
        <v>25325</v>
      </c>
      <c r="AM224" s="583">
        <v>393523</v>
      </c>
      <c r="AN224" s="583">
        <v>38204</v>
      </c>
      <c r="AO224" s="583">
        <v>-25325</v>
      </c>
      <c r="AP224" s="583">
        <v>0</v>
      </c>
      <c r="AQ224" s="583">
        <v>406402</v>
      </c>
      <c r="AR224" s="583">
        <v>0</v>
      </c>
      <c r="AS224" s="583">
        <v>129987</v>
      </c>
      <c r="AT224" s="583">
        <v>0</v>
      </c>
      <c r="AU224" s="583">
        <v>93305</v>
      </c>
      <c r="AV224" s="583">
        <v>0</v>
      </c>
      <c r="AW224" s="583">
        <v>223292</v>
      </c>
      <c r="AX224" s="583">
        <v>93305</v>
      </c>
      <c r="AY224" s="583">
        <v>251637</v>
      </c>
      <c r="AZ224" s="583">
        <v>9366</v>
      </c>
      <c r="BA224" s="583">
        <v>0</v>
      </c>
      <c r="BB224" s="583">
        <v>0</v>
      </c>
      <c r="BC224" s="583">
        <v>261003</v>
      </c>
      <c r="BD224" s="583">
        <v>93305</v>
      </c>
      <c r="BE224" s="583">
        <v>530943</v>
      </c>
      <c r="BF224" s="583">
        <v>0</v>
      </c>
      <c r="BG224" s="583">
        <v>-93305</v>
      </c>
      <c r="BH224" s="583">
        <v>0</v>
      </c>
      <c r="BI224" s="583">
        <v>437638</v>
      </c>
      <c r="BJ224" s="583">
        <v>0</v>
      </c>
      <c r="BK224" s="583">
        <v>197056</v>
      </c>
      <c r="BL224" s="583">
        <v>0</v>
      </c>
      <c r="BM224" s="583">
        <v>26236</v>
      </c>
      <c r="BN224" s="583">
        <v>0</v>
      </c>
      <c r="BO224" s="583">
        <v>223292</v>
      </c>
      <c r="BP224" s="583">
        <v>26236</v>
      </c>
      <c r="BQ224" s="583">
        <v>377613</v>
      </c>
      <c r="BR224" s="583">
        <v>61555</v>
      </c>
      <c r="BS224" s="583">
        <v>-26236</v>
      </c>
      <c r="BT224" s="583">
        <v>0</v>
      </c>
      <c r="BU224" s="583">
        <v>412932</v>
      </c>
      <c r="BV224" s="583">
        <v>0</v>
      </c>
    </row>
    <row r="225" spans="1:74" x14ac:dyDescent="0.2">
      <c r="A225" s="580">
        <v>10206</v>
      </c>
      <c r="B225" s="580" t="s">
        <v>417</v>
      </c>
      <c r="C225" s="583">
        <v>82400</v>
      </c>
      <c r="D225" s="583">
        <v>0</v>
      </c>
      <c r="E225" s="583">
        <v>44713</v>
      </c>
      <c r="F225" s="583">
        <v>0</v>
      </c>
      <c r="G225" s="583">
        <v>127113</v>
      </c>
      <c r="H225" s="583">
        <v>44713</v>
      </c>
      <c r="I225" s="583">
        <v>43818</v>
      </c>
      <c r="J225" s="583">
        <v>0</v>
      </c>
      <c r="K225" s="583">
        <v>83295</v>
      </c>
      <c r="L225" s="583">
        <v>0</v>
      </c>
      <c r="M225" s="583">
        <v>127113</v>
      </c>
      <c r="N225" s="583">
        <v>128008</v>
      </c>
      <c r="O225" s="583">
        <v>125002</v>
      </c>
      <c r="P225" s="583">
        <v>0</v>
      </c>
      <c r="Q225" s="583">
        <v>0</v>
      </c>
      <c r="R225" s="583">
        <v>0</v>
      </c>
      <c r="S225" s="583">
        <v>125002</v>
      </c>
      <c r="T225" s="583">
        <v>128008</v>
      </c>
      <c r="U225" s="583">
        <v>66374</v>
      </c>
      <c r="V225" s="583">
        <v>0</v>
      </c>
      <c r="W225" s="583">
        <v>60739</v>
      </c>
      <c r="X225" s="583">
        <v>0</v>
      </c>
      <c r="Y225" s="583">
        <v>127113</v>
      </c>
      <c r="Z225" s="583">
        <v>188747</v>
      </c>
      <c r="AA225" s="583">
        <v>577579</v>
      </c>
      <c r="AB225" s="583">
        <v>5331</v>
      </c>
      <c r="AC225" s="583">
        <v>-188747</v>
      </c>
      <c r="AD225" s="583">
        <v>0</v>
      </c>
      <c r="AE225" s="583">
        <v>394163</v>
      </c>
      <c r="AF225" s="583">
        <v>0</v>
      </c>
      <c r="AG225" s="583">
        <v>114404</v>
      </c>
      <c r="AH225" s="583">
        <v>3778</v>
      </c>
      <c r="AI225" s="583">
        <v>12709</v>
      </c>
      <c r="AJ225" s="583">
        <v>0</v>
      </c>
      <c r="AK225" s="583">
        <v>130891</v>
      </c>
      <c r="AL225" s="583">
        <v>12709</v>
      </c>
      <c r="AM225" s="583">
        <v>227414</v>
      </c>
      <c r="AN225" s="583">
        <v>22078</v>
      </c>
      <c r="AO225" s="583">
        <v>-12709</v>
      </c>
      <c r="AP225" s="583">
        <v>0</v>
      </c>
      <c r="AQ225" s="583">
        <v>236783</v>
      </c>
      <c r="AR225" s="583">
        <v>0</v>
      </c>
      <c r="AS225" s="583">
        <v>75118</v>
      </c>
      <c r="AT225" s="583">
        <v>0</v>
      </c>
      <c r="AU225" s="583">
        <v>51995</v>
      </c>
      <c r="AV225" s="583">
        <v>0</v>
      </c>
      <c r="AW225" s="583">
        <v>127113</v>
      </c>
      <c r="AX225" s="583">
        <v>51995</v>
      </c>
      <c r="AY225" s="583">
        <v>145419</v>
      </c>
      <c r="AZ225" s="583">
        <v>5412</v>
      </c>
      <c r="BA225" s="583">
        <v>0</v>
      </c>
      <c r="BB225" s="583">
        <v>0</v>
      </c>
      <c r="BC225" s="583">
        <v>150831</v>
      </c>
      <c r="BD225" s="583">
        <v>51995</v>
      </c>
      <c r="BE225" s="583">
        <v>306828</v>
      </c>
      <c r="BF225" s="583">
        <v>0</v>
      </c>
      <c r="BG225" s="583">
        <v>-51995</v>
      </c>
      <c r="BH225" s="583">
        <v>0</v>
      </c>
      <c r="BI225" s="583">
        <v>254833</v>
      </c>
      <c r="BJ225" s="583">
        <v>0</v>
      </c>
      <c r="BK225" s="583">
        <v>113877</v>
      </c>
      <c r="BL225" s="583">
        <v>0</v>
      </c>
      <c r="BM225" s="583">
        <v>13236</v>
      </c>
      <c r="BN225" s="583">
        <v>0</v>
      </c>
      <c r="BO225" s="583">
        <v>127113</v>
      </c>
      <c r="BP225" s="583">
        <v>13236</v>
      </c>
      <c r="BQ225" s="583">
        <v>218220</v>
      </c>
      <c r="BR225" s="583">
        <v>35572</v>
      </c>
      <c r="BS225" s="583">
        <v>-13236</v>
      </c>
      <c r="BT225" s="583">
        <v>0</v>
      </c>
      <c r="BU225" s="583">
        <v>240556</v>
      </c>
      <c r="BV225" s="583">
        <v>0</v>
      </c>
    </row>
    <row r="226" spans="1:74" x14ac:dyDescent="0.2">
      <c r="A226" s="580">
        <v>10207</v>
      </c>
      <c r="B226" s="580" t="s">
        <v>418</v>
      </c>
      <c r="C226" s="583">
        <v>98171</v>
      </c>
      <c r="D226" s="583">
        <v>0</v>
      </c>
      <c r="E226" s="583">
        <v>48452</v>
      </c>
      <c r="F226" s="583">
        <v>0</v>
      </c>
      <c r="G226" s="583">
        <v>146623</v>
      </c>
      <c r="H226" s="583">
        <v>48452</v>
      </c>
      <c r="I226" s="583">
        <v>52204</v>
      </c>
      <c r="J226" s="583">
        <v>0</v>
      </c>
      <c r="K226" s="583">
        <v>94419</v>
      </c>
      <c r="L226" s="583">
        <v>0</v>
      </c>
      <c r="M226" s="583">
        <v>146623</v>
      </c>
      <c r="N226" s="583">
        <v>142871</v>
      </c>
      <c r="O226" s="583">
        <v>148926</v>
      </c>
      <c r="P226" s="583">
        <v>0</v>
      </c>
      <c r="Q226" s="583">
        <v>0</v>
      </c>
      <c r="R226" s="583">
        <v>0</v>
      </c>
      <c r="S226" s="583">
        <v>148926</v>
      </c>
      <c r="T226" s="583">
        <v>142871</v>
      </c>
      <c r="U226" s="583">
        <v>79078</v>
      </c>
      <c r="V226" s="583">
        <v>0</v>
      </c>
      <c r="W226" s="583">
        <v>67545</v>
      </c>
      <c r="X226" s="583">
        <v>0</v>
      </c>
      <c r="Y226" s="583">
        <v>146623</v>
      </c>
      <c r="Z226" s="583">
        <v>210416</v>
      </c>
      <c r="AA226" s="583">
        <v>688122</v>
      </c>
      <c r="AB226" s="583">
        <v>6351</v>
      </c>
      <c r="AC226" s="583">
        <v>-210416</v>
      </c>
      <c r="AD226" s="583">
        <v>0</v>
      </c>
      <c r="AE226" s="583">
        <v>484057</v>
      </c>
      <c r="AF226" s="583">
        <v>0</v>
      </c>
      <c r="AG226" s="583">
        <v>136299</v>
      </c>
      <c r="AH226" s="583">
        <v>4501</v>
      </c>
      <c r="AI226" s="583">
        <v>10324</v>
      </c>
      <c r="AJ226" s="583">
        <v>0</v>
      </c>
      <c r="AK226" s="583">
        <v>151124</v>
      </c>
      <c r="AL226" s="583">
        <v>10324</v>
      </c>
      <c r="AM226" s="583">
        <v>270939</v>
      </c>
      <c r="AN226" s="583">
        <v>26303</v>
      </c>
      <c r="AO226" s="583">
        <v>-10324</v>
      </c>
      <c r="AP226" s="583">
        <v>0</v>
      </c>
      <c r="AQ226" s="583">
        <v>286918</v>
      </c>
      <c r="AR226" s="583">
        <v>0</v>
      </c>
      <c r="AS226" s="583">
        <v>89495</v>
      </c>
      <c r="AT226" s="583">
        <v>0</v>
      </c>
      <c r="AU226" s="583">
        <v>57128</v>
      </c>
      <c r="AV226" s="583">
        <v>0</v>
      </c>
      <c r="AW226" s="583">
        <v>146623</v>
      </c>
      <c r="AX226" s="583">
        <v>57128</v>
      </c>
      <c r="AY226" s="583">
        <v>173251</v>
      </c>
      <c r="AZ226" s="583">
        <v>6448</v>
      </c>
      <c r="BA226" s="583">
        <v>0</v>
      </c>
      <c r="BB226" s="583">
        <v>0</v>
      </c>
      <c r="BC226" s="583">
        <v>179699</v>
      </c>
      <c r="BD226" s="583">
        <v>57128</v>
      </c>
      <c r="BE226" s="583">
        <v>365552</v>
      </c>
      <c r="BF226" s="583">
        <v>0</v>
      </c>
      <c r="BG226" s="583">
        <v>-57128</v>
      </c>
      <c r="BH226" s="583">
        <v>0</v>
      </c>
      <c r="BI226" s="583">
        <v>308424</v>
      </c>
      <c r="BJ226" s="583">
        <v>0</v>
      </c>
      <c r="BK226" s="583">
        <v>135672</v>
      </c>
      <c r="BL226" s="583">
        <v>0</v>
      </c>
      <c r="BM226" s="583">
        <v>10951</v>
      </c>
      <c r="BN226" s="583">
        <v>0</v>
      </c>
      <c r="BO226" s="583">
        <v>146623</v>
      </c>
      <c r="BP226" s="583">
        <v>10951</v>
      </c>
      <c r="BQ226" s="583">
        <v>259985</v>
      </c>
      <c r="BR226" s="583">
        <v>42380</v>
      </c>
      <c r="BS226" s="583">
        <v>-10951</v>
      </c>
      <c r="BT226" s="583">
        <v>0</v>
      </c>
      <c r="BU226" s="583">
        <v>291414</v>
      </c>
      <c r="BV226" s="583">
        <v>0</v>
      </c>
    </row>
    <row r="227" spans="1:74" x14ac:dyDescent="0.2">
      <c r="A227" s="580">
        <v>10208</v>
      </c>
      <c r="B227" s="580" t="s">
        <v>419</v>
      </c>
      <c r="C227" s="583">
        <v>191466</v>
      </c>
      <c r="D227" s="583">
        <v>0</v>
      </c>
      <c r="E227" s="583">
        <v>90400</v>
      </c>
      <c r="F227" s="583">
        <v>0</v>
      </c>
      <c r="G227" s="583">
        <v>281866</v>
      </c>
      <c r="H227" s="583">
        <v>90400</v>
      </c>
      <c r="I227" s="583">
        <v>101815</v>
      </c>
      <c r="J227" s="583">
        <v>0</v>
      </c>
      <c r="K227" s="583">
        <v>180051</v>
      </c>
      <c r="L227" s="583">
        <v>0</v>
      </c>
      <c r="M227" s="583">
        <v>281866</v>
      </c>
      <c r="N227" s="583">
        <v>270451</v>
      </c>
      <c r="O227" s="583">
        <v>290456</v>
      </c>
      <c r="P227" s="583">
        <v>0</v>
      </c>
      <c r="Q227" s="583">
        <v>0</v>
      </c>
      <c r="R227" s="583">
        <v>0</v>
      </c>
      <c r="S227" s="583">
        <v>290456</v>
      </c>
      <c r="T227" s="583">
        <v>270451</v>
      </c>
      <c r="U227" s="583">
        <v>154228</v>
      </c>
      <c r="V227" s="583">
        <v>0</v>
      </c>
      <c r="W227" s="583">
        <v>127638</v>
      </c>
      <c r="X227" s="583">
        <v>0</v>
      </c>
      <c r="Y227" s="583">
        <v>281866</v>
      </c>
      <c r="Z227" s="583">
        <v>398089</v>
      </c>
      <c r="AA227" s="583">
        <v>1342069</v>
      </c>
      <c r="AB227" s="583">
        <v>12387</v>
      </c>
      <c r="AC227" s="583">
        <v>-398089</v>
      </c>
      <c r="AD227" s="583">
        <v>0</v>
      </c>
      <c r="AE227" s="583">
        <v>956367</v>
      </c>
      <c r="AF227" s="583">
        <v>0</v>
      </c>
      <c r="AG227" s="583">
        <v>265830</v>
      </c>
      <c r="AH227" s="583">
        <v>8779</v>
      </c>
      <c r="AI227" s="583">
        <v>16036</v>
      </c>
      <c r="AJ227" s="583">
        <v>0</v>
      </c>
      <c r="AK227" s="583">
        <v>290645</v>
      </c>
      <c r="AL227" s="583">
        <v>16036</v>
      </c>
      <c r="AM227" s="583">
        <v>528422</v>
      </c>
      <c r="AN227" s="583">
        <v>51300</v>
      </c>
      <c r="AO227" s="583">
        <v>-16036</v>
      </c>
      <c r="AP227" s="583">
        <v>0</v>
      </c>
      <c r="AQ227" s="583">
        <v>563686</v>
      </c>
      <c r="AR227" s="583">
        <v>0</v>
      </c>
      <c r="AS227" s="583">
        <v>174546</v>
      </c>
      <c r="AT227" s="583">
        <v>0</v>
      </c>
      <c r="AU227" s="583">
        <v>107320</v>
      </c>
      <c r="AV227" s="583">
        <v>0</v>
      </c>
      <c r="AW227" s="583">
        <v>281866</v>
      </c>
      <c r="AX227" s="583">
        <v>107320</v>
      </c>
      <c r="AY227" s="583">
        <v>337898</v>
      </c>
      <c r="AZ227" s="583">
        <v>12576</v>
      </c>
      <c r="BA227" s="583">
        <v>0</v>
      </c>
      <c r="BB227" s="583">
        <v>0</v>
      </c>
      <c r="BC227" s="583">
        <v>350474</v>
      </c>
      <c r="BD227" s="583">
        <v>107320</v>
      </c>
      <c r="BE227" s="583">
        <v>712949</v>
      </c>
      <c r="BF227" s="583">
        <v>0</v>
      </c>
      <c r="BG227" s="583">
        <v>-107320</v>
      </c>
      <c r="BH227" s="583">
        <v>0</v>
      </c>
      <c r="BI227" s="583">
        <v>605629</v>
      </c>
      <c r="BJ227" s="583">
        <v>0</v>
      </c>
      <c r="BK227" s="583">
        <v>264606</v>
      </c>
      <c r="BL227" s="583">
        <v>0</v>
      </c>
      <c r="BM227" s="583">
        <v>17260</v>
      </c>
      <c r="BN227" s="583">
        <v>0</v>
      </c>
      <c r="BO227" s="583">
        <v>281866</v>
      </c>
      <c r="BP227" s="583">
        <v>17260</v>
      </c>
      <c r="BQ227" s="583">
        <v>507058</v>
      </c>
      <c r="BR227" s="583">
        <v>82656</v>
      </c>
      <c r="BS227" s="583">
        <v>-17260</v>
      </c>
      <c r="BT227" s="583">
        <v>0</v>
      </c>
      <c r="BU227" s="583">
        <v>572454</v>
      </c>
      <c r="BV227" s="583">
        <v>0</v>
      </c>
    </row>
    <row r="228" spans="1:74" x14ac:dyDescent="0.2">
      <c r="A228" s="580">
        <v>10209</v>
      </c>
      <c r="B228" s="580" t="s">
        <v>256</v>
      </c>
      <c r="C228" s="583">
        <v>116980</v>
      </c>
      <c r="D228" s="583">
        <v>0</v>
      </c>
      <c r="E228" s="583">
        <v>62237</v>
      </c>
      <c r="F228" s="583">
        <v>0</v>
      </c>
      <c r="G228" s="583">
        <v>179217</v>
      </c>
      <c r="H228" s="583">
        <v>62237</v>
      </c>
      <c r="I228" s="583">
        <v>62206</v>
      </c>
      <c r="J228" s="583">
        <v>0</v>
      </c>
      <c r="K228" s="583">
        <v>117011</v>
      </c>
      <c r="L228" s="583">
        <v>0</v>
      </c>
      <c r="M228" s="583">
        <v>179217</v>
      </c>
      <c r="N228" s="583">
        <v>179248</v>
      </c>
      <c r="O228" s="583">
        <v>177460</v>
      </c>
      <c r="P228" s="583">
        <v>0</v>
      </c>
      <c r="Q228" s="583">
        <v>0</v>
      </c>
      <c r="R228" s="583">
        <v>0</v>
      </c>
      <c r="S228" s="583">
        <v>177460</v>
      </c>
      <c r="T228" s="583">
        <v>179248</v>
      </c>
      <c r="U228" s="583">
        <v>94228</v>
      </c>
      <c r="V228" s="583">
        <v>0</v>
      </c>
      <c r="W228" s="583">
        <v>84989</v>
      </c>
      <c r="X228" s="583">
        <v>0</v>
      </c>
      <c r="Y228" s="583">
        <v>179217</v>
      </c>
      <c r="Z228" s="583">
        <v>264237</v>
      </c>
      <c r="AA228" s="583">
        <v>819964</v>
      </c>
      <c r="AB228" s="583">
        <v>7568</v>
      </c>
      <c r="AC228" s="583">
        <v>-264237</v>
      </c>
      <c r="AD228" s="583">
        <v>0</v>
      </c>
      <c r="AE228" s="583">
        <v>563295</v>
      </c>
      <c r="AF228" s="583">
        <v>0</v>
      </c>
      <c r="AG228" s="583">
        <v>162414</v>
      </c>
      <c r="AH228" s="583">
        <v>5364</v>
      </c>
      <c r="AI228" s="583">
        <v>16803</v>
      </c>
      <c r="AJ228" s="583">
        <v>0</v>
      </c>
      <c r="AK228" s="583">
        <v>184581</v>
      </c>
      <c r="AL228" s="583">
        <v>16803</v>
      </c>
      <c r="AM228" s="583">
        <v>322850</v>
      </c>
      <c r="AN228" s="583">
        <v>31343</v>
      </c>
      <c r="AO228" s="583">
        <v>-16803</v>
      </c>
      <c r="AP228" s="583">
        <v>0</v>
      </c>
      <c r="AQ228" s="583">
        <v>337390</v>
      </c>
      <c r="AR228" s="583">
        <v>0</v>
      </c>
      <c r="AS228" s="583">
        <v>106642</v>
      </c>
      <c r="AT228" s="583">
        <v>0</v>
      </c>
      <c r="AU228" s="583">
        <v>72575</v>
      </c>
      <c r="AV228" s="583">
        <v>0</v>
      </c>
      <c r="AW228" s="583">
        <v>179217</v>
      </c>
      <c r="AX228" s="583">
        <v>72575</v>
      </c>
      <c r="AY228" s="583">
        <v>206445</v>
      </c>
      <c r="AZ228" s="583">
        <v>7684</v>
      </c>
      <c r="BA228" s="583">
        <v>0</v>
      </c>
      <c r="BB228" s="583">
        <v>0</v>
      </c>
      <c r="BC228" s="583">
        <v>214129</v>
      </c>
      <c r="BD228" s="583">
        <v>72575</v>
      </c>
      <c r="BE228" s="583">
        <v>435591</v>
      </c>
      <c r="BF228" s="583">
        <v>0</v>
      </c>
      <c r="BG228" s="583">
        <v>-72575</v>
      </c>
      <c r="BH228" s="583">
        <v>0</v>
      </c>
      <c r="BI228" s="583">
        <v>363016</v>
      </c>
      <c r="BJ228" s="583">
        <v>0</v>
      </c>
      <c r="BK228" s="583">
        <v>161666</v>
      </c>
      <c r="BL228" s="583">
        <v>0</v>
      </c>
      <c r="BM228" s="583">
        <v>17551</v>
      </c>
      <c r="BN228" s="583">
        <v>0</v>
      </c>
      <c r="BO228" s="583">
        <v>179217</v>
      </c>
      <c r="BP228" s="583">
        <v>17551</v>
      </c>
      <c r="BQ228" s="583">
        <v>309797</v>
      </c>
      <c r="BR228" s="583">
        <v>50500</v>
      </c>
      <c r="BS228" s="583">
        <v>-17551</v>
      </c>
      <c r="BT228" s="583">
        <v>0</v>
      </c>
      <c r="BU228" s="583">
        <v>342746</v>
      </c>
      <c r="BV228" s="583">
        <v>0</v>
      </c>
    </row>
    <row r="229" spans="1:74" x14ac:dyDescent="0.2">
      <c r="A229" s="580">
        <v>10210</v>
      </c>
      <c r="B229" s="580" t="s">
        <v>258</v>
      </c>
      <c r="C229" s="583">
        <v>108768</v>
      </c>
      <c r="D229" s="583">
        <v>0</v>
      </c>
      <c r="E229" s="583">
        <v>61558</v>
      </c>
      <c r="F229" s="583">
        <v>0</v>
      </c>
      <c r="G229" s="583">
        <v>170326</v>
      </c>
      <c r="H229" s="583">
        <v>61558</v>
      </c>
      <c r="I229" s="583">
        <v>57839</v>
      </c>
      <c r="J229" s="583">
        <v>0</v>
      </c>
      <c r="K229" s="583">
        <v>112487</v>
      </c>
      <c r="L229" s="583">
        <v>0</v>
      </c>
      <c r="M229" s="583">
        <v>170326</v>
      </c>
      <c r="N229" s="583">
        <v>174045</v>
      </c>
      <c r="O229" s="583">
        <v>165002</v>
      </c>
      <c r="P229" s="583">
        <v>0</v>
      </c>
      <c r="Q229" s="583">
        <v>0</v>
      </c>
      <c r="R229" s="583">
        <v>0</v>
      </c>
      <c r="S229" s="583">
        <v>165002</v>
      </c>
      <c r="T229" s="583">
        <v>174045</v>
      </c>
      <c r="U229" s="583">
        <v>87614</v>
      </c>
      <c r="V229" s="583">
        <v>0</v>
      </c>
      <c r="W229" s="583">
        <v>82712</v>
      </c>
      <c r="X229" s="583">
        <v>0</v>
      </c>
      <c r="Y229" s="583">
        <v>170326</v>
      </c>
      <c r="Z229" s="583">
        <v>256757</v>
      </c>
      <c r="AA229" s="583">
        <v>762402</v>
      </c>
      <c r="AB229" s="583">
        <v>7037</v>
      </c>
      <c r="AC229" s="583">
        <v>-256757</v>
      </c>
      <c r="AD229" s="583">
        <v>0</v>
      </c>
      <c r="AE229" s="583">
        <v>512682</v>
      </c>
      <c r="AF229" s="583">
        <v>0</v>
      </c>
      <c r="AG229" s="583">
        <v>151012</v>
      </c>
      <c r="AH229" s="583">
        <v>4987</v>
      </c>
      <c r="AI229" s="583">
        <v>19314</v>
      </c>
      <c r="AJ229" s="583">
        <v>0</v>
      </c>
      <c r="AK229" s="583">
        <v>175313</v>
      </c>
      <c r="AL229" s="583">
        <v>19314</v>
      </c>
      <c r="AM229" s="583">
        <v>300186</v>
      </c>
      <c r="AN229" s="583">
        <v>29143</v>
      </c>
      <c r="AO229" s="583">
        <v>-19314</v>
      </c>
      <c r="AP229" s="583">
        <v>0</v>
      </c>
      <c r="AQ229" s="583">
        <v>310015</v>
      </c>
      <c r="AR229" s="583">
        <v>0</v>
      </c>
      <c r="AS229" s="583">
        <v>99156</v>
      </c>
      <c r="AT229" s="583">
        <v>0</v>
      </c>
      <c r="AU229" s="583">
        <v>71170</v>
      </c>
      <c r="AV229" s="583">
        <v>0</v>
      </c>
      <c r="AW229" s="583">
        <v>170326</v>
      </c>
      <c r="AX229" s="583">
        <v>71170</v>
      </c>
      <c r="AY229" s="583">
        <v>191953</v>
      </c>
      <c r="AZ229" s="583">
        <v>7144</v>
      </c>
      <c r="BA229" s="583">
        <v>0</v>
      </c>
      <c r="BB229" s="583">
        <v>0</v>
      </c>
      <c r="BC229" s="583">
        <v>199097</v>
      </c>
      <c r="BD229" s="583">
        <v>71170</v>
      </c>
      <c r="BE229" s="583">
        <v>405012</v>
      </c>
      <c r="BF229" s="583">
        <v>0</v>
      </c>
      <c r="BG229" s="583">
        <v>-71170</v>
      </c>
      <c r="BH229" s="583">
        <v>0</v>
      </c>
      <c r="BI229" s="583">
        <v>333842</v>
      </c>
      <c r="BJ229" s="583">
        <v>0</v>
      </c>
      <c r="BK229" s="583">
        <v>150317</v>
      </c>
      <c r="BL229" s="583">
        <v>0</v>
      </c>
      <c r="BM229" s="583">
        <v>20009</v>
      </c>
      <c r="BN229" s="583">
        <v>0</v>
      </c>
      <c r="BO229" s="583">
        <v>170326</v>
      </c>
      <c r="BP229" s="583">
        <v>20009</v>
      </c>
      <c r="BQ229" s="583">
        <v>288049</v>
      </c>
      <c r="BR229" s="583">
        <v>46955</v>
      </c>
      <c r="BS229" s="583">
        <v>-20009</v>
      </c>
      <c r="BT229" s="583">
        <v>0</v>
      </c>
      <c r="BU229" s="583">
        <v>314995</v>
      </c>
      <c r="BV229" s="583">
        <v>0</v>
      </c>
    </row>
    <row r="230" spans="1:74" x14ac:dyDescent="0.2">
      <c r="A230" s="580">
        <v>10301</v>
      </c>
      <c r="B230" s="580" t="s">
        <v>240</v>
      </c>
      <c r="C230" s="583">
        <v>456110</v>
      </c>
      <c r="D230" s="583">
        <v>0</v>
      </c>
      <c r="E230" s="583">
        <v>288491</v>
      </c>
      <c r="F230" s="583">
        <v>0</v>
      </c>
      <c r="G230" s="583">
        <v>744601</v>
      </c>
      <c r="H230" s="583">
        <v>288491</v>
      </c>
      <c r="I230" s="583">
        <v>242544</v>
      </c>
      <c r="J230" s="583">
        <v>0</v>
      </c>
      <c r="K230" s="583">
        <v>502057</v>
      </c>
      <c r="L230" s="583">
        <v>0</v>
      </c>
      <c r="M230" s="583">
        <v>744601</v>
      </c>
      <c r="N230" s="583">
        <v>790548</v>
      </c>
      <c r="O230" s="583">
        <v>691923</v>
      </c>
      <c r="P230" s="583">
        <v>0</v>
      </c>
      <c r="Q230" s="583">
        <v>0</v>
      </c>
      <c r="R230" s="583">
        <v>0</v>
      </c>
      <c r="S230" s="583">
        <v>691923</v>
      </c>
      <c r="T230" s="583">
        <v>790548</v>
      </c>
      <c r="U230" s="583">
        <v>367400</v>
      </c>
      <c r="V230" s="583">
        <v>0</v>
      </c>
      <c r="W230" s="583">
        <v>377201</v>
      </c>
      <c r="X230" s="583">
        <v>0</v>
      </c>
      <c r="Y230" s="583">
        <v>744601</v>
      </c>
      <c r="Z230" s="583">
        <v>1167749</v>
      </c>
      <c r="AA230" s="583">
        <v>3197071</v>
      </c>
      <c r="AB230" s="583">
        <v>29508</v>
      </c>
      <c r="AC230" s="583">
        <v>-1167749</v>
      </c>
      <c r="AD230" s="583">
        <v>0</v>
      </c>
      <c r="AE230" s="583">
        <v>2058830</v>
      </c>
      <c r="AF230" s="583">
        <v>0</v>
      </c>
      <c r="AG230" s="583">
        <v>633258</v>
      </c>
      <c r="AH230" s="583">
        <v>20913</v>
      </c>
      <c r="AI230" s="583">
        <v>111343</v>
      </c>
      <c r="AJ230" s="583">
        <v>0</v>
      </c>
      <c r="AK230" s="583">
        <v>765514</v>
      </c>
      <c r="AL230" s="583">
        <v>111343</v>
      </c>
      <c r="AM230" s="583">
        <v>1258804</v>
      </c>
      <c r="AN230" s="583">
        <v>122207</v>
      </c>
      <c r="AO230" s="583">
        <v>-111343</v>
      </c>
      <c r="AP230" s="583">
        <v>0</v>
      </c>
      <c r="AQ230" s="583">
        <v>1269668</v>
      </c>
      <c r="AR230" s="583">
        <v>0</v>
      </c>
      <c r="AS230" s="583">
        <v>415802</v>
      </c>
      <c r="AT230" s="583">
        <v>0</v>
      </c>
      <c r="AU230" s="583">
        <v>328799</v>
      </c>
      <c r="AV230" s="583">
        <v>0</v>
      </c>
      <c r="AW230" s="583">
        <v>744601</v>
      </c>
      <c r="AX230" s="583">
        <v>328799</v>
      </c>
      <c r="AY230" s="583">
        <v>804938</v>
      </c>
      <c r="AZ230" s="583">
        <v>29959</v>
      </c>
      <c r="BA230" s="583">
        <v>0</v>
      </c>
      <c r="BB230" s="583">
        <v>0</v>
      </c>
      <c r="BC230" s="583">
        <v>834897</v>
      </c>
      <c r="BD230" s="583">
        <v>328799</v>
      </c>
      <c r="BE230" s="583">
        <v>1698385</v>
      </c>
      <c r="BF230" s="583">
        <v>0</v>
      </c>
      <c r="BG230" s="583">
        <v>-328799</v>
      </c>
      <c r="BH230" s="583">
        <v>0</v>
      </c>
      <c r="BI230" s="583">
        <v>1369586</v>
      </c>
      <c r="BJ230" s="583">
        <v>0</v>
      </c>
      <c r="BK230" s="583">
        <v>630343</v>
      </c>
      <c r="BL230" s="583">
        <v>0</v>
      </c>
      <c r="BM230" s="583">
        <v>114258</v>
      </c>
      <c r="BN230" s="583">
        <v>0</v>
      </c>
      <c r="BO230" s="583">
        <v>744601</v>
      </c>
      <c r="BP230" s="583">
        <v>114258</v>
      </c>
      <c r="BQ230" s="583">
        <v>1207912</v>
      </c>
      <c r="BR230" s="583">
        <v>196902</v>
      </c>
      <c r="BS230" s="583">
        <v>-114258</v>
      </c>
      <c r="BT230" s="583">
        <v>0</v>
      </c>
      <c r="BU230" s="583">
        <v>1290556</v>
      </c>
      <c r="BV230" s="583">
        <v>0</v>
      </c>
    </row>
    <row r="231" spans="1:74" x14ac:dyDescent="0.2">
      <c r="A231" s="580">
        <v>10302</v>
      </c>
      <c r="B231" s="580" t="s">
        <v>242</v>
      </c>
      <c r="C231" s="583">
        <v>68582</v>
      </c>
      <c r="D231" s="583">
        <v>0</v>
      </c>
      <c r="E231" s="583">
        <v>41254</v>
      </c>
      <c r="F231" s="583">
        <v>0</v>
      </c>
      <c r="G231" s="583">
        <v>109836</v>
      </c>
      <c r="H231" s="583">
        <v>41254</v>
      </c>
      <c r="I231" s="583">
        <v>36470</v>
      </c>
      <c r="J231" s="583">
        <v>0</v>
      </c>
      <c r="K231" s="583">
        <v>73366</v>
      </c>
      <c r="L231" s="583">
        <v>0</v>
      </c>
      <c r="M231" s="583">
        <v>109836</v>
      </c>
      <c r="N231" s="583">
        <v>114620</v>
      </c>
      <c r="O231" s="583">
        <v>104040</v>
      </c>
      <c r="P231" s="583">
        <v>0</v>
      </c>
      <c r="Q231" s="583">
        <v>0</v>
      </c>
      <c r="R231" s="583">
        <v>0</v>
      </c>
      <c r="S231" s="583">
        <v>104040</v>
      </c>
      <c r="T231" s="583">
        <v>114620</v>
      </c>
      <c r="U231" s="583">
        <v>55243</v>
      </c>
      <c r="V231" s="583">
        <v>0</v>
      </c>
      <c r="W231" s="583">
        <v>54593</v>
      </c>
      <c r="X231" s="583">
        <v>0</v>
      </c>
      <c r="Y231" s="583">
        <v>109836</v>
      </c>
      <c r="Z231" s="583">
        <v>169213</v>
      </c>
      <c r="AA231" s="583">
        <v>480721</v>
      </c>
      <c r="AB231" s="583">
        <v>4437</v>
      </c>
      <c r="AC231" s="583">
        <v>-169213</v>
      </c>
      <c r="AD231" s="583">
        <v>0</v>
      </c>
      <c r="AE231" s="583">
        <v>315945</v>
      </c>
      <c r="AF231" s="583">
        <v>0</v>
      </c>
      <c r="AG231" s="583">
        <v>95219</v>
      </c>
      <c r="AH231" s="583">
        <v>3144</v>
      </c>
      <c r="AI231" s="583">
        <v>14617</v>
      </c>
      <c r="AJ231" s="583">
        <v>0</v>
      </c>
      <c r="AK231" s="583">
        <v>112980</v>
      </c>
      <c r="AL231" s="583">
        <v>14617</v>
      </c>
      <c r="AM231" s="583">
        <v>189278</v>
      </c>
      <c r="AN231" s="583">
        <v>18375</v>
      </c>
      <c r="AO231" s="583">
        <v>-14617</v>
      </c>
      <c r="AP231" s="583">
        <v>0</v>
      </c>
      <c r="AQ231" s="583">
        <v>193036</v>
      </c>
      <c r="AR231" s="583">
        <v>0</v>
      </c>
      <c r="AS231" s="583">
        <v>62521</v>
      </c>
      <c r="AT231" s="583">
        <v>0</v>
      </c>
      <c r="AU231" s="583">
        <v>47315</v>
      </c>
      <c r="AV231" s="583">
        <v>0</v>
      </c>
      <c r="AW231" s="583">
        <v>109836</v>
      </c>
      <c r="AX231" s="583">
        <v>47315</v>
      </c>
      <c r="AY231" s="583">
        <v>121033</v>
      </c>
      <c r="AZ231" s="583">
        <v>4505</v>
      </c>
      <c r="BA231" s="583">
        <v>0</v>
      </c>
      <c r="BB231" s="583">
        <v>0</v>
      </c>
      <c r="BC231" s="583">
        <v>125538</v>
      </c>
      <c r="BD231" s="583">
        <v>47315</v>
      </c>
      <c r="BE231" s="583">
        <v>255374</v>
      </c>
      <c r="BF231" s="583">
        <v>0</v>
      </c>
      <c r="BG231" s="583">
        <v>-47315</v>
      </c>
      <c r="BH231" s="583">
        <v>0</v>
      </c>
      <c r="BI231" s="583">
        <v>208059</v>
      </c>
      <c r="BJ231" s="583">
        <v>0</v>
      </c>
      <c r="BK231" s="583">
        <v>94780</v>
      </c>
      <c r="BL231" s="583">
        <v>0</v>
      </c>
      <c r="BM231" s="583">
        <v>15056</v>
      </c>
      <c r="BN231" s="583">
        <v>0</v>
      </c>
      <c r="BO231" s="583">
        <v>109836</v>
      </c>
      <c r="BP231" s="583">
        <v>15056</v>
      </c>
      <c r="BQ231" s="583">
        <v>181625</v>
      </c>
      <c r="BR231" s="583">
        <v>29607</v>
      </c>
      <c r="BS231" s="583">
        <v>-15056</v>
      </c>
      <c r="BT231" s="583">
        <v>0</v>
      </c>
      <c r="BU231" s="583">
        <v>196176</v>
      </c>
      <c r="BV231" s="583">
        <v>0</v>
      </c>
    </row>
    <row r="232" spans="1:74" x14ac:dyDescent="0.2">
      <c r="A232" s="580">
        <v>10303</v>
      </c>
      <c r="B232" s="580" t="s">
        <v>244</v>
      </c>
      <c r="C232" s="583">
        <v>115976</v>
      </c>
      <c r="D232" s="583">
        <v>0</v>
      </c>
      <c r="E232" s="583">
        <v>77650</v>
      </c>
      <c r="F232" s="583">
        <v>0</v>
      </c>
      <c r="G232" s="583">
        <v>193626</v>
      </c>
      <c r="H232" s="583">
        <v>77650</v>
      </c>
      <c r="I232" s="583">
        <v>61672</v>
      </c>
      <c r="J232" s="583">
        <v>0</v>
      </c>
      <c r="K232" s="583">
        <v>131954</v>
      </c>
      <c r="L232" s="583">
        <v>0</v>
      </c>
      <c r="M232" s="583">
        <v>193626</v>
      </c>
      <c r="N232" s="583">
        <v>209604</v>
      </c>
      <c r="O232" s="583">
        <v>175937</v>
      </c>
      <c r="P232" s="583">
        <v>0</v>
      </c>
      <c r="Q232" s="583">
        <v>0</v>
      </c>
      <c r="R232" s="583">
        <v>0</v>
      </c>
      <c r="S232" s="583">
        <v>175937</v>
      </c>
      <c r="T232" s="583">
        <v>209604</v>
      </c>
      <c r="U232" s="583">
        <v>93420</v>
      </c>
      <c r="V232" s="583">
        <v>0</v>
      </c>
      <c r="W232" s="583">
        <v>100206</v>
      </c>
      <c r="X232" s="583">
        <v>0</v>
      </c>
      <c r="Y232" s="583">
        <v>193626</v>
      </c>
      <c r="Z232" s="583">
        <v>309810</v>
      </c>
      <c r="AA232" s="583">
        <v>812925</v>
      </c>
      <c r="AB232" s="583">
        <v>7503</v>
      </c>
      <c r="AC232" s="583">
        <v>-309810</v>
      </c>
      <c r="AD232" s="583">
        <v>0</v>
      </c>
      <c r="AE232" s="583">
        <v>510618</v>
      </c>
      <c r="AF232" s="583">
        <v>0</v>
      </c>
      <c r="AG232" s="583">
        <v>161020</v>
      </c>
      <c r="AH232" s="583">
        <v>5317</v>
      </c>
      <c r="AI232" s="583">
        <v>32606</v>
      </c>
      <c r="AJ232" s="583">
        <v>0</v>
      </c>
      <c r="AK232" s="583">
        <v>198943</v>
      </c>
      <c r="AL232" s="583">
        <v>32606</v>
      </c>
      <c r="AM232" s="583">
        <v>320078</v>
      </c>
      <c r="AN232" s="583">
        <v>31074</v>
      </c>
      <c r="AO232" s="583">
        <v>-25962</v>
      </c>
      <c r="AP232" s="583">
        <v>0</v>
      </c>
      <c r="AQ232" s="583">
        <v>325190</v>
      </c>
      <c r="AR232" s="583">
        <v>6644</v>
      </c>
      <c r="AS232" s="583">
        <v>105727</v>
      </c>
      <c r="AT232" s="583">
        <v>0</v>
      </c>
      <c r="AU232" s="583">
        <v>87899</v>
      </c>
      <c r="AV232" s="583">
        <v>0</v>
      </c>
      <c r="AW232" s="583">
        <v>193626</v>
      </c>
      <c r="AX232" s="583">
        <v>94543</v>
      </c>
      <c r="AY232" s="583">
        <v>204673</v>
      </c>
      <c r="AZ232" s="583">
        <v>7618</v>
      </c>
      <c r="BA232" s="583">
        <v>0</v>
      </c>
      <c r="BB232" s="583">
        <v>0</v>
      </c>
      <c r="BC232" s="583">
        <v>212291</v>
      </c>
      <c r="BD232" s="583">
        <v>94543</v>
      </c>
      <c r="BE232" s="583">
        <v>431851</v>
      </c>
      <c r="BF232" s="583">
        <v>0</v>
      </c>
      <c r="BG232" s="583">
        <v>-94543</v>
      </c>
      <c r="BH232" s="583">
        <v>0</v>
      </c>
      <c r="BI232" s="583">
        <v>337308</v>
      </c>
      <c r="BJ232" s="583">
        <v>0</v>
      </c>
      <c r="BK232" s="583">
        <v>160279</v>
      </c>
      <c r="BL232" s="583">
        <v>0</v>
      </c>
      <c r="BM232" s="583">
        <v>33347</v>
      </c>
      <c r="BN232" s="583">
        <v>0</v>
      </c>
      <c r="BO232" s="583">
        <v>193626</v>
      </c>
      <c r="BP232" s="583">
        <v>33347</v>
      </c>
      <c r="BQ232" s="583">
        <v>307138</v>
      </c>
      <c r="BR232" s="583">
        <v>50067</v>
      </c>
      <c r="BS232" s="583">
        <v>-33347</v>
      </c>
      <c r="BT232" s="583">
        <v>0</v>
      </c>
      <c r="BU232" s="583">
        <v>323858</v>
      </c>
      <c r="BV232" s="583">
        <v>0</v>
      </c>
    </row>
    <row r="233" spans="1:74" x14ac:dyDescent="0.2">
      <c r="A233" s="580">
        <v>10304</v>
      </c>
      <c r="B233" s="580" t="s">
        <v>243</v>
      </c>
      <c r="C233" s="583">
        <v>77382</v>
      </c>
      <c r="D233" s="583">
        <v>0</v>
      </c>
      <c r="E233" s="583">
        <v>45385</v>
      </c>
      <c r="F233" s="583">
        <v>0</v>
      </c>
      <c r="G233" s="583">
        <v>122767</v>
      </c>
      <c r="H233" s="583">
        <v>45385</v>
      </c>
      <c r="I233" s="583">
        <v>41149</v>
      </c>
      <c r="J233" s="583">
        <v>0</v>
      </c>
      <c r="K233" s="583">
        <v>81618</v>
      </c>
      <c r="L233" s="583">
        <v>0</v>
      </c>
      <c r="M233" s="583">
        <v>122767</v>
      </c>
      <c r="N233" s="583">
        <v>127003</v>
      </c>
      <c r="O233" s="583">
        <v>117389</v>
      </c>
      <c r="P233" s="583">
        <v>0</v>
      </c>
      <c r="Q233" s="583">
        <v>0</v>
      </c>
      <c r="R233" s="583">
        <v>0</v>
      </c>
      <c r="S233" s="583">
        <v>117389</v>
      </c>
      <c r="T233" s="583">
        <v>127003</v>
      </c>
      <c r="U233" s="583">
        <v>62332</v>
      </c>
      <c r="V233" s="583">
        <v>0</v>
      </c>
      <c r="W233" s="583">
        <v>60435</v>
      </c>
      <c r="X233" s="583">
        <v>0</v>
      </c>
      <c r="Y233" s="583">
        <v>122767</v>
      </c>
      <c r="Z233" s="583">
        <v>187438</v>
      </c>
      <c r="AA233" s="583">
        <v>542401</v>
      </c>
      <c r="AB233" s="583">
        <v>5006</v>
      </c>
      <c r="AC233" s="583">
        <v>-187438</v>
      </c>
      <c r="AD233" s="583">
        <v>0</v>
      </c>
      <c r="AE233" s="583">
        <v>359969</v>
      </c>
      <c r="AF233" s="583">
        <v>0</v>
      </c>
      <c r="AG233" s="583">
        <v>107436</v>
      </c>
      <c r="AH233" s="583">
        <v>3548</v>
      </c>
      <c r="AI233" s="583">
        <v>15331</v>
      </c>
      <c r="AJ233" s="583">
        <v>0</v>
      </c>
      <c r="AK233" s="583">
        <v>126315</v>
      </c>
      <c r="AL233" s="583">
        <v>15331</v>
      </c>
      <c r="AM233" s="583">
        <v>213563</v>
      </c>
      <c r="AN233" s="583">
        <v>20733</v>
      </c>
      <c r="AO233" s="583">
        <v>-15331</v>
      </c>
      <c r="AP233" s="583">
        <v>0</v>
      </c>
      <c r="AQ233" s="583">
        <v>218965</v>
      </c>
      <c r="AR233" s="583">
        <v>0</v>
      </c>
      <c r="AS233" s="583">
        <v>70543</v>
      </c>
      <c r="AT233" s="583">
        <v>0</v>
      </c>
      <c r="AU233" s="583">
        <v>52224</v>
      </c>
      <c r="AV233" s="583">
        <v>0</v>
      </c>
      <c r="AW233" s="583">
        <v>122767</v>
      </c>
      <c r="AX233" s="583">
        <v>52224</v>
      </c>
      <c r="AY233" s="583">
        <v>136562</v>
      </c>
      <c r="AZ233" s="583">
        <v>5083</v>
      </c>
      <c r="BA233" s="583">
        <v>0</v>
      </c>
      <c r="BB233" s="583">
        <v>0</v>
      </c>
      <c r="BC233" s="583">
        <v>141645</v>
      </c>
      <c r="BD233" s="583">
        <v>52224</v>
      </c>
      <c r="BE233" s="583">
        <v>288140</v>
      </c>
      <c r="BF233" s="583">
        <v>0</v>
      </c>
      <c r="BG233" s="583">
        <v>-52224</v>
      </c>
      <c r="BH233" s="583">
        <v>0</v>
      </c>
      <c r="BI233" s="583">
        <v>235916</v>
      </c>
      <c r="BJ233" s="583">
        <v>0</v>
      </c>
      <c r="BK233" s="583">
        <v>106941</v>
      </c>
      <c r="BL233" s="583">
        <v>0</v>
      </c>
      <c r="BM233" s="583">
        <v>15826</v>
      </c>
      <c r="BN233" s="583">
        <v>0</v>
      </c>
      <c r="BO233" s="583">
        <v>122767</v>
      </c>
      <c r="BP233" s="583">
        <v>15826</v>
      </c>
      <c r="BQ233" s="583">
        <v>204929</v>
      </c>
      <c r="BR233" s="583">
        <v>33406</v>
      </c>
      <c r="BS233" s="583">
        <v>-15826</v>
      </c>
      <c r="BT233" s="583">
        <v>0</v>
      </c>
      <c r="BU233" s="583">
        <v>222509</v>
      </c>
      <c r="BV233" s="583">
        <v>0</v>
      </c>
    </row>
    <row r="234" spans="1:74" x14ac:dyDescent="0.2">
      <c r="A234" s="580">
        <v>10305</v>
      </c>
      <c r="B234" s="580" t="s">
        <v>420</v>
      </c>
      <c r="C234" s="583">
        <v>92663</v>
      </c>
      <c r="D234" s="583">
        <v>0</v>
      </c>
      <c r="E234" s="583">
        <v>61841</v>
      </c>
      <c r="F234" s="583">
        <v>0</v>
      </c>
      <c r="G234" s="583">
        <v>154504</v>
      </c>
      <c r="H234" s="583">
        <v>61841</v>
      </c>
      <c r="I234" s="583">
        <v>49275</v>
      </c>
      <c r="J234" s="583">
        <v>0</v>
      </c>
      <c r="K234" s="583">
        <v>105229</v>
      </c>
      <c r="L234" s="583">
        <v>0</v>
      </c>
      <c r="M234" s="583">
        <v>154504</v>
      </c>
      <c r="N234" s="583">
        <v>167070</v>
      </c>
      <c r="O234" s="583">
        <v>140570</v>
      </c>
      <c r="P234" s="583">
        <v>0</v>
      </c>
      <c r="Q234" s="583">
        <v>0</v>
      </c>
      <c r="R234" s="583">
        <v>0</v>
      </c>
      <c r="S234" s="583">
        <v>140570</v>
      </c>
      <c r="T234" s="583">
        <v>167070</v>
      </c>
      <c r="U234" s="583">
        <v>74641</v>
      </c>
      <c r="V234" s="583">
        <v>0</v>
      </c>
      <c r="W234" s="583">
        <v>79863</v>
      </c>
      <c r="X234" s="583">
        <v>0</v>
      </c>
      <c r="Y234" s="583">
        <v>154504</v>
      </c>
      <c r="Z234" s="583">
        <v>246933</v>
      </c>
      <c r="AA234" s="583">
        <v>649514</v>
      </c>
      <c r="AB234" s="583">
        <v>5995</v>
      </c>
      <c r="AC234" s="583">
        <v>-246933</v>
      </c>
      <c r="AD234" s="583">
        <v>0</v>
      </c>
      <c r="AE234" s="583">
        <v>408576</v>
      </c>
      <c r="AF234" s="583">
        <v>0</v>
      </c>
      <c r="AG234" s="583">
        <v>128652</v>
      </c>
      <c r="AH234" s="583">
        <v>4249</v>
      </c>
      <c r="AI234" s="583">
        <v>25852</v>
      </c>
      <c r="AJ234" s="583">
        <v>0</v>
      </c>
      <c r="AK234" s="583">
        <v>158753</v>
      </c>
      <c r="AL234" s="583">
        <v>25852</v>
      </c>
      <c r="AM234" s="583">
        <v>255737</v>
      </c>
      <c r="AN234" s="583">
        <v>24827</v>
      </c>
      <c r="AO234" s="583">
        <v>-21048</v>
      </c>
      <c r="AP234" s="583">
        <v>0</v>
      </c>
      <c r="AQ234" s="583">
        <v>259516</v>
      </c>
      <c r="AR234" s="583">
        <v>4804</v>
      </c>
      <c r="AS234" s="583">
        <v>84474</v>
      </c>
      <c r="AT234" s="583">
        <v>0</v>
      </c>
      <c r="AU234" s="583">
        <v>70030</v>
      </c>
      <c r="AV234" s="583">
        <v>0</v>
      </c>
      <c r="AW234" s="583">
        <v>154504</v>
      </c>
      <c r="AX234" s="583">
        <v>74834</v>
      </c>
      <c r="AY234" s="583">
        <v>163530</v>
      </c>
      <c r="AZ234" s="583">
        <v>6086</v>
      </c>
      <c r="BA234" s="583">
        <v>0</v>
      </c>
      <c r="BB234" s="583">
        <v>0</v>
      </c>
      <c r="BC234" s="583">
        <v>169616</v>
      </c>
      <c r="BD234" s="583">
        <v>74834</v>
      </c>
      <c r="BE234" s="583">
        <v>345042</v>
      </c>
      <c r="BF234" s="583">
        <v>0</v>
      </c>
      <c r="BG234" s="583">
        <v>-74834</v>
      </c>
      <c r="BH234" s="583">
        <v>0</v>
      </c>
      <c r="BI234" s="583">
        <v>270208</v>
      </c>
      <c r="BJ234" s="583">
        <v>0</v>
      </c>
      <c r="BK234" s="583">
        <v>128060</v>
      </c>
      <c r="BL234" s="583">
        <v>0</v>
      </c>
      <c r="BM234" s="583">
        <v>26444</v>
      </c>
      <c r="BN234" s="583">
        <v>0</v>
      </c>
      <c r="BO234" s="583">
        <v>154504</v>
      </c>
      <c r="BP234" s="583">
        <v>26444</v>
      </c>
      <c r="BQ234" s="583">
        <v>245398</v>
      </c>
      <c r="BR234" s="583">
        <v>40002</v>
      </c>
      <c r="BS234" s="583">
        <v>-26444</v>
      </c>
      <c r="BT234" s="583">
        <v>0</v>
      </c>
      <c r="BU234" s="583">
        <v>258956</v>
      </c>
      <c r="BV234" s="583">
        <v>0</v>
      </c>
    </row>
    <row r="235" spans="1:74" x14ac:dyDescent="0.2">
      <c r="A235" s="580">
        <v>10306</v>
      </c>
      <c r="B235" s="580" t="s">
        <v>245</v>
      </c>
      <c r="C235" s="583">
        <v>195510</v>
      </c>
      <c r="D235" s="583">
        <v>0</v>
      </c>
      <c r="E235" s="583">
        <v>72379</v>
      </c>
      <c r="F235" s="583">
        <v>0</v>
      </c>
      <c r="G235" s="583">
        <v>267889</v>
      </c>
      <c r="H235" s="583">
        <v>72379</v>
      </c>
      <c r="I235" s="583">
        <v>103966</v>
      </c>
      <c r="J235" s="583">
        <v>0</v>
      </c>
      <c r="K235" s="583">
        <v>163923</v>
      </c>
      <c r="L235" s="583">
        <v>0</v>
      </c>
      <c r="M235" s="583">
        <v>267889</v>
      </c>
      <c r="N235" s="583">
        <v>236302</v>
      </c>
      <c r="O235" s="583">
        <v>296590</v>
      </c>
      <c r="P235" s="583">
        <v>0</v>
      </c>
      <c r="Q235" s="583">
        <v>0</v>
      </c>
      <c r="R235" s="583">
        <v>0</v>
      </c>
      <c r="S235" s="583">
        <v>296590</v>
      </c>
      <c r="T235" s="583">
        <v>236302</v>
      </c>
      <c r="U235" s="583">
        <v>157485</v>
      </c>
      <c r="V235" s="583">
        <v>0</v>
      </c>
      <c r="W235" s="583">
        <v>110404</v>
      </c>
      <c r="X235" s="583">
        <v>0</v>
      </c>
      <c r="Y235" s="583">
        <v>267889</v>
      </c>
      <c r="Z235" s="583">
        <v>346706</v>
      </c>
      <c r="AA235" s="583">
        <v>1370414</v>
      </c>
      <c r="AB235" s="583">
        <v>12649</v>
      </c>
      <c r="AC235" s="583">
        <v>-346706</v>
      </c>
      <c r="AD235" s="583">
        <v>0</v>
      </c>
      <c r="AE235" s="583">
        <v>1036357</v>
      </c>
      <c r="AF235" s="583">
        <v>0</v>
      </c>
      <c r="AG235" s="583">
        <v>271444</v>
      </c>
      <c r="AH235" s="583">
        <v>8964</v>
      </c>
      <c r="AI235" s="583">
        <v>0</v>
      </c>
      <c r="AJ235" s="583">
        <v>0</v>
      </c>
      <c r="AK235" s="583">
        <v>280408</v>
      </c>
      <c r="AL235" s="583">
        <v>0</v>
      </c>
      <c r="AM235" s="583">
        <v>539582</v>
      </c>
      <c r="AN235" s="583">
        <v>52384</v>
      </c>
      <c r="AO235" s="583">
        <v>0</v>
      </c>
      <c r="AP235" s="583">
        <v>0</v>
      </c>
      <c r="AQ235" s="583">
        <v>591966</v>
      </c>
      <c r="AR235" s="583">
        <v>0</v>
      </c>
      <c r="AS235" s="583">
        <v>178232</v>
      </c>
      <c r="AT235" s="583">
        <v>0</v>
      </c>
      <c r="AU235" s="583">
        <v>89657</v>
      </c>
      <c r="AV235" s="583">
        <v>0</v>
      </c>
      <c r="AW235" s="583">
        <v>267889</v>
      </c>
      <c r="AX235" s="583">
        <v>89657</v>
      </c>
      <c r="AY235" s="583">
        <v>345034</v>
      </c>
      <c r="AZ235" s="583">
        <v>12842</v>
      </c>
      <c r="BA235" s="583">
        <v>0</v>
      </c>
      <c r="BB235" s="583">
        <v>0</v>
      </c>
      <c r="BC235" s="583">
        <v>357876</v>
      </c>
      <c r="BD235" s="583">
        <v>89657</v>
      </c>
      <c r="BE235" s="583">
        <v>728007</v>
      </c>
      <c r="BF235" s="583">
        <v>0</v>
      </c>
      <c r="BG235" s="583">
        <v>-89657</v>
      </c>
      <c r="BH235" s="583">
        <v>0</v>
      </c>
      <c r="BI235" s="583">
        <v>638350</v>
      </c>
      <c r="BJ235" s="583">
        <v>0</v>
      </c>
      <c r="BK235" s="583">
        <v>270194</v>
      </c>
      <c r="BL235" s="583">
        <v>0</v>
      </c>
      <c r="BM235" s="583">
        <v>0</v>
      </c>
      <c r="BN235" s="583">
        <v>0</v>
      </c>
      <c r="BO235" s="583">
        <v>270194</v>
      </c>
      <c r="BP235" s="583">
        <v>0</v>
      </c>
      <c r="BQ235" s="583">
        <v>517767</v>
      </c>
      <c r="BR235" s="583">
        <v>84401</v>
      </c>
      <c r="BS235" s="583">
        <v>0</v>
      </c>
      <c r="BT235" s="583">
        <v>0</v>
      </c>
      <c r="BU235" s="583">
        <v>602168</v>
      </c>
      <c r="BV235" s="583">
        <v>0</v>
      </c>
    </row>
    <row r="236" spans="1:74" x14ac:dyDescent="0.2">
      <c r="A236" s="580">
        <v>10307</v>
      </c>
      <c r="B236" s="580" t="s">
        <v>241</v>
      </c>
      <c r="C236" s="583">
        <v>84034</v>
      </c>
      <c r="D236" s="583">
        <v>0</v>
      </c>
      <c r="E236" s="583">
        <v>49736</v>
      </c>
      <c r="F236" s="583">
        <v>0</v>
      </c>
      <c r="G236" s="583">
        <v>133770</v>
      </c>
      <c r="H236" s="583">
        <v>49736</v>
      </c>
      <c r="I236" s="583">
        <v>44686</v>
      </c>
      <c r="J236" s="583">
        <v>0</v>
      </c>
      <c r="K236" s="583">
        <v>89084</v>
      </c>
      <c r="L236" s="583">
        <v>0</v>
      </c>
      <c r="M236" s="583">
        <v>133770</v>
      </c>
      <c r="N236" s="583">
        <v>138820</v>
      </c>
      <c r="O236" s="583">
        <v>127480</v>
      </c>
      <c r="P236" s="583">
        <v>0</v>
      </c>
      <c r="Q236" s="583">
        <v>0</v>
      </c>
      <c r="R236" s="583">
        <v>0</v>
      </c>
      <c r="S236" s="583">
        <v>127480</v>
      </c>
      <c r="T236" s="583">
        <v>138820</v>
      </c>
      <c r="U236" s="583">
        <v>67690</v>
      </c>
      <c r="V236" s="583">
        <v>0</v>
      </c>
      <c r="W236" s="583">
        <v>66080</v>
      </c>
      <c r="X236" s="583">
        <v>0</v>
      </c>
      <c r="Y236" s="583">
        <v>133770</v>
      </c>
      <c r="Z236" s="583">
        <v>204900</v>
      </c>
      <c r="AA236" s="583">
        <v>589029</v>
      </c>
      <c r="AB236" s="583">
        <v>5437</v>
      </c>
      <c r="AC236" s="583">
        <v>-204900</v>
      </c>
      <c r="AD236" s="583">
        <v>0</v>
      </c>
      <c r="AE236" s="583">
        <v>389566</v>
      </c>
      <c r="AF236" s="583">
        <v>0</v>
      </c>
      <c r="AG236" s="583">
        <v>116672</v>
      </c>
      <c r="AH236" s="583">
        <v>3853</v>
      </c>
      <c r="AI236" s="583">
        <v>17098</v>
      </c>
      <c r="AJ236" s="583">
        <v>0</v>
      </c>
      <c r="AK236" s="583">
        <v>137623</v>
      </c>
      <c r="AL236" s="583">
        <v>17098</v>
      </c>
      <c r="AM236" s="583">
        <v>231922</v>
      </c>
      <c r="AN236" s="583">
        <v>22515</v>
      </c>
      <c r="AO236" s="583">
        <v>-17098</v>
      </c>
      <c r="AP236" s="583">
        <v>0</v>
      </c>
      <c r="AQ236" s="583">
        <v>237339</v>
      </c>
      <c r="AR236" s="583">
        <v>0</v>
      </c>
      <c r="AS236" s="583">
        <v>76608</v>
      </c>
      <c r="AT236" s="583">
        <v>0</v>
      </c>
      <c r="AU236" s="583">
        <v>57162</v>
      </c>
      <c r="AV236" s="583">
        <v>0</v>
      </c>
      <c r="AW236" s="583">
        <v>133770</v>
      </c>
      <c r="AX236" s="583">
        <v>57162</v>
      </c>
      <c r="AY236" s="583">
        <v>148302</v>
      </c>
      <c r="AZ236" s="583">
        <v>5520</v>
      </c>
      <c r="BA236" s="583">
        <v>0</v>
      </c>
      <c r="BB236" s="583">
        <v>0</v>
      </c>
      <c r="BC236" s="583">
        <v>153822</v>
      </c>
      <c r="BD236" s="583">
        <v>57162</v>
      </c>
      <c r="BE236" s="583">
        <v>312911</v>
      </c>
      <c r="BF236" s="583">
        <v>0</v>
      </c>
      <c r="BG236" s="583">
        <v>-57162</v>
      </c>
      <c r="BH236" s="583">
        <v>0</v>
      </c>
      <c r="BI236" s="583">
        <v>255749</v>
      </c>
      <c r="BJ236" s="583">
        <v>0</v>
      </c>
      <c r="BK236" s="583">
        <v>116135</v>
      </c>
      <c r="BL236" s="583">
        <v>0</v>
      </c>
      <c r="BM236" s="583">
        <v>17635</v>
      </c>
      <c r="BN236" s="583">
        <v>0</v>
      </c>
      <c r="BO236" s="583">
        <v>133770</v>
      </c>
      <c r="BP236" s="583">
        <v>17635</v>
      </c>
      <c r="BQ236" s="583">
        <v>222546</v>
      </c>
      <c r="BR236" s="583">
        <v>36277</v>
      </c>
      <c r="BS236" s="583">
        <v>-17635</v>
      </c>
      <c r="BT236" s="583">
        <v>0</v>
      </c>
      <c r="BU236" s="583">
        <v>241188</v>
      </c>
      <c r="BV236" s="583">
        <v>0</v>
      </c>
    </row>
    <row r="237" spans="1:74" x14ac:dyDescent="0.2">
      <c r="A237" s="580">
        <v>10401</v>
      </c>
      <c r="B237" s="580" t="s">
        <v>421</v>
      </c>
      <c r="C237" s="583">
        <v>93155</v>
      </c>
      <c r="D237" s="583">
        <v>0</v>
      </c>
      <c r="E237" s="583">
        <v>52940</v>
      </c>
      <c r="F237" s="583">
        <v>0</v>
      </c>
      <c r="G237" s="583">
        <v>146095</v>
      </c>
      <c r="H237" s="583">
        <v>52940</v>
      </c>
      <c r="I237" s="583">
        <v>49537</v>
      </c>
      <c r="J237" s="583">
        <v>0</v>
      </c>
      <c r="K237" s="583">
        <v>96558</v>
      </c>
      <c r="L237" s="583">
        <v>0</v>
      </c>
      <c r="M237" s="583">
        <v>146095</v>
      </c>
      <c r="N237" s="583">
        <v>149498</v>
      </c>
      <c r="O237" s="583">
        <v>141317</v>
      </c>
      <c r="P237" s="583">
        <v>0</v>
      </c>
      <c r="Q237" s="583">
        <v>0</v>
      </c>
      <c r="R237" s="583">
        <v>0</v>
      </c>
      <c r="S237" s="583">
        <v>141317</v>
      </c>
      <c r="T237" s="583">
        <v>149498</v>
      </c>
      <c r="U237" s="583">
        <v>75037</v>
      </c>
      <c r="V237" s="583">
        <v>0</v>
      </c>
      <c r="W237" s="583">
        <v>71058</v>
      </c>
      <c r="X237" s="583">
        <v>0</v>
      </c>
      <c r="Y237" s="583">
        <v>146095</v>
      </c>
      <c r="Z237" s="583">
        <v>220556</v>
      </c>
      <c r="AA237" s="583">
        <v>652962</v>
      </c>
      <c r="AB237" s="583">
        <v>6027</v>
      </c>
      <c r="AC237" s="583">
        <v>-220556</v>
      </c>
      <c r="AD237" s="583">
        <v>0</v>
      </c>
      <c r="AE237" s="583">
        <v>438433</v>
      </c>
      <c r="AF237" s="583">
        <v>0</v>
      </c>
      <c r="AG237" s="583">
        <v>129335</v>
      </c>
      <c r="AH237" s="583">
        <v>4271</v>
      </c>
      <c r="AI237" s="583">
        <v>16760</v>
      </c>
      <c r="AJ237" s="583">
        <v>0</v>
      </c>
      <c r="AK237" s="583">
        <v>150366</v>
      </c>
      <c r="AL237" s="583">
        <v>16760</v>
      </c>
      <c r="AM237" s="583">
        <v>257095</v>
      </c>
      <c r="AN237" s="583">
        <v>24959</v>
      </c>
      <c r="AO237" s="583">
        <v>-16760</v>
      </c>
      <c r="AP237" s="583">
        <v>0</v>
      </c>
      <c r="AQ237" s="583">
        <v>265294</v>
      </c>
      <c r="AR237" s="583">
        <v>0</v>
      </c>
      <c r="AS237" s="583">
        <v>84922</v>
      </c>
      <c r="AT237" s="583">
        <v>0</v>
      </c>
      <c r="AU237" s="583">
        <v>61173</v>
      </c>
      <c r="AV237" s="583">
        <v>0</v>
      </c>
      <c r="AW237" s="583">
        <v>146095</v>
      </c>
      <c r="AX237" s="583">
        <v>61173</v>
      </c>
      <c r="AY237" s="583">
        <v>164399</v>
      </c>
      <c r="AZ237" s="583">
        <v>6119</v>
      </c>
      <c r="BA237" s="583">
        <v>0</v>
      </c>
      <c r="BB237" s="583">
        <v>0</v>
      </c>
      <c r="BC237" s="583">
        <v>170518</v>
      </c>
      <c r="BD237" s="583">
        <v>61173</v>
      </c>
      <c r="BE237" s="583">
        <v>346874</v>
      </c>
      <c r="BF237" s="583">
        <v>0</v>
      </c>
      <c r="BG237" s="583">
        <v>-61173</v>
      </c>
      <c r="BH237" s="583">
        <v>0</v>
      </c>
      <c r="BI237" s="583">
        <v>285701</v>
      </c>
      <c r="BJ237" s="583">
        <v>0</v>
      </c>
      <c r="BK237" s="583">
        <v>128740</v>
      </c>
      <c r="BL237" s="583">
        <v>0</v>
      </c>
      <c r="BM237" s="583">
        <v>17355</v>
      </c>
      <c r="BN237" s="583">
        <v>0</v>
      </c>
      <c r="BO237" s="583">
        <v>146095</v>
      </c>
      <c r="BP237" s="583">
        <v>17355</v>
      </c>
      <c r="BQ237" s="583">
        <v>246701</v>
      </c>
      <c r="BR237" s="583">
        <v>40215</v>
      </c>
      <c r="BS237" s="583">
        <v>-17355</v>
      </c>
      <c r="BT237" s="583">
        <v>0</v>
      </c>
      <c r="BU237" s="583">
        <v>269561</v>
      </c>
      <c r="BV237" s="583">
        <v>0</v>
      </c>
    </row>
    <row r="238" spans="1:74" x14ac:dyDescent="0.2">
      <c r="A238" s="580">
        <v>10402</v>
      </c>
      <c r="B238" s="580" t="s">
        <v>422</v>
      </c>
      <c r="C238" s="583">
        <v>80291</v>
      </c>
      <c r="D238" s="583">
        <v>0</v>
      </c>
      <c r="E238" s="583">
        <v>53797</v>
      </c>
      <c r="F238" s="583">
        <v>0</v>
      </c>
      <c r="G238" s="583">
        <v>134088</v>
      </c>
      <c r="H238" s="583">
        <v>53797</v>
      </c>
      <c r="I238" s="583">
        <v>42696</v>
      </c>
      <c r="J238" s="583">
        <v>0</v>
      </c>
      <c r="K238" s="583">
        <v>91392</v>
      </c>
      <c r="L238" s="583">
        <v>0</v>
      </c>
      <c r="M238" s="583">
        <v>134088</v>
      </c>
      <c r="N238" s="583">
        <v>145189</v>
      </c>
      <c r="O238" s="583">
        <v>121802</v>
      </c>
      <c r="P238" s="583">
        <v>0</v>
      </c>
      <c r="Q238" s="583">
        <v>0</v>
      </c>
      <c r="R238" s="583">
        <v>0</v>
      </c>
      <c r="S238" s="583">
        <v>121802</v>
      </c>
      <c r="T238" s="583">
        <v>145189</v>
      </c>
      <c r="U238" s="583">
        <v>64675</v>
      </c>
      <c r="V238" s="583">
        <v>0</v>
      </c>
      <c r="W238" s="583">
        <v>69413</v>
      </c>
      <c r="X238" s="583">
        <v>0</v>
      </c>
      <c r="Y238" s="583">
        <v>134088</v>
      </c>
      <c r="Z238" s="583">
        <v>214602</v>
      </c>
      <c r="AA238" s="583">
        <v>562793</v>
      </c>
      <c r="AB238" s="583">
        <v>5194</v>
      </c>
      <c r="AC238" s="583">
        <v>-214602</v>
      </c>
      <c r="AD238" s="583">
        <v>0</v>
      </c>
      <c r="AE238" s="583">
        <v>353385</v>
      </c>
      <c r="AF238" s="583">
        <v>0</v>
      </c>
      <c r="AG238" s="583">
        <v>111475</v>
      </c>
      <c r="AH238" s="583">
        <v>3681</v>
      </c>
      <c r="AI238" s="583">
        <v>22613</v>
      </c>
      <c r="AJ238" s="583">
        <v>0</v>
      </c>
      <c r="AK238" s="583">
        <v>137769</v>
      </c>
      <c r="AL238" s="583">
        <v>22613</v>
      </c>
      <c r="AM238" s="583">
        <v>221592</v>
      </c>
      <c r="AN238" s="583">
        <v>21513</v>
      </c>
      <c r="AO238" s="583">
        <v>-17914</v>
      </c>
      <c r="AP238" s="583">
        <v>0</v>
      </c>
      <c r="AQ238" s="583">
        <v>225191</v>
      </c>
      <c r="AR238" s="583">
        <v>4699</v>
      </c>
      <c r="AS238" s="583">
        <v>73195</v>
      </c>
      <c r="AT238" s="583">
        <v>0</v>
      </c>
      <c r="AU238" s="583">
        <v>60893</v>
      </c>
      <c r="AV238" s="583">
        <v>0</v>
      </c>
      <c r="AW238" s="583">
        <v>134088</v>
      </c>
      <c r="AX238" s="583">
        <v>65592</v>
      </c>
      <c r="AY238" s="583">
        <v>141696</v>
      </c>
      <c r="AZ238" s="583">
        <v>5274</v>
      </c>
      <c r="BA238" s="583">
        <v>0</v>
      </c>
      <c r="BB238" s="583">
        <v>0</v>
      </c>
      <c r="BC238" s="583">
        <v>146970</v>
      </c>
      <c r="BD238" s="583">
        <v>65592</v>
      </c>
      <c r="BE238" s="583">
        <v>298973</v>
      </c>
      <c r="BF238" s="583">
        <v>0</v>
      </c>
      <c r="BG238" s="583">
        <v>-65592</v>
      </c>
      <c r="BH238" s="583">
        <v>0</v>
      </c>
      <c r="BI238" s="583">
        <v>233381</v>
      </c>
      <c r="BJ238" s="583">
        <v>0</v>
      </c>
      <c r="BK238" s="583">
        <v>110962</v>
      </c>
      <c r="BL238" s="583">
        <v>0</v>
      </c>
      <c r="BM238" s="583">
        <v>23126</v>
      </c>
      <c r="BN238" s="583">
        <v>0</v>
      </c>
      <c r="BO238" s="583">
        <v>134088</v>
      </c>
      <c r="BP238" s="583">
        <v>23126</v>
      </c>
      <c r="BQ238" s="583">
        <v>212633</v>
      </c>
      <c r="BR238" s="583">
        <v>34661</v>
      </c>
      <c r="BS238" s="583">
        <v>-23126</v>
      </c>
      <c r="BT238" s="583">
        <v>0</v>
      </c>
      <c r="BU238" s="583">
        <v>224168</v>
      </c>
      <c r="BV238" s="583">
        <v>0</v>
      </c>
    </row>
    <row r="239" spans="1:74" x14ac:dyDescent="0.2">
      <c r="A239" s="580">
        <v>10403</v>
      </c>
      <c r="B239" s="580" t="s">
        <v>35</v>
      </c>
      <c r="C239" s="583">
        <v>137162</v>
      </c>
      <c r="D239" s="583">
        <v>0</v>
      </c>
      <c r="E239" s="583">
        <v>62304</v>
      </c>
      <c r="F239" s="583">
        <v>0</v>
      </c>
      <c r="G239" s="583">
        <v>199466</v>
      </c>
      <c r="H239" s="583">
        <v>62304</v>
      </c>
      <c r="I239" s="583">
        <v>72938</v>
      </c>
      <c r="J239" s="583">
        <v>0</v>
      </c>
      <c r="K239" s="583">
        <v>126528</v>
      </c>
      <c r="L239" s="583">
        <v>0</v>
      </c>
      <c r="M239" s="583">
        <v>199466</v>
      </c>
      <c r="N239" s="583">
        <v>188832</v>
      </c>
      <c r="O239" s="583">
        <v>208076</v>
      </c>
      <c r="P239" s="583">
        <v>0</v>
      </c>
      <c r="Q239" s="583">
        <v>0</v>
      </c>
      <c r="R239" s="583">
        <v>0</v>
      </c>
      <c r="S239" s="583">
        <v>208076</v>
      </c>
      <c r="T239" s="583">
        <v>188832</v>
      </c>
      <c r="U239" s="583">
        <v>110485</v>
      </c>
      <c r="V239" s="583">
        <v>0</v>
      </c>
      <c r="W239" s="583">
        <v>88981</v>
      </c>
      <c r="X239" s="583">
        <v>0</v>
      </c>
      <c r="Y239" s="583">
        <v>199466</v>
      </c>
      <c r="Z239" s="583">
        <v>277813</v>
      </c>
      <c r="AA239" s="583">
        <v>961426</v>
      </c>
      <c r="AB239" s="583">
        <v>8874</v>
      </c>
      <c r="AC239" s="583">
        <v>-277813</v>
      </c>
      <c r="AD239" s="583">
        <v>0</v>
      </c>
      <c r="AE239" s="583">
        <v>692487</v>
      </c>
      <c r="AF239" s="583">
        <v>0</v>
      </c>
      <c r="AG239" s="583">
        <v>190434</v>
      </c>
      <c r="AH239" s="583">
        <v>6289</v>
      </c>
      <c r="AI239" s="583">
        <v>9032</v>
      </c>
      <c r="AJ239" s="583">
        <v>0</v>
      </c>
      <c r="AK239" s="583">
        <v>205755</v>
      </c>
      <c r="AL239" s="583">
        <v>9032</v>
      </c>
      <c r="AM239" s="583">
        <v>378549</v>
      </c>
      <c r="AN239" s="583">
        <v>36750</v>
      </c>
      <c r="AO239" s="583">
        <v>-9032</v>
      </c>
      <c r="AP239" s="583">
        <v>0</v>
      </c>
      <c r="AQ239" s="583">
        <v>406267</v>
      </c>
      <c r="AR239" s="583">
        <v>0</v>
      </c>
      <c r="AS239" s="583">
        <v>125040</v>
      </c>
      <c r="AT239" s="583">
        <v>0</v>
      </c>
      <c r="AU239" s="583">
        <v>74426</v>
      </c>
      <c r="AV239" s="583">
        <v>0</v>
      </c>
      <c r="AW239" s="583">
        <v>199466</v>
      </c>
      <c r="AX239" s="583">
        <v>74426</v>
      </c>
      <c r="AY239" s="583">
        <v>242062</v>
      </c>
      <c r="AZ239" s="583">
        <v>9009</v>
      </c>
      <c r="BA239" s="583">
        <v>0</v>
      </c>
      <c r="BB239" s="583">
        <v>0</v>
      </c>
      <c r="BC239" s="583">
        <v>251071</v>
      </c>
      <c r="BD239" s="583">
        <v>74426</v>
      </c>
      <c r="BE239" s="583">
        <v>510739</v>
      </c>
      <c r="BF239" s="583">
        <v>0</v>
      </c>
      <c r="BG239" s="583">
        <v>-74426</v>
      </c>
      <c r="BH239" s="583">
        <v>0</v>
      </c>
      <c r="BI239" s="583">
        <v>436313</v>
      </c>
      <c r="BJ239" s="583">
        <v>0</v>
      </c>
      <c r="BK239" s="583">
        <v>189557</v>
      </c>
      <c r="BL239" s="583">
        <v>0</v>
      </c>
      <c r="BM239" s="583">
        <v>9909</v>
      </c>
      <c r="BN239" s="583">
        <v>0</v>
      </c>
      <c r="BO239" s="583">
        <v>199466</v>
      </c>
      <c r="BP239" s="583">
        <v>9909</v>
      </c>
      <c r="BQ239" s="583">
        <v>363244</v>
      </c>
      <c r="BR239" s="583">
        <v>59213</v>
      </c>
      <c r="BS239" s="583">
        <v>-9909</v>
      </c>
      <c r="BT239" s="583">
        <v>0</v>
      </c>
      <c r="BU239" s="583">
        <v>412548</v>
      </c>
      <c r="BV239" s="583">
        <v>0</v>
      </c>
    </row>
    <row r="240" spans="1:74" x14ac:dyDescent="0.2">
      <c r="A240" s="580">
        <v>10404</v>
      </c>
      <c r="B240" s="580" t="s">
        <v>259</v>
      </c>
      <c r="C240" s="583">
        <v>68850</v>
      </c>
      <c r="D240" s="583">
        <v>0</v>
      </c>
      <c r="E240" s="583">
        <v>41480</v>
      </c>
      <c r="F240" s="583">
        <v>0</v>
      </c>
      <c r="G240" s="583">
        <v>110330</v>
      </c>
      <c r="H240" s="583">
        <v>41480</v>
      </c>
      <c r="I240" s="583">
        <v>36612</v>
      </c>
      <c r="J240" s="583">
        <v>0</v>
      </c>
      <c r="K240" s="583">
        <v>73718</v>
      </c>
      <c r="L240" s="583">
        <v>0</v>
      </c>
      <c r="M240" s="583">
        <v>110330</v>
      </c>
      <c r="N240" s="583">
        <v>115198</v>
      </c>
      <c r="O240" s="583">
        <v>104447</v>
      </c>
      <c r="P240" s="583">
        <v>0</v>
      </c>
      <c r="Q240" s="583">
        <v>0</v>
      </c>
      <c r="R240" s="583">
        <v>0</v>
      </c>
      <c r="S240" s="583">
        <v>104447</v>
      </c>
      <c r="T240" s="583">
        <v>115198</v>
      </c>
      <c r="U240" s="583">
        <v>55459</v>
      </c>
      <c r="V240" s="583">
        <v>0</v>
      </c>
      <c r="W240" s="583">
        <v>54871</v>
      </c>
      <c r="X240" s="583">
        <v>0</v>
      </c>
      <c r="Y240" s="583">
        <v>110330</v>
      </c>
      <c r="Z240" s="583">
        <v>170069</v>
      </c>
      <c r="AA240" s="583">
        <v>482601</v>
      </c>
      <c r="AB240" s="583">
        <v>4454</v>
      </c>
      <c r="AC240" s="583">
        <v>-170069</v>
      </c>
      <c r="AD240" s="583">
        <v>0</v>
      </c>
      <c r="AE240" s="583">
        <v>316986</v>
      </c>
      <c r="AF240" s="583">
        <v>0</v>
      </c>
      <c r="AG240" s="583">
        <v>95591</v>
      </c>
      <c r="AH240" s="583">
        <v>3157</v>
      </c>
      <c r="AI240" s="583">
        <v>14739</v>
      </c>
      <c r="AJ240" s="583">
        <v>0</v>
      </c>
      <c r="AK240" s="583">
        <v>113487</v>
      </c>
      <c r="AL240" s="583">
        <v>14739</v>
      </c>
      <c r="AM240" s="583">
        <v>190018</v>
      </c>
      <c r="AN240" s="583">
        <v>18447</v>
      </c>
      <c r="AO240" s="583">
        <v>-14739</v>
      </c>
      <c r="AP240" s="583">
        <v>0</v>
      </c>
      <c r="AQ240" s="583">
        <v>193726</v>
      </c>
      <c r="AR240" s="583">
        <v>0</v>
      </c>
      <c r="AS240" s="583">
        <v>62766</v>
      </c>
      <c r="AT240" s="583">
        <v>0</v>
      </c>
      <c r="AU240" s="583">
        <v>47564</v>
      </c>
      <c r="AV240" s="583">
        <v>0</v>
      </c>
      <c r="AW240" s="583">
        <v>110330</v>
      </c>
      <c r="AX240" s="583">
        <v>47564</v>
      </c>
      <c r="AY240" s="583">
        <v>121506</v>
      </c>
      <c r="AZ240" s="583">
        <v>4522</v>
      </c>
      <c r="BA240" s="583">
        <v>0</v>
      </c>
      <c r="BB240" s="583">
        <v>0</v>
      </c>
      <c r="BC240" s="583">
        <v>126028</v>
      </c>
      <c r="BD240" s="583">
        <v>47564</v>
      </c>
      <c r="BE240" s="583">
        <v>256373</v>
      </c>
      <c r="BF240" s="583">
        <v>0</v>
      </c>
      <c r="BG240" s="583">
        <v>-47564</v>
      </c>
      <c r="BH240" s="583">
        <v>0</v>
      </c>
      <c r="BI240" s="583">
        <v>208809</v>
      </c>
      <c r="BJ240" s="583">
        <v>0</v>
      </c>
      <c r="BK240" s="583">
        <v>95151</v>
      </c>
      <c r="BL240" s="583">
        <v>0</v>
      </c>
      <c r="BM240" s="583">
        <v>15179</v>
      </c>
      <c r="BN240" s="583">
        <v>0</v>
      </c>
      <c r="BO240" s="583">
        <v>110330</v>
      </c>
      <c r="BP240" s="583">
        <v>15179</v>
      </c>
      <c r="BQ240" s="583">
        <v>182336</v>
      </c>
      <c r="BR240" s="583">
        <v>29723</v>
      </c>
      <c r="BS240" s="583">
        <v>-15179</v>
      </c>
      <c r="BT240" s="583">
        <v>0</v>
      </c>
      <c r="BU240" s="583">
        <v>196880</v>
      </c>
      <c r="BV240" s="583">
        <v>0</v>
      </c>
    </row>
    <row r="241" spans="1:74" x14ac:dyDescent="0.2">
      <c r="A241" s="580">
        <v>11101</v>
      </c>
      <c r="B241" s="580" t="s">
        <v>501</v>
      </c>
      <c r="C241" s="583">
        <v>338476</v>
      </c>
      <c r="D241" s="583">
        <v>0</v>
      </c>
      <c r="E241" s="583">
        <v>226789</v>
      </c>
      <c r="F241" s="583">
        <v>0</v>
      </c>
      <c r="G241" s="583">
        <v>565265</v>
      </c>
      <c r="H241" s="583">
        <v>226789</v>
      </c>
      <c r="I241" s="583">
        <v>179990</v>
      </c>
      <c r="J241" s="583">
        <v>0</v>
      </c>
      <c r="K241" s="583">
        <v>385275</v>
      </c>
      <c r="L241" s="583">
        <v>0</v>
      </c>
      <c r="M241" s="583">
        <v>565265</v>
      </c>
      <c r="N241" s="583">
        <v>612064</v>
      </c>
      <c r="O241" s="583">
        <v>513471</v>
      </c>
      <c r="P241" s="583">
        <v>0</v>
      </c>
      <c r="Q241" s="583">
        <v>0</v>
      </c>
      <c r="R241" s="583">
        <v>0</v>
      </c>
      <c r="S241" s="583">
        <v>513471</v>
      </c>
      <c r="T241" s="583">
        <v>612064</v>
      </c>
      <c r="U241" s="583">
        <v>272645</v>
      </c>
      <c r="V241" s="583">
        <v>0</v>
      </c>
      <c r="W241" s="583">
        <v>292620</v>
      </c>
      <c r="X241" s="583">
        <v>0</v>
      </c>
      <c r="Y241" s="583">
        <v>565265</v>
      </c>
      <c r="Z241" s="583">
        <v>904684</v>
      </c>
      <c r="AA241" s="583">
        <v>2372524</v>
      </c>
      <c r="AB241" s="583">
        <v>21898</v>
      </c>
      <c r="AC241" s="583">
        <v>-904684</v>
      </c>
      <c r="AD241" s="583">
        <v>0</v>
      </c>
      <c r="AE241" s="583">
        <v>1489738</v>
      </c>
      <c r="AF241" s="583">
        <v>0</v>
      </c>
      <c r="AG241" s="583">
        <v>469936</v>
      </c>
      <c r="AH241" s="583">
        <v>15519</v>
      </c>
      <c r="AI241" s="583">
        <v>95329</v>
      </c>
      <c r="AJ241" s="583">
        <v>0</v>
      </c>
      <c r="AK241" s="583">
        <v>580784</v>
      </c>
      <c r="AL241" s="583">
        <v>95329</v>
      </c>
      <c r="AM241" s="583">
        <v>934150</v>
      </c>
      <c r="AN241" s="583">
        <v>90689</v>
      </c>
      <c r="AO241" s="583">
        <v>-75519</v>
      </c>
      <c r="AP241" s="583">
        <v>0</v>
      </c>
      <c r="AQ241" s="583">
        <v>949320</v>
      </c>
      <c r="AR241" s="583">
        <v>19810</v>
      </c>
      <c r="AS241" s="583">
        <v>308564</v>
      </c>
      <c r="AT241" s="583">
        <v>0</v>
      </c>
      <c r="AU241" s="583">
        <v>256701</v>
      </c>
      <c r="AV241" s="583">
        <v>0</v>
      </c>
      <c r="AW241" s="583">
        <v>565265</v>
      </c>
      <c r="AX241" s="583">
        <v>276511</v>
      </c>
      <c r="AY241" s="583">
        <v>597339</v>
      </c>
      <c r="AZ241" s="583">
        <v>22232</v>
      </c>
      <c r="BA241" s="583">
        <v>0</v>
      </c>
      <c r="BB241" s="583">
        <v>0</v>
      </c>
      <c r="BC241" s="583">
        <v>619571</v>
      </c>
      <c r="BD241" s="583">
        <v>276511</v>
      </c>
      <c r="BE241" s="583">
        <v>1260359</v>
      </c>
      <c r="BF241" s="583">
        <v>0</v>
      </c>
      <c r="BG241" s="583">
        <v>-276511</v>
      </c>
      <c r="BH241" s="583">
        <v>0</v>
      </c>
      <c r="BI241" s="583">
        <v>983848</v>
      </c>
      <c r="BJ241" s="583">
        <v>0</v>
      </c>
      <c r="BK241" s="583">
        <v>467773</v>
      </c>
      <c r="BL241" s="583">
        <v>0</v>
      </c>
      <c r="BM241" s="583">
        <v>97492</v>
      </c>
      <c r="BN241" s="583">
        <v>0</v>
      </c>
      <c r="BO241" s="583">
        <v>565265</v>
      </c>
      <c r="BP241" s="583">
        <v>97492</v>
      </c>
      <c r="BQ241" s="583">
        <v>896383</v>
      </c>
      <c r="BR241" s="583">
        <v>146120</v>
      </c>
      <c r="BS241" s="583">
        <v>-97492</v>
      </c>
      <c r="BT241" s="583">
        <v>0</v>
      </c>
      <c r="BU241" s="583">
        <v>945011</v>
      </c>
      <c r="BV241" s="583">
        <v>0</v>
      </c>
    </row>
    <row r="242" spans="1:74" x14ac:dyDescent="0.2">
      <c r="A242" s="580">
        <v>11102</v>
      </c>
      <c r="B242" s="580" t="s">
        <v>265</v>
      </c>
      <c r="C242" s="583">
        <v>60420</v>
      </c>
      <c r="D242" s="583">
        <v>0</v>
      </c>
      <c r="E242" s="583">
        <v>36643</v>
      </c>
      <c r="F242" s="583">
        <v>0</v>
      </c>
      <c r="G242" s="583">
        <v>97063</v>
      </c>
      <c r="H242" s="583">
        <v>36643</v>
      </c>
      <c r="I242" s="583">
        <v>32129</v>
      </c>
      <c r="J242" s="583">
        <v>0</v>
      </c>
      <c r="K242" s="583">
        <v>64934</v>
      </c>
      <c r="L242" s="583">
        <v>0</v>
      </c>
      <c r="M242" s="583">
        <v>97063</v>
      </c>
      <c r="N242" s="583">
        <v>101577</v>
      </c>
      <c r="O242" s="583">
        <v>91657</v>
      </c>
      <c r="P242" s="583">
        <v>0</v>
      </c>
      <c r="Q242" s="583">
        <v>0</v>
      </c>
      <c r="R242" s="583">
        <v>0</v>
      </c>
      <c r="S242" s="583">
        <v>91657</v>
      </c>
      <c r="T242" s="583">
        <v>101577</v>
      </c>
      <c r="U242" s="583">
        <v>48669</v>
      </c>
      <c r="V242" s="583">
        <v>0</v>
      </c>
      <c r="W242" s="583">
        <v>48394</v>
      </c>
      <c r="X242" s="583">
        <v>0</v>
      </c>
      <c r="Y242" s="583">
        <v>97063</v>
      </c>
      <c r="Z242" s="583">
        <v>149971</v>
      </c>
      <c r="AA242" s="583">
        <v>423508</v>
      </c>
      <c r="AB242" s="583">
        <v>3909</v>
      </c>
      <c r="AC242" s="583">
        <v>-149971</v>
      </c>
      <c r="AD242" s="583">
        <v>0</v>
      </c>
      <c r="AE242" s="583">
        <v>277446</v>
      </c>
      <c r="AF242" s="583">
        <v>0</v>
      </c>
      <c r="AG242" s="583">
        <v>83886</v>
      </c>
      <c r="AH242" s="583">
        <v>2770</v>
      </c>
      <c r="AI242" s="583">
        <v>13177</v>
      </c>
      <c r="AJ242" s="583">
        <v>0</v>
      </c>
      <c r="AK242" s="583">
        <v>99833</v>
      </c>
      <c r="AL242" s="583">
        <v>13177</v>
      </c>
      <c r="AM242" s="583">
        <v>166751</v>
      </c>
      <c r="AN242" s="583">
        <v>16188</v>
      </c>
      <c r="AO242" s="583">
        <v>-13177</v>
      </c>
      <c r="AP242" s="583">
        <v>0</v>
      </c>
      <c r="AQ242" s="583">
        <v>169762</v>
      </c>
      <c r="AR242" s="583">
        <v>0</v>
      </c>
      <c r="AS242" s="583">
        <v>55080</v>
      </c>
      <c r="AT242" s="583">
        <v>0</v>
      </c>
      <c r="AU242" s="583">
        <v>41983</v>
      </c>
      <c r="AV242" s="583">
        <v>0</v>
      </c>
      <c r="AW242" s="583">
        <v>97063</v>
      </c>
      <c r="AX242" s="583">
        <v>41983</v>
      </c>
      <c r="AY242" s="583">
        <v>106628</v>
      </c>
      <c r="AZ242" s="583">
        <v>3969</v>
      </c>
      <c r="BA242" s="583">
        <v>0</v>
      </c>
      <c r="BB242" s="583">
        <v>0</v>
      </c>
      <c r="BC242" s="583">
        <v>110597</v>
      </c>
      <c r="BD242" s="583">
        <v>41983</v>
      </c>
      <c r="BE242" s="583">
        <v>224981</v>
      </c>
      <c r="BF242" s="583">
        <v>0</v>
      </c>
      <c r="BG242" s="583">
        <v>-41983</v>
      </c>
      <c r="BH242" s="583">
        <v>0</v>
      </c>
      <c r="BI242" s="583">
        <v>182998</v>
      </c>
      <c r="BJ242" s="583">
        <v>0</v>
      </c>
      <c r="BK242" s="583">
        <v>83500</v>
      </c>
      <c r="BL242" s="583">
        <v>0</v>
      </c>
      <c r="BM242" s="583">
        <v>13563</v>
      </c>
      <c r="BN242" s="583">
        <v>0</v>
      </c>
      <c r="BO242" s="583">
        <v>97063</v>
      </c>
      <c r="BP242" s="583">
        <v>13563</v>
      </c>
      <c r="BQ242" s="583">
        <v>160009</v>
      </c>
      <c r="BR242" s="583">
        <v>26083</v>
      </c>
      <c r="BS242" s="583">
        <v>-13563</v>
      </c>
      <c r="BT242" s="583">
        <v>0</v>
      </c>
      <c r="BU242" s="583">
        <v>172529</v>
      </c>
      <c r="BV242" s="583">
        <v>0</v>
      </c>
    </row>
    <row r="243" spans="1:74" x14ac:dyDescent="0.2">
      <c r="A243" s="580">
        <v>11201</v>
      </c>
      <c r="B243" s="580" t="s">
        <v>502</v>
      </c>
      <c r="C243" s="583">
        <v>194544</v>
      </c>
      <c r="D243" s="583">
        <v>0</v>
      </c>
      <c r="E243" s="583">
        <v>130350</v>
      </c>
      <c r="F243" s="583">
        <v>0</v>
      </c>
      <c r="G243" s="583">
        <v>324894</v>
      </c>
      <c r="H243" s="583">
        <v>130350</v>
      </c>
      <c r="I243" s="583">
        <v>103452</v>
      </c>
      <c r="J243" s="583">
        <v>0</v>
      </c>
      <c r="K243" s="583">
        <v>221442</v>
      </c>
      <c r="L243" s="583">
        <v>0</v>
      </c>
      <c r="M243" s="583">
        <v>324894</v>
      </c>
      <c r="N243" s="583">
        <v>351792</v>
      </c>
      <c r="O243" s="583">
        <v>295124</v>
      </c>
      <c r="P243" s="583">
        <v>0</v>
      </c>
      <c r="Q243" s="583">
        <v>0</v>
      </c>
      <c r="R243" s="583">
        <v>0</v>
      </c>
      <c r="S243" s="583">
        <v>295124</v>
      </c>
      <c r="T243" s="583">
        <v>351792</v>
      </c>
      <c r="U243" s="583">
        <v>156706</v>
      </c>
      <c r="V243" s="583">
        <v>0</v>
      </c>
      <c r="W243" s="583">
        <v>168188</v>
      </c>
      <c r="X243" s="583">
        <v>0</v>
      </c>
      <c r="Y243" s="583">
        <v>324894</v>
      </c>
      <c r="Z243" s="583">
        <v>519980</v>
      </c>
      <c r="AA243" s="583">
        <v>1363640</v>
      </c>
      <c r="AB243" s="583">
        <v>12586</v>
      </c>
      <c r="AC243" s="583">
        <v>-519980</v>
      </c>
      <c r="AD243" s="583">
        <v>0</v>
      </c>
      <c r="AE243" s="583">
        <v>856246</v>
      </c>
      <c r="AF243" s="583">
        <v>0</v>
      </c>
      <c r="AG243" s="583">
        <v>270102</v>
      </c>
      <c r="AH243" s="583">
        <v>8920</v>
      </c>
      <c r="AI243" s="583">
        <v>54792</v>
      </c>
      <c r="AJ243" s="583">
        <v>0</v>
      </c>
      <c r="AK243" s="583">
        <v>333814</v>
      </c>
      <c r="AL243" s="583">
        <v>54792</v>
      </c>
      <c r="AM243" s="583">
        <v>536915</v>
      </c>
      <c r="AN243" s="583">
        <v>52125</v>
      </c>
      <c r="AO243" s="583">
        <v>-43406</v>
      </c>
      <c r="AP243" s="583">
        <v>0</v>
      </c>
      <c r="AQ243" s="583">
        <v>545634</v>
      </c>
      <c r="AR243" s="583">
        <v>11386</v>
      </c>
      <c r="AS243" s="583">
        <v>177351</v>
      </c>
      <c r="AT243" s="583">
        <v>0</v>
      </c>
      <c r="AU243" s="583">
        <v>147543</v>
      </c>
      <c r="AV243" s="583">
        <v>0</v>
      </c>
      <c r="AW243" s="583">
        <v>324894</v>
      </c>
      <c r="AX243" s="583">
        <v>158929</v>
      </c>
      <c r="AY243" s="583">
        <v>343328</v>
      </c>
      <c r="AZ243" s="583">
        <v>12778</v>
      </c>
      <c r="BA243" s="583">
        <v>0</v>
      </c>
      <c r="BB243" s="583">
        <v>0</v>
      </c>
      <c r="BC243" s="583">
        <v>356106</v>
      </c>
      <c r="BD243" s="583">
        <v>158929</v>
      </c>
      <c r="BE243" s="583">
        <v>724408</v>
      </c>
      <c r="BF243" s="583">
        <v>0</v>
      </c>
      <c r="BG243" s="583">
        <v>-158929</v>
      </c>
      <c r="BH243" s="583">
        <v>0</v>
      </c>
      <c r="BI243" s="583">
        <v>565479</v>
      </c>
      <c r="BJ243" s="583">
        <v>0</v>
      </c>
      <c r="BK243" s="583">
        <v>268859</v>
      </c>
      <c r="BL243" s="583">
        <v>0</v>
      </c>
      <c r="BM243" s="583">
        <v>56035</v>
      </c>
      <c r="BN243" s="583">
        <v>0</v>
      </c>
      <c r="BO243" s="583">
        <v>324894</v>
      </c>
      <c r="BP243" s="583">
        <v>56035</v>
      </c>
      <c r="BQ243" s="583">
        <v>515208</v>
      </c>
      <c r="BR243" s="583">
        <v>83984</v>
      </c>
      <c r="BS243" s="583">
        <v>-56035</v>
      </c>
      <c r="BT243" s="583">
        <v>0</v>
      </c>
      <c r="BU243" s="583">
        <v>543157</v>
      </c>
      <c r="BV243" s="583">
        <v>0</v>
      </c>
    </row>
    <row r="244" spans="1:74" x14ac:dyDescent="0.2">
      <c r="A244" s="580">
        <v>11202</v>
      </c>
      <c r="B244" s="580" t="s">
        <v>260</v>
      </c>
      <c r="C244" s="583">
        <v>75116</v>
      </c>
      <c r="D244" s="583">
        <v>0</v>
      </c>
      <c r="E244" s="583">
        <v>46734</v>
      </c>
      <c r="F244" s="583">
        <v>0</v>
      </c>
      <c r="G244" s="583">
        <v>121850</v>
      </c>
      <c r="H244" s="583">
        <v>46734</v>
      </c>
      <c r="I244" s="583">
        <v>39944</v>
      </c>
      <c r="J244" s="583">
        <v>0</v>
      </c>
      <c r="K244" s="583">
        <v>81906</v>
      </c>
      <c r="L244" s="583">
        <v>0</v>
      </c>
      <c r="M244" s="583">
        <v>121850</v>
      </c>
      <c r="N244" s="583">
        <v>128640</v>
      </c>
      <c r="O244" s="583">
        <v>113951</v>
      </c>
      <c r="P244" s="583">
        <v>0</v>
      </c>
      <c r="Q244" s="583">
        <v>0</v>
      </c>
      <c r="R244" s="583">
        <v>0</v>
      </c>
      <c r="S244" s="583">
        <v>113951</v>
      </c>
      <c r="T244" s="583">
        <v>128640</v>
      </c>
      <c r="U244" s="583">
        <v>60506</v>
      </c>
      <c r="V244" s="583">
        <v>0</v>
      </c>
      <c r="W244" s="583">
        <v>61344</v>
      </c>
      <c r="X244" s="583">
        <v>0</v>
      </c>
      <c r="Y244" s="583">
        <v>121850</v>
      </c>
      <c r="Z244" s="583">
        <v>189984</v>
      </c>
      <c r="AA244" s="583">
        <v>526518</v>
      </c>
      <c r="AB244" s="583">
        <v>4860</v>
      </c>
      <c r="AC244" s="583">
        <v>-189984</v>
      </c>
      <c r="AD244" s="583">
        <v>0</v>
      </c>
      <c r="AE244" s="583">
        <v>341394</v>
      </c>
      <c r="AF244" s="583">
        <v>0</v>
      </c>
      <c r="AG244" s="583">
        <v>104290</v>
      </c>
      <c r="AH244" s="583">
        <v>3444</v>
      </c>
      <c r="AI244" s="583">
        <v>17560</v>
      </c>
      <c r="AJ244" s="583">
        <v>0</v>
      </c>
      <c r="AK244" s="583">
        <v>125294</v>
      </c>
      <c r="AL244" s="583">
        <v>17560</v>
      </c>
      <c r="AM244" s="583">
        <v>207310</v>
      </c>
      <c r="AN244" s="583">
        <v>20126</v>
      </c>
      <c r="AO244" s="583">
        <v>-17560</v>
      </c>
      <c r="AP244" s="583">
        <v>0</v>
      </c>
      <c r="AQ244" s="583">
        <v>209876</v>
      </c>
      <c r="AR244" s="583">
        <v>0</v>
      </c>
      <c r="AS244" s="583">
        <v>68478</v>
      </c>
      <c r="AT244" s="583">
        <v>0</v>
      </c>
      <c r="AU244" s="583">
        <v>53372</v>
      </c>
      <c r="AV244" s="583">
        <v>0</v>
      </c>
      <c r="AW244" s="583">
        <v>121850</v>
      </c>
      <c r="AX244" s="583">
        <v>53372</v>
      </c>
      <c r="AY244" s="583">
        <v>132563</v>
      </c>
      <c r="AZ244" s="583">
        <v>4934</v>
      </c>
      <c r="BA244" s="583">
        <v>0</v>
      </c>
      <c r="BB244" s="583">
        <v>0</v>
      </c>
      <c r="BC244" s="583">
        <v>137497</v>
      </c>
      <c r="BD244" s="583">
        <v>53372</v>
      </c>
      <c r="BE244" s="583">
        <v>279703</v>
      </c>
      <c r="BF244" s="583">
        <v>0</v>
      </c>
      <c r="BG244" s="583">
        <v>-53372</v>
      </c>
      <c r="BH244" s="583">
        <v>0</v>
      </c>
      <c r="BI244" s="583">
        <v>226331</v>
      </c>
      <c r="BJ244" s="583">
        <v>0</v>
      </c>
      <c r="BK244" s="583">
        <v>103810</v>
      </c>
      <c r="BL244" s="583">
        <v>0</v>
      </c>
      <c r="BM244" s="583">
        <v>18040</v>
      </c>
      <c r="BN244" s="583">
        <v>0</v>
      </c>
      <c r="BO244" s="583">
        <v>121850</v>
      </c>
      <c r="BP244" s="583">
        <v>18040</v>
      </c>
      <c r="BQ244" s="583">
        <v>198928</v>
      </c>
      <c r="BR244" s="583">
        <v>32427</v>
      </c>
      <c r="BS244" s="583">
        <v>-18040</v>
      </c>
      <c r="BT244" s="583">
        <v>0</v>
      </c>
      <c r="BU244" s="583">
        <v>213315</v>
      </c>
      <c r="BV244" s="583">
        <v>0</v>
      </c>
    </row>
    <row r="245" spans="1:74" x14ac:dyDescent="0.2">
      <c r="A245" s="580">
        <v>11203</v>
      </c>
      <c r="B245" s="580" t="s">
        <v>261</v>
      </c>
      <c r="C245" s="583">
        <v>60740</v>
      </c>
      <c r="D245" s="583">
        <v>0</v>
      </c>
      <c r="E245" s="583">
        <v>36943</v>
      </c>
      <c r="F245" s="583">
        <v>0</v>
      </c>
      <c r="G245" s="583">
        <v>97683</v>
      </c>
      <c r="H245" s="583">
        <v>36943</v>
      </c>
      <c r="I245" s="583">
        <v>32300</v>
      </c>
      <c r="J245" s="583">
        <v>0</v>
      </c>
      <c r="K245" s="583">
        <v>65383</v>
      </c>
      <c r="L245" s="583">
        <v>0</v>
      </c>
      <c r="M245" s="583">
        <v>97683</v>
      </c>
      <c r="N245" s="583">
        <v>102326</v>
      </c>
      <c r="O245" s="583">
        <v>92143</v>
      </c>
      <c r="P245" s="583">
        <v>0</v>
      </c>
      <c r="Q245" s="583">
        <v>0</v>
      </c>
      <c r="R245" s="583">
        <v>0</v>
      </c>
      <c r="S245" s="583">
        <v>92143</v>
      </c>
      <c r="T245" s="583">
        <v>102326</v>
      </c>
      <c r="U245" s="583">
        <v>48927</v>
      </c>
      <c r="V245" s="583">
        <v>0</v>
      </c>
      <c r="W245" s="583">
        <v>48756</v>
      </c>
      <c r="X245" s="583">
        <v>0</v>
      </c>
      <c r="Y245" s="583">
        <v>97683</v>
      </c>
      <c r="Z245" s="583">
        <v>151082</v>
      </c>
      <c r="AA245" s="583">
        <v>425754</v>
      </c>
      <c r="AB245" s="583">
        <v>3930</v>
      </c>
      <c r="AC245" s="583">
        <v>-151082</v>
      </c>
      <c r="AD245" s="583">
        <v>0</v>
      </c>
      <c r="AE245" s="583">
        <v>278602</v>
      </c>
      <c r="AF245" s="583">
        <v>0</v>
      </c>
      <c r="AG245" s="583">
        <v>84331</v>
      </c>
      <c r="AH245" s="583">
        <v>2785</v>
      </c>
      <c r="AI245" s="583">
        <v>13352</v>
      </c>
      <c r="AJ245" s="583">
        <v>0</v>
      </c>
      <c r="AK245" s="583">
        <v>100468</v>
      </c>
      <c r="AL245" s="583">
        <v>13352</v>
      </c>
      <c r="AM245" s="583">
        <v>167635</v>
      </c>
      <c r="AN245" s="583">
        <v>16274</v>
      </c>
      <c r="AO245" s="583">
        <v>-13352</v>
      </c>
      <c r="AP245" s="583">
        <v>0</v>
      </c>
      <c r="AQ245" s="583">
        <v>170557</v>
      </c>
      <c r="AR245" s="583">
        <v>0</v>
      </c>
      <c r="AS245" s="583">
        <v>55372</v>
      </c>
      <c r="AT245" s="583">
        <v>0</v>
      </c>
      <c r="AU245" s="583">
        <v>42311</v>
      </c>
      <c r="AV245" s="583">
        <v>0</v>
      </c>
      <c r="AW245" s="583">
        <v>97683</v>
      </c>
      <c r="AX245" s="583">
        <v>42311</v>
      </c>
      <c r="AY245" s="583">
        <v>107193</v>
      </c>
      <c r="AZ245" s="583">
        <v>3990</v>
      </c>
      <c r="BA245" s="583">
        <v>0</v>
      </c>
      <c r="BB245" s="583">
        <v>0</v>
      </c>
      <c r="BC245" s="583">
        <v>111183</v>
      </c>
      <c r="BD245" s="583">
        <v>42311</v>
      </c>
      <c r="BE245" s="583">
        <v>226174</v>
      </c>
      <c r="BF245" s="583">
        <v>0</v>
      </c>
      <c r="BG245" s="583">
        <v>-42311</v>
      </c>
      <c r="BH245" s="583">
        <v>0</v>
      </c>
      <c r="BI245" s="583">
        <v>183863</v>
      </c>
      <c r="BJ245" s="583">
        <v>0</v>
      </c>
      <c r="BK245" s="583">
        <v>83943</v>
      </c>
      <c r="BL245" s="583">
        <v>0</v>
      </c>
      <c r="BM245" s="583">
        <v>13740</v>
      </c>
      <c r="BN245" s="583">
        <v>0</v>
      </c>
      <c r="BO245" s="583">
        <v>97683</v>
      </c>
      <c r="BP245" s="583">
        <v>13740</v>
      </c>
      <c r="BQ245" s="583">
        <v>160857</v>
      </c>
      <c r="BR245" s="583">
        <v>26221</v>
      </c>
      <c r="BS245" s="583">
        <v>-13740</v>
      </c>
      <c r="BT245" s="583">
        <v>0</v>
      </c>
      <c r="BU245" s="583">
        <v>173338</v>
      </c>
      <c r="BV245" s="583">
        <v>0</v>
      </c>
    </row>
    <row r="246" spans="1:74" x14ac:dyDescent="0.2">
      <c r="A246" s="580">
        <v>11301</v>
      </c>
      <c r="B246" s="580" t="s">
        <v>263</v>
      </c>
      <c r="C246" s="583">
        <v>84296</v>
      </c>
      <c r="D246" s="583">
        <v>0</v>
      </c>
      <c r="E246" s="583">
        <v>47130</v>
      </c>
      <c r="F246" s="583">
        <v>0</v>
      </c>
      <c r="G246" s="583">
        <v>131426</v>
      </c>
      <c r="H246" s="583">
        <v>47130</v>
      </c>
      <c r="I246" s="583">
        <v>44826</v>
      </c>
      <c r="J246" s="583">
        <v>0</v>
      </c>
      <c r="K246" s="583">
        <v>86600</v>
      </c>
      <c r="L246" s="583">
        <v>0</v>
      </c>
      <c r="M246" s="583">
        <v>131426</v>
      </c>
      <c r="N246" s="583">
        <v>133730</v>
      </c>
      <c r="O246" s="583">
        <v>127878</v>
      </c>
      <c r="P246" s="583">
        <v>0</v>
      </c>
      <c r="Q246" s="583">
        <v>0</v>
      </c>
      <c r="R246" s="583">
        <v>0</v>
      </c>
      <c r="S246" s="583">
        <v>127878</v>
      </c>
      <c r="T246" s="583">
        <v>133730</v>
      </c>
      <c r="U246" s="583">
        <v>67901</v>
      </c>
      <c r="V246" s="583">
        <v>0</v>
      </c>
      <c r="W246" s="583">
        <v>63525</v>
      </c>
      <c r="X246" s="583">
        <v>0</v>
      </c>
      <c r="Y246" s="583">
        <v>131426</v>
      </c>
      <c r="Z246" s="583">
        <v>197255</v>
      </c>
      <c r="AA246" s="583">
        <v>590868</v>
      </c>
      <c r="AB246" s="583">
        <v>5454</v>
      </c>
      <c r="AC246" s="583">
        <v>-197255</v>
      </c>
      <c r="AD246" s="583">
        <v>0</v>
      </c>
      <c r="AE246" s="583">
        <v>399067</v>
      </c>
      <c r="AF246" s="583">
        <v>0</v>
      </c>
      <c r="AG246" s="583">
        <v>117036</v>
      </c>
      <c r="AH246" s="583">
        <v>3865</v>
      </c>
      <c r="AI246" s="583">
        <v>14390</v>
      </c>
      <c r="AJ246" s="583">
        <v>0</v>
      </c>
      <c r="AK246" s="583">
        <v>135291</v>
      </c>
      <c r="AL246" s="583">
        <v>14390</v>
      </c>
      <c r="AM246" s="583">
        <v>232647</v>
      </c>
      <c r="AN246" s="583">
        <v>22586</v>
      </c>
      <c r="AO246" s="583">
        <v>-14390</v>
      </c>
      <c r="AP246" s="583">
        <v>0</v>
      </c>
      <c r="AQ246" s="583">
        <v>240843</v>
      </c>
      <c r="AR246" s="583">
        <v>0</v>
      </c>
      <c r="AS246" s="583">
        <v>76847</v>
      </c>
      <c r="AT246" s="583">
        <v>0</v>
      </c>
      <c r="AU246" s="583">
        <v>54579</v>
      </c>
      <c r="AV246" s="583">
        <v>0</v>
      </c>
      <c r="AW246" s="583">
        <v>131426</v>
      </c>
      <c r="AX246" s="583">
        <v>54579</v>
      </c>
      <c r="AY246" s="583">
        <v>148765</v>
      </c>
      <c r="AZ246" s="583">
        <v>5537</v>
      </c>
      <c r="BA246" s="583">
        <v>0</v>
      </c>
      <c r="BB246" s="583">
        <v>0</v>
      </c>
      <c r="BC246" s="583">
        <v>154302</v>
      </c>
      <c r="BD246" s="583">
        <v>54579</v>
      </c>
      <c r="BE246" s="583">
        <v>313888</v>
      </c>
      <c r="BF246" s="583">
        <v>0</v>
      </c>
      <c r="BG246" s="583">
        <v>-54579</v>
      </c>
      <c r="BH246" s="583">
        <v>0</v>
      </c>
      <c r="BI246" s="583">
        <v>259309</v>
      </c>
      <c r="BJ246" s="583">
        <v>0</v>
      </c>
      <c r="BK246" s="583">
        <v>116497</v>
      </c>
      <c r="BL246" s="583">
        <v>0</v>
      </c>
      <c r="BM246" s="583">
        <v>14929</v>
      </c>
      <c r="BN246" s="583">
        <v>0</v>
      </c>
      <c r="BO246" s="583">
        <v>131426</v>
      </c>
      <c r="BP246" s="583">
        <v>14929</v>
      </c>
      <c r="BQ246" s="583">
        <v>223241</v>
      </c>
      <c r="BR246" s="583">
        <v>36391</v>
      </c>
      <c r="BS246" s="583">
        <v>-14929</v>
      </c>
      <c r="BT246" s="583">
        <v>0</v>
      </c>
      <c r="BU246" s="583">
        <v>244703</v>
      </c>
      <c r="BV246" s="583">
        <v>0</v>
      </c>
    </row>
    <row r="247" spans="1:74" x14ac:dyDescent="0.2">
      <c r="A247" s="580">
        <v>11302</v>
      </c>
      <c r="B247" s="580" t="s">
        <v>490</v>
      </c>
      <c r="C247" s="583">
        <v>61755</v>
      </c>
      <c r="D247" s="583">
        <v>0</v>
      </c>
      <c r="E247" s="583">
        <v>41366</v>
      </c>
      <c r="F247" s="583">
        <v>0</v>
      </c>
      <c r="G247" s="583">
        <v>103121</v>
      </c>
      <c r="H247" s="583">
        <v>41366</v>
      </c>
      <c r="I247" s="583">
        <v>32839</v>
      </c>
      <c r="J247" s="583">
        <v>0</v>
      </c>
      <c r="K247" s="583">
        <v>70282</v>
      </c>
      <c r="L247" s="583">
        <v>0</v>
      </c>
      <c r="M247" s="583">
        <v>103121</v>
      </c>
      <c r="N247" s="583">
        <v>111648</v>
      </c>
      <c r="O247" s="583">
        <v>93683</v>
      </c>
      <c r="P247" s="583">
        <v>0</v>
      </c>
      <c r="Q247" s="583">
        <v>0</v>
      </c>
      <c r="R247" s="583">
        <v>0</v>
      </c>
      <c r="S247" s="583">
        <v>93683</v>
      </c>
      <c r="T247" s="583">
        <v>111648</v>
      </c>
      <c r="U247" s="583">
        <v>49744</v>
      </c>
      <c r="V247" s="583">
        <v>0</v>
      </c>
      <c r="W247" s="583">
        <v>53377</v>
      </c>
      <c r="X247" s="583">
        <v>0</v>
      </c>
      <c r="Y247" s="583">
        <v>103121</v>
      </c>
      <c r="Z247" s="583">
        <v>165025</v>
      </c>
      <c r="AA247" s="583">
        <v>432867</v>
      </c>
      <c r="AB247" s="583">
        <v>3995</v>
      </c>
      <c r="AC247" s="583">
        <v>-165025</v>
      </c>
      <c r="AD247" s="583">
        <v>0</v>
      </c>
      <c r="AE247" s="583">
        <v>271837</v>
      </c>
      <c r="AF247" s="583">
        <v>0</v>
      </c>
      <c r="AG247" s="583">
        <v>85740</v>
      </c>
      <c r="AH247" s="583">
        <v>2831</v>
      </c>
      <c r="AI247" s="583">
        <v>17381</v>
      </c>
      <c r="AJ247" s="583">
        <v>0</v>
      </c>
      <c r="AK247" s="583">
        <v>105952</v>
      </c>
      <c r="AL247" s="583">
        <v>17381</v>
      </c>
      <c r="AM247" s="583">
        <v>170435</v>
      </c>
      <c r="AN247" s="583">
        <v>16546</v>
      </c>
      <c r="AO247" s="583">
        <v>-13795</v>
      </c>
      <c r="AP247" s="583">
        <v>0</v>
      </c>
      <c r="AQ247" s="583">
        <v>173186</v>
      </c>
      <c r="AR247" s="583">
        <v>3586</v>
      </c>
      <c r="AS247" s="583">
        <v>56297</v>
      </c>
      <c r="AT247" s="583">
        <v>0</v>
      </c>
      <c r="AU247" s="583">
        <v>46824</v>
      </c>
      <c r="AV247" s="583">
        <v>0</v>
      </c>
      <c r="AW247" s="583">
        <v>103121</v>
      </c>
      <c r="AX247" s="583">
        <v>50410</v>
      </c>
      <c r="AY247" s="583">
        <v>108984</v>
      </c>
      <c r="AZ247" s="583">
        <v>4056</v>
      </c>
      <c r="BA247" s="583">
        <v>0</v>
      </c>
      <c r="BB247" s="583">
        <v>0</v>
      </c>
      <c r="BC247" s="583">
        <v>113040</v>
      </c>
      <c r="BD247" s="583">
        <v>50410</v>
      </c>
      <c r="BE247" s="583">
        <v>229952</v>
      </c>
      <c r="BF247" s="583">
        <v>0</v>
      </c>
      <c r="BG247" s="583">
        <v>-50410</v>
      </c>
      <c r="BH247" s="583">
        <v>0</v>
      </c>
      <c r="BI247" s="583">
        <v>179542</v>
      </c>
      <c r="BJ247" s="583">
        <v>0</v>
      </c>
      <c r="BK247" s="583">
        <v>85345</v>
      </c>
      <c r="BL247" s="583">
        <v>0</v>
      </c>
      <c r="BM247" s="583">
        <v>17776</v>
      </c>
      <c r="BN247" s="583">
        <v>0</v>
      </c>
      <c r="BO247" s="583">
        <v>103121</v>
      </c>
      <c r="BP247" s="583">
        <v>17776</v>
      </c>
      <c r="BQ247" s="583">
        <v>163545</v>
      </c>
      <c r="BR247" s="583">
        <v>26660</v>
      </c>
      <c r="BS247" s="583">
        <v>-17776</v>
      </c>
      <c r="BT247" s="583">
        <v>0</v>
      </c>
      <c r="BU247" s="583">
        <v>172429</v>
      </c>
      <c r="BV247" s="583">
        <v>0</v>
      </c>
    </row>
    <row r="248" spans="1:74" x14ac:dyDescent="0.2">
      <c r="A248" s="580">
        <v>11303</v>
      </c>
      <c r="B248" s="580" t="s">
        <v>264</v>
      </c>
      <c r="C248" s="583">
        <v>65145</v>
      </c>
      <c r="D248" s="583">
        <v>0</v>
      </c>
      <c r="E248" s="583">
        <v>33999</v>
      </c>
      <c r="F248" s="583">
        <v>0</v>
      </c>
      <c r="G248" s="583">
        <v>99144</v>
      </c>
      <c r="H248" s="583">
        <v>33999</v>
      </c>
      <c r="I248" s="583">
        <v>34642</v>
      </c>
      <c r="J248" s="583">
        <v>0</v>
      </c>
      <c r="K248" s="583">
        <v>64502</v>
      </c>
      <c r="L248" s="583">
        <v>0</v>
      </c>
      <c r="M248" s="583">
        <v>99144</v>
      </c>
      <c r="N248" s="583">
        <v>98501</v>
      </c>
      <c r="O248" s="583">
        <v>98825</v>
      </c>
      <c r="P248" s="583">
        <v>0</v>
      </c>
      <c r="Q248" s="583">
        <v>0</v>
      </c>
      <c r="R248" s="583">
        <v>0</v>
      </c>
      <c r="S248" s="583">
        <v>98825</v>
      </c>
      <c r="T248" s="583">
        <v>98501</v>
      </c>
      <c r="U248" s="583">
        <v>52475</v>
      </c>
      <c r="V248" s="583">
        <v>0</v>
      </c>
      <c r="W248" s="583">
        <v>46669</v>
      </c>
      <c r="X248" s="583">
        <v>0</v>
      </c>
      <c r="Y248" s="583">
        <v>99144</v>
      </c>
      <c r="Z248" s="583">
        <v>145170</v>
      </c>
      <c r="AA248" s="583">
        <v>456628</v>
      </c>
      <c r="AB248" s="583">
        <v>4215</v>
      </c>
      <c r="AC248" s="583">
        <v>-145170</v>
      </c>
      <c r="AD248" s="583">
        <v>0</v>
      </c>
      <c r="AE248" s="583">
        <v>315673</v>
      </c>
      <c r="AF248" s="583">
        <v>0</v>
      </c>
      <c r="AG248" s="583">
        <v>90446</v>
      </c>
      <c r="AH248" s="583">
        <v>2987</v>
      </c>
      <c r="AI248" s="583">
        <v>8698</v>
      </c>
      <c r="AJ248" s="583">
        <v>0</v>
      </c>
      <c r="AK248" s="583">
        <v>102131</v>
      </c>
      <c r="AL248" s="583">
        <v>8698</v>
      </c>
      <c r="AM248" s="583">
        <v>179791</v>
      </c>
      <c r="AN248" s="583">
        <v>17454</v>
      </c>
      <c r="AO248" s="583">
        <v>-8698</v>
      </c>
      <c r="AP248" s="583">
        <v>0</v>
      </c>
      <c r="AQ248" s="583">
        <v>188547</v>
      </c>
      <c r="AR248" s="583">
        <v>0</v>
      </c>
      <c r="AS248" s="583">
        <v>59388</v>
      </c>
      <c r="AT248" s="583">
        <v>0</v>
      </c>
      <c r="AU248" s="583">
        <v>39756</v>
      </c>
      <c r="AV248" s="583">
        <v>0</v>
      </c>
      <c r="AW248" s="583">
        <v>99144</v>
      </c>
      <c r="AX248" s="583">
        <v>39756</v>
      </c>
      <c r="AY248" s="583">
        <v>114967</v>
      </c>
      <c r="AZ248" s="583">
        <v>4279</v>
      </c>
      <c r="BA248" s="583">
        <v>0</v>
      </c>
      <c r="BB248" s="583">
        <v>0</v>
      </c>
      <c r="BC248" s="583">
        <v>119246</v>
      </c>
      <c r="BD248" s="583">
        <v>39756</v>
      </c>
      <c r="BE248" s="583">
        <v>242575</v>
      </c>
      <c r="BF248" s="583">
        <v>0</v>
      </c>
      <c r="BG248" s="583">
        <v>-39756</v>
      </c>
      <c r="BH248" s="583">
        <v>0</v>
      </c>
      <c r="BI248" s="583">
        <v>202819</v>
      </c>
      <c r="BJ248" s="583">
        <v>0</v>
      </c>
      <c r="BK248" s="583">
        <v>90030</v>
      </c>
      <c r="BL248" s="583">
        <v>0</v>
      </c>
      <c r="BM248" s="583">
        <v>9114</v>
      </c>
      <c r="BN248" s="583">
        <v>0</v>
      </c>
      <c r="BO248" s="583">
        <v>99144</v>
      </c>
      <c r="BP248" s="583">
        <v>9114</v>
      </c>
      <c r="BQ248" s="583">
        <v>172523</v>
      </c>
      <c r="BR248" s="583">
        <v>28123</v>
      </c>
      <c r="BS248" s="583">
        <v>-9114</v>
      </c>
      <c r="BT248" s="583">
        <v>0</v>
      </c>
      <c r="BU248" s="583">
        <v>191532</v>
      </c>
      <c r="BV248" s="583">
        <v>0</v>
      </c>
    </row>
    <row r="249" spans="1:74" x14ac:dyDescent="0.2">
      <c r="A249" s="580">
        <v>11401</v>
      </c>
      <c r="B249" s="580" t="s">
        <v>262</v>
      </c>
      <c r="C249" s="583">
        <v>114602</v>
      </c>
      <c r="D249" s="583">
        <v>0</v>
      </c>
      <c r="E249" s="583">
        <v>76787</v>
      </c>
      <c r="F249" s="583">
        <v>0</v>
      </c>
      <c r="G249" s="583">
        <v>191389</v>
      </c>
      <c r="H249" s="583">
        <v>76787</v>
      </c>
      <c r="I249" s="583">
        <v>60942</v>
      </c>
      <c r="J249" s="583">
        <v>0</v>
      </c>
      <c r="K249" s="583">
        <v>130447</v>
      </c>
      <c r="L249" s="583">
        <v>0</v>
      </c>
      <c r="M249" s="583">
        <v>191389</v>
      </c>
      <c r="N249" s="583">
        <v>207234</v>
      </c>
      <c r="O249" s="583">
        <v>173852</v>
      </c>
      <c r="P249" s="583">
        <v>0</v>
      </c>
      <c r="Q249" s="583">
        <v>0</v>
      </c>
      <c r="R249" s="583">
        <v>0</v>
      </c>
      <c r="S249" s="583">
        <v>173852</v>
      </c>
      <c r="T249" s="583">
        <v>207234</v>
      </c>
      <c r="U249" s="583">
        <v>92313</v>
      </c>
      <c r="V249" s="583">
        <v>0</v>
      </c>
      <c r="W249" s="583">
        <v>99076</v>
      </c>
      <c r="X249" s="583">
        <v>0</v>
      </c>
      <c r="Y249" s="583">
        <v>191389</v>
      </c>
      <c r="Z249" s="583">
        <v>306310</v>
      </c>
      <c r="AA249" s="583">
        <v>803295</v>
      </c>
      <c r="AB249" s="583">
        <v>7414</v>
      </c>
      <c r="AC249" s="583">
        <v>-306310</v>
      </c>
      <c r="AD249" s="583">
        <v>0</v>
      </c>
      <c r="AE249" s="583">
        <v>504399</v>
      </c>
      <c r="AF249" s="583">
        <v>0</v>
      </c>
      <c r="AG249" s="583">
        <v>159112</v>
      </c>
      <c r="AH249" s="583">
        <v>5255</v>
      </c>
      <c r="AI249" s="583">
        <v>32277</v>
      </c>
      <c r="AJ249" s="583">
        <v>0</v>
      </c>
      <c r="AK249" s="583">
        <v>196644</v>
      </c>
      <c r="AL249" s="583">
        <v>32277</v>
      </c>
      <c r="AM249" s="583">
        <v>316287</v>
      </c>
      <c r="AN249" s="583">
        <v>30706</v>
      </c>
      <c r="AO249" s="583">
        <v>-25570</v>
      </c>
      <c r="AP249" s="583">
        <v>0</v>
      </c>
      <c r="AQ249" s="583">
        <v>321423</v>
      </c>
      <c r="AR249" s="583">
        <v>6707</v>
      </c>
      <c r="AS249" s="583">
        <v>104474</v>
      </c>
      <c r="AT249" s="583">
        <v>0</v>
      </c>
      <c r="AU249" s="583">
        <v>86915</v>
      </c>
      <c r="AV249" s="583">
        <v>0</v>
      </c>
      <c r="AW249" s="583">
        <v>191389</v>
      </c>
      <c r="AX249" s="583">
        <v>93622</v>
      </c>
      <c r="AY249" s="583">
        <v>202249</v>
      </c>
      <c r="AZ249" s="583">
        <v>7528</v>
      </c>
      <c r="BA249" s="583">
        <v>0</v>
      </c>
      <c r="BB249" s="583">
        <v>0</v>
      </c>
      <c r="BC249" s="583">
        <v>209777</v>
      </c>
      <c r="BD249" s="583">
        <v>93622</v>
      </c>
      <c r="BE249" s="583">
        <v>426736</v>
      </c>
      <c r="BF249" s="583">
        <v>0</v>
      </c>
      <c r="BG249" s="583">
        <v>-93622</v>
      </c>
      <c r="BH249" s="583">
        <v>0</v>
      </c>
      <c r="BI249" s="583">
        <v>333114</v>
      </c>
      <c r="BJ249" s="583">
        <v>0</v>
      </c>
      <c r="BK249" s="583">
        <v>158380</v>
      </c>
      <c r="BL249" s="583">
        <v>0</v>
      </c>
      <c r="BM249" s="583">
        <v>33009</v>
      </c>
      <c r="BN249" s="583">
        <v>0</v>
      </c>
      <c r="BO249" s="583">
        <v>191389</v>
      </c>
      <c r="BP249" s="583">
        <v>33009</v>
      </c>
      <c r="BQ249" s="583">
        <v>303500</v>
      </c>
      <c r="BR249" s="583">
        <v>49474</v>
      </c>
      <c r="BS249" s="583">
        <v>-33009</v>
      </c>
      <c r="BT249" s="583">
        <v>0</v>
      </c>
      <c r="BU249" s="583">
        <v>319965</v>
      </c>
      <c r="BV249" s="583">
        <v>0</v>
      </c>
    </row>
    <row r="250" spans="1:74" x14ac:dyDescent="0.2">
      <c r="A250" s="580">
        <v>11402</v>
      </c>
      <c r="B250" s="580" t="s">
        <v>423</v>
      </c>
      <c r="C250" s="583">
        <v>95078</v>
      </c>
      <c r="D250" s="583">
        <v>0</v>
      </c>
      <c r="E250" s="583">
        <v>49960</v>
      </c>
      <c r="F250" s="583">
        <v>0</v>
      </c>
      <c r="G250" s="583">
        <v>145038</v>
      </c>
      <c r="H250" s="583">
        <v>49960</v>
      </c>
      <c r="I250" s="583">
        <v>50559</v>
      </c>
      <c r="J250" s="583">
        <v>0</v>
      </c>
      <c r="K250" s="583">
        <v>94479</v>
      </c>
      <c r="L250" s="583">
        <v>0</v>
      </c>
      <c r="M250" s="583">
        <v>145038</v>
      </c>
      <c r="N250" s="583">
        <v>144439</v>
      </c>
      <c r="O250" s="583">
        <v>144234</v>
      </c>
      <c r="P250" s="583">
        <v>0</v>
      </c>
      <c r="Q250" s="583">
        <v>0</v>
      </c>
      <c r="R250" s="583">
        <v>0</v>
      </c>
      <c r="S250" s="583">
        <v>144234</v>
      </c>
      <c r="T250" s="583">
        <v>144439</v>
      </c>
      <c r="U250" s="583">
        <v>76586</v>
      </c>
      <c r="V250" s="583">
        <v>0</v>
      </c>
      <c r="W250" s="583">
        <v>68452</v>
      </c>
      <c r="X250" s="583">
        <v>0</v>
      </c>
      <c r="Y250" s="583">
        <v>145038</v>
      </c>
      <c r="Z250" s="583">
        <v>212891</v>
      </c>
      <c r="AA250" s="583">
        <v>666441</v>
      </c>
      <c r="AB250" s="583">
        <v>6151</v>
      </c>
      <c r="AC250" s="583">
        <v>-212891</v>
      </c>
      <c r="AD250" s="583">
        <v>0</v>
      </c>
      <c r="AE250" s="583">
        <v>459701</v>
      </c>
      <c r="AF250" s="583">
        <v>0</v>
      </c>
      <c r="AG250" s="583">
        <v>132005</v>
      </c>
      <c r="AH250" s="583">
        <v>4359</v>
      </c>
      <c r="AI250" s="583">
        <v>13033</v>
      </c>
      <c r="AJ250" s="583">
        <v>0</v>
      </c>
      <c r="AK250" s="583">
        <v>149397</v>
      </c>
      <c r="AL250" s="583">
        <v>13033</v>
      </c>
      <c r="AM250" s="583">
        <v>262402</v>
      </c>
      <c r="AN250" s="583">
        <v>25475</v>
      </c>
      <c r="AO250" s="583">
        <v>-13033</v>
      </c>
      <c r="AP250" s="583">
        <v>0</v>
      </c>
      <c r="AQ250" s="583">
        <v>274844</v>
      </c>
      <c r="AR250" s="583">
        <v>0</v>
      </c>
      <c r="AS250" s="583">
        <v>86675</v>
      </c>
      <c r="AT250" s="583">
        <v>0</v>
      </c>
      <c r="AU250" s="583">
        <v>58363</v>
      </c>
      <c r="AV250" s="583">
        <v>0</v>
      </c>
      <c r="AW250" s="583">
        <v>145038</v>
      </c>
      <c r="AX250" s="583">
        <v>58363</v>
      </c>
      <c r="AY250" s="583">
        <v>167792</v>
      </c>
      <c r="AZ250" s="583">
        <v>6245</v>
      </c>
      <c r="BA250" s="583">
        <v>0</v>
      </c>
      <c r="BB250" s="583">
        <v>0</v>
      </c>
      <c r="BC250" s="583">
        <v>174037</v>
      </c>
      <c r="BD250" s="583">
        <v>58363</v>
      </c>
      <c r="BE250" s="583">
        <v>354034</v>
      </c>
      <c r="BF250" s="583">
        <v>0</v>
      </c>
      <c r="BG250" s="583">
        <v>-58363</v>
      </c>
      <c r="BH250" s="583">
        <v>0</v>
      </c>
      <c r="BI250" s="583">
        <v>295671</v>
      </c>
      <c r="BJ250" s="583">
        <v>0</v>
      </c>
      <c r="BK250" s="583">
        <v>131397</v>
      </c>
      <c r="BL250" s="583">
        <v>0</v>
      </c>
      <c r="BM250" s="583">
        <v>13641</v>
      </c>
      <c r="BN250" s="583">
        <v>0</v>
      </c>
      <c r="BO250" s="583">
        <v>145038</v>
      </c>
      <c r="BP250" s="583">
        <v>13641</v>
      </c>
      <c r="BQ250" s="583">
        <v>251794</v>
      </c>
      <c r="BR250" s="583">
        <v>41045</v>
      </c>
      <c r="BS250" s="583">
        <v>-13641</v>
      </c>
      <c r="BT250" s="583">
        <v>0</v>
      </c>
      <c r="BU250" s="583">
        <v>279198</v>
      </c>
      <c r="BV250" s="583">
        <v>0</v>
      </c>
    </row>
    <row r="251" spans="1:74" x14ac:dyDescent="0.2">
      <c r="A251" s="580">
        <v>12101</v>
      </c>
      <c r="B251" s="580" t="s">
        <v>268</v>
      </c>
      <c r="C251" s="583">
        <v>324922</v>
      </c>
      <c r="D251" s="583">
        <v>0</v>
      </c>
      <c r="E251" s="583">
        <v>217708</v>
      </c>
      <c r="F251" s="583">
        <v>0</v>
      </c>
      <c r="G251" s="583">
        <v>542630</v>
      </c>
      <c r="H251" s="583">
        <v>217708</v>
      </c>
      <c r="I251" s="583">
        <v>172783</v>
      </c>
      <c r="J251" s="583">
        <v>0</v>
      </c>
      <c r="K251" s="583">
        <v>369847</v>
      </c>
      <c r="L251" s="583">
        <v>0</v>
      </c>
      <c r="M251" s="583">
        <v>542630</v>
      </c>
      <c r="N251" s="583">
        <v>587555</v>
      </c>
      <c r="O251" s="583">
        <v>492910</v>
      </c>
      <c r="P251" s="583">
        <v>0</v>
      </c>
      <c r="Q251" s="583">
        <v>0</v>
      </c>
      <c r="R251" s="583">
        <v>0</v>
      </c>
      <c r="S251" s="583">
        <v>492910</v>
      </c>
      <c r="T251" s="583">
        <v>587555</v>
      </c>
      <c r="U251" s="583">
        <v>261728</v>
      </c>
      <c r="V251" s="583">
        <v>0</v>
      </c>
      <c r="W251" s="583">
        <v>280902</v>
      </c>
      <c r="X251" s="583">
        <v>0</v>
      </c>
      <c r="Y251" s="583">
        <v>542630</v>
      </c>
      <c r="Z251" s="583">
        <v>868457</v>
      </c>
      <c r="AA251" s="583">
        <v>2277520</v>
      </c>
      <c r="AB251" s="583">
        <v>21021</v>
      </c>
      <c r="AC251" s="583">
        <v>-868457</v>
      </c>
      <c r="AD251" s="583">
        <v>0</v>
      </c>
      <c r="AE251" s="583">
        <v>1430084</v>
      </c>
      <c r="AF251" s="583">
        <v>0</v>
      </c>
      <c r="AG251" s="583">
        <v>451119</v>
      </c>
      <c r="AH251" s="583">
        <v>14898</v>
      </c>
      <c r="AI251" s="583">
        <v>91511</v>
      </c>
      <c r="AJ251" s="583">
        <v>0</v>
      </c>
      <c r="AK251" s="583">
        <v>557528</v>
      </c>
      <c r="AL251" s="583">
        <v>91511</v>
      </c>
      <c r="AM251" s="583">
        <v>896743</v>
      </c>
      <c r="AN251" s="583">
        <v>87058</v>
      </c>
      <c r="AO251" s="583">
        <v>-72495</v>
      </c>
      <c r="AP251" s="583">
        <v>0</v>
      </c>
      <c r="AQ251" s="583">
        <v>911306</v>
      </c>
      <c r="AR251" s="583">
        <v>19016</v>
      </c>
      <c r="AS251" s="583">
        <v>296208</v>
      </c>
      <c r="AT251" s="583">
        <v>0</v>
      </c>
      <c r="AU251" s="583">
        <v>246422</v>
      </c>
      <c r="AV251" s="583">
        <v>0</v>
      </c>
      <c r="AW251" s="583">
        <v>542630</v>
      </c>
      <c r="AX251" s="583">
        <v>265438</v>
      </c>
      <c r="AY251" s="583">
        <v>573420</v>
      </c>
      <c r="AZ251" s="583">
        <v>21342</v>
      </c>
      <c r="BA251" s="583">
        <v>0</v>
      </c>
      <c r="BB251" s="583">
        <v>0</v>
      </c>
      <c r="BC251" s="583">
        <v>594762</v>
      </c>
      <c r="BD251" s="583">
        <v>265438</v>
      </c>
      <c r="BE251" s="583">
        <v>1209890</v>
      </c>
      <c r="BF251" s="583">
        <v>0</v>
      </c>
      <c r="BG251" s="583">
        <v>-265438</v>
      </c>
      <c r="BH251" s="583">
        <v>0</v>
      </c>
      <c r="BI251" s="583">
        <v>944452</v>
      </c>
      <c r="BJ251" s="583">
        <v>0</v>
      </c>
      <c r="BK251" s="583">
        <v>449042</v>
      </c>
      <c r="BL251" s="583">
        <v>0</v>
      </c>
      <c r="BM251" s="583">
        <v>93588</v>
      </c>
      <c r="BN251" s="583">
        <v>0</v>
      </c>
      <c r="BO251" s="583">
        <v>542630</v>
      </c>
      <c r="BP251" s="583">
        <v>93588</v>
      </c>
      <c r="BQ251" s="583">
        <v>860489</v>
      </c>
      <c r="BR251" s="583">
        <v>140269</v>
      </c>
      <c r="BS251" s="583">
        <v>-93588</v>
      </c>
      <c r="BT251" s="583">
        <v>0</v>
      </c>
      <c r="BU251" s="583">
        <v>907170</v>
      </c>
      <c r="BV251" s="583">
        <v>0</v>
      </c>
    </row>
    <row r="252" spans="1:74" x14ac:dyDescent="0.2">
      <c r="A252" s="580">
        <v>12102</v>
      </c>
      <c r="B252" s="580" t="s">
        <v>269</v>
      </c>
      <c r="C252" s="583">
        <v>56773</v>
      </c>
      <c r="D252" s="583">
        <v>0</v>
      </c>
      <c r="E252" s="583">
        <v>33738</v>
      </c>
      <c r="F252" s="583">
        <v>0</v>
      </c>
      <c r="G252" s="583">
        <v>90511</v>
      </c>
      <c r="H252" s="583">
        <v>33738</v>
      </c>
      <c r="I252" s="583">
        <v>30190</v>
      </c>
      <c r="J252" s="583">
        <v>0</v>
      </c>
      <c r="K252" s="583">
        <v>60321</v>
      </c>
      <c r="L252" s="583">
        <v>0</v>
      </c>
      <c r="M252" s="583">
        <v>90511</v>
      </c>
      <c r="N252" s="583">
        <v>94059</v>
      </c>
      <c r="O252" s="583">
        <v>86126</v>
      </c>
      <c r="P252" s="583">
        <v>0</v>
      </c>
      <c r="Q252" s="583">
        <v>0</v>
      </c>
      <c r="R252" s="583">
        <v>0</v>
      </c>
      <c r="S252" s="583">
        <v>86126</v>
      </c>
      <c r="T252" s="583">
        <v>94059</v>
      </c>
      <c r="U252" s="583">
        <v>45731</v>
      </c>
      <c r="V252" s="583">
        <v>0</v>
      </c>
      <c r="W252" s="583">
        <v>44780</v>
      </c>
      <c r="X252" s="583">
        <v>0</v>
      </c>
      <c r="Y252" s="583">
        <v>90511</v>
      </c>
      <c r="Z252" s="583">
        <v>138839</v>
      </c>
      <c r="AA252" s="583">
        <v>397948</v>
      </c>
      <c r="AB252" s="583">
        <v>3673</v>
      </c>
      <c r="AC252" s="583">
        <v>-138839</v>
      </c>
      <c r="AD252" s="583">
        <v>0</v>
      </c>
      <c r="AE252" s="583">
        <v>262782</v>
      </c>
      <c r="AF252" s="583">
        <v>0</v>
      </c>
      <c r="AG252" s="583">
        <v>78823</v>
      </c>
      <c r="AH252" s="583">
        <v>2603</v>
      </c>
      <c r="AI252" s="583">
        <v>11688</v>
      </c>
      <c r="AJ252" s="583">
        <v>0</v>
      </c>
      <c r="AK252" s="583">
        <v>93114</v>
      </c>
      <c r="AL252" s="583">
        <v>11688</v>
      </c>
      <c r="AM252" s="583">
        <v>156687</v>
      </c>
      <c r="AN252" s="583">
        <v>15211</v>
      </c>
      <c r="AO252" s="583">
        <v>-11688</v>
      </c>
      <c r="AP252" s="583">
        <v>0</v>
      </c>
      <c r="AQ252" s="583">
        <v>160210</v>
      </c>
      <c r="AR252" s="583">
        <v>0</v>
      </c>
      <c r="AS252" s="583">
        <v>51756</v>
      </c>
      <c r="AT252" s="583">
        <v>0</v>
      </c>
      <c r="AU252" s="583">
        <v>38755</v>
      </c>
      <c r="AV252" s="583">
        <v>0</v>
      </c>
      <c r="AW252" s="583">
        <v>90511</v>
      </c>
      <c r="AX252" s="583">
        <v>38755</v>
      </c>
      <c r="AY252" s="583">
        <v>100193</v>
      </c>
      <c r="AZ252" s="583">
        <v>3729</v>
      </c>
      <c r="BA252" s="583">
        <v>0</v>
      </c>
      <c r="BB252" s="583">
        <v>0</v>
      </c>
      <c r="BC252" s="583">
        <v>103922</v>
      </c>
      <c r="BD252" s="583">
        <v>38755</v>
      </c>
      <c r="BE252" s="583">
        <v>211403</v>
      </c>
      <c r="BF252" s="583">
        <v>0</v>
      </c>
      <c r="BG252" s="583">
        <v>-38755</v>
      </c>
      <c r="BH252" s="583">
        <v>0</v>
      </c>
      <c r="BI252" s="583">
        <v>172648</v>
      </c>
      <c r="BJ252" s="583">
        <v>0</v>
      </c>
      <c r="BK252" s="583">
        <v>78461</v>
      </c>
      <c r="BL252" s="583">
        <v>0</v>
      </c>
      <c r="BM252" s="583">
        <v>12050</v>
      </c>
      <c r="BN252" s="583">
        <v>0</v>
      </c>
      <c r="BO252" s="583">
        <v>90511</v>
      </c>
      <c r="BP252" s="583">
        <v>12050</v>
      </c>
      <c r="BQ252" s="583">
        <v>150352</v>
      </c>
      <c r="BR252" s="583">
        <v>24509</v>
      </c>
      <c r="BS252" s="583">
        <v>-12050</v>
      </c>
      <c r="BT252" s="583">
        <v>0</v>
      </c>
      <c r="BU252" s="583">
        <v>162811</v>
      </c>
      <c r="BV252" s="583">
        <v>0</v>
      </c>
    </row>
    <row r="253" spans="1:74" x14ac:dyDescent="0.2">
      <c r="A253" s="580">
        <v>12103</v>
      </c>
      <c r="B253" s="580" t="s">
        <v>424</v>
      </c>
      <c r="C253" s="583">
        <v>56657</v>
      </c>
      <c r="D253" s="583">
        <v>0</v>
      </c>
      <c r="E253" s="583">
        <v>33584</v>
      </c>
      <c r="F253" s="583">
        <v>0</v>
      </c>
      <c r="G253" s="583">
        <v>90241</v>
      </c>
      <c r="H253" s="583">
        <v>33584</v>
      </c>
      <c r="I253" s="583">
        <v>30129</v>
      </c>
      <c r="J253" s="583">
        <v>0</v>
      </c>
      <c r="K253" s="583">
        <v>60112</v>
      </c>
      <c r="L253" s="583">
        <v>0</v>
      </c>
      <c r="M253" s="583">
        <v>90241</v>
      </c>
      <c r="N253" s="583">
        <v>93696</v>
      </c>
      <c r="O253" s="583">
        <v>85950</v>
      </c>
      <c r="P253" s="583">
        <v>0</v>
      </c>
      <c r="Q253" s="583">
        <v>0</v>
      </c>
      <c r="R253" s="583">
        <v>0</v>
      </c>
      <c r="S253" s="583">
        <v>85950</v>
      </c>
      <c r="T253" s="583">
        <v>93696</v>
      </c>
      <c r="U253" s="583">
        <v>45638</v>
      </c>
      <c r="V253" s="583">
        <v>0</v>
      </c>
      <c r="W253" s="583">
        <v>44603</v>
      </c>
      <c r="X253" s="583">
        <v>0</v>
      </c>
      <c r="Y253" s="583">
        <v>90241</v>
      </c>
      <c r="Z253" s="583">
        <v>138299</v>
      </c>
      <c r="AA253" s="583">
        <v>397136</v>
      </c>
      <c r="AB253" s="583">
        <v>3665</v>
      </c>
      <c r="AC253" s="583">
        <v>-138299</v>
      </c>
      <c r="AD253" s="583">
        <v>0</v>
      </c>
      <c r="AE253" s="583">
        <v>262502</v>
      </c>
      <c r="AF253" s="583">
        <v>0</v>
      </c>
      <c r="AG253" s="583">
        <v>78663</v>
      </c>
      <c r="AH253" s="583">
        <v>2598</v>
      </c>
      <c r="AI253" s="583">
        <v>11578</v>
      </c>
      <c r="AJ253" s="583">
        <v>0</v>
      </c>
      <c r="AK253" s="583">
        <v>92839</v>
      </c>
      <c r="AL253" s="583">
        <v>11578</v>
      </c>
      <c r="AM253" s="583">
        <v>156367</v>
      </c>
      <c r="AN253" s="583">
        <v>15180</v>
      </c>
      <c r="AO253" s="583">
        <v>-11578</v>
      </c>
      <c r="AP253" s="583">
        <v>0</v>
      </c>
      <c r="AQ253" s="583">
        <v>159969</v>
      </c>
      <c r="AR253" s="583">
        <v>0</v>
      </c>
      <c r="AS253" s="583">
        <v>51650</v>
      </c>
      <c r="AT253" s="583">
        <v>0</v>
      </c>
      <c r="AU253" s="583">
        <v>38591</v>
      </c>
      <c r="AV253" s="583">
        <v>0</v>
      </c>
      <c r="AW253" s="583">
        <v>90241</v>
      </c>
      <c r="AX253" s="583">
        <v>38591</v>
      </c>
      <c r="AY253" s="583">
        <v>99988</v>
      </c>
      <c r="AZ253" s="583">
        <v>3721</v>
      </c>
      <c r="BA253" s="583">
        <v>0</v>
      </c>
      <c r="BB253" s="583">
        <v>0</v>
      </c>
      <c r="BC253" s="583">
        <v>103709</v>
      </c>
      <c r="BD253" s="583">
        <v>38591</v>
      </c>
      <c r="BE253" s="583">
        <v>210971</v>
      </c>
      <c r="BF253" s="583">
        <v>0</v>
      </c>
      <c r="BG253" s="583">
        <v>-38591</v>
      </c>
      <c r="BH253" s="583">
        <v>0</v>
      </c>
      <c r="BI253" s="583">
        <v>172380</v>
      </c>
      <c r="BJ253" s="583">
        <v>0</v>
      </c>
      <c r="BK253" s="583">
        <v>78300</v>
      </c>
      <c r="BL253" s="583">
        <v>0</v>
      </c>
      <c r="BM253" s="583">
        <v>11941</v>
      </c>
      <c r="BN253" s="583">
        <v>0</v>
      </c>
      <c r="BO253" s="583">
        <v>90241</v>
      </c>
      <c r="BP253" s="583">
        <v>11941</v>
      </c>
      <c r="BQ253" s="583">
        <v>150045</v>
      </c>
      <c r="BR253" s="583">
        <v>24459</v>
      </c>
      <c r="BS253" s="583">
        <v>-11941</v>
      </c>
      <c r="BT253" s="583">
        <v>0</v>
      </c>
      <c r="BU253" s="583">
        <v>162563</v>
      </c>
      <c r="BV253" s="583">
        <v>0</v>
      </c>
    </row>
    <row r="254" spans="1:74" x14ac:dyDescent="0.2">
      <c r="A254" s="580">
        <v>12104</v>
      </c>
      <c r="B254" s="580" t="s">
        <v>267</v>
      </c>
      <c r="C254" s="583">
        <v>57229</v>
      </c>
      <c r="D254" s="583">
        <v>0</v>
      </c>
      <c r="E254" s="583">
        <v>33812</v>
      </c>
      <c r="F254" s="583">
        <v>0</v>
      </c>
      <c r="G254" s="583">
        <v>91041</v>
      </c>
      <c r="H254" s="583">
        <v>33812</v>
      </c>
      <c r="I254" s="583">
        <v>30432</v>
      </c>
      <c r="J254" s="583">
        <v>0</v>
      </c>
      <c r="K254" s="583">
        <v>60609</v>
      </c>
      <c r="L254" s="583">
        <v>0</v>
      </c>
      <c r="M254" s="583">
        <v>91041</v>
      </c>
      <c r="N254" s="583">
        <v>94421</v>
      </c>
      <c r="O254" s="583">
        <v>86817</v>
      </c>
      <c r="P254" s="583">
        <v>0</v>
      </c>
      <c r="Q254" s="583">
        <v>0</v>
      </c>
      <c r="R254" s="583">
        <v>0</v>
      </c>
      <c r="S254" s="583">
        <v>86817</v>
      </c>
      <c r="T254" s="583">
        <v>94421</v>
      </c>
      <c r="U254" s="583">
        <v>46098</v>
      </c>
      <c r="V254" s="583">
        <v>0</v>
      </c>
      <c r="W254" s="583">
        <v>44943</v>
      </c>
      <c r="X254" s="583">
        <v>0</v>
      </c>
      <c r="Y254" s="583">
        <v>91041</v>
      </c>
      <c r="Z254" s="583">
        <v>139364</v>
      </c>
      <c r="AA254" s="583">
        <v>401141</v>
      </c>
      <c r="AB254" s="583">
        <v>3702</v>
      </c>
      <c r="AC254" s="583">
        <v>-139364</v>
      </c>
      <c r="AD254" s="583">
        <v>0</v>
      </c>
      <c r="AE254" s="583">
        <v>265479</v>
      </c>
      <c r="AF254" s="583">
        <v>0</v>
      </c>
      <c r="AG254" s="583">
        <v>79456</v>
      </c>
      <c r="AH254" s="583">
        <v>2624</v>
      </c>
      <c r="AI254" s="583">
        <v>11585</v>
      </c>
      <c r="AJ254" s="583">
        <v>0</v>
      </c>
      <c r="AK254" s="583">
        <v>93665</v>
      </c>
      <c r="AL254" s="583">
        <v>11585</v>
      </c>
      <c r="AM254" s="583">
        <v>157944</v>
      </c>
      <c r="AN254" s="583">
        <v>15334</v>
      </c>
      <c r="AO254" s="583">
        <v>-11585</v>
      </c>
      <c r="AP254" s="583">
        <v>0</v>
      </c>
      <c r="AQ254" s="583">
        <v>161693</v>
      </c>
      <c r="AR254" s="583">
        <v>0</v>
      </c>
      <c r="AS254" s="583">
        <v>52171</v>
      </c>
      <c r="AT254" s="583">
        <v>0</v>
      </c>
      <c r="AU254" s="583">
        <v>38870</v>
      </c>
      <c r="AV254" s="583">
        <v>0</v>
      </c>
      <c r="AW254" s="583">
        <v>91041</v>
      </c>
      <c r="AX254" s="583">
        <v>38870</v>
      </c>
      <c r="AY254" s="583">
        <v>100997</v>
      </c>
      <c r="AZ254" s="583">
        <v>3759</v>
      </c>
      <c r="BA254" s="583">
        <v>0</v>
      </c>
      <c r="BB254" s="583">
        <v>0</v>
      </c>
      <c r="BC254" s="583">
        <v>104756</v>
      </c>
      <c r="BD254" s="583">
        <v>38870</v>
      </c>
      <c r="BE254" s="583">
        <v>213099</v>
      </c>
      <c r="BF254" s="583">
        <v>0</v>
      </c>
      <c r="BG254" s="583">
        <v>-38870</v>
      </c>
      <c r="BH254" s="583">
        <v>0</v>
      </c>
      <c r="BI254" s="583">
        <v>174229</v>
      </c>
      <c r="BJ254" s="583">
        <v>0</v>
      </c>
      <c r="BK254" s="583">
        <v>79090</v>
      </c>
      <c r="BL254" s="583">
        <v>0</v>
      </c>
      <c r="BM254" s="583">
        <v>11951</v>
      </c>
      <c r="BN254" s="583">
        <v>0</v>
      </c>
      <c r="BO254" s="583">
        <v>91041</v>
      </c>
      <c r="BP254" s="583">
        <v>11951</v>
      </c>
      <c r="BQ254" s="583">
        <v>151558</v>
      </c>
      <c r="BR254" s="583">
        <v>24706</v>
      </c>
      <c r="BS254" s="583">
        <v>-11951</v>
      </c>
      <c r="BT254" s="583">
        <v>0</v>
      </c>
      <c r="BU254" s="583">
        <v>164313</v>
      </c>
      <c r="BV254" s="583">
        <v>0</v>
      </c>
    </row>
    <row r="255" spans="1:74" x14ac:dyDescent="0.2">
      <c r="A255" s="580">
        <v>12201</v>
      </c>
      <c r="B255" s="580" t="s">
        <v>273</v>
      </c>
      <c r="C255" s="583">
        <v>69141</v>
      </c>
      <c r="D255" s="583">
        <v>0</v>
      </c>
      <c r="E255" s="583">
        <v>41308</v>
      </c>
      <c r="F255" s="583">
        <v>0</v>
      </c>
      <c r="G255" s="583">
        <v>110449</v>
      </c>
      <c r="H255" s="583">
        <v>41308</v>
      </c>
      <c r="I255" s="583">
        <v>36767</v>
      </c>
      <c r="J255" s="583">
        <v>0</v>
      </c>
      <c r="K255" s="583">
        <v>73682</v>
      </c>
      <c r="L255" s="583">
        <v>0</v>
      </c>
      <c r="M255" s="583">
        <v>110449</v>
      </c>
      <c r="N255" s="583">
        <v>114990</v>
      </c>
      <c r="O255" s="583">
        <v>104887</v>
      </c>
      <c r="P255" s="583">
        <v>0</v>
      </c>
      <c r="Q255" s="583">
        <v>0</v>
      </c>
      <c r="R255" s="583">
        <v>0</v>
      </c>
      <c r="S255" s="583">
        <v>104887</v>
      </c>
      <c r="T255" s="583">
        <v>114990</v>
      </c>
      <c r="U255" s="583">
        <v>55693</v>
      </c>
      <c r="V255" s="583">
        <v>0</v>
      </c>
      <c r="W255" s="583">
        <v>54756</v>
      </c>
      <c r="X255" s="583">
        <v>0</v>
      </c>
      <c r="Y255" s="583">
        <v>110449</v>
      </c>
      <c r="Z255" s="583">
        <v>169746</v>
      </c>
      <c r="AA255" s="583">
        <v>484637</v>
      </c>
      <c r="AB255" s="583">
        <v>4473</v>
      </c>
      <c r="AC255" s="583">
        <v>-169746</v>
      </c>
      <c r="AD255" s="583">
        <v>0</v>
      </c>
      <c r="AE255" s="583">
        <v>319364</v>
      </c>
      <c r="AF255" s="583">
        <v>0</v>
      </c>
      <c r="AG255" s="583">
        <v>95994</v>
      </c>
      <c r="AH255" s="583">
        <v>3170</v>
      </c>
      <c r="AI255" s="583">
        <v>14455</v>
      </c>
      <c r="AJ255" s="583">
        <v>0</v>
      </c>
      <c r="AK255" s="583">
        <v>113619</v>
      </c>
      <c r="AL255" s="583">
        <v>14455</v>
      </c>
      <c r="AM255" s="583">
        <v>190819</v>
      </c>
      <c r="AN255" s="583">
        <v>18525</v>
      </c>
      <c r="AO255" s="583">
        <v>-14455</v>
      </c>
      <c r="AP255" s="583">
        <v>0</v>
      </c>
      <c r="AQ255" s="583">
        <v>194889</v>
      </c>
      <c r="AR255" s="583">
        <v>0</v>
      </c>
      <c r="AS255" s="583">
        <v>63031</v>
      </c>
      <c r="AT255" s="583">
        <v>0</v>
      </c>
      <c r="AU255" s="583">
        <v>47418</v>
      </c>
      <c r="AV255" s="583">
        <v>0</v>
      </c>
      <c r="AW255" s="583">
        <v>110449</v>
      </c>
      <c r="AX255" s="583">
        <v>47418</v>
      </c>
      <c r="AY255" s="583">
        <v>122019</v>
      </c>
      <c r="AZ255" s="583">
        <v>4541</v>
      </c>
      <c r="BA255" s="583">
        <v>0</v>
      </c>
      <c r="BB255" s="583">
        <v>0</v>
      </c>
      <c r="BC255" s="583">
        <v>126560</v>
      </c>
      <c r="BD255" s="583">
        <v>47418</v>
      </c>
      <c r="BE255" s="583">
        <v>257455</v>
      </c>
      <c r="BF255" s="583">
        <v>0</v>
      </c>
      <c r="BG255" s="583">
        <v>-47418</v>
      </c>
      <c r="BH255" s="583">
        <v>0</v>
      </c>
      <c r="BI255" s="583">
        <v>210037</v>
      </c>
      <c r="BJ255" s="583">
        <v>0</v>
      </c>
      <c r="BK255" s="583">
        <v>95552</v>
      </c>
      <c r="BL255" s="583">
        <v>0</v>
      </c>
      <c r="BM255" s="583">
        <v>14897</v>
      </c>
      <c r="BN255" s="583">
        <v>0</v>
      </c>
      <c r="BO255" s="583">
        <v>110449</v>
      </c>
      <c r="BP255" s="583">
        <v>14897</v>
      </c>
      <c r="BQ255" s="583">
        <v>183105</v>
      </c>
      <c r="BR255" s="583">
        <v>29848</v>
      </c>
      <c r="BS255" s="583">
        <v>-14897</v>
      </c>
      <c r="BT255" s="583">
        <v>0</v>
      </c>
      <c r="BU255" s="583">
        <v>198056</v>
      </c>
      <c r="BV255" s="583">
        <v>0</v>
      </c>
    </row>
    <row r="256" spans="1:74" x14ac:dyDescent="0.2">
      <c r="A256" s="580">
        <v>12202</v>
      </c>
      <c r="B256" s="580" t="s">
        <v>472</v>
      </c>
      <c r="C256" s="583">
        <v>56371</v>
      </c>
      <c r="D256" s="583">
        <v>0</v>
      </c>
      <c r="E256" s="583">
        <v>33317</v>
      </c>
      <c r="F256" s="583">
        <v>0</v>
      </c>
      <c r="G256" s="583">
        <v>89688</v>
      </c>
      <c r="H256" s="583">
        <v>33317</v>
      </c>
      <c r="I256" s="583">
        <v>29976</v>
      </c>
      <c r="J256" s="583">
        <v>0</v>
      </c>
      <c r="K256" s="583">
        <v>59712</v>
      </c>
      <c r="L256" s="583">
        <v>0</v>
      </c>
      <c r="M256" s="583">
        <v>89688</v>
      </c>
      <c r="N256" s="583">
        <v>93029</v>
      </c>
      <c r="O256" s="583">
        <v>85516</v>
      </c>
      <c r="P256" s="583">
        <v>0</v>
      </c>
      <c r="Q256" s="583">
        <v>0</v>
      </c>
      <c r="R256" s="583">
        <v>0</v>
      </c>
      <c r="S256" s="583">
        <v>85516</v>
      </c>
      <c r="T256" s="583">
        <v>93029</v>
      </c>
      <c r="U256" s="583">
        <v>45408</v>
      </c>
      <c r="V256" s="583">
        <v>0</v>
      </c>
      <c r="W256" s="583">
        <v>44280</v>
      </c>
      <c r="X256" s="583">
        <v>0</v>
      </c>
      <c r="Y256" s="583">
        <v>89688</v>
      </c>
      <c r="Z256" s="583">
        <v>137309</v>
      </c>
      <c r="AA256" s="583">
        <v>395131</v>
      </c>
      <c r="AB256" s="583">
        <v>3647</v>
      </c>
      <c r="AC256" s="583">
        <v>-137309</v>
      </c>
      <c r="AD256" s="583">
        <v>0</v>
      </c>
      <c r="AE256" s="583">
        <v>261469</v>
      </c>
      <c r="AF256" s="583">
        <v>0</v>
      </c>
      <c r="AG256" s="583">
        <v>78265</v>
      </c>
      <c r="AH256" s="583">
        <v>2585</v>
      </c>
      <c r="AI256" s="583">
        <v>11423</v>
      </c>
      <c r="AJ256" s="583">
        <v>0</v>
      </c>
      <c r="AK256" s="583">
        <v>92273</v>
      </c>
      <c r="AL256" s="583">
        <v>11423</v>
      </c>
      <c r="AM256" s="583">
        <v>155578</v>
      </c>
      <c r="AN256" s="583">
        <v>15104</v>
      </c>
      <c r="AO256" s="583">
        <v>-11423</v>
      </c>
      <c r="AP256" s="583">
        <v>0</v>
      </c>
      <c r="AQ256" s="583">
        <v>159259</v>
      </c>
      <c r="AR256" s="583">
        <v>0</v>
      </c>
      <c r="AS256" s="583">
        <v>51390</v>
      </c>
      <c r="AT256" s="583">
        <v>0</v>
      </c>
      <c r="AU256" s="583">
        <v>38298</v>
      </c>
      <c r="AV256" s="583">
        <v>0</v>
      </c>
      <c r="AW256" s="583">
        <v>89688</v>
      </c>
      <c r="AX256" s="583">
        <v>38298</v>
      </c>
      <c r="AY256" s="583">
        <v>99484</v>
      </c>
      <c r="AZ256" s="583">
        <v>3703</v>
      </c>
      <c r="BA256" s="583">
        <v>0</v>
      </c>
      <c r="BB256" s="583">
        <v>0</v>
      </c>
      <c r="BC256" s="583">
        <v>103187</v>
      </c>
      <c r="BD256" s="583">
        <v>38298</v>
      </c>
      <c r="BE256" s="583">
        <v>209906</v>
      </c>
      <c r="BF256" s="583">
        <v>0</v>
      </c>
      <c r="BG256" s="583">
        <v>-38298</v>
      </c>
      <c r="BH256" s="583">
        <v>0</v>
      </c>
      <c r="BI256" s="583">
        <v>171608</v>
      </c>
      <c r="BJ256" s="583">
        <v>0</v>
      </c>
      <c r="BK256" s="583">
        <v>77905</v>
      </c>
      <c r="BL256" s="583">
        <v>0</v>
      </c>
      <c r="BM256" s="583">
        <v>11783</v>
      </c>
      <c r="BN256" s="583">
        <v>0</v>
      </c>
      <c r="BO256" s="583">
        <v>89688</v>
      </c>
      <c r="BP256" s="583">
        <v>11783</v>
      </c>
      <c r="BQ256" s="583">
        <v>149288</v>
      </c>
      <c r="BR256" s="583">
        <v>24335</v>
      </c>
      <c r="BS256" s="583">
        <v>-11783</v>
      </c>
      <c r="BT256" s="583">
        <v>0</v>
      </c>
      <c r="BU256" s="583">
        <v>161840</v>
      </c>
      <c r="BV256" s="583">
        <v>0</v>
      </c>
    </row>
    <row r="257" spans="1:74" x14ac:dyDescent="0.2">
      <c r="A257" s="580">
        <v>12301</v>
      </c>
      <c r="B257" s="580" t="s">
        <v>270</v>
      </c>
      <c r="C257" s="583">
        <v>79683</v>
      </c>
      <c r="D257" s="583">
        <v>0</v>
      </c>
      <c r="E257" s="583">
        <v>48462</v>
      </c>
      <c r="F257" s="583">
        <v>0</v>
      </c>
      <c r="G257" s="583">
        <v>128145</v>
      </c>
      <c r="H257" s="583">
        <v>48462</v>
      </c>
      <c r="I257" s="583">
        <v>42373</v>
      </c>
      <c r="J257" s="583">
        <v>0</v>
      </c>
      <c r="K257" s="583">
        <v>85772</v>
      </c>
      <c r="L257" s="583">
        <v>0</v>
      </c>
      <c r="M257" s="583">
        <v>128145</v>
      </c>
      <c r="N257" s="583">
        <v>134234</v>
      </c>
      <c r="O257" s="583">
        <v>120880</v>
      </c>
      <c r="P257" s="583">
        <v>0</v>
      </c>
      <c r="Q257" s="583">
        <v>0</v>
      </c>
      <c r="R257" s="583">
        <v>0</v>
      </c>
      <c r="S257" s="583">
        <v>120880</v>
      </c>
      <c r="T257" s="583">
        <v>134234</v>
      </c>
      <c r="U257" s="583">
        <v>64185</v>
      </c>
      <c r="V257" s="583">
        <v>0</v>
      </c>
      <c r="W257" s="583">
        <v>63960</v>
      </c>
      <c r="X257" s="583">
        <v>0</v>
      </c>
      <c r="Y257" s="583">
        <v>128145</v>
      </c>
      <c r="Z257" s="583">
        <v>198194</v>
      </c>
      <c r="AA257" s="583">
        <v>558533</v>
      </c>
      <c r="AB257" s="583">
        <v>5155</v>
      </c>
      <c r="AC257" s="583">
        <v>-198194</v>
      </c>
      <c r="AD257" s="583">
        <v>0</v>
      </c>
      <c r="AE257" s="583">
        <v>365494</v>
      </c>
      <c r="AF257" s="583">
        <v>0</v>
      </c>
      <c r="AG257" s="583">
        <v>110631</v>
      </c>
      <c r="AH257" s="583">
        <v>3653</v>
      </c>
      <c r="AI257" s="583">
        <v>17514</v>
      </c>
      <c r="AJ257" s="583">
        <v>0</v>
      </c>
      <c r="AK257" s="583">
        <v>131798</v>
      </c>
      <c r="AL257" s="583">
        <v>17514</v>
      </c>
      <c r="AM257" s="583">
        <v>219915</v>
      </c>
      <c r="AN257" s="583">
        <v>21350</v>
      </c>
      <c r="AO257" s="583">
        <v>-17514</v>
      </c>
      <c r="AP257" s="583">
        <v>0</v>
      </c>
      <c r="AQ257" s="583">
        <v>223751</v>
      </c>
      <c r="AR257" s="583">
        <v>0</v>
      </c>
      <c r="AS257" s="583">
        <v>72641</v>
      </c>
      <c r="AT257" s="583">
        <v>0</v>
      </c>
      <c r="AU257" s="583">
        <v>55504</v>
      </c>
      <c r="AV257" s="583">
        <v>0</v>
      </c>
      <c r="AW257" s="583">
        <v>128145</v>
      </c>
      <c r="AX257" s="583">
        <v>55504</v>
      </c>
      <c r="AY257" s="583">
        <v>140624</v>
      </c>
      <c r="AZ257" s="583">
        <v>5234</v>
      </c>
      <c r="BA257" s="583">
        <v>0</v>
      </c>
      <c r="BB257" s="583">
        <v>0</v>
      </c>
      <c r="BC257" s="583">
        <v>145858</v>
      </c>
      <c r="BD257" s="583">
        <v>55504</v>
      </c>
      <c r="BE257" s="583">
        <v>296710</v>
      </c>
      <c r="BF257" s="583">
        <v>0</v>
      </c>
      <c r="BG257" s="583">
        <v>-55504</v>
      </c>
      <c r="BH257" s="583">
        <v>0</v>
      </c>
      <c r="BI257" s="583">
        <v>241206</v>
      </c>
      <c r="BJ257" s="583">
        <v>0</v>
      </c>
      <c r="BK257" s="583">
        <v>110122</v>
      </c>
      <c r="BL257" s="583">
        <v>0</v>
      </c>
      <c r="BM257" s="583">
        <v>18023</v>
      </c>
      <c r="BN257" s="583">
        <v>0</v>
      </c>
      <c r="BO257" s="583">
        <v>128145</v>
      </c>
      <c r="BP257" s="583">
        <v>18023</v>
      </c>
      <c r="BQ257" s="583">
        <v>211024</v>
      </c>
      <c r="BR257" s="583">
        <v>34399</v>
      </c>
      <c r="BS257" s="583">
        <v>-18023</v>
      </c>
      <c r="BT257" s="583">
        <v>0</v>
      </c>
      <c r="BU257" s="583">
        <v>227400</v>
      </c>
      <c r="BV257" s="583">
        <v>0</v>
      </c>
    </row>
    <row r="258" spans="1:74" x14ac:dyDescent="0.2">
      <c r="A258" s="580">
        <v>12302</v>
      </c>
      <c r="B258" s="580" t="s">
        <v>271</v>
      </c>
      <c r="C258" s="583">
        <v>60999</v>
      </c>
      <c r="D258" s="583">
        <v>0</v>
      </c>
      <c r="E258" s="583">
        <v>33771</v>
      </c>
      <c r="F258" s="583">
        <v>0</v>
      </c>
      <c r="G258" s="583">
        <v>94770</v>
      </c>
      <c r="H258" s="583">
        <v>33771</v>
      </c>
      <c r="I258" s="583">
        <v>32437</v>
      </c>
      <c r="J258" s="583">
        <v>0</v>
      </c>
      <c r="K258" s="583">
        <v>62333</v>
      </c>
      <c r="L258" s="583">
        <v>0</v>
      </c>
      <c r="M258" s="583">
        <v>94770</v>
      </c>
      <c r="N258" s="583">
        <v>96104</v>
      </c>
      <c r="O258" s="583">
        <v>92536</v>
      </c>
      <c r="P258" s="583">
        <v>0</v>
      </c>
      <c r="Q258" s="583">
        <v>0</v>
      </c>
      <c r="R258" s="583">
        <v>0</v>
      </c>
      <c r="S258" s="583">
        <v>92536</v>
      </c>
      <c r="T258" s="583">
        <v>96104</v>
      </c>
      <c r="U258" s="583">
        <v>49135</v>
      </c>
      <c r="V258" s="583">
        <v>0</v>
      </c>
      <c r="W258" s="583">
        <v>45635</v>
      </c>
      <c r="X258" s="583">
        <v>0</v>
      </c>
      <c r="Y258" s="583">
        <v>94770</v>
      </c>
      <c r="Z258" s="583">
        <v>141739</v>
      </c>
      <c r="AA258" s="583">
        <v>427568</v>
      </c>
      <c r="AB258" s="583">
        <v>3946</v>
      </c>
      <c r="AC258" s="583">
        <v>-141739</v>
      </c>
      <c r="AD258" s="583">
        <v>0</v>
      </c>
      <c r="AE258" s="583">
        <v>289775</v>
      </c>
      <c r="AF258" s="583">
        <v>0</v>
      </c>
      <c r="AG258" s="583">
        <v>84690</v>
      </c>
      <c r="AH258" s="583">
        <v>2797</v>
      </c>
      <c r="AI258" s="583">
        <v>10080</v>
      </c>
      <c r="AJ258" s="583">
        <v>0</v>
      </c>
      <c r="AK258" s="583">
        <v>97567</v>
      </c>
      <c r="AL258" s="583">
        <v>10080</v>
      </c>
      <c r="AM258" s="583">
        <v>168349</v>
      </c>
      <c r="AN258" s="583">
        <v>16344</v>
      </c>
      <c r="AO258" s="583">
        <v>-10080</v>
      </c>
      <c r="AP258" s="583">
        <v>0</v>
      </c>
      <c r="AQ258" s="583">
        <v>174613</v>
      </c>
      <c r="AR258" s="583">
        <v>0</v>
      </c>
      <c r="AS258" s="583">
        <v>55608</v>
      </c>
      <c r="AT258" s="583">
        <v>0</v>
      </c>
      <c r="AU258" s="583">
        <v>39162</v>
      </c>
      <c r="AV258" s="583">
        <v>0</v>
      </c>
      <c r="AW258" s="583">
        <v>94770</v>
      </c>
      <c r="AX258" s="583">
        <v>39162</v>
      </c>
      <c r="AY258" s="583">
        <v>107650</v>
      </c>
      <c r="AZ258" s="583">
        <v>4007</v>
      </c>
      <c r="BA258" s="583">
        <v>0</v>
      </c>
      <c r="BB258" s="583">
        <v>0</v>
      </c>
      <c r="BC258" s="583">
        <v>111657</v>
      </c>
      <c r="BD258" s="583">
        <v>39162</v>
      </c>
      <c r="BE258" s="583">
        <v>227138</v>
      </c>
      <c r="BF258" s="583">
        <v>0</v>
      </c>
      <c r="BG258" s="583">
        <v>-39162</v>
      </c>
      <c r="BH258" s="583">
        <v>0</v>
      </c>
      <c r="BI258" s="583">
        <v>187976</v>
      </c>
      <c r="BJ258" s="583">
        <v>0</v>
      </c>
      <c r="BK258" s="583">
        <v>84301</v>
      </c>
      <c r="BL258" s="583">
        <v>0</v>
      </c>
      <c r="BM258" s="583">
        <v>10469</v>
      </c>
      <c r="BN258" s="583">
        <v>0</v>
      </c>
      <c r="BO258" s="583">
        <v>94770</v>
      </c>
      <c r="BP258" s="583">
        <v>10469</v>
      </c>
      <c r="BQ258" s="583">
        <v>161543</v>
      </c>
      <c r="BR258" s="583">
        <v>26333</v>
      </c>
      <c r="BS258" s="583">
        <v>-10469</v>
      </c>
      <c r="BT258" s="583">
        <v>0</v>
      </c>
      <c r="BU258" s="583">
        <v>177407</v>
      </c>
      <c r="BV258" s="583">
        <v>0</v>
      </c>
    </row>
    <row r="259" spans="1:74" x14ac:dyDescent="0.2">
      <c r="A259" s="580">
        <v>12303</v>
      </c>
      <c r="B259" s="580" t="s">
        <v>272</v>
      </c>
      <c r="C259" s="583">
        <v>59298</v>
      </c>
      <c r="D259" s="583">
        <v>0</v>
      </c>
      <c r="E259" s="583">
        <v>36308</v>
      </c>
      <c r="F259" s="583">
        <v>0</v>
      </c>
      <c r="G259" s="583">
        <v>95606</v>
      </c>
      <c r="H259" s="583">
        <v>36308</v>
      </c>
      <c r="I259" s="583">
        <v>31533</v>
      </c>
      <c r="J259" s="583">
        <v>0</v>
      </c>
      <c r="K259" s="583">
        <v>64073</v>
      </c>
      <c r="L259" s="583">
        <v>0</v>
      </c>
      <c r="M259" s="583">
        <v>95606</v>
      </c>
      <c r="N259" s="583">
        <v>100381</v>
      </c>
      <c r="O259" s="583">
        <v>89956</v>
      </c>
      <c r="P259" s="583">
        <v>0</v>
      </c>
      <c r="Q259" s="583">
        <v>0</v>
      </c>
      <c r="R259" s="583">
        <v>0</v>
      </c>
      <c r="S259" s="583">
        <v>89956</v>
      </c>
      <c r="T259" s="583">
        <v>100381</v>
      </c>
      <c r="U259" s="583">
        <v>47765</v>
      </c>
      <c r="V259" s="583">
        <v>0</v>
      </c>
      <c r="W259" s="583">
        <v>47841</v>
      </c>
      <c r="X259" s="583">
        <v>0</v>
      </c>
      <c r="Y259" s="583">
        <v>95606</v>
      </c>
      <c r="Z259" s="583">
        <v>148222</v>
      </c>
      <c r="AA259" s="583">
        <v>415647</v>
      </c>
      <c r="AB259" s="583">
        <v>3836</v>
      </c>
      <c r="AC259" s="583">
        <v>-148222</v>
      </c>
      <c r="AD259" s="583">
        <v>0</v>
      </c>
      <c r="AE259" s="583">
        <v>271261</v>
      </c>
      <c r="AF259" s="583">
        <v>0</v>
      </c>
      <c r="AG259" s="583">
        <v>82329</v>
      </c>
      <c r="AH259" s="583">
        <v>2719</v>
      </c>
      <c r="AI259" s="583">
        <v>13277</v>
      </c>
      <c r="AJ259" s="583">
        <v>0</v>
      </c>
      <c r="AK259" s="583">
        <v>98325</v>
      </c>
      <c r="AL259" s="583">
        <v>13277</v>
      </c>
      <c r="AM259" s="583">
        <v>163655</v>
      </c>
      <c r="AN259" s="583">
        <v>15888</v>
      </c>
      <c r="AO259" s="583">
        <v>-13277</v>
      </c>
      <c r="AP259" s="583">
        <v>0</v>
      </c>
      <c r="AQ259" s="583">
        <v>166266</v>
      </c>
      <c r="AR259" s="583">
        <v>0</v>
      </c>
      <c r="AS259" s="583">
        <v>54058</v>
      </c>
      <c r="AT259" s="583">
        <v>0</v>
      </c>
      <c r="AU259" s="583">
        <v>41548</v>
      </c>
      <c r="AV259" s="583">
        <v>0</v>
      </c>
      <c r="AW259" s="583">
        <v>95606</v>
      </c>
      <c r="AX259" s="583">
        <v>41548</v>
      </c>
      <c r="AY259" s="583">
        <v>104649</v>
      </c>
      <c r="AZ259" s="583">
        <v>3895</v>
      </c>
      <c r="BA259" s="583">
        <v>0</v>
      </c>
      <c r="BB259" s="583">
        <v>0</v>
      </c>
      <c r="BC259" s="583">
        <v>108544</v>
      </c>
      <c r="BD259" s="583">
        <v>41548</v>
      </c>
      <c r="BE259" s="583">
        <v>220805</v>
      </c>
      <c r="BF259" s="583">
        <v>0</v>
      </c>
      <c r="BG259" s="583">
        <v>-41548</v>
      </c>
      <c r="BH259" s="583">
        <v>0</v>
      </c>
      <c r="BI259" s="583">
        <v>179257</v>
      </c>
      <c r="BJ259" s="583">
        <v>0</v>
      </c>
      <c r="BK259" s="583">
        <v>81950</v>
      </c>
      <c r="BL259" s="583">
        <v>0</v>
      </c>
      <c r="BM259" s="583">
        <v>13656</v>
      </c>
      <c r="BN259" s="583">
        <v>0</v>
      </c>
      <c r="BO259" s="583">
        <v>95606</v>
      </c>
      <c r="BP259" s="583">
        <v>13656</v>
      </c>
      <c r="BQ259" s="583">
        <v>157039</v>
      </c>
      <c r="BR259" s="583">
        <v>25599</v>
      </c>
      <c r="BS259" s="583">
        <v>-13656</v>
      </c>
      <c r="BT259" s="583">
        <v>0</v>
      </c>
      <c r="BU259" s="583">
        <v>168982</v>
      </c>
      <c r="BV259" s="583">
        <v>0</v>
      </c>
    </row>
    <row r="260" spans="1:74" x14ac:dyDescent="0.2">
      <c r="A260" s="580">
        <v>12401</v>
      </c>
      <c r="B260" s="580" t="s">
        <v>266</v>
      </c>
      <c r="C260" s="583">
        <v>190803</v>
      </c>
      <c r="D260" s="583">
        <v>0</v>
      </c>
      <c r="E260" s="583">
        <v>123767</v>
      </c>
      <c r="F260" s="583">
        <v>0</v>
      </c>
      <c r="G260" s="583">
        <v>314570</v>
      </c>
      <c r="H260" s="583">
        <v>123767</v>
      </c>
      <c r="I260" s="583">
        <v>101463</v>
      </c>
      <c r="J260" s="583">
        <v>0</v>
      </c>
      <c r="K260" s="583">
        <v>213107</v>
      </c>
      <c r="L260" s="583">
        <v>0</v>
      </c>
      <c r="M260" s="583">
        <v>314570</v>
      </c>
      <c r="N260" s="583">
        <v>336874</v>
      </c>
      <c r="O260" s="583">
        <v>289450</v>
      </c>
      <c r="P260" s="583">
        <v>0</v>
      </c>
      <c r="Q260" s="583">
        <v>0</v>
      </c>
      <c r="R260" s="583">
        <v>0</v>
      </c>
      <c r="S260" s="583">
        <v>289450</v>
      </c>
      <c r="T260" s="583">
        <v>336874</v>
      </c>
      <c r="U260" s="583">
        <v>153693</v>
      </c>
      <c r="V260" s="583">
        <v>0</v>
      </c>
      <c r="W260" s="583">
        <v>160877</v>
      </c>
      <c r="X260" s="583">
        <v>0</v>
      </c>
      <c r="Y260" s="583">
        <v>314570</v>
      </c>
      <c r="Z260" s="583">
        <v>497751</v>
      </c>
      <c r="AA260" s="583">
        <v>1337419</v>
      </c>
      <c r="AB260" s="583">
        <v>12344</v>
      </c>
      <c r="AC260" s="583">
        <v>-497751</v>
      </c>
      <c r="AD260" s="583">
        <v>0</v>
      </c>
      <c r="AE260" s="583">
        <v>852012</v>
      </c>
      <c r="AF260" s="583">
        <v>0</v>
      </c>
      <c r="AG260" s="583">
        <v>264909</v>
      </c>
      <c r="AH260" s="583">
        <v>8748</v>
      </c>
      <c r="AI260" s="583">
        <v>49661</v>
      </c>
      <c r="AJ260" s="583">
        <v>0</v>
      </c>
      <c r="AK260" s="583">
        <v>323318</v>
      </c>
      <c r="AL260" s="583">
        <v>49661</v>
      </c>
      <c r="AM260" s="583">
        <v>526591</v>
      </c>
      <c r="AN260" s="583">
        <v>51122</v>
      </c>
      <c r="AO260" s="583">
        <v>-48763</v>
      </c>
      <c r="AP260" s="583">
        <v>0</v>
      </c>
      <c r="AQ260" s="583">
        <v>528950</v>
      </c>
      <c r="AR260" s="583">
        <v>898</v>
      </c>
      <c r="AS260" s="583">
        <v>173941</v>
      </c>
      <c r="AT260" s="583">
        <v>0</v>
      </c>
      <c r="AU260" s="583">
        <v>140629</v>
      </c>
      <c r="AV260" s="583">
        <v>0</v>
      </c>
      <c r="AW260" s="583">
        <v>314570</v>
      </c>
      <c r="AX260" s="583">
        <v>141527</v>
      </c>
      <c r="AY260" s="583">
        <v>336727</v>
      </c>
      <c r="AZ260" s="583">
        <v>12533</v>
      </c>
      <c r="BA260" s="583">
        <v>0</v>
      </c>
      <c r="BB260" s="583">
        <v>0</v>
      </c>
      <c r="BC260" s="583">
        <v>349260</v>
      </c>
      <c r="BD260" s="583">
        <v>141527</v>
      </c>
      <c r="BE260" s="583">
        <v>710479</v>
      </c>
      <c r="BF260" s="583">
        <v>0</v>
      </c>
      <c r="BG260" s="583">
        <v>-141527</v>
      </c>
      <c r="BH260" s="583">
        <v>0</v>
      </c>
      <c r="BI260" s="583">
        <v>568952</v>
      </c>
      <c r="BJ260" s="583">
        <v>0</v>
      </c>
      <c r="BK260" s="583">
        <v>263689</v>
      </c>
      <c r="BL260" s="583">
        <v>0</v>
      </c>
      <c r="BM260" s="583">
        <v>50881</v>
      </c>
      <c r="BN260" s="583">
        <v>0</v>
      </c>
      <c r="BO260" s="583">
        <v>314570</v>
      </c>
      <c r="BP260" s="583">
        <v>50881</v>
      </c>
      <c r="BQ260" s="583">
        <v>505301</v>
      </c>
      <c r="BR260" s="583">
        <v>82369</v>
      </c>
      <c r="BS260" s="583">
        <v>-50881</v>
      </c>
      <c r="BT260" s="583">
        <v>0</v>
      </c>
      <c r="BU260" s="583">
        <v>536789</v>
      </c>
      <c r="BV260" s="583">
        <v>0</v>
      </c>
    </row>
    <row r="261" spans="1:74" x14ac:dyDescent="0.2">
      <c r="A261" s="580">
        <v>12402</v>
      </c>
      <c r="B261" s="580" t="s">
        <v>321</v>
      </c>
      <c r="C261" s="583">
        <v>57224</v>
      </c>
      <c r="D261" s="583">
        <v>0</v>
      </c>
      <c r="E261" s="583">
        <v>33960</v>
      </c>
      <c r="F261" s="583">
        <v>0</v>
      </c>
      <c r="G261" s="583">
        <v>91184</v>
      </c>
      <c r="H261" s="583">
        <v>33960</v>
      </c>
      <c r="I261" s="583">
        <v>30430</v>
      </c>
      <c r="J261" s="583">
        <v>0</v>
      </c>
      <c r="K261" s="583">
        <v>60754</v>
      </c>
      <c r="L261" s="583">
        <v>0</v>
      </c>
      <c r="M261" s="583">
        <v>91184</v>
      </c>
      <c r="N261" s="583">
        <v>94714</v>
      </c>
      <c r="O261" s="583">
        <v>86809</v>
      </c>
      <c r="P261" s="583">
        <v>0</v>
      </c>
      <c r="Q261" s="583">
        <v>0</v>
      </c>
      <c r="R261" s="583">
        <v>0</v>
      </c>
      <c r="S261" s="583">
        <v>86809</v>
      </c>
      <c r="T261" s="583">
        <v>94714</v>
      </c>
      <c r="U261" s="583">
        <v>46094</v>
      </c>
      <c r="V261" s="583">
        <v>0</v>
      </c>
      <c r="W261" s="583">
        <v>45090</v>
      </c>
      <c r="X261" s="583">
        <v>0</v>
      </c>
      <c r="Y261" s="583">
        <v>91184</v>
      </c>
      <c r="Z261" s="583">
        <v>139804</v>
      </c>
      <c r="AA261" s="583">
        <v>401106</v>
      </c>
      <c r="AB261" s="583">
        <v>3702</v>
      </c>
      <c r="AC261" s="583">
        <v>-139804</v>
      </c>
      <c r="AD261" s="583">
        <v>0</v>
      </c>
      <c r="AE261" s="583">
        <v>265004</v>
      </c>
      <c r="AF261" s="583">
        <v>0</v>
      </c>
      <c r="AG261" s="583">
        <v>79449</v>
      </c>
      <c r="AH261" s="583">
        <v>2624</v>
      </c>
      <c r="AI261" s="583">
        <v>11735</v>
      </c>
      <c r="AJ261" s="583">
        <v>0</v>
      </c>
      <c r="AK261" s="583">
        <v>93808</v>
      </c>
      <c r="AL261" s="583">
        <v>11735</v>
      </c>
      <c r="AM261" s="583">
        <v>157930</v>
      </c>
      <c r="AN261" s="583">
        <v>15332</v>
      </c>
      <c r="AO261" s="583">
        <v>-11735</v>
      </c>
      <c r="AP261" s="583">
        <v>0</v>
      </c>
      <c r="AQ261" s="583">
        <v>161527</v>
      </c>
      <c r="AR261" s="583">
        <v>0</v>
      </c>
      <c r="AS261" s="583">
        <v>52167</v>
      </c>
      <c r="AT261" s="583">
        <v>0</v>
      </c>
      <c r="AU261" s="583">
        <v>39017</v>
      </c>
      <c r="AV261" s="583">
        <v>0</v>
      </c>
      <c r="AW261" s="583">
        <v>91184</v>
      </c>
      <c r="AX261" s="583">
        <v>39017</v>
      </c>
      <c r="AY261" s="583">
        <v>100988</v>
      </c>
      <c r="AZ261" s="583">
        <v>3759</v>
      </c>
      <c r="BA261" s="583">
        <v>0</v>
      </c>
      <c r="BB261" s="583">
        <v>0</v>
      </c>
      <c r="BC261" s="583">
        <v>104747</v>
      </c>
      <c r="BD261" s="583">
        <v>39017</v>
      </c>
      <c r="BE261" s="583">
        <v>213080</v>
      </c>
      <c r="BF261" s="583">
        <v>0</v>
      </c>
      <c r="BG261" s="583">
        <v>-39017</v>
      </c>
      <c r="BH261" s="583">
        <v>0</v>
      </c>
      <c r="BI261" s="583">
        <v>174063</v>
      </c>
      <c r="BJ261" s="583">
        <v>0</v>
      </c>
      <c r="BK261" s="583">
        <v>79083</v>
      </c>
      <c r="BL261" s="583">
        <v>0</v>
      </c>
      <c r="BM261" s="583">
        <v>12101</v>
      </c>
      <c r="BN261" s="583">
        <v>0</v>
      </c>
      <c r="BO261" s="583">
        <v>91184</v>
      </c>
      <c r="BP261" s="583">
        <v>12101</v>
      </c>
      <c r="BQ261" s="583">
        <v>151545</v>
      </c>
      <c r="BR261" s="583">
        <v>24703</v>
      </c>
      <c r="BS261" s="583">
        <v>-12101</v>
      </c>
      <c r="BT261" s="583">
        <v>0</v>
      </c>
      <c r="BU261" s="583">
        <v>164147</v>
      </c>
      <c r="BV261" s="583">
        <v>0</v>
      </c>
    </row>
    <row r="262" spans="1:74" x14ac:dyDescent="0.2">
      <c r="A262" s="580">
        <v>13101</v>
      </c>
      <c r="B262" s="580" t="s">
        <v>274</v>
      </c>
      <c r="C262" s="583">
        <v>465861</v>
      </c>
      <c r="D262" s="583">
        <v>0</v>
      </c>
      <c r="E262" s="583">
        <v>0</v>
      </c>
      <c r="F262" s="583">
        <v>0</v>
      </c>
      <c r="G262" s="583">
        <v>465861</v>
      </c>
      <c r="H262" s="583">
        <v>0</v>
      </c>
      <c r="I262" s="583">
        <v>247729</v>
      </c>
      <c r="J262" s="583">
        <v>0</v>
      </c>
      <c r="K262" s="583">
        <v>0</v>
      </c>
      <c r="L262" s="583">
        <v>0</v>
      </c>
      <c r="M262" s="583">
        <v>247729</v>
      </c>
      <c r="N262" s="583">
        <v>0</v>
      </c>
      <c r="O262" s="583">
        <v>706716</v>
      </c>
      <c r="P262" s="583">
        <v>0</v>
      </c>
      <c r="Q262" s="583">
        <v>0</v>
      </c>
      <c r="R262" s="583">
        <v>0</v>
      </c>
      <c r="S262" s="583">
        <v>706716</v>
      </c>
      <c r="T262" s="583">
        <v>0</v>
      </c>
      <c r="U262" s="583">
        <v>375255</v>
      </c>
      <c r="V262" s="583">
        <v>0</v>
      </c>
      <c r="W262" s="583">
        <v>0</v>
      </c>
      <c r="X262" s="583">
        <v>0</v>
      </c>
      <c r="Y262" s="583">
        <v>375255</v>
      </c>
      <c r="Z262" s="583">
        <v>0</v>
      </c>
      <c r="AA262" s="583">
        <v>3265423</v>
      </c>
      <c r="AB262" s="583">
        <v>30139</v>
      </c>
      <c r="AC262" s="583">
        <v>0</v>
      </c>
      <c r="AD262" s="583">
        <v>0</v>
      </c>
      <c r="AE262" s="583">
        <v>3295562</v>
      </c>
      <c r="AF262" s="583">
        <v>0</v>
      </c>
      <c r="AG262" s="583">
        <v>646797</v>
      </c>
      <c r="AH262" s="583">
        <v>21360</v>
      </c>
      <c r="AI262" s="583">
        <v>0</v>
      </c>
      <c r="AJ262" s="583">
        <v>0</v>
      </c>
      <c r="AK262" s="583">
        <v>668157</v>
      </c>
      <c r="AL262" s="583">
        <v>0</v>
      </c>
      <c r="AM262" s="583">
        <v>1285717</v>
      </c>
      <c r="AN262" s="583">
        <v>124820</v>
      </c>
      <c r="AO262" s="583">
        <v>0</v>
      </c>
      <c r="AP262" s="583">
        <v>0</v>
      </c>
      <c r="AQ262" s="583">
        <v>1410537</v>
      </c>
      <c r="AR262" s="583">
        <v>0</v>
      </c>
      <c r="AS262" s="583">
        <v>424692</v>
      </c>
      <c r="AT262" s="583">
        <v>0</v>
      </c>
      <c r="AU262" s="583">
        <v>0</v>
      </c>
      <c r="AV262" s="583">
        <v>0</v>
      </c>
      <c r="AW262" s="583">
        <v>424692</v>
      </c>
      <c r="AX262" s="583">
        <v>0</v>
      </c>
      <c r="AY262" s="583">
        <v>822147</v>
      </c>
      <c r="AZ262" s="583">
        <v>30600</v>
      </c>
      <c r="BA262" s="583">
        <v>0</v>
      </c>
      <c r="BB262" s="583">
        <v>0</v>
      </c>
      <c r="BC262" s="583">
        <v>852747</v>
      </c>
      <c r="BD262" s="583">
        <v>0</v>
      </c>
      <c r="BE262" s="583">
        <v>1734695</v>
      </c>
      <c r="BF262" s="583">
        <v>0</v>
      </c>
      <c r="BG262" s="583">
        <v>0</v>
      </c>
      <c r="BH262" s="583">
        <v>0</v>
      </c>
      <c r="BI262" s="583">
        <v>1734695</v>
      </c>
      <c r="BJ262" s="583">
        <v>0</v>
      </c>
      <c r="BK262" s="583">
        <v>643820</v>
      </c>
      <c r="BL262" s="583">
        <v>0</v>
      </c>
      <c r="BM262" s="583">
        <v>0</v>
      </c>
      <c r="BN262" s="583">
        <v>0</v>
      </c>
      <c r="BO262" s="583">
        <v>643820</v>
      </c>
      <c r="BP262" s="583">
        <v>0</v>
      </c>
      <c r="BQ262" s="583">
        <v>1233736</v>
      </c>
      <c r="BR262" s="583">
        <v>201112</v>
      </c>
      <c r="BS262" s="583">
        <v>0</v>
      </c>
      <c r="BT262" s="583">
        <v>0</v>
      </c>
      <c r="BU262" s="583">
        <v>1434848</v>
      </c>
      <c r="BV262" s="583">
        <v>0</v>
      </c>
    </row>
    <row r="263" spans="1:74" x14ac:dyDescent="0.2">
      <c r="A263" s="580">
        <v>13102</v>
      </c>
      <c r="B263" s="580" t="s">
        <v>298</v>
      </c>
      <c r="C263" s="583">
        <v>176337</v>
      </c>
      <c r="D263" s="583">
        <v>0</v>
      </c>
      <c r="E263" s="583">
        <v>104831</v>
      </c>
      <c r="F263" s="583">
        <v>0</v>
      </c>
      <c r="G263" s="583">
        <v>281168</v>
      </c>
      <c r="H263" s="583">
        <v>104831</v>
      </c>
      <c r="I263" s="583">
        <v>93770</v>
      </c>
      <c r="J263" s="583">
        <v>0</v>
      </c>
      <c r="K263" s="583">
        <v>187398</v>
      </c>
      <c r="L263" s="583">
        <v>0</v>
      </c>
      <c r="M263" s="583">
        <v>281168</v>
      </c>
      <c r="N263" s="583">
        <v>292229</v>
      </c>
      <c r="O263" s="583">
        <v>267505</v>
      </c>
      <c r="P263" s="583">
        <v>0</v>
      </c>
      <c r="Q263" s="583">
        <v>0</v>
      </c>
      <c r="R263" s="583">
        <v>0</v>
      </c>
      <c r="S263" s="583">
        <v>267505</v>
      </c>
      <c r="T263" s="583">
        <v>292229</v>
      </c>
      <c r="U263" s="583">
        <v>142041</v>
      </c>
      <c r="V263" s="583">
        <v>0</v>
      </c>
      <c r="W263" s="583">
        <v>139127</v>
      </c>
      <c r="X263" s="583">
        <v>0</v>
      </c>
      <c r="Y263" s="583">
        <v>281168</v>
      </c>
      <c r="Z263" s="583">
        <v>431356</v>
      </c>
      <c r="AA263" s="583">
        <v>1236025</v>
      </c>
      <c r="AB263" s="583">
        <v>11408</v>
      </c>
      <c r="AC263" s="583">
        <v>-431356</v>
      </c>
      <c r="AD263" s="583">
        <v>0</v>
      </c>
      <c r="AE263" s="583">
        <v>816077</v>
      </c>
      <c r="AF263" s="583">
        <v>0</v>
      </c>
      <c r="AG263" s="583">
        <v>244825</v>
      </c>
      <c r="AH263" s="583">
        <v>8085</v>
      </c>
      <c r="AI263" s="583">
        <v>36343</v>
      </c>
      <c r="AJ263" s="583">
        <v>0</v>
      </c>
      <c r="AK263" s="583">
        <v>289253</v>
      </c>
      <c r="AL263" s="583">
        <v>36343</v>
      </c>
      <c r="AM263" s="583">
        <v>486668</v>
      </c>
      <c r="AN263" s="583">
        <v>47247</v>
      </c>
      <c r="AO263" s="583">
        <v>-36343</v>
      </c>
      <c r="AP263" s="583">
        <v>0</v>
      </c>
      <c r="AQ263" s="583">
        <v>497572</v>
      </c>
      <c r="AR263" s="583">
        <v>0</v>
      </c>
      <c r="AS263" s="583">
        <v>160754</v>
      </c>
      <c r="AT263" s="583">
        <v>0</v>
      </c>
      <c r="AU263" s="583">
        <v>120414</v>
      </c>
      <c r="AV263" s="583">
        <v>0</v>
      </c>
      <c r="AW263" s="583">
        <v>281168</v>
      </c>
      <c r="AX263" s="583">
        <v>120414</v>
      </c>
      <c r="AY263" s="583">
        <v>311198</v>
      </c>
      <c r="AZ263" s="583">
        <v>11583</v>
      </c>
      <c r="BA263" s="583">
        <v>0</v>
      </c>
      <c r="BB263" s="583">
        <v>0</v>
      </c>
      <c r="BC263" s="583">
        <v>322781</v>
      </c>
      <c r="BD263" s="583">
        <v>120414</v>
      </c>
      <c r="BE263" s="583">
        <v>656615</v>
      </c>
      <c r="BF263" s="583">
        <v>0</v>
      </c>
      <c r="BG263" s="583">
        <v>-120414</v>
      </c>
      <c r="BH263" s="583">
        <v>0</v>
      </c>
      <c r="BI263" s="583">
        <v>536201</v>
      </c>
      <c r="BJ263" s="583">
        <v>0</v>
      </c>
      <c r="BK263" s="583">
        <v>243698</v>
      </c>
      <c r="BL263" s="583">
        <v>0</v>
      </c>
      <c r="BM263" s="583">
        <v>37470</v>
      </c>
      <c r="BN263" s="583">
        <v>0</v>
      </c>
      <c r="BO263" s="583">
        <v>281168</v>
      </c>
      <c r="BP263" s="583">
        <v>37470</v>
      </c>
      <c r="BQ263" s="583">
        <v>466993</v>
      </c>
      <c r="BR263" s="583">
        <v>76125</v>
      </c>
      <c r="BS263" s="583">
        <v>-37470</v>
      </c>
      <c r="BT263" s="583">
        <v>0</v>
      </c>
      <c r="BU263" s="583">
        <v>505648</v>
      </c>
      <c r="BV263" s="583">
        <v>0</v>
      </c>
    </row>
    <row r="264" spans="1:74" x14ac:dyDescent="0.2">
      <c r="A264" s="580">
        <v>13103</v>
      </c>
      <c r="B264" s="580" t="s">
        <v>290</v>
      </c>
      <c r="C264" s="583">
        <v>660387</v>
      </c>
      <c r="D264" s="583">
        <v>0</v>
      </c>
      <c r="E264" s="583">
        <v>442479</v>
      </c>
      <c r="F264" s="583">
        <v>0</v>
      </c>
      <c r="G264" s="583">
        <v>1102866</v>
      </c>
      <c r="H264" s="583">
        <v>442479</v>
      </c>
      <c r="I264" s="583">
        <v>351172</v>
      </c>
      <c r="J264" s="583">
        <v>0</v>
      </c>
      <c r="K264" s="583">
        <v>751694</v>
      </c>
      <c r="L264" s="583">
        <v>0</v>
      </c>
      <c r="M264" s="583">
        <v>1102866</v>
      </c>
      <c r="N264" s="583">
        <v>1194173</v>
      </c>
      <c r="O264" s="583">
        <v>1001814</v>
      </c>
      <c r="P264" s="583">
        <v>0</v>
      </c>
      <c r="Q264" s="583">
        <v>0</v>
      </c>
      <c r="R264" s="583">
        <v>0</v>
      </c>
      <c r="S264" s="583">
        <v>1001814</v>
      </c>
      <c r="T264" s="583">
        <v>1194173</v>
      </c>
      <c r="U264" s="583">
        <v>531947</v>
      </c>
      <c r="V264" s="583">
        <v>0</v>
      </c>
      <c r="W264" s="583">
        <v>570919</v>
      </c>
      <c r="X264" s="583">
        <v>0</v>
      </c>
      <c r="Y264" s="583">
        <v>1102866</v>
      </c>
      <c r="Z264" s="583">
        <v>1765092</v>
      </c>
      <c r="AA264" s="583">
        <v>4628938</v>
      </c>
      <c r="AB264" s="583">
        <v>42724</v>
      </c>
      <c r="AC264" s="583">
        <v>-1765092</v>
      </c>
      <c r="AD264" s="583">
        <v>0</v>
      </c>
      <c r="AE264" s="583">
        <v>2906570</v>
      </c>
      <c r="AF264" s="583">
        <v>0</v>
      </c>
      <c r="AG264" s="583">
        <v>916874</v>
      </c>
      <c r="AH264" s="583">
        <v>30279</v>
      </c>
      <c r="AI264" s="583">
        <v>185992</v>
      </c>
      <c r="AJ264" s="583">
        <v>0</v>
      </c>
      <c r="AK264" s="583">
        <v>1133145</v>
      </c>
      <c r="AL264" s="583">
        <v>185992</v>
      </c>
      <c r="AM264" s="583">
        <v>1822583</v>
      </c>
      <c r="AN264" s="583">
        <v>176940</v>
      </c>
      <c r="AO264" s="583">
        <v>-147343</v>
      </c>
      <c r="AP264" s="583">
        <v>0</v>
      </c>
      <c r="AQ264" s="583">
        <v>1852180</v>
      </c>
      <c r="AR264" s="583">
        <v>38649</v>
      </c>
      <c r="AS264" s="583">
        <v>602027</v>
      </c>
      <c r="AT264" s="583">
        <v>0</v>
      </c>
      <c r="AU264" s="583">
        <v>500839</v>
      </c>
      <c r="AV264" s="583">
        <v>0</v>
      </c>
      <c r="AW264" s="583">
        <v>1102866</v>
      </c>
      <c r="AX264" s="583">
        <v>539488</v>
      </c>
      <c r="AY264" s="583">
        <v>1165444</v>
      </c>
      <c r="AZ264" s="583">
        <v>43377</v>
      </c>
      <c r="BA264" s="583">
        <v>0</v>
      </c>
      <c r="BB264" s="583">
        <v>0</v>
      </c>
      <c r="BC264" s="583">
        <v>1208821</v>
      </c>
      <c r="BD264" s="583">
        <v>539488</v>
      </c>
      <c r="BE264" s="583">
        <v>2459037</v>
      </c>
      <c r="BF264" s="583">
        <v>0</v>
      </c>
      <c r="BG264" s="583">
        <v>-539488</v>
      </c>
      <c r="BH264" s="583">
        <v>0</v>
      </c>
      <c r="BI264" s="583">
        <v>1919549</v>
      </c>
      <c r="BJ264" s="583">
        <v>0</v>
      </c>
      <c r="BK264" s="583">
        <v>912654</v>
      </c>
      <c r="BL264" s="583">
        <v>0</v>
      </c>
      <c r="BM264" s="583">
        <v>190212</v>
      </c>
      <c r="BN264" s="583">
        <v>0</v>
      </c>
      <c r="BO264" s="583">
        <v>1102866</v>
      </c>
      <c r="BP264" s="583">
        <v>190212</v>
      </c>
      <c r="BQ264" s="583">
        <v>1748897</v>
      </c>
      <c r="BR264" s="583">
        <v>285088</v>
      </c>
      <c r="BS264" s="583">
        <v>-190212</v>
      </c>
      <c r="BT264" s="583">
        <v>0</v>
      </c>
      <c r="BU264" s="583">
        <v>1843773</v>
      </c>
      <c r="BV264" s="583">
        <v>0</v>
      </c>
    </row>
    <row r="265" spans="1:74" x14ac:dyDescent="0.2">
      <c r="A265" s="580">
        <v>13104</v>
      </c>
      <c r="B265" s="580" t="s">
        <v>425</v>
      </c>
      <c r="C265" s="583">
        <v>429631</v>
      </c>
      <c r="D265" s="583">
        <v>0</v>
      </c>
      <c r="E265" s="583">
        <v>284383</v>
      </c>
      <c r="F265" s="583">
        <v>0</v>
      </c>
      <c r="G265" s="583">
        <v>714014</v>
      </c>
      <c r="H265" s="583">
        <v>284383</v>
      </c>
      <c r="I265" s="583">
        <v>228463</v>
      </c>
      <c r="J265" s="583">
        <v>0</v>
      </c>
      <c r="K265" s="583">
        <v>485551</v>
      </c>
      <c r="L265" s="583">
        <v>0</v>
      </c>
      <c r="M265" s="583">
        <v>714014</v>
      </c>
      <c r="N265" s="583">
        <v>769934</v>
      </c>
      <c r="O265" s="583">
        <v>651754</v>
      </c>
      <c r="P265" s="583">
        <v>0</v>
      </c>
      <c r="Q265" s="583">
        <v>0</v>
      </c>
      <c r="R265" s="583">
        <v>0</v>
      </c>
      <c r="S265" s="583">
        <v>651754</v>
      </c>
      <c r="T265" s="583">
        <v>769934</v>
      </c>
      <c r="U265" s="583">
        <v>346071</v>
      </c>
      <c r="V265" s="583">
        <v>0</v>
      </c>
      <c r="W265" s="583">
        <v>367943</v>
      </c>
      <c r="X265" s="583">
        <v>0</v>
      </c>
      <c r="Y265" s="583">
        <v>714014</v>
      </c>
      <c r="Z265" s="583">
        <v>1137877</v>
      </c>
      <c r="AA265" s="583">
        <v>3011468</v>
      </c>
      <c r="AB265" s="583">
        <v>27795</v>
      </c>
      <c r="AC265" s="583">
        <v>-1137877</v>
      </c>
      <c r="AD265" s="583">
        <v>0</v>
      </c>
      <c r="AE265" s="583">
        <v>1901386</v>
      </c>
      <c r="AF265" s="583">
        <v>0</v>
      </c>
      <c r="AG265" s="583">
        <v>596495</v>
      </c>
      <c r="AH265" s="583">
        <v>19699</v>
      </c>
      <c r="AI265" s="583">
        <v>117519</v>
      </c>
      <c r="AJ265" s="583">
        <v>0</v>
      </c>
      <c r="AK265" s="583">
        <v>733713</v>
      </c>
      <c r="AL265" s="583">
        <v>117519</v>
      </c>
      <c r="AM265" s="583">
        <v>1185726</v>
      </c>
      <c r="AN265" s="583">
        <v>115112</v>
      </c>
      <c r="AO265" s="583">
        <v>-101148</v>
      </c>
      <c r="AP265" s="583">
        <v>0</v>
      </c>
      <c r="AQ265" s="583">
        <v>1199690</v>
      </c>
      <c r="AR265" s="583">
        <v>16371</v>
      </c>
      <c r="AS265" s="583">
        <v>391663</v>
      </c>
      <c r="AT265" s="583">
        <v>0</v>
      </c>
      <c r="AU265" s="583">
        <v>322351</v>
      </c>
      <c r="AV265" s="583">
        <v>0</v>
      </c>
      <c r="AW265" s="583">
        <v>714014</v>
      </c>
      <c r="AX265" s="583">
        <v>338722</v>
      </c>
      <c r="AY265" s="583">
        <v>758208</v>
      </c>
      <c r="AZ265" s="583">
        <v>28220</v>
      </c>
      <c r="BA265" s="583">
        <v>0</v>
      </c>
      <c r="BB265" s="583">
        <v>0</v>
      </c>
      <c r="BC265" s="583">
        <v>786428</v>
      </c>
      <c r="BD265" s="583">
        <v>338722</v>
      </c>
      <c r="BE265" s="583">
        <v>1599787</v>
      </c>
      <c r="BF265" s="583">
        <v>0</v>
      </c>
      <c r="BG265" s="583">
        <v>-338722</v>
      </c>
      <c r="BH265" s="583">
        <v>0</v>
      </c>
      <c r="BI265" s="583">
        <v>1261065</v>
      </c>
      <c r="BJ265" s="583">
        <v>0</v>
      </c>
      <c r="BK265" s="583">
        <v>593749</v>
      </c>
      <c r="BL265" s="583">
        <v>0</v>
      </c>
      <c r="BM265" s="583">
        <v>120265</v>
      </c>
      <c r="BN265" s="583">
        <v>0</v>
      </c>
      <c r="BO265" s="583">
        <v>714014</v>
      </c>
      <c r="BP265" s="583">
        <v>120265</v>
      </c>
      <c r="BQ265" s="583">
        <v>1137788</v>
      </c>
      <c r="BR265" s="583">
        <v>185471</v>
      </c>
      <c r="BS265" s="583">
        <v>-120265</v>
      </c>
      <c r="BT265" s="583">
        <v>0</v>
      </c>
      <c r="BU265" s="583">
        <v>1202994</v>
      </c>
      <c r="BV265" s="583">
        <v>0</v>
      </c>
    </row>
    <row r="266" spans="1:74" x14ac:dyDescent="0.2">
      <c r="A266" s="580">
        <v>13105</v>
      </c>
      <c r="B266" s="580" t="s">
        <v>297</v>
      </c>
      <c r="C266" s="583">
        <v>736172</v>
      </c>
      <c r="D266" s="583">
        <v>0</v>
      </c>
      <c r="E266" s="583">
        <v>493257</v>
      </c>
      <c r="F266" s="583">
        <v>0</v>
      </c>
      <c r="G266" s="583">
        <v>1229429</v>
      </c>
      <c r="H266" s="583">
        <v>493257</v>
      </c>
      <c r="I266" s="583">
        <v>391471</v>
      </c>
      <c r="J266" s="583">
        <v>0</v>
      </c>
      <c r="K266" s="583">
        <v>837958</v>
      </c>
      <c r="L266" s="583">
        <v>0</v>
      </c>
      <c r="M266" s="583">
        <v>1229429</v>
      </c>
      <c r="N266" s="583">
        <v>1331215</v>
      </c>
      <c r="O266" s="583">
        <v>1116779</v>
      </c>
      <c r="P266" s="583">
        <v>0</v>
      </c>
      <c r="Q266" s="583">
        <v>0</v>
      </c>
      <c r="R266" s="583">
        <v>0</v>
      </c>
      <c r="S266" s="583">
        <v>1116779</v>
      </c>
      <c r="T266" s="583">
        <v>1331215</v>
      </c>
      <c r="U266" s="583">
        <v>592992</v>
      </c>
      <c r="V266" s="583">
        <v>0</v>
      </c>
      <c r="W266" s="583">
        <v>636437</v>
      </c>
      <c r="X266" s="583">
        <v>0</v>
      </c>
      <c r="Y266" s="583">
        <v>1229429</v>
      </c>
      <c r="Z266" s="583">
        <v>1967652</v>
      </c>
      <c r="AA266" s="583">
        <v>5160144</v>
      </c>
      <c r="AB266" s="583">
        <v>47627</v>
      </c>
      <c r="AC266" s="583">
        <v>-1967652</v>
      </c>
      <c r="AD266" s="583">
        <v>0</v>
      </c>
      <c r="AE266" s="583">
        <v>3240119</v>
      </c>
      <c r="AF266" s="583">
        <v>0</v>
      </c>
      <c r="AG266" s="583">
        <v>1022093</v>
      </c>
      <c r="AH266" s="583">
        <v>33753</v>
      </c>
      <c r="AI266" s="583">
        <v>207336</v>
      </c>
      <c r="AJ266" s="583">
        <v>0</v>
      </c>
      <c r="AK266" s="583">
        <v>1263182</v>
      </c>
      <c r="AL266" s="583">
        <v>207336</v>
      </c>
      <c r="AM266" s="583">
        <v>2031738</v>
      </c>
      <c r="AN266" s="583">
        <v>197245</v>
      </c>
      <c r="AO266" s="583">
        <v>-164251</v>
      </c>
      <c r="AP266" s="583">
        <v>0</v>
      </c>
      <c r="AQ266" s="583">
        <v>2064732</v>
      </c>
      <c r="AR266" s="583">
        <v>43085</v>
      </c>
      <c r="AS266" s="583">
        <v>671114</v>
      </c>
      <c r="AT266" s="583">
        <v>0</v>
      </c>
      <c r="AU266" s="583">
        <v>558315</v>
      </c>
      <c r="AV266" s="583">
        <v>0</v>
      </c>
      <c r="AW266" s="583">
        <v>1229429</v>
      </c>
      <c r="AX266" s="583">
        <v>601400</v>
      </c>
      <c r="AY266" s="583">
        <v>1299188</v>
      </c>
      <c r="AZ266" s="583">
        <v>48355</v>
      </c>
      <c r="BA266" s="583">
        <v>0</v>
      </c>
      <c r="BB266" s="583">
        <v>0</v>
      </c>
      <c r="BC266" s="583">
        <v>1347543</v>
      </c>
      <c r="BD266" s="583">
        <v>601400</v>
      </c>
      <c r="BE266" s="583">
        <v>2741231</v>
      </c>
      <c r="BF266" s="583">
        <v>0</v>
      </c>
      <c r="BG266" s="583">
        <v>-601400</v>
      </c>
      <c r="BH266" s="583">
        <v>0</v>
      </c>
      <c r="BI266" s="583">
        <v>2139831</v>
      </c>
      <c r="BJ266" s="583">
        <v>0</v>
      </c>
      <c r="BK266" s="583">
        <v>1017388</v>
      </c>
      <c r="BL266" s="583">
        <v>0</v>
      </c>
      <c r="BM266" s="583">
        <v>212041</v>
      </c>
      <c r="BN266" s="583">
        <v>0</v>
      </c>
      <c r="BO266" s="583">
        <v>1229429</v>
      </c>
      <c r="BP266" s="583">
        <v>212041</v>
      </c>
      <c r="BQ266" s="583">
        <v>1949597</v>
      </c>
      <c r="BR266" s="583">
        <v>317804</v>
      </c>
      <c r="BS266" s="583">
        <v>-212041</v>
      </c>
      <c r="BT266" s="583">
        <v>0</v>
      </c>
      <c r="BU266" s="583">
        <v>2055360</v>
      </c>
      <c r="BV266" s="583">
        <v>0</v>
      </c>
    </row>
    <row r="267" spans="1:74" x14ac:dyDescent="0.2">
      <c r="A267" s="580">
        <v>13106</v>
      </c>
      <c r="B267" s="580" t="s">
        <v>426</v>
      </c>
      <c r="C267" s="583">
        <v>426004</v>
      </c>
      <c r="D267" s="583">
        <v>0</v>
      </c>
      <c r="E267" s="583">
        <v>240554</v>
      </c>
      <c r="F267" s="583">
        <v>0</v>
      </c>
      <c r="G267" s="583">
        <v>666558</v>
      </c>
      <c r="H267" s="583">
        <v>240554</v>
      </c>
      <c r="I267" s="583">
        <v>226534</v>
      </c>
      <c r="J267" s="583">
        <v>0</v>
      </c>
      <c r="K267" s="583">
        <v>440024</v>
      </c>
      <c r="L267" s="583">
        <v>0</v>
      </c>
      <c r="M267" s="583">
        <v>666558</v>
      </c>
      <c r="N267" s="583">
        <v>680578</v>
      </c>
      <c r="O267" s="583">
        <v>646252</v>
      </c>
      <c r="P267" s="583">
        <v>0</v>
      </c>
      <c r="Q267" s="583">
        <v>0</v>
      </c>
      <c r="R267" s="583">
        <v>0</v>
      </c>
      <c r="S267" s="583">
        <v>646252</v>
      </c>
      <c r="T267" s="583">
        <v>680578</v>
      </c>
      <c r="U267" s="583">
        <v>343150</v>
      </c>
      <c r="V267" s="583">
        <v>0</v>
      </c>
      <c r="W267" s="583">
        <v>323408</v>
      </c>
      <c r="X267" s="583">
        <v>0</v>
      </c>
      <c r="Y267" s="583">
        <v>666558</v>
      </c>
      <c r="Z267" s="583">
        <v>1003986</v>
      </c>
      <c r="AA267" s="583">
        <v>2986044</v>
      </c>
      <c r="AB267" s="583">
        <v>27560</v>
      </c>
      <c r="AC267" s="583">
        <v>-1003986</v>
      </c>
      <c r="AD267" s="583">
        <v>0</v>
      </c>
      <c r="AE267" s="583">
        <v>2009618</v>
      </c>
      <c r="AF267" s="583">
        <v>0</v>
      </c>
      <c r="AG267" s="583">
        <v>591459</v>
      </c>
      <c r="AH267" s="583">
        <v>19532</v>
      </c>
      <c r="AI267" s="583">
        <v>75099</v>
      </c>
      <c r="AJ267" s="583">
        <v>0</v>
      </c>
      <c r="AK267" s="583">
        <v>686090</v>
      </c>
      <c r="AL267" s="583">
        <v>75099</v>
      </c>
      <c r="AM267" s="583">
        <v>1175715</v>
      </c>
      <c r="AN267" s="583">
        <v>114141</v>
      </c>
      <c r="AO267" s="583">
        <v>-75099</v>
      </c>
      <c r="AP267" s="583">
        <v>0</v>
      </c>
      <c r="AQ267" s="583">
        <v>1214757</v>
      </c>
      <c r="AR267" s="583">
        <v>0</v>
      </c>
      <c r="AS267" s="583">
        <v>388357</v>
      </c>
      <c r="AT267" s="583">
        <v>0</v>
      </c>
      <c r="AU267" s="583">
        <v>278201</v>
      </c>
      <c r="AV267" s="583">
        <v>0</v>
      </c>
      <c r="AW267" s="583">
        <v>666558</v>
      </c>
      <c r="AX267" s="583">
        <v>278201</v>
      </c>
      <c r="AY267" s="583">
        <v>751807</v>
      </c>
      <c r="AZ267" s="583">
        <v>27982</v>
      </c>
      <c r="BA267" s="583">
        <v>0</v>
      </c>
      <c r="BB267" s="583">
        <v>0</v>
      </c>
      <c r="BC267" s="583">
        <v>779789</v>
      </c>
      <c r="BD267" s="583">
        <v>278201</v>
      </c>
      <c r="BE267" s="583">
        <v>1586280</v>
      </c>
      <c r="BF267" s="583">
        <v>0</v>
      </c>
      <c r="BG267" s="583">
        <v>-278201</v>
      </c>
      <c r="BH267" s="583">
        <v>0</v>
      </c>
      <c r="BI267" s="583">
        <v>1308079</v>
      </c>
      <c r="BJ267" s="583">
        <v>0</v>
      </c>
      <c r="BK267" s="583">
        <v>588736</v>
      </c>
      <c r="BL267" s="583">
        <v>0</v>
      </c>
      <c r="BM267" s="583">
        <v>77822</v>
      </c>
      <c r="BN267" s="583">
        <v>0</v>
      </c>
      <c r="BO267" s="583">
        <v>666558</v>
      </c>
      <c r="BP267" s="583">
        <v>77822</v>
      </c>
      <c r="BQ267" s="583">
        <v>1128182</v>
      </c>
      <c r="BR267" s="583">
        <v>183905</v>
      </c>
      <c r="BS267" s="583">
        <v>-77822</v>
      </c>
      <c r="BT267" s="583">
        <v>0</v>
      </c>
      <c r="BU267" s="583">
        <v>1234265</v>
      </c>
      <c r="BV267" s="583">
        <v>0</v>
      </c>
    </row>
    <row r="268" spans="1:74" x14ac:dyDescent="0.2">
      <c r="A268" s="580">
        <v>13107</v>
      </c>
      <c r="B268" s="580" t="s">
        <v>291</v>
      </c>
      <c r="C268" s="583">
        <v>121936</v>
      </c>
      <c r="D268" s="583">
        <v>0</v>
      </c>
      <c r="E268" s="583">
        <v>81700</v>
      </c>
      <c r="F268" s="583">
        <v>0</v>
      </c>
      <c r="G268" s="583">
        <v>203636</v>
      </c>
      <c r="H268" s="583">
        <v>81700</v>
      </c>
      <c r="I268" s="583">
        <v>64841</v>
      </c>
      <c r="J268" s="583">
        <v>0</v>
      </c>
      <c r="K268" s="583">
        <v>138795</v>
      </c>
      <c r="L268" s="583">
        <v>0</v>
      </c>
      <c r="M268" s="583">
        <v>203636</v>
      </c>
      <c r="N268" s="583">
        <v>220495</v>
      </c>
      <c r="O268" s="583">
        <v>184978</v>
      </c>
      <c r="P268" s="583">
        <v>0</v>
      </c>
      <c r="Q268" s="583">
        <v>0</v>
      </c>
      <c r="R268" s="583">
        <v>0</v>
      </c>
      <c r="S268" s="583">
        <v>184978</v>
      </c>
      <c r="T268" s="583">
        <v>220495</v>
      </c>
      <c r="U268" s="583">
        <v>98220</v>
      </c>
      <c r="V268" s="583">
        <v>0</v>
      </c>
      <c r="W268" s="583">
        <v>105416</v>
      </c>
      <c r="X268" s="583">
        <v>0</v>
      </c>
      <c r="Y268" s="583">
        <v>203636</v>
      </c>
      <c r="Z268" s="583">
        <v>325911</v>
      </c>
      <c r="AA268" s="583">
        <v>854699</v>
      </c>
      <c r="AB268" s="583">
        <v>7889</v>
      </c>
      <c r="AC268" s="583">
        <v>-325911</v>
      </c>
      <c r="AD268" s="583">
        <v>0</v>
      </c>
      <c r="AE268" s="583">
        <v>536677</v>
      </c>
      <c r="AF268" s="583">
        <v>0</v>
      </c>
      <c r="AG268" s="583">
        <v>169294</v>
      </c>
      <c r="AH268" s="583">
        <v>5591</v>
      </c>
      <c r="AI268" s="583">
        <v>34342</v>
      </c>
      <c r="AJ268" s="583">
        <v>0</v>
      </c>
      <c r="AK268" s="583">
        <v>209227</v>
      </c>
      <c r="AL268" s="583">
        <v>34342</v>
      </c>
      <c r="AM268" s="583">
        <v>336527</v>
      </c>
      <c r="AN268" s="583">
        <v>32671</v>
      </c>
      <c r="AO268" s="583">
        <v>-27206</v>
      </c>
      <c r="AP268" s="583">
        <v>0</v>
      </c>
      <c r="AQ268" s="583">
        <v>341992</v>
      </c>
      <c r="AR268" s="583">
        <v>7136</v>
      </c>
      <c r="AS268" s="583">
        <v>111160</v>
      </c>
      <c r="AT268" s="583">
        <v>0</v>
      </c>
      <c r="AU268" s="583">
        <v>92476</v>
      </c>
      <c r="AV268" s="583">
        <v>0</v>
      </c>
      <c r="AW268" s="583">
        <v>203636</v>
      </c>
      <c r="AX268" s="583">
        <v>99612</v>
      </c>
      <c r="AY268" s="583">
        <v>215191</v>
      </c>
      <c r="AZ268" s="583">
        <v>8009</v>
      </c>
      <c r="BA268" s="583">
        <v>0</v>
      </c>
      <c r="BB268" s="583">
        <v>0</v>
      </c>
      <c r="BC268" s="583">
        <v>223200</v>
      </c>
      <c r="BD268" s="583">
        <v>99612</v>
      </c>
      <c r="BE268" s="583">
        <v>454043</v>
      </c>
      <c r="BF268" s="583">
        <v>0</v>
      </c>
      <c r="BG268" s="583">
        <v>-99612</v>
      </c>
      <c r="BH268" s="583">
        <v>0</v>
      </c>
      <c r="BI268" s="583">
        <v>354431</v>
      </c>
      <c r="BJ268" s="583">
        <v>0</v>
      </c>
      <c r="BK268" s="583">
        <v>168515</v>
      </c>
      <c r="BL268" s="583">
        <v>0</v>
      </c>
      <c r="BM268" s="583">
        <v>35121</v>
      </c>
      <c r="BN268" s="583">
        <v>0</v>
      </c>
      <c r="BO268" s="583">
        <v>203636</v>
      </c>
      <c r="BP268" s="583">
        <v>35121</v>
      </c>
      <c r="BQ268" s="583">
        <v>322921</v>
      </c>
      <c r="BR268" s="583">
        <v>52639</v>
      </c>
      <c r="BS268" s="583">
        <v>-35121</v>
      </c>
      <c r="BT268" s="583">
        <v>0</v>
      </c>
      <c r="BU268" s="583">
        <v>340439</v>
      </c>
      <c r="BV268" s="583">
        <v>0</v>
      </c>
    </row>
    <row r="269" spans="1:74" x14ac:dyDescent="0.2">
      <c r="A269" s="580">
        <v>13108</v>
      </c>
      <c r="B269" s="580" t="s">
        <v>299</v>
      </c>
      <c r="C269" s="583">
        <v>353789</v>
      </c>
      <c r="D269" s="583">
        <v>0</v>
      </c>
      <c r="E269" s="583">
        <v>208978</v>
      </c>
      <c r="F269" s="583">
        <v>0</v>
      </c>
      <c r="G269" s="583">
        <v>562767</v>
      </c>
      <c r="H269" s="583">
        <v>208978</v>
      </c>
      <c r="I269" s="583">
        <v>188133</v>
      </c>
      <c r="J269" s="583">
        <v>0</v>
      </c>
      <c r="K269" s="583">
        <v>374634</v>
      </c>
      <c r="L269" s="583">
        <v>0</v>
      </c>
      <c r="M269" s="583">
        <v>562767</v>
      </c>
      <c r="N269" s="583">
        <v>583612</v>
      </c>
      <c r="O269" s="583">
        <v>536702</v>
      </c>
      <c r="P269" s="583">
        <v>0</v>
      </c>
      <c r="Q269" s="583">
        <v>0</v>
      </c>
      <c r="R269" s="583">
        <v>0</v>
      </c>
      <c r="S269" s="583">
        <v>536702</v>
      </c>
      <c r="T269" s="583">
        <v>583612</v>
      </c>
      <c r="U269" s="583">
        <v>284980</v>
      </c>
      <c r="V269" s="583">
        <v>0</v>
      </c>
      <c r="W269" s="583">
        <v>277787</v>
      </c>
      <c r="X269" s="583">
        <v>0</v>
      </c>
      <c r="Y269" s="583">
        <v>562767</v>
      </c>
      <c r="Z269" s="583">
        <v>861399</v>
      </c>
      <c r="AA269" s="583">
        <v>2479862</v>
      </c>
      <c r="AB269" s="583">
        <v>22888</v>
      </c>
      <c r="AC269" s="583">
        <v>-861399</v>
      </c>
      <c r="AD269" s="583">
        <v>0</v>
      </c>
      <c r="AE269" s="583">
        <v>1641351</v>
      </c>
      <c r="AF269" s="583">
        <v>0</v>
      </c>
      <c r="AG269" s="583">
        <v>491197</v>
      </c>
      <c r="AH269" s="583">
        <v>16221</v>
      </c>
      <c r="AI269" s="583">
        <v>71570</v>
      </c>
      <c r="AJ269" s="583">
        <v>0</v>
      </c>
      <c r="AK269" s="583">
        <v>578988</v>
      </c>
      <c r="AL269" s="583">
        <v>71570</v>
      </c>
      <c r="AM269" s="583">
        <v>976413</v>
      </c>
      <c r="AN269" s="583">
        <v>94792</v>
      </c>
      <c r="AO269" s="583">
        <v>-71570</v>
      </c>
      <c r="AP269" s="583">
        <v>0</v>
      </c>
      <c r="AQ269" s="583">
        <v>999635</v>
      </c>
      <c r="AR269" s="583">
        <v>0</v>
      </c>
      <c r="AS269" s="583">
        <v>322524</v>
      </c>
      <c r="AT269" s="583">
        <v>0</v>
      </c>
      <c r="AU269" s="583">
        <v>240243</v>
      </c>
      <c r="AV269" s="583">
        <v>0</v>
      </c>
      <c r="AW269" s="583">
        <v>562767</v>
      </c>
      <c r="AX269" s="583">
        <v>240243</v>
      </c>
      <c r="AY269" s="583">
        <v>624364</v>
      </c>
      <c r="AZ269" s="583">
        <v>23238</v>
      </c>
      <c r="BA269" s="583">
        <v>0</v>
      </c>
      <c r="BB269" s="583">
        <v>0</v>
      </c>
      <c r="BC269" s="583">
        <v>647602</v>
      </c>
      <c r="BD269" s="583">
        <v>240243</v>
      </c>
      <c r="BE269" s="583">
        <v>1317381</v>
      </c>
      <c r="BF269" s="583">
        <v>0</v>
      </c>
      <c r="BG269" s="583">
        <v>-240243</v>
      </c>
      <c r="BH269" s="583">
        <v>0</v>
      </c>
      <c r="BI269" s="583">
        <v>1077138</v>
      </c>
      <c r="BJ269" s="583">
        <v>0</v>
      </c>
      <c r="BK269" s="583">
        <v>488936</v>
      </c>
      <c r="BL269" s="583">
        <v>0</v>
      </c>
      <c r="BM269" s="583">
        <v>73831</v>
      </c>
      <c r="BN269" s="583">
        <v>0</v>
      </c>
      <c r="BO269" s="583">
        <v>562767</v>
      </c>
      <c r="BP269" s="583">
        <v>73831</v>
      </c>
      <c r="BQ269" s="583">
        <v>936937</v>
      </c>
      <c r="BR269" s="583">
        <v>152730</v>
      </c>
      <c r="BS269" s="583">
        <v>-73831</v>
      </c>
      <c r="BT269" s="583">
        <v>0</v>
      </c>
      <c r="BU269" s="583">
        <v>1015836</v>
      </c>
      <c r="BV269" s="583">
        <v>0</v>
      </c>
    </row>
    <row r="270" spans="1:74" x14ac:dyDescent="0.2">
      <c r="A270" s="580">
        <v>13109</v>
      </c>
      <c r="B270" s="580" t="s">
        <v>280</v>
      </c>
      <c r="C270" s="583">
        <v>219206</v>
      </c>
      <c r="D270" s="583">
        <v>0</v>
      </c>
      <c r="E270" s="583">
        <v>127308</v>
      </c>
      <c r="F270" s="583">
        <v>0</v>
      </c>
      <c r="G270" s="583">
        <v>346514</v>
      </c>
      <c r="H270" s="583">
        <v>127308</v>
      </c>
      <c r="I270" s="583">
        <v>116566</v>
      </c>
      <c r="J270" s="583">
        <v>0</v>
      </c>
      <c r="K270" s="583">
        <v>229948</v>
      </c>
      <c r="L270" s="583">
        <v>0</v>
      </c>
      <c r="M270" s="583">
        <v>346514</v>
      </c>
      <c r="N270" s="583">
        <v>357256</v>
      </c>
      <c r="O270" s="583">
        <v>332537</v>
      </c>
      <c r="P270" s="583">
        <v>0</v>
      </c>
      <c r="Q270" s="583">
        <v>0</v>
      </c>
      <c r="R270" s="583">
        <v>0</v>
      </c>
      <c r="S270" s="583">
        <v>332537</v>
      </c>
      <c r="T270" s="583">
        <v>357256</v>
      </c>
      <c r="U270" s="583">
        <v>176572</v>
      </c>
      <c r="V270" s="583">
        <v>0</v>
      </c>
      <c r="W270" s="583">
        <v>169942</v>
      </c>
      <c r="X270" s="583">
        <v>0</v>
      </c>
      <c r="Y270" s="583">
        <v>346514</v>
      </c>
      <c r="Z270" s="583">
        <v>527198</v>
      </c>
      <c r="AA270" s="583">
        <v>1536506</v>
      </c>
      <c r="AB270" s="583">
        <v>14182</v>
      </c>
      <c r="AC270" s="583">
        <v>-527198</v>
      </c>
      <c r="AD270" s="583">
        <v>0</v>
      </c>
      <c r="AE270" s="583">
        <v>1023490</v>
      </c>
      <c r="AF270" s="583">
        <v>0</v>
      </c>
      <c r="AG270" s="583">
        <v>304343</v>
      </c>
      <c r="AH270" s="583">
        <v>10051</v>
      </c>
      <c r="AI270" s="583">
        <v>42171</v>
      </c>
      <c r="AJ270" s="583">
        <v>0</v>
      </c>
      <c r="AK270" s="583">
        <v>356565</v>
      </c>
      <c r="AL270" s="583">
        <v>42171</v>
      </c>
      <c r="AM270" s="583">
        <v>604979</v>
      </c>
      <c r="AN270" s="583">
        <v>58732</v>
      </c>
      <c r="AO270" s="583">
        <v>-42171</v>
      </c>
      <c r="AP270" s="583">
        <v>0</v>
      </c>
      <c r="AQ270" s="583">
        <v>621540</v>
      </c>
      <c r="AR270" s="583">
        <v>0</v>
      </c>
      <c r="AS270" s="583">
        <v>199834</v>
      </c>
      <c r="AT270" s="583">
        <v>0</v>
      </c>
      <c r="AU270" s="583">
        <v>146680</v>
      </c>
      <c r="AV270" s="583">
        <v>0</v>
      </c>
      <c r="AW270" s="583">
        <v>346514</v>
      </c>
      <c r="AX270" s="583">
        <v>146680</v>
      </c>
      <c r="AY270" s="583">
        <v>386852</v>
      </c>
      <c r="AZ270" s="583">
        <v>14398</v>
      </c>
      <c r="BA270" s="583">
        <v>0</v>
      </c>
      <c r="BB270" s="583">
        <v>0</v>
      </c>
      <c r="BC270" s="583">
        <v>401250</v>
      </c>
      <c r="BD270" s="583">
        <v>146680</v>
      </c>
      <c r="BE270" s="583">
        <v>816240</v>
      </c>
      <c r="BF270" s="583">
        <v>0</v>
      </c>
      <c r="BG270" s="583">
        <v>-146680</v>
      </c>
      <c r="BH270" s="583">
        <v>0</v>
      </c>
      <c r="BI270" s="583">
        <v>669560</v>
      </c>
      <c r="BJ270" s="583">
        <v>0</v>
      </c>
      <c r="BK270" s="583">
        <v>302942</v>
      </c>
      <c r="BL270" s="583">
        <v>0</v>
      </c>
      <c r="BM270" s="583">
        <v>43572</v>
      </c>
      <c r="BN270" s="583">
        <v>0</v>
      </c>
      <c r="BO270" s="583">
        <v>346514</v>
      </c>
      <c r="BP270" s="583">
        <v>43572</v>
      </c>
      <c r="BQ270" s="583">
        <v>580520</v>
      </c>
      <c r="BR270" s="583">
        <v>94631</v>
      </c>
      <c r="BS270" s="583">
        <v>-43572</v>
      </c>
      <c r="BT270" s="583">
        <v>0</v>
      </c>
      <c r="BU270" s="583">
        <v>631579</v>
      </c>
      <c r="BV270" s="583">
        <v>0</v>
      </c>
    </row>
    <row r="271" spans="1:74" x14ac:dyDescent="0.2">
      <c r="A271" s="580">
        <v>13110</v>
      </c>
      <c r="B271" s="580" t="s">
        <v>284</v>
      </c>
      <c r="C271" s="583">
        <v>1151691</v>
      </c>
      <c r="D271" s="583">
        <v>0</v>
      </c>
      <c r="E271" s="583">
        <v>771667</v>
      </c>
      <c r="F271" s="583">
        <v>0</v>
      </c>
      <c r="G271" s="583">
        <v>1923358</v>
      </c>
      <c r="H271" s="583">
        <v>771667</v>
      </c>
      <c r="I271" s="583">
        <v>612430</v>
      </c>
      <c r="J271" s="583">
        <v>0</v>
      </c>
      <c r="K271" s="583">
        <v>1310928</v>
      </c>
      <c r="L271" s="583">
        <v>0</v>
      </c>
      <c r="M271" s="583">
        <v>1923358</v>
      </c>
      <c r="N271" s="583">
        <v>2082595</v>
      </c>
      <c r="O271" s="583">
        <v>1747126</v>
      </c>
      <c r="P271" s="583">
        <v>0</v>
      </c>
      <c r="Q271" s="583">
        <v>0</v>
      </c>
      <c r="R271" s="583">
        <v>0</v>
      </c>
      <c r="S271" s="583">
        <v>1747126</v>
      </c>
      <c r="T271" s="583">
        <v>2082595</v>
      </c>
      <c r="U271" s="583">
        <v>927697</v>
      </c>
      <c r="V271" s="583">
        <v>0</v>
      </c>
      <c r="W271" s="583">
        <v>995661</v>
      </c>
      <c r="X271" s="583">
        <v>0</v>
      </c>
      <c r="Y271" s="583">
        <v>1923358</v>
      </c>
      <c r="Z271" s="583">
        <v>3078256</v>
      </c>
      <c r="AA271" s="583">
        <v>8072696</v>
      </c>
      <c r="AB271" s="583">
        <v>74509</v>
      </c>
      <c r="AC271" s="583">
        <v>-3078256</v>
      </c>
      <c r="AD271" s="583">
        <v>0</v>
      </c>
      <c r="AE271" s="583">
        <v>5068949</v>
      </c>
      <c r="AF271" s="583">
        <v>0</v>
      </c>
      <c r="AG271" s="583">
        <v>1598995</v>
      </c>
      <c r="AH271" s="583">
        <v>52805</v>
      </c>
      <c r="AI271" s="583">
        <v>324363</v>
      </c>
      <c r="AJ271" s="583">
        <v>0</v>
      </c>
      <c r="AK271" s="583">
        <v>1976163</v>
      </c>
      <c r="AL271" s="583">
        <v>324363</v>
      </c>
      <c r="AM271" s="583">
        <v>3178517</v>
      </c>
      <c r="AN271" s="583">
        <v>308576</v>
      </c>
      <c r="AO271" s="583">
        <v>-256960</v>
      </c>
      <c r="AP271" s="583">
        <v>0</v>
      </c>
      <c r="AQ271" s="583">
        <v>3230133</v>
      </c>
      <c r="AR271" s="583">
        <v>67403</v>
      </c>
      <c r="AS271" s="583">
        <v>1049913</v>
      </c>
      <c r="AT271" s="583">
        <v>0</v>
      </c>
      <c r="AU271" s="583">
        <v>873445</v>
      </c>
      <c r="AV271" s="583">
        <v>0</v>
      </c>
      <c r="AW271" s="583">
        <v>1923358</v>
      </c>
      <c r="AX271" s="583">
        <v>940848</v>
      </c>
      <c r="AY271" s="583">
        <v>2032492</v>
      </c>
      <c r="AZ271" s="583">
        <v>75647</v>
      </c>
      <c r="BA271" s="583">
        <v>0</v>
      </c>
      <c r="BB271" s="583">
        <v>0</v>
      </c>
      <c r="BC271" s="583">
        <v>2108139</v>
      </c>
      <c r="BD271" s="583">
        <v>940848</v>
      </c>
      <c r="BE271" s="583">
        <v>4288470</v>
      </c>
      <c r="BF271" s="583">
        <v>0</v>
      </c>
      <c r="BG271" s="583">
        <v>-940848</v>
      </c>
      <c r="BH271" s="583">
        <v>0</v>
      </c>
      <c r="BI271" s="583">
        <v>3347622</v>
      </c>
      <c r="BJ271" s="583">
        <v>0</v>
      </c>
      <c r="BK271" s="583">
        <v>1591635</v>
      </c>
      <c r="BL271" s="583">
        <v>0</v>
      </c>
      <c r="BM271" s="583">
        <v>331723</v>
      </c>
      <c r="BN271" s="583">
        <v>0</v>
      </c>
      <c r="BO271" s="583">
        <v>1923358</v>
      </c>
      <c r="BP271" s="583">
        <v>331723</v>
      </c>
      <c r="BQ271" s="583">
        <v>3050012</v>
      </c>
      <c r="BR271" s="583">
        <v>497183</v>
      </c>
      <c r="BS271" s="583">
        <v>-331723</v>
      </c>
      <c r="BT271" s="583">
        <v>0</v>
      </c>
      <c r="BU271" s="583">
        <v>3215472</v>
      </c>
      <c r="BV271" s="583">
        <v>0</v>
      </c>
    </row>
    <row r="272" spans="1:74" x14ac:dyDescent="0.2">
      <c r="A272" s="580">
        <v>13111</v>
      </c>
      <c r="B272" s="580" t="s">
        <v>285</v>
      </c>
      <c r="C272" s="583">
        <v>539698</v>
      </c>
      <c r="D272" s="583">
        <v>0</v>
      </c>
      <c r="E272" s="583">
        <v>361614</v>
      </c>
      <c r="F272" s="583">
        <v>0</v>
      </c>
      <c r="G272" s="583">
        <v>901312</v>
      </c>
      <c r="H272" s="583">
        <v>361614</v>
      </c>
      <c r="I272" s="583">
        <v>286993</v>
      </c>
      <c r="J272" s="583">
        <v>0</v>
      </c>
      <c r="K272" s="583">
        <v>614319</v>
      </c>
      <c r="L272" s="583">
        <v>0</v>
      </c>
      <c r="M272" s="583">
        <v>901312</v>
      </c>
      <c r="N272" s="583">
        <v>975933</v>
      </c>
      <c r="O272" s="583">
        <v>818727</v>
      </c>
      <c r="P272" s="583">
        <v>0</v>
      </c>
      <c r="Q272" s="583">
        <v>0</v>
      </c>
      <c r="R272" s="583">
        <v>0</v>
      </c>
      <c r="S272" s="583">
        <v>818727</v>
      </c>
      <c r="T272" s="583">
        <v>975933</v>
      </c>
      <c r="U272" s="583">
        <v>434731</v>
      </c>
      <c r="V272" s="583">
        <v>0</v>
      </c>
      <c r="W272" s="583">
        <v>466581</v>
      </c>
      <c r="X272" s="583">
        <v>0</v>
      </c>
      <c r="Y272" s="583">
        <v>901312</v>
      </c>
      <c r="Z272" s="583">
        <v>1442514</v>
      </c>
      <c r="AA272" s="583">
        <v>3782977</v>
      </c>
      <c r="AB272" s="583">
        <v>34916</v>
      </c>
      <c r="AC272" s="583">
        <v>-1442514</v>
      </c>
      <c r="AD272" s="583">
        <v>0</v>
      </c>
      <c r="AE272" s="583">
        <v>2375379</v>
      </c>
      <c r="AF272" s="583">
        <v>0</v>
      </c>
      <c r="AG272" s="583">
        <v>749311</v>
      </c>
      <c r="AH272" s="583">
        <v>24745</v>
      </c>
      <c r="AI272" s="583">
        <v>152001</v>
      </c>
      <c r="AJ272" s="583">
        <v>0</v>
      </c>
      <c r="AK272" s="583">
        <v>926057</v>
      </c>
      <c r="AL272" s="583">
        <v>152001</v>
      </c>
      <c r="AM272" s="583">
        <v>1489497</v>
      </c>
      <c r="AN272" s="583">
        <v>144603</v>
      </c>
      <c r="AO272" s="583">
        <v>-120415</v>
      </c>
      <c r="AP272" s="583">
        <v>0</v>
      </c>
      <c r="AQ272" s="583">
        <v>1513685</v>
      </c>
      <c r="AR272" s="583">
        <v>31586</v>
      </c>
      <c r="AS272" s="583">
        <v>492004</v>
      </c>
      <c r="AT272" s="583">
        <v>0</v>
      </c>
      <c r="AU272" s="583">
        <v>409308</v>
      </c>
      <c r="AV272" s="583">
        <v>0</v>
      </c>
      <c r="AW272" s="583">
        <v>901312</v>
      </c>
      <c r="AX272" s="583">
        <v>440894</v>
      </c>
      <c r="AY272" s="583">
        <v>952454</v>
      </c>
      <c r="AZ272" s="583">
        <v>35449</v>
      </c>
      <c r="BA272" s="583">
        <v>0</v>
      </c>
      <c r="BB272" s="583">
        <v>0</v>
      </c>
      <c r="BC272" s="583">
        <v>987903</v>
      </c>
      <c r="BD272" s="583">
        <v>440894</v>
      </c>
      <c r="BE272" s="583">
        <v>2009636</v>
      </c>
      <c r="BF272" s="583">
        <v>0</v>
      </c>
      <c r="BG272" s="583">
        <v>-440894</v>
      </c>
      <c r="BH272" s="583">
        <v>0</v>
      </c>
      <c r="BI272" s="583">
        <v>1568742</v>
      </c>
      <c r="BJ272" s="583">
        <v>0</v>
      </c>
      <c r="BK272" s="583">
        <v>745862</v>
      </c>
      <c r="BL272" s="583">
        <v>0</v>
      </c>
      <c r="BM272" s="583">
        <v>155450</v>
      </c>
      <c r="BN272" s="583">
        <v>0</v>
      </c>
      <c r="BO272" s="583">
        <v>901312</v>
      </c>
      <c r="BP272" s="583">
        <v>155450</v>
      </c>
      <c r="BQ272" s="583">
        <v>1429278</v>
      </c>
      <c r="BR272" s="583">
        <v>232987</v>
      </c>
      <c r="BS272" s="583">
        <v>-155450</v>
      </c>
      <c r="BT272" s="583">
        <v>0</v>
      </c>
      <c r="BU272" s="583">
        <v>1506815</v>
      </c>
      <c r="BV272" s="583">
        <v>0</v>
      </c>
    </row>
    <row r="273" spans="1:74" x14ac:dyDescent="0.2">
      <c r="A273" s="580">
        <v>13112</v>
      </c>
      <c r="B273" s="580" t="s">
        <v>288</v>
      </c>
      <c r="C273" s="583">
        <v>920626</v>
      </c>
      <c r="D273" s="583">
        <v>0</v>
      </c>
      <c r="E273" s="583">
        <v>616846</v>
      </c>
      <c r="F273" s="583">
        <v>0</v>
      </c>
      <c r="G273" s="583">
        <v>1537472</v>
      </c>
      <c r="H273" s="583">
        <v>616846</v>
      </c>
      <c r="I273" s="583">
        <v>489558</v>
      </c>
      <c r="J273" s="583">
        <v>0</v>
      </c>
      <c r="K273" s="583">
        <v>1047914</v>
      </c>
      <c r="L273" s="583">
        <v>0</v>
      </c>
      <c r="M273" s="583">
        <v>1537472</v>
      </c>
      <c r="N273" s="583">
        <v>1664760</v>
      </c>
      <c r="O273" s="583">
        <v>1396598</v>
      </c>
      <c r="P273" s="583">
        <v>0</v>
      </c>
      <c r="Q273" s="583">
        <v>0</v>
      </c>
      <c r="R273" s="583">
        <v>0</v>
      </c>
      <c r="S273" s="583">
        <v>1396598</v>
      </c>
      <c r="T273" s="583">
        <v>1664760</v>
      </c>
      <c r="U273" s="583">
        <v>741572</v>
      </c>
      <c r="V273" s="583">
        <v>0</v>
      </c>
      <c r="W273" s="583">
        <v>795900</v>
      </c>
      <c r="X273" s="583">
        <v>0</v>
      </c>
      <c r="Y273" s="583">
        <v>1537472</v>
      </c>
      <c r="Z273" s="583">
        <v>2460660</v>
      </c>
      <c r="AA273" s="583">
        <v>6453060</v>
      </c>
      <c r="AB273" s="583">
        <v>59560</v>
      </c>
      <c r="AC273" s="583">
        <v>-2460660</v>
      </c>
      <c r="AD273" s="583">
        <v>0</v>
      </c>
      <c r="AE273" s="583">
        <v>4051960</v>
      </c>
      <c r="AF273" s="583">
        <v>0</v>
      </c>
      <c r="AG273" s="583">
        <v>1278186</v>
      </c>
      <c r="AH273" s="583">
        <v>42211</v>
      </c>
      <c r="AI273" s="583">
        <v>259286</v>
      </c>
      <c r="AJ273" s="583">
        <v>0</v>
      </c>
      <c r="AK273" s="583">
        <v>1579683</v>
      </c>
      <c r="AL273" s="583">
        <v>259286</v>
      </c>
      <c r="AM273" s="583">
        <v>2540807</v>
      </c>
      <c r="AN273" s="583">
        <v>246666</v>
      </c>
      <c r="AO273" s="583">
        <v>-205406</v>
      </c>
      <c r="AP273" s="583">
        <v>0</v>
      </c>
      <c r="AQ273" s="583">
        <v>2582067</v>
      </c>
      <c r="AR273" s="583">
        <v>53880</v>
      </c>
      <c r="AS273" s="583">
        <v>839267</v>
      </c>
      <c r="AT273" s="583">
        <v>0</v>
      </c>
      <c r="AU273" s="583">
        <v>698205</v>
      </c>
      <c r="AV273" s="583">
        <v>0</v>
      </c>
      <c r="AW273" s="583">
        <v>1537472</v>
      </c>
      <c r="AX273" s="583">
        <v>752085</v>
      </c>
      <c r="AY273" s="583">
        <v>1624710</v>
      </c>
      <c r="AZ273" s="583">
        <v>60470</v>
      </c>
      <c r="BA273" s="583">
        <v>0</v>
      </c>
      <c r="BB273" s="583">
        <v>0</v>
      </c>
      <c r="BC273" s="583">
        <v>1685180</v>
      </c>
      <c r="BD273" s="583">
        <v>752085</v>
      </c>
      <c r="BE273" s="583">
        <v>3428069</v>
      </c>
      <c r="BF273" s="583">
        <v>0</v>
      </c>
      <c r="BG273" s="583">
        <v>-752085</v>
      </c>
      <c r="BH273" s="583">
        <v>0</v>
      </c>
      <c r="BI273" s="583">
        <v>2675984</v>
      </c>
      <c r="BJ273" s="583">
        <v>0</v>
      </c>
      <c r="BK273" s="583">
        <v>1272303</v>
      </c>
      <c r="BL273" s="583">
        <v>0</v>
      </c>
      <c r="BM273" s="583">
        <v>265169</v>
      </c>
      <c r="BN273" s="583">
        <v>0</v>
      </c>
      <c r="BO273" s="583">
        <v>1537472</v>
      </c>
      <c r="BP273" s="583">
        <v>265169</v>
      </c>
      <c r="BQ273" s="583">
        <v>2438084</v>
      </c>
      <c r="BR273" s="583">
        <v>397433</v>
      </c>
      <c r="BS273" s="583">
        <v>-265169</v>
      </c>
      <c r="BT273" s="583">
        <v>0</v>
      </c>
      <c r="BU273" s="583">
        <v>2570348</v>
      </c>
      <c r="BV273" s="583">
        <v>0</v>
      </c>
    </row>
    <row r="274" spans="1:74" x14ac:dyDescent="0.2">
      <c r="A274" s="580">
        <v>13113</v>
      </c>
      <c r="B274" s="580" t="s">
        <v>286</v>
      </c>
      <c r="C274" s="583">
        <v>78538</v>
      </c>
      <c r="D274" s="583">
        <v>0</v>
      </c>
      <c r="E274" s="583">
        <v>50948</v>
      </c>
      <c r="F274" s="583">
        <v>0</v>
      </c>
      <c r="G274" s="583">
        <v>129486</v>
      </c>
      <c r="H274" s="583">
        <v>50948</v>
      </c>
      <c r="I274" s="583">
        <v>41764</v>
      </c>
      <c r="J274" s="583">
        <v>0</v>
      </c>
      <c r="K274" s="583">
        <v>87722</v>
      </c>
      <c r="L274" s="583">
        <v>0</v>
      </c>
      <c r="M274" s="583">
        <v>129486</v>
      </c>
      <c r="N274" s="583">
        <v>138670</v>
      </c>
      <c r="O274" s="583">
        <v>119143</v>
      </c>
      <c r="P274" s="583">
        <v>0</v>
      </c>
      <c r="Q274" s="583">
        <v>0</v>
      </c>
      <c r="R274" s="583">
        <v>0</v>
      </c>
      <c r="S274" s="583">
        <v>119143</v>
      </c>
      <c r="T274" s="583">
        <v>138670</v>
      </c>
      <c r="U274" s="583">
        <v>63263</v>
      </c>
      <c r="V274" s="583">
        <v>0</v>
      </c>
      <c r="W274" s="583">
        <v>66223</v>
      </c>
      <c r="X274" s="583">
        <v>0</v>
      </c>
      <c r="Y274" s="583">
        <v>129486</v>
      </c>
      <c r="Z274" s="583">
        <v>204893</v>
      </c>
      <c r="AA274" s="583">
        <v>550506</v>
      </c>
      <c r="AB274" s="583">
        <v>5081</v>
      </c>
      <c r="AC274" s="583">
        <v>-204893</v>
      </c>
      <c r="AD274" s="583">
        <v>0</v>
      </c>
      <c r="AE274" s="583">
        <v>350694</v>
      </c>
      <c r="AF274" s="583">
        <v>0</v>
      </c>
      <c r="AG274" s="583">
        <v>109041</v>
      </c>
      <c r="AH274" s="583">
        <v>3601</v>
      </c>
      <c r="AI274" s="583">
        <v>20445</v>
      </c>
      <c r="AJ274" s="583">
        <v>0</v>
      </c>
      <c r="AK274" s="583">
        <v>133087</v>
      </c>
      <c r="AL274" s="583">
        <v>20445</v>
      </c>
      <c r="AM274" s="583">
        <v>216754</v>
      </c>
      <c r="AN274" s="583">
        <v>21043</v>
      </c>
      <c r="AO274" s="583">
        <v>-20066</v>
      </c>
      <c r="AP274" s="583">
        <v>0</v>
      </c>
      <c r="AQ274" s="583">
        <v>217731</v>
      </c>
      <c r="AR274" s="583">
        <v>379</v>
      </c>
      <c r="AS274" s="583">
        <v>71597</v>
      </c>
      <c r="AT274" s="583">
        <v>0</v>
      </c>
      <c r="AU274" s="583">
        <v>57889</v>
      </c>
      <c r="AV274" s="583">
        <v>0</v>
      </c>
      <c r="AW274" s="583">
        <v>129486</v>
      </c>
      <c r="AX274" s="583">
        <v>58268</v>
      </c>
      <c r="AY274" s="583">
        <v>138603</v>
      </c>
      <c r="AZ274" s="583">
        <v>5159</v>
      </c>
      <c r="BA274" s="583">
        <v>0</v>
      </c>
      <c r="BB274" s="583">
        <v>0</v>
      </c>
      <c r="BC274" s="583">
        <v>143762</v>
      </c>
      <c r="BD274" s="583">
        <v>58268</v>
      </c>
      <c r="BE274" s="583">
        <v>292446</v>
      </c>
      <c r="BF274" s="583">
        <v>0</v>
      </c>
      <c r="BG274" s="583">
        <v>-58268</v>
      </c>
      <c r="BH274" s="583">
        <v>0</v>
      </c>
      <c r="BI274" s="583">
        <v>234178</v>
      </c>
      <c r="BJ274" s="583">
        <v>0</v>
      </c>
      <c r="BK274" s="583">
        <v>108539</v>
      </c>
      <c r="BL274" s="583">
        <v>0</v>
      </c>
      <c r="BM274" s="583">
        <v>20947</v>
      </c>
      <c r="BN274" s="583">
        <v>0</v>
      </c>
      <c r="BO274" s="583">
        <v>129486</v>
      </c>
      <c r="BP274" s="583">
        <v>20947</v>
      </c>
      <c r="BQ274" s="583">
        <v>207991</v>
      </c>
      <c r="BR274" s="583">
        <v>33905</v>
      </c>
      <c r="BS274" s="583">
        <v>-20947</v>
      </c>
      <c r="BT274" s="583">
        <v>0</v>
      </c>
      <c r="BU274" s="583">
        <v>220949</v>
      </c>
      <c r="BV274" s="583">
        <v>0</v>
      </c>
    </row>
    <row r="275" spans="1:74" x14ac:dyDescent="0.2">
      <c r="A275" s="580">
        <v>13114</v>
      </c>
      <c r="B275" s="580" t="s">
        <v>279</v>
      </c>
      <c r="C275" s="583">
        <v>154922</v>
      </c>
      <c r="D275" s="583">
        <v>0</v>
      </c>
      <c r="E275" s="583">
        <v>0</v>
      </c>
      <c r="F275" s="583">
        <v>0</v>
      </c>
      <c r="G275" s="583">
        <v>154922</v>
      </c>
      <c r="H275" s="583">
        <v>0</v>
      </c>
      <c r="I275" s="583">
        <v>82382</v>
      </c>
      <c r="J275" s="583">
        <v>0</v>
      </c>
      <c r="K275" s="583">
        <v>0</v>
      </c>
      <c r="L275" s="583">
        <v>0</v>
      </c>
      <c r="M275" s="583">
        <v>82382</v>
      </c>
      <c r="N275" s="583">
        <v>0</v>
      </c>
      <c r="O275" s="583">
        <v>235019</v>
      </c>
      <c r="P275" s="583">
        <v>0</v>
      </c>
      <c r="Q275" s="583">
        <v>0</v>
      </c>
      <c r="R275" s="583">
        <v>0</v>
      </c>
      <c r="S275" s="583">
        <v>235019</v>
      </c>
      <c r="T275" s="583">
        <v>0</v>
      </c>
      <c r="U275" s="583">
        <v>124791</v>
      </c>
      <c r="V275" s="583">
        <v>0</v>
      </c>
      <c r="W275" s="583">
        <v>0</v>
      </c>
      <c r="X275" s="583">
        <v>0</v>
      </c>
      <c r="Y275" s="583">
        <v>124791</v>
      </c>
      <c r="Z275" s="583">
        <v>0</v>
      </c>
      <c r="AA275" s="583">
        <v>1085917</v>
      </c>
      <c r="AB275" s="583">
        <v>10023</v>
      </c>
      <c r="AC275" s="583">
        <v>0</v>
      </c>
      <c r="AD275" s="583">
        <v>0</v>
      </c>
      <c r="AE275" s="583">
        <v>1095940</v>
      </c>
      <c r="AF275" s="583">
        <v>0</v>
      </c>
      <c r="AG275" s="583">
        <v>215092</v>
      </c>
      <c r="AH275" s="583">
        <v>7103</v>
      </c>
      <c r="AI275" s="583">
        <v>0</v>
      </c>
      <c r="AJ275" s="583">
        <v>0</v>
      </c>
      <c r="AK275" s="583">
        <v>222195</v>
      </c>
      <c r="AL275" s="583">
        <v>0</v>
      </c>
      <c r="AM275" s="583">
        <v>427565</v>
      </c>
      <c r="AN275" s="583">
        <v>41509</v>
      </c>
      <c r="AO275" s="583">
        <v>0</v>
      </c>
      <c r="AP275" s="583">
        <v>0</v>
      </c>
      <c r="AQ275" s="583">
        <v>469074</v>
      </c>
      <c r="AR275" s="583">
        <v>0</v>
      </c>
      <c r="AS275" s="583">
        <v>141231</v>
      </c>
      <c r="AT275" s="583">
        <v>0</v>
      </c>
      <c r="AU275" s="583">
        <v>0</v>
      </c>
      <c r="AV275" s="583">
        <v>0</v>
      </c>
      <c r="AW275" s="583">
        <v>141231</v>
      </c>
      <c r="AX275" s="583">
        <v>0</v>
      </c>
      <c r="AY275" s="583">
        <v>273405</v>
      </c>
      <c r="AZ275" s="583">
        <v>10176</v>
      </c>
      <c r="BA275" s="583">
        <v>0</v>
      </c>
      <c r="BB275" s="583">
        <v>0</v>
      </c>
      <c r="BC275" s="583">
        <v>283581</v>
      </c>
      <c r="BD275" s="583">
        <v>0</v>
      </c>
      <c r="BE275" s="583">
        <v>576873</v>
      </c>
      <c r="BF275" s="583">
        <v>0</v>
      </c>
      <c r="BG275" s="583">
        <v>0</v>
      </c>
      <c r="BH275" s="583">
        <v>0</v>
      </c>
      <c r="BI275" s="583">
        <v>576873</v>
      </c>
      <c r="BJ275" s="583">
        <v>0</v>
      </c>
      <c r="BK275" s="583">
        <v>214102</v>
      </c>
      <c r="BL275" s="583">
        <v>0</v>
      </c>
      <c r="BM275" s="583">
        <v>0</v>
      </c>
      <c r="BN275" s="583">
        <v>0</v>
      </c>
      <c r="BO275" s="583">
        <v>214102</v>
      </c>
      <c r="BP275" s="583">
        <v>0</v>
      </c>
      <c r="BQ275" s="583">
        <v>410279</v>
      </c>
      <c r="BR275" s="583">
        <v>66880</v>
      </c>
      <c r="BS275" s="583">
        <v>0</v>
      </c>
      <c r="BT275" s="583">
        <v>0</v>
      </c>
      <c r="BU275" s="583">
        <v>477159</v>
      </c>
      <c r="BV275" s="583">
        <v>0</v>
      </c>
    </row>
    <row r="276" spans="1:74" x14ac:dyDescent="0.2">
      <c r="A276" s="580">
        <v>13115</v>
      </c>
      <c r="B276" s="580" t="s">
        <v>294</v>
      </c>
      <c r="C276" s="583">
        <v>79287</v>
      </c>
      <c r="D276" s="583">
        <v>0</v>
      </c>
      <c r="E276" s="583">
        <v>53424</v>
      </c>
      <c r="F276" s="583">
        <v>0</v>
      </c>
      <c r="G276" s="583">
        <v>132711</v>
      </c>
      <c r="H276" s="583">
        <v>53424</v>
      </c>
      <c r="I276" s="583">
        <v>42162</v>
      </c>
      <c r="J276" s="583">
        <v>0</v>
      </c>
      <c r="K276" s="583">
        <v>90549</v>
      </c>
      <c r="L276" s="583">
        <v>0</v>
      </c>
      <c r="M276" s="583">
        <v>132711</v>
      </c>
      <c r="N276" s="583">
        <v>143973</v>
      </c>
      <c r="O276" s="583">
        <v>120279</v>
      </c>
      <c r="P276" s="583">
        <v>0</v>
      </c>
      <c r="Q276" s="583">
        <v>0</v>
      </c>
      <c r="R276" s="583">
        <v>0</v>
      </c>
      <c r="S276" s="583">
        <v>120279</v>
      </c>
      <c r="T276" s="583">
        <v>143973</v>
      </c>
      <c r="U276" s="583">
        <v>63866</v>
      </c>
      <c r="V276" s="583">
        <v>0</v>
      </c>
      <c r="W276" s="583">
        <v>68845</v>
      </c>
      <c r="X276" s="583">
        <v>0</v>
      </c>
      <c r="Y276" s="583">
        <v>132711</v>
      </c>
      <c r="Z276" s="583">
        <v>212818</v>
      </c>
      <c r="AA276" s="583">
        <v>555756</v>
      </c>
      <c r="AB276" s="583">
        <v>5129</v>
      </c>
      <c r="AC276" s="583">
        <v>-212818</v>
      </c>
      <c r="AD276" s="583">
        <v>0</v>
      </c>
      <c r="AE276" s="583">
        <v>348067</v>
      </c>
      <c r="AF276" s="583">
        <v>0</v>
      </c>
      <c r="AG276" s="583">
        <v>110081</v>
      </c>
      <c r="AH276" s="583">
        <v>3635</v>
      </c>
      <c r="AI276" s="583">
        <v>22630</v>
      </c>
      <c r="AJ276" s="583">
        <v>0</v>
      </c>
      <c r="AK276" s="583">
        <v>136346</v>
      </c>
      <c r="AL276" s="583">
        <v>22630</v>
      </c>
      <c r="AM276" s="583">
        <v>218821</v>
      </c>
      <c r="AN276" s="583">
        <v>21244</v>
      </c>
      <c r="AO276" s="583">
        <v>-17235</v>
      </c>
      <c r="AP276" s="583">
        <v>0</v>
      </c>
      <c r="AQ276" s="583">
        <v>222830</v>
      </c>
      <c r="AR276" s="583">
        <v>5395</v>
      </c>
      <c r="AS276" s="583">
        <v>72280</v>
      </c>
      <c r="AT276" s="583">
        <v>0</v>
      </c>
      <c r="AU276" s="583">
        <v>60431</v>
      </c>
      <c r="AV276" s="583">
        <v>0</v>
      </c>
      <c r="AW276" s="583">
        <v>132711</v>
      </c>
      <c r="AX276" s="583">
        <v>65826</v>
      </c>
      <c r="AY276" s="583">
        <v>139925</v>
      </c>
      <c r="AZ276" s="583">
        <v>5208</v>
      </c>
      <c r="BA276" s="583">
        <v>0</v>
      </c>
      <c r="BB276" s="583">
        <v>0</v>
      </c>
      <c r="BC276" s="583">
        <v>145133</v>
      </c>
      <c r="BD276" s="583">
        <v>65826</v>
      </c>
      <c r="BE276" s="583">
        <v>295235</v>
      </c>
      <c r="BF276" s="583">
        <v>0</v>
      </c>
      <c r="BG276" s="583">
        <v>-65826</v>
      </c>
      <c r="BH276" s="583">
        <v>0</v>
      </c>
      <c r="BI276" s="583">
        <v>229409</v>
      </c>
      <c r="BJ276" s="583">
        <v>0</v>
      </c>
      <c r="BK276" s="583">
        <v>109574</v>
      </c>
      <c r="BL276" s="583">
        <v>0</v>
      </c>
      <c r="BM276" s="583">
        <v>23137</v>
      </c>
      <c r="BN276" s="583">
        <v>0</v>
      </c>
      <c r="BO276" s="583">
        <v>132711</v>
      </c>
      <c r="BP276" s="583">
        <v>23137</v>
      </c>
      <c r="BQ276" s="583">
        <v>209975</v>
      </c>
      <c r="BR276" s="583">
        <v>34228</v>
      </c>
      <c r="BS276" s="583">
        <v>-23137</v>
      </c>
      <c r="BT276" s="583">
        <v>0</v>
      </c>
      <c r="BU276" s="583">
        <v>221066</v>
      </c>
      <c r="BV276" s="583">
        <v>0</v>
      </c>
    </row>
    <row r="277" spans="1:74" x14ac:dyDescent="0.2">
      <c r="A277" s="580">
        <v>13116</v>
      </c>
      <c r="B277" s="580" t="s">
        <v>296</v>
      </c>
      <c r="C277" s="583">
        <v>447569</v>
      </c>
      <c r="D277" s="583">
        <v>0</v>
      </c>
      <c r="E277" s="583">
        <v>298507</v>
      </c>
      <c r="F277" s="583">
        <v>0</v>
      </c>
      <c r="G277" s="583">
        <v>746076</v>
      </c>
      <c r="H277" s="583">
        <v>298507</v>
      </c>
      <c r="I277" s="583">
        <v>238002</v>
      </c>
      <c r="J277" s="583">
        <v>0</v>
      </c>
      <c r="K277" s="583">
        <v>508074</v>
      </c>
      <c r="L277" s="583">
        <v>0</v>
      </c>
      <c r="M277" s="583">
        <v>746076</v>
      </c>
      <c r="N277" s="583">
        <v>806581</v>
      </c>
      <c r="O277" s="583">
        <v>678967</v>
      </c>
      <c r="P277" s="583">
        <v>0</v>
      </c>
      <c r="Q277" s="583">
        <v>0</v>
      </c>
      <c r="R277" s="583">
        <v>0</v>
      </c>
      <c r="S277" s="583">
        <v>678967</v>
      </c>
      <c r="T277" s="583">
        <v>806581</v>
      </c>
      <c r="U277" s="583">
        <v>360521</v>
      </c>
      <c r="V277" s="583">
        <v>0</v>
      </c>
      <c r="W277" s="583">
        <v>385555</v>
      </c>
      <c r="X277" s="583">
        <v>0</v>
      </c>
      <c r="Y277" s="583">
        <v>746076</v>
      </c>
      <c r="Z277" s="583">
        <v>1192136</v>
      </c>
      <c r="AA277" s="583">
        <v>3137207</v>
      </c>
      <c r="AB277" s="583">
        <v>28956</v>
      </c>
      <c r="AC277" s="583">
        <v>-1192136</v>
      </c>
      <c r="AD277" s="583">
        <v>0</v>
      </c>
      <c r="AE277" s="583">
        <v>1974027</v>
      </c>
      <c r="AF277" s="583">
        <v>0</v>
      </c>
      <c r="AG277" s="583">
        <v>621401</v>
      </c>
      <c r="AH277" s="583">
        <v>20521</v>
      </c>
      <c r="AI277" s="583">
        <v>124675</v>
      </c>
      <c r="AJ277" s="583">
        <v>0</v>
      </c>
      <c r="AK277" s="583">
        <v>766597</v>
      </c>
      <c r="AL277" s="583">
        <v>124675</v>
      </c>
      <c r="AM277" s="583">
        <v>1235234</v>
      </c>
      <c r="AN277" s="583">
        <v>119919</v>
      </c>
      <c r="AO277" s="583">
        <v>-101955</v>
      </c>
      <c r="AP277" s="583">
        <v>0</v>
      </c>
      <c r="AQ277" s="583">
        <v>1253198</v>
      </c>
      <c r="AR277" s="583">
        <v>22720</v>
      </c>
      <c r="AS277" s="583">
        <v>408017</v>
      </c>
      <c r="AT277" s="583">
        <v>0</v>
      </c>
      <c r="AU277" s="583">
        <v>338059</v>
      </c>
      <c r="AV277" s="583">
        <v>0</v>
      </c>
      <c r="AW277" s="583">
        <v>746076</v>
      </c>
      <c r="AX277" s="583">
        <v>360779</v>
      </c>
      <c r="AY277" s="583">
        <v>789866</v>
      </c>
      <c r="AZ277" s="583">
        <v>29398</v>
      </c>
      <c r="BA277" s="583">
        <v>0</v>
      </c>
      <c r="BB277" s="583">
        <v>0</v>
      </c>
      <c r="BC277" s="583">
        <v>819264</v>
      </c>
      <c r="BD277" s="583">
        <v>360779</v>
      </c>
      <c r="BE277" s="583">
        <v>1666583</v>
      </c>
      <c r="BF277" s="583">
        <v>0</v>
      </c>
      <c r="BG277" s="583">
        <v>-360779</v>
      </c>
      <c r="BH277" s="583">
        <v>0</v>
      </c>
      <c r="BI277" s="583">
        <v>1305804</v>
      </c>
      <c r="BJ277" s="583">
        <v>0</v>
      </c>
      <c r="BK277" s="583">
        <v>618540</v>
      </c>
      <c r="BL277" s="583">
        <v>0</v>
      </c>
      <c r="BM277" s="583">
        <v>127536</v>
      </c>
      <c r="BN277" s="583">
        <v>0</v>
      </c>
      <c r="BO277" s="583">
        <v>746076</v>
      </c>
      <c r="BP277" s="583">
        <v>127536</v>
      </c>
      <c r="BQ277" s="583">
        <v>1185294</v>
      </c>
      <c r="BR277" s="583">
        <v>193215</v>
      </c>
      <c r="BS277" s="583">
        <v>-127536</v>
      </c>
      <c r="BT277" s="583">
        <v>0</v>
      </c>
      <c r="BU277" s="583">
        <v>1250973</v>
      </c>
      <c r="BV277" s="583">
        <v>0</v>
      </c>
    </row>
    <row r="278" spans="1:74" x14ac:dyDescent="0.2">
      <c r="A278" s="580">
        <v>13117</v>
      </c>
      <c r="B278" s="580" t="s">
        <v>289</v>
      </c>
      <c r="C278" s="583">
        <v>488169</v>
      </c>
      <c r="D278" s="583">
        <v>0</v>
      </c>
      <c r="E278" s="583">
        <v>327087</v>
      </c>
      <c r="F278" s="583">
        <v>0</v>
      </c>
      <c r="G278" s="583">
        <v>815256</v>
      </c>
      <c r="H278" s="583">
        <v>327087</v>
      </c>
      <c r="I278" s="583">
        <v>259592</v>
      </c>
      <c r="J278" s="583">
        <v>0</v>
      </c>
      <c r="K278" s="583">
        <v>555664</v>
      </c>
      <c r="L278" s="583">
        <v>0</v>
      </c>
      <c r="M278" s="583">
        <v>815256</v>
      </c>
      <c r="N278" s="583">
        <v>882751</v>
      </c>
      <c r="O278" s="583">
        <v>740556</v>
      </c>
      <c r="P278" s="583">
        <v>0</v>
      </c>
      <c r="Q278" s="583">
        <v>0</v>
      </c>
      <c r="R278" s="583">
        <v>0</v>
      </c>
      <c r="S278" s="583">
        <v>740556</v>
      </c>
      <c r="T278" s="583">
        <v>882751</v>
      </c>
      <c r="U278" s="583">
        <v>393224</v>
      </c>
      <c r="V278" s="583">
        <v>0</v>
      </c>
      <c r="W278" s="583">
        <v>422032</v>
      </c>
      <c r="X278" s="583">
        <v>0</v>
      </c>
      <c r="Y278" s="583">
        <v>815256</v>
      </c>
      <c r="Z278" s="583">
        <v>1304783</v>
      </c>
      <c r="AA278" s="583">
        <v>3421783</v>
      </c>
      <c r="AB278" s="583">
        <v>31582</v>
      </c>
      <c r="AC278" s="583">
        <v>-1304783</v>
      </c>
      <c r="AD278" s="583">
        <v>0</v>
      </c>
      <c r="AE278" s="583">
        <v>2148582</v>
      </c>
      <c r="AF278" s="583">
        <v>0</v>
      </c>
      <c r="AG278" s="583">
        <v>677768</v>
      </c>
      <c r="AH278" s="583">
        <v>22383</v>
      </c>
      <c r="AI278" s="583">
        <v>137488</v>
      </c>
      <c r="AJ278" s="583">
        <v>0</v>
      </c>
      <c r="AK278" s="583">
        <v>837639</v>
      </c>
      <c r="AL278" s="583">
        <v>137488</v>
      </c>
      <c r="AM278" s="583">
        <v>1347282</v>
      </c>
      <c r="AN278" s="583">
        <v>130797</v>
      </c>
      <c r="AO278" s="583">
        <v>-108918</v>
      </c>
      <c r="AP278" s="583">
        <v>0</v>
      </c>
      <c r="AQ278" s="583">
        <v>1369161</v>
      </c>
      <c r="AR278" s="583">
        <v>28570</v>
      </c>
      <c r="AS278" s="583">
        <v>445028</v>
      </c>
      <c r="AT278" s="583">
        <v>0</v>
      </c>
      <c r="AU278" s="583">
        <v>370228</v>
      </c>
      <c r="AV278" s="583">
        <v>0</v>
      </c>
      <c r="AW278" s="583">
        <v>815256</v>
      </c>
      <c r="AX278" s="583">
        <v>398798</v>
      </c>
      <c r="AY278" s="583">
        <v>861515</v>
      </c>
      <c r="AZ278" s="583">
        <v>32065</v>
      </c>
      <c r="BA278" s="583">
        <v>0</v>
      </c>
      <c r="BB278" s="583">
        <v>0</v>
      </c>
      <c r="BC278" s="583">
        <v>893580</v>
      </c>
      <c r="BD278" s="583">
        <v>398798</v>
      </c>
      <c r="BE278" s="583">
        <v>1817759</v>
      </c>
      <c r="BF278" s="583">
        <v>0</v>
      </c>
      <c r="BG278" s="583">
        <v>-398798</v>
      </c>
      <c r="BH278" s="583">
        <v>0</v>
      </c>
      <c r="BI278" s="583">
        <v>1418961</v>
      </c>
      <c r="BJ278" s="583">
        <v>0</v>
      </c>
      <c r="BK278" s="583">
        <v>674648</v>
      </c>
      <c r="BL278" s="583">
        <v>0</v>
      </c>
      <c r="BM278" s="583">
        <v>140608</v>
      </c>
      <c r="BN278" s="583">
        <v>0</v>
      </c>
      <c r="BO278" s="583">
        <v>815256</v>
      </c>
      <c r="BP278" s="583">
        <v>140608</v>
      </c>
      <c r="BQ278" s="583">
        <v>1292812</v>
      </c>
      <c r="BR278" s="583">
        <v>210742</v>
      </c>
      <c r="BS278" s="583">
        <v>-140608</v>
      </c>
      <c r="BT278" s="583">
        <v>0</v>
      </c>
      <c r="BU278" s="583">
        <v>1362946</v>
      </c>
      <c r="BV278" s="583">
        <v>0</v>
      </c>
    </row>
    <row r="279" spans="1:74" x14ac:dyDescent="0.2">
      <c r="A279" s="580">
        <v>13118</v>
      </c>
      <c r="B279" s="580" t="s">
        <v>287</v>
      </c>
      <c r="C279" s="583">
        <v>178966</v>
      </c>
      <c r="D279" s="583">
        <v>0</v>
      </c>
      <c r="E279" s="583">
        <v>110707</v>
      </c>
      <c r="F279" s="583">
        <v>0</v>
      </c>
      <c r="G279" s="583">
        <v>289673</v>
      </c>
      <c r="H279" s="583">
        <v>110707</v>
      </c>
      <c r="I279" s="583">
        <v>95168</v>
      </c>
      <c r="J279" s="583">
        <v>0</v>
      </c>
      <c r="K279" s="583">
        <v>194505</v>
      </c>
      <c r="L279" s="583">
        <v>0</v>
      </c>
      <c r="M279" s="583">
        <v>289673</v>
      </c>
      <c r="N279" s="583">
        <v>305212</v>
      </c>
      <c r="O279" s="583">
        <v>271493</v>
      </c>
      <c r="P279" s="583">
        <v>0</v>
      </c>
      <c r="Q279" s="583">
        <v>0</v>
      </c>
      <c r="R279" s="583">
        <v>0</v>
      </c>
      <c r="S279" s="583">
        <v>271493</v>
      </c>
      <c r="T279" s="583">
        <v>305212</v>
      </c>
      <c r="U279" s="583">
        <v>144158</v>
      </c>
      <c r="V279" s="583">
        <v>0</v>
      </c>
      <c r="W279" s="583">
        <v>145515</v>
      </c>
      <c r="X279" s="583">
        <v>0</v>
      </c>
      <c r="Y279" s="583">
        <v>289673</v>
      </c>
      <c r="Z279" s="583">
        <v>450727</v>
      </c>
      <c r="AA279" s="583">
        <v>1254449</v>
      </c>
      <c r="AB279" s="583">
        <v>11578</v>
      </c>
      <c r="AC279" s="583">
        <v>-450727</v>
      </c>
      <c r="AD279" s="583">
        <v>0</v>
      </c>
      <c r="AE279" s="583">
        <v>815300</v>
      </c>
      <c r="AF279" s="583">
        <v>0</v>
      </c>
      <c r="AG279" s="583">
        <v>248474</v>
      </c>
      <c r="AH279" s="583">
        <v>8206</v>
      </c>
      <c r="AI279" s="583">
        <v>41199</v>
      </c>
      <c r="AJ279" s="583">
        <v>0</v>
      </c>
      <c r="AK279" s="583">
        <v>297879</v>
      </c>
      <c r="AL279" s="583">
        <v>41199</v>
      </c>
      <c r="AM279" s="583">
        <v>493922</v>
      </c>
      <c r="AN279" s="583">
        <v>47951</v>
      </c>
      <c r="AO279" s="583">
        <v>-41199</v>
      </c>
      <c r="AP279" s="583">
        <v>0</v>
      </c>
      <c r="AQ279" s="583">
        <v>500674</v>
      </c>
      <c r="AR279" s="583">
        <v>0</v>
      </c>
      <c r="AS279" s="583">
        <v>163150</v>
      </c>
      <c r="AT279" s="583">
        <v>0</v>
      </c>
      <c r="AU279" s="583">
        <v>126523</v>
      </c>
      <c r="AV279" s="583">
        <v>0</v>
      </c>
      <c r="AW279" s="583">
        <v>289673</v>
      </c>
      <c r="AX279" s="583">
        <v>126523</v>
      </c>
      <c r="AY279" s="583">
        <v>315837</v>
      </c>
      <c r="AZ279" s="583">
        <v>11755</v>
      </c>
      <c r="BA279" s="583">
        <v>0</v>
      </c>
      <c r="BB279" s="583">
        <v>0</v>
      </c>
      <c r="BC279" s="583">
        <v>327592</v>
      </c>
      <c r="BD279" s="583">
        <v>126523</v>
      </c>
      <c r="BE279" s="583">
        <v>666403</v>
      </c>
      <c r="BF279" s="583">
        <v>0</v>
      </c>
      <c r="BG279" s="583">
        <v>-126523</v>
      </c>
      <c r="BH279" s="583">
        <v>0</v>
      </c>
      <c r="BI279" s="583">
        <v>539880</v>
      </c>
      <c r="BJ279" s="583">
        <v>0</v>
      </c>
      <c r="BK279" s="583">
        <v>247330</v>
      </c>
      <c r="BL279" s="583">
        <v>0</v>
      </c>
      <c r="BM279" s="583">
        <v>42343</v>
      </c>
      <c r="BN279" s="583">
        <v>0</v>
      </c>
      <c r="BO279" s="583">
        <v>289673</v>
      </c>
      <c r="BP279" s="583">
        <v>42343</v>
      </c>
      <c r="BQ279" s="583">
        <v>473954</v>
      </c>
      <c r="BR279" s="583">
        <v>77259</v>
      </c>
      <c r="BS279" s="583">
        <v>-42343</v>
      </c>
      <c r="BT279" s="583">
        <v>0</v>
      </c>
      <c r="BU279" s="583">
        <v>508870</v>
      </c>
      <c r="BV279" s="583">
        <v>0</v>
      </c>
    </row>
    <row r="280" spans="1:74" x14ac:dyDescent="0.2">
      <c r="A280" s="580">
        <v>13119</v>
      </c>
      <c r="B280" s="580" t="s">
        <v>427</v>
      </c>
      <c r="C280" s="583">
        <v>2055256</v>
      </c>
      <c r="D280" s="583">
        <v>0</v>
      </c>
      <c r="E280" s="583">
        <v>1377084</v>
      </c>
      <c r="F280" s="583">
        <v>0</v>
      </c>
      <c r="G280" s="583">
        <v>3432340</v>
      </c>
      <c r="H280" s="583">
        <v>1377084</v>
      </c>
      <c r="I280" s="583">
        <v>1092916</v>
      </c>
      <c r="J280" s="583">
        <v>0</v>
      </c>
      <c r="K280" s="583">
        <v>2339424</v>
      </c>
      <c r="L280" s="583">
        <v>0</v>
      </c>
      <c r="M280" s="583">
        <v>3432340</v>
      </c>
      <c r="N280" s="583">
        <v>3716508</v>
      </c>
      <c r="O280" s="583">
        <v>3117843</v>
      </c>
      <c r="P280" s="583">
        <v>0</v>
      </c>
      <c r="Q280" s="583">
        <v>0</v>
      </c>
      <c r="R280" s="583">
        <v>0</v>
      </c>
      <c r="S280" s="583">
        <v>3117843</v>
      </c>
      <c r="T280" s="583">
        <v>3716508</v>
      </c>
      <c r="U280" s="583">
        <v>1655526</v>
      </c>
      <c r="V280" s="583">
        <v>0</v>
      </c>
      <c r="W280" s="583">
        <v>1776814</v>
      </c>
      <c r="X280" s="583">
        <v>0</v>
      </c>
      <c r="Y280" s="583">
        <v>3432340</v>
      </c>
      <c r="Z280" s="583">
        <v>5493322</v>
      </c>
      <c r="AA280" s="583">
        <v>14406176</v>
      </c>
      <c r="AB280" s="583">
        <v>132965</v>
      </c>
      <c r="AC280" s="583">
        <v>-5493322</v>
      </c>
      <c r="AD280" s="583">
        <v>0</v>
      </c>
      <c r="AE280" s="583">
        <v>9045819</v>
      </c>
      <c r="AF280" s="583">
        <v>0</v>
      </c>
      <c r="AG280" s="583">
        <v>2853495</v>
      </c>
      <c r="AH280" s="583">
        <v>94234</v>
      </c>
      <c r="AI280" s="583">
        <v>578845</v>
      </c>
      <c r="AJ280" s="583">
        <v>0</v>
      </c>
      <c r="AK280" s="583">
        <v>3526574</v>
      </c>
      <c r="AL280" s="583">
        <v>578845</v>
      </c>
      <c r="AM280" s="583">
        <v>5672241</v>
      </c>
      <c r="AN280" s="583">
        <v>550672</v>
      </c>
      <c r="AO280" s="583">
        <v>-458560</v>
      </c>
      <c r="AP280" s="583">
        <v>0</v>
      </c>
      <c r="AQ280" s="583">
        <v>5764353</v>
      </c>
      <c r="AR280" s="583">
        <v>120285</v>
      </c>
      <c r="AS280" s="583">
        <v>1873628</v>
      </c>
      <c r="AT280" s="583">
        <v>0</v>
      </c>
      <c r="AU280" s="583">
        <v>1558712</v>
      </c>
      <c r="AV280" s="583">
        <v>0</v>
      </c>
      <c r="AW280" s="583">
        <v>3432340</v>
      </c>
      <c r="AX280" s="583">
        <v>1678997</v>
      </c>
      <c r="AY280" s="583">
        <v>3627095</v>
      </c>
      <c r="AZ280" s="583">
        <v>134997</v>
      </c>
      <c r="BA280" s="583">
        <v>0</v>
      </c>
      <c r="BB280" s="583">
        <v>0</v>
      </c>
      <c r="BC280" s="583">
        <v>3762092</v>
      </c>
      <c r="BD280" s="583">
        <v>1678997</v>
      </c>
      <c r="BE280" s="583">
        <v>7653014</v>
      </c>
      <c r="BF280" s="583">
        <v>0</v>
      </c>
      <c r="BG280" s="583">
        <v>-1678997</v>
      </c>
      <c r="BH280" s="583">
        <v>0</v>
      </c>
      <c r="BI280" s="583">
        <v>5974017</v>
      </c>
      <c r="BJ280" s="583">
        <v>0</v>
      </c>
      <c r="BK280" s="583">
        <v>2840361</v>
      </c>
      <c r="BL280" s="583">
        <v>0</v>
      </c>
      <c r="BM280" s="583">
        <v>591979</v>
      </c>
      <c r="BN280" s="583">
        <v>0</v>
      </c>
      <c r="BO280" s="583">
        <v>3432340</v>
      </c>
      <c r="BP280" s="583">
        <v>591979</v>
      </c>
      <c r="BQ280" s="583">
        <v>5442917</v>
      </c>
      <c r="BR280" s="583">
        <v>887252</v>
      </c>
      <c r="BS280" s="583">
        <v>-591979</v>
      </c>
      <c r="BT280" s="583">
        <v>0</v>
      </c>
      <c r="BU280" s="583">
        <v>5738190</v>
      </c>
      <c r="BV280" s="583">
        <v>0</v>
      </c>
    </row>
    <row r="281" spans="1:74" x14ac:dyDescent="0.2">
      <c r="A281" s="580">
        <v>13120</v>
      </c>
      <c r="B281" s="580" t="s">
        <v>276</v>
      </c>
      <c r="C281" s="583">
        <v>131515</v>
      </c>
      <c r="D281" s="583">
        <v>0</v>
      </c>
      <c r="E281" s="583">
        <v>88247</v>
      </c>
      <c r="F281" s="583">
        <v>0</v>
      </c>
      <c r="G281" s="583">
        <v>219762</v>
      </c>
      <c r="H281" s="583">
        <v>88247</v>
      </c>
      <c r="I281" s="583">
        <v>69935</v>
      </c>
      <c r="J281" s="583">
        <v>0</v>
      </c>
      <c r="K281" s="583">
        <v>149827</v>
      </c>
      <c r="L281" s="583">
        <v>0</v>
      </c>
      <c r="M281" s="583">
        <v>219762</v>
      </c>
      <c r="N281" s="583">
        <v>238074</v>
      </c>
      <c r="O281" s="583">
        <v>199509</v>
      </c>
      <c r="P281" s="583">
        <v>0</v>
      </c>
      <c r="Q281" s="583">
        <v>0</v>
      </c>
      <c r="R281" s="583">
        <v>0</v>
      </c>
      <c r="S281" s="583">
        <v>199509</v>
      </c>
      <c r="T281" s="583">
        <v>238074</v>
      </c>
      <c r="U281" s="583">
        <v>105936</v>
      </c>
      <c r="V281" s="583">
        <v>0</v>
      </c>
      <c r="W281" s="583">
        <v>113826</v>
      </c>
      <c r="X281" s="583">
        <v>0</v>
      </c>
      <c r="Y281" s="583">
        <v>219762</v>
      </c>
      <c r="Z281" s="583">
        <v>351900</v>
      </c>
      <c r="AA281" s="583">
        <v>921842</v>
      </c>
      <c r="AB281" s="583">
        <v>8508</v>
      </c>
      <c r="AC281" s="583">
        <v>-351900</v>
      </c>
      <c r="AD281" s="583">
        <v>0</v>
      </c>
      <c r="AE281" s="583">
        <v>578450</v>
      </c>
      <c r="AF281" s="583">
        <v>0</v>
      </c>
      <c r="AG281" s="583">
        <v>182593</v>
      </c>
      <c r="AH281" s="583">
        <v>6030</v>
      </c>
      <c r="AI281" s="583">
        <v>37169</v>
      </c>
      <c r="AJ281" s="583">
        <v>0</v>
      </c>
      <c r="AK281" s="583">
        <v>225792</v>
      </c>
      <c r="AL281" s="583">
        <v>37169</v>
      </c>
      <c r="AM281" s="583">
        <v>362963</v>
      </c>
      <c r="AN281" s="583">
        <v>35237</v>
      </c>
      <c r="AO281" s="583">
        <v>-29147</v>
      </c>
      <c r="AP281" s="583">
        <v>0</v>
      </c>
      <c r="AQ281" s="583">
        <v>369053</v>
      </c>
      <c r="AR281" s="583">
        <v>8022</v>
      </c>
      <c r="AS281" s="583">
        <v>119892</v>
      </c>
      <c r="AT281" s="583">
        <v>0</v>
      </c>
      <c r="AU281" s="583">
        <v>99870</v>
      </c>
      <c r="AV281" s="583">
        <v>0</v>
      </c>
      <c r="AW281" s="583">
        <v>219762</v>
      </c>
      <c r="AX281" s="583">
        <v>107892</v>
      </c>
      <c r="AY281" s="583">
        <v>232096</v>
      </c>
      <c r="AZ281" s="583">
        <v>8638</v>
      </c>
      <c r="BA281" s="583">
        <v>0</v>
      </c>
      <c r="BB281" s="583">
        <v>0</v>
      </c>
      <c r="BC281" s="583">
        <v>240734</v>
      </c>
      <c r="BD281" s="583">
        <v>107892</v>
      </c>
      <c r="BE281" s="583">
        <v>489712</v>
      </c>
      <c r="BF281" s="583">
        <v>0</v>
      </c>
      <c r="BG281" s="583">
        <v>-107892</v>
      </c>
      <c r="BH281" s="583">
        <v>0</v>
      </c>
      <c r="BI281" s="583">
        <v>381820</v>
      </c>
      <c r="BJ281" s="583">
        <v>0</v>
      </c>
      <c r="BK281" s="583">
        <v>181753</v>
      </c>
      <c r="BL281" s="583">
        <v>0</v>
      </c>
      <c r="BM281" s="583">
        <v>38009</v>
      </c>
      <c r="BN281" s="583">
        <v>0</v>
      </c>
      <c r="BO281" s="583">
        <v>219762</v>
      </c>
      <c r="BP281" s="583">
        <v>38009</v>
      </c>
      <c r="BQ281" s="583">
        <v>348289</v>
      </c>
      <c r="BR281" s="583">
        <v>56775</v>
      </c>
      <c r="BS281" s="583">
        <v>-38009</v>
      </c>
      <c r="BT281" s="583">
        <v>0</v>
      </c>
      <c r="BU281" s="583">
        <v>367055</v>
      </c>
      <c r="BV281" s="583">
        <v>0</v>
      </c>
    </row>
    <row r="282" spans="1:74" x14ac:dyDescent="0.2">
      <c r="A282" s="580">
        <v>13121</v>
      </c>
      <c r="B282" s="580" t="s">
        <v>295</v>
      </c>
      <c r="C282" s="583">
        <v>411822</v>
      </c>
      <c r="D282" s="583">
        <v>0</v>
      </c>
      <c r="E282" s="583">
        <v>273056</v>
      </c>
      <c r="F282" s="583">
        <v>0</v>
      </c>
      <c r="G282" s="583">
        <v>684878</v>
      </c>
      <c r="H282" s="583">
        <v>273056</v>
      </c>
      <c r="I282" s="583">
        <v>218993</v>
      </c>
      <c r="J282" s="583">
        <v>0</v>
      </c>
      <c r="K282" s="583">
        <v>465885</v>
      </c>
      <c r="L282" s="583">
        <v>0</v>
      </c>
      <c r="M282" s="583">
        <v>684878</v>
      </c>
      <c r="N282" s="583">
        <v>738941</v>
      </c>
      <c r="O282" s="583">
        <v>624739</v>
      </c>
      <c r="P282" s="583">
        <v>0</v>
      </c>
      <c r="Q282" s="583">
        <v>0</v>
      </c>
      <c r="R282" s="583">
        <v>0</v>
      </c>
      <c r="S282" s="583">
        <v>624739</v>
      </c>
      <c r="T282" s="583">
        <v>738941</v>
      </c>
      <c r="U282" s="583">
        <v>331726</v>
      </c>
      <c r="V282" s="583">
        <v>0</v>
      </c>
      <c r="W282" s="583">
        <v>353152</v>
      </c>
      <c r="X282" s="583">
        <v>0</v>
      </c>
      <c r="Y282" s="583">
        <v>684878</v>
      </c>
      <c r="Z282" s="583">
        <v>1092093</v>
      </c>
      <c r="AA282" s="583">
        <v>2886641</v>
      </c>
      <c r="AB282" s="583">
        <v>26643</v>
      </c>
      <c r="AC282" s="583">
        <v>-1092093</v>
      </c>
      <c r="AD282" s="583">
        <v>0</v>
      </c>
      <c r="AE282" s="583">
        <v>1821191</v>
      </c>
      <c r="AF282" s="583">
        <v>0</v>
      </c>
      <c r="AG282" s="583">
        <v>571770</v>
      </c>
      <c r="AH282" s="583">
        <v>18882</v>
      </c>
      <c r="AI282" s="583">
        <v>113108</v>
      </c>
      <c r="AJ282" s="583">
        <v>0</v>
      </c>
      <c r="AK282" s="583">
        <v>703760</v>
      </c>
      <c r="AL282" s="583">
        <v>113108</v>
      </c>
      <c r="AM282" s="583">
        <v>1136577</v>
      </c>
      <c r="AN282" s="583">
        <v>110341</v>
      </c>
      <c r="AO282" s="583">
        <v>-96256</v>
      </c>
      <c r="AP282" s="583">
        <v>0</v>
      </c>
      <c r="AQ282" s="583">
        <v>1150662</v>
      </c>
      <c r="AR282" s="583">
        <v>16852</v>
      </c>
      <c r="AS282" s="583">
        <v>375429</v>
      </c>
      <c r="AT282" s="583">
        <v>0</v>
      </c>
      <c r="AU282" s="583">
        <v>309449</v>
      </c>
      <c r="AV282" s="583">
        <v>0</v>
      </c>
      <c r="AW282" s="583">
        <v>684878</v>
      </c>
      <c r="AX282" s="583">
        <v>326301</v>
      </c>
      <c r="AY282" s="583">
        <v>726780</v>
      </c>
      <c r="AZ282" s="583">
        <v>27050</v>
      </c>
      <c r="BA282" s="583">
        <v>0</v>
      </c>
      <c r="BB282" s="583">
        <v>0</v>
      </c>
      <c r="BC282" s="583">
        <v>753830</v>
      </c>
      <c r="BD282" s="583">
        <v>326301</v>
      </c>
      <c r="BE282" s="583">
        <v>1533474</v>
      </c>
      <c r="BF282" s="583">
        <v>0</v>
      </c>
      <c r="BG282" s="583">
        <v>-326301</v>
      </c>
      <c r="BH282" s="583">
        <v>0</v>
      </c>
      <c r="BI282" s="583">
        <v>1207173</v>
      </c>
      <c r="BJ282" s="583">
        <v>0</v>
      </c>
      <c r="BK282" s="583">
        <v>569138</v>
      </c>
      <c r="BL282" s="583">
        <v>0</v>
      </c>
      <c r="BM282" s="583">
        <v>115740</v>
      </c>
      <c r="BN282" s="583">
        <v>0</v>
      </c>
      <c r="BO282" s="583">
        <v>684878</v>
      </c>
      <c r="BP282" s="583">
        <v>115740</v>
      </c>
      <c r="BQ282" s="583">
        <v>1090626</v>
      </c>
      <c r="BR282" s="583">
        <v>177783</v>
      </c>
      <c r="BS282" s="583">
        <v>-115740</v>
      </c>
      <c r="BT282" s="583">
        <v>0</v>
      </c>
      <c r="BU282" s="583">
        <v>1152669</v>
      </c>
      <c r="BV282" s="583">
        <v>0</v>
      </c>
    </row>
    <row r="283" spans="1:74" x14ac:dyDescent="0.2">
      <c r="A283" s="580">
        <v>13122</v>
      </c>
      <c r="B283" s="580" t="s">
        <v>428</v>
      </c>
      <c r="C283" s="583">
        <v>577235</v>
      </c>
      <c r="D283" s="583">
        <v>0</v>
      </c>
      <c r="E283" s="583">
        <v>386765</v>
      </c>
      <c r="F283" s="583">
        <v>0</v>
      </c>
      <c r="G283" s="583">
        <v>964000</v>
      </c>
      <c r="H283" s="583">
        <v>386765</v>
      </c>
      <c r="I283" s="583">
        <v>306954</v>
      </c>
      <c r="J283" s="583">
        <v>0</v>
      </c>
      <c r="K283" s="583">
        <v>657046</v>
      </c>
      <c r="L283" s="583">
        <v>0</v>
      </c>
      <c r="M283" s="583">
        <v>964000</v>
      </c>
      <c r="N283" s="583">
        <v>1043811</v>
      </c>
      <c r="O283" s="583">
        <v>875671</v>
      </c>
      <c r="P283" s="583">
        <v>0</v>
      </c>
      <c r="Q283" s="583">
        <v>0</v>
      </c>
      <c r="R283" s="583">
        <v>0</v>
      </c>
      <c r="S283" s="583">
        <v>875671</v>
      </c>
      <c r="T283" s="583">
        <v>1043811</v>
      </c>
      <c r="U283" s="583">
        <v>464968</v>
      </c>
      <c r="V283" s="583">
        <v>0</v>
      </c>
      <c r="W283" s="583">
        <v>499032</v>
      </c>
      <c r="X283" s="583">
        <v>0</v>
      </c>
      <c r="Y283" s="583">
        <v>964000</v>
      </c>
      <c r="Z283" s="583">
        <v>1542843</v>
      </c>
      <c r="AA283" s="583">
        <v>4046089</v>
      </c>
      <c r="AB283" s="583">
        <v>37344</v>
      </c>
      <c r="AC283" s="583">
        <v>-1542843</v>
      </c>
      <c r="AD283" s="583">
        <v>0</v>
      </c>
      <c r="AE283" s="583">
        <v>2540590</v>
      </c>
      <c r="AF283" s="583">
        <v>0</v>
      </c>
      <c r="AG283" s="583">
        <v>801427</v>
      </c>
      <c r="AH283" s="583">
        <v>26466</v>
      </c>
      <c r="AI283" s="583">
        <v>162573</v>
      </c>
      <c r="AJ283" s="583">
        <v>0</v>
      </c>
      <c r="AK283" s="583">
        <v>990466</v>
      </c>
      <c r="AL283" s="583">
        <v>162573</v>
      </c>
      <c r="AM283" s="583">
        <v>1593094</v>
      </c>
      <c r="AN283" s="583">
        <v>154661</v>
      </c>
      <c r="AO283" s="583">
        <v>-128790</v>
      </c>
      <c r="AP283" s="583">
        <v>0</v>
      </c>
      <c r="AQ283" s="583">
        <v>1618965</v>
      </c>
      <c r="AR283" s="583">
        <v>33783</v>
      </c>
      <c r="AS283" s="583">
        <v>526223</v>
      </c>
      <c r="AT283" s="583">
        <v>0</v>
      </c>
      <c r="AU283" s="583">
        <v>437777</v>
      </c>
      <c r="AV283" s="583">
        <v>0</v>
      </c>
      <c r="AW283" s="583">
        <v>964000</v>
      </c>
      <c r="AX283" s="583">
        <v>471560</v>
      </c>
      <c r="AY283" s="583">
        <v>1018698</v>
      </c>
      <c r="AZ283" s="583">
        <v>37915</v>
      </c>
      <c r="BA283" s="583">
        <v>0</v>
      </c>
      <c r="BB283" s="583">
        <v>0</v>
      </c>
      <c r="BC283" s="583">
        <v>1056613</v>
      </c>
      <c r="BD283" s="583">
        <v>471560</v>
      </c>
      <c r="BE283" s="583">
        <v>2149410</v>
      </c>
      <c r="BF283" s="583">
        <v>0</v>
      </c>
      <c r="BG283" s="583">
        <v>-471560</v>
      </c>
      <c r="BH283" s="583">
        <v>0</v>
      </c>
      <c r="BI283" s="583">
        <v>1677850</v>
      </c>
      <c r="BJ283" s="583">
        <v>0</v>
      </c>
      <c r="BK283" s="583">
        <v>797738</v>
      </c>
      <c r="BL283" s="583">
        <v>0</v>
      </c>
      <c r="BM283" s="583">
        <v>166262</v>
      </c>
      <c r="BN283" s="583">
        <v>0</v>
      </c>
      <c r="BO283" s="583">
        <v>964000</v>
      </c>
      <c r="BP283" s="583">
        <v>166262</v>
      </c>
      <c r="BQ283" s="583">
        <v>1528686</v>
      </c>
      <c r="BR283" s="583">
        <v>249192</v>
      </c>
      <c r="BS283" s="583">
        <v>-166262</v>
      </c>
      <c r="BT283" s="583">
        <v>0</v>
      </c>
      <c r="BU283" s="583">
        <v>1611616</v>
      </c>
      <c r="BV283" s="583">
        <v>0</v>
      </c>
    </row>
    <row r="284" spans="1:74" x14ac:dyDescent="0.2">
      <c r="A284" s="580">
        <v>13123</v>
      </c>
      <c r="B284" s="580" t="s">
        <v>275</v>
      </c>
      <c r="C284" s="583">
        <v>102894</v>
      </c>
      <c r="D284" s="583">
        <v>0</v>
      </c>
      <c r="E284" s="583">
        <v>0</v>
      </c>
      <c r="F284" s="583">
        <v>0</v>
      </c>
      <c r="G284" s="583">
        <v>102894</v>
      </c>
      <c r="H284" s="583">
        <v>0</v>
      </c>
      <c r="I284" s="583">
        <v>54716</v>
      </c>
      <c r="J284" s="583">
        <v>0</v>
      </c>
      <c r="K284" s="583">
        <v>0</v>
      </c>
      <c r="L284" s="583">
        <v>0</v>
      </c>
      <c r="M284" s="583">
        <v>54716</v>
      </c>
      <c r="N284" s="583">
        <v>0</v>
      </c>
      <c r="O284" s="583">
        <v>156091</v>
      </c>
      <c r="P284" s="583">
        <v>0</v>
      </c>
      <c r="Q284" s="583">
        <v>0</v>
      </c>
      <c r="R284" s="583">
        <v>0</v>
      </c>
      <c r="S284" s="583">
        <v>156091</v>
      </c>
      <c r="T284" s="583">
        <v>0</v>
      </c>
      <c r="U284" s="583">
        <v>82882</v>
      </c>
      <c r="V284" s="583">
        <v>0</v>
      </c>
      <c r="W284" s="583">
        <v>0</v>
      </c>
      <c r="X284" s="583">
        <v>0</v>
      </c>
      <c r="Y284" s="583">
        <v>82882</v>
      </c>
      <c r="Z284" s="583">
        <v>0</v>
      </c>
      <c r="AA284" s="583">
        <v>721228</v>
      </c>
      <c r="AB284" s="583">
        <v>6657</v>
      </c>
      <c r="AC284" s="583">
        <v>0</v>
      </c>
      <c r="AD284" s="583">
        <v>0</v>
      </c>
      <c r="AE284" s="583">
        <v>727885</v>
      </c>
      <c r="AF284" s="583">
        <v>0</v>
      </c>
      <c r="AG284" s="583">
        <v>142857</v>
      </c>
      <c r="AH284" s="583">
        <v>4718</v>
      </c>
      <c r="AI284" s="583">
        <v>0</v>
      </c>
      <c r="AJ284" s="583">
        <v>0</v>
      </c>
      <c r="AK284" s="583">
        <v>147575</v>
      </c>
      <c r="AL284" s="583">
        <v>0</v>
      </c>
      <c r="AM284" s="583">
        <v>283974</v>
      </c>
      <c r="AN284" s="583">
        <v>27569</v>
      </c>
      <c r="AO284" s="583">
        <v>0</v>
      </c>
      <c r="AP284" s="583">
        <v>0</v>
      </c>
      <c r="AQ284" s="583">
        <v>311543</v>
      </c>
      <c r="AR284" s="583">
        <v>0</v>
      </c>
      <c r="AS284" s="583">
        <v>93801</v>
      </c>
      <c r="AT284" s="583">
        <v>0</v>
      </c>
      <c r="AU284" s="583">
        <v>0</v>
      </c>
      <c r="AV284" s="583">
        <v>0</v>
      </c>
      <c r="AW284" s="583">
        <v>93801</v>
      </c>
      <c r="AX284" s="583">
        <v>0</v>
      </c>
      <c r="AY284" s="583">
        <v>181586</v>
      </c>
      <c r="AZ284" s="583">
        <v>6758</v>
      </c>
      <c r="BA284" s="583">
        <v>0</v>
      </c>
      <c r="BB284" s="583">
        <v>0</v>
      </c>
      <c r="BC284" s="583">
        <v>188344</v>
      </c>
      <c r="BD284" s="583">
        <v>0</v>
      </c>
      <c r="BE284" s="583">
        <v>383139</v>
      </c>
      <c r="BF284" s="583">
        <v>0</v>
      </c>
      <c r="BG284" s="583">
        <v>0</v>
      </c>
      <c r="BH284" s="583">
        <v>0</v>
      </c>
      <c r="BI284" s="583">
        <v>383139</v>
      </c>
      <c r="BJ284" s="583">
        <v>0</v>
      </c>
      <c r="BK284" s="583">
        <v>142199</v>
      </c>
      <c r="BL284" s="583">
        <v>0</v>
      </c>
      <c r="BM284" s="583">
        <v>0</v>
      </c>
      <c r="BN284" s="583">
        <v>0</v>
      </c>
      <c r="BO284" s="583">
        <v>142199</v>
      </c>
      <c r="BP284" s="583">
        <v>0</v>
      </c>
      <c r="BQ284" s="583">
        <v>272493</v>
      </c>
      <c r="BR284" s="583">
        <v>44419</v>
      </c>
      <c r="BS284" s="583">
        <v>0</v>
      </c>
      <c r="BT284" s="583">
        <v>0</v>
      </c>
      <c r="BU284" s="583">
        <v>316912</v>
      </c>
      <c r="BV284" s="583">
        <v>0</v>
      </c>
    </row>
    <row r="285" spans="1:74" x14ac:dyDescent="0.2">
      <c r="A285" s="580">
        <v>13124</v>
      </c>
      <c r="B285" s="580" t="s">
        <v>281</v>
      </c>
      <c r="C285" s="583">
        <v>619314</v>
      </c>
      <c r="D285" s="583">
        <v>0</v>
      </c>
      <c r="E285" s="583">
        <v>414960</v>
      </c>
      <c r="F285" s="583">
        <v>0</v>
      </c>
      <c r="G285" s="583">
        <v>1034274</v>
      </c>
      <c r="H285" s="583">
        <v>414960</v>
      </c>
      <c r="I285" s="583">
        <v>329331</v>
      </c>
      <c r="J285" s="583">
        <v>0</v>
      </c>
      <c r="K285" s="583">
        <v>704943</v>
      </c>
      <c r="L285" s="583">
        <v>0</v>
      </c>
      <c r="M285" s="583">
        <v>1034274</v>
      </c>
      <c r="N285" s="583">
        <v>1119903</v>
      </c>
      <c r="O285" s="583">
        <v>939506</v>
      </c>
      <c r="P285" s="583">
        <v>0</v>
      </c>
      <c r="Q285" s="583">
        <v>0</v>
      </c>
      <c r="R285" s="583">
        <v>0</v>
      </c>
      <c r="S285" s="583">
        <v>939506</v>
      </c>
      <c r="T285" s="583">
        <v>1119903</v>
      </c>
      <c r="U285" s="583">
        <v>498863</v>
      </c>
      <c r="V285" s="583">
        <v>0</v>
      </c>
      <c r="W285" s="583">
        <v>535411</v>
      </c>
      <c r="X285" s="583">
        <v>0</v>
      </c>
      <c r="Y285" s="583">
        <v>1034274</v>
      </c>
      <c r="Z285" s="583">
        <v>1655314</v>
      </c>
      <c r="AA285" s="583">
        <v>4341041</v>
      </c>
      <c r="AB285" s="583">
        <v>40067</v>
      </c>
      <c r="AC285" s="583">
        <v>-1655314</v>
      </c>
      <c r="AD285" s="583">
        <v>0</v>
      </c>
      <c r="AE285" s="583">
        <v>2725794</v>
      </c>
      <c r="AF285" s="583">
        <v>0</v>
      </c>
      <c r="AG285" s="583">
        <v>859849</v>
      </c>
      <c r="AH285" s="583">
        <v>28396</v>
      </c>
      <c r="AI285" s="583">
        <v>174425</v>
      </c>
      <c r="AJ285" s="583">
        <v>0</v>
      </c>
      <c r="AK285" s="583">
        <v>1062670</v>
      </c>
      <c r="AL285" s="583">
        <v>174425</v>
      </c>
      <c r="AM285" s="583">
        <v>1709227</v>
      </c>
      <c r="AN285" s="583">
        <v>165935</v>
      </c>
      <c r="AO285" s="583">
        <v>-138179</v>
      </c>
      <c r="AP285" s="583">
        <v>0</v>
      </c>
      <c r="AQ285" s="583">
        <v>1736983</v>
      </c>
      <c r="AR285" s="583">
        <v>36246</v>
      </c>
      <c r="AS285" s="583">
        <v>564584</v>
      </c>
      <c r="AT285" s="583">
        <v>0</v>
      </c>
      <c r="AU285" s="583">
        <v>469690</v>
      </c>
      <c r="AV285" s="583">
        <v>0</v>
      </c>
      <c r="AW285" s="583">
        <v>1034274</v>
      </c>
      <c r="AX285" s="583">
        <v>505936</v>
      </c>
      <c r="AY285" s="583">
        <v>1092959</v>
      </c>
      <c r="AZ285" s="583">
        <v>40679</v>
      </c>
      <c r="BA285" s="583">
        <v>0</v>
      </c>
      <c r="BB285" s="583">
        <v>0</v>
      </c>
      <c r="BC285" s="583">
        <v>1133638</v>
      </c>
      <c r="BD285" s="583">
        <v>505936</v>
      </c>
      <c r="BE285" s="583">
        <v>2306097</v>
      </c>
      <c r="BF285" s="583">
        <v>0</v>
      </c>
      <c r="BG285" s="583">
        <v>-505936</v>
      </c>
      <c r="BH285" s="583">
        <v>0</v>
      </c>
      <c r="BI285" s="583">
        <v>1800161</v>
      </c>
      <c r="BJ285" s="583">
        <v>0</v>
      </c>
      <c r="BK285" s="583">
        <v>855891</v>
      </c>
      <c r="BL285" s="583">
        <v>0</v>
      </c>
      <c r="BM285" s="583">
        <v>178383</v>
      </c>
      <c r="BN285" s="583">
        <v>0</v>
      </c>
      <c r="BO285" s="583">
        <v>1034274</v>
      </c>
      <c r="BP285" s="583">
        <v>178383</v>
      </c>
      <c r="BQ285" s="583">
        <v>1640125</v>
      </c>
      <c r="BR285" s="583">
        <v>267357</v>
      </c>
      <c r="BS285" s="583">
        <v>-178383</v>
      </c>
      <c r="BT285" s="583">
        <v>0</v>
      </c>
      <c r="BU285" s="583">
        <v>1729099</v>
      </c>
      <c r="BV285" s="583">
        <v>0</v>
      </c>
    </row>
    <row r="286" spans="1:74" x14ac:dyDescent="0.2">
      <c r="A286" s="580">
        <v>13125</v>
      </c>
      <c r="B286" s="580" t="s">
        <v>283</v>
      </c>
      <c r="C286" s="583">
        <v>406907</v>
      </c>
      <c r="D286" s="583">
        <v>0</v>
      </c>
      <c r="E286" s="583">
        <v>236524</v>
      </c>
      <c r="F286" s="583">
        <v>0</v>
      </c>
      <c r="G286" s="583">
        <v>643431</v>
      </c>
      <c r="H286" s="583">
        <v>236524</v>
      </c>
      <c r="I286" s="583">
        <v>216379</v>
      </c>
      <c r="J286" s="583">
        <v>0</v>
      </c>
      <c r="K286" s="583">
        <v>427052</v>
      </c>
      <c r="L286" s="583">
        <v>0</v>
      </c>
      <c r="M286" s="583">
        <v>643431</v>
      </c>
      <c r="N286" s="583">
        <v>663576</v>
      </c>
      <c r="O286" s="583">
        <v>617281</v>
      </c>
      <c r="P286" s="583">
        <v>0</v>
      </c>
      <c r="Q286" s="583">
        <v>0</v>
      </c>
      <c r="R286" s="583">
        <v>0</v>
      </c>
      <c r="S286" s="583">
        <v>617281</v>
      </c>
      <c r="T286" s="583">
        <v>663576</v>
      </c>
      <c r="U286" s="583">
        <v>327767</v>
      </c>
      <c r="V286" s="583">
        <v>0</v>
      </c>
      <c r="W286" s="583">
        <v>315664</v>
      </c>
      <c r="X286" s="583">
        <v>0</v>
      </c>
      <c r="Y286" s="583">
        <v>643431</v>
      </c>
      <c r="Z286" s="583">
        <v>979240</v>
      </c>
      <c r="AA286" s="583">
        <v>2852183</v>
      </c>
      <c r="AB286" s="583">
        <v>26325</v>
      </c>
      <c r="AC286" s="583">
        <v>-979240</v>
      </c>
      <c r="AD286" s="583">
        <v>0</v>
      </c>
      <c r="AE286" s="583">
        <v>1899268</v>
      </c>
      <c r="AF286" s="583">
        <v>0</v>
      </c>
      <c r="AG286" s="583">
        <v>564945</v>
      </c>
      <c r="AH286" s="583">
        <v>18657</v>
      </c>
      <c r="AI286" s="583">
        <v>78486</v>
      </c>
      <c r="AJ286" s="583">
        <v>0</v>
      </c>
      <c r="AK286" s="583">
        <v>662088</v>
      </c>
      <c r="AL286" s="583">
        <v>78486</v>
      </c>
      <c r="AM286" s="583">
        <v>1123009</v>
      </c>
      <c r="AN286" s="583">
        <v>109024</v>
      </c>
      <c r="AO286" s="583">
        <v>-78486</v>
      </c>
      <c r="AP286" s="583">
        <v>0</v>
      </c>
      <c r="AQ286" s="583">
        <v>1153547</v>
      </c>
      <c r="AR286" s="583">
        <v>0</v>
      </c>
      <c r="AS286" s="583">
        <v>370947</v>
      </c>
      <c r="AT286" s="583">
        <v>0</v>
      </c>
      <c r="AU286" s="583">
        <v>272484</v>
      </c>
      <c r="AV286" s="583">
        <v>0</v>
      </c>
      <c r="AW286" s="583">
        <v>643431</v>
      </c>
      <c r="AX286" s="583">
        <v>272484</v>
      </c>
      <c r="AY286" s="583">
        <v>718104</v>
      </c>
      <c r="AZ286" s="583">
        <v>26727</v>
      </c>
      <c r="BA286" s="583">
        <v>0</v>
      </c>
      <c r="BB286" s="583">
        <v>0</v>
      </c>
      <c r="BC286" s="583">
        <v>744831</v>
      </c>
      <c r="BD286" s="583">
        <v>272484</v>
      </c>
      <c r="BE286" s="583">
        <v>1515169</v>
      </c>
      <c r="BF286" s="583">
        <v>0</v>
      </c>
      <c r="BG286" s="583">
        <v>-272484</v>
      </c>
      <c r="BH286" s="583">
        <v>0</v>
      </c>
      <c r="BI286" s="583">
        <v>1242685</v>
      </c>
      <c r="BJ286" s="583">
        <v>0</v>
      </c>
      <c r="BK286" s="583">
        <v>562344</v>
      </c>
      <c r="BL286" s="583">
        <v>0</v>
      </c>
      <c r="BM286" s="583">
        <v>81087</v>
      </c>
      <c r="BN286" s="583">
        <v>0</v>
      </c>
      <c r="BO286" s="583">
        <v>643431</v>
      </c>
      <c r="BP286" s="583">
        <v>81087</v>
      </c>
      <c r="BQ286" s="583">
        <v>1077607</v>
      </c>
      <c r="BR286" s="583">
        <v>175661</v>
      </c>
      <c r="BS286" s="583">
        <v>-81087</v>
      </c>
      <c r="BT286" s="583">
        <v>0</v>
      </c>
      <c r="BU286" s="583">
        <v>1172181</v>
      </c>
      <c r="BV286" s="583">
        <v>0</v>
      </c>
    </row>
    <row r="287" spans="1:74" x14ac:dyDescent="0.2">
      <c r="A287" s="580">
        <v>13126</v>
      </c>
      <c r="B287" s="580" t="s">
        <v>278</v>
      </c>
      <c r="C287" s="583">
        <v>354950</v>
      </c>
      <c r="D287" s="583">
        <v>0</v>
      </c>
      <c r="E287" s="583">
        <v>237827</v>
      </c>
      <c r="F287" s="583">
        <v>0</v>
      </c>
      <c r="G287" s="583">
        <v>592777</v>
      </c>
      <c r="H287" s="583">
        <v>237827</v>
      </c>
      <c r="I287" s="583">
        <v>188750</v>
      </c>
      <c r="J287" s="583">
        <v>0</v>
      </c>
      <c r="K287" s="583">
        <v>404027</v>
      </c>
      <c r="L287" s="583">
        <v>0</v>
      </c>
      <c r="M287" s="583">
        <v>592777</v>
      </c>
      <c r="N287" s="583">
        <v>641854</v>
      </c>
      <c r="O287" s="583">
        <v>538462</v>
      </c>
      <c r="P287" s="583">
        <v>0</v>
      </c>
      <c r="Q287" s="583">
        <v>0</v>
      </c>
      <c r="R287" s="583">
        <v>0</v>
      </c>
      <c r="S287" s="583">
        <v>538462</v>
      </c>
      <c r="T287" s="583">
        <v>641854</v>
      </c>
      <c r="U287" s="583">
        <v>285915</v>
      </c>
      <c r="V287" s="583">
        <v>0</v>
      </c>
      <c r="W287" s="583">
        <v>306862</v>
      </c>
      <c r="X287" s="583">
        <v>0</v>
      </c>
      <c r="Y287" s="583">
        <v>592777</v>
      </c>
      <c r="Z287" s="583">
        <v>948716</v>
      </c>
      <c r="AA287" s="583">
        <v>2487997</v>
      </c>
      <c r="AB287" s="583">
        <v>22964</v>
      </c>
      <c r="AC287" s="583">
        <v>-948716</v>
      </c>
      <c r="AD287" s="583">
        <v>0</v>
      </c>
      <c r="AE287" s="583">
        <v>1562245</v>
      </c>
      <c r="AF287" s="583">
        <v>0</v>
      </c>
      <c r="AG287" s="583">
        <v>492809</v>
      </c>
      <c r="AH287" s="583">
        <v>16274</v>
      </c>
      <c r="AI287" s="583">
        <v>99968</v>
      </c>
      <c r="AJ287" s="583">
        <v>0</v>
      </c>
      <c r="AK287" s="583">
        <v>609051</v>
      </c>
      <c r="AL287" s="583">
        <v>99968</v>
      </c>
      <c r="AM287" s="583">
        <v>979616</v>
      </c>
      <c r="AN287" s="583">
        <v>95103</v>
      </c>
      <c r="AO287" s="583">
        <v>-79195</v>
      </c>
      <c r="AP287" s="583">
        <v>0</v>
      </c>
      <c r="AQ287" s="583">
        <v>995524</v>
      </c>
      <c r="AR287" s="583">
        <v>20773</v>
      </c>
      <c r="AS287" s="583">
        <v>323582</v>
      </c>
      <c r="AT287" s="583">
        <v>0</v>
      </c>
      <c r="AU287" s="583">
        <v>269195</v>
      </c>
      <c r="AV287" s="583">
        <v>0</v>
      </c>
      <c r="AW287" s="583">
        <v>592777</v>
      </c>
      <c r="AX287" s="583">
        <v>289968</v>
      </c>
      <c r="AY287" s="583">
        <v>626412</v>
      </c>
      <c r="AZ287" s="583">
        <v>23314</v>
      </c>
      <c r="BA287" s="583">
        <v>0</v>
      </c>
      <c r="BB287" s="583">
        <v>0</v>
      </c>
      <c r="BC287" s="583">
        <v>649726</v>
      </c>
      <c r="BD287" s="583">
        <v>289968</v>
      </c>
      <c r="BE287" s="583">
        <v>1321702</v>
      </c>
      <c r="BF287" s="583">
        <v>0</v>
      </c>
      <c r="BG287" s="583">
        <v>-289968</v>
      </c>
      <c r="BH287" s="583">
        <v>0</v>
      </c>
      <c r="BI287" s="583">
        <v>1031734</v>
      </c>
      <c r="BJ287" s="583">
        <v>0</v>
      </c>
      <c r="BK287" s="583">
        <v>490540</v>
      </c>
      <c r="BL287" s="583">
        <v>0</v>
      </c>
      <c r="BM287" s="583">
        <v>102237</v>
      </c>
      <c r="BN287" s="583">
        <v>0</v>
      </c>
      <c r="BO287" s="583">
        <v>592777</v>
      </c>
      <c r="BP287" s="583">
        <v>102237</v>
      </c>
      <c r="BQ287" s="583">
        <v>940011</v>
      </c>
      <c r="BR287" s="583">
        <v>153231</v>
      </c>
      <c r="BS287" s="583">
        <v>-102237</v>
      </c>
      <c r="BT287" s="583">
        <v>0</v>
      </c>
      <c r="BU287" s="583">
        <v>991005</v>
      </c>
      <c r="BV287" s="583">
        <v>0</v>
      </c>
    </row>
    <row r="288" spans="1:74" x14ac:dyDescent="0.2">
      <c r="A288" s="580">
        <v>13127</v>
      </c>
      <c r="B288" s="580" t="s">
        <v>292</v>
      </c>
      <c r="C288" s="583">
        <v>255102</v>
      </c>
      <c r="D288" s="583">
        <v>0</v>
      </c>
      <c r="E288" s="583">
        <v>171848</v>
      </c>
      <c r="F288" s="583">
        <v>0</v>
      </c>
      <c r="G288" s="583">
        <v>426950</v>
      </c>
      <c r="H288" s="583">
        <v>171848</v>
      </c>
      <c r="I288" s="583">
        <v>135654</v>
      </c>
      <c r="J288" s="583">
        <v>0</v>
      </c>
      <c r="K288" s="583">
        <v>291296</v>
      </c>
      <c r="L288" s="583">
        <v>0</v>
      </c>
      <c r="M288" s="583">
        <v>426950</v>
      </c>
      <c r="N288" s="583">
        <v>463144</v>
      </c>
      <c r="O288" s="583">
        <v>386992</v>
      </c>
      <c r="P288" s="583">
        <v>0</v>
      </c>
      <c r="Q288" s="583">
        <v>0</v>
      </c>
      <c r="R288" s="583">
        <v>0</v>
      </c>
      <c r="S288" s="583">
        <v>386992</v>
      </c>
      <c r="T288" s="583">
        <v>463144</v>
      </c>
      <c r="U288" s="583">
        <v>205487</v>
      </c>
      <c r="V288" s="583">
        <v>0</v>
      </c>
      <c r="W288" s="583">
        <v>221463</v>
      </c>
      <c r="X288" s="583">
        <v>0</v>
      </c>
      <c r="Y288" s="583">
        <v>426950</v>
      </c>
      <c r="Z288" s="583">
        <v>684607</v>
      </c>
      <c r="AA288" s="583">
        <v>1788117</v>
      </c>
      <c r="AB288" s="583">
        <v>16504</v>
      </c>
      <c r="AC288" s="583">
        <v>-684607</v>
      </c>
      <c r="AD288" s="583">
        <v>0</v>
      </c>
      <c r="AE288" s="583">
        <v>1120014</v>
      </c>
      <c r="AF288" s="583">
        <v>0</v>
      </c>
      <c r="AG288" s="583">
        <v>354180</v>
      </c>
      <c r="AH288" s="583">
        <v>11696</v>
      </c>
      <c r="AI288" s="583">
        <v>72770</v>
      </c>
      <c r="AJ288" s="583">
        <v>0</v>
      </c>
      <c r="AK288" s="583">
        <v>438646</v>
      </c>
      <c r="AL288" s="583">
        <v>72770</v>
      </c>
      <c r="AM288" s="583">
        <v>704048</v>
      </c>
      <c r="AN288" s="583">
        <v>68350</v>
      </c>
      <c r="AO288" s="583">
        <v>-55517</v>
      </c>
      <c r="AP288" s="583">
        <v>0</v>
      </c>
      <c r="AQ288" s="583">
        <v>716881</v>
      </c>
      <c r="AR288" s="583">
        <v>17253</v>
      </c>
      <c r="AS288" s="583">
        <v>232558</v>
      </c>
      <c r="AT288" s="583">
        <v>0</v>
      </c>
      <c r="AU288" s="583">
        <v>194392</v>
      </c>
      <c r="AV288" s="583">
        <v>0</v>
      </c>
      <c r="AW288" s="583">
        <v>426950</v>
      </c>
      <c r="AX288" s="583">
        <v>211645</v>
      </c>
      <c r="AY288" s="583">
        <v>450201</v>
      </c>
      <c r="AZ288" s="583">
        <v>16756</v>
      </c>
      <c r="BA288" s="583">
        <v>0</v>
      </c>
      <c r="BB288" s="583">
        <v>0</v>
      </c>
      <c r="BC288" s="583">
        <v>466957</v>
      </c>
      <c r="BD288" s="583">
        <v>211645</v>
      </c>
      <c r="BE288" s="583">
        <v>949904</v>
      </c>
      <c r="BF288" s="583">
        <v>0</v>
      </c>
      <c r="BG288" s="583">
        <v>-211645</v>
      </c>
      <c r="BH288" s="583">
        <v>0</v>
      </c>
      <c r="BI288" s="583">
        <v>738259</v>
      </c>
      <c r="BJ288" s="583">
        <v>0</v>
      </c>
      <c r="BK288" s="583">
        <v>352550</v>
      </c>
      <c r="BL288" s="583">
        <v>0</v>
      </c>
      <c r="BM288" s="583">
        <v>74400</v>
      </c>
      <c r="BN288" s="583">
        <v>0</v>
      </c>
      <c r="BO288" s="583">
        <v>426950</v>
      </c>
      <c r="BP288" s="583">
        <v>74400</v>
      </c>
      <c r="BQ288" s="583">
        <v>675583</v>
      </c>
      <c r="BR288" s="583">
        <v>110127</v>
      </c>
      <c r="BS288" s="583">
        <v>-74400</v>
      </c>
      <c r="BT288" s="583">
        <v>0</v>
      </c>
      <c r="BU288" s="583">
        <v>711310</v>
      </c>
      <c r="BV288" s="583">
        <v>0</v>
      </c>
    </row>
    <row r="289" spans="1:74" x14ac:dyDescent="0.2">
      <c r="A289" s="580">
        <v>13128</v>
      </c>
      <c r="B289" s="580" t="s">
        <v>282</v>
      </c>
      <c r="C289" s="583">
        <v>338286</v>
      </c>
      <c r="D289" s="583">
        <v>0</v>
      </c>
      <c r="E289" s="583">
        <v>206223</v>
      </c>
      <c r="F289" s="583">
        <v>0</v>
      </c>
      <c r="G289" s="583">
        <v>544509</v>
      </c>
      <c r="H289" s="583">
        <v>206223</v>
      </c>
      <c r="I289" s="583">
        <v>179889</v>
      </c>
      <c r="J289" s="583">
        <v>0</v>
      </c>
      <c r="K289" s="583">
        <v>364620</v>
      </c>
      <c r="L289" s="583">
        <v>0</v>
      </c>
      <c r="M289" s="583">
        <v>544509</v>
      </c>
      <c r="N289" s="583">
        <v>570843</v>
      </c>
      <c r="O289" s="583">
        <v>513184</v>
      </c>
      <c r="P289" s="583">
        <v>0</v>
      </c>
      <c r="Q289" s="583">
        <v>0</v>
      </c>
      <c r="R289" s="583">
        <v>0</v>
      </c>
      <c r="S289" s="583">
        <v>513184</v>
      </c>
      <c r="T289" s="583">
        <v>570843</v>
      </c>
      <c r="U289" s="583">
        <v>272492</v>
      </c>
      <c r="V289" s="583">
        <v>0</v>
      </c>
      <c r="W289" s="583">
        <v>272017</v>
      </c>
      <c r="X289" s="583">
        <v>0</v>
      </c>
      <c r="Y289" s="583">
        <v>544509</v>
      </c>
      <c r="Z289" s="583">
        <v>842860</v>
      </c>
      <c r="AA289" s="583">
        <v>2371194</v>
      </c>
      <c r="AB289" s="583">
        <v>21886</v>
      </c>
      <c r="AC289" s="583">
        <v>-842860</v>
      </c>
      <c r="AD289" s="583">
        <v>0</v>
      </c>
      <c r="AE289" s="583">
        <v>1550220</v>
      </c>
      <c r="AF289" s="583">
        <v>0</v>
      </c>
      <c r="AG289" s="583">
        <v>469673</v>
      </c>
      <c r="AH289" s="583">
        <v>15510</v>
      </c>
      <c r="AI289" s="583">
        <v>74836</v>
      </c>
      <c r="AJ289" s="583">
        <v>0</v>
      </c>
      <c r="AK289" s="583">
        <v>560019</v>
      </c>
      <c r="AL289" s="583">
        <v>74836</v>
      </c>
      <c r="AM289" s="583">
        <v>933626</v>
      </c>
      <c r="AN289" s="583">
        <v>90638</v>
      </c>
      <c r="AO289" s="583">
        <v>-74836</v>
      </c>
      <c r="AP289" s="583">
        <v>0</v>
      </c>
      <c r="AQ289" s="583">
        <v>949428</v>
      </c>
      <c r="AR289" s="583">
        <v>0</v>
      </c>
      <c r="AS289" s="583">
        <v>308391</v>
      </c>
      <c r="AT289" s="583">
        <v>0</v>
      </c>
      <c r="AU289" s="583">
        <v>236118</v>
      </c>
      <c r="AV289" s="583">
        <v>0</v>
      </c>
      <c r="AW289" s="583">
        <v>544509</v>
      </c>
      <c r="AX289" s="583">
        <v>236118</v>
      </c>
      <c r="AY289" s="583">
        <v>597004</v>
      </c>
      <c r="AZ289" s="583">
        <v>22220</v>
      </c>
      <c r="BA289" s="583">
        <v>0</v>
      </c>
      <c r="BB289" s="583">
        <v>0</v>
      </c>
      <c r="BC289" s="583">
        <v>619224</v>
      </c>
      <c r="BD289" s="583">
        <v>236118</v>
      </c>
      <c r="BE289" s="583">
        <v>1259653</v>
      </c>
      <c r="BF289" s="583">
        <v>0</v>
      </c>
      <c r="BG289" s="583">
        <v>-236118</v>
      </c>
      <c r="BH289" s="583">
        <v>0</v>
      </c>
      <c r="BI289" s="583">
        <v>1023535</v>
      </c>
      <c r="BJ289" s="583">
        <v>0</v>
      </c>
      <c r="BK289" s="583">
        <v>467511</v>
      </c>
      <c r="BL289" s="583">
        <v>0</v>
      </c>
      <c r="BM289" s="583">
        <v>76998</v>
      </c>
      <c r="BN289" s="583">
        <v>0</v>
      </c>
      <c r="BO289" s="583">
        <v>544509</v>
      </c>
      <c r="BP289" s="583">
        <v>76998</v>
      </c>
      <c r="BQ289" s="583">
        <v>895881</v>
      </c>
      <c r="BR289" s="583">
        <v>146038</v>
      </c>
      <c r="BS289" s="583">
        <v>-76998</v>
      </c>
      <c r="BT289" s="583">
        <v>0</v>
      </c>
      <c r="BU289" s="583">
        <v>964921</v>
      </c>
      <c r="BV289" s="583">
        <v>0</v>
      </c>
    </row>
    <row r="290" spans="1:74" x14ac:dyDescent="0.2">
      <c r="A290" s="580">
        <v>13129</v>
      </c>
      <c r="B290" s="580" t="s">
        <v>429</v>
      </c>
      <c r="C290" s="583">
        <v>193254</v>
      </c>
      <c r="D290" s="583">
        <v>0</v>
      </c>
      <c r="E290" s="583">
        <v>122569</v>
      </c>
      <c r="F290" s="583">
        <v>0</v>
      </c>
      <c r="G290" s="583">
        <v>315823</v>
      </c>
      <c r="H290" s="583">
        <v>122569</v>
      </c>
      <c r="I290" s="583">
        <v>102766</v>
      </c>
      <c r="J290" s="583">
        <v>0</v>
      </c>
      <c r="K290" s="583">
        <v>213057</v>
      </c>
      <c r="L290" s="583">
        <v>0</v>
      </c>
      <c r="M290" s="583">
        <v>315823</v>
      </c>
      <c r="N290" s="583">
        <v>335626</v>
      </c>
      <c r="O290" s="583">
        <v>293169</v>
      </c>
      <c r="P290" s="583">
        <v>0</v>
      </c>
      <c r="Q290" s="583">
        <v>0</v>
      </c>
      <c r="R290" s="583">
        <v>0</v>
      </c>
      <c r="S290" s="583">
        <v>293169</v>
      </c>
      <c r="T290" s="583">
        <v>335626</v>
      </c>
      <c r="U290" s="583">
        <v>155668</v>
      </c>
      <c r="V290" s="583">
        <v>0</v>
      </c>
      <c r="W290" s="583">
        <v>160155</v>
      </c>
      <c r="X290" s="583">
        <v>0</v>
      </c>
      <c r="Y290" s="583">
        <v>315823</v>
      </c>
      <c r="Z290" s="583">
        <v>495781</v>
      </c>
      <c r="AA290" s="583">
        <v>1354603</v>
      </c>
      <c r="AB290" s="583">
        <v>12503</v>
      </c>
      <c r="AC290" s="583">
        <v>-495781</v>
      </c>
      <c r="AD290" s="583">
        <v>0</v>
      </c>
      <c r="AE290" s="583">
        <v>871325</v>
      </c>
      <c r="AF290" s="583">
        <v>0</v>
      </c>
      <c r="AG290" s="583">
        <v>268312</v>
      </c>
      <c r="AH290" s="583">
        <v>8861</v>
      </c>
      <c r="AI290" s="583">
        <v>47511</v>
      </c>
      <c r="AJ290" s="583">
        <v>0</v>
      </c>
      <c r="AK290" s="583">
        <v>324684</v>
      </c>
      <c r="AL290" s="583">
        <v>47511</v>
      </c>
      <c r="AM290" s="583">
        <v>533357</v>
      </c>
      <c r="AN290" s="583">
        <v>51779</v>
      </c>
      <c r="AO290" s="583">
        <v>-47511</v>
      </c>
      <c r="AP290" s="583">
        <v>0</v>
      </c>
      <c r="AQ290" s="583">
        <v>537625</v>
      </c>
      <c r="AR290" s="583">
        <v>0</v>
      </c>
      <c r="AS290" s="583">
        <v>176176</v>
      </c>
      <c r="AT290" s="583">
        <v>0</v>
      </c>
      <c r="AU290" s="583">
        <v>139647</v>
      </c>
      <c r="AV290" s="583">
        <v>0</v>
      </c>
      <c r="AW290" s="583">
        <v>315823</v>
      </c>
      <c r="AX290" s="583">
        <v>139647</v>
      </c>
      <c r="AY290" s="583">
        <v>341053</v>
      </c>
      <c r="AZ290" s="583">
        <v>12694</v>
      </c>
      <c r="BA290" s="583">
        <v>0</v>
      </c>
      <c r="BB290" s="583">
        <v>0</v>
      </c>
      <c r="BC290" s="583">
        <v>353747</v>
      </c>
      <c r="BD290" s="583">
        <v>139647</v>
      </c>
      <c r="BE290" s="583">
        <v>719608</v>
      </c>
      <c r="BF290" s="583">
        <v>0</v>
      </c>
      <c r="BG290" s="583">
        <v>-139647</v>
      </c>
      <c r="BH290" s="583">
        <v>0</v>
      </c>
      <c r="BI290" s="583">
        <v>579961</v>
      </c>
      <c r="BJ290" s="583">
        <v>0</v>
      </c>
      <c r="BK290" s="583">
        <v>267077</v>
      </c>
      <c r="BL290" s="583">
        <v>0</v>
      </c>
      <c r="BM290" s="583">
        <v>48746</v>
      </c>
      <c r="BN290" s="583">
        <v>0</v>
      </c>
      <c r="BO290" s="583">
        <v>315823</v>
      </c>
      <c r="BP290" s="583">
        <v>48746</v>
      </c>
      <c r="BQ290" s="583">
        <v>511794</v>
      </c>
      <c r="BR290" s="583">
        <v>83428</v>
      </c>
      <c r="BS290" s="583">
        <v>-48746</v>
      </c>
      <c r="BT290" s="583">
        <v>0</v>
      </c>
      <c r="BU290" s="583">
        <v>546476</v>
      </c>
      <c r="BV290" s="583">
        <v>0</v>
      </c>
    </row>
    <row r="291" spans="1:74" x14ac:dyDescent="0.2">
      <c r="A291" s="580">
        <v>13130</v>
      </c>
      <c r="B291" s="580" t="s">
        <v>277</v>
      </c>
      <c r="C291" s="583">
        <v>130066</v>
      </c>
      <c r="D291" s="583">
        <v>0</v>
      </c>
      <c r="E291" s="583">
        <v>76919</v>
      </c>
      <c r="F291" s="583">
        <v>0</v>
      </c>
      <c r="G291" s="583">
        <v>206985</v>
      </c>
      <c r="H291" s="583">
        <v>76919</v>
      </c>
      <c r="I291" s="583">
        <v>69165</v>
      </c>
      <c r="J291" s="583">
        <v>0</v>
      </c>
      <c r="K291" s="583">
        <v>137820</v>
      </c>
      <c r="L291" s="583">
        <v>0</v>
      </c>
      <c r="M291" s="583">
        <v>206985</v>
      </c>
      <c r="N291" s="583">
        <v>214739</v>
      </c>
      <c r="O291" s="583">
        <v>197311</v>
      </c>
      <c r="P291" s="583">
        <v>0</v>
      </c>
      <c r="Q291" s="583">
        <v>0</v>
      </c>
      <c r="R291" s="583">
        <v>0</v>
      </c>
      <c r="S291" s="583">
        <v>197311</v>
      </c>
      <c r="T291" s="583">
        <v>214739</v>
      </c>
      <c r="U291" s="583">
        <v>104769</v>
      </c>
      <c r="V291" s="583">
        <v>0</v>
      </c>
      <c r="W291" s="583">
        <v>102216</v>
      </c>
      <c r="X291" s="583">
        <v>0</v>
      </c>
      <c r="Y291" s="583">
        <v>206985</v>
      </c>
      <c r="Z291" s="583">
        <v>316955</v>
      </c>
      <c r="AA291" s="583">
        <v>911688</v>
      </c>
      <c r="AB291" s="583">
        <v>8415</v>
      </c>
      <c r="AC291" s="583">
        <v>-316955</v>
      </c>
      <c r="AD291" s="583">
        <v>0</v>
      </c>
      <c r="AE291" s="583">
        <v>603148</v>
      </c>
      <c r="AF291" s="583">
        <v>0</v>
      </c>
      <c r="AG291" s="583">
        <v>180582</v>
      </c>
      <c r="AH291" s="583">
        <v>5964</v>
      </c>
      <c r="AI291" s="583">
        <v>26403</v>
      </c>
      <c r="AJ291" s="583">
        <v>0</v>
      </c>
      <c r="AK291" s="583">
        <v>212949</v>
      </c>
      <c r="AL291" s="583">
        <v>26403</v>
      </c>
      <c r="AM291" s="583">
        <v>358965</v>
      </c>
      <c r="AN291" s="583">
        <v>34849</v>
      </c>
      <c r="AO291" s="583">
        <v>-26403</v>
      </c>
      <c r="AP291" s="583">
        <v>0</v>
      </c>
      <c r="AQ291" s="583">
        <v>367411</v>
      </c>
      <c r="AR291" s="583">
        <v>0</v>
      </c>
      <c r="AS291" s="583">
        <v>118572</v>
      </c>
      <c r="AT291" s="583">
        <v>0</v>
      </c>
      <c r="AU291" s="583">
        <v>88413</v>
      </c>
      <c r="AV291" s="583">
        <v>0</v>
      </c>
      <c r="AW291" s="583">
        <v>206985</v>
      </c>
      <c r="AX291" s="583">
        <v>88413</v>
      </c>
      <c r="AY291" s="583">
        <v>229539</v>
      </c>
      <c r="AZ291" s="583">
        <v>8543</v>
      </c>
      <c r="BA291" s="583">
        <v>0</v>
      </c>
      <c r="BB291" s="583">
        <v>0</v>
      </c>
      <c r="BC291" s="583">
        <v>238082</v>
      </c>
      <c r="BD291" s="583">
        <v>88413</v>
      </c>
      <c r="BE291" s="583">
        <v>484318</v>
      </c>
      <c r="BF291" s="583">
        <v>0</v>
      </c>
      <c r="BG291" s="583">
        <v>-88413</v>
      </c>
      <c r="BH291" s="583">
        <v>0</v>
      </c>
      <c r="BI291" s="583">
        <v>395905</v>
      </c>
      <c r="BJ291" s="583">
        <v>0</v>
      </c>
      <c r="BK291" s="583">
        <v>179751</v>
      </c>
      <c r="BL291" s="583">
        <v>0</v>
      </c>
      <c r="BM291" s="583">
        <v>27234</v>
      </c>
      <c r="BN291" s="583">
        <v>0</v>
      </c>
      <c r="BO291" s="583">
        <v>206985</v>
      </c>
      <c r="BP291" s="583">
        <v>27234</v>
      </c>
      <c r="BQ291" s="583">
        <v>344453</v>
      </c>
      <c r="BR291" s="583">
        <v>56149</v>
      </c>
      <c r="BS291" s="583">
        <v>-27234</v>
      </c>
      <c r="BT291" s="583">
        <v>0</v>
      </c>
      <c r="BU291" s="583">
        <v>373368</v>
      </c>
      <c r="BV291" s="583">
        <v>0</v>
      </c>
    </row>
    <row r="292" spans="1:74" x14ac:dyDescent="0.2">
      <c r="A292" s="580">
        <v>13131</v>
      </c>
      <c r="B292" s="580" t="s">
        <v>430</v>
      </c>
      <c r="C292" s="583">
        <v>392147</v>
      </c>
      <c r="D292" s="583">
        <v>0</v>
      </c>
      <c r="E292" s="583">
        <v>262750</v>
      </c>
      <c r="F292" s="583">
        <v>0</v>
      </c>
      <c r="G292" s="583">
        <v>654897</v>
      </c>
      <c r="H292" s="583">
        <v>262750</v>
      </c>
      <c r="I292" s="583">
        <v>208530</v>
      </c>
      <c r="J292" s="583">
        <v>0</v>
      </c>
      <c r="K292" s="583">
        <v>446367</v>
      </c>
      <c r="L292" s="583">
        <v>0</v>
      </c>
      <c r="M292" s="583">
        <v>654897</v>
      </c>
      <c r="N292" s="583">
        <v>709117</v>
      </c>
      <c r="O292" s="583">
        <v>594890</v>
      </c>
      <c r="P292" s="583">
        <v>0</v>
      </c>
      <c r="Q292" s="583">
        <v>0</v>
      </c>
      <c r="R292" s="583">
        <v>0</v>
      </c>
      <c r="S292" s="583">
        <v>594890</v>
      </c>
      <c r="T292" s="583">
        <v>709117</v>
      </c>
      <c r="U292" s="583">
        <v>315878</v>
      </c>
      <c r="V292" s="583">
        <v>0</v>
      </c>
      <c r="W292" s="583">
        <v>339019</v>
      </c>
      <c r="X292" s="583">
        <v>0</v>
      </c>
      <c r="Y292" s="583">
        <v>654897</v>
      </c>
      <c r="Z292" s="583">
        <v>1048136</v>
      </c>
      <c r="AA292" s="583">
        <v>2748725</v>
      </c>
      <c r="AB292" s="583">
        <v>25370</v>
      </c>
      <c r="AC292" s="583">
        <v>-1048136</v>
      </c>
      <c r="AD292" s="583">
        <v>0</v>
      </c>
      <c r="AE292" s="583">
        <v>1725959</v>
      </c>
      <c r="AF292" s="583">
        <v>0</v>
      </c>
      <c r="AG292" s="583">
        <v>544452</v>
      </c>
      <c r="AH292" s="583">
        <v>17980</v>
      </c>
      <c r="AI292" s="583">
        <v>110445</v>
      </c>
      <c r="AJ292" s="583">
        <v>0</v>
      </c>
      <c r="AK292" s="583">
        <v>672877</v>
      </c>
      <c r="AL292" s="583">
        <v>110445</v>
      </c>
      <c r="AM292" s="583">
        <v>1082274</v>
      </c>
      <c r="AN292" s="583">
        <v>105069</v>
      </c>
      <c r="AO292" s="583">
        <v>-87494</v>
      </c>
      <c r="AP292" s="583">
        <v>0</v>
      </c>
      <c r="AQ292" s="583">
        <v>1099849</v>
      </c>
      <c r="AR292" s="583">
        <v>22951</v>
      </c>
      <c r="AS292" s="583">
        <v>357492</v>
      </c>
      <c r="AT292" s="583">
        <v>0</v>
      </c>
      <c r="AU292" s="583">
        <v>297405</v>
      </c>
      <c r="AV292" s="583">
        <v>0</v>
      </c>
      <c r="AW292" s="583">
        <v>654897</v>
      </c>
      <c r="AX292" s="583">
        <v>320356</v>
      </c>
      <c r="AY292" s="583">
        <v>692057</v>
      </c>
      <c r="AZ292" s="583">
        <v>25758</v>
      </c>
      <c r="BA292" s="583">
        <v>0</v>
      </c>
      <c r="BB292" s="583">
        <v>0</v>
      </c>
      <c r="BC292" s="583">
        <v>717815</v>
      </c>
      <c r="BD292" s="583">
        <v>320356</v>
      </c>
      <c r="BE292" s="583">
        <v>1460209</v>
      </c>
      <c r="BF292" s="583">
        <v>0</v>
      </c>
      <c r="BG292" s="583">
        <v>-320356</v>
      </c>
      <c r="BH292" s="583">
        <v>0</v>
      </c>
      <c r="BI292" s="583">
        <v>1139853</v>
      </c>
      <c r="BJ292" s="583">
        <v>0</v>
      </c>
      <c r="BK292" s="583">
        <v>541946</v>
      </c>
      <c r="BL292" s="583">
        <v>0</v>
      </c>
      <c r="BM292" s="583">
        <v>112951</v>
      </c>
      <c r="BN292" s="583">
        <v>0</v>
      </c>
      <c r="BO292" s="583">
        <v>654897</v>
      </c>
      <c r="BP292" s="583">
        <v>112951</v>
      </c>
      <c r="BQ292" s="583">
        <v>1038519</v>
      </c>
      <c r="BR292" s="583">
        <v>169289</v>
      </c>
      <c r="BS292" s="583">
        <v>-112951</v>
      </c>
      <c r="BT292" s="583">
        <v>0</v>
      </c>
      <c r="BU292" s="583">
        <v>1094857</v>
      </c>
      <c r="BV292" s="583">
        <v>0</v>
      </c>
    </row>
    <row r="293" spans="1:74" x14ac:dyDescent="0.2">
      <c r="A293" s="580">
        <v>13132</v>
      </c>
      <c r="B293" s="580" t="s">
        <v>293</v>
      </c>
      <c r="C293" s="583">
        <v>73493</v>
      </c>
      <c r="D293" s="583">
        <v>0</v>
      </c>
      <c r="E293" s="583">
        <v>0</v>
      </c>
      <c r="F293" s="583">
        <v>0</v>
      </c>
      <c r="G293" s="583">
        <v>73493</v>
      </c>
      <c r="H293" s="583">
        <v>0</v>
      </c>
      <c r="I293" s="583">
        <v>39081</v>
      </c>
      <c r="J293" s="583">
        <v>0</v>
      </c>
      <c r="K293" s="583">
        <v>0</v>
      </c>
      <c r="L293" s="583">
        <v>0</v>
      </c>
      <c r="M293" s="583">
        <v>39081</v>
      </c>
      <c r="N293" s="583">
        <v>0</v>
      </c>
      <c r="O293" s="583">
        <v>111490</v>
      </c>
      <c r="P293" s="583">
        <v>0</v>
      </c>
      <c r="Q293" s="583">
        <v>0</v>
      </c>
      <c r="R293" s="583">
        <v>0</v>
      </c>
      <c r="S293" s="583">
        <v>111490</v>
      </c>
      <c r="T293" s="583">
        <v>0</v>
      </c>
      <c r="U293" s="583">
        <v>59199</v>
      </c>
      <c r="V293" s="583">
        <v>0</v>
      </c>
      <c r="W293" s="583">
        <v>0</v>
      </c>
      <c r="X293" s="583">
        <v>0</v>
      </c>
      <c r="Y293" s="583">
        <v>59199</v>
      </c>
      <c r="Z293" s="583">
        <v>0</v>
      </c>
      <c r="AA293" s="583">
        <v>515144</v>
      </c>
      <c r="AB293" s="583">
        <v>4755</v>
      </c>
      <c r="AC293" s="583">
        <v>0</v>
      </c>
      <c r="AD293" s="583">
        <v>0</v>
      </c>
      <c r="AE293" s="583">
        <v>519899</v>
      </c>
      <c r="AF293" s="583">
        <v>0</v>
      </c>
      <c r="AG293" s="583">
        <v>102037</v>
      </c>
      <c r="AH293" s="583">
        <v>3370</v>
      </c>
      <c r="AI293" s="583">
        <v>0</v>
      </c>
      <c r="AJ293" s="583">
        <v>0</v>
      </c>
      <c r="AK293" s="583">
        <v>105407</v>
      </c>
      <c r="AL293" s="583">
        <v>0</v>
      </c>
      <c r="AM293" s="583">
        <v>202831</v>
      </c>
      <c r="AN293" s="583">
        <v>19691</v>
      </c>
      <c r="AO293" s="583">
        <v>0</v>
      </c>
      <c r="AP293" s="583">
        <v>0</v>
      </c>
      <c r="AQ293" s="583">
        <v>222522</v>
      </c>
      <c r="AR293" s="583">
        <v>0</v>
      </c>
      <c r="AS293" s="583">
        <v>66998</v>
      </c>
      <c r="AT293" s="583">
        <v>0</v>
      </c>
      <c r="AU293" s="583">
        <v>0</v>
      </c>
      <c r="AV293" s="583">
        <v>0</v>
      </c>
      <c r="AW293" s="583">
        <v>66998</v>
      </c>
      <c r="AX293" s="583">
        <v>0</v>
      </c>
      <c r="AY293" s="583">
        <v>129700</v>
      </c>
      <c r="AZ293" s="583">
        <v>4827</v>
      </c>
      <c r="BA293" s="583">
        <v>0</v>
      </c>
      <c r="BB293" s="583">
        <v>0</v>
      </c>
      <c r="BC293" s="583">
        <v>134527</v>
      </c>
      <c r="BD293" s="583">
        <v>0</v>
      </c>
      <c r="BE293" s="583">
        <v>273661</v>
      </c>
      <c r="BF293" s="583">
        <v>0</v>
      </c>
      <c r="BG293" s="583">
        <v>0</v>
      </c>
      <c r="BH293" s="583">
        <v>0</v>
      </c>
      <c r="BI293" s="583">
        <v>273661</v>
      </c>
      <c r="BJ293" s="583">
        <v>0</v>
      </c>
      <c r="BK293" s="583">
        <v>101567</v>
      </c>
      <c r="BL293" s="583">
        <v>0</v>
      </c>
      <c r="BM293" s="583">
        <v>0</v>
      </c>
      <c r="BN293" s="583">
        <v>0</v>
      </c>
      <c r="BO293" s="583">
        <v>101567</v>
      </c>
      <c r="BP293" s="583">
        <v>0</v>
      </c>
      <c r="BQ293" s="583">
        <v>194631</v>
      </c>
      <c r="BR293" s="583">
        <v>31727</v>
      </c>
      <c r="BS293" s="583">
        <v>0</v>
      </c>
      <c r="BT293" s="583">
        <v>0</v>
      </c>
      <c r="BU293" s="583">
        <v>226358</v>
      </c>
      <c r="BV293" s="583">
        <v>0</v>
      </c>
    </row>
    <row r="294" spans="1:74" x14ac:dyDescent="0.2">
      <c r="A294" s="580">
        <v>13201</v>
      </c>
      <c r="B294" s="580" t="s">
        <v>303</v>
      </c>
      <c r="C294" s="583">
        <v>2500216</v>
      </c>
      <c r="D294" s="583">
        <v>0</v>
      </c>
      <c r="E294" s="583">
        <v>1675220</v>
      </c>
      <c r="F294" s="583">
        <v>0</v>
      </c>
      <c r="G294" s="583">
        <v>4175436</v>
      </c>
      <c r="H294" s="583">
        <v>1675220</v>
      </c>
      <c r="I294" s="583">
        <v>1329531</v>
      </c>
      <c r="J294" s="583">
        <v>0</v>
      </c>
      <c r="K294" s="583">
        <v>2845905</v>
      </c>
      <c r="L294" s="583">
        <v>0</v>
      </c>
      <c r="M294" s="583">
        <v>4175436</v>
      </c>
      <c r="N294" s="583">
        <v>4521125</v>
      </c>
      <c r="O294" s="583">
        <v>3792851</v>
      </c>
      <c r="P294" s="583">
        <v>0</v>
      </c>
      <c r="Q294" s="583">
        <v>0</v>
      </c>
      <c r="R294" s="583">
        <v>0</v>
      </c>
      <c r="S294" s="583">
        <v>3792851</v>
      </c>
      <c r="T294" s="583">
        <v>4521125</v>
      </c>
      <c r="U294" s="583">
        <v>2013945</v>
      </c>
      <c r="V294" s="583">
        <v>0</v>
      </c>
      <c r="W294" s="583">
        <v>2161491</v>
      </c>
      <c r="X294" s="583">
        <v>0</v>
      </c>
      <c r="Y294" s="583">
        <v>4175436</v>
      </c>
      <c r="Z294" s="583">
        <v>6682616</v>
      </c>
      <c r="AA294" s="583">
        <v>17525090</v>
      </c>
      <c r="AB294" s="583">
        <v>161752</v>
      </c>
      <c r="AC294" s="583">
        <v>-6682616</v>
      </c>
      <c r="AD294" s="583">
        <v>0</v>
      </c>
      <c r="AE294" s="583">
        <v>11004226</v>
      </c>
      <c r="AF294" s="583">
        <v>0</v>
      </c>
      <c r="AG294" s="583">
        <v>3471273</v>
      </c>
      <c r="AH294" s="583">
        <v>114635</v>
      </c>
      <c r="AI294" s="583">
        <v>704163</v>
      </c>
      <c r="AJ294" s="583">
        <v>0</v>
      </c>
      <c r="AK294" s="583">
        <v>4290071</v>
      </c>
      <c r="AL294" s="583">
        <v>704163</v>
      </c>
      <c r="AM294" s="583">
        <v>6900272</v>
      </c>
      <c r="AN294" s="583">
        <v>669891</v>
      </c>
      <c r="AO294" s="583">
        <v>-557837</v>
      </c>
      <c r="AP294" s="583">
        <v>0</v>
      </c>
      <c r="AQ294" s="583">
        <v>7012326</v>
      </c>
      <c r="AR294" s="583">
        <v>146326</v>
      </c>
      <c r="AS294" s="583">
        <v>2279265</v>
      </c>
      <c r="AT294" s="583">
        <v>0</v>
      </c>
      <c r="AU294" s="583">
        <v>1896171</v>
      </c>
      <c r="AV294" s="583">
        <v>0</v>
      </c>
      <c r="AW294" s="583">
        <v>4175436</v>
      </c>
      <c r="AX294" s="583">
        <v>2042497</v>
      </c>
      <c r="AY294" s="583">
        <v>4412355</v>
      </c>
      <c r="AZ294" s="583">
        <v>164224</v>
      </c>
      <c r="BA294" s="583">
        <v>0</v>
      </c>
      <c r="BB294" s="583">
        <v>0</v>
      </c>
      <c r="BC294" s="583">
        <v>4576579</v>
      </c>
      <c r="BD294" s="583">
        <v>2042497</v>
      </c>
      <c r="BE294" s="583">
        <v>9309879</v>
      </c>
      <c r="BF294" s="583">
        <v>0</v>
      </c>
      <c r="BG294" s="583">
        <v>-2042497</v>
      </c>
      <c r="BH294" s="583">
        <v>0</v>
      </c>
      <c r="BI294" s="583">
        <v>7267382</v>
      </c>
      <c r="BJ294" s="583">
        <v>0</v>
      </c>
      <c r="BK294" s="583">
        <v>3455294</v>
      </c>
      <c r="BL294" s="583">
        <v>0</v>
      </c>
      <c r="BM294" s="583">
        <v>720142</v>
      </c>
      <c r="BN294" s="583">
        <v>0</v>
      </c>
      <c r="BO294" s="583">
        <v>4175436</v>
      </c>
      <c r="BP294" s="583">
        <v>720142</v>
      </c>
      <c r="BQ294" s="583">
        <v>6621300</v>
      </c>
      <c r="BR294" s="583">
        <v>1079340</v>
      </c>
      <c r="BS294" s="583">
        <v>-720142</v>
      </c>
      <c r="BT294" s="583">
        <v>0</v>
      </c>
      <c r="BU294" s="583">
        <v>6980498</v>
      </c>
      <c r="BV294" s="583">
        <v>0</v>
      </c>
    </row>
    <row r="295" spans="1:74" x14ac:dyDescent="0.2">
      <c r="A295" s="580">
        <v>13202</v>
      </c>
      <c r="B295" s="580" t="s">
        <v>304</v>
      </c>
      <c r="C295" s="583">
        <v>71843</v>
      </c>
      <c r="D295" s="583">
        <v>0</v>
      </c>
      <c r="E295" s="583">
        <v>44473</v>
      </c>
      <c r="F295" s="583">
        <v>0</v>
      </c>
      <c r="G295" s="583">
        <v>116316</v>
      </c>
      <c r="H295" s="583">
        <v>44473</v>
      </c>
      <c r="I295" s="583">
        <v>38204</v>
      </c>
      <c r="J295" s="583">
        <v>0</v>
      </c>
      <c r="K295" s="583">
        <v>78112</v>
      </c>
      <c r="L295" s="583">
        <v>0</v>
      </c>
      <c r="M295" s="583">
        <v>116316</v>
      </c>
      <c r="N295" s="583">
        <v>122585</v>
      </c>
      <c r="O295" s="583">
        <v>108986</v>
      </c>
      <c r="P295" s="583">
        <v>0</v>
      </c>
      <c r="Q295" s="583">
        <v>0</v>
      </c>
      <c r="R295" s="583">
        <v>0</v>
      </c>
      <c r="S295" s="583">
        <v>108986</v>
      </c>
      <c r="T295" s="583">
        <v>122585</v>
      </c>
      <c r="U295" s="583">
        <v>57870</v>
      </c>
      <c r="V295" s="583">
        <v>0</v>
      </c>
      <c r="W295" s="583">
        <v>58446</v>
      </c>
      <c r="X295" s="583">
        <v>0</v>
      </c>
      <c r="Y295" s="583">
        <v>116316</v>
      </c>
      <c r="Z295" s="583">
        <v>181031</v>
      </c>
      <c r="AA295" s="583">
        <v>503578</v>
      </c>
      <c r="AB295" s="583">
        <v>4648</v>
      </c>
      <c r="AC295" s="583">
        <v>-181031</v>
      </c>
      <c r="AD295" s="583">
        <v>0</v>
      </c>
      <c r="AE295" s="583">
        <v>327195</v>
      </c>
      <c r="AF295" s="583">
        <v>0</v>
      </c>
      <c r="AG295" s="583">
        <v>99746</v>
      </c>
      <c r="AH295" s="583">
        <v>3294</v>
      </c>
      <c r="AI295" s="583">
        <v>16570</v>
      </c>
      <c r="AJ295" s="583">
        <v>0</v>
      </c>
      <c r="AK295" s="583">
        <v>119610</v>
      </c>
      <c r="AL295" s="583">
        <v>16570</v>
      </c>
      <c r="AM295" s="583">
        <v>198277</v>
      </c>
      <c r="AN295" s="583">
        <v>19249</v>
      </c>
      <c r="AO295" s="583">
        <v>-16570</v>
      </c>
      <c r="AP295" s="583">
        <v>0</v>
      </c>
      <c r="AQ295" s="583">
        <v>200956</v>
      </c>
      <c r="AR295" s="583">
        <v>0</v>
      </c>
      <c r="AS295" s="583">
        <v>65494</v>
      </c>
      <c r="AT295" s="583">
        <v>0</v>
      </c>
      <c r="AU295" s="583">
        <v>50822</v>
      </c>
      <c r="AV295" s="583">
        <v>0</v>
      </c>
      <c r="AW295" s="583">
        <v>116316</v>
      </c>
      <c r="AX295" s="583">
        <v>50822</v>
      </c>
      <c r="AY295" s="583">
        <v>126788</v>
      </c>
      <c r="AZ295" s="583">
        <v>4719</v>
      </c>
      <c r="BA295" s="583">
        <v>0</v>
      </c>
      <c r="BB295" s="583">
        <v>0</v>
      </c>
      <c r="BC295" s="583">
        <v>131507</v>
      </c>
      <c r="BD295" s="583">
        <v>50822</v>
      </c>
      <c r="BE295" s="583">
        <v>267516</v>
      </c>
      <c r="BF295" s="583">
        <v>0</v>
      </c>
      <c r="BG295" s="583">
        <v>-50822</v>
      </c>
      <c r="BH295" s="583">
        <v>0</v>
      </c>
      <c r="BI295" s="583">
        <v>216694</v>
      </c>
      <c r="BJ295" s="583">
        <v>0</v>
      </c>
      <c r="BK295" s="583">
        <v>99287</v>
      </c>
      <c r="BL295" s="583">
        <v>0</v>
      </c>
      <c r="BM295" s="583">
        <v>17029</v>
      </c>
      <c r="BN295" s="583">
        <v>0</v>
      </c>
      <c r="BO295" s="583">
        <v>116316</v>
      </c>
      <c r="BP295" s="583">
        <v>17029</v>
      </c>
      <c r="BQ295" s="583">
        <v>190261</v>
      </c>
      <c r="BR295" s="583">
        <v>31015</v>
      </c>
      <c r="BS295" s="583">
        <v>-17029</v>
      </c>
      <c r="BT295" s="583">
        <v>0</v>
      </c>
      <c r="BU295" s="583">
        <v>204247</v>
      </c>
      <c r="BV295" s="583">
        <v>0</v>
      </c>
    </row>
    <row r="296" spans="1:74" x14ac:dyDescent="0.2">
      <c r="A296" s="580">
        <v>13203</v>
      </c>
      <c r="B296" s="580" t="s">
        <v>431</v>
      </c>
      <c r="C296" s="583">
        <v>71473</v>
      </c>
      <c r="D296" s="583">
        <v>0</v>
      </c>
      <c r="E296" s="583">
        <v>44424</v>
      </c>
      <c r="F296" s="583">
        <v>0</v>
      </c>
      <c r="G296" s="583">
        <v>115897</v>
      </c>
      <c r="H296" s="583">
        <v>44424</v>
      </c>
      <c r="I296" s="583">
        <v>38007</v>
      </c>
      <c r="J296" s="583">
        <v>0</v>
      </c>
      <c r="K296" s="583">
        <v>77890</v>
      </c>
      <c r="L296" s="583">
        <v>0</v>
      </c>
      <c r="M296" s="583">
        <v>115897</v>
      </c>
      <c r="N296" s="583">
        <v>122314</v>
      </c>
      <c r="O296" s="583">
        <v>108425</v>
      </c>
      <c r="P296" s="583">
        <v>0</v>
      </c>
      <c r="Q296" s="583">
        <v>0</v>
      </c>
      <c r="R296" s="583">
        <v>0</v>
      </c>
      <c r="S296" s="583">
        <v>108425</v>
      </c>
      <c r="T296" s="583">
        <v>122314</v>
      </c>
      <c r="U296" s="583">
        <v>57572</v>
      </c>
      <c r="V296" s="583">
        <v>0</v>
      </c>
      <c r="W296" s="583">
        <v>58325</v>
      </c>
      <c r="X296" s="583">
        <v>0</v>
      </c>
      <c r="Y296" s="583">
        <v>115897</v>
      </c>
      <c r="Z296" s="583">
        <v>180639</v>
      </c>
      <c r="AA296" s="583">
        <v>500985</v>
      </c>
      <c r="AB296" s="583">
        <v>4624</v>
      </c>
      <c r="AC296" s="583">
        <v>-180639</v>
      </c>
      <c r="AD296" s="583">
        <v>0</v>
      </c>
      <c r="AE296" s="583">
        <v>324970</v>
      </c>
      <c r="AF296" s="583">
        <v>0</v>
      </c>
      <c r="AG296" s="583">
        <v>99232</v>
      </c>
      <c r="AH296" s="583">
        <v>3277</v>
      </c>
      <c r="AI296" s="583">
        <v>16665</v>
      </c>
      <c r="AJ296" s="583">
        <v>0</v>
      </c>
      <c r="AK296" s="583">
        <v>119174</v>
      </c>
      <c r="AL296" s="583">
        <v>16665</v>
      </c>
      <c r="AM296" s="583">
        <v>197256</v>
      </c>
      <c r="AN296" s="583">
        <v>19150</v>
      </c>
      <c r="AO296" s="583">
        <v>-16665</v>
      </c>
      <c r="AP296" s="583">
        <v>0</v>
      </c>
      <c r="AQ296" s="583">
        <v>199741</v>
      </c>
      <c r="AR296" s="583">
        <v>0</v>
      </c>
      <c r="AS296" s="583">
        <v>65157</v>
      </c>
      <c r="AT296" s="583">
        <v>0</v>
      </c>
      <c r="AU296" s="583">
        <v>50740</v>
      </c>
      <c r="AV296" s="583">
        <v>0</v>
      </c>
      <c r="AW296" s="583">
        <v>115897</v>
      </c>
      <c r="AX296" s="583">
        <v>50740</v>
      </c>
      <c r="AY296" s="583">
        <v>126135</v>
      </c>
      <c r="AZ296" s="583">
        <v>4695</v>
      </c>
      <c r="BA296" s="583">
        <v>0</v>
      </c>
      <c r="BB296" s="583">
        <v>0</v>
      </c>
      <c r="BC296" s="583">
        <v>130830</v>
      </c>
      <c r="BD296" s="583">
        <v>50740</v>
      </c>
      <c r="BE296" s="583">
        <v>266139</v>
      </c>
      <c r="BF296" s="583">
        <v>0</v>
      </c>
      <c r="BG296" s="583">
        <v>-50740</v>
      </c>
      <c r="BH296" s="583">
        <v>0</v>
      </c>
      <c r="BI296" s="583">
        <v>215399</v>
      </c>
      <c r="BJ296" s="583">
        <v>0</v>
      </c>
      <c r="BK296" s="583">
        <v>98776</v>
      </c>
      <c r="BL296" s="583">
        <v>0</v>
      </c>
      <c r="BM296" s="583">
        <v>17121</v>
      </c>
      <c r="BN296" s="583">
        <v>0</v>
      </c>
      <c r="BO296" s="583">
        <v>115897</v>
      </c>
      <c r="BP296" s="583">
        <v>17121</v>
      </c>
      <c r="BQ296" s="583">
        <v>189281</v>
      </c>
      <c r="BR296" s="583">
        <v>30855</v>
      </c>
      <c r="BS296" s="583">
        <v>-17121</v>
      </c>
      <c r="BT296" s="583">
        <v>0</v>
      </c>
      <c r="BU296" s="583">
        <v>203015</v>
      </c>
      <c r="BV296" s="583">
        <v>0</v>
      </c>
    </row>
    <row r="297" spans="1:74" x14ac:dyDescent="0.2">
      <c r="A297" s="580">
        <v>13301</v>
      </c>
      <c r="B297" s="580" t="s">
        <v>300</v>
      </c>
      <c r="C297" s="583">
        <v>213328</v>
      </c>
      <c r="D297" s="583">
        <v>0</v>
      </c>
      <c r="E297" s="583">
        <v>128563</v>
      </c>
      <c r="F297" s="583">
        <v>0</v>
      </c>
      <c r="G297" s="583">
        <v>341891</v>
      </c>
      <c r="H297" s="583">
        <v>128563</v>
      </c>
      <c r="I297" s="583">
        <v>113440</v>
      </c>
      <c r="J297" s="583">
        <v>0</v>
      </c>
      <c r="K297" s="583">
        <v>228451</v>
      </c>
      <c r="L297" s="583">
        <v>0</v>
      </c>
      <c r="M297" s="583">
        <v>341891</v>
      </c>
      <c r="N297" s="583">
        <v>357014</v>
      </c>
      <c r="O297" s="583">
        <v>323620</v>
      </c>
      <c r="P297" s="583">
        <v>0</v>
      </c>
      <c r="Q297" s="583">
        <v>0</v>
      </c>
      <c r="R297" s="583">
        <v>0</v>
      </c>
      <c r="S297" s="583">
        <v>323620</v>
      </c>
      <c r="T297" s="583">
        <v>357014</v>
      </c>
      <c r="U297" s="583">
        <v>171837</v>
      </c>
      <c r="V297" s="583">
        <v>0</v>
      </c>
      <c r="W297" s="583">
        <v>170054</v>
      </c>
      <c r="X297" s="583">
        <v>0</v>
      </c>
      <c r="Y297" s="583">
        <v>341891</v>
      </c>
      <c r="Z297" s="583">
        <v>527068</v>
      </c>
      <c r="AA297" s="583">
        <v>1495304</v>
      </c>
      <c r="AB297" s="583">
        <v>13801</v>
      </c>
      <c r="AC297" s="583">
        <v>-527068</v>
      </c>
      <c r="AD297" s="583">
        <v>0</v>
      </c>
      <c r="AE297" s="583">
        <v>982037</v>
      </c>
      <c r="AF297" s="583">
        <v>0</v>
      </c>
      <c r="AG297" s="583">
        <v>296182</v>
      </c>
      <c r="AH297" s="583">
        <v>9781</v>
      </c>
      <c r="AI297" s="583">
        <v>45709</v>
      </c>
      <c r="AJ297" s="583">
        <v>0</v>
      </c>
      <c r="AK297" s="583">
        <v>351672</v>
      </c>
      <c r="AL297" s="583">
        <v>45709</v>
      </c>
      <c r="AM297" s="583">
        <v>588756</v>
      </c>
      <c r="AN297" s="583">
        <v>57158</v>
      </c>
      <c r="AO297" s="583">
        <v>-45709</v>
      </c>
      <c r="AP297" s="583">
        <v>0</v>
      </c>
      <c r="AQ297" s="583">
        <v>600205</v>
      </c>
      <c r="AR297" s="583">
        <v>0</v>
      </c>
      <c r="AS297" s="583">
        <v>194475</v>
      </c>
      <c r="AT297" s="583">
        <v>0</v>
      </c>
      <c r="AU297" s="583">
        <v>147416</v>
      </c>
      <c r="AV297" s="583">
        <v>0</v>
      </c>
      <c r="AW297" s="583">
        <v>341891</v>
      </c>
      <c r="AX297" s="583">
        <v>147416</v>
      </c>
      <c r="AY297" s="583">
        <v>376478</v>
      </c>
      <c r="AZ297" s="583">
        <v>14012</v>
      </c>
      <c r="BA297" s="583">
        <v>0</v>
      </c>
      <c r="BB297" s="583">
        <v>0</v>
      </c>
      <c r="BC297" s="583">
        <v>390490</v>
      </c>
      <c r="BD297" s="583">
        <v>147416</v>
      </c>
      <c r="BE297" s="583">
        <v>794353</v>
      </c>
      <c r="BF297" s="583">
        <v>0</v>
      </c>
      <c r="BG297" s="583">
        <v>-147416</v>
      </c>
      <c r="BH297" s="583">
        <v>0</v>
      </c>
      <c r="BI297" s="583">
        <v>646937</v>
      </c>
      <c r="BJ297" s="583">
        <v>0</v>
      </c>
      <c r="BK297" s="583">
        <v>294818</v>
      </c>
      <c r="BL297" s="583">
        <v>0</v>
      </c>
      <c r="BM297" s="583">
        <v>47073</v>
      </c>
      <c r="BN297" s="583">
        <v>0</v>
      </c>
      <c r="BO297" s="583">
        <v>341891</v>
      </c>
      <c r="BP297" s="583">
        <v>47073</v>
      </c>
      <c r="BQ297" s="583">
        <v>564953</v>
      </c>
      <c r="BR297" s="583">
        <v>92093</v>
      </c>
      <c r="BS297" s="583">
        <v>-47073</v>
      </c>
      <c r="BT297" s="583">
        <v>0</v>
      </c>
      <c r="BU297" s="583">
        <v>609973</v>
      </c>
      <c r="BV297" s="583">
        <v>0</v>
      </c>
    </row>
    <row r="298" spans="1:74" x14ac:dyDescent="0.2">
      <c r="A298" s="580">
        <v>13302</v>
      </c>
      <c r="B298" s="580" t="s">
        <v>301</v>
      </c>
      <c r="C298" s="583">
        <v>187043</v>
      </c>
      <c r="D298" s="583">
        <v>0</v>
      </c>
      <c r="E298" s="583">
        <v>114688</v>
      </c>
      <c r="F298" s="583">
        <v>0</v>
      </c>
      <c r="G298" s="583">
        <v>301731</v>
      </c>
      <c r="H298" s="583">
        <v>114688</v>
      </c>
      <c r="I298" s="583">
        <v>99463</v>
      </c>
      <c r="J298" s="583">
        <v>0</v>
      </c>
      <c r="K298" s="583">
        <v>202268</v>
      </c>
      <c r="L298" s="583">
        <v>0</v>
      </c>
      <c r="M298" s="583">
        <v>301731</v>
      </c>
      <c r="N298" s="583">
        <v>316956</v>
      </c>
      <c r="O298" s="583">
        <v>283746</v>
      </c>
      <c r="P298" s="583">
        <v>0</v>
      </c>
      <c r="Q298" s="583">
        <v>0</v>
      </c>
      <c r="R298" s="583">
        <v>0</v>
      </c>
      <c r="S298" s="583">
        <v>283746</v>
      </c>
      <c r="T298" s="583">
        <v>316956</v>
      </c>
      <c r="U298" s="583">
        <v>150665</v>
      </c>
      <c r="V298" s="583">
        <v>0</v>
      </c>
      <c r="W298" s="583">
        <v>151066</v>
      </c>
      <c r="X298" s="583">
        <v>0</v>
      </c>
      <c r="Y298" s="583">
        <v>301731</v>
      </c>
      <c r="Z298" s="583">
        <v>468022</v>
      </c>
      <c r="AA298" s="583">
        <v>1311065</v>
      </c>
      <c r="AB298" s="583">
        <v>12101</v>
      </c>
      <c r="AC298" s="583">
        <v>-468022</v>
      </c>
      <c r="AD298" s="583">
        <v>0</v>
      </c>
      <c r="AE298" s="583">
        <v>855144</v>
      </c>
      <c r="AF298" s="583">
        <v>0</v>
      </c>
      <c r="AG298" s="583">
        <v>259688</v>
      </c>
      <c r="AH298" s="583">
        <v>8576</v>
      </c>
      <c r="AI298" s="583">
        <v>42043</v>
      </c>
      <c r="AJ298" s="583">
        <v>0</v>
      </c>
      <c r="AK298" s="583">
        <v>310307</v>
      </c>
      <c r="AL298" s="583">
        <v>42043</v>
      </c>
      <c r="AM298" s="583">
        <v>516214</v>
      </c>
      <c r="AN298" s="583">
        <v>50115</v>
      </c>
      <c r="AO298" s="583">
        <v>-42043</v>
      </c>
      <c r="AP298" s="583">
        <v>0</v>
      </c>
      <c r="AQ298" s="583">
        <v>524286</v>
      </c>
      <c r="AR298" s="583">
        <v>0</v>
      </c>
      <c r="AS298" s="583">
        <v>170513</v>
      </c>
      <c r="AT298" s="583">
        <v>0</v>
      </c>
      <c r="AU298" s="583">
        <v>131218</v>
      </c>
      <c r="AV298" s="583">
        <v>0</v>
      </c>
      <c r="AW298" s="583">
        <v>301731</v>
      </c>
      <c r="AX298" s="583">
        <v>131218</v>
      </c>
      <c r="AY298" s="583">
        <v>330092</v>
      </c>
      <c r="AZ298" s="583">
        <v>12286</v>
      </c>
      <c r="BA298" s="583">
        <v>0</v>
      </c>
      <c r="BB298" s="583">
        <v>0</v>
      </c>
      <c r="BC298" s="583">
        <v>342378</v>
      </c>
      <c r="BD298" s="583">
        <v>131218</v>
      </c>
      <c r="BE298" s="583">
        <v>696479</v>
      </c>
      <c r="BF298" s="583">
        <v>0</v>
      </c>
      <c r="BG298" s="583">
        <v>-131218</v>
      </c>
      <c r="BH298" s="583">
        <v>0</v>
      </c>
      <c r="BI298" s="583">
        <v>565261</v>
      </c>
      <c r="BJ298" s="583">
        <v>0</v>
      </c>
      <c r="BK298" s="583">
        <v>258493</v>
      </c>
      <c r="BL298" s="583">
        <v>0</v>
      </c>
      <c r="BM298" s="583">
        <v>43238</v>
      </c>
      <c r="BN298" s="583">
        <v>0</v>
      </c>
      <c r="BO298" s="583">
        <v>301731</v>
      </c>
      <c r="BP298" s="583">
        <v>43238</v>
      </c>
      <c r="BQ298" s="583">
        <v>495344</v>
      </c>
      <c r="BR298" s="583">
        <v>80746</v>
      </c>
      <c r="BS298" s="583">
        <v>-43238</v>
      </c>
      <c r="BT298" s="583">
        <v>0</v>
      </c>
      <c r="BU298" s="583">
        <v>532852</v>
      </c>
      <c r="BV298" s="583">
        <v>0</v>
      </c>
    </row>
    <row r="299" spans="1:74" x14ac:dyDescent="0.2">
      <c r="A299" s="580">
        <v>13303</v>
      </c>
      <c r="B299" s="580" t="s">
        <v>302</v>
      </c>
      <c r="C299" s="583">
        <v>80746</v>
      </c>
      <c r="D299" s="583">
        <v>0</v>
      </c>
      <c r="E299" s="583">
        <v>47531</v>
      </c>
      <c r="F299" s="583">
        <v>0</v>
      </c>
      <c r="G299" s="583">
        <v>128277</v>
      </c>
      <c r="H299" s="583">
        <v>47531</v>
      </c>
      <c r="I299" s="583">
        <v>42938</v>
      </c>
      <c r="J299" s="583">
        <v>0</v>
      </c>
      <c r="K299" s="583">
        <v>85339</v>
      </c>
      <c r="L299" s="583">
        <v>0</v>
      </c>
      <c r="M299" s="583">
        <v>128277</v>
      </c>
      <c r="N299" s="583">
        <v>132870</v>
      </c>
      <c r="O299" s="583">
        <v>122492</v>
      </c>
      <c r="P299" s="583">
        <v>0</v>
      </c>
      <c r="Q299" s="583">
        <v>0</v>
      </c>
      <c r="R299" s="583">
        <v>0</v>
      </c>
      <c r="S299" s="583">
        <v>122492</v>
      </c>
      <c r="T299" s="583">
        <v>132870</v>
      </c>
      <c r="U299" s="583">
        <v>65041</v>
      </c>
      <c r="V299" s="583">
        <v>0</v>
      </c>
      <c r="W299" s="583">
        <v>63236</v>
      </c>
      <c r="X299" s="583">
        <v>0</v>
      </c>
      <c r="Y299" s="583">
        <v>128277</v>
      </c>
      <c r="Z299" s="583">
        <v>196106</v>
      </c>
      <c r="AA299" s="583">
        <v>565982</v>
      </c>
      <c r="AB299" s="583">
        <v>5224</v>
      </c>
      <c r="AC299" s="583">
        <v>-196106</v>
      </c>
      <c r="AD299" s="583">
        <v>0</v>
      </c>
      <c r="AE299" s="583">
        <v>375100</v>
      </c>
      <c r="AF299" s="583">
        <v>0</v>
      </c>
      <c r="AG299" s="583">
        <v>112107</v>
      </c>
      <c r="AH299" s="583">
        <v>3702</v>
      </c>
      <c r="AI299" s="583">
        <v>16170</v>
      </c>
      <c r="AJ299" s="583">
        <v>0</v>
      </c>
      <c r="AK299" s="583">
        <v>131979</v>
      </c>
      <c r="AL299" s="583">
        <v>16170</v>
      </c>
      <c r="AM299" s="583">
        <v>222848</v>
      </c>
      <c r="AN299" s="583">
        <v>21634</v>
      </c>
      <c r="AO299" s="583">
        <v>-16170</v>
      </c>
      <c r="AP299" s="583">
        <v>0</v>
      </c>
      <c r="AQ299" s="583">
        <v>228312</v>
      </c>
      <c r="AR299" s="583">
        <v>0</v>
      </c>
      <c r="AS299" s="583">
        <v>73610</v>
      </c>
      <c r="AT299" s="583">
        <v>0</v>
      </c>
      <c r="AU299" s="583">
        <v>54667</v>
      </c>
      <c r="AV299" s="583">
        <v>0</v>
      </c>
      <c r="AW299" s="583">
        <v>128277</v>
      </c>
      <c r="AX299" s="583">
        <v>54667</v>
      </c>
      <c r="AY299" s="583">
        <v>142499</v>
      </c>
      <c r="AZ299" s="583">
        <v>5304</v>
      </c>
      <c r="BA299" s="583">
        <v>0</v>
      </c>
      <c r="BB299" s="583">
        <v>0</v>
      </c>
      <c r="BC299" s="583">
        <v>147803</v>
      </c>
      <c r="BD299" s="583">
        <v>54667</v>
      </c>
      <c r="BE299" s="583">
        <v>300668</v>
      </c>
      <c r="BF299" s="583">
        <v>0</v>
      </c>
      <c r="BG299" s="583">
        <v>-54667</v>
      </c>
      <c r="BH299" s="583">
        <v>0</v>
      </c>
      <c r="BI299" s="583">
        <v>246001</v>
      </c>
      <c r="BJ299" s="583">
        <v>0</v>
      </c>
      <c r="BK299" s="583">
        <v>111591</v>
      </c>
      <c r="BL299" s="583">
        <v>0</v>
      </c>
      <c r="BM299" s="583">
        <v>16686</v>
      </c>
      <c r="BN299" s="583">
        <v>0</v>
      </c>
      <c r="BO299" s="583">
        <v>128277</v>
      </c>
      <c r="BP299" s="583">
        <v>16686</v>
      </c>
      <c r="BQ299" s="583">
        <v>213838</v>
      </c>
      <c r="BR299" s="583">
        <v>34858</v>
      </c>
      <c r="BS299" s="583">
        <v>-16686</v>
      </c>
      <c r="BT299" s="583">
        <v>0</v>
      </c>
      <c r="BU299" s="583">
        <v>232010</v>
      </c>
      <c r="BV299" s="583">
        <v>0</v>
      </c>
    </row>
    <row r="300" spans="1:74" x14ac:dyDescent="0.2">
      <c r="A300" s="580">
        <v>13401</v>
      </c>
      <c r="B300" s="580" t="s">
        <v>305</v>
      </c>
      <c r="C300" s="583">
        <v>751110</v>
      </c>
      <c r="D300" s="583">
        <v>0</v>
      </c>
      <c r="E300" s="583">
        <v>503266</v>
      </c>
      <c r="F300" s="583">
        <v>0</v>
      </c>
      <c r="G300" s="583">
        <v>1254376</v>
      </c>
      <c r="H300" s="583">
        <v>503266</v>
      </c>
      <c r="I300" s="583">
        <v>399415</v>
      </c>
      <c r="J300" s="583">
        <v>0</v>
      </c>
      <c r="K300" s="583">
        <v>854961</v>
      </c>
      <c r="L300" s="583">
        <v>0</v>
      </c>
      <c r="M300" s="583">
        <v>1254376</v>
      </c>
      <c r="N300" s="583">
        <v>1358227</v>
      </c>
      <c r="O300" s="583">
        <v>1139441</v>
      </c>
      <c r="P300" s="583">
        <v>0</v>
      </c>
      <c r="Q300" s="583">
        <v>0</v>
      </c>
      <c r="R300" s="583">
        <v>0</v>
      </c>
      <c r="S300" s="583">
        <v>1139441</v>
      </c>
      <c r="T300" s="583">
        <v>1358227</v>
      </c>
      <c r="U300" s="583">
        <v>605025</v>
      </c>
      <c r="V300" s="583">
        <v>0</v>
      </c>
      <c r="W300" s="583">
        <v>649351</v>
      </c>
      <c r="X300" s="583">
        <v>0</v>
      </c>
      <c r="Y300" s="583">
        <v>1254376</v>
      </c>
      <c r="Z300" s="583">
        <v>2007578</v>
      </c>
      <c r="AA300" s="583">
        <v>5264852</v>
      </c>
      <c r="AB300" s="583">
        <v>48593</v>
      </c>
      <c r="AC300" s="583">
        <v>-2007578</v>
      </c>
      <c r="AD300" s="583">
        <v>0</v>
      </c>
      <c r="AE300" s="583">
        <v>3305867</v>
      </c>
      <c r="AF300" s="583">
        <v>0</v>
      </c>
      <c r="AG300" s="583">
        <v>1042833</v>
      </c>
      <c r="AH300" s="583">
        <v>34438</v>
      </c>
      <c r="AI300" s="583">
        <v>211543</v>
      </c>
      <c r="AJ300" s="583">
        <v>0</v>
      </c>
      <c r="AK300" s="583">
        <v>1288814</v>
      </c>
      <c r="AL300" s="583">
        <v>211543</v>
      </c>
      <c r="AM300" s="583">
        <v>2072966</v>
      </c>
      <c r="AN300" s="583">
        <v>201247</v>
      </c>
      <c r="AO300" s="583">
        <v>-167585</v>
      </c>
      <c r="AP300" s="583">
        <v>0</v>
      </c>
      <c r="AQ300" s="583">
        <v>2106628</v>
      </c>
      <c r="AR300" s="583">
        <v>43958</v>
      </c>
      <c r="AS300" s="583">
        <v>684732</v>
      </c>
      <c r="AT300" s="583">
        <v>0</v>
      </c>
      <c r="AU300" s="583">
        <v>569644</v>
      </c>
      <c r="AV300" s="583">
        <v>0</v>
      </c>
      <c r="AW300" s="583">
        <v>1254376</v>
      </c>
      <c r="AX300" s="583">
        <v>613602</v>
      </c>
      <c r="AY300" s="583">
        <v>1325551</v>
      </c>
      <c r="AZ300" s="583">
        <v>49336</v>
      </c>
      <c r="BA300" s="583">
        <v>0</v>
      </c>
      <c r="BB300" s="583">
        <v>0</v>
      </c>
      <c r="BC300" s="583">
        <v>1374887</v>
      </c>
      <c r="BD300" s="583">
        <v>613602</v>
      </c>
      <c r="BE300" s="583">
        <v>2796855</v>
      </c>
      <c r="BF300" s="583">
        <v>0</v>
      </c>
      <c r="BG300" s="583">
        <v>-613602</v>
      </c>
      <c r="BH300" s="583">
        <v>0</v>
      </c>
      <c r="BI300" s="583">
        <v>2183253</v>
      </c>
      <c r="BJ300" s="583">
        <v>0</v>
      </c>
      <c r="BK300" s="583">
        <v>1038033</v>
      </c>
      <c r="BL300" s="583">
        <v>0</v>
      </c>
      <c r="BM300" s="583">
        <v>216343</v>
      </c>
      <c r="BN300" s="583">
        <v>0</v>
      </c>
      <c r="BO300" s="583">
        <v>1254376</v>
      </c>
      <c r="BP300" s="583">
        <v>216343</v>
      </c>
      <c r="BQ300" s="583">
        <v>1989157</v>
      </c>
      <c r="BR300" s="583">
        <v>324253</v>
      </c>
      <c r="BS300" s="583">
        <v>-216343</v>
      </c>
      <c r="BT300" s="583">
        <v>0</v>
      </c>
      <c r="BU300" s="583">
        <v>2097067</v>
      </c>
      <c r="BV300" s="583">
        <v>0</v>
      </c>
    </row>
    <row r="301" spans="1:74" x14ac:dyDescent="0.2">
      <c r="A301" s="580">
        <v>13402</v>
      </c>
      <c r="B301" s="580" t="s">
        <v>307</v>
      </c>
      <c r="C301" s="583">
        <v>183467</v>
      </c>
      <c r="D301" s="583">
        <v>0</v>
      </c>
      <c r="E301" s="583">
        <v>111955</v>
      </c>
      <c r="F301" s="583">
        <v>0</v>
      </c>
      <c r="G301" s="583">
        <v>295422</v>
      </c>
      <c r="H301" s="583">
        <v>111955</v>
      </c>
      <c r="I301" s="583">
        <v>97562</v>
      </c>
      <c r="J301" s="583">
        <v>0</v>
      </c>
      <c r="K301" s="583">
        <v>197860</v>
      </c>
      <c r="L301" s="583">
        <v>0</v>
      </c>
      <c r="M301" s="583">
        <v>295422</v>
      </c>
      <c r="N301" s="583">
        <v>309815</v>
      </c>
      <c r="O301" s="583">
        <v>278321</v>
      </c>
      <c r="P301" s="583">
        <v>0</v>
      </c>
      <c r="Q301" s="583">
        <v>0</v>
      </c>
      <c r="R301" s="583">
        <v>0</v>
      </c>
      <c r="S301" s="583">
        <v>278321</v>
      </c>
      <c r="T301" s="583">
        <v>309815</v>
      </c>
      <c r="U301" s="583">
        <v>147784</v>
      </c>
      <c r="V301" s="583">
        <v>0</v>
      </c>
      <c r="W301" s="583">
        <v>147638</v>
      </c>
      <c r="X301" s="583">
        <v>0</v>
      </c>
      <c r="Y301" s="583">
        <v>295422</v>
      </c>
      <c r="Z301" s="583">
        <v>457453</v>
      </c>
      <c r="AA301" s="583">
        <v>1285998</v>
      </c>
      <c r="AB301" s="583">
        <v>11869</v>
      </c>
      <c r="AC301" s="583">
        <v>-457453</v>
      </c>
      <c r="AD301" s="583">
        <v>0</v>
      </c>
      <c r="AE301" s="583">
        <v>840414</v>
      </c>
      <c r="AF301" s="583">
        <v>0</v>
      </c>
      <c r="AG301" s="583">
        <v>254723</v>
      </c>
      <c r="AH301" s="583">
        <v>8412</v>
      </c>
      <c r="AI301" s="583">
        <v>40699</v>
      </c>
      <c r="AJ301" s="583">
        <v>0</v>
      </c>
      <c r="AK301" s="583">
        <v>303834</v>
      </c>
      <c r="AL301" s="583">
        <v>40699</v>
      </c>
      <c r="AM301" s="583">
        <v>506345</v>
      </c>
      <c r="AN301" s="583">
        <v>49157</v>
      </c>
      <c r="AO301" s="583">
        <v>-40699</v>
      </c>
      <c r="AP301" s="583">
        <v>0</v>
      </c>
      <c r="AQ301" s="583">
        <v>514803</v>
      </c>
      <c r="AR301" s="583">
        <v>0</v>
      </c>
      <c r="AS301" s="583">
        <v>167253</v>
      </c>
      <c r="AT301" s="583">
        <v>0</v>
      </c>
      <c r="AU301" s="583">
        <v>128169</v>
      </c>
      <c r="AV301" s="583">
        <v>0</v>
      </c>
      <c r="AW301" s="583">
        <v>295422</v>
      </c>
      <c r="AX301" s="583">
        <v>128169</v>
      </c>
      <c r="AY301" s="583">
        <v>323780</v>
      </c>
      <c r="AZ301" s="583">
        <v>12051</v>
      </c>
      <c r="BA301" s="583">
        <v>0</v>
      </c>
      <c r="BB301" s="583">
        <v>0</v>
      </c>
      <c r="BC301" s="583">
        <v>335831</v>
      </c>
      <c r="BD301" s="583">
        <v>128169</v>
      </c>
      <c r="BE301" s="583">
        <v>683163</v>
      </c>
      <c r="BF301" s="583">
        <v>0</v>
      </c>
      <c r="BG301" s="583">
        <v>-128169</v>
      </c>
      <c r="BH301" s="583">
        <v>0</v>
      </c>
      <c r="BI301" s="583">
        <v>554994</v>
      </c>
      <c r="BJ301" s="583">
        <v>0</v>
      </c>
      <c r="BK301" s="583">
        <v>253551</v>
      </c>
      <c r="BL301" s="583">
        <v>0</v>
      </c>
      <c r="BM301" s="583">
        <v>41871</v>
      </c>
      <c r="BN301" s="583">
        <v>0</v>
      </c>
      <c r="BO301" s="583">
        <v>295422</v>
      </c>
      <c r="BP301" s="583">
        <v>41871</v>
      </c>
      <c r="BQ301" s="583">
        <v>485874</v>
      </c>
      <c r="BR301" s="583">
        <v>79202</v>
      </c>
      <c r="BS301" s="583">
        <v>-41871</v>
      </c>
      <c r="BT301" s="583">
        <v>0</v>
      </c>
      <c r="BU301" s="583">
        <v>523205</v>
      </c>
      <c r="BV301" s="583">
        <v>0</v>
      </c>
    </row>
    <row r="302" spans="1:74" x14ac:dyDescent="0.2">
      <c r="A302" s="580">
        <v>13403</v>
      </c>
      <c r="B302" s="580" t="s">
        <v>306</v>
      </c>
      <c r="C302" s="583">
        <v>72960</v>
      </c>
      <c r="D302" s="583">
        <v>0</v>
      </c>
      <c r="E302" s="583">
        <v>43578</v>
      </c>
      <c r="F302" s="583">
        <v>0</v>
      </c>
      <c r="G302" s="583">
        <v>116538</v>
      </c>
      <c r="H302" s="583">
        <v>43578</v>
      </c>
      <c r="I302" s="583">
        <v>38798</v>
      </c>
      <c r="J302" s="583">
        <v>0</v>
      </c>
      <c r="K302" s="583">
        <v>77740</v>
      </c>
      <c r="L302" s="583">
        <v>0</v>
      </c>
      <c r="M302" s="583">
        <v>116538</v>
      </c>
      <c r="N302" s="583">
        <v>121318</v>
      </c>
      <c r="O302" s="583">
        <v>110681</v>
      </c>
      <c r="P302" s="583">
        <v>0</v>
      </c>
      <c r="Q302" s="583">
        <v>0</v>
      </c>
      <c r="R302" s="583">
        <v>0</v>
      </c>
      <c r="S302" s="583">
        <v>110681</v>
      </c>
      <c r="T302" s="583">
        <v>121318</v>
      </c>
      <c r="U302" s="583">
        <v>58770</v>
      </c>
      <c r="V302" s="583">
        <v>0</v>
      </c>
      <c r="W302" s="583">
        <v>57768</v>
      </c>
      <c r="X302" s="583">
        <v>0</v>
      </c>
      <c r="Y302" s="583">
        <v>116538</v>
      </c>
      <c r="Z302" s="583">
        <v>179086</v>
      </c>
      <c r="AA302" s="583">
        <v>511407</v>
      </c>
      <c r="AB302" s="583">
        <v>4720</v>
      </c>
      <c r="AC302" s="583">
        <v>-179086</v>
      </c>
      <c r="AD302" s="583">
        <v>0</v>
      </c>
      <c r="AE302" s="583">
        <v>337041</v>
      </c>
      <c r="AF302" s="583">
        <v>0</v>
      </c>
      <c r="AG302" s="583">
        <v>101297</v>
      </c>
      <c r="AH302" s="583">
        <v>3345</v>
      </c>
      <c r="AI302" s="583">
        <v>15241</v>
      </c>
      <c r="AJ302" s="583">
        <v>0</v>
      </c>
      <c r="AK302" s="583">
        <v>119883</v>
      </c>
      <c r="AL302" s="583">
        <v>15241</v>
      </c>
      <c r="AM302" s="583">
        <v>201360</v>
      </c>
      <c r="AN302" s="583">
        <v>19548</v>
      </c>
      <c r="AO302" s="583">
        <v>-15241</v>
      </c>
      <c r="AP302" s="583">
        <v>0</v>
      </c>
      <c r="AQ302" s="583">
        <v>205667</v>
      </c>
      <c r="AR302" s="583">
        <v>0</v>
      </c>
      <c r="AS302" s="583">
        <v>66512</v>
      </c>
      <c r="AT302" s="583">
        <v>0</v>
      </c>
      <c r="AU302" s="583">
        <v>50026</v>
      </c>
      <c r="AV302" s="583">
        <v>0</v>
      </c>
      <c r="AW302" s="583">
        <v>116538</v>
      </c>
      <c r="AX302" s="583">
        <v>50026</v>
      </c>
      <c r="AY302" s="583">
        <v>128759</v>
      </c>
      <c r="AZ302" s="583">
        <v>4792</v>
      </c>
      <c r="BA302" s="583">
        <v>0</v>
      </c>
      <c r="BB302" s="583">
        <v>0</v>
      </c>
      <c r="BC302" s="583">
        <v>133551</v>
      </c>
      <c r="BD302" s="583">
        <v>50026</v>
      </c>
      <c r="BE302" s="583">
        <v>271675</v>
      </c>
      <c r="BF302" s="583">
        <v>0</v>
      </c>
      <c r="BG302" s="583">
        <v>-50026</v>
      </c>
      <c r="BH302" s="583">
        <v>0</v>
      </c>
      <c r="BI302" s="583">
        <v>221649</v>
      </c>
      <c r="BJ302" s="583">
        <v>0</v>
      </c>
      <c r="BK302" s="583">
        <v>100830</v>
      </c>
      <c r="BL302" s="583">
        <v>0</v>
      </c>
      <c r="BM302" s="583">
        <v>15708</v>
      </c>
      <c r="BN302" s="583">
        <v>0</v>
      </c>
      <c r="BO302" s="583">
        <v>116538</v>
      </c>
      <c r="BP302" s="583">
        <v>15708</v>
      </c>
      <c r="BQ302" s="583">
        <v>193219</v>
      </c>
      <c r="BR302" s="583">
        <v>31497</v>
      </c>
      <c r="BS302" s="583">
        <v>-15708</v>
      </c>
      <c r="BT302" s="583">
        <v>0</v>
      </c>
      <c r="BU302" s="583">
        <v>209008</v>
      </c>
      <c r="BV302" s="583">
        <v>0</v>
      </c>
    </row>
    <row r="303" spans="1:74" x14ac:dyDescent="0.2">
      <c r="A303" s="580">
        <v>13404</v>
      </c>
      <c r="B303" s="580" t="s">
        <v>308</v>
      </c>
      <c r="C303" s="583">
        <v>159908</v>
      </c>
      <c r="D303" s="583">
        <v>0</v>
      </c>
      <c r="E303" s="583">
        <v>107144</v>
      </c>
      <c r="F303" s="583">
        <v>0</v>
      </c>
      <c r="G303" s="583">
        <v>267052</v>
      </c>
      <c r="H303" s="583">
        <v>107144</v>
      </c>
      <c r="I303" s="583">
        <v>85034</v>
      </c>
      <c r="J303" s="583">
        <v>0</v>
      </c>
      <c r="K303" s="583">
        <v>182018</v>
      </c>
      <c r="L303" s="583">
        <v>0</v>
      </c>
      <c r="M303" s="583">
        <v>267052</v>
      </c>
      <c r="N303" s="583">
        <v>289162</v>
      </c>
      <c r="O303" s="583">
        <v>242583</v>
      </c>
      <c r="P303" s="583">
        <v>0</v>
      </c>
      <c r="Q303" s="583">
        <v>0</v>
      </c>
      <c r="R303" s="583">
        <v>0</v>
      </c>
      <c r="S303" s="583">
        <v>242583</v>
      </c>
      <c r="T303" s="583">
        <v>289162</v>
      </c>
      <c r="U303" s="583">
        <v>128808</v>
      </c>
      <c r="V303" s="583">
        <v>0</v>
      </c>
      <c r="W303" s="583">
        <v>138244</v>
      </c>
      <c r="X303" s="583">
        <v>0</v>
      </c>
      <c r="Y303" s="583">
        <v>267052</v>
      </c>
      <c r="Z303" s="583">
        <v>427406</v>
      </c>
      <c r="AA303" s="583">
        <v>1120867</v>
      </c>
      <c r="AB303" s="583">
        <v>10345</v>
      </c>
      <c r="AC303" s="583">
        <v>-427406</v>
      </c>
      <c r="AD303" s="583">
        <v>0</v>
      </c>
      <c r="AE303" s="583">
        <v>703806</v>
      </c>
      <c r="AF303" s="583">
        <v>0</v>
      </c>
      <c r="AG303" s="583">
        <v>222015</v>
      </c>
      <c r="AH303" s="583">
        <v>7332</v>
      </c>
      <c r="AI303" s="583">
        <v>45037</v>
      </c>
      <c r="AJ303" s="583">
        <v>0</v>
      </c>
      <c r="AK303" s="583">
        <v>274384</v>
      </c>
      <c r="AL303" s="583">
        <v>45037</v>
      </c>
      <c r="AM303" s="583">
        <v>441326</v>
      </c>
      <c r="AN303" s="583">
        <v>42845</v>
      </c>
      <c r="AO303" s="583">
        <v>-35678</v>
      </c>
      <c r="AP303" s="583">
        <v>0</v>
      </c>
      <c r="AQ303" s="583">
        <v>448493</v>
      </c>
      <c r="AR303" s="583">
        <v>9359</v>
      </c>
      <c r="AS303" s="583">
        <v>145777</v>
      </c>
      <c r="AT303" s="583">
        <v>0</v>
      </c>
      <c r="AU303" s="583">
        <v>121275</v>
      </c>
      <c r="AV303" s="583">
        <v>0</v>
      </c>
      <c r="AW303" s="583">
        <v>267052</v>
      </c>
      <c r="AX303" s="583">
        <v>130634</v>
      </c>
      <c r="AY303" s="583">
        <v>282205</v>
      </c>
      <c r="AZ303" s="583">
        <v>10503</v>
      </c>
      <c r="BA303" s="583">
        <v>0</v>
      </c>
      <c r="BB303" s="583">
        <v>0</v>
      </c>
      <c r="BC303" s="583">
        <v>292708</v>
      </c>
      <c r="BD303" s="583">
        <v>130634</v>
      </c>
      <c r="BE303" s="583">
        <v>595440</v>
      </c>
      <c r="BF303" s="583">
        <v>0</v>
      </c>
      <c r="BG303" s="583">
        <v>-130634</v>
      </c>
      <c r="BH303" s="583">
        <v>0</v>
      </c>
      <c r="BI303" s="583">
        <v>464806</v>
      </c>
      <c r="BJ303" s="583">
        <v>0</v>
      </c>
      <c r="BK303" s="583">
        <v>220993</v>
      </c>
      <c r="BL303" s="583">
        <v>0</v>
      </c>
      <c r="BM303" s="583">
        <v>46059</v>
      </c>
      <c r="BN303" s="583">
        <v>0</v>
      </c>
      <c r="BO303" s="583">
        <v>267052</v>
      </c>
      <c r="BP303" s="583">
        <v>46059</v>
      </c>
      <c r="BQ303" s="583">
        <v>423484</v>
      </c>
      <c r="BR303" s="583">
        <v>69032</v>
      </c>
      <c r="BS303" s="583">
        <v>-46059</v>
      </c>
      <c r="BT303" s="583">
        <v>0</v>
      </c>
      <c r="BU303" s="583">
        <v>446457</v>
      </c>
      <c r="BV303" s="583">
        <v>0</v>
      </c>
    </row>
    <row r="304" spans="1:74" x14ac:dyDescent="0.2">
      <c r="A304" s="580">
        <v>13501</v>
      </c>
      <c r="B304" s="580" t="s">
        <v>314</v>
      </c>
      <c r="C304" s="583">
        <v>759489</v>
      </c>
      <c r="D304" s="583">
        <v>0</v>
      </c>
      <c r="E304" s="583">
        <v>333432</v>
      </c>
      <c r="F304" s="583">
        <v>0</v>
      </c>
      <c r="G304" s="583">
        <v>1092921</v>
      </c>
      <c r="H304" s="583">
        <v>333432</v>
      </c>
      <c r="I304" s="583">
        <v>403871</v>
      </c>
      <c r="J304" s="583">
        <v>0</v>
      </c>
      <c r="K304" s="583">
        <v>689050</v>
      </c>
      <c r="L304" s="583">
        <v>0</v>
      </c>
      <c r="M304" s="583">
        <v>1092921</v>
      </c>
      <c r="N304" s="583">
        <v>1022482</v>
      </c>
      <c r="O304" s="583">
        <v>1152152</v>
      </c>
      <c r="P304" s="583">
        <v>0</v>
      </c>
      <c r="Q304" s="583">
        <v>0</v>
      </c>
      <c r="R304" s="583">
        <v>0</v>
      </c>
      <c r="S304" s="583">
        <v>1152152</v>
      </c>
      <c r="T304" s="583">
        <v>1022482</v>
      </c>
      <c r="U304" s="583">
        <v>611775</v>
      </c>
      <c r="V304" s="583">
        <v>0</v>
      </c>
      <c r="W304" s="583">
        <v>481146</v>
      </c>
      <c r="X304" s="583">
        <v>0</v>
      </c>
      <c r="Y304" s="583">
        <v>1092921</v>
      </c>
      <c r="Z304" s="583">
        <v>1503628</v>
      </c>
      <c r="AA304" s="583">
        <v>5323587</v>
      </c>
      <c r="AB304" s="583">
        <v>49135</v>
      </c>
      <c r="AC304" s="583">
        <v>-1503628</v>
      </c>
      <c r="AD304" s="583">
        <v>0</v>
      </c>
      <c r="AE304" s="583">
        <v>3869094</v>
      </c>
      <c r="AF304" s="583">
        <v>0</v>
      </c>
      <c r="AG304" s="583">
        <v>1054467</v>
      </c>
      <c r="AH304" s="583">
        <v>34823</v>
      </c>
      <c r="AI304" s="583">
        <v>38454</v>
      </c>
      <c r="AJ304" s="583">
        <v>0</v>
      </c>
      <c r="AK304" s="583">
        <v>1127744</v>
      </c>
      <c r="AL304" s="583">
        <v>38454</v>
      </c>
      <c r="AM304" s="583">
        <v>2096092</v>
      </c>
      <c r="AN304" s="583">
        <v>203493</v>
      </c>
      <c r="AO304" s="583">
        <v>-38454</v>
      </c>
      <c r="AP304" s="583">
        <v>0</v>
      </c>
      <c r="AQ304" s="583">
        <v>2261131</v>
      </c>
      <c r="AR304" s="583">
        <v>0</v>
      </c>
      <c r="AS304" s="583">
        <v>692371</v>
      </c>
      <c r="AT304" s="583">
        <v>0</v>
      </c>
      <c r="AU304" s="583">
        <v>400550</v>
      </c>
      <c r="AV304" s="583">
        <v>0</v>
      </c>
      <c r="AW304" s="583">
        <v>1092921</v>
      </c>
      <c r="AX304" s="583">
        <v>400550</v>
      </c>
      <c r="AY304" s="583">
        <v>1340339</v>
      </c>
      <c r="AZ304" s="583">
        <v>49886</v>
      </c>
      <c r="BA304" s="583">
        <v>0</v>
      </c>
      <c r="BB304" s="583">
        <v>0</v>
      </c>
      <c r="BC304" s="583">
        <v>1390225</v>
      </c>
      <c r="BD304" s="583">
        <v>400550</v>
      </c>
      <c r="BE304" s="583">
        <v>2828057</v>
      </c>
      <c r="BF304" s="583">
        <v>0</v>
      </c>
      <c r="BG304" s="583">
        <v>-400550</v>
      </c>
      <c r="BH304" s="583">
        <v>0</v>
      </c>
      <c r="BI304" s="583">
        <v>2427507</v>
      </c>
      <c r="BJ304" s="583">
        <v>0</v>
      </c>
      <c r="BK304" s="583">
        <v>1049613</v>
      </c>
      <c r="BL304" s="583">
        <v>0</v>
      </c>
      <c r="BM304" s="583">
        <v>43308</v>
      </c>
      <c r="BN304" s="583">
        <v>0</v>
      </c>
      <c r="BO304" s="583">
        <v>1092921</v>
      </c>
      <c r="BP304" s="583">
        <v>43308</v>
      </c>
      <c r="BQ304" s="583">
        <v>2011349</v>
      </c>
      <c r="BR304" s="583">
        <v>327871</v>
      </c>
      <c r="BS304" s="583">
        <v>-43308</v>
      </c>
      <c r="BT304" s="583">
        <v>0</v>
      </c>
      <c r="BU304" s="583">
        <v>2295912</v>
      </c>
      <c r="BV304" s="583">
        <v>0</v>
      </c>
    </row>
    <row r="305" spans="1:74" x14ac:dyDescent="0.2">
      <c r="A305" s="580">
        <v>13502</v>
      </c>
      <c r="B305" s="580" t="s">
        <v>432</v>
      </c>
      <c r="C305" s="583">
        <v>69600</v>
      </c>
      <c r="D305" s="583">
        <v>0</v>
      </c>
      <c r="E305" s="583">
        <v>40059</v>
      </c>
      <c r="F305" s="583">
        <v>0</v>
      </c>
      <c r="G305" s="583">
        <v>109659</v>
      </c>
      <c r="H305" s="583">
        <v>40059</v>
      </c>
      <c r="I305" s="583">
        <v>37011</v>
      </c>
      <c r="J305" s="583">
        <v>0</v>
      </c>
      <c r="K305" s="583">
        <v>72648</v>
      </c>
      <c r="L305" s="583">
        <v>0</v>
      </c>
      <c r="M305" s="583">
        <v>109659</v>
      </c>
      <c r="N305" s="583">
        <v>112707</v>
      </c>
      <c r="O305" s="583">
        <v>105584</v>
      </c>
      <c r="P305" s="583">
        <v>0</v>
      </c>
      <c r="Q305" s="583">
        <v>0</v>
      </c>
      <c r="R305" s="583">
        <v>0</v>
      </c>
      <c r="S305" s="583">
        <v>105584</v>
      </c>
      <c r="T305" s="583">
        <v>112707</v>
      </c>
      <c r="U305" s="583">
        <v>56063</v>
      </c>
      <c r="V305" s="583">
        <v>0</v>
      </c>
      <c r="W305" s="583">
        <v>53596</v>
      </c>
      <c r="X305" s="583">
        <v>0</v>
      </c>
      <c r="Y305" s="583">
        <v>109659</v>
      </c>
      <c r="Z305" s="583">
        <v>166303</v>
      </c>
      <c r="AA305" s="583">
        <v>487855</v>
      </c>
      <c r="AB305" s="583">
        <v>4503</v>
      </c>
      <c r="AC305" s="583">
        <v>-166303</v>
      </c>
      <c r="AD305" s="583">
        <v>0</v>
      </c>
      <c r="AE305" s="583">
        <v>326055</v>
      </c>
      <c r="AF305" s="583">
        <v>0</v>
      </c>
      <c r="AG305" s="583">
        <v>96632</v>
      </c>
      <c r="AH305" s="583">
        <v>3191</v>
      </c>
      <c r="AI305" s="583">
        <v>13027</v>
      </c>
      <c r="AJ305" s="583">
        <v>0</v>
      </c>
      <c r="AK305" s="583">
        <v>112850</v>
      </c>
      <c r="AL305" s="583">
        <v>13027</v>
      </c>
      <c r="AM305" s="583">
        <v>192087</v>
      </c>
      <c r="AN305" s="583">
        <v>18648</v>
      </c>
      <c r="AO305" s="583">
        <v>-13027</v>
      </c>
      <c r="AP305" s="583">
        <v>0</v>
      </c>
      <c r="AQ305" s="583">
        <v>197708</v>
      </c>
      <c r="AR305" s="583">
        <v>0</v>
      </c>
      <c r="AS305" s="583">
        <v>63449</v>
      </c>
      <c r="AT305" s="583">
        <v>0</v>
      </c>
      <c r="AU305" s="583">
        <v>46210</v>
      </c>
      <c r="AV305" s="583">
        <v>0</v>
      </c>
      <c r="AW305" s="583">
        <v>109659</v>
      </c>
      <c r="AX305" s="583">
        <v>46210</v>
      </c>
      <c r="AY305" s="583">
        <v>122829</v>
      </c>
      <c r="AZ305" s="583">
        <v>4572</v>
      </c>
      <c r="BA305" s="583">
        <v>0</v>
      </c>
      <c r="BB305" s="583">
        <v>0</v>
      </c>
      <c r="BC305" s="583">
        <v>127401</v>
      </c>
      <c r="BD305" s="583">
        <v>46210</v>
      </c>
      <c r="BE305" s="583">
        <v>259164</v>
      </c>
      <c r="BF305" s="583">
        <v>0</v>
      </c>
      <c r="BG305" s="583">
        <v>-46210</v>
      </c>
      <c r="BH305" s="583">
        <v>0</v>
      </c>
      <c r="BI305" s="583">
        <v>212954</v>
      </c>
      <c r="BJ305" s="583">
        <v>0</v>
      </c>
      <c r="BK305" s="583">
        <v>96187</v>
      </c>
      <c r="BL305" s="583">
        <v>0</v>
      </c>
      <c r="BM305" s="583">
        <v>13472</v>
      </c>
      <c r="BN305" s="583">
        <v>0</v>
      </c>
      <c r="BO305" s="583">
        <v>109659</v>
      </c>
      <c r="BP305" s="583">
        <v>13472</v>
      </c>
      <c r="BQ305" s="583">
        <v>184321</v>
      </c>
      <c r="BR305" s="583">
        <v>30046</v>
      </c>
      <c r="BS305" s="583">
        <v>-13472</v>
      </c>
      <c r="BT305" s="583">
        <v>0</v>
      </c>
      <c r="BU305" s="583">
        <v>200895</v>
      </c>
      <c r="BV305" s="583">
        <v>0</v>
      </c>
    </row>
    <row r="306" spans="1:74" x14ac:dyDescent="0.2">
      <c r="A306" s="580">
        <v>13503</v>
      </c>
      <c r="B306" s="580" t="s">
        <v>433</v>
      </c>
      <c r="C306" s="583">
        <v>109325</v>
      </c>
      <c r="D306" s="583">
        <v>0</v>
      </c>
      <c r="E306" s="583">
        <v>72717</v>
      </c>
      <c r="F306" s="583">
        <v>0</v>
      </c>
      <c r="G306" s="583">
        <v>182042</v>
      </c>
      <c r="H306" s="583">
        <v>72717</v>
      </c>
      <c r="I306" s="583">
        <v>58136</v>
      </c>
      <c r="J306" s="583">
        <v>0</v>
      </c>
      <c r="K306" s="583">
        <v>123906</v>
      </c>
      <c r="L306" s="583">
        <v>0</v>
      </c>
      <c r="M306" s="583">
        <v>182042</v>
      </c>
      <c r="N306" s="583">
        <v>196623</v>
      </c>
      <c r="O306" s="583">
        <v>165848</v>
      </c>
      <c r="P306" s="583">
        <v>0</v>
      </c>
      <c r="Q306" s="583">
        <v>0</v>
      </c>
      <c r="R306" s="583">
        <v>0</v>
      </c>
      <c r="S306" s="583">
        <v>165848</v>
      </c>
      <c r="T306" s="583">
        <v>196623</v>
      </c>
      <c r="U306" s="583">
        <v>88062</v>
      </c>
      <c r="V306" s="583">
        <v>0</v>
      </c>
      <c r="W306" s="583">
        <v>93980</v>
      </c>
      <c r="X306" s="583">
        <v>0</v>
      </c>
      <c r="Y306" s="583">
        <v>182042</v>
      </c>
      <c r="Z306" s="583">
        <v>290603</v>
      </c>
      <c r="AA306" s="583">
        <v>766308</v>
      </c>
      <c r="AB306" s="583">
        <v>7073</v>
      </c>
      <c r="AC306" s="583">
        <v>-290603</v>
      </c>
      <c r="AD306" s="583">
        <v>0</v>
      </c>
      <c r="AE306" s="583">
        <v>482778</v>
      </c>
      <c r="AF306" s="583">
        <v>0</v>
      </c>
      <c r="AG306" s="583">
        <v>151786</v>
      </c>
      <c r="AH306" s="583">
        <v>5013</v>
      </c>
      <c r="AI306" s="583">
        <v>30256</v>
      </c>
      <c r="AJ306" s="583">
        <v>0</v>
      </c>
      <c r="AK306" s="583">
        <v>187055</v>
      </c>
      <c r="AL306" s="583">
        <v>30256</v>
      </c>
      <c r="AM306" s="583">
        <v>301724</v>
      </c>
      <c r="AN306" s="583">
        <v>29292</v>
      </c>
      <c r="AO306" s="583">
        <v>-25204</v>
      </c>
      <c r="AP306" s="583">
        <v>0</v>
      </c>
      <c r="AQ306" s="583">
        <v>305812</v>
      </c>
      <c r="AR306" s="583">
        <v>5052</v>
      </c>
      <c r="AS306" s="583">
        <v>99664</v>
      </c>
      <c r="AT306" s="583">
        <v>0</v>
      </c>
      <c r="AU306" s="583">
        <v>82378</v>
      </c>
      <c r="AV306" s="583">
        <v>0</v>
      </c>
      <c r="AW306" s="583">
        <v>182042</v>
      </c>
      <c r="AX306" s="583">
        <v>87430</v>
      </c>
      <c r="AY306" s="583">
        <v>192936</v>
      </c>
      <c r="AZ306" s="583">
        <v>7181</v>
      </c>
      <c r="BA306" s="583">
        <v>0</v>
      </c>
      <c r="BB306" s="583">
        <v>0</v>
      </c>
      <c r="BC306" s="583">
        <v>200117</v>
      </c>
      <c r="BD306" s="583">
        <v>87430</v>
      </c>
      <c r="BE306" s="583">
        <v>407087</v>
      </c>
      <c r="BF306" s="583">
        <v>0</v>
      </c>
      <c r="BG306" s="583">
        <v>-87430</v>
      </c>
      <c r="BH306" s="583">
        <v>0</v>
      </c>
      <c r="BI306" s="583">
        <v>319657</v>
      </c>
      <c r="BJ306" s="583">
        <v>0</v>
      </c>
      <c r="BK306" s="583">
        <v>151087</v>
      </c>
      <c r="BL306" s="583">
        <v>0</v>
      </c>
      <c r="BM306" s="583">
        <v>30955</v>
      </c>
      <c r="BN306" s="583">
        <v>0</v>
      </c>
      <c r="BO306" s="583">
        <v>182042</v>
      </c>
      <c r="BP306" s="583">
        <v>30955</v>
      </c>
      <c r="BQ306" s="583">
        <v>289525</v>
      </c>
      <c r="BR306" s="583">
        <v>47196</v>
      </c>
      <c r="BS306" s="583">
        <v>-30955</v>
      </c>
      <c r="BT306" s="583">
        <v>0</v>
      </c>
      <c r="BU306" s="583">
        <v>305766</v>
      </c>
      <c r="BV306" s="583">
        <v>0</v>
      </c>
    </row>
    <row r="307" spans="1:74" x14ac:dyDescent="0.2">
      <c r="A307" s="580">
        <v>13504</v>
      </c>
      <c r="B307" s="580" t="s">
        <v>434</v>
      </c>
      <c r="C307" s="583">
        <v>78428</v>
      </c>
      <c r="D307" s="583">
        <v>0</v>
      </c>
      <c r="E307" s="583">
        <v>46206</v>
      </c>
      <c r="F307" s="583">
        <v>0</v>
      </c>
      <c r="G307" s="583">
        <v>124634</v>
      </c>
      <c r="H307" s="583">
        <v>46206</v>
      </c>
      <c r="I307" s="583">
        <v>41705</v>
      </c>
      <c r="J307" s="583">
        <v>0</v>
      </c>
      <c r="K307" s="583">
        <v>82929</v>
      </c>
      <c r="L307" s="583">
        <v>0</v>
      </c>
      <c r="M307" s="583">
        <v>124634</v>
      </c>
      <c r="N307" s="583">
        <v>129135</v>
      </c>
      <c r="O307" s="583">
        <v>118976</v>
      </c>
      <c r="P307" s="583">
        <v>0</v>
      </c>
      <c r="Q307" s="583">
        <v>0</v>
      </c>
      <c r="R307" s="583">
        <v>0</v>
      </c>
      <c r="S307" s="583">
        <v>118976</v>
      </c>
      <c r="T307" s="583">
        <v>129135</v>
      </c>
      <c r="U307" s="583">
        <v>63175</v>
      </c>
      <c r="V307" s="583">
        <v>0</v>
      </c>
      <c r="W307" s="583">
        <v>61459</v>
      </c>
      <c r="X307" s="583">
        <v>0</v>
      </c>
      <c r="Y307" s="583">
        <v>124634</v>
      </c>
      <c r="Z307" s="583">
        <v>190594</v>
      </c>
      <c r="AA307" s="583">
        <v>549737</v>
      </c>
      <c r="AB307" s="583">
        <v>5074</v>
      </c>
      <c r="AC307" s="583">
        <v>-190594</v>
      </c>
      <c r="AD307" s="583">
        <v>0</v>
      </c>
      <c r="AE307" s="583">
        <v>364217</v>
      </c>
      <c r="AF307" s="583">
        <v>0</v>
      </c>
      <c r="AG307" s="583">
        <v>108889</v>
      </c>
      <c r="AH307" s="583">
        <v>3596</v>
      </c>
      <c r="AI307" s="583">
        <v>15745</v>
      </c>
      <c r="AJ307" s="583">
        <v>0</v>
      </c>
      <c r="AK307" s="583">
        <v>128230</v>
      </c>
      <c r="AL307" s="583">
        <v>15745</v>
      </c>
      <c r="AM307" s="583">
        <v>216452</v>
      </c>
      <c r="AN307" s="583">
        <v>21014</v>
      </c>
      <c r="AO307" s="583">
        <v>-15745</v>
      </c>
      <c r="AP307" s="583">
        <v>0</v>
      </c>
      <c r="AQ307" s="583">
        <v>221721</v>
      </c>
      <c r="AR307" s="583">
        <v>0</v>
      </c>
      <c r="AS307" s="583">
        <v>71497</v>
      </c>
      <c r="AT307" s="583">
        <v>0</v>
      </c>
      <c r="AU307" s="583">
        <v>53137</v>
      </c>
      <c r="AV307" s="583">
        <v>0</v>
      </c>
      <c r="AW307" s="583">
        <v>124634</v>
      </c>
      <c r="AX307" s="583">
        <v>53137</v>
      </c>
      <c r="AY307" s="583">
        <v>138409</v>
      </c>
      <c r="AZ307" s="583">
        <v>5151</v>
      </c>
      <c r="BA307" s="583">
        <v>0</v>
      </c>
      <c r="BB307" s="583">
        <v>0</v>
      </c>
      <c r="BC307" s="583">
        <v>143560</v>
      </c>
      <c r="BD307" s="583">
        <v>53137</v>
      </c>
      <c r="BE307" s="583">
        <v>292037</v>
      </c>
      <c r="BF307" s="583">
        <v>0</v>
      </c>
      <c r="BG307" s="583">
        <v>-53137</v>
      </c>
      <c r="BH307" s="583">
        <v>0</v>
      </c>
      <c r="BI307" s="583">
        <v>238900</v>
      </c>
      <c r="BJ307" s="583">
        <v>0</v>
      </c>
      <c r="BK307" s="583">
        <v>108388</v>
      </c>
      <c r="BL307" s="583">
        <v>0</v>
      </c>
      <c r="BM307" s="583">
        <v>16246</v>
      </c>
      <c r="BN307" s="583">
        <v>0</v>
      </c>
      <c r="BO307" s="583">
        <v>124634</v>
      </c>
      <c r="BP307" s="583">
        <v>16246</v>
      </c>
      <c r="BQ307" s="583">
        <v>207701</v>
      </c>
      <c r="BR307" s="583">
        <v>33857</v>
      </c>
      <c r="BS307" s="583">
        <v>-16246</v>
      </c>
      <c r="BT307" s="583">
        <v>0</v>
      </c>
      <c r="BU307" s="583">
        <v>225312</v>
      </c>
      <c r="BV307" s="583">
        <v>0</v>
      </c>
    </row>
    <row r="308" spans="1:74" x14ac:dyDescent="0.2">
      <c r="A308" s="580">
        <v>13505</v>
      </c>
      <c r="B308" s="580" t="s">
        <v>315</v>
      </c>
      <c r="C308" s="583">
        <v>85977</v>
      </c>
      <c r="D308" s="583">
        <v>0</v>
      </c>
      <c r="E308" s="583">
        <v>54496</v>
      </c>
      <c r="F308" s="583">
        <v>0</v>
      </c>
      <c r="G308" s="583">
        <v>140473</v>
      </c>
      <c r="H308" s="583">
        <v>54496</v>
      </c>
      <c r="I308" s="583">
        <v>45720</v>
      </c>
      <c r="J308" s="583">
        <v>0</v>
      </c>
      <c r="K308" s="583">
        <v>94753</v>
      </c>
      <c r="L308" s="583">
        <v>0</v>
      </c>
      <c r="M308" s="583">
        <v>140473</v>
      </c>
      <c r="N308" s="583">
        <v>149249</v>
      </c>
      <c r="O308" s="583">
        <v>130428</v>
      </c>
      <c r="P308" s="583">
        <v>0</v>
      </c>
      <c r="Q308" s="583">
        <v>0</v>
      </c>
      <c r="R308" s="583">
        <v>0</v>
      </c>
      <c r="S308" s="583">
        <v>130428</v>
      </c>
      <c r="T308" s="583">
        <v>149249</v>
      </c>
      <c r="U308" s="583">
        <v>69255</v>
      </c>
      <c r="V308" s="583">
        <v>0</v>
      </c>
      <c r="W308" s="583">
        <v>71218</v>
      </c>
      <c r="X308" s="583">
        <v>0</v>
      </c>
      <c r="Y308" s="583">
        <v>140473</v>
      </c>
      <c r="Z308" s="583">
        <v>220467</v>
      </c>
      <c r="AA308" s="583">
        <v>602650</v>
      </c>
      <c r="AB308" s="583">
        <v>5562</v>
      </c>
      <c r="AC308" s="583">
        <v>-220467</v>
      </c>
      <c r="AD308" s="583">
        <v>0</v>
      </c>
      <c r="AE308" s="583">
        <v>387745</v>
      </c>
      <c r="AF308" s="583">
        <v>0</v>
      </c>
      <c r="AG308" s="583">
        <v>119370</v>
      </c>
      <c r="AH308" s="583">
        <v>3942</v>
      </c>
      <c r="AI308" s="583">
        <v>21103</v>
      </c>
      <c r="AJ308" s="583">
        <v>0</v>
      </c>
      <c r="AK308" s="583">
        <v>144415</v>
      </c>
      <c r="AL308" s="583">
        <v>21103</v>
      </c>
      <c r="AM308" s="583">
        <v>237285</v>
      </c>
      <c r="AN308" s="583">
        <v>23036</v>
      </c>
      <c r="AO308" s="583">
        <v>-21103</v>
      </c>
      <c r="AP308" s="583">
        <v>0</v>
      </c>
      <c r="AQ308" s="583">
        <v>239218</v>
      </c>
      <c r="AR308" s="583">
        <v>0</v>
      </c>
      <c r="AS308" s="583">
        <v>78379</v>
      </c>
      <c r="AT308" s="583">
        <v>0</v>
      </c>
      <c r="AU308" s="583">
        <v>62094</v>
      </c>
      <c r="AV308" s="583">
        <v>0</v>
      </c>
      <c r="AW308" s="583">
        <v>140473</v>
      </c>
      <c r="AX308" s="583">
        <v>62094</v>
      </c>
      <c r="AY308" s="583">
        <v>151731</v>
      </c>
      <c r="AZ308" s="583">
        <v>5647</v>
      </c>
      <c r="BA308" s="583">
        <v>0</v>
      </c>
      <c r="BB308" s="583">
        <v>0</v>
      </c>
      <c r="BC308" s="583">
        <v>157378</v>
      </c>
      <c r="BD308" s="583">
        <v>62094</v>
      </c>
      <c r="BE308" s="583">
        <v>320147</v>
      </c>
      <c r="BF308" s="583">
        <v>0</v>
      </c>
      <c r="BG308" s="583">
        <v>-62094</v>
      </c>
      <c r="BH308" s="583">
        <v>0</v>
      </c>
      <c r="BI308" s="583">
        <v>258053</v>
      </c>
      <c r="BJ308" s="583">
        <v>0</v>
      </c>
      <c r="BK308" s="583">
        <v>118820</v>
      </c>
      <c r="BL308" s="583">
        <v>0</v>
      </c>
      <c r="BM308" s="583">
        <v>21653</v>
      </c>
      <c r="BN308" s="583">
        <v>0</v>
      </c>
      <c r="BO308" s="583">
        <v>140473</v>
      </c>
      <c r="BP308" s="583">
        <v>21653</v>
      </c>
      <c r="BQ308" s="583">
        <v>227692</v>
      </c>
      <c r="BR308" s="583">
        <v>37116</v>
      </c>
      <c r="BS308" s="583">
        <v>-21653</v>
      </c>
      <c r="BT308" s="583">
        <v>0</v>
      </c>
      <c r="BU308" s="583">
        <v>243155</v>
      </c>
      <c r="BV308" s="583">
        <v>0</v>
      </c>
    </row>
    <row r="309" spans="1:74" x14ac:dyDescent="0.2">
      <c r="A309" s="580">
        <v>13601</v>
      </c>
      <c r="B309" s="580" t="s">
        <v>309</v>
      </c>
      <c r="C309" s="583">
        <v>254019</v>
      </c>
      <c r="D309" s="583">
        <v>0</v>
      </c>
      <c r="E309" s="583">
        <v>169283</v>
      </c>
      <c r="F309" s="583">
        <v>0</v>
      </c>
      <c r="G309" s="583">
        <v>423302</v>
      </c>
      <c r="H309" s="583">
        <v>169283</v>
      </c>
      <c r="I309" s="583">
        <v>135079</v>
      </c>
      <c r="J309" s="583">
        <v>0</v>
      </c>
      <c r="K309" s="583">
        <v>288223</v>
      </c>
      <c r="L309" s="583">
        <v>0</v>
      </c>
      <c r="M309" s="583">
        <v>423302</v>
      </c>
      <c r="N309" s="583">
        <v>457506</v>
      </c>
      <c r="O309" s="583">
        <v>385349</v>
      </c>
      <c r="P309" s="583">
        <v>0</v>
      </c>
      <c r="Q309" s="583">
        <v>0</v>
      </c>
      <c r="R309" s="583">
        <v>0</v>
      </c>
      <c r="S309" s="583">
        <v>385349</v>
      </c>
      <c r="T309" s="583">
        <v>457506</v>
      </c>
      <c r="U309" s="583">
        <v>204615</v>
      </c>
      <c r="V309" s="583">
        <v>0</v>
      </c>
      <c r="W309" s="583">
        <v>218687</v>
      </c>
      <c r="X309" s="583">
        <v>0</v>
      </c>
      <c r="Y309" s="583">
        <v>423302</v>
      </c>
      <c r="Z309" s="583">
        <v>676193</v>
      </c>
      <c r="AA309" s="583">
        <v>1780529</v>
      </c>
      <c r="AB309" s="583">
        <v>16434</v>
      </c>
      <c r="AC309" s="583">
        <v>-676193</v>
      </c>
      <c r="AD309" s="583">
        <v>0</v>
      </c>
      <c r="AE309" s="583">
        <v>1120770</v>
      </c>
      <c r="AF309" s="583">
        <v>0</v>
      </c>
      <c r="AG309" s="583">
        <v>352677</v>
      </c>
      <c r="AH309" s="583">
        <v>11647</v>
      </c>
      <c r="AI309" s="583">
        <v>70625</v>
      </c>
      <c r="AJ309" s="583">
        <v>0</v>
      </c>
      <c r="AK309" s="583">
        <v>434949</v>
      </c>
      <c r="AL309" s="583">
        <v>70625</v>
      </c>
      <c r="AM309" s="583">
        <v>701060</v>
      </c>
      <c r="AN309" s="583">
        <v>68060</v>
      </c>
      <c r="AO309" s="583">
        <v>-58070</v>
      </c>
      <c r="AP309" s="583">
        <v>0</v>
      </c>
      <c r="AQ309" s="583">
        <v>711050</v>
      </c>
      <c r="AR309" s="583">
        <v>12555</v>
      </c>
      <c r="AS309" s="583">
        <v>231571</v>
      </c>
      <c r="AT309" s="583">
        <v>0</v>
      </c>
      <c r="AU309" s="583">
        <v>191731</v>
      </c>
      <c r="AV309" s="583">
        <v>0</v>
      </c>
      <c r="AW309" s="583">
        <v>423302</v>
      </c>
      <c r="AX309" s="583">
        <v>204286</v>
      </c>
      <c r="AY309" s="583">
        <v>448290</v>
      </c>
      <c r="AZ309" s="583">
        <v>16685</v>
      </c>
      <c r="BA309" s="583">
        <v>0</v>
      </c>
      <c r="BB309" s="583">
        <v>0</v>
      </c>
      <c r="BC309" s="583">
        <v>464975</v>
      </c>
      <c r="BD309" s="583">
        <v>204286</v>
      </c>
      <c r="BE309" s="583">
        <v>945873</v>
      </c>
      <c r="BF309" s="583">
        <v>0</v>
      </c>
      <c r="BG309" s="583">
        <v>-204286</v>
      </c>
      <c r="BH309" s="583">
        <v>0</v>
      </c>
      <c r="BI309" s="583">
        <v>741587</v>
      </c>
      <c r="BJ309" s="583">
        <v>0</v>
      </c>
      <c r="BK309" s="583">
        <v>351054</v>
      </c>
      <c r="BL309" s="583">
        <v>0</v>
      </c>
      <c r="BM309" s="583">
        <v>72248</v>
      </c>
      <c r="BN309" s="583">
        <v>0</v>
      </c>
      <c r="BO309" s="583">
        <v>423302</v>
      </c>
      <c r="BP309" s="583">
        <v>72248</v>
      </c>
      <c r="BQ309" s="583">
        <v>672716</v>
      </c>
      <c r="BR309" s="583">
        <v>109660</v>
      </c>
      <c r="BS309" s="583">
        <v>-72248</v>
      </c>
      <c r="BT309" s="583">
        <v>0</v>
      </c>
      <c r="BU309" s="583">
        <v>710128</v>
      </c>
      <c r="BV309" s="583">
        <v>0</v>
      </c>
    </row>
    <row r="310" spans="1:74" x14ac:dyDescent="0.2">
      <c r="A310" s="580">
        <v>13602</v>
      </c>
      <c r="B310" s="580" t="s">
        <v>311</v>
      </c>
      <c r="C310" s="583">
        <v>181376</v>
      </c>
      <c r="D310" s="583">
        <v>0</v>
      </c>
      <c r="E310" s="583">
        <v>84953</v>
      </c>
      <c r="F310" s="583">
        <v>0</v>
      </c>
      <c r="G310" s="583">
        <v>266329</v>
      </c>
      <c r="H310" s="583">
        <v>84953</v>
      </c>
      <c r="I310" s="583">
        <v>96450</v>
      </c>
      <c r="J310" s="583">
        <v>0</v>
      </c>
      <c r="K310" s="583">
        <v>169879</v>
      </c>
      <c r="L310" s="583">
        <v>0</v>
      </c>
      <c r="M310" s="583">
        <v>266329</v>
      </c>
      <c r="N310" s="583">
        <v>254832</v>
      </c>
      <c r="O310" s="583">
        <v>275150</v>
      </c>
      <c r="P310" s="583">
        <v>0</v>
      </c>
      <c r="Q310" s="583">
        <v>0</v>
      </c>
      <c r="R310" s="583">
        <v>0</v>
      </c>
      <c r="S310" s="583">
        <v>275150</v>
      </c>
      <c r="T310" s="583">
        <v>254832</v>
      </c>
      <c r="U310" s="583">
        <v>146100</v>
      </c>
      <c r="V310" s="583">
        <v>0</v>
      </c>
      <c r="W310" s="583">
        <v>120229</v>
      </c>
      <c r="X310" s="583">
        <v>0</v>
      </c>
      <c r="Y310" s="583">
        <v>266329</v>
      </c>
      <c r="Z310" s="583">
        <v>375061</v>
      </c>
      <c r="AA310" s="583">
        <v>1271346</v>
      </c>
      <c r="AB310" s="583">
        <v>11734</v>
      </c>
      <c r="AC310" s="583">
        <v>-375061</v>
      </c>
      <c r="AD310" s="583">
        <v>0</v>
      </c>
      <c r="AE310" s="583">
        <v>908019</v>
      </c>
      <c r="AF310" s="583">
        <v>0</v>
      </c>
      <c r="AG310" s="583">
        <v>251821</v>
      </c>
      <c r="AH310" s="583">
        <v>8316</v>
      </c>
      <c r="AI310" s="583">
        <v>14508</v>
      </c>
      <c r="AJ310" s="583">
        <v>0</v>
      </c>
      <c r="AK310" s="583">
        <v>274645</v>
      </c>
      <c r="AL310" s="583">
        <v>14508</v>
      </c>
      <c r="AM310" s="583">
        <v>500576</v>
      </c>
      <c r="AN310" s="583">
        <v>48597</v>
      </c>
      <c r="AO310" s="583">
        <v>-14508</v>
      </c>
      <c r="AP310" s="583">
        <v>0</v>
      </c>
      <c r="AQ310" s="583">
        <v>534665</v>
      </c>
      <c r="AR310" s="583">
        <v>0</v>
      </c>
      <c r="AS310" s="583">
        <v>165348</v>
      </c>
      <c r="AT310" s="583">
        <v>0</v>
      </c>
      <c r="AU310" s="583">
        <v>100981</v>
      </c>
      <c r="AV310" s="583">
        <v>0</v>
      </c>
      <c r="AW310" s="583">
        <v>266329</v>
      </c>
      <c r="AX310" s="583">
        <v>100981</v>
      </c>
      <c r="AY310" s="583">
        <v>320091</v>
      </c>
      <c r="AZ310" s="583">
        <v>11914</v>
      </c>
      <c r="BA310" s="583">
        <v>0</v>
      </c>
      <c r="BB310" s="583">
        <v>0</v>
      </c>
      <c r="BC310" s="583">
        <v>332005</v>
      </c>
      <c r="BD310" s="583">
        <v>100981</v>
      </c>
      <c r="BE310" s="583">
        <v>675379</v>
      </c>
      <c r="BF310" s="583">
        <v>0</v>
      </c>
      <c r="BG310" s="583">
        <v>-100981</v>
      </c>
      <c r="BH310" s="583">
        <v>0</v>
      </c>
      <c r="BI310" s="583">
        <v>574398</v>
      </c>
      <c r="BJ310" s="583">
        <v>0</v>
      </c>
      <c r="BK310" s="583">
        <v>250662</v>
      </c>
      <c r="BL310" s="583">
        <v>0</v>
      </c>
      <c r="BM310" s="583">
        <v>15667</v>
      </c>
      <c r="BN310" s="583">
        <v>0</v>
      </c>
      <c r="BO310" s="583">
        <v>266329</v>
      </c>
      <c r="BP310" s="583">
        <v>15667</v>
      </c>
      <c r="BQ310" s="583">
        <v>480338</v>
      </c>
      <c r="BR310" s="583">
        <v>78300</v>
      </c>
      <c r="BS310" s="583">
        <v>-15667</v>
      </c>
      <c r="BT310" s="583">
        <v>0</v>
      </c>
      <c r="BU310" s="583">
        <v>542971</v>
      </c>
      <c r="BV310" s="583">
        <v>0</v>
      </c>
    </row>
    <row r="311" spans="1:74" x14ac:dyDescent="0.2">
      <c r="A311" s="580">
        <v>13603</v>
      </c>
      <c r="B311" s="580" t="s">
        <v>310</v>
      </c>
      <c r="C311" s="583">
        <v>122166</v>
      </c>
      <c r="D311" s="583">
        <v>0</v>
      </c>
      <c r="E311" s="583">
        <v>81855</v>
      </c>
      <c r="F311" s="583">
        <v>0</v>
      </c>
      <c r="G311" s="583">
        <v>204021</v>
      </c>
      <c r="H311" s="583">
        <v>81855</v>
      </c>
      <c r="I311" s="583">
        <v>64964</v>
      </c>
      <c r="J311" s="583">
        <v>0</v>
      </c>
      <c r="K311" s="583">
        <v>139057</v>
      </c>
      <c r="L311" s="583">
        <v>0</v>
      </c>
      <c r="M311" s="583">
        <v>204021</v>
      </c>
      <c r="N311" s="583">
        <v>220912</v>
      </c>
      <c r="O311" s="583">
        <v>185327</v>
      </c>
      <c r="P311" s="583">
        <v>0</v>
      </c>
      <c r="Q311" s="583">
        <v>0</v>
      </c>
      <c r="R311" s="583">
        <v>0</v>
      </c>
      <c r="S311" s="583">
        <v>185327</v>
      </c>
      <c r="T311" s="583">
        <v>220912</v>
      </c>
      <c r="U311" s="583">
        <v>98406</v>
      </c>
      <c r="V311" s="583">
        <v>0</v>
      </c>
      <c r="W311" s="583">
        <v>105615</v>
      </c>
      <c r="X311" s="583">
        <v>0</v>
      </c>
      <c r="Y311" s="583">
        <v>204021</v>
      </c>
      <c r="Z311" s="583">
        <v>326527</v>
      </c>
      <c r="AA311" s="583">
        <v>856313</v>
      </c>
      <c r="AB311" s="583">
        <v>7904</v>
      </c>
      <c r="AC311" s="583">
        <v>-326527</v>
      </c>
      <c r="AD311" s="583">
        <v>0</v>
      </c>
      <c r="AE311" s="583">
        <v>537690</v>
      </c>
      <c r="AF311" s="583">
        <v>0</v>
      </c>
      <c r="AG311" s="583">
        <v>169614</v>
      </c>
      <c r="AH311" s="583">
        <v>5601</v>
      </c>
      <c r="AI311" s="583">
        <v>34407</v>
      </c>
      <c r="AJ311" s="583">
        <v>0</v>
      </c>
      <c r="AK311" s="583">
        <v>209622</v>
      </c>
      <c r="AL311" s="583">
        <v>34407</v>
      </c>
      <c r="AM311" s="583">
        <v>337162</v>
      </c>
      <c r="AN311" s="583">
        <v>32732</v>
      </c>
      <c r="AO311" s="583">
        <v>-27257</v>
      </c>
      <c r="AP311" s="583">
        <v>0</v>
      </c>
      <c r="AQ311" s="583">
        <v>342637</v>
      </c>
      <c r="AR311" s="583">
        <v>7150</v>
      </c>
      <c r="AS311" s="583">
        <v>111370</v>
      </c>
      <c r="AT311" s="583">
        <v>0</v>
      </c>
      <c r="AU311" s="583">
        <v>92651</v>
      </c>
      <c r="AV311" s="583">
        <v>0</v>
      </c>
      <c r="AW311" s="583">
        <v>204021</v>
      </c>
      <c r="AX311" s="583">
        <v>99801</v>
      </c>
      <c r="AY311" s="583">
        <v>215597</v>
      </c>
      <c r="AZ311" s="583">
        <v>8024</v>
      </c>
      <c r="BA311" s="583">
        <v>0</v>
      </c>
      <c r="BB311" s="583">
        <v>0</v>
      </c>
      <c r="BC311" s="583">
        <v>223621</v>
      </c>
      <c r="BD311" s="583">
        <v>99801</v>
      </c>
      <c r="BE311" s="583">
        <v>454901</v>
      </c>
      <c r="BF311" s="583">
        <v>0</v>
      </c>
      <c r="BG311" s="583">
        <v>-99801</v>
      </c>
      <c r="BH311" s="583">
        <v>0</v>
      </c>
      <c r="BI311" s="583">
        <v>355100</v>
      </c>
      <c r="BJ311" s="583">
        <v>0</v>
      </c>
      <c r="BK311" s="583">
        <v>168833</v>
      </c>
      <c r="BL311" s="583">
        <v>0</v>
      </c>
      <c r="BM311" s="583">
        <v>35188</v>
      </c>
      <c r="BN311" s="583">
        <v>0</v>
      </c>
      <c r="BO311" s="583">
        <v>204021</v>
      </c>
      <c r="BP311" s="583">
        <v>35188</v>
      </c>
      <c r="BQ311" s="583">
        <v>323531</v>
      </c>
      <c r="BR311" s="583">
        <v>52739</v>
      </c>
      <c r="BS311" s="583">
        <v>-35188</v>
      </c>
      <c r="BT311" s="583">
        <v>0</v>
      </c>
      <c r="BU311" s="583">
        <v>341082</v>
      </c>
      <c r="BV311" s="583">
        <v>0</v>
      </c>
    </row>
    <row r="312" spans="1:74" x14ac:dyDescent="0.2">
      <c r="A312" s="580">
        <v>13604</v>
      </c>
      <c r="B312" s="580" t="s">
        <v>313</v>
      </c>
      <c r="C312" s="583">
        <v>215503</v>
      </c>
      <c r="D312" s="583">
        <v>0</v>
      </c>
      <c r="E312" s="583">
        <v>144393</v>
      </c>
      <c r="F312" s="583">
        <v>0</v>
      </c>
      <c r="G312" s="583">
        <v>359896</v>
      </c>
      <c r="H312" s="583">
        <v>144393</v>
      </c>
      <c r="I312" s="583">
        <v>114597</v>
      </c>
      <c r="J312" s="583">
        <v>0</v>
      </c>
      <c r="K312" s="583">
        <v>245299</v>
      </c>
      <c r="L312" s="583">
        <v>0</v>
      </c>
      <c r="M312" s="583">
        <v>359896</v>
      </c>
      <c r="N312" s="583">
        <v>389692</v>
      </c>
      <c r="O312" s="583">
        <v>326920</v>
      </c>
      <c r="P312" s="583">
        <v>0</v>
      </c>
      <c r="Q312" s="583">
        <v>0</v>
      </c>
      <c r="R312" s="583">
        <v>0</v>
      </c>
      <c r="S312" s="583">
        <v>326920</v>
      </c>
      <c r="T312" s="583">
        <v>389692</v>
      </c>
      <c r="U312" s="583">
        <v>173589</v>
      </c>
      <c r="V312" s="583">
        <v>0</v>
      </c>
      <c r="W312" s="583">
        <v>186307</v>
      </c>
      <c r="X312" s="583">
        <v>0</v>
      </c>
      <c r="Y312" s="583">
        <v>359896</v>
      </c>
      <c r="Z312" s="583">
        <v>575999</v>
      </c>
      <c r="AA312" s="583">
        <v>1510552</v>
      </c>
      <c r="AB312" s="583">
        <v>13942</v>
      </c>
      <c r="AC312" s="583">
        <v>-575999</v>
      </c>
      <c r="AD312" s="583">
        <v>0</v>
      </c>
      <c r="AE312" s="583">
        <v>948495</v>
      </c>
      <c r="AF312" s="583">
        <v>0</v>
      </c>
      <c r="AG312" s="583">
        <v>299202</v>
      </c>
      <c r="AH312" s="583">
        <v>9881</v>
      </c>
      <c r="AI312" s="583">
        <v>60694</v>
      </c>
      <c r="AJ312" s="583">
        <v>0</v>
      </c>
      <c r="AK312" s="583">
        <v>369777</v>
      </c>
      <c r="AL312" s="583">
        <v>60694</v>
      </c>
      <c r="AM312" s="583">
        <v>594760</v>
      </c>
      <c r="AN312" s="583">
        <v>57740</v>
      </c>
      <c r="AO312" s="583">
        <v>-48082</v>
      </c>
      <c r="AP312" s="583">
        <v>0</v>
      </c>
      <c r="AQ312" s="583">
        <v>604418</v>
      </c>
      <c r="AR312" s="583">
        <v>12612</v>
      </c>
      <c r="AS312" s="583">
        <v>196458</v>
      </c>
      <c r="AT312" s="583">
        <v>0</v>
      </c>
      <c r="AU312" s="583">
        <v>163438</v>
      </c>
      <c r="AV312" s="583">
        <v>0</v>
      </c>
      <c r="AW312" s="583">
        <v>359896</v>
      </c>
      <c r="AX312" s="583">
        <v>176050</v>
      </c>
      <c r="AY312" s="583">
        <v>380317</v>
      </c>
      <c r="AZ312" s="583">
        <v>14155</v>
      </c>
      <c r="BA312" s="583">
        <v>0</v>
      </c>
      <c r="BB312" s="583">
        <v>0</v>
      </c>
      <c r="BC312" s="583">
        <v>394472</v>
      </c>
      <c r="BD312" s="583">
        <v>176050</v>
      </c>
      <c r="BE312" s="583">
        <v>802453</v>
      </c>
      <c r="BF312" s="583">
        <v>0</v>
      </c>
      <c r="BG312" s="583">
        <v>-176050</v>
      </c>
      <c r="BH312" s="583">
        <v>0</v>
      </c>
      <c r="BI312" s="583">
        <v>626403</v>
      </c>
      <c r="BJ312" s="583">
        <v>0</v>
      </c>
      <c r="BK312" s="583">
        <v>297825</v>
      </c>
      <c r="BL312" s="583">
        <v>0</v>
      </c>
      <c r="BM312" s="583">
        <v>62071</v>
      </c>
      <c r="BN312" s="583">
        <v>0</v>
      </c>
      <c r="BO312" s="583">
        <v>359896</v>
      </c>
      <c r="BP312" s="583">
        <v>62071</v>
      </c>
      <c r="BQ312" s="583">
        <v>570714</v>
      </c>
      <c r="BR312" s="583">
        <v>93032</v>
      </c>
      <c r="BS312" s="583">
        <v>-62071</v>
      </c>
      <c r="BT312" s="583">
        <v>0</v>
      </c>
      <c r="BU312" s="583">
        <v>601675</v>
      </c>
      <c r="BV312" s="583">
        <v>0</v>
      </c>
    </row>
    <row r="313" spans="1:74" x14ac:dyDescent="0.2">
      <c r="A313" s="580">
        <v>13605</v>
      </c>
      <c r="B313" s="580" t="s">
        <v>312</v>
      </c>
      <c r="C313" s="583">
        <v>332151</v>
      </c>
      <c r="D313" s="583">
        <v>0</v>
      </c>
      <c r="E313" s="583">
        <v>216766</v>
      </c>
      <c r="F313" s="583">
        <v>0</v>
      </c>
      <c r="G313" s="583">
        <v>548917</v>
      </c>
      <c r="H313" s="583">
        <v>216766</v>
      </c>
      <c r="I313" s="583">
        <v>176627</v>
      </c>
      <c r="J313" s="583">
        <v>0</v>
      </c>
      <c r="K313" s="583">
        <v>372290</v>
      </c>
      <c r="L313" s="583">
        <v>0</v>
      </c>
      <c r="M313" s="583">
        <v>548917</v>
      </c>
      <c r="N313" s="583">
        <v>589056</v>
      </c>
      <c r="O313" s="583">
        <v>503876</v>
      </c>
      <c r="P313" s="583">
        <v>0</v>
      </c>
      <c r="Q313" s="583">
        <v>0</v>
      </c>
      <c r="R313" s="583">
        <v>0</v>
      </c>
      <c r="S313" s="583">
        <v>503876</v>
      </c>
      <c r="T313" s="583">
        <v>589056</v>
      </c>
      <c r="U313" s="583">
        <v>267550</v>
      </c>
      <c r="V313" s="583">
        <v>0</v>
      </c>
      <c r="W313" s="583">
        <v>281367</v>
      </c>
      <c r="X313" s="583">
        <v>0</v>
      </c>
      <c r="Y313" s="583">
        <v>548917</v>
      </c>
      <c r="Z313" s="583">
        <v>870423</v>
      </c>
      <c r="AA313" s="583">
        <v>2328187</v>
      </c>
      <c r="AB313" s="583">
        <v>21489</v>
      </c>
      <c r="AC313" s="583">
        <v>-870423</v>
      </c>
      <c r="AD313" s="583">
        <v>0</v>
      </c>
      <c r="AE313" s="583">
        <v>1479253</v>
      </c>
      <c r="AF313" s="583">
        <v>0</v>
      </c>
      <c r="AG313" s="583">
        <v>461154</v>
      </c>
      <c r="AH313" s="583">
        <v>15229</v>
      </c>
      <c r="AI313" s="583">
        <v>87763</v>
      </c>
      <c r="AJ313" s="583">
        <v>0</v>
      </c>
      <c r="AK313" s="583">
        <v>564146</v>
      </c>
      <c r="AL313" s="583">
        <v>87763</v>
      </c>
      <c r="AM313" s="583">
        <v>916693</v>
      </c>
      <c r="AN313" s="583">
        <v>88994</v>
      </c>
      <c r="AO313" s="583">
        <v>-82896</v>
      </c>
      <c r="AP313" s="583">
        <v>0</v>
      </c>
      <c r="AQ313" s="583">
        <v>922791</v>
      </c>
      <c r="AR313" s="583">
        <v>4867</v>
      </c>
      <c r="AS313" s="583">
        <v>302798</v>
      </c>
      <c r="AT313" s="583">
        <v>0</v>
      </c>
      <c r="AU313" s="583">
        <v>246119</v>
      </c>
      <c r="AV313" s="583">
        <v>0</v>
      </c>
      <c r="AW313" s="583">
        <v>548917</v>
      </c>
      <c r="AX313" s="583">
        <v>250986</v>
      </c>
      <c r="AY313" s="583">
        <v>586176</v>
      </c>
      <c r="AZ313" s="583">
        <v>21817</v>
      </c>
      <c r="BA313" s="583">
        <v>0</v>
      </c>
      <c r="BB313" s="583">
        <v>0</v>
      </c>
      <c r="BC313" s="583">
        <v>607993</v>
      </c>
      <c r="BD313" s="583">
        <v>250986</v>
      </c>
      <c r="BE313" s="583">
        <v>1236806</v>
      </c>
      <c r="BF313" s="583">
        <v>0</v>
      </c>
      <c r="BG313" s="583">
        <v>-250986</v>
      </c>
      <c r="BH313" s="583">
        <v>0</v>
      </c>
      <c r="BI313" s="583">
        <v>985820</v>
      </c>
      <c r="BJ313" s="583">
        <v>0</v>
      </c>
      <c r="BK313" s="583">
        <v>459032</v>
      </c>
      <c r="BL313" s="583">
        <v>0</v>
      </c>
      <c r="BM313" s="583">
        <v>89885</v>
      </c>
      <c r="BN313" s="583">
        <v>0</v>
      </c>
      <c r="BO313" s="583">
        <v>548917</v>
      </c>
      <c r="BP313" s="583">
        <v>89885</v>
      </c>
      <c r="BQ313" s="583">
        <v>879632</v>
      </c>
      <c r="BR313" s="583">
        <v>143389</v>
      </c>
      <c r="BS313" s="583">
        <v>-89885</v>
      </c>
      <c r="BT313" s="583">
        <v>0</v>
      </c>
      <c r="BU313" s="583">
        <v>933136</v>
      </c>
      <c r="BV313" s="583">
        <v>0</v>
      </c>
    </row>
    <row r="314" spans="1:74" x14ac:dyDescent="0.2">
      <c r="A314" s="580">
        <v>14101</v>
      </c>
      <c r="B314" s="580" t="s">
        <v>232</v>
      </c>
      <c r="C314" s="583">
        <v>855821</v>
      </c>
      <c r="D314" s="583">
        <v>0</v>
      </c>
      <c r="E314" s="583">
        <v>573425</v>
      </c>
      <c r="F314" s="583">
        <v>0</v>
      </c>
      <c r="G314" s="583">
        <v>1429246</v>
      </c>
      <c r="H314" s="583">
        <v>573425</v>
      </c>
      <c r="I314" s="583">
        <v>455097</v>
      </c>
      <c r="J314" s="583">
        <v>0</v>
      </c>
      <c r="K314" s="583">
        <v>974149</v>
      </c>
      <c r="L314" s="583">
        <v>0</v>
      </c>
      <c r="M314" s="583">
        <v>1429246</v>
      </c>
      <c r="N314" s="583">
        <v>1547574</v>
      </c>
      <c r="O314" s="583">
        <v>1298288</v>
      </c>
      <c r="P314" s="583">
        <v>0</v>
      </c>
      <c r="Q314" s="583">
        <v>0</v>
      </c>
      <c r="R314" s="583">
        <v>0</v>
      </c>
      <c r="S314" s="583">
        <v>1298288</v>
      </c>
      <c r="T314" s="583">
        <v>1547574</v>
      </c>
      <c r="U314" s="583">
        <v>689371</v>
      </c>
      <c r="V314" s="583">
        <v>0</v>
      </c>
      <c r="W314" s="583">
        <v>739875</v>
      </c>
      <c r="X314" s="583">
        <v>0</v>
      </c>
      <c r="Y314" s="583">
        <v>1429246</v>
      </c>
      <c r="Z314" s="583">
        <v>2287449</v>
      </c>
      <c r="AA314" s="583">
        <v>5998816</v>
      </c>
      <c r="AB314" s="583">
        <v>55368</v>
      </c>
      <c r="AC314" s="583">
        <v>-2287449</v>
      </c>
      <c r="AD314" s="583">
        <v>0</v>
      </c>
      <c r="AE314" s="583">
        <v>3766735</v>
      </c>
      <c r="AF314" s="583">
        <v>0</v>
      </c>
      <c r="AG314" s="583">
        <v>1188212</v>
      </c>
      <c r="AH314" s="583">
        <v>39239</v>
      </c>
      <c r="AI314" s="583">
        <v>241034</v>
      </c>
      <c r="AJ314" s="583">
        <v>0</v>
      </c>
      <c r="AK314" s="583">
        <v>1468485</v>
      </c>
      <c r="AL314" s="583">
        <v>241034</v>
      </c>
      <c r="AM314" s="583">
        <v>2361954</v>
      </c>
      <c r="AN314" s="583">
        <v>229303</v>
      </c>
      <c r="AO314" s="583">
        <v>-190947</v>
      </c>
      <c r="AP314" s="583">
        <v>0</v>
      </c>
      <c r="AQ314" s="583">
        <v>2400310</v>
      </c>
      <c r="AR314" s="583">
        <v>50087</v>
      </c>
      <c r="AS314" s="583">
        <v>780190</v>
      </c>
      <c r="AT314" s="583">
        <v>0</v>
      </c>
      <c r="AU314" s="583">
        <v>649056</v>
      </c>
      <c r="AV314" s="583">
        <v>0</v>
      </c>
      <c r="AW314" s="583">
        <v>1429246</v>
      </c>
      <c r="AX314" s="583">
        <v>699143</v>
      </c>
      <c r="AY314" s="583">
        <v>1510344</v>
      </c>
      <c r="AZ314" s="583">
        <v>56214</v>
      </c>
      <c r="BA314" s="583">
        <v>0</v>
      </c>
      <c r="BB314" s="583">
        <v>0</v>
      </c>
      <c r="BC314" s="583">
        <v>1566558</v>
      </c>
      <c r="BD314" s="583">
        <v>699143</v>
      </c>
      <c r="BE314" s="583">
        <v>3186760</v>
      </c>
      <c r="BF314" s="583">
        <v>0</v>
      </c>
      <c r="BG314" s="583">
        <v>-699143</v>
      </c>
      <c r="BH314" s="583">
        <v>0</v>
      </c>
      <c r="BI314" s="583">
        <v>2487617</v>
      </c>
      <c r="BJ314" s="583">
        <v>0</v>
      </c>
      <c r="BK314" s="583">
        <v>1182743</v>
      </c>
      <c r="BL314" s="583">
        <v>0</v>
      </c>
      <c r="BM314" s="583">
        <v>246503</v>
      </c>
      <c r="BN314" s="583">
        <v>0</v>
      </c>
      <c r="BO314" s="583">
        <v>1429246</v>
      </c>
      <c r="BP314" s="583">
        <v>246503</v>
      </c>
      <c r="BQ314" s="583">
        <v>2266462</v>
      </c>
      <c r="BR314" s="583">
        <v>369457</v>
      </c>
      <c r="BS314" s="583">
        <v>-246503</v>
      </c>
      <c r="BT314" s="583">
        <v>0</v>
      </c>
      <c r="BU314" s="583">
        <v>2389416</v>
      </c>
      <c r="BV314" s="583">
        <v>0</v>
      </c>
    </row>
    <row r="315" spans="1:74" x14ac:dyDescent="0.2">
      <c r="A315" s="580">
        <v>14102</v>
      </c>
      <c r="B315" s="580" t="s">
        <v>236</v>
      </c>
      <c r="C315" s="583">
        <v>96122</v>
      </c>
      <c r="D315" s="583">
        <v>0</v>
      </c>
      <c r="E315" s="583">
        <v>57351</v>
      </c>
      <c r="F315" s="583">
        <v>0</v>
      </c>
      <c r="G315" s="583">
        <v>153473</v>
      </c>
      <c r="H315" s="583">
        <v>57351</v>
      </c>
      <c r="I315" s="583">
        <v>51114</v>
      </c>
      <c r="J315" s="583">
        <v>0</v>
      </c>
      <c r="K315" s="583">
        <v>102359</v>
      </c>
      <c r="L315" s="583">
        <v>0</v>
      </c>
      <c r="M315" s="583">
        <v>153473</v>
      </c>
      <c r="N315" s="583">
        <v>159710</v>
      </c>
      <c r="O315" s="583">
        <v>145818</v>
      </c>
      <c r="P315" s="583">
        <v>0</v>
      </c>
      <c r="Q315" s="583">
        <v>0</v>
      </c>
      <c r="R315" s="583">
        <v>0</v>
      </c>
      <c r="S315" s="583">
        <v>145818</v>
      </c>
      <c r="T315" s="583">
        <v>159710</v>
      </c>
      <c r="U315" s="583">
        <v>77427</v>
      </c>
      <c r="V315" s="583">
        <v>0</v>
      </c>
      <c r="W315" s="583">
        <v>76046</v>
      </c>
      <c r="X315" s="583">
        <v>0</v>
      </c>
      <c r="Y315" s="583">
        <v>153473</v>
      </c>
      <c r="Z315" s="583">
        <v>235756</v>
      </c>
      <c r="AA315" s="583">
        <v>673761</v>
      </c>
      <c r="AB315" s="583">
        <v>6219</v>
      </c>
      <c r="AC315" s="583">
        <v>-235756</v>
      </c>
      <c r="AD315" s="583">
        <v>0</v>
      </c>
      <c r="AE315" s="583">
        <v>444224</v>
      </c>
      <c r="AF315" s="583">
        <v>0</v>
      </c>
      <c r="AG315" s="583">
        <v>133455</v>
      </c>
      <c r="AH315" s="583">
        <v>4407</v>
      </c>
      <c r="AI315" s="583">
        <v>20018</v>
      </c>
      <c r="AJ315" s="583">
        <v>0</v>
      </c>
      <c r="AK315" s="583">
        <v>157880</v>
      </c>
      <c r="AL315" s="583">
        <v>20018</v>
      </c>
      <c r="AM315" s="583">
        <v>265284</v>
      </c>
      <c r="AN315" s="583">
        <v>25754</v>
      </c>
      <c r="AO315" s="583">
        <v>-20018</v>
      </c>
      <c r="AP315" s="583">
        <v>0</v>
      </c>
      <c r="AQ315" s="583">
        <v>271020</v>
      </c>
      <c r="AR315" s="583">
        <v>0</v>
      </c>
      <c r="AS315" s="583">
        <v>87627</v>
      </c>
      <c r="AT315" s="583">
        <v>0</v>
      </c>
      <c r="AU315" s="583">
        <v>65846</v>
      </c>
      <c r="AV315" s="583">
        <v>0</v>
      </c>
      <c r="AW315" s="583">
        <v>153473</v>
      </c>
      <c r="AX315" s="583">
        <v>65846</v>
      </c>
      <c r="AY315" s="583">
        <v>169635</v>
      </c>
      <c r="AZ315" s="583">
        <v>6314</v>
      </c>
      <c r="BA315" s="583">
        <v>0</v>
      </c>
      <c r="BB315" s="583">
        <v>0</v>
      </c>
      <c r="BC315" s="583">
        <v>175949</v>
      </c>
      <c r="BD315" s="583">
        <v>65846</v>
      </c>
      <c r="BE315" s="583">
        <v>357923</v>
      </c>
      <c r="BF315" s="583">
        <v>0</v>
      </c>
      <c r="BG315" s="583">
        <v>-65846</v>
      </c>
      <c r="BH315" s="583">
        <v>0</v>
      </c>
      <c r="BI315" s="583">
        <v>292077</v>
      </c>
      <c r="BJ315" s="583">
        <v>0</v>
      </c>
      <c r="BK315" s="583">
        <v>132840</v>
      </c>
      <c r="BL315" s="583">
        <v>0</v>
      </c>
      <c r="BM315" s="583">
        <v>20633</v>
      </c>
      <c r="BN315" s="583">
        <v>0</v>
      </c>
      <c r="BO315" s="583">
        <v>153473</v>
      </c>
      <c r="BP315" s="583">
        <v>20633</v>
      </c>
      <c r="BQ315" s="583">
        <v>254559</v>
      </c>
      <c r="BR315" s="583">
        <v>41496</v>
      </c>
      <c r="BS315" s="583">
        <v>-20633</v>
      </c>
      <c r="BT315" s="583">
        <v>0</v>
      </c>
      <c r="BU315" s="583">
        <v>275422</v>
      </c>
      <c r="BV315" s="583">
        <v>0</v>
      </c>
    </row>
    <row r="316" spans="1:74" x14ac:dyDescent="0.2">
      <c r="A316" s="580">
        <v>14103</v>
      </c>
      <c r="B316" s="580" t="s">
        <v>233</v>
      </c>
      <c r="C316" s="583">
        <v>168657</v>
      </c>
      <c r="D316" s="583">
        <v>0</v>
      </c>
      <c r="E316" s="583">
        <v>80885</v>
      </c>
      <c r="F316" s="583">
        <v>0</v>
      </c>
      <c r="G316" s="583">
        <v>249542</v>
      </c>
      <c r="H316" s="583">
        <v>80885</v>
      </c>
      <c r="I316" s="583">
        <v>89686</v>
      </c>
      <c r="J316" s="583">
        <v>0</v>
      </c>
      <c r="K316" s="583">
        <v>159856</v>
      </c>
      <c r="L316" s="583">
        <v>0</v>
      </c>
      <c r="M316" s="583">
        <v>249542</v>
      </c>
      <c r="N316" s="583">
        <v>240741</v>
      </c>
      <c r="O316" s="583">
        <v>255854</v>
      </c>
      <c r="P316" s="583">
        <v>0</v>
      </c>
      <c r="Q316" s="583">
        <v>0</v>
      </c>
      <c r="R316" s="583">
        <v>0</v>
      </c>
      <c r="S316" s="583">
        <v>255854</v>
      </c>
      <c r="T316" s="583">
        <v>240741</v>
      </c>
      <c r="U316" s="583">
        <v>135854</v>
      </c>
      <c r="V316" s="583">
        <v>0</v>
      </c>
      <c r="W316" s="583">
        <v>113688</v>
      </c>
      <c r="X316" s="583">
        <v>0</v>
      </c>
      <c r="Y316" s="583">
        <v>249542</v>
      </c>
      <c r="Z316" s="583">
        <v>354429</v>
      </c>
      <c r="AA316" s="583">
        <v>1182187</v>
      </c>
      <c r="AB316" s="583">
        <v>10911</v>
      </c>
      <c r="AC316" s="583">
        <v>-354429</v>
      </c>
      <c r="AD316" s="583">
        <v>0</v>
      </c>
      <c r="AE316" s="583">
        <v>838669</v>
      </c>
      <c r="AF316" s="583">
        <v>0</v>
      </c>
      <c r="AG316" s="583">
        <v>234161</v>
      </c>
      <c r="AH316" s="583">
        <v>7733</v>
      </c>
      <c r="AI316" s="583">
        <v>15381</v>
      </c>
      <c r="AJ316" s="583">
        <v>0</v>
      </c>
      <c r="AK316" s="583">
        <v>257275</v>
      </c>
      <c r="AL316" s="583">
        <v>15381</v>
      </c>
      <c r="AM316" s="583">
        <v>465471</v>
      </c>
      <c r="AN316" s="583">
        <v>45189</v>
      </c>
      <c r="AO316" s="583">
        <v>-15381</v>
      </c>
      <c r="AP316" s="583">
        <v>0</v>
      </c>
      <c r="AQ316" s="583">
        <v>495279</v>
      </c>
      <c r="AR316" s="583">
        <v>0</v>
      </c>
      <c r="AS316" s="583">
        <v>153752</v>
      </c>
      <c r="AT316" s="583">
        <v>0</v>
      </c>
      <c r="AU316" s="583">
        <v>95790</v>
      </c>
      <c r="AV316" s="583">
        <v>0</v>
      </c>
      <c r="AW316" s="583">
        <v>249542</v>
      </c>
      <c r="AX316" s="583">
        <v>95790</v>
      </c>
      <c r="AY316" s="583">
        <v>297644</v>
      </c>
      <c r="AZ316" s="583">
        <v>11078</v>
      </c>
      <c r="BA316" s="583">
        <v>0</v>
      </c>
      <c r="BB316" s="583">
        <v>0</v>
      </c>
      <c r="BC316" s="583">
        <v>308722</v>
      </c>
      <c r="BD316" s="583">
        <v>95790</v>
      </c>
      <c r="BE316" s="583">
        <v>628015</v>
      </c>
      <c r="BF316" s="583">
        <v>0</v>
      </c>
      <c r="BG316" s="583">
        <v>-95790</v>
      </c>
      <c r="BH316" s="583">
        <v>0</v>
      </c>
      <c r="BI316" s="583">
        <v>532225</v>
      </c>
      <c r="BJ316" s="583">
        <v>0</v>
      </c>
      <c r="BK316" s="583">
        <v>233083</v>
      </c>
      <c r="BL316" s="583">
        <v>0</v>
      </c>
      <c r="BM316" s="583">
        <v>16459</v>
      </c>
      <c r="BN316" s="583">
        <v>0</v>
      </c>
      <c r="BO316" s="583">
        <v>249542</v>
      </c>
      <c r="BP316" s="583">
        <v>16459</v>
      </c>
      <c r="BQ316" s="583">
        <v>446652</v>
      </c>
      <c r="BR316" s="583">
        <v>72809</v>
      </c>
      <c r="BS316" s="583">
        <v>-16459</v>
      </c>
      <c r="BT316" s="583">
        <v>0</v>
      </c>
      <c r="BU316" s="583">
        <v>503002</v>
      </c>
      <c r="BV316" s="583">
        <v>0</v>
      </c>
    </row>
    <row r="317" spans="1:74" x14ac:dyDescent="0.2">
      <c r="A317" s="580">
        <v>14104</v>
      </c>
      <c r="B317" s="580" t="s">
        <v>234</v>
      </c>
      <c r="C317" s="583">
        <v>107179</v>
      </c>
      <c r="D317" s="583">
        <v>0</v>
      </c>
      <c r="E317" s="583">
        <v>71813</v>
      </c>
      <c r="F317" s="583">
        <v>0</v>
      </c>
      <c r="G317" s="583">
        <v>178992</v>
      </c>
      <c r="H317" s="583">
        <v>71813</v>
      </c>
      <c r="I317" s="583">
        <v>56994</v>
      </c>
      <c r="J317" s="583">
        <v>0</v>
      </c>
      <c r="K317" s="583">
        <v>121998</v>
      </c>
      <c r="L317" s="583">
        <v>0</v>
      </c>
      <c r="M317" s="583">
        <v>178992</v>
      </c>
      <c r="N317" s="583">
        <v>193811</v>
      </c>
      <c r="O317" s="583">
        <v>162592</v>
      </c>
      <c r="P317" s="583">
        <v>0</v>
      </c>
      <c r="Q317" s="583">
        <v>0</v>
      </c>
      <c r="R317" s="583">
        <v>0</v>
      </c>
      <c r="S317" s="583">
        <v>162592</v>
      </c>
      <c r="T317" s="583">
        <v>193811</v>
      </c>
      <c r="U317" s="583">
        <v>86334</v>
      </c>
      <c r="V317" s="583">
        <v>0</v>
      </c>
      <c r="W317" s="583">
        <v>92658</v>
      </c>
      <c r="X317" s="583">
        <v>0</v>
      </c>
      <c r="Y317" s="583">
        <v>178992</v>
      </c>
      <c r="Z317" s="583">
        <v>286469</v>
      </c>
      <c r="AA317" s="583">
        <v>751265</v>
      </c>
      <c r="AB317" s="583">
        <v>6934</v>
      </c>
      <c r="AC317" s="583">
        <v>-286469</v>
      </c>
      <c r="AD317" s="583">
        <v>0</v>
      </c>
      <c r="AE317" s="583">
        <v>471730</v>
      </c>
      <c r="AF317" s="583">
        <v>0</v>
      </c>
      <c r="AG317" s="583">
        <v>148806</v>
      </c>
      <c r="AH317" s="583">
        <v>4914</v>
      </c>
      <c r="AI317" s="583">
        <v>30186</v>
      </c>
      <c r="AJ317" s="583">
        <v>0</v>
      </c>
      <c r="AK317" s="583">
        <v>183906</v>
      </c>
      <c r="AL317" s="583">
        <v>30186</v>
      </c>
      <c r="AM317" s="583">
        <v>295801</v>
      </c>
      <c r="AN317" s="583">
        <v>28717</v>
      </c>
      <c r="AO317" s="583">
        <v>-23914</v>
      </c>
      <c r="AP317" s="583">
        <v>0</v>
      </c>
      <c r="AQ317" s="583">
        <v>300604</v>
      </c>
      <c r="AR317" s="583">
        <v>6272</v>
      </c>
      <c r="AS317" s="583">
        <v>97707</v>
      </c>
      <c r="AT317" s="583">
        <v>0</v>
      </c>
      <c r="AU317" s="583">
        <v>81285</v>
      </c>
      <c r="AV317" s="583">
        <v>0</v>
      </c>
      <c r="AW317" s="583">
        <v>178992</v>
      </c>
      <c r="AX317" s="583">
        <v>87557</v>
      </c>
      <c r="AY317" s="583">
        <v>189149</v>
      </c>
      <c r="AZ317" s="583">
        <v>7040</v>
      </c>
      <c r="BA317" s="583">
        <v>0</v>
      </c>
      <c r="BB317" s="583">
        <v>0</v>
      </c>
      <c r="BC317" s="583">
        <v>196189</v>
      </c>
      <c r="BD317" s="583">
        <v>87557</v>
      </c>
      <c r="BE317" s="583">
        <v>399096</v>
      </c>
      <c r="BF317" s="583">
        <v>0</v>
      </c>
      <c r="BG317" s="583">
        <v>-87557</v>
      </c>
      <c r="BH317" s="583">
        <v>0</v>
      </c>
      <c r="BI317" s="583">
        <v>311539</v>
      </c>
      <c r="BJ317" s="583">
        <v>0</v>
      </c>
      <c r="BK317" s="583">
        <v>148121</v>
      </c>
      <c r="BL317" s="583">
        <v>0</v>
      </c>
      <c r="BM317" s="583">
        <v>30871</v>
      </c>
      <c r="BN317" s="583">
        <v>0</v>
      </c>
      <c r="BO317" s="583">
        <v>178992</v>
      </c>
      <c r="BP317" s="583">
        <v>30871</v>
      </c>
      <c r="BQ317" s="583">
        <v>283842</v>
      </c>
      <c r="BR317" s="583">
        <v>46269</v>
      </c>
      <c r="BS317" s="583">
        <v>-30871</v>
      </c>
      <c r="BT317" s="583">
        <v>0</v>
      </c>
      <c r="BU317" s="583">
        <v>299240</v>
      </c>
      <c r="BV317" s="583">
        <v>0</v>
      </c>
    </row>
    <row r="318" spans="1:74" x14ac:dyDescent="0.2">
      <c r="A318" s="580">
        <v>14105</v>
      </c>
      <c r="B318" s="580" t="s">
        <v>435</v>
      </c>
      <c r="C318" s="583">
        <v>73325</v>
      </c>
      <c r="D318" s="583">
        <v>0</v>
      </c>
      <c r="E318" s="583">
        <v>48555</v>
      </c>
      <c r="F318" s="583">
        <v>0</v>
      </c>
      <c r="G318" s="583">
        <v>121880</v>
      </c>
      <c r="H318" s="583">
        <v>48555</v>
      </c>
      <c r="I318" s="583">
        <v>38992</v>
      </c>
      <c r="J318" s="583">
        <v>0</v>
      </c>
      <c r="K318" s="583">
        <v>82888</v>
      </c>
      <c r="L318" s="583">
        <v>0</v>
      </c>
      <c r="M318" s="583">
        <v>121880</v>
      </c>
      <c r="N318" s="583">
        <v>131443</v>
      </c>
      <c r="O318" s="583">
        <v>111235</v>
      </c>
      <c r="P318" s="583">
        <v>0</v>
      </c>
      <c r="Q318" s="583">
        <v>0</v>
      </c>
      <c r="R318" s="583">
        <v>0</v>
      </c>
      <c r="S318" s="583">
        <v>111235</v>
      </c>
      <c r="T318" s="583">
        <v>131443</v>
      </c>
      <c r="U318" s="583">
        <v>59064</v>
      </c>
      <c r="V318" s="583">
        <v>0</v>
      </c>
      <c r="W318" s="583">
        <v>62816</v>
      </c>
      <c r="X318" s="583">
        <v>0</v>
      </c>
      <c r="Y318" s="583">
        <v>121880</v>
      </c>
      <c r="Z318" s="583">
        <v>194259</v>
      </c>
      <c r="AA318" s="583">
        <v>513966</v>
      </c>
      <c r="AB318" s="583">
        <v>4744</v>
      </c>
      <c r="AC318" s="583">
        <v>-194259</v>
      </c>
      <c r="AD318" s="583">
        <v>0</v>
      </c>
      <c r="AE318" s="583">
        <v>324451</v>
      </c>
      <c r="AF318" s="583">
        <v>0</v>
      </c>
      <c r="AG318" s="583">
        <v>101803</v>
      </c>
      <c r="AH318" s="583">
        <v>3362</v>
      </c>
      <c r="AI318" s="583">
        <v>20077</v>
      </c>
      <c r="AJ318" s="583">
        <v>0</v>
      </c>
      <c r="AK318" s="583">
        <v>125242</v>
      </c>
      <c r="AL318" s="583">
        <v>20077</v>
      </c>
      <c r="AM318" s="583">
        <v>202367</v>
      </c>
      <c r="AN318" s="583">
        <v>19646</v>
      </c>
      <c r="AO318" s="583">
        <v>-17233</v>
      </c>
      <c r="AP318" s="583">
        <v>0</v>
      </c>
      <c r="AQ318" s="583">
        <v>204780</v>
      </c>
      <c r="AR318" s="583">
        <v>2844</v>
      </c>
      <c r="AS318" s="583">
        <v>66845</v>
      </c>
      <c r="AT318" s="583">
        <v>0</v>
      </c>
      <c r="AU318" s="583">
        <v>55035</v>
      </c>
      <c r="AV318" s="583">
        <v>0</v>
      </c>
      <c r="AW318" s="583">
        <v>121880</v>
      </c>
      <c r="AX318" s="583">
        <v>57879</v>
      </c>
      <c r="AY318" s="583">
        <v>129403</v>
      </c>
      <c r="AZ318" s="583">
        <v>4816</v>
      </c>
      <c r="BA318" s="583">
        <v>0</v>
      </c>
      <c r="BB318" s="583">
        <v>0</v>
      </c>
      <c r="BC318" s="583">
        <v>134219</v>
      </c>
      <c r="BD318" s="583">
        <v>57879</v>
      </c>
      <c r="BE318" s="583">
        <v>273035</v>
      </c>
      <c r="BF318" s="583">
        <v>0</v>
      </c>
      <c r="BG318" s="583">
        <v>-57879</v>
      </c>
      <c r="BH318" s="583">
        <v>0</v>
      </c>
      <c r="BI318" s="583">
        <v>215156</v>
      </c>
      <c r="BJ318" s="583">
        <v>0</v>
      </c>
      <c r="BK318" s="583">
        <v>101335</v>
      </c>
      <c r="BL318" s="583">
        <v>0</v>
      </c>
      <c r="BM318" s="583">
        <v>20545</v>
      </c>
      <c r="BN318" s="583">
        <v>0</v>
      </c>
      <c r="BO318" s="583">
        <v>121880</v>
      </c>
      <c r="BP318" s="583">
        <v>20545</v>
      </c>
      <c r="BQ318" s="583">
        <v>194186</v>
      </c>
      <c r="BR318" s="583">
        <v>31654</v>
      </c>
      <c r="BS318" s="583">
        <v>-20545</v>
      </c>
      <c r="BT318" s="583">
        <v>0</v>
      </c>
      <c r="BU318" s="583">
        <v>205295</v>
      </c>
      <c r="BV318" s="583">
        <v>0</v>
      </c>
    </row>
    <row r="319" spans="1:74" x14ac:dyDescent="0.2">
      <c r="A319" s="580">
        <v>14106</v>
      </c>
      <c r="B319" s="580" t="s">
        <v>317</v>
      </c>
      <c r="C319" s="583">
        <v>193601</v>
      </c>
      <c r="D319" s="583">
        <v>0</v>
      </c>
      <c r="E319" s="583">
        <v>108094</v>
      </c>
      <c r="F319" s="583">
        <v>0</v>
      </c>
      <c r="G319" s="583">
        <v>301695</v>
      </c>
      <c r="H319" s="583">
        <v>108094</v>
      </c>
      <c r="I319" s="583">
        <v>102950</v>
      </c>
      <c r="J319" s="583">
        <v>0</v>
      </c>
      <c r="K319" s="583">
        <v>198745</v>
      </c>
      <c r="L319" s="583">
        <v>0</v>
      </c>
      <c r="M319" s="583">
        <v>301695</v>
      </c>
      <c r="N319" s="583">
        <v>306839</v>
      </c>
      <c r="O319" s="583">
        <v>293694</v>
      </c>
      <c r="P319" s="583">
        <v>0</v>
      </c>
      <c r="Q319" s="583">
        <v>0</v>
      </c>
      <c r="R319" s="583">
        <v>0</v>
      </c>
      <c r="S319" s="583">
        <v>293694</v>
      </c>
      <c r="T319" s="583">
        <v>306839</v>
      </c>
      <c r="U319" s="583">
        <v>155947</v>
      </c>
      <c r="V319" s="583">
        <v>0</v>
      </c>
      <c r="W319" s="583">
        <v>145748</v>
      </c>
      <c r="X319" s="583">
        <v>0</v>
      </c>
      <c r="Y319" s="583">
        <v>301695</v>
      </c>
      <c r="Z319" s="583">
        <v>452587</v>
      </c>
      <c r="AA319" s="583">
        <v>1357030</v>
      </c>
      <c r="AB319" s="583">
        <v>12525</v>
      </c>
      <c r="AC319" s="583">
        <v>-452587</v>
      </c>
      <c r="AD319" s="583">
        <v>0</v>
      </c>
      <c r="AE319" s="583">
        <v>916968</v>
      </c>
      <c r="AF319" s="583">
        <v>0</v>
      </c>
      <c r="AG319" s="583">
        <v>268793</v>
      </c>
      <c r="AH319" s="583">
        <v>8877</v>
      </c>
      <c r="AI319" s="583">
        <v>32902</v>
      </c>
      <c r="AJ319" s="583">
        <v>0</v>
      </c>
      <c r="AK319" s="583">
        <v>310572</v>
      </c>
      <c r="AL319" s="583">
        <v>32902</v>
      </c>
      <c r="AM319" s="583">
        <v>534313</v>
      </c>
      <c r="AN319" s="583">
        <v>51872</v>
      </c>
      <c r="AO319" s="583">
        <v>-32902</v>
      </c>
      <c r="AP319" s="583">
        <v>0</v>
      </c>
      <c r="AQ319" s="583">
        <v>553283</v>
      </c>
      <c r="AR319" s="583">
        <v>0</v>
      </c>
      <c r="AS319" s="583">
        <v>176492</v>
      </c>
      <c r="AT319" s="583">
        <v>0</v>
      </c>
      <c r="AU319" s="583">
        <v>125203</v>
      </c>
      <c r="AV319" s="583">
        <v>0</v>
      </c>
      <c r="AW319" s="583">
        <v>301695</v>
      </c>
      <c r="AX319" s="583">
        <v>125203</v>
      </c>
      <c r="AY319" s="583">
        <v>341664</v>
      </c>
      <c r="AZ319" s="583">
        <v>12716</v>
      </c>
      <c r="BA319" s="583">
        <v>0</v>
      </c>
      <c r="BB319" s="583">
        <v>0</v>
      </c>
      <c r="BC319" s="583">
        <v>354380</v>
      </c>
      <c r="BD319" s="583">
        <v>125203</v>
      </c>
      <c r="BE319" s="583">
        <v>720897</v>
      </c>
      <c r="BF319" s="583">
        <v>0</v>
      </c>
      <c r="BG319" s="583">
        <v>-125203</v>
      </c>
      <c r="BH319" s="583">
        <v>0</v>
      </c>
      <c r="BI319" s="583">
        <v>595694</v>
      </c>
      <c r="BJ319" s="583">
        <v>0</v>
      </c>
      <c r="BK319" s="583">
        <v>267556</v>
      </c>
      <c r="BL319" s="583">
        <v>0</v>
      </c>
      <c r="BM319" s="583">
        <v>34139</v>
      </c>
      <c r="BN319" s="583">
        <v>0</v>
      </c>
      <c r="BO319" s="583">
        <v>301695</v>
      </c>
      <c r="BP319" s="583">
        <v>34139</v>
      </c>
      <c r="BQ319" s="583">
        <v>512711</v>
      </c>
      <c r="BR319" s="583">
        <v>83577</v>
      </c>
      <c r="BS319" s="583">
        <v>-34139</v>
      </c>
      <c r="BT319" s="583">
        <v>0</v>
      </c>
      <c r="BU319" s="583">
        <v>562149</v>
      </c>
      <c r="BV319" s="583">
        <v>0</v>
      </c>
    </row>
    <row r="320" spans="1:74" x14ac:dyDescent="0.2">
      <c r="A320" s="580">
        <v>14107</v>
      </c>
      <c r="B320" s="580" t="s">
        <v>238</v>
      </c>
      <c r="C320" s="583">
        <v>132556</v>
      </c>
      <c r="D320" s="583">
        <v>0</v>
      </c>
      <c r="E320" s="583">
        <v>89033</v>
      </c>
      <c r="F320" s="583">
        <v>0</v>
      </c>
      <c r="G320" s="583">
        <v>221589</v>
      </c>
      <c r="H320" s="583">
        <v>89033</v>
      </c>
      <c r="I320" s="583">
        <v>70489</v>
      </c>
      <c r="J320" s="583">
        <v>0</v>
      </c>
      <c r="K320" s="583">
        <v>151100</v>
      </c>
      <c r="L320" s="583">
        <v>0</v>
      </c>
      <c r="M320" s="583">
        <v>221589</v>
      </c>
      <c r="N320" s="583">
        <v>240133</v>
      </c>
      <c r="O320" s="583">
        <v>201089</v>
      </c>
      <c r="P320" s="583">
        <v>0</v>
      </c>
      <c r="Q320" s="583">
        <v>0</v>
      </c>
      <c r="R320" s="583">
        <v>0</v>
      </c>
      <c r="S320" s="583">
        <v>201089</v>
      </c>
      <c r="T320" s="583">
        <v>240133</v>
      </c>
      <c r="U320" s="583">
        <v>106775</v>
      </c>
      <c r="V320" s="583">
        <v>0</v>
      </c>
      <c r="W320" s="583">
        <v>114814</v>
      </c>
      <c r="X320" s="583">
        <v>0</v>
      </c>
      <c r="Y320" s="583">
        <v>221589</v>
      </c>
      <c r="Z320" s="583">
        <v>354947</v>
      </c>
      <c r="AA320" s="583">
        <v>929145</v>
      </c>
      <c r="AB320" s="583">
        <v>8576</v>
      </c>
      <c r="AC320" s="583">
        <v>-354947</v>
      </c>
      <c r="AD320" s="583">
        <v>0</v>
      </c>
      <c r="AE320" s="583">
        <v>582774</v>
      </c>
      <c r="AF320" s="583">
        <v>0</v>
      </c>
      <c r="AG320" s="583">
        <v>184040</v>
      </c>
      <c r="AH320" s="583">
        <v>6078</v>
      </c>
      <c r="AI320" s="583">
        <v>37549</v>
      </c>
      <c r="AJ320" s="583">
        <v>0</v>
      </c>
      <c r="AK320" s="583">
        <v>227667</v>
      </c>
      <c r="AL320" s="583">
        <v>37549</v>
      </c>
      <c r="AM320" s="583">
        <v>365839</v>
      </c>
      <c r="AN320" s="583">
        <v>35516</v>
      </c>
      <c r="AO320" s="583">
        <v>-29248</v>
      </c>
      <c r="AP320" s="583">
        <v>0</v>
      </c>
      <c r="AQ320" s="583">
        <v>372107</v>
      </c>
      <c r="AR320" s="583">
        <v>8301</v>
      </c>
      <c r="AS320" s="583">
        <v>120842</v>
      </c>
      <c r="AT320" s="583">
        <v>0</v>
      </c>
      <c r="AU320" s="583">
        <v>100747</v>
      </c>
      <c r="AV320" s="583">
        <v>0</v>
      </c>
      <c r="AW320" s="583">
        <v>221589</v>
      </c>
      <c r="AX320" s="583">
        <v>109048</v>
      </c>
      <c r="AY320" s="583">
        <v>233934</v>
      </c>
      <c r="AZ320" s="583">
        <v>8707</v>
      </c>
      <c r="BA320" s="583">
        <v>0</v>
      </c>
      <c r="BB320" s="583">
        <v>0</v>
      </c>
      <c r="BC320" s="583">
        <v>242641</v>
      </c>
      <c r="BD320" s="583">
        <v>109048</v>
      </c>
      <c r="BE320" s="583">
        <v>493591</v>
      </c>
      <c r="BF320" s="583">
        <v>0</v>
      </c>
      <c r="BG320" s="583">
        <v>-109048</v>
      </c>
      <c r="BH320" s="583">
        <v>0</v>
      </c>
      <c r="BI320" s="583">
        <v>384543</v>
      </c>
      <c r="BJ320" s="583">
        <v>0</v>
      </c>
      <c r="BK320" s="583">
        <v>183193</v>
      </c>
      <c r="BL320" s="583">
        <v>0</v>
      </c>
      <c r="BM320" s="583">
        <v>38396</v>
      </c>
      <c r="BN320" s="583">
        <v>0</v>
      </c>
      <c r="BO320" s="583">
        <v>221589</v>
      </c>
      <c r="BP320" s="583">
        <v>38396</v>
      </c>
      <c r="BQ320" s="583">
        <v>351048</v>
      </c>
      <c r="BR320" s="583">
        <v>57224</v>
      </c>
      <c r="BS320" s="583">
        <v>-38396</v>
      </c>
      <c r="BT320" s="583">
        <v>0</v>
      </c>
      <c r="BU320" s="583">
        <v>369876</v>
      </c>
      <c r="BV320" s="583">
        <v>0</v>
      </c>
    </row>
    <row r="321" spans="1:74" x14ac:dyDescent="0.2">
      <c r="A321" s="580">
        <v>14108</v>
      </c>
      <c r="B321" s="580" t="s">
        <v>237</v>
      </c>
      <c r="C321" s="583">
        <v>295717</v>
      </c>
      <c r="D321" s="583">
        <v>0</v>
      </c>
      <c r="E321" s="583">
        <v>198140</v>
      </c>
      <c r="F321" s="583">
        <v>0</v>
      </c>
      <c r="G321" s="583">
        <v>493857</v>
      </c>
      <c r="H321" s="583">
        <v>198140</v>
      </c>
      <c r="I321" s="583">
        <v>157252</v>
      </c>
      <c r="J321" s="583">
        <v>0</v>
      </c>
      <c r="K321" s="583">
        <v>336605</v>
      </c>
      <c r="L321" s="583">
        <v>0</v>
      </c>
      <c r="M321" s="583">
        <v>493857</v>
      </c>
      <c r="N321" s="583">
        <v>534745</v>
      </c>
      <c r="O321" s="583">
        <v>448606</v>
      </c>
      <c r="P321" s="583">
        <v>0</v>
      </c>
      <c r="Q321" s="583">
        <v>0</v>
      </c>
      <c r="R321" s="583">
        <v>0</v>
      </c>
      <c r="S321" s="583">
        <v>448606</v>
      </c>
      <c r="T321" s="583">
        <v>534745</v>
      </c>
      <c r="U321" s="583">
        <v>238203</v>
      </c>
      <c r="V321" s="583">
        <v>0</v>
      </c>
      <c r="W321" s="583">
        <v>255654</v>
      </c>
      <c r="X321" s="583">
        <v>0</v>
      </c>
      <c r="Y321" s="583">
        <v>493857</v>
      </c>
      <c r="Z321" s="583">
        <v>790399</v>
      </c>
      <c r="AA321" s="583">
        <v>2072809</v>
      </c>
      <c r="AB321" s="583">
        <v>19132</v>
      </c>
      <c r="AC321" s="583">
        <v>-790399</v>
      </c>
      <c r="AD321" s="583">
        <v>0</v>
      </c>
      <c r="AE321" s="583">
        <v>1301542</v>
      </c>
      <c r="AF321" s="583">
        <v>0</v>
      </c>
      <c r="AG321" s="583">
        <v>410571</v>
      </c>
      <c r="AH321" s="583">
        <v>13559</v>
      </c>
      <c r="AI321" s="583">
        <v>83286</v>
      </c>
      <c r="AJ321" s="583">
        <v>0</v>
      </c>
      <c r="AK321" s="583">
        <v>507416</v>
      </c>
      <c r="AL321" s="583">
        <v>83286</v>
      </c>
      <c r="AM321" s="583">
        <v>816141</v>
      </c>
      <c r="AN321" s="583">
        <v>79233</v>
      </c>
      <c r="AO321" s="583">
        <v>-65979</v>
      </c>
      <c r="AP321" s="583">
        <v>0</v>
      </c>
      <c r="AQ321" s="583">
        <v>829395</v>
      </c>
      <c r="AR321" s="583">
        <v>17307</v>
      </c>
      <c r="AS321" s="583">
        <v>269584</v>
      </c>
      <c r="AT321" s="583">
        <v>0</v>
      </c>
      <c r="AU321" s="583">
        <v>224273</v>
      </c>
      <c r="AV321" s="583">
        <v>0</v>
      </c>
      <c r="AW321" s="583">
        <v>493857</v>
      </c>
      <c r="AX321" s="583">
        <v>241580</v>
      </c>
      <c r="AY321" s="583">
        <v>521879</v>
      </c>
      <c r="AZ321" s="583">
        <v>19424</v>
      </c>
      <c r="BA321" s="583">
        <v>0</v>
      </c>
      <c r="BB321" s="583">
        <v>0</v>
      </c>
      <c r="BC321" s="583">
        <v>541303</v>
      </c>
      <c r="BD321" s="583">
        <v>241580</v>
      </c>
      <c r="BE321" s="583">
        <v>1101142</v>
      </c>
      <c r="BF321" s="583">
        <v>0</v>
      </c>
      <c r="BG321" s="583">
        <v>-241580</v>
      </c>
      <c r="BH321" s="583">
        <v>0</v>
      </c>
      <c r="BI321" s="583">
        <v>859562</v>
      </c>
      <c r="BJ321" s="583">
        <v>0</v>
      </c>
      <c r="BK321" s="583">
        <v>408681</v>
      </c>
      <c r="BL321" s="583">
        <v>0</v>
      </c>
      <c r="BM321" s="583">
        <v>85176</v>
      </c>
      <c r="BN321" s="583">
        <v>0</v>
      </c>
      <c r="BO321" s="583">
        <v>493857</v>
      </c>
      <c r="BP321" s="583">
        <v>85176</v>
      </c>
      <c r="BQ321" s="583">
        <v>783145</v>
      </c>
      <c r="BR321" s="583">
        <v>127661</v>
      </c>
      <c r="BS321" s="583">
        <v>-85176</v>
      </c>
      <c r="BT321" s="583">
        <v>0</v>
      </c>
      <c r="BU321" s="583">
        <v>825630</v>
      </c>
      <c r="BV321" s="583">
        <v>0</v>
      </c>
    </row>
    <row r="322" spans="1:74" x14ac:dyDescent="0.2">
      <c r="A322" s="580">
        <v>14201</v>
      </c>
      <c r="B322" s="580" t="s">
        <v>436</v>
      </c>
      <c r="C322" s="583">
        <v>218093</v>
      </c>
      <c r="D322" s="583">
        <v>0</v>
      </c>
      <c r="E322" s="583">
        <v>146113</v>
      </c>
      <c r="F322" s="583">
        <v>0</v>
      </c>
      <c r="G322" s="583">
        <v>364206</v>
      </c>
      <c r="H322" s="583">
        <v>146113</v>
      </c>
      <c r="I322" s="583">
        <v>115975</v>
      </c>
      <c r="J322" s="583">
        <v>0</v>
      </c>
      <c r="K322" s="583">
        <v>248231</v>
      </c>
      <c r="L322" s="583">
        <v>0</v>
      </c>
      <c r="M322" s="583">
        <v>364206</v>
      </c>
      <c r="N322" s="583">
        <v>394344</v>
      </c>
      <c r="O322" s="583">
        <v>330850</v>
      </c>
      <c r="P322" s="583">
        <v>0</v>
      </c>
      <c r="Q322" s="583">
        <v>0</v>
      </c>
      <c r="R322" s="583">
        <v>0</v>
      </c>
      <c r="S322" s="583">
        <v>330850</v>
      </c>
      <c r="T322" s="583">
        <v>394344</v>
      </c>
      <c r="U322" s="583">
        <v>175676</v>
      </c>
      <c r="V322" s="583">
        <v>0</v>
      </c>
      <c r="W322" s="583">
        <v>188530</v>
      </c>
      <c r="X322" s="583">
        <v>0</v>
      </c>
      <c r="Y322" s="583">
        <v>364206</v>
      </c>
      <c r="Z322" s="583">
        <v>582874</v>
      </c>
      <c r="AA322" s="583">
        <v>1528710</v>
      </c>
      <c r="AB322" s="583">
        <v>14110</v>
      </c>
      <c r="AC322" s="583">
        <v>-582874</v>
      </c>
      <c r="AD322" s="583">
        <v>0</v>
      </c>
      <c r="AE322" s="583">
        <v>959946</v>
      </c>
      <c r="AF322" s="583">
        <v>0</v>
      </c>
      <c r="AG322" s="583">
        <v>302798</v>
      </c>
      <c r="AH322" s="583">
        <v>10000</v>
      </c>
      <c r="AI322" s="583">
        <v>61408</v>
      </c>
      <c r="AJ322" s="583">
        <v>0</v>
      </c>
      <c r="AK322" s="583">
        <v>374206</v>
      </c>
      <c r="AL322" s="583">
        <v>61408</v>
      </c>
      <c r="AM322" s="583">
        <v>601909</v>
      </c>
      <c r="AN322" s="583">
        <v>58434</v>
      </c>
      <c r="AO322" s="583">
        <v>-48685</v>
      </c>
      <c r="AP322" s="583">
        <v>0</v>
      </c>
      <c r="AQ322" s="583">
        <v>611658</v>
      </c>
      <c r="AR322" s="583">
        <v>12723</v>
      </c>
      <c r="AS322" s="583">
        <v>198820</v>
      </c>
      <c r="AT322" s="583">
        <v>0</v>
      </c>
      <c r="AU322" s="583">
        <v>165386</v>
      </c>
      <c r="AV322" s="583">
        <v>0</v>
      </c>
      <c r="AW322" s="583">
        <v>364206</v>
      </c>
      <c r="AX322" s="583">
        <v>178109</v>
      </c>
      <c r="AY322" s="583">
        <v>384889</v>
      </c>
      <c r="AZ322" s="583">
        <v>14325</v>
      </c>
      <c r="BA322" s="583">
        <v>0</v>
      </c>
      <c r="BB322" s="583">
        <v>0</v>
      </c>
      <c r="BC322" s="583">
        <v>399214</v>
      </c>
      <c r="BD322" s="583">
        <v>178109</v>
      </c>
      <c r="BE322" s="583">
        <v>812099</v>
      </c>
      <c r="BF322" s="583">
        <v>0</v>
      </c>
      <c r="BG322" s="583">
        <v>-178109</v>
      </c>
      <c r="BH322" s="583">
        <v>0</v>
      </c>
      <c r="BI322" s="583">
        <v>633990</v>
      </c>
      <c r="BJ322" s="583">
        <v>0</v>
      </c>
      <c r="BK322" s="583">
        <v>301405</v>
      </c>
      <c r="BL322" s="583">
        <v>0</v>
      </c>
      <c r="BM322" s="583">
        <v>62801</v>
      </c>
      <c r="BN322" s="583">
        <v>0</v>
      </c>
      <c r="BO322" s="583">
        <v>364206</v>
      </c>
      <c r="BP322" s="583">
        <v>62801</v>
      </c>
      <c r="BQ322" s="583">
        <v>577575</v>
      </c>
      <c r="BR322" s="583">
        <v>94151</v>
      </c>
      <c r="BS322" s="583">
        <v>-62801</v>
      </c>
      <c r="BT322" s="583">
        <v>0</v>
      </c>
      <c r="BU322" s="583">
        <v>608925</v>
      </c>
      <c r="BV322" s="583">
        <v>0</v>
      </c>
    </row>
    <row r="323" spans="1:74" x14ac:dyDescent="0.2">
      <c r="A323" s="580">
        <v>14202</v>
      </c>
      <c r="B323" s="580" t="s">
        <v>235</v>
      </c>
      <c r="C323" s="583">
        <v>99959</v>
      </c>
      <c r="D323" s="583">
        <v>0</v>
      </c>
      <c r="E323" s="583">
        <v>66976</v>
      </c>
      <c r="F323" s="583">
        <v>0</v>
      </c>
      <c r="G323" s="583">
        <v>166935</v>
      </c>
      <c r="H323" s="583">
        <v>66976</v>
      </c>
      <c r="I323" s="583">
        <v>53155</v>
      </c>
      <c r="J323" s="583">
        <v>0</v>
      </c>
      <c r="K323" s="583">
        <v>113780</v>
      </c>
      <c r="L323" s="583">
        <v>0</v>
      </c>
      <c r="M323" s="583">
        <v>166935</v>
      </c>
      <c r="N323" s="583">
        <v>180756</v>
      </c>
      <c r="O323" s="583">
        <v>151639</v>
      </c>
      <c r="P323" s="583">
        <v>0</v>
      </c>
      <c r="Q323" s="583">
        <v>0</v>
      </c>
      <c r="R323" s="583">
        <v>0</v>
      </c>
      <c r="S323" s="583">
        <v>151639</v>
      </c>
      <c r="T323" s="583">
        <v>180756</v>
      </c>
      <c r="U323" s="583">
        <v>80518</v>
      </c>
      <c r="V323" s="583">
        <v>0</v>
      </c>
      <c r="W323" s="583">
        <v>86417</v>
      </c>
      <c r="X323" s="583">
        <v>0</v>
      </c>
      <c r="Y323" s="583">
        <v>166935</v>
      </c>
      <c r="Z323" s="583">
        <v>267173</v>
      </c>
      <c r="AA323" s="583">
        <v>700658</v>
      </c>
      <c r="AB323" s="583">
        <v>6467</v>
      </c>
      <c r="AC323" s="583">
        <v>-267173</v>
      </c>
      <c r="AD323" s="583">
        <v>0</v>
      </c>
      <c r="AE323" s="583">
        <v>439952</v>
      </c>
      <c r="AF323" s="583">
        <v>0</v>
      </c>
      <c r="AG323" s="583">
        <v>138782</v>
      </c>
      <c r="AH323" s="583">
        <v>4583</v>
      </c>
      <c r="AI323" s="583">
        <v>28153</v>
      </c>
      <c r="AJ323" s="583">
        <v>0</v>
      </c>
      <c r="AK323" s="583">
        <v>171518</v>
      </c>
      <c r="AL323" s="583">
        <v>28153</v>
      </c>
      <c r="AM323" s="583">
        <v>275875</v>
      </c>
      <c r="AN323" s="583">
        <v>26782</v>
      </c>
      <c r="AO323" s="583">
        <v>-22303</v>
      </c>
      <c r="AP323" s="583">
        <v>0</v>
      </c>
      <c r="AQ323" s="583">
        <v>280354</v>
      </c>
      <c r="AR323" s="583">
        <v>5850</v>
      </c>
      <c r="AS323" s="583">
        <v>91126</v>
      </c>
      <c r="AT323" s="583">
        <v>0</v>
      </c>
      <c r="AU323" s="583">
        <v>75809</v>
      </c>
      <c r="AV323" s="583">
        <v>0</v>
      </c>
      <c r="AW323" s="583">
        <v>166935</v>
      </c>
      <c r="AX323" s="583">
        <v>81659</v>
      </c>
      <c r="AY323" s="583">
        <v>176407</v>
      </c>
      <c r="AZ323" s="583">
        <v>6566</v>
      </c>
      <c r="BA323" s="583">
        <v>0</v>
      </c>
      <c r="BB323" s="583">
        <v>0</v>
      </c>
      <c r="BC323" s="583">
        <v>182973</v>
      </c>
      <c r="BD323" s="583">
        <v>81659</v>
      </c>
      <c r="BE323" s="583">
        <v>372212</v>
      </c>
      <c r="BF323" s="583">
        <v>0</v>
      </c>
      <c r="BG323" s="583">
        <v>-81659</v>
      </c>
      <c r="BH323" s="583">
        <v>0</v>
      </c>
      <c r="BI323" s="583">
        <v>290553</v>
      </c>
      <c r="BJ323" s="583">
        <v>0</v>
      </c>
      <c r="BK323" s="583">
        <v>138144</v>
      </c>
      <c r="BL323" s="583">
        <v>0</v>
      </c>
      <c r="BM323" s="583">
        <v>28791</v>
      </c>
      <c r="BN323" s="583">
        <v>0</v>
      </c>
      <c r="BO323" s="583">
        <v>166935</v>
      </c>
      <c r="BP323" s="583">
        <v>28791</v>
      </c>
      <c r="BQ323" s="583">
        <v>264721</v>
      </c>
      <c r="BR323" s="583">
        <v>43152</v>
      </c>
      <c r="BS323" s="583">
        <v>-28791</v>
      </c>
      <c r="BT323" s="583">
        <v>0</v>
      </c>
      <c r="BU323" s="583">
        <v>279082</v>
      </c>
      <c r="BV323" s="583">
        <v>0</v>
      </c>
    </row>
    <row r="324" spans="1:74" x14ac:dyDescent="0.2">
      <c r="A324" s="580">
        <v>14203</v>
      </c>
      <c r="B324" s="580" t="s">
        <v>239</v>
      </c>
      <c r="C324" s="583">
        <v>86412</v>
      </c>
      <c r="D324" s="583">
        <v>0</v>
      </c>
      <c r="E324" s="583">
        <v>57899</v>
      </c>
      <c r="F324" s="583">
        <v>0</v>
      </c>
      <c r="G324" s="583">
        <v>144311</v>
      </c>
      <c r="H324" s="583">
        <v>57899</v>
      </c>
      <c r="I324" s="583">
        <v>45951</v>
      </c>
      <c r="J324" s="583">
        <v>0</v>
      </c>
      <c r="K324" s="583">
        <v>98360</v>
      </c>
      <c r="L324" s="583">
        <v>0</v>
      </c>
      <c r="M324" s="583">
        <v>144311</v>
      </c>
      <c r="N324" s="583">
        <v>156259</v>
      </c>
      <c r="O324" s="583">
        <v>131088</v>
      </c>
      <c r="P324" s="583">
        <v>0</v>
      </c>
      <c r="Q324" s="583">
        <v>0</v>
      </c>
      <c r="R324" s="583">
        <v>0</v>
      </c>
      <c r="S324" s="583">
        <v>131088</v>
      </c>
      <c r="T324" s="583">
        <v>156259</v>
      </c>
      <c r="U324" s="583">
        <v>69606</v>
      </c>
      <c r="V324" s="583">
        <v>0</v>
      </c>
      <c r="W324" s="583">
        <v>74705</v>
      </c>
      <c r="X324" s="583">
        <v>0</v>
      </c>
      <c r="Y324" s="583">
        <v>144311</v>
      </c>
      <c r="Z324" s="583">
        <v>230964</v>
      </c>
      <c r="AA324" s="583">
        <v>605701</v>
      </c>
      <c r="AB324" s="583">
        <v>5590</v>
      </c>
      <c r="AC324" s="583">
        <v>-230964</v>
      </c>
      <c r="AD324" s="583">
        <v>0</v>
      </c>
      <c r="AE324" s="583">
        <v>380327</v>
      </c>
      <c r="AF324" s="583">
        <v>0</v>
      </c>
      <c r="AG324" s="583">
        <v>119974</v>
      </c>
      <c r="AH324" s="583">
        <v>3962</v>
      </c>
      <c r="AI324" s="583">
        <v>24337</v>
      </c>
      <c r="AJ324" s="583">
        <v>0</v>
      </c>
      <c r="AK324" s="583">
        <v>148273</v>
      </c>
      <c r="AL324" s="583">
        <v>24337</v>
      </c>
      <c r="AM324" s="583">
        <v>238487</v>
      </c>
      <c r="AN324" s="583">
        <v>23153</v>
      </c>
      <c r="AO324" s="583">
        <v>-19280</v>
      </c>
      <c r="AP324" s="583">
        <v>0</v>
      </c>
      <c r="AQ324" s="583">
        <v>242360</v>
      </c>
      <c r="AR324" s="583">
        <v>5057</v>
      </c>
      <c r="AS324" s="583">
        <v>78776</v>
      </c>
      <c r="AT324" s="583">
        <v>0</v>
      </c>
      <c r="AU324" s="583">
        <v>65535</v>
      </c>
      <c r="AV324" s="583">
        <v>0</v>
      </c>
      <c r="AW324" s="583">
        <v>144311</v>
      </c>
      <c r="AX324" s="583">
        <v>70592</v>
      </c>
      <c r="AY324" s="583">
        <v>152499</v>
      </c>
      <c r="AZ324" s="583">
        <v>5676</v>
      </c>
      <c r="BA324" s="583">
        <v>0</v>
      </c>
      <c r="BB324" s="583">
        <v>0</v>
      </c>
      <c r="BC324" s="583">
        <v>158175</v>
      </c>
      <c r="BD324" s="583">
        <v>70592</v>
      </c>
      <c r="BE324" s="583">
        <v>321767</v>
      </c>
      <c r="BF324" s="583">
        <v>0</v>
      </c>
      <c r="BG324" s="583">
        <v>-70592</v>
      </c>
      <c r="BH324" s="583">
        <v>0</v>
      </c>
      <c r="BI324" s="583">
        <v>251175</v>
      </c>
      <c r="BJ324" s="583">
        <v>0</v>
      </c>
      <c r="BK324" s="583">
        <v>119422</v>
      </c>
      <c r="BL324" s="583">
        <v>0</v>
      </c>
      <c r="BM324" s="583">
        <v>24889</v>
      </c>
      <c r="BN324" s="583">
        <v>0</v>
      </c>
      <c r="BO324" s="583">
        <v>144311</v>
      </c>
      <c r="BP324" s="583">
        <v>24889</v>
      </c>
      <c r="BQ324" s="583">
        <v>228845</v>
      </c>
      <c r="BR324" s="583">
        <v>37304</v>
      </c>
      <c r="BS324" s="583">
        <v>-24889</v>
      </c>
      <c r="BT324" s="583">
        <v>0</v>
      </c>
      <c r="BU324" s="583">
        <v>241260</v>
      </c>
      <c r="BV324" s="583">
        <v>0</v>
      </c>
    </row>
    <row r="325" spans="1:74" x14ac:dyDescent="0.2">
      <c r="A325" s="580">
        <v>14204</v>
      </c>
      <c r="B325" s="580" t="s">
        <v>437</v>
      </c>
      <c r="C325" s="583">
        <v>204746</v>
      </c>
      <c r="D325" s="583">
        <v>0</v>
      </c>
      <c r="E325" s="583">
        <v>137498</v>
      </c>
      <c r="F325" s="583">
        <v>0</v>
      </c>
      <c r="G325" s="583">
        <v>342244</v>
      </c>
      <c r="H325" s="583">
        <v>137498</v>
      </c>
      <c r="I325" s="583">
        <v>108877</v>
      </c>
      <c r="J325" s="583">
        <v>0</v>
      </c>
      <c r="K325" s="583">
        <v>233367</v>
      </c>
      <c r="L325" s="583">
        <v>0</v>
      </c>
      <c r="M325" s="583">
        <v>342244</v>
      </c>
      <c r="N325" s="583">
        <v>370865</v>
      </c>
      <c r="O325" s="583">
        <v>310602</v>
      </c>
      <c r="P325" s="583">
        <v>0</v>
      </c>
      <c r="Q325" s="583">
        <v>0</v>
      </c>
      <c r="R325" s="583">
        <v>0</v>
      </c>
      <c r="S325" s="583">
        <v>310602</v>
      </c>
      <c r="T325" s="583">
        <v>370865</v>
      </c>
      <c r="U325" s="583">
        <v>164925</v>
      </c>
      <c r="V325" s="583">
        <v>0</v>
      </c>
      <c r="W325" s="583">
        <v>177319</v>
      </c>
      <c r="X325" s="583">
        <v>0</v>
      </c>
      <c r="Y325" s="583">
        <v>342244</v>
      </c>
      <c r="Z325" s="583">
        <v>548184</v>
      </c>
      <c r="AA325" s="583">
        <v>1435153</v>
      </c>
      <c r="AB325" s="583">
        <v>13246</v>
      </c>
      <c r="AC325" s="583">
        <v>-548184</v>
      </c>
      <c r="AD325" s="583">
        <v>0</v>
      </c>
      <c r="AE325" s="583">
        <v>900215</v>
      </c>
      <c r="AF325" s="583">
        <v>0</v>
      </c>
      <c r="AG325" s="583">
        <v>284267</v>
      </c>
      <c r="AH325" s="583">
        <v>9388</v>
      </c>
      <c r="AI325" s="583">
        <v>57977</v>
      </c>
      <c r="AJ325" s="583">
        <v>0</v>
      </c>
      <c r="AK325" s="583">
        <v>351632</v>
      </c>
      <c r="AL325" s="583">
        <v>57977</v>
      </c>
      <c r="AM325" s="583">
        <v>565072</v>
      </c>
      <c r="AN325" s="583">
        <v>54858</v>
      </c>
      <c r="AO325" s="583">
        <v>-45208</v>
      </c>
      <c r="AP325" s="583">
        <v>0</v>
      </c>
      <c r="AQ325" s="583">
        <v>574722</v>
      </c>
      <c r="AR325" s="583">
        <v>12769</v>
      </c>
      <c r="AS325" s="583">
        <v>186652</v>
      </c>
      <c r="AT325" s="583">
        <v>0</v>
      </c>
      <c r="AU325" s="583">
        <v>155592</v>
      </c>
      <c r="AV325" s="583">
        <v>0</v>
      </c>
      <c r="AW325" s="583">
        <v>342244</v>
      </c>
      <c r="AX325" s="583">
        <v>168361</v>
      </c>
      <c r="AY325" s="583">
        <v>361334</v>
      </c>
      <c r="AZ325" s="583">
        <v>13448</v>
      </c>
      <c r="BA325" s="583">
        <v>0</v>
      </c>
      <c r="BB325" s="583">
        <v>0</v>
      </c>
      <c r="BC325" s="583">
        <v>374782</v>
      </c>
      <c r="BD325" s="583">
        <v>168361</v>
      </c>
      <c r="BE325" s="583">
        <v>762398</v>
      </c>
      <c r="BF325" s="583">
        <v>0</v>
      </c>
      <c r="BG325" s="583">
        <v>-168361</v>
      </c>
      <c r="BH325" s="583">
        <v>0</v>
      </c>
      <c r="BI325" s="583">
        <v>594037</v>
      </c>
      <c r="BJ325" s="583">
        <v>0</v>
      </c>
      <c r="BK325" s="583">
        <v>282959</v>
      </c>
      <c r="BL325" s="583">
        <v>0</v>
      </c>
      <c r="BM325" s="583">
        <v>59285</v>
      </c>
      <c r="BN325" s="583">
        <v>0</v>
      </c>
      <c r="BO325" s="583">
        <v>342244</v>
      </c>
      <c r="BP325" s="583">
        <v>59285</v>
      </c>
      <c r="BQ325" s="583">
        <v>542227</v>
      </c>
      <c r="BR325" s="583">
        <v>88389</v>
      </c>
      <c r="BS325" s="583">
        <v>-59285</v>
      </c>
      <c r="BT325" s="583">
        <v>0</v>
      </c>
      <c r="BU325" s="583">
        <v>571331</v>
      </c>
      <c r="BV325" s="583">
        <v>0</v>
      </c>
    </row>
    <row r="326" spans="1:74" x14ac:dyDescent="0.2">
      <c r="A326" s="580">
        <v>15101</v>
      </c>
      <c r="B326" s="580" t="s">
        <v>52</v>
      </c>
      <c r="C326" s="583">
        <v>923642</v>
      </c>
      <c r="D326" s="583">
        <v>0</v>
      </c>
      <c r="E326" s="583">
        <v>583948</v>
      </c>
      <c r="F326" s="583">
        <v>0</v>
      </c>
      <c r="G326" s="583">
        <v>1507590</v>
      </c>
      <c r="H326" s="583">
        <v>583948</v>
      </c>
      <c r="I326" s="583">
        <v>491162</v>
      </c>
      <c r="J326" s="583">
        <v>0</v>
      </c>
      <c r="K326" s="583">
        <v>1016428</v>
      </c>
      <c r="L326" s="583">
        <v>0</v>
      </c>
      <c r="M326" s="583">
        <v>1507590</v>
      </c>
      <c r="N326" s="583">
        <v>1600376</v>
      </c>
      <c r="O326" s="583">
        <v>1401174</v>
      </c>
      <c r="P326" s="583">
        <v>0</v>
      </c>
      <c r="Q326" s="583">
        <v>0</v>
      </c>
      <c r="R326" s="583">
        <v>0</v>
      </c>
      <c r="S326" s="583">
        <v>1401174</v>
      </c>
      <c r="T326" s="583">
        <v>1600376</v>
      </c>
      <c r="U326" s="583">
        <v>744001</v>
      </c>
      <c r="V326" s="583">
        <v>0</v>
      </c>
      <c r="W326" s="583">
        <v>763589</v>
      </c>
      <c r="X326" s="583">
        <v>0</v>
      </c>
      <c r="Y326" s="583">
        <v>1507590</v>
      </c>
      <c r="Z326" s="583">
        <v>2363965</v>
      </c>
      <c r="AA326" s="583">
        <v>6474204</v>
      </c>
      <c r="AB326" s="583">
        <v>59755</v>
      </c>
      <c r="AC326" s="583">
        <v>-2363965</v>
      </c>
      <c r="AD326" s="583">
        <v>0</v>
      </c>
      <c r="AE326" s="583">
        <v>4169994</v>
      </c>
      <c r="AF326" s="583">
        <v>0</v>
      </c>
      <c r="AG326" s="583">
        <v>1282374</v>
      </c>
      <c r="AH326" s="583">
        <v>42349</v>
      </c>
      <c r="AI326" s="583">
        <v>225216</v>
      </c>
      <c r="AJ326" s="583">
        <v>0</v>
      </c>
      <c r="AK326" s="583">
        <v>1549939</v>
      </c>
      <c r="AL326" s="583">
        <v>225216</v>
      </c>
      <c r="AM326" s="583">
        <v>2549132</v>
      </c>
      <c r="AN326" s="583">
        <v>247474</v>
      </c>
      <c r="AO326" s="583">
        <v>-225216</v>
      </c>
      <c r="AP326" s="583">
        <v>0</v>
      </c>
      <c r="AQ326" s="583">
        <v>2571390</v>
      </c>
      <c r="AR326" s="583">
        <v>0</v>
      </c>
      <c r="AS326" s="583">
        <v>842017</v>
      </c>
      <c r="AT326" s="583">
        <v>0</v>
      </c>
      <c r="AU326" s="583">
        <v>665573</v>
      </c>
      <c r="AV326" s="583">
        <v>0</v>
      </c>
      <c r="AW326" s="583">
        <v>1507590</v>
      </c>
      <c r="AX326" s="583">
        <v>665573</v>
      </c>
      <c r="AY326" s="583">
        <v>1630034</v>
      </c>
      <c r="AZ326" s="583">
        <v>60668</v>
      </c>
      <c r="BA326" s="583">
        <v>0</v>
      </c>
      <c r="BB326" s="583">
        <v>0</v>
      </c>
      <c r="BC326" s="583">
        <v>1690702</v>
      </c>
      <c r="BD326" s="583">
        <v>665573</v>
      </c>
      <c r="BE326" s="583">
        <v>3439301</v>
      </c>
      <c r="BF326" s="583">
        <v>0</v>
      </c>
      <c r="BG326" s="583">
        <v>-665573</v>
      </c>
      <c r="BH326" s="583">
        <v>0</v>
      </c>
      <c r="BI326" s="583">
        <v>2773728</v>
      </c>
      <c r="BJ326" s="583">
        <v>0</v>
      </c>
      <c r="BK326" s="583">
        <v>1276472</v>
      </c>
      <c r="BL326" s="583">
        <v>0</v>
      </c>
      <c r="BM326" s="583">
        <v>231118</v>
      </c>
      <c r="BN326" s="583">
        <v>0</v>
      </c>
      <c r="BO326" s="583">
        <v>1507590</v>
      </c>
      <c r="BP326" s="583">
        <v>231118</v>
      </c>
      <c r="BQ326" s="583">
        <v>2446073</v>
      </c>
      <c r="BR326" s="583">
        <v>398735</v>
      </c>
      <c r="BS326" s="583">
        <v>-231118</v>
      </c>
      <c r="BT326" s="583">
        <v>0</v>
      </c>
      <c r="BU326" s="583">
        <v>2613690</v>
      </c>
      <c r="BV326" s="583">
        <v>0</v>
      </c>
    </row>
    <row r="327" spans="1:74" x14ac:dyDescent="0.2">
      <c r="A327" s="580">
        <v>15102</v>
      </c>
      <c r="B327" s="580" t="s">
        <v>53</v>
      </c>
      <c r="C327" s="583">
        <v>70302</v>
      </c>
      <c r="D327" s="583">
        <v>0</v>
      </c>
      <c r="E327" s="583">
        <v>41836</v>
      </c>
      <c r="F327" s="583">
        <v>0</v>
      </c>
      <c r="G327" s="583">
        <v>112138</v>
      </c>
      <c r="H327" s="583">
        <v>41836</v>
      </c>
      <c r="I327" s="583">
        <v>37384</v>
      </c>
      <c r="J327" s="583">
        <v>0</v>
      </c>
      <c r="K327" s="583">
        <v>74754</v>
      </c>
      <c r="L327" s="583">
        <v>0</v>
      </c>
      <c r="M327" s="583">
        <v>112138</v>
      </c>
      <c r="N327" s="583">
        <v>116590</v>
      </c>
      <c r="O327" s="583">
        <v>106648</v>
      </c>
      <c r="P327" s="583">
        <v>0</v>
      </c>
      <c r="Q327" s="583">
        <v>0</v>
      </c>
      <c r="R327" s="583">
        <v>0</v>
      </c>
      <c r="S327" s="583">
        <v>106648</v>
      </c>
      <c r="T327" s="583">
        <v>116590</v>
      </c>
      <c r="U327" s="583">
        <v>56628</v>
      </c>
      <c r="V327" s="583">
        <v>0</v>
      </c>
      <c r="W327" s="583">
        <v>55510</v>
      </c>
      <c r="X327" s="583">
        <v>0</v>
      </c>
      <c r="Y327" s="583">
        <v>112138</v>
      </c>
      <c r="Z327" s="583">
        <v>172100</v>
      </c>
      <c r="AA327" s="583">
        <v>492774</v>
      </c>
      <c r="AB327" s="583">
        <v>4548</v>
      </c>
      <c r="AC327" s="583">
        <v>-172100</v>
      </c>
      <c r="AD327" s="583">
        <v>0</v>
      </c>
      <c r="AE327" s="583">
        <v>325222</v>
      </c>
      <c r="AF327" s="583">
        <v>0</v>
      </c>
      <c r="AG327" s="583">
        <v>97606</v>
      </c>
      <c r="AH327" s="583">
        <v>3223</v>
      </c>
      <c r="AI327" s="583">
        <v>14532</v>
      </c>
      <c r="AJ327" s="583">
        <v>0</v>
      </c>
      <c r="AK327" s="583">
        <v>115361</v>
      </c>
      <c r="AL327" s="583">
        <v>14532</v>
      </c>
      <c r="AM327" s="583">
        <v>194023</v>
      </c>
      <c r="AN327" s="583">
        <v>18836</v>
      </c>
      <c r="AO327" s="583">
        <v>-14532</v>
      </c>
      <c r="AP327" s="583">
        <v>0</v>
      </c>
      <c r="AQ327" s="583">
        <v>198327</v>
      </c>
      <c r="AR327" s="583">
        <v>0</v>
      </c>
      <c r="AS327" s="583">
        <v>64089</v>
      </c>
      <c r="AT327" s="583">
        <v>0</v>
      </c>
      <c r="AU327" s="583">
        <v>48049</v>
      </c>
      <c r="AV327" s="583">
        <v>0</v>
      </c>
      <c r="AW327" s="583">
        <v>112138</v>
      </c>
      <c r="AX327" s="583">
        <v>48049</v>
      </c>
      <c r="AY327" s="583">
        <v>124067</v>
      </c>
      <c r="AZ327" s="583">
        <v>4618</v>
      </c>
      <c r="BA327" s="583">
        <v>0</v>
      </c>
      <c r="BB327" s="583">
        <v>0</v>
      </c>
      <c r="BC327" s="583">
        <v>128685</v>
      </c>
      <c r="BD327" s="583">
        <v>48049</v>
      </c>
      <c r="BE327" s="583">
        <v>261777</v>
      </c>
      <c r="BF327" s="583">
        <v>0</v>
      </c>
      <c r="BG327" s="583">
        <v>-48049</v>
      </c>
      <c r="BH327" s="583">
        <v>0</v>
      </c>
      <c r="BI327" s="583">
        <v>213728</v>
      </c>
      <c r="BJ327" s="583">
        <v>0</v>
      </c>
      <c r="BK327" s="583">
        <v>97157</v>
      </c>
      <c r="BL327" s="583">
        <v>0</v>
      </c>
      <c r="BM327" s="583">
        <v>14981</v>
      </c>
      <c r="BN327" s="583">
        <v>0</v>
      </c>
      <c r="BO327" s="583">
        <v>112138</v>
      </c>
      <c r="BP327" s="583">
        <v>14981</v>
      </c>
      <c r="BQ327" s="583">
        <v>186179</v>
      </c>
      <c r="BR327" s="583">
        <v>30349</v>
      </c>
      <c r="BS327" s="583">
        <v>-14981</v>
      </c>
      <c r="BT327" s="583">
        <v>0</v>
      </c>
      <c r="BU327" s="583">
        <v>201547</v>
      </c>
      <c r="BV327" s="583">
        <v>0</v>
      </c>
    </row>
    <row r="328" spans="1:74" x14ac:dyDescent="0.2">
      <c r="A328" s="580">
        <v>15201</v>
      </c>
      <c r="B328" s="580" t="s">
        <v>61</v>
      </c>
      <c r="C328" s="583">
        <v>101594</v>
      </c>
      <c r="D328" s="583">
        <v>0</v>
      </c>
      <c r="E328" s="583">
        <v>56489</v>
      </c>
      <c r="F328" s="583">
        <v>0</v>
      </c>
      <c r="G328" s="583">
        <v>158083</v>
      </c>
      <c r="H328" s="583">
        <v>56489</v>
      </c>
      <c r="I328" s="583">
        <v>54024</v>
      </c>
      <c r="J328" s="583">
        <v>0</v>
      </c>
      <c r="K328" s="583">
        <v>104059</v>
      </c>
      <c r="L328" s="583">
        <v>0</v>
      </c>
      <c r="M328" s="583">
        <v>158083</v>
      </c>
      <c r="N328" s="583">
        <v>160548</v>
      </c>
      <c r="O328" s="583">
        <v>154119</v>
      </c>
      <c r="P328" s="583">
        <v>0</v>
      </c>
      <c r="Q328" s="583">
        <v>0</v>
      </c>
      <c r="R328" s="583">
        <v>0</v>
      </c>
      <c r="S328" s="583">
        <v>154119</v>
      </c>
      <c r="T328" s="583">
        <v>160548</v>
      </c>
      <c r="U328" s="583">
        <v>81835</v>
      </c>
      <c r="V328" s="583">
        <v>0</v>
      </c>
      <c r="W328" s="583">
        <v>76248</v>
      </c>
      <c r="X328" s="583">
        <v>0</v>
      </c>
      <c r="Y328" s="583">
        <v>158083</v>
      </c>
      <c r="Z328" s="583">
        <v>236796</v>
      </c>
      <c r="AA328" s="583">
        <v>712117</v>
      </c>
      <c r="AB328" s="583">
        <v>6573</v>
      </c>
      <c r="AC328" s="583">
        <v>-236796</v>
      </c>
      <c r="AD328" s="583">
        <v>0</v>
      </c>
      <c r="AE328" s="583">
        <v>481894</v>
      </c>
      <c r="AF328" s="583">
        <v>0</v>
      </c>
      <c r="AG328" s="583">
        <v>141052</v>
      </c>
      <c r="AH328" s="583">
        <v>4658</v>
      </c>
      <c r="AI328" s="583">
        <v>17031</v>
      </c>
      <c r="AJ328" s="583">
        <v>0</v>
      </c>
      <c r="AK328" s="583">
        <v>162741</v>
      </c>
      <c r="AL328" s="583">
        <v>17031</v>
      </c>
      <c r="AM328" s="583">
        <v>280387</v>
      </c>
      <c r="AN328" s="583">
        <v>27220</v>
      </c>
      <c r="AO328" s="583">
        <v>-17031</v>
      </c>
      <c r="AP328" s="583">
        <v>0</v>
      </c>
      <c r="AQ328" s="583">
        <v>290576</v>
      </c>
      <c r="AR328" s="583">
        <v>0</v>
      </c>
      <c r="AS328" s="583">
        <v>92616</v>
      </c>
      <c r="AT328" s="583">
        <v>0</v>
      </c>
      <c r="AU328" s="583">
        <v>65467</v>
      </c>
      <c r="AV328" s="583">
        <v>0</v>
      </c>
      <c r="AW328" s="583">
        <v>158083</v>
      </c>
      <c r="AX328" s="583">
        <v>65467</v>
      </c>
      <c r="AY328" s="583">
        <v>179292</v>
      </c>
      <c r="AZ328" s="583">
        <v>6673</v>
      </c>
      <c r="BA328" s="583">
        <v>0</v>
      </c>
      <c r="BB328" s="583">
        <v>0</v>
      </c>
      <c r="BC328" s="583">
        <v>185965</v>
      </c>
      <c r="BD328" s="583">
        <v>65467</v>
      </c>
      <c r="BE328" s="583">
        <v>378299</v>
      </c>
      <c r="BF328" s="583">
        <v>0</v>
      </c>
      <c r="BG328" s="583">
        <v>-65467</v>
      </c>
      <c r="BH328" s="583">
        <v>0</v>
      </c>
      <c r="BI328" s="583">
        <v>312832</v>
      </c>
      <c r="BJ328" s="583">
        <v>0</v>
      </c>
      <c r="BK328" s="583">
        <v>140403</v>
      </c>
      <c r="BL328" s="583">
        <v>0</v>
      </c>
      <c r="BM328" s="583">
        <v>17680</v>
      </c>
      <c r="BN328" s="583">
        <v>0</v>
      </c>
      <c r="BO328" s="583">
        <v>158083</v>
      </c>
      <c r="BP328" s="583">
        <v>17680</v>
      </c>
      <c r="BQ328" s="583">
        <v>269051</v>
      </c>
      <c r="BR328" s="583">
        <v>43858</v>
      </c>
      <c r="BS328" s="583">
        <v>-17680</v>
      </c>
      <c r="BT328" s="583">
        <v>0</v>
      </c>
      <c r="BU328" s="583">
        <v>295229</v>
      </c>
      <c r="BV328" s="583">
        <v>0</v>
      </c>
    </row>
    <row r="329" spans="1:74" x14ac:dyDescent="0.2">
      <c r="A329" s="580">
        <v>15202</v>
      </c>
      <c r="B329" s="580" t="s">
        <v>62</v>
      </c>
      <c r="C329" s="583">
        <v>59892</v>
      </c>
      <c r="D329" s="583">
        <v>0</v>
      </c>
      <c r="E329" s="583">
        <v>36497</v>
      </c>
      <c r="F329" s="583">
        <v>0</v>
      </c>
      <c r="G329" s="583">
        <v>96389</v>
      </c>
      <c r="H329" s="583">
        <v>36497</v>
      </c>
      <c r="I329" s="583">
        <v>31849</v>
      </c>
      <c r="J329" s="583">
        <v>0</v>
      </c>
      <c r="K329" s="583">
        <v>64540</v>
      </c>
      <c r="L329" s="583">
        <v>0</v>
      </c>
      <c r="M329" s="583">
        <v>96389</v>
      </c>
      <c r="N329" s="583">
        <v>101037</v>
      </c>
      <c r="O329" s="583">
        <v>90857</v>
      </c>
      <c r="P329" s="583">
        <v>0</v>
      </c>
      <c r="Q329" s="583">
        <v>0</v>
      </c>
      <c r="R329" s="583">
        <v>0</v>
      </c>
      <c r="S329" s="583">
        <v>90857</v>
      </c>
      <c r="T329" s="583">
        <v>101037</v>
      </c>
      <c r="U329" s="583">
        <v>48244</v>
      </c>
      <c r="V329" s="583">
        <v>0</v>
      </c>
      <c r="W329" s="583">
        <v>48145</v>
      </c>
      <c r="X329" s="583">
        <v>0</v>
      </c>
      <c r="Y329" s="583">
        <v>96389</v>
      </c>
      <c r="Z329" s="583">
        <v>149182</v>
      </c>
      <c r="AA329" s="583">
        <v>419811</v>
      </c>
      <c r="AB329" s="583">
        <v>3875</v>
      </c>
      <c r="AC329" s="583">
        <v>-149182</v>
      </c>
      <c r="AD329" s="583">
        <v>0</v>
      </c>
      <c r="AE329" s="583">
        <v>274504</v>
      </c>
      <c r="AF329" s="583">
        <v>0</v>
      </c>
      <c r="AG329" s="583">
        <v>83154</v>
      </c>
      <c r="AH329" s="583">
        <v>2746</v>
      </c>
      <c r="AI329" s="583">
        <v>13235</v>
      </c>
      <c r="AJ329" s="583">
        <v>0</v>
      </c>
      <c r="AK329" s="583">
        <v>99135</v>
      </c>
      <c r="AL329" s="583">
        <v>13235</v>
      </c>
      <c r="AM329" s="583">
        <v>165295</v>
      </c>
      <c r="AN329" s="583">
        <v>16047</v>
      </c>
      <c r="AO329" s="583">
        <v>-13235</v>
      </c>
      <c r="AP329" s="583">
        <v>0</v>
      </c>
      <c r="AQ329" s="583">
        <v>168107</v>
      </c>
      <c r="AR329" s="583">
        <v>0</v>
      </c>
      <c r="AS329" s="583">
        <v>54599</v>
      </c>
      <c r="AT329" s="583">
        <v>0</v>
      </c>
      <c r="AU329" s="583">
        <v>41790</v>
      </c>
      <c r="AV329" s="583">
        <v>0</v>
      </c>
      <c r="AW329" s="583">
        <v>96389</v>
      </c>
      <c r="AX329" s="583">
        <v>41790</v>
      </c>
      <c r="AY329" s="583">
        <v>105697</v>
      </c>
      <c r="AZ329" s="583">
        <v>3934</v>
      </c>
      <c r="BA329" s="583">
        <v>0</v>
      </c>
      <c r="BB329" s="583">
        <v>0</v>
      </c>
      <c r="BC329" s="583">
        <v>109631</v>
      </c>
      <c r="BD329" s="583">
        <v>41790</v>
      </c>
      <c r="BE329" s="583">
        <v>223017</v>
      </c>
      <c r="BF329" s="583">
        <v>0</v>
      </c>
      <c r="BG329" s="583">
        <v>-41790</v>
      </c>
      <c r="BH329" s="583">
        <v>0</v>
      </c>
      <c r="BI329" s="583">
        <v>181227</v>
      </c>
      <c r="BJ329" s="583">
        <v>0</v>
      </c>
      <c r="BK329" s="583">
        <v>82771</v>
      </c>
      <c r="BL329" s="583">
        <v>0</v>
      </c>
      <c r="BM329" s="583">
        <v>13618</v>
      </c>
      <c r="BN329" s="583">
        <v>0</v>
      </c>
      <c r="BO329" s="583">
        <v>96389</v>
      </c>
      <c r="BP329" s="583">
        <v>13618</v>
      </c>
      <c r="BQ329" s="583">
        <v>158612</v>
      </c>
      <c r="BR329" s="583">
        <v>25855</v>
      </c>
      <c r="BS329" s="583">
        <v>-13618</v>
      </c>
      <c r="BT329" s="583">
        <v>0</v>
      </c>
      <c r="BU329" s="583">
        <v>170849</v>
      </c>
      <c r="BV329" s="583">
        <v>0</v>
      </c>
    </row>
    <row r="330" spans="1:74" x14ac:dyDescent="0.2">
      <c r="A330" s="580">
        <v>16101</v>
      </c>
      <c r="B330" s="580" t="s">
        <v>401</v>
      </c>
      <c r="C330" s="583">
        <v>758377</v>
      </c>
      <c r="D330" s="583">
        <v>0</v>
      </c>
      <c r="E330" s="583">
        <v>436866</v>
      </c>
      <c r="F330" s="583">
        <v>0</v>
      </c>
      <c r="G330" s="583">
        <v>1195243</v>
      </c>
      <c r="H330" s="583">
        <v>436866</v>
      </c>
      <c r="I330" s="583">
        <v>403279</v>
      </c>
      <c r="J330" s="583">
        <v>0</v>
      </c>
      <c r="K330" s="583">
        <v>791964</v>
      </c>
      <c r="L330" s="583">
        <v>0</v>
      </c>
      <c r="M330" s="583">
        <v>1195243</v>
      </c>
      <c r="N330" s="583">
        <v>1228830</v>
      </c>
      <c r="O330" s="583">
        <v>1150465</v>
      </c>
      <c r="P330" s="583">
        <v>0</v>
      </c>
      <c r="Q330" s="583">
        <v>0</v>
      </c>
      <c r="R330" s="583">
        <v>0</v>
      </c>
      <c r="S330" s="583">
        <v>1150465</v>
      </c>
      <c r="T330" s="583">
        <v>1228830</v>
      </c>
      <c r="U330" s="583">
        <v>610879</v>
      </c>
      <c r="V330" s="583">
        <v>0</v>
      </c>
      <c r="W330" s="583">
        <v>584364</v>
      </c>
      <c r="X330" s="583">
        <v>0</v>
      </c>
      <c r="Y330" s="583">
        <v>1195243</v>
      </c>
      <c r="Z330" s="583">
        <v>1813194</v>
      </c>
      <c r="AA330" s="583">
        <v>5315792</v>
      </c>
      <c r="AB330" s="583">
        <v>49063</v>
      </c>
      <c r="AC330" s="583">
        <v>-1813194</v>
      </c>
      <c r="AD330" s="583">
        <v>0</v>
      </c>
      <c r="AE330" s="583">
        <v>3551661</v>
      </c>
      <c r="AF330" s="583">
        <v>0</v>
      </c>
      <c r="AG330" s="583">
        <v>1052923</v>
      </c>
      <c r="AH330" s="583">
        <v>34772</v>
      </c>
      <c r="AI330" s="583">
        <v>142320</v>
      </c>
      <c r="AJ330" s="583">
        <v>0</v>
      </c>
      <c r="AK330" s="583">
        <v>1230015</v>
      </c>
      <c r="AL330" s="583">
        <v>142320</v>
      </c>
      <c r="AM330" s="583">
        <v>2093023</v>
      </c>
      <c r="AN330" s="583">
        <v>203195</v>
      </c>
      <c r="AO330" s="583">
        <v>-142320</v>
      </c>
      <c r="AP330" s="583">
        <v>0</v>
      </c>
      <c r="AQ330" s="583">
        <v>2153898</v>
      </c>
      <c r="AR330" s="583">
        <v>0</v>
      </c>
      <c r="AS330" s="583">
        <v>691357</v>
      </c>
      <c r="AT330" s="583">
        <v>0</v>
      </c>
      <c r="AU330" s="583">
        <v>503886</v>
      </c>
      <c r="AV330" s="583">
        <v>0</v>
      </c>
      <c r="AW330" s="583">
        <v>1195243</v>
      </c>
      <c r="AX330" s="583">
        <v>503886</v>
      </c>
      <c r="AY330" s="583">
        <v>1338376</v>
      </c>
      <c r="AZ330" s="583">
        <v>49813</v>
      </c>
      <c r="BA330" s="583">
        <v>0</v>
      </c>
      <c r="BB330" s="583">
        <v>0</v>
      </c>
      <c r="BC330" s="583">
        <v>1388189</v>
      </c>
      <c r="BD330" s="583">
        <v>503886</v>
      </c>
      <c r="BE330" s="583">
        <v>2823916</v>
      </c>
      <c r="BF330" s="583">
        <v>0</v>
      </c>
      <c r="BG330" s="583">
        <v>-503886</v>
      </c>
      <c r="BH330" s="583">
        <v>0</v>
      </c>
      <c r="BI330" s="583">
        <v>2320030</v>
      </c>
      <c r="BJ330" s="583">
        <v>0</v>
      </c>
      <c r="BK330" s="583">
        <v>1048076</v>
      </c>
      <c r="BL330" s="583">
        <v>0</v>
      </c>
      <c r="BM330" s="583">
        <v>147167</v>
      </c>
      <c r="BN330" s="583">
        <v>0</v>
      </c>
      <c r="BO330" s="583">
        <v>1195243</v>
      </c>
      <c r="BP330" s="583">
        <v>147167</v>
      </c>
      <c r="BQ330" s="583">
        <v>2008403</v>
      </c>
      <c r="BR330" s="583">
        <v>327390</v>
      </c>
      <c r="BS330" s="583">
        <v>-147167</v>
      </c>
      <c r="BT330" s="583">
        <v>0</v>
      </c>
      <c r="BU330" s="583">
        <v>2188626</v>
      </c>
      <c r="BV330" s="583">
        <v>0</v>
      </c>
    </row>
    <row r="331" spans="1:74" x14ac:dyDescent="0.2">
      <c r="A331" s="580">
        <v>16102</v>
      </c>
      <c r="B331" s="580" t="s">
        <v>177</v>
      </c>
      <c r="C331" s="583">
        <v>195141</v>
      </c>
      <c r="D331" s="583">
        <v>0</v>
      </c>
      <c r="E331" s="583">
        <v>97600</v>
      </c>
      <c r="F331" s="583">
        <v>0</v>
      </c>
      <c r="G331" s="583">
        <v>292741</v>
      </c>
      <c r="H331" s="583">
        <v>97600</v>
      </c>
      <c r="I331" s="583">
        <v>103769</v>
      </c>
      <c r="J331" s="583">
        <v>0</v>
      </c>
      <c r="K331" s="583">
        <v>188972</v>
      </c>
      <c r="L331" s="583">
        <v>0</v>
      </c>
      <c r="M331" s="583">
        <v>292741</v>
      </c>
      <c r="N331" s="583">
        <v>286572</v>
      </c>
      <c r="O331" s="583">
        <v>296030</v>
      </c>
      <c r="P331" s="583">
        <v>0</v>
      </c>
      <c r="Q331" s="583">
        <v>0</v>
      </c>
      <c r="R331" s="583">
        <v>0</v>
      </c>
      <c r="S331" s="583">
        <v>296030</v>
      </c>
      <c r="T331" s="583">
        <v>286572</v>
      </c>
      <c r="U331" s="583">
        <v>157187</v>
      </c>
      <c r="V331" s="583">
        <v>0</v>
      </c>
      <c r="W331" s="583">
        <v>135554</v>
      </c>
      <c r="X331" s="583">
        <v>0</v>
      </c>
      <c r="Y331" s="583">
        <v>292741</v>
      </c>
      <c r="Z331" s="583">
        <v>422126</v>
      </c>
      <c r="AA331" s="583">
        <v>1367824</v>
      </c>
      <c r="AB331" s="583">
        <v>12625</v>
      </c>
      <c r="AC331" s="583">
        <v>-422126</v>
      </c>
      <c r="AD331" s="583">
        <v>0</v>
      </c>
      <c r="AE331" s="583">
        <v>958323</v>
      </c>
      <c r="AF331" s="583">
        <v>0</v>
      </c>
      <c r="AG331" s="583">
        <v>270931</v>
      </c>
      <c r="AH331" s="583">
        <v>8947</v>
      </c>
      <c r="AI331" s="583">
        <v>21810</v>
      </c>
      <c r="AJ331" s="583">
        <v>0</v>
      </c>
      <c r="AK331" s="583">
        <v>301688</v>
      </c>
      <c r="AL331" s="583">
        <v>21810</v>
      </c>
      <c r="AM331" s="583">
        <v>538563</v>
      </c>
      <c r="AN331" s="583">
        <v>52285</v>
      </c>
      <c r="AO331" s="583">
        <v>-21810</v>
      </c>
      <c r="AP331" s="583">
        <v>0</v>
      </c>
      <c r="AQ331" s="583">
        <v>569038</v>
      </c>
      <c r="AR331" s="583">
        <v>0</v>
      </c>
      <c r="AS331" s="583">
        <v>177895</v>
      </c>
      <c r="AT331" s="583">
        <v>0</v>
      </c>
      <c r="AU331" s="583">
        <v>114846</v>
      </c>
      <c r="AV331" s="583">
        <v>0</v>
      </c>
      <c r="AW331" s="583">
        <v>292741</v>
      </c>
      <c r="AX331" s="583">
        <v>114846</v>
      </c>
      <c r="AY331" s="583">
        <v>344382</v>
      </c>
      <c r="AZ331" s="583">
        <v>12818</v>
      </c>
      <c r="BA331" s="583">
        <v>0</v>
      </c>
      <c r="BB331" s="583">
        <v>0</v>
      </c>
      <c r="BC331" s="583">
        <v>357200</v>
      </c>
      <c r="BD331" s="583">
        <v>114846</v>
      </c>
      <c r="BE331" s="583">
        <v>726631</v>
      </c>
      <c r="BF331" s="583">
        <v>0</v>
      </c>
      <c r="BG331" s="583">
        <v>-114846</v>
      </c>
      <c r="BH331" s="583">
        <v>0</v>
      </c>
      <c r="BI331" s="583">
        <v>611785</v>
      </c>
      <c r="BJ331" s="583">
        <v>0</v>
      </c>
      <c r="BK331" s="583">
        <v>269684</v>
      </c>
      <c r="BL331" s="583">
        <v>0</v>
      </c>
      <c r="BM331" s="583">
        <v>23057</v>
      </c>
      <c r="BN331" s="583">
        <v>0</v>
      </c>
      <c r="BO331" s="583">
        <v>292741</v>
      </c>
      <c r="BP331" s="583">
        <v>23057</v>
      </c>
      <c r="BQ331" s="583">
        <v>516789</v>
      </c>
      <c r="BR331" s="583">
        <v>84242</v>
      </c>
      <c r="BS331" s="583">
        <v>-23057</v>
      </c>
      <c r="BT331" s="583">
        <v>0</v>
      </c>
      <c r="BU331" s="583">
        <v>577974</v>
      </c>
      <c r="BV331" s="583">
        <v>0</v>
      </c>
    </row>
    <row r="332" spans="1:74" x14ac:dyDescent="0.2">
      <c r="A332" s="580">
        <v>16103</v>
      </c>
      <c r="B332" s="580" t="s">
        <v>402</v>
      </c>
      <c r="C332" s="583">
        <v>204329</v>
      </c>
      <c r="D332" s="583">
        <v>0</v>
      </c>
      <c r="E332" s="583">
        <v>105866</v>
      </c>
      <c r="F332" s="583">
        <v>0</v>
      </c>
      <c r="G332" s="583">
        <v>310195</v>
      </c>
      <c r="H332" s="583">
        <v>105866</v>
      </c>
      <c r="I332" s="583">
        <v>108656</v>
      </c>
      <c r="J332" s="583">
        <v>0</v>
      </c>
      <c r="K332" s="583">
        <v>201539</v>
      </c>
      <c r="L332" s="583">
        <v>0</v>
      </c>
      <c r="M332" s="583">
        <v>310195</v>
      </c>
      <c r="N332" s="583">
        <v>307405</v>
      </c>
      <c r="O332" s="583">
        <v>309970</v>
      </c>
      <c r="P332" s="583">
        <v>0</v>
      </c>
      <c r="Q332" s="583">
        <v>0</v>
      </c>
      <c r="R332" s="583">
        <v>0</v>
      </c>
      <c r="S332" s="583">
        <v>309970</v>
      </c>
      <c r="T332" s="583">
        <v>307405</v>
      </c>
      <c r="U332" s="583">
        <v>164589</v>
      </c>
      <c r="V332" s="583">
        <v>0</v>
      </c>
      <c r="W332" s="583">
        <v>145606</v>
      </c>
      <c r="X332" s="583">
        <v>0</v>
      </c>
      <c r="Y332" s="583">
        <v>310195</v>
      </c>
      <c r="Z332" s="583">
        <v>453011</v>
      </c>
      <c r="AA332" s="583">
        <v>1432233</v>
      </c>
      <c r="AB332" s="583">
        <v>13219</v>
      </c>
      <c r="AC332" s="583">
        <v>-453011</v>
      </c>
      <c r="AD332" s="583">
        <v>0</v>
      </c>
      <c r="AE332" s="583">
        <v>992441</v>
      </c>
      <c r="AF332" s="583">
        <v>0</v>
      </c>
      <c r="AG332" s="583">
        <v>283689</v>
      </c>
      <c r="AH332" s="583">
        <v>9369</v>
      </c>
      <c r="AI332" s="583">
        <v>26506</v>
      </c>
      <c r="AJ332" s="583">
        <v>0</v>
      </c>
      <c r="AK332" s="583">
        <v>319564</v>
      </c>
      <c r="AL332" s="583">
        <v>26506</v>
      </c>
      <c r="AM332" s="583">
        <v>563923</v>
      </c>
      <c r="AN332" s="583">
        <v>54747</v>
      </c>
      <c r="AO332" s="583">
        <v>-26506</v>
      </c>
      <c r="AP332" s="583">
        <v>0</v>
      </c>
      <c r="AQ332" s="583">
        <v>592164</v>
      </c>
      <c r="AR332" s="583">
        <v>0</v>
      </c>
      <c r="AS332" s="583">
        <v>186272</v>
      </c>
      <c r="AT332" s="583">
        <v>0</v>
      </c>
      <c r="AU332" s="583">
        <v>123923</v>
      </c>
      <c r="AV332" s="583">
        <v>0</v>
      </c>
      <c r="AW332" s="583">
        <v>310195</v>
      </c>
      <c r="AX332" s="583">
        <v>123923</v>
      </c>
      <c r="AY332" s="583">
        <v>360599</v>
      </c>
      <c r="AZ332" s="583">
        <v>13421</v>
      </c>
      <c r="BA332" s="583">
        <v>0</v>
      </c>
      <c r="BB332" s="583">
        <v>0</v>
      </c>
      <c r="BC332" s="583">
        <v>374020</v>
      </c>
      <c r="BD332" s="583">
        <v>123923</v>
      </c>
      <c r="BE332" s="583">
        <v>760847</v>
      </c>
      <c r="BF332" s="583">
        <v>0</v>
      </c>
      <c r="BG332" s="583">
        <v>-123923</v>
      </c>
      <c r="BH332" s="583">
        <v>0</v>
      </c>
      <c r="BI332" s="583">
        <v>636924</v>
      </c>
      <c r="BJ332" s="583">
        <v>0</v>
      </c>
      <c r="BK332" s="583">
        <v>282383</v>
      </c>
      <c r="BL332" s="583">
        <v>0</v>
      </c>
      <c r="BM332" s="583">
        <v>27812</v>
      </c>
      <c r="BN332" s="583">
        <v>0</v>
      </c>
      <c r="BO332" s="583">
        <v>310195</v>
      </c>
      <c r="BP332" s="583">
        <v>27812</v>
      </c>
      <c r="BQ332" s="583">
        <v>541124</v>
      </c>
      <c r="BR332" s="583">
        <v>88209</v>
      </c>
      <c r="BS332" s="583">
        <v>-27812</v>
      </c>
      <c r="BT332" s="583">
        <v>0</v>
      </c>
      <c r="BU332" s="583">
        <v>601521</v>
      </c>
      <c r="BV332" s="583">
        <v>0</v>
      </c>
    </row>
    <row r="333" spans="1:74" x14ac:dyDescent="0.2">
      <c r="A333" s="580">
        <v>16104</v>
      </c>
      <c r="B333" s="580" t="s">
        <v>181</v>
      </c>
      <c r="C333" s="583">
        <v>133587</v>
      </c>
      <c r="D333" s="583">
        <v>0</v>
      </c>
      <c r="E333" s="583">
        <v>73237</v>
      </c>
      <c r="F333" s="583">
        <v>0</v>
      </c>
      <c r="G333" s="583">
        <v>206824</v>
      </c>
      <c r="H333" s="583">
        <v>73237</v>
      </c>
      <c r="I333" s="583">
        <v>71037</v>
      </c>
      <c r="J333" s="583">
        <v>0</v>
      </c>
      <c r="K333" s="583">
        <v>135787</v>
      </c>
      <c r="L333" s="583">
        <v>0</v>
      </c>
      <c r="M333" s="583">
        <v>206824</v>
      </c>
      <c r="N333" s="583">
        <v>209024</v>
      </c>
      <c r="O333" s="583">
        <v>202653</v>
      </c>
      <c r="P333" s="583">
        <v>0</v>
      </c>
      <c r="Q333" s="583">
        <v>0</v>
      </c>
      <c r="R333" s="583">
        <v>0</v>
      </c>
      <c r="S333" s="583">
        <v>202653</v>
      </c>
      <c r="T333" s="583">
        <v>209024</v>
      </c>
      <c r="U333" s="583">
        <v>107606</v>
      </c>
      <c r="V333" s="583">
        <v>0</v>
      </c>
      <c r="W333" s="583">
        <v>99218</v>
      </c>
      <c r="X333" s="583">
        <v>0</v>
      </c>
      <c r="Y333" s="583">
        <v>206824</v>
      </c>
      <c r="Z333" s="583">
        <v>308242</v>
      </c>
      <c r="AA333" s="583">
        <v>936369</v>
      </c>
      <c r="AB333" s="583">
        <v>8642</v>
      </c>
      <c r="AC333" s="583">
        <v>-308242</v>
      </c>
      <c r="AD333" s="583">
        <v>0</v>
      </c>
      <c r="AE333" s="583">
        <v>636769</v>
      </c>
      <c r="AF333" s="583">
        <v>0</v>
      </c>
      <c r="AG333" s="583">
        <v>185471</v>
      </c>
      <c r="AH333" s="583">
        <v>6125</v>
      </c>
      <c r="AI333" s="583">
        <v>21353</v>
      </c>
      <c r="AJ333" s="583">
        <v>0</v>
      </c>
      <c r="AK333" s="583">
        <v>212949</v>
      </c>
      <c r="AL333" s="583">
        <v>21353</v>
      </c>
      <c r="AM333" s="583">
        <v>368683</v>
      </c>
      <c r="AN333" s="583">
        <v>35792</v>
      </c>
      <c r="AO333" s="583">
        <v>-21353</v>
      </c>
      <c r="AP333" s="583">
        <v>0</v>
      </c>
      <c r="AQ333" s="583">
        <v>383122</v>
      </c>
      <c r="AR333" s="583">
        <v>0</v>
      </c>
      <c r="AS333" s="583">
        <v>121782</v>
      </c>
      <c r="AT333" s="583">
        <v>0</v>
      </c>
      <c r="AU333" s="583">
        <v>85042</v>
      </c>
      <c r="AV333" s="583">
        <v>0</v>
      </c>
      <c r="AW333" s="583">
        <v>206824</v>
      </c>
      <c r="AX333" s="583">
        <v>85042</v>
      </c>
      <c r="AY333" s="583">
        <v>235753</v>
      </c>
      <c r="AZ333" s="583">
        <v>8775</v>
      </c>
      <c r="BA333" s="583">
        <v>0</v>
      </c>
      <c r="BB333" s="583">
        <v>0</v>
      </c>
      <c r="BC333" s="583">
        <v>244528</v>
      </c>
      <c r="BD333" s="583">
        <v>85042</v>
      </c>
      <c r="BE333" s="583">
        <v>497429</v>
      </c>
      <c r="BF333" s="583">
        <v>0</v>
      </c>
      <c r="BG333" s="583">
        <v>-85042</v>
      </c>
      <c r="BH333" s="583">
        <v>0</v>
      </c>
      <c r="BI333" s="583">
        <v>412387</v>
      </c>
      <c r="BJ333" s="583">
        <v>0</v>
      </c>
      <c r="BK333" s="583">
        <v>184617</v>
      </c>
      <c r="BL333" s="583">
        <v>0</v>
      </c>
      <c r="BM333" s="583">
        <v>22207</v>
      </c>
      <c r="BN333" s="583">
        <v>0</v>
      </c>
      <c r="BO333" s="583">
        <v>206824</v>
      </c>
      <c r="BP333" s="583">
        <v>22207</v>
      </c>
      <c r="BQ333" s="583">
        <v>353777</v>
      </c>
      <c r="BR333" s="583">
        <v>57669</v>
      </c>
      <c r="BS333" s="583">
        <v>-22207</v>
      </c>
      <c r="BT333" s="583">
        <v>0</v>
      </c>
      <c r="BU333" s="583">
        <v>389239</v>
      </c>
      <c r="BV333" s="583">
        <v>0</v>
      </c>
    </row>
    <row r="334" spans="1:74" x14ac:dyDescent="0.2">
      <c r="A334" s="580">
        <v>16105</v>
      </c>
      <c r="B334" s="580" t="s">
        <v>180</v>
      </c>
      <c r="C334" s="583">
        <v>84198</v>
      </c>
      <c r="D334" s="583">
        <v>0</v>
      </c>
      <c r="E334" s="583">
        <v>48771</v>
      </c>
      <c r="F334" s="583">
        <v>0</v>
      </c>
      <c r="G334" s="583">
        <v>132969</v>
      </c>
      <c r="H334" s="583">
        <v>48771</v>
      </c>
      <c r="I334" s="583">
        <v>44774</v>
      </c>
      <c r="J334" s="583">
        <v>0</v>
      </c>
      <c r="K334" s="583">
        <v>88195</v>
      </c>
      <c r="L334" s="583">
        <v>0</v>
      </c>
      <c r="M334" s="583">
        <v>132969</v>
      </c>
      <c r="N334" s="583">
        <v>136966</v>
      </c>
      <c r="O334" s="583">
        <v>127729</v>
      </c>
      <c r="P334" s="583">
        <v>0</v>
      </c>
      <c r="Q334" s="583">
        <v>0</v>
      </c>
      <c r="R334" s="583">
        <v>0</v>
      </c>
      <c r="S334" s="583">
        <v>127729</v>
      </c>
      <c r="T334" s="583">
        <v>136966</v>
      </c>
      <c r="U334" s="583">
        <v>67822</v>
      </c>
      <c r="V334" s="583">
        <v>0</v>
      </c>
      <c r="W334" s="583">
        <v>65147</v>
      </c>
      <c r="X334" s="583">
        <v>0</v>
      </c>
      <c r="Y334" s="583">
        <v>132969</v>
      </c>
      <c r="Z334" s="583">
        <v>202113</v>
      </c>
      <c r="AA334" s="583">
        <v>590179</v>
      </c>
      <c r="AB334" s="583">
        <v>5447</v>
      </c>
      <c r="AC334" s="583">
        <v>-202113</v>
      </c>
      <c r="AD334" s="583">
        <v>0</v>
      </c>
      <c r="AE334" s="583">
        <v>393513</v>
      </c>
      <c r="AF334" s="583">
        <v>0</v>
      </c>
      <c r="AG334" s="583">
        <v>116899</v>
      </c>
      <c r="AH334" s="583">
        <v>3860</v>
      </c>
      <c r="AI334" s="583">
        <v>16070</v>
      </c>
      <c r="AJ334" s="583">
        <v>0</v>
      </c>
      <c r="AK334" s="583">
        <v>136829</v>
      </c>
      <c r="AL334" s="583">
        <v>16070</v>
      </c>
      <c r="AM334" s="583">
        <v>232375</v>
      </c>
      <c r="AN334" s="583">
        <v>22559</v>
      </c>
      <c r="AO334" s="583">
        <v>-16070</v>
      </c>
      <c r="AP334" s="583">
        <v>0</v>
      </c>
      <c r="AQ334" s="583">
        <v>238864</v>
      </c>
      <c r="AR334" s="583">
        <v>0</v>
      </c>
      <c r="AS334" s="583">
        <v>76757</v>
      </c>
      <c r="AT334" s="583">
        <v>0</v>
      </c>
      <c r="AU334" s="583">
        <v>56212</v>
      </c>
      <c r="AV334" s="583">
        <v>0</v>
      </c>
      <c r="AW334" s="583">
        <v>132969</v>
      </c>
      <c r="AX334" s="583">
        <v>56212</v>
      </c>
      <c r="AY334" s="583">
        <v>148591</v>
      </c>
      <c r="AZ334" s="583">
        <v>5530</v>
      </c>
      <c r="BA334" s="583">
        <v>0</v>
      </c>
      <c r="BB334" s="583">
        <v>0</v>
      </c>
      <c r="BC334" s="583">
        <v>154121</v>
      </c>
      <c r="BD334" s="583">
        <v>56212</v>
      </c>
      <c r="BE334" s="583">
        <v>313522</v>
      </c>
      <c r="BF334" s="583">
        <v>0</v>
      </c>
      <c r="BG334" s="583">
        <v>-56212</v>
      </c>
      <c r="BH334" s="583">
        <v>0</v>
      </c>
      <c r="BI334" s="583">
        <v>257310</v>
      </c>
      <c r="BJ334" s="583">
        <v>0</v>
      </c>
      <c r="BK334" s="583">
        <v>116361</v>
      </c>
      <c r="BL334" s="583">
        <v>0</v>
      </c>
      <c r="BM334" s="583">
        <v>16608</v>
      </c>
      <c r="BN334" s="583">
        <v>0</v>
      </c>
      <c r="BO334" s="583">
        <v>132969</v>
      </c>
      <c r="BP334" s="583">
        <v>16608</v>
      </c>
      <c r="BQ334" s="583">
        <v>222980</v>
      </c>
      <c r="BR334" s="583">
        <v>36348</v>
      </c>
      <c r="BS334" s="583">
        <v>-16608</v>
      </c>
      <c r="BT334" s="583">
        <v>0</v>
      </c>
      <c r="BU334" s="583">
        <v>242720</v>
      </c>
      <c r="BV334" s="583">
        <v>0</v>
      </c>
    </row>
    <row r="335" spans="1:74" x14ac:dyDescent="0.2">
      <c r="A335" s="580">
        <v>16106</v>
      </c>
      <c r="B335" s="580" t="s">
        <v>169</v>
      </c>
      <c r="C335" s="583">
        <v>91357</v>
      </c>
      <c r="D335" s="583">
        <v>0</v>
      </c>
      <c r="E335" s="583">
        <v>57100</v>
      </c>
      <c r="F335" s="583">
        <v>0</v>
      </c>
      <c r="G335" s="583">
        <v>148457</v>
      </c>
      <c r="H335" s="583">
        <v>57100</v>
      </c>
      <c r="I335" s="583">
        <v>48580</v>
      </c>
      <c r="J335" s="583">
        <v>0</v>
      </c>
      <c r="K335" s="583">
        <v>99877</v>
      </c>
      <c r="L335" s="583">
        <v>0</v>
      </c>
      <c r="M335" s="583">
        <v>148457</v>
      </c>
      <c r="N335" s="583">
        <v>156977</v>
      </c>
      <c r="O335" s="583">
        <v>138589</v>
      </c>
      <c r="P335" s="583">
        <v>0</v>
      </c>
      <c r="Q335" s="583">
        <v>0</v>
      </c>
      <c r="R335" s="583">
        <v>0</v>
      </c>
      <c r="S335" s="583">
        <v>138589</v>
      </c>
      <c r="T335" s="583">
        <v>156977</v>
      </c>
      <c r="U335" s="583">
        <v>73589</v>
      </c>
      <c r="V335" s="583">
        <v>0</v>
      </c>
      <c r="W335" s="583">
        <v>74868</v>
      </c>
      <c r="X335" s="583">
        <v>0</v>
      </c>
      <c r="Y335" s="583">
        <v>148457</v>
      </c>
      <c r="Z335" s="583">
        <v>231845</v>
      </c>
      <c r="AA335" s="583">
        <v>640359</v>
      </c>
      <c r="AB335" s="583">
        <v>5910</v>
      </c>
      <c r="AC335" s="583">
        <v>-231845</v>
      </c>
      <c r="AD335" s="583">
        <v>0</v>
      </c>
      <c r="AE335" s="583">
        <v>414424</v>
      </c>
      <c r="AF335" s="583">
        <v>0</v>
      </c>
      <c r="AG335" s="583">
        <v>126839</v>
      </c>
      <c r="AH335" s="583">
        <v>4189</v>
      </c>
      <c r="AI335" s="583">
        <v>21618</v>
      </c>
      <c r="AJ335" s="583">
        <v>0</v>
      </c>
      <c r="AK335" s="583">
        <v>152646</v>
      </c>
      <c r="AL335" s="583">
        <v>21618</v>
      </c>
      <c r="AM335" s="583">
        <v>252133</v>
      </c>
      <c r="AN335" s="583">
        <v>24478</v>
      </c>
      <c r="AO335" s="583">
        <v>-21618</v>
      </c>
      <c r="AP335" s="583">
        <v>0</v>
      </c>
      <c r="AQ335" s="583">
        <v>254993</v>
      </c>
      <c r="AR335" s="583">
        <v>0</v>
      </c>
      <c r="AS335" s="583">
        <v>83283</v>
      </c>
      <c r="AT335" s="583">
        <v>0</v>
      </c>
      <c r="AU335" s="583">
        <v>65174</v>
      </c>
      <c r="AV335" s="583">
        <v>0</v>
      </c>
      <c r="AW335" s="583">
        <v>148457</v>
      </c>
      <c r="AX335" s="583">
        <v>65174</v>
      </c>
      <c r="AY335" s="583">
        <v>161225</v>
      </c>
      <c r="AZ335" s="583">
        <v>6001</v>
      </c>
      <c r="BA335" s="583">
        <v>0</v>
      </c>
      <c r="BB335" s="583">
        <v>0</v>
      </c>
      <c r="BC335" s="583">
        <v>167226</v>
      </c>
      <c r="BD335" s="583">
        <v>65174</v>
      </c>
      <c r="BE335" s="583">
        <v>340179</v>
      </c>
      <c r="BF335" s="583">
        <v>0</v>
      </c>
      <c r="BG335" s="583">
        <v>-65174</v>
      </c>
      <c r="BH335" s="583">
        <v>0</v>
      </c>
      <c r="BI335" s="583">
        <v>275005</v>
      </c>
      <c r="BJ335" s="583">
        <v>0</v>
      </c>
      <c r="BK335" s="583">
        <v>126255</v>
      </c>
      <c r="BL335" s="583">
        <v>0</v>
      </c>
      <c r="BM335" s="583">
        <v>22202</v>
      </c>
      <c r="BN335" s="583">
        <v>0</v>
      </c>
      <c r="BO335" s="583">
        <v>148457</v>
      </c>
      <c r="BP335" s="583">
        <v>22202</v>
      </c>
      <c r="BQ335" s="583">
        <v>241939</v>
      </c>
      <c r="BR335" s="583">
        <v>39439</v>
      </c>
      <c r="BS335" s="583">
        <v>-22202</v>
      </c>
      <c r="BT335" s="583">
        <v>0</v>
      </c>
      <c r="BU335" s="583">
        <v>259176</v>
      </c>
      <c r="BV335" s="583">
        <v>0</v>
      </c>
    </row>
    <row r="336" spans="1:74" x14ac:dyDescent="0.2">
      <c r="A336" s="580">
        <v>16107</v>
      </c>
      <c r="B336" s="580" t="s">
        <v>404</v>
      </c>
      <c r="C336" s="583">
        <v>398579</v>
      </c>
      <c r="D336" s="583">
        <v>0</v>
      </c>
      <c r="E336" s="583">
        <v>196309</v>
      </c>
      <c r="F336" s="583">
        <v>0</v>
      </c>
      <c r="G336" s="583">
        <v>594888</v>
      </c>
      <c r="H336" s="583">
        <v>196309</v>
      </c>
      <c r="I336" s="583">
        <v>211951</v>
      </c>
      <c r="J336" s="583">
        <v>0</v>
      </c>
      <c r="K336" s="583">
        <v>382937</v>
      </c>
      <c r="L336" s="583">
        <v>0</v>
      </c>
      <c r="M336" s="583">
        <v>594888</v>
      </c>
      <c r="N336" s="583">
        <v>579246</v>
      </c>
      <c r="O336" s="583">
        <v>604648</v>
      </c>
      <c r="P336" s="583">
        <v>0</v>
      </c>
      <c r="Q336" s="583">
        <v>0</v>
      </c>
      <c r="R336" s="583">
        <v>0</v>
      </c>
      <c r="S336" s="583">
        <v>604648</v>
      </c>
      <c r="T336" s="583">
        <v>579246</v>
      </c>
      <c r="U336" s="583">
        <v>321059</v>
      </c>
      <c r="V336" s="583">
        <v>0</v>
      </c>
      <c r="W336" s="583">
        <v>273829</v>
      </c>
      <c r="X336" s="583">
        <v>0</v>
      </c>
      <c r="Y336" s="583">
        <v>594888</v>
      </c>
      <c r="Z336" s="583">
        <v>853075</v>
      </c>
      <c r="AA336" s="583">
        <v>2793813</v>
      </c>
      <c r="AB336" s="583">
        <v>25786</v>
      </c>
      <c r="AC336" s="583">
        <v>-853075</v>
      </c>
      <c r="AD336" s="583">
        <v>0</v>
      </c>
      <c r="AE336" s="583">
        <v>1966524</v>
      </c>
      <c r="AF336" s="583">
        <v>0</v>
      </c>
      <c r="AG336" s="583">
        <v>553383</v>
      </c>
      <c r="AH336" s="583">
        <v>18275</v>
      </c>
      <c r="AI336" s="583">
        <v>41505</v>
      </c>
      <c r="AJ336" s="583">
        <v>0</v>
      </c>
      <c r="AK336" s="583">
        <v>613163</v>
      </c>
      <c r="AL336" s="583">
        <v>41505</v>
      </c>
      <c r="AM336" s="583">
        <v>1100027</v>
      </c>
      <c r="AN336" s="583">
        <v>106793</v>
      </c>
      <c r="AO336" s="583">
        <v>-41505</v>
      </c>
      <c r="AP336" s="583">
        <v>0</v>
      </c>
      <c r="AQ336" s="583">
        <v>1165315</v>
      </c>
      <c r="AR336" s="583">
        <v>0</v>
      </c>
      <c r="AS336" s="583">
        <v>363356</v>
      </c>
      <c r="AT336" s="583">
        <v>0</v>
      </c>
      <c r="AU336" s="583">
        <v>231532</v>
      </c>
      <c r="AV336" s="583">
        <v>0</v>
      </c>
      <c r="AW336" s="583">
        <v>594888</v>
      </c>
      <c r="AX336" s="583">
        <v>231532</v>
      </c>
      <c r="AY336" s="583">
        <v>703408</v>
      </c>
      <c r="AZ336" s="583">
        <v>26180</v>
      </c>
      <c r="BA336" s="583">
        <v>0</v>
      </c>
      <c r="BB336" s="583">
        <v>0</v>
      </c>
      <c r="BC336" s="583">
        <v>729588</v>
      </c>
      <c r="BD336" s="583">
        <v>231532</v>
      </c>
      <c r="BE336" s="583">
        <v>1484161</v>
      </c>
      <c r="BF336" s="583">
        <v>0</v>
      </c>
      <c r="BG336" s="583">
        <v>-231532</v>
      </c>
      <c r="BH336" s="583">
        <v>0</v>
      </c>
      <c r="BI336" s="583">
        <v>1252629</v>
      </c>
      <c r="BJ336" s="583">
        <v>0</v>
      </c>
      <c r="BK336" s="583">
        <v>550836</v>
      </c>
      <c r="BL336" s="583">
        <v>0</v>
      </c>
      <c r="BM336" s="583">
        <v>44052</v>
      </c>
      <c r="BN336" s="583">
        <v>0</v>
      </c>
      <c r="BO336" s="583">
        <v>594888</v>
      </c>
      <c r="BP336" s="583">
        <v>44052</v>
      </c>
      <c r="BQ336" s="583">
        <v>1055554</v>
      </c>
      <c r="BR336" s="583">
        <v>172066</v>
      </c>
      <c r="BS336" s="583">
        <v>-44052</v>
      </c>
      <c r="BT336" s="583">
        <v>0</v>
      </c>
      <c r="BU336" s="583">
        <v>1183568</v>
      </c>
      <c r="BV336" s="583">
        <v>0</v>
      </c>
    </row>
    <row r="337" spans="1:74" x14ac:dyDescent="0.2">
      <c r="A337" s="580">
        <v>16108</v>
      </c>
      <c r="B337" s="580" t="s">
        <v>178</v>
      </c>
      <c r="C337" s="583">
        <v>189379</v>
      </c>
      <c r="D337" s="583">
        <v>0</v>
      </c>
      <c r="E337" s="583">
        <v>96515</v>
      </c>
      <c r="F337" s="583">
        <v>0</v>
      </c>
      <c r="G337" s="583">
        <v>285894</v>
      </c>
      <c r="H337" s="583">
        <v>96515</v>
      </c>
      <c r="I337" s="583">
        <v>100706</v>
      </c>
      <c r="J337" s="583">
        <v>0</v>
      </c>
      <c r="K337" s="583">
        <v>185188</v>
      </c>
      <c r="L337" s="583">
        <v>0</v>
      </c>
      <c r="M337" s="583">
        <v>285894</v>
      </c>
      <c r="N337" s="583">
        <v>281703</v>
      </c>
      <c r="O337" s="583">
        <v>287290</v>
      </c>
      <c r="P337" s="583">
        <v>0</v>
      </c>
      <c r="Q337" s="583">
        <v>0</v>
      </c>
      <c r="R337" s="583">
        <v>0</v>
      </c>
      <c r="S337" s="583">
        <v>287290</v>
      </c>
      <c r="T337" s="583">
        <v>281703</v>
      </c>
      <c r="U337" s="583">
        <v>152547</v>
      </c>
      <c r="V337" s="583">
        <v>0</v>
      </c>
      <c r="W337" s="583">
        <v>133347</v>
      </c>
      <c r="X337" s="583">
        <v>0</v>
      </c>
      <c r="Y337" s="583">
        <v>285894</v>
      </c>
      <c r="Z337" s="583">
        <v>415050</v>
      </c>
      <c r="AA337" s="583">
        <v>1327442</v>
      </c>
      <c r="AB337" s="583">
        <v>12252</v>
      </c>
      <c r="AC337" s="583">
        <v>-415050</v>
      </c>
      <c r="AD337" s="583">
        <v>0</v>
      </c>
      <c r="AE337" s="583">
        <v>924644</v>
      </c>
      <c r="AF337" s="583">
        <v>0</v>
      </c>
      <c r="AG337" s="583">
        <v>262932</v>
      </c>
      <c r="AH337" s="583">
        <v>8683</v>
      </c>
      <c r="AI337" s="583">
        <v>22962</v>
      </c>
      <c r="AJ337" s="583">
        <v>0</v>
      </c>
      <c r="AK337" s="583">
        <v>294577</v>
      </c>
      <c r="AL337" s="583">
        <v>22962</v>
      </c>
      <c r="AM337" s="583">
        <v>522663</v>
      </c>
      <c r="AN337" s="583">
        <v>50741</v>
      </c>
      <c r="AO337" s="583">
        <v>-22962</v>
      </c>
      <c r="AP337" s="583">
        <v>0</v>
      </c>
      <c r="AQ337" s="583">
        <v>550442</v>
      </c>
      <c r="AR337" s="583">
        <v>0</v>
      </c>
      <c r="AS337" s="583">
        <v>172643</v>
      </c>
      <c r="AT337" s="583">
        <v>0</v>
      </c>
      <c r="AU337" s="583">
        <v>113251</v>
      </c>
      <c r="AV337" s="583">
        <v>0</v>
      </c>
      <c r="AW337" s="583">
        <v>285894</v>
      </c>
      <c r="AX337" s="583">
        <v>113251</v>
      </c>
      <c r="AY337" s="583">
        <v>334215</v>
      </c>
      <c r="AZ337" s="583">
        <v>12439</v>
      </c>
      <c r="BA337" s="583">
        <v>0</v>
      </c>
      <c r="BB337" s="583">
        <v>0</v>
      </c>
      <c r="BC337" s="583">
        <v>346654</v>
      </c>
      <c r="BD337" s="583">
        <v>113251</v>
      </c>
      <c r="BE337" s="583">
        <v>705179</v>
      </c>
      <c r="BF337" s="583">
        <v>0</v>
      </c>
      <c r="BG337" s="583">
        <v>-113251</v>
      </c>
      <c r="BH337" s="583">
        <v>0</v>
      </c>
      <c r="BI337" s="583">
        <v>591928</v>
      </c>
      <c r="BJ337" s="583">
        <v>0</v>
      </c>
      <c r="BK337" s="583">
        <v>261722</v>
      </c>
      <c r="BL337" s="583">
        <v>0</v>
      </c>
      <c r="BM337" s="583">
        <v>24172</v>
      </c>
      <c r="BN337" s="583">
        <v>0</v>
      </c>
      <c r="BO337" s="583">
        <v>285894</v>
      </c>
      <c r="BP337" s="583">
        <v>24172</v>
      </c>
      <c r="BQ337" s="583">
        <v>501532</v>
      </c>
      <c r="BR337" s="583">
        <v>81755</v>
      </c>
      <c r="BS337" s="583">
        <v>-24172</v>
      </c>
      <c r="BT337" s="583">
        <v>0</v>
      </c>
      <c r="BU337" s="583">
        <v>559115</v>
      </c>
      <c r="BV337" s="583">
        <v>0</v>
      </c>
    </row>
    <row r="338" spans="1:74" x14ac:dyDescent="0.2">
      <c r="A338" s="580">
        <v>16109</v>
      </c>
      <c r="B338" s="580" t="s">
        <v>179</v>
      </c>
      <c r="C338" s="583">
        <v>200674</v>
      </c>
      <c r="D338" s="583">
        <v>0</v>
      </c>
      <c r="E338" s="583">
        <v>134457</v>
      </c>
      <c r="F338" s="583">
        <v>0</v>
      </c>
      <c r="G338" s="583">
        <v>335131</v>
      </c>
      <c r="H338" s="583">
        <v>134457</v>
      </c>
      <c r="I338" s="583">
        <v>106712</v>
      </c>
      <c r="J338" s="583">
        <v>0</v>
      </c>
      <c r="K338" s="583">
        <v>228419</v>
      </c>
      <c r="L338" s="583">
        <v>0</v>
      </c>
      <c r="M338" s="583">
        <v>335131</v>
      </c>
      <c r="N338" s="583">
        <v>362876</v>
      </c>
      <c r="O338" s="583">
        <v>304424</v>
      </c>
      <c r="P338" s="583">
        <v>0</v>
      </c>
      <c r="Q338" s="583">
        <v>0</v>
      </c>
      <c r="R338" s="583">
        <v>0</v>
      </c>
      <c r="S338" s="583">
        <v>304424</v>
      </c>
      <c r="T338" s="583">
        <v>362876</v>
      </c>
      <c r="U338" s="583">
        <v>161644</v>
      </c>
      <c r="V338" s="583">
        <v>0</v>
      </c>
      <c r="W338" s="583">
        <v>173487</v>
      </c>
      <c r="X338" s="583">
        <v>0</v>
      </c>
      <c r="Y338" s="583">
        <v>335131</v>
      </c>
      <c r="Z338" s="583">
        <v>536363</v>
      </c>
      <c r="AA338" s="583">
        <v>1406609</v>
      </c>
      <c r="AB338" s="583">
        <v>12983</v>
      </c>
      <c r="AC338" s="583">
        <v>-536363</v>
      </c>
      <c r="AD338" s="583">
        <v>0</v>
      </c>
      <c r="AE338" s="583">
        <v>883229</v>
      </c>
      <c r="AF338" s="583">
        <v>0</v>
      </c>
      <c r="AG338" s="583">
        <v>278613</v>
      </c>
      <c r="AH338" s="583">
        <v>9201</v>
      </c>
      <c r="AI338" s="583">
        <v>56518</v>
      </c>
      <c r="AJ338" s="583">
        <v>0</v>
      </c>
      <c r="AK338" s="583">
        <v>344332</v>
      </c>
      <c r="AL338" s="583">
        <v>56518</v>
      </c>
      <c r="AM338" s="583">
        <v>553834</v>
      </c>
      <c r="AN338" s="583">
        <v>53767</v>
      </c>
      <c r="AO338" s="583">
        <v>-44774</v>
      </c>
      <c r="AP338" s="583">
        <v>0</v>
      </c>
      <c r="AQ338" s="583">
        <v>562827</v>
      </c>
      <c r="AR338" s="583">
        <v>11744</v>
      </c>
      <c r="AS338" s="583">
        <v>182940</v>
      </c>
      <c r="AT338" s="583">
        <v>0</v>
      </c>
      <c r="AU338" s="583">
        <v>152191</v>
      </c>
      <c r="AV338" s="583">
        <v>0</v>
      </c>
      <c r="AW338" s="583">
        <v>335131</v>
      </c>
      <c r="AX338" s="583">
        <v>163935</v>
      </c>
      <c r="AY338" s="583">
        <v>354147</v>
      </c>
      <c r="AZ338" s="583">
        <v>13181</v>
      </c>
      <c r="BA338" s="583">
        <v>0</v>
      </c>
      <c r="BB338" s="583">
        <v>0</v>
      </c>
      <c r="BC338" s="583">
        <v>367328</v>
      </c>
      <c r="BD338" s="583">
        <v>163935</v>
      </c>
      <c r="BE338" s="583">
        <v>747235</v>
      </c>
      <c r="BF338" s="583">
        <v>0</v>
      </c>
      <c r="BG338" s="583">
        <v>-163935</v>
      </c>
      <c r="BH338" s="583">
        <v>0</v>
      </c>
      <c r="BI338" s="583">
        <v>583300</v>
      </c>
      <c r="BJ338" s="583">
        <v>0</v>
      </c>
      <c r="BK338" s="583">
        <v>277331</v>
      </c>
      <c r="BL338" s="583">
        <v>0</v>
      </c>
      <c r="BM338" s="583">
        <v>57800</v>
      </c>
      <c r="BN338" s="583">
        <v>0</v>
      </c>
      <c r="BO338" s="583">
        <v>335131</v>
      </c>
      <c r="BP338" s="583">
        <v>57800</v>
      </c>
      <c r="BQ338" s="583">
        <v>531443</v>
      </c>
      <c r="BR338" s="583">
        <v>86631</v>
      </c>
      <c r="BS338" s="583">
        <v>-57800</v>
      </c>
      <c r="BT338" s="583">
        <v>0</v>
      </c>
      <c r="BU338" s="583">
        <v>560274</v>
      </c>
      <c r="BV338" s="583">
        <v>0</v>
      </c>
    </row>
    <row r="339" spans="1:74" x14ac:dyDescent="0.2">
      <c r="A339" s="580">
        <v>16201</v>
      </c>
      <c r="B339" s="580" t="s">
        <v>171</v>
      </c>
      <c r="C339" s="583">
        <v>144902</v>
      </c>
      <c r="D339" s="583">
        <v>0</v>
      </c>
      <c r="E339" s="583">
        <v>81876</v>
      </c>
      <c r="F339" s="583">
        <v>0</v>
      </c>
      <c r="G339" s="583">
        <v>226778</v>
      </c>
      <c r="H339" s="583">
        <v>81876</v>
      </c>
      <c r="I339" s="583">
        <v>77054</v>
      </c>
      <c r="J339" s="583">
        <v>0</v>
      </c>
      <c r="K339" s="583">
        <v>149724</v>
      </c>
      <c r="L339" s="583">
        <v>0</v>
      </c>
      <c r="M339" s="583">
        <v>226778</v>
      </c>
      <c r="N339" s="583">
        <v>231600</v>
      </c>
      <c r="O339" s="583">
        <v>219818</v>
      </c>
      <c r="P339" s="583">
        <v>0</v>
      </c>
      <c r="Q339" s="583">
        <v>0</v>
      </c>
      <c r="R339" s="583">
        <v>0</v>
      </c>
      <c r="S339" s="583">
        <v>219818</v>
      </c>
      <c r="T339" s="583">
        <v>231600</v>
      </c>
      <c r="U339" s="583">
        <v>116720</v>
      </c>
      <c r="V339" s="583">
        <v>0</v>
      </c>
      <c r="W339" s="583">
        <v>110058</v>
      </c>
      <c r="X339" s="583">
        <v>0</v>
      </c>
      <c r="Y339" s="583">
        <v>226778</v>
      </c>
      <c r="Z339" s="583">
        <v>341658</v>
      </c>
      <c r="AA339" s="583">
        <v>1015681</v>
      </c>
      <c r="AB339" s="583">
        <v>9374</v>
      </c>
      <c r="AC339" s="583">
        <v>-341658</v>
      </c>
      <c r="AD339" s="583">
        <v>0</v>
      </c>
      <c r="AE339" s="583">
        <v>683397</v>
      </c>
      <c r="AF339" s="583">
        <v>0</v>
      </c>
      <c r="AG339" s="583">
        <v>201180</v>
      </c>
      <c r="AH339" s="583">
        <v>6644</v>
      </c>
      <c r="AI339" s="583">
        <v>25598</v>
      </c>
      <c r="AJ339" s="583">
        <v>0</v>
      </c>
      <c r="AK339" s="583">
        <v>233422</v>
      </c>
      <c r="AL339" s="583">
        <v>25598</v>
      </c>
      <c r="AM339" s="583">
        <v>399911</v>
      </c>
      <c r="AN339" s="583">
        <v>38824</v>
      </c>
      <c r="AO339" s="583">
        <v>-25598</v>
      </c>
      <c r="AP339" s="583">
        <v>0</v>
      </c>
      <c r="AQ339" s="583">
        <v>413137</v>
      </c>
      <c r="AR339" s="583">
        <v>0</v>
      </c>
      <c r="AS339" s="583">
        <v>132097</v>
      </c>
      <c r="AT339" s="583">
        <v>0</v>
      </c>
      <c r="AU339" s="583">
        <v>94681</v>
      </c>
      <c r="AV339" s="583">
        <v>0</v>
      </c>
      <c r="AW339" s="583">
        <v>226778</v>
      </c>
      <c r="AX339" s="583">
        <v>94681</v>
      </c>
      <c r="AY339" s="583">
        <v>255722</v>
      </c>
      <c r="AZ339" s="583">
        <v>9518</v>
      </c>
      <c r="BA339" s="583">
        <v>0</v>
      </c>
      <c r="BB339" s="583">
        <v>0</v>
      </c>
      <c r="BC339" s="583">
        <v>265240</v>
      </c>
      <c r="BD339" s="583">
        <v>94681</v>
      </c>
      <c r="BE339" s="583">
        <v>539562</v>
      </c>
      <c r="BF339" s="583">
        <v>0</v>
      </c>
      <c r="BG339" s="583">
        <v>-94681</v>
      </c>
      <c r="BH339" s="583">
        <v>0</v>
      </c>
      <c r="BI339" s="583">
        <v>444881</v>
      </c>
      <c r="BJ339" s="583">
        <v>0</v>
      </c>
      <c r="BK339" s="583">
        <v>200254</v>
      </c>
      <c r="BL339" s="583">
        <v>0</v>
      </c>
      <c r="BM339" s="583">
        <v>26524</v>
      </c>
      <c r="BN339" s="583">
        <v>0</v>
      </c>
      <c r="BO339" s="583">
        <v>226778</v>
      </c>
      <c r="BP339" s="583">
        <v>26524</v>
      </c>
      <c r="BQ339" s="583">
        <v>383743</v>
      </c>
      <c r="BR339" s="583">
        <v>62554</v>
      </c>
      <c r="BS339" s="583">
        <v>-26524</v>
      </c>
      <c r="BT339" s="583">
        <v>0</v>
      </c>
      <c r="BU339" s="583">
        <v>419773</v>
      </c>
      <c r="BV339" s="583">
        <v>0</v>
      </c>
    </row>
    <row r="340" spans="1:74" x14ac:dyDescent="0.2">
      <c r="A340" s="580">
        <v>16202</v>
      </c>
      <c r="B340" s="580" t="s">
        <v>174</v>
      </c>
      <c r="C340" s="583">
        <v>150824</v>
      </c>
      <c r="D340" s="583">
        <v>0</v>
      </c>
      <c r="E340" s="583">
        <v>73640</v>
      </c>
      <c r="F340" s="583">
        <v>0</v>
      </c>
      <c r="G340" s="583">
        <v>224464</v>
      </c>
      <c r="H340" s="583">
        <v>73640</v>
      </c>
      <c r="I340" s="583">
        <v>80203</v>
      </c>
      <c r="J340" s="583">
        <v>0</v>
      </c>
      <c r="K340" s="583">
        <v>144261</v>
      </c>
      <c r="L340" s="583">
        <v>0</v>
      </c>
      <c r="M340" s="583">
        <v>224464</v>
      </c>
      <c r="N340" s="583">
        <v>217901</v>
      </c>
      <c r="O340" s="583">
        <v>228802</v>
      </c>
      <c r="P340" s="583">
        <v>0</v>
      </c>
      <c r="Q340" s="583">
        <v>0</v>
      </c>
      <c r="R340" s="583">
        <v>0</v>
      </c>
      <c r="S340" s="583">
        <v>228802</v>
      </c>
      <c r="T340" s="583">
        <v>217901</v>
      </c>
      <c r="U340" s="583">
        <v>121490</v>
      </c>
      <c r="V340" s="583">
        <v>0</v>
      </c>
      <c r="W340" s="583">
        <v>102974</v>
      </c>
      <c r="X340" s="583">
        <v>0</v>
      </c>
      <c r="Y340" s="583">
        <v>224464</v>
      </c>
      <c r="Z340" s="583">
        <v>320875</v>
      </c>
      <c r="AA340" s="583">
        <v>1057191</v>
      </c>
      <c r="AB340" s="583">
        <v>9758</v>
      </c>
      <c r="AC340" s="583">
        <v>-320875</v>
      </c>
      <c r="AD340" s="583">
        <v>0</v>
      </c>
      <c r="AE340" s="583">
        <v>746074</v>
      </c>
      <c r="AF340" s="583">
        <v>0</v>
      </c>
      <c r="AG340" s="583">
        <v>209403</v>
      </c>
      <c r="AH340" s="583">
        <v>6915</v>
      </c>
      <c r="AI340" s="583">
        <v>15061</v>
      </c>
      <c r="AJ340" s="583">
        <v>0</v>
      </c>
      <c r="AK340" s="583">
        <v>231379</v>
      </c>
      <c r="AL340" s="583">
        <v>15061</v>
      </c>
      <c r="AM340" s="583">
        <v>416255</v>
      </c>
      <c r="AN340" s="583">
        <v>40411</v>
      </c>
      <c r="AO340" s="583">
        <v>-15061</v>
      </c>
      <c r="AP340" s="583">
        <v>0</v>
      </c>
      <c r="AQ340" s="583">
        <v>441605</v>
      </c>
      <c r="AR340" s="583">
        <v>0</v>
      </c>
      <c r="AS340" s="583">
        <v>137495</v>
      </c>
      <c r="AT340" s="583">
        <v>0</v>
      </c>
      <c r="AU340" s="583">
        <v>86969</v>
      </c>
      <c r="AV340" s="583">
        <v>0</v>
      </c>
      <c r="AW340" s="583">
        <v>224464</v>
      </c>
      <c r="AX340" s="583">
        <v>86969</v>
      </c>
      <c r="AY340" s="583">
        <v>266173</v>
      </c>
      <c r="AZ340" s="583">
        <v>9907</v>
      </c>
      <c r="BA340" s="583">
        <v>0</v>
      </c>
      <c r="BB340" s="583">
        <v>0</v>
      </c>
      <c r="BC340" s="583">
        <v>276080</v>
      </c>
      <c r="BD340" s="583">
        <v>86969</v>
      </c>
      <c r="BE340" s="583">
        <v>561613</v>
      </c>
      <c r="BF340" s="583">
        <v>0</v>
      </c>
      <c r="BG340" s="583">
        <v>-86969</v>
      </c>
      <c r="BH340" s="583">
        <v>0</v>
      </c>
      <c r="BI340" s="583">
        <v>474644</v>
      </c>
      <c r="BJ340" s="583">
        <v>0</v>
      </c>
      <c r="BK340" s="583">
        <v>208439</v>
      </c>
      <c r="BL340" s="583">
        <v>0</v>
      </c>
      <c r="BM340" s="583">
        <v>16025</v>
      </c>
      <c r="BN340" s="583">
        <v>0</v>
      </c>
      <c r="BO340" s="583">
        <v>224464</v>
      </c>
      <c r="BP340" s="583">
        <v>16025</v>
      </c>
      <c r="BQ340" s="583">
        <v>399426</v>
      </c>
      <c r="BR340" s="583">
        <v>65111</v>
      </c>
      <c r="BS340" s="583">
        <v>-16025</v>
      </c>
      <c r="BT340" s="583">
        <v>0</v>
      </c>
      <c r="BU340" s="583">
        <v>448512</v>
      </c>
      <c r="BV340" s="583">
        <v>0</v>
      </c>
    </row>
    <row r="341" spans="1:74" x14ac:dyDescent="0.2">
      <c r="A341" s="580">
        <v>16203</v>
      </c>
      <c r="B341" s="580" t="s">
        <v>182</v>
      </c>
      <c r="C341" s="583">
        <v>166681</v>
      </c>
      <c r="D341" s="583">
        <v>0</v>
      </c>
      <c r="E341" s="583">
        <v>95709</v>
      </c>
      <c r="F341" s="583">
        <v>0</v>
      </c>
      <c r="G341" s="583">
        <v>262390</v>
      </c>
      <c r="H341" s="583">
        <v>95709</v>
      </c>
      <c r="I341" s="583">
        <v>88635</v>
      </c>
      <c r="J341" s="583">
        <v>0</v>
      </c>
      <c r="K341" s="583">
        <v>173755</v>
      </c>
      <c r="L341" s="583">
        <v>0</v>
      </c>
      <c r="M341" s="583">
        <v>262390</v>
      </c>
      <c r="N341" s="583">
        <v>269464</v>
      </c>
      <c r="O341" s="583">
        <v>252857</v>
      </c>
      <c r="P341" s="583">
        <v>0</v>
      </c>
      <c r="Q341" s="583">
        <v>0</v>
      </c>
      <c r="R341" s="583">
        <v>0</v>
      </c>
      <c r="S341" s="583">
        <v>252857</v>
      </c>
      <c r="T341" s="583">
        <v>269464</v>
      </c>
      <c r="U341" s="583">
        <v>134263</v>
      </c>
      <c r="V341" s="583">
        <v>0</v>
      </c>
      <c r="W341" s="583">
        <v>128127</v>
      </c>
      <c r="X341" s="583">
        <v>0</v>
      </c>
      <c r="Y341" s="583">
        <v>262390</v>
      </c>
      <c r="Z341" s="583">
        <v>397591</v>
      </c>
      <c r="AA341" s="583">
        <v>1168339</v>
      </c>
      <c r="AB341" s="583">
        <v>10783</v>
      </c>
      <c r="AC341" s="583">
        <v>-397591</v>
      </c>
      <c r="AD341" s="583">
        <v>0</v>
      </c>
      <c r="AE341" s="583">
        <v>781531</v>
      </c>
      <c r="AF341" s="583">
        <v>0</v>
      </c>
      <c r="AG341" s="583">
        <v>231418</v>
      </c>
      <c r="AH341" s="583">
        <v>7642</v>
      </c>
      <c r="AI341" s="583">
        <v>30972</v>
      </c>
      <c r="AJ341" s="583">
        <v>0</v>
      </c>
      <c r="AK341" s="583">
        <v>270032</v>
      </c>
      <c r="AL341" s="583">
        <v>30972</v>
      </c>
      <c r="AM341" s="583">
        <v>460018</v>
      </c>
      <c r="AN341" s="583">
        <v>44659</v>
      </c>
      <c r="AO341" s="583">
        <v>-30972</v>
      </c>
      <c r="AP341" s="583">
        <v>0</v>
      </c>
      <c r="AQ341" s="583">
        <v>473705</v>
      </c>
      <c r="AR341" s="583">
        <v>0</v>
      </c>
      <c r="AS341" s="583">
        <v>151951</v>
      </c>
      <c r="AT341" s="583">
        <v>0</v>
      </c>
      <c r="AU341" s="583">
        <v>110439</v>
      </c>
      <c r="AV341" s="583">
        <v>0</v>
      </c>
      <c r="AW341" s="583">
        <v>262390</v>
      </c>
      <c r="AX341" s="583">
        <v>110439</v>
      </c>
      <c r="AY341" s="583">
        <v>294157</v>
      </c>
      <c r="AZ341" s="583">
        <v>10948</v>
      </c>
      <c r="BA341" s="583">
        <v>0</v>
      </c>
      <c r="BB341" s="583">
        <v>0</v>
      </c>
      <c r="BC341" s="583">
        <v>305105</v>
      </c>
      <c r="BD341" s="583">
        <v>110439</v>
      </c>
      <c r="BE341" s="583">
        <v>620658</v>
      </c>
      <c r="BF341" s="583">
        <v>0</v>
      </c>
      <c r="BG341" s="583">
        <v>-110439</v>
      </c>
      <c r="BH341" s="583">
        <v>0</v>
      </c>
      <c r="BI341" s="583">
        <v>510219</v>
      </c>
      <c r="BJ341" s="583">
        <v>0</v>
      </c>
      <c r="BK341" s="583">
        <v>230353</v>
      </c>
      <c r="BL341" s="583">
        <v>0</v>
      </c>
      <c r="BM341" s="583">
        <v>32037</v>
      </c>
      <c r="BN341" s="583">
        <v>0</v>
      </c>
      <c r="BO341" s="583">
        <v>262390</v>
      </c>
      <c r="BP341" s="583">
        <v>32037</v>
      </c>
      <c r="BQ341" s="583">
        <v>441420</v>
      </c>
      <c r="BR341" s="583">
        <v>71956</v>
      </c>
      <c r="BS341" s="583">
        <v>-32037</v>
      </c>
      <c r="BT341" s="583">
        <v>0</v>
      </c>
      <c r="BU341" s="583">
        <v>481339</v>
      </c>
      <c r="BV341" s="583">
        <v>0</v>
      </c>
    </row>
    <row r="342" spans="1:74" x14ac:dyDescent="0.2">
      <c r="A342" s="580">
        <v>16204</v>
      </c>
      <c r="B342" s="580" t="s">
        <v>172</v>
      </c>
      <c r="C342" s="583">
        <v>109719</v>
      </c>
      <c r="D342" s="583">
        <v>0</v>
      </c>
      <c r="E342" s="583">
        <v>58173</v>
      </c>
      <c r="F342" s="583">
        <v>0</v>
      </c>
      <c r="G342" s="583">
        <v>167892</v>
      </c>
      <c r="H342" s="583">
        <v>58173</v>
      </c>
      <c r="I342" s="583">
        <v>58345</v>
      </c>
      <c r="J342" s="583">
        <v>0</v>
      </c>
      <c r="K342" s="583">
        <v>109547</v>
      </c>
      <c r="L342" s="583">
        <v>0</v>
      </c>
      <c r="M342" s="583">
        <v>167892</v>
      </c>
      <c r="N342" s="583">
        <v>167720</v>
      </c>
      <c r="O342" s="583">
        <v>166445</v>
      </c>
      <c r="P342" s="583">
        <v>0</v>
      </c>
      <c r="Q342" s="583">
        <v>0</v>
      </c>
      <c r="R342" s="583">
        <v>0</v>
      </c>
      <c r="S342" s="583">
        <v>166445</v>
      </c>
      <c r="T342" s="583">
        <v>167720</v>
      </c>
      <c r="U342" s="583">
        <v>88380</v>
      </c>
      <c r="V342" s="583">
        <v>0</v>
      </c>
      <c r="W342" s="583">
        <v>79512</v>
      </c>
      <c r="X342" s="583">
        <v>0</v>
      </c>
      <c r="Y342" s="583">
        <v>167892</v>
      </c>
      <c r="Z342" s="583">
        <v>247232</v>
      </c>
      <c r="AA342" s="583">
        <v>769070</v>
      </c>
      <c r="AB342" s="583">
        <v>7098</v>
      </c>
      <c r="AC342" s="583">
        <v>-247232</v>
      </c>
      <c r="AD342" s="583">
        <v>0</v>
      </c>
      <c r="AE342" s="583">
        <v>528936</v>
      </c>
      <c r="AF342" s="583">
        <v>0</v>
      </c>
      <c r="AG342" s="583">
        <v>152333</v>
      </c>
      <c r="AH342" s="583">
        <v>5031</v>
      </c>
      <c r="AI342" s="583">
        <v>15559</v>
      </c>
      <c r="AJ342" s="583">
        <v>0</v>
      </c>
      <c r="AK342" s="583">
        <v>172923</v>
      </c>
      <c r="AL342" s="583">
        <v>15559</v>
      </c>
      <c r="AM342" s="583">
        <v>302811</v>
      </c>
      <c r="AN342" s="583">
        <v>29397</v>
      </c>
      <c r="AO342" s="583">
        <v>-15559</v>
      </c>
      <c r="AP342" s="583">
        <v>0</v>
      </c>
      <c r="AQ342" s="583">
        <v>316649</v>
      </c>
      <c r="AR342" s="583">
        <v>0</v>
      </c>
      <c r="AS342" s="583">
        <v>100023</v>
      </c>
      <c r="AT342" s="583">
        <v>0</v>
      </c>
      <c r="AU342" s="583">
        <v>67869</v>
      </c>
      <c r="AV342" s="583">
        <v>0</v>
      </c>
      <c r="AW342" s="583">
        <v>167892</v>
      </c>
      <c r="AX342" s="583">
        <v>67869</v>
      </c>
      <c r="AY342" s="583">
        <v>193631</v>
      </c>
      <c r="AZ342" s="583">
        <v>7207</v>
      </c>
      <c r="BA342" s="583">
        <v>0</v>
      </c>
      <c r="BB342" s="583">
        <v>0</v>
      </c>
      <c r="BC342" s="583">
        <v>200838</v>
      </c>
      <c r="BD342" s="583">
        <v>67869</v>
      </c>
      <c r="BE342" s="583">
        <v>408554</v>
      </c>
      <c r="BF342" s="583">
        <v>0</v>
      </c>
      <c r="BG342" s="583">
        <v>-67869</v>
      </c>
      <c r="BH342" s="583">
        <v>0</v>
      </c>
      <c r="BI342" s="583">
        <v>340685</v>
      </c>
      <c r="BJ342" s="583">
        <v>0</v>
      </c>
      <c r="BK342" s="583">
        <v>151632</v>
      </c>
      <c r="BL342" s="583">
        <v>0</v>
      </c>
      <c r="BM342" s="583">
        <v>16260</v>
      </c>
      <c r="BN342" s="583">
        <v>0</v>
      </c>
      <c r="BO342" s="583">
        <v>167892</v>
      </c>
      <c r="BP342" s="583">
        <v>16260</v>
      </c>
      <c r="BQ342" s="583">
        <v>290569</v>
      </c>
      <c r="BR342" s="583">
        <v>47366</v>
      </c>
      <c r="BS342" s="583">
        <v>-16260</v>
      </c>
      <c r="BT342" s="583">
        <v>0</v>
      </c>
      <c r="BU342" s="583">
        <v>321675</v>
      </c>
      <c r="BV342" s="583">
        <v>0</v>
      </c>
    </row>
    <row r="343" spans="1:74" x14ac:dyDescent="0.2">
      <c r="A343" s="580">
        <v>16205</v>
      </c>
      <c r="B343" s="580" t="s">
        <v>173</v>
      </c>
      <c r="C343" s="583">
        <v>100410</v>
      </c>
      <c r="D343" s="583">
        <v>0</v>
      </c>
      <c r="E343" s="583">
        <v>59693</v>
      </c>
      <c r="F343" s="583">
        <v>0</v>
      </c>
      <c r="G343" s="583">
        <v>160103</v>
      </c>
      <c r="H343" s="583">
        <v>59693</v>
      </c>
      <c r="I343" s="583">
        <v>53395</v>
      </c>
      <c r="J343" s="583">
        <v>0</v>
      </c>
      <c r="K343" s="583">
        <v>106708</v>
      </c>
      <c r="L343" s="583">
        <v>0</v>
      </c>
      <c r="M343" s="583">
        <v>160103</v>
      </c>
      <c r="N343" s="583">
        <v>166401</v>
      </c>
      <c r="O343" s="583">
        <v>152323</v>
      </c>
      <c r="P343" s="583">
        <v>0</v>
      </c>
      <c r="Q343" s="583">
        <v>0</v>
      </c>
      <c r="R343" s="583">
        <v>0</v>
      </c>
      <c r="S343" s="583">
        <v>152323</v>
      </c>
      <c r="T343" s="583">
        <v>166401</v>
      </c>
      <c r="U343" s="583">
        <v>80881</v>
      </c>
      <c r="V343" s="583">
        <v>0</v>
      </c>
      <c r="W343" s="583">
        <v>79222</v>
      </c>
      <c r="X343" s="583">
        <v>0</v>
      </c>
      <c r="Y343" s="583">
        <v>160103</v>
      </c>
      <c r="Z343" s="583">
        <v>245623</v>
      </c>
      <c r="AA343" s="583">
        <v>703817</v>
      </c>
      <c r="AB343" s="583">
        <v>6496</v>
      </c>
      <c r="AC343" s="583">
        <v>-245623</v>
      </c>
      <c r="AD343" s="583">
        <v>0</v>
      </c>
      <c r="AE343" s="583">
        <v>464690</v>
      </c>
      <c r="AF343" s="583">
        <v>0</v>
      </c>
      <c r="AG343" s="583">
        <v>139408</v>
      </c>
      <c r="AH343" s="583">
        <v>4604</v>
      </c>
      <c r="AI343" s="583">
        <v>20695</v>
      </c>
      <c r="AJ343" s="583">
        <v>0</v>
      </c>
      <c r="AK343" s="583">
        <v>164707</v>
      </c>
      <c r="AL343" s="583">
        <v>20695</v>
      </c>
      <c r="AM343" s="583">
        <v>277119</v>
      </c>
      <c r="AN343" s="583">
        <v>26903</v>
      </c>
      <c r="AO343" s="583">
        <v>-20695</v>
      </c>
      <c r="AP343" s="583">
        <v>0</v>
      </c>
      <c r="AQ343" s="583">
        <v>283327</v>
      </c>
      <c r="AR343" s="583">
        <v>0</v>
      </c>
      <c r="AS343" s="583">
        <v>91537</v>
      </c>
      <c r="AT343" s="583">
        <v>0</v>
      </c>
      <c r="AU343" s="583">
        <v>68566</v>
      </c>
      <c r="AV343" s="583">
        <v>0</v>
      </c>
      <c r="AW343" s="583">
        <v>160103</v>
      </c>
      <c r="AX343" s="583">
        <v>68566</v>
      </c>
      <c r="AY343" s="583">
        <v>177203</v>
      </c>
      <c r="AZ343" s="583">
        <v>6595</v>
      </c>
      <c r="BA343" s="583">
        <v>0</v>
      </c>
      <c r="BB343" s="583">
        <v>0</v>
      </c>
      <c r="BC343" s="583">
        <v>183798</v>
      </c>
      <c r="BD343" s="583">
        <v>68566</v>
      </c>
      <c r="BE343" s="583">
        <v>373890</v>
      </c>
      <c r="BF343" s="583">
        <v>0</v>
      </c>
      <c r="BG343" s="583">
        <v>-68566</v>
      </c>
      <c r="BH343" s="583">
        <v>0</v>
      </c>
      <c r="BI343" s="583">
        <v>305324</v>
      </c>
      <c r="BJ343" s="583">
        <v>0</v>
      </c>
      <c r="BK343" s="583">
        <v>138766</v>
      </c>
      <c r="BL343" s="583">
        <v>0</v>
      </c>
      <c r="BM343" s="583">
        <v>21337</v>
      </c>
      <c r="BN343" s="583">
        <v>0</v>
      </c>
      <c r="BO343" s="583">
        <v>160103</v>
      </c>
      <c r="BP343" s="583">
        <v>21337</v>
      </c>
      <c r="BQ343" s="583">
        <v>265915</v>
      </c>
      <c r="BR343" s="583">
        <v>43347</v>
      </c>
      <c r="BS343" s="583">
        <v>-21337</v>
      </c>
      <c r="BT343" s="583">
        <v>0</v>
      </c>
      <c r="BU343" s="583">
        <v>287925</v>
      </c>
      <c r="BV343" s="583">
        <v>0</v>
      </c>
    </row>
    <row r="344" spans="1:74" x14ac:dyDescent="0.2">
      <c r="A344" s="580">
        <v>16206</v>
      </c>
      <c r="B344" s="580" t="s">
        <v>33</v>
      </c>
      <c r="C344" s="583">
        <v>116426</v>
      </c>
      <c r="D344" s="583">
        <v>0</v>
      </c>
      <c r="E344" s="583">
        <v>22446</v>
      </c>
      <c r="F344" s="583">
        <v>0</v>
      </c>
      <c r="G344" s="583">
        <v>138872</v>
      </c>
      <c r="H344" s="583">
        <v>22446</v>
      </c>
      <c r="I344" s="583">
        <v>61911</v>
      </c>
      <c r="J344" s="583">
        <v>0</v>
      </c>
      <c r="K344" s="583">
        <v>76961</v>
      </c>
      <c r="L344" s="583">
        <v>0</v>
      </c>
      <c r="M344" s="583">
        <v>138872</v>
      </c>
      <c r="N344" s="583">
        <v>99407</v>
      </c>
      <c r="O344" s="583">
        <v>176619</v>
      </c>
      <c r="P344" s="583">
        <v>0</v>
      </c>
      <c r="Q344" s="583">
        <v>0</v>
      </c>
      <c r="R344" s="583">
        <v>0</v>
      </c>
      <c r="S344" s="583">
        <v>176619</v>
      </c>
      <c r="T344" s="583">
        <v>99407</v>
      </c>
      <c r="U344" s="583">
        <v>93782</v>
      </c>
      <c r="V344" s="583">
        <v>0</v>
      </c>
      <c r="W344" s="583">
        <v>45090</v>
      </c>
      <c r="X344" s="583">
        <v>0</v>
      </c>
      <c r="Y344" s="583">
        <v>138872</v>
      </c>
      <c r="Z344" s="583">
        <v>144497</v>
      </c>
      <c r="AA344" s="583">
        <v>816077</v>
      </c>
      <c r="AB344" s="583">
        <v>7532</v>
      </c>
      <c r="AC344" s="583">
        <v>-144497</v>
      </c>
      <c r="AD344" s="583">
        <v>0</v>
      </c>
      <c r="AE344" s="583">
        <v>679112</v>
      </c>
      <c r="AF344" s="583">
        <v>0</v>
      </c>
      <c r="AG344" s="583">
        <v>161644</v>
      </c>
      <c r="AH344" s="583">
        <v>5338</v>
      </c>
      <c r="AI344" s="583">
        <v>0</v>
      </c>
      <c r="AJ344" s="583">
        <v>0</v>
      </c>
      <c r="AK344" s="583">
        <v>166982</v>
      </c>
      <c r="AL344" s="583">
        <v>0</v>
      </c>
      <c r="AM344" s="583">
        <v>321320</v>
      </c>
      <c r="AN344" s="583">
        <v>31194</v>
      </c>
      <c r="AO344" s="583">
        <v>0</v>
      </c>
      <c r="AP344" s="583">
        <v>0</v>
      </c>
      <c r="AQ344" s="583">
        <v>352514</v>
      </c>
      <c r="AR344" s="583">
        <v>0</v>
      </c>
      <c r="AS344" s="583">
        <v>106137</v>
      </c>
      <c r="AT344" s="583">
        <v>0</v>
      </c>
      <c r="AU344" s="583">
        <v>32735</v>
      </c>
      <c r="AV344" s="583">
        <v>0</v>
      </c>
      <c r="AW344" s="583">
        <v>138872</v>
      </c>
      <c r="AX344" s="583">
        <v>32735</v>
      </c>
      <c r="AY344" s="583">
        <v>205467</v>
      </c>
      <c r="AZ344" s="583">
        <v>7647</v>
      </c>
      <c r="BA344" s="583">
        <v>0</v>
      </c>
      <c r="BB344" s="583">
        <v>0</v>
      </c>
      <c r="BC344" s="583">
        <v>213114</v>
      </c>
      <c r="BD344" s="583">
        <v>32735</v>
      </c>
      <c r="BE344" s="583">
        <v>433526</v>
      </c>
      <c r="BF344" s="583">
        <v>0</v>
      </c>
      <c r="BG344" s="583">
        <v>-32735</v>
      </c>
      <c r="BH344" s="583">
        <v>0</v>
      </c>
      <c r="BI344" s="583">
        <v>400791</v>
      </c>
      <c r="BJ344" s="583">
        <v>0</v>
      </c>
      <c r="BK344" s="583">
        <v>160900</v>
      </c>
      <c r="BL344" s="583">
        <v>0</v>
      </c>
      <c r="BM344" s="583">
        <v>0</v>
      </c>
      <c r="BN344" s="583">
        <v>0</v>
      </c>
      <c r="BO344" s="583">
        <v>160900</v>
      </c>
      <c r="BP344" s="583">
        <v>0</v>
      </c>
      <c r="BQ344" s="583">
        <v>308329</v>
      </c>
      <c r="BR344" s="583">
        <v>50261</v>
      </c>
      <c r="BS344" s="583">
        <v>0</v>
      </c>
      <c r="BT344" s="583">
        <v>0</v>
      </c>
      <c r="BU344" s="583">
        <v>358590</v>
      </c>
      <c r="BV344" s="583">
        <v>0</v>
      </c>
    </row>
    <row r="345" spans="1:74" x14ac:dyDescent="0.2">
      <c r="A345" s="580">
        <v>16207</v>
      </c>
      <c r="B345" s="580" t="s">
        <v>175</v>
      </c>
      <c r="C345" s="583">
        <v>109770</v>
      </c>
      <c r="D345" s="583">
        <v>0</v>
      </c>
      <c r="E345" s="583">
        <v>59514</v>
      </c>
      <c r="F345" s="583">
        <v>0</v>
      </c>
      <c r="G345" s="583">
        <v>169284</v>
      </c>
      <c r="H345" s="583">
        <v>59514</v>
      </c>
      <c r="I345" s="583">
        <v>58372</v>
      </c>
      <c r="J345" s="583">
        <v>0</v>
      </c>
      <c r="K345" s="583">
        <v>110912</v>
      </c>
      <c r="L345" s="583">
        <v>0</v>
      </c>
      <c r="M345" s="583">
        <v>169284</v>
      </c>
      <c r="N345" s="583">
        <v>170426</v>
      </c>
      <c r="O345" s="583">
        <v>166522</v>
      </c>
      <c r="P345" s="583">
        <v>0</v>
      </c>
      <c r="Q345" s="583">
        <v>0</v>
      </c>
      <c r="R345" s="583">
        <v>0</v>
      </c>
      <c r="S345" s="583">
        <v>166522</v>
      </c>
      <c r="T345" s="583">
        <v>170426</v>
      </c>
      <c r="U345" s="583">
        <v>88421</v>
      </c>
      <c r="V345" s="583">
        <v>0</v>
      </c>
      <c r="W345" s="583">
        <v>80863</v>
      </c>
      <c r="X345" s="583">
        <v>0</v>
      </c>
      <c r="Y345" s="583">
        <v>169284</v>
      </c>
      <c r="Z345" s="583">
        <v>251289</v>
      </c>
      <c r="AA345" s="583">
        <v>769425</v>
      </c>
      <c r="AB345" s="583">
        <v>7102</v>
      </c>
      <c r="AC345" s="583">
        <v>-251289</v>
      </c>
      <c r="AD345" s="583">
        <v>0</v>
      </c>
      <c r="AE345" s="583">
        <v>525238</v>
      </c>
      <c r="AF345" s="583">
        <v>0</v>
      </c>
      <c r="AG345" s="583">
        <v>152403</v>
      </c>
      <c r="AH345" s="583">
        <v>5033</v>
      </c>
      <c r="AI345" s="583">
        <v>16881</v>
      </c>
      <c r="AJ345" s="583">
        <v>0</v>
      </c>
      <c r="AK345" s="583">
        <v>174317</v>
      </c>
      <c r="AL345" s="583">
        <v>16881</v>
      </c>
      <c r="AM345" s="583">
        <v>302951</v>
      </c>
      <c r="AN345" s="583">
        <v>29411</v>
      </c>
      <c r="AO345" s="583">
        <v>-16881</v>
      </c>
      <c r="AP345" s="583">
        <v>0</v>
      </c>
      <c r="AQ345" s="583">
        <v>315481</v>
      </c>
      <c r="AR345" s="583">
        <v>0</v>
      </c>
      <c r="AS345" s="583">
        <v>100069</v>
      </c>
      <c r="AT345" s="583">
        <v>0</v>
      </c>
      <c r="AU345" s="583">
        <v>69215</v>
      </c>
      <c r="AV345" s="583">
        <v>0</v>
      </c>
      <c r="AW345" s="583">
        <v>169284</v>
      </c>
      <c r="AX345" s="583">
        <v>69215</v>
      </c>
      <c r="AY345" s="583">
        <v>193721</v>
      </c>
      <c r="AZ345" s="583">
        <v>7210</v>
      </c>
      <c r="BA345" s="583">
        <v>0</v>
      </c>
      <c r="BB345" s="583">
        <v>0</v>
      </c>
      <c r="BC345" s="583">
        <v>200931</v>
      </c>
      <c r="BD345" s="583">
        <v>69215</v>
      </c>
      <c r="BE345" s="583">
        <v>408743</v>
      </c>
      <c r="BF345" s="583">
        <v>0</v>
      </c>
      <c r="BG345" s="583">
        <v>-69215</v>
      </c>
      <c r="BH345" s="583">
        <v>0</v>
      </c>
      <c r="BI345" s="583">
        <v>339528</v>
      </c>
      <c r="BJ345" s="583">
        <v>0</v>
      </c>
      <c r="BK345" s="583">
        <v>151702</v>
      </c>
      <c r="BL345" s="583">
        <v>0</v>
      </c>
      <c r="BM345" s="583">
        <v>17582</v>
      </c>
      <c r="BN345" s="583">
        <v>0</v>
      </c>
      <c r="BO345" s="583">
        <v>169284</v>
      </c>
      <c r="BP345" s="583">
        <v>17582</v>
      </c>
      <c r="BQ345" s="583">
        <v>290703</v>
      </c>
      <c r="BR345" s="583">
        <v>47388</v>
      </c>
      <c r="BS345" s="583">
        <v>-17582</v>
      </c>
      <c r="BT345" s="583">
        <v>0</v>
      </c>
      <c r="BU345" s="583">
        <v>320509</v>
      </c>
      <c r="BV345" s="583">
        <v>0</v>
      </c>
    </row>
    <row r="346" spans="1:74" x14ac:dyDescent="0.2">
      <c r="A346" s="580">
        <v>16301</v>
      </c>
      <c r="B346" s="580" t="s">
        <v>176</v>
      </c>
      <c r="C346" s="583">
        <v>407291</v>
      </c>
      <c r="D346" s="583">
        <v>0</v>
      </c>
      <c r="E346" s="583">
        <v>229307</v>
      </c>
      <c r="F346" s="583">
        <v>0</v>
      </c>
      <c r="G346" s="583">
        <v>636598</v>
      </c>
      <c r="H346" s="583">
        <v>229307</v>
      </c>
      <c r="I346" s="583">
        <v>216584</v>
      </c>
      <c r="J346" s="583">
        <v>0</v>
      </c>
      <c r="K346" s="583">
        <v>420014</v>
      </c>
      <c r="L346" s="583">
        <v>0</v>
      </c>
      <c r="M346" s="583">
        <v>636598</v>
      </c>
      <c r="N346" s="583">
        <v>649321</v>
      </c>
      <c r="O346" s="583">
        <v>617864</v>
      </c>
      <c r="P346" s="583">
        <v>0</v>
      </c>
      <c r="Q346" s="583">
        <v>0</v>
      </c>
      <c r="R346" s="583">
        <v>0</v>
      </c>
      <c r="S346" s="583">
        <v>617864</v>
      </c>
      <c r="T346" s="583">
        <v>649321</v>
      </c>
      <c r="U346" s="583">
        <v>328076</v>
      </c>
      <c r="V346" s="583">
        <v>0</v>
      </c>
      <c r="W346" s="583">
        <v>308522</v>
      </c>
      <c r="X346" s="583">
        <v>0</v>
      </c>
      <c r="Y346" s="583">
        <v>636598</v>
      </c>
      <c r="Z346" s="583">
        <v>957843</v>
      </c>
      <c r="AA346" s="583">
        <v>2854877</v>
      </c>
      <c r="AB346" s="583">
        <v>26350</v>
      </c>
      <c r="AC346" s="583">
        <v>-957843</v>
      </c>
      <c r="AD346" s="583">
        <v>0</v>
      </c>
      <c r="AE346" s="583">
        <v>1923384</v>
      </c>
      <c r="AF346" s="583">
        <v>0</v>
      </c>
      <c r="AG346" s="583">
        <v>565478</v>
      </c>
      <c r="AH346" s="583">
        <v>18674</v>
      </c>
      <c r="AI346" s="583">
        <v>71120</v>
      </c>
      <c r="AJ346" s="583">
        <v>0</v>
      </c>
      <c r="AK346" s="583">
        <v>655272</v>
      </c>
      <c r="AL346" s="583">
        <v>71120</v>
      </c>
      <c r="AM346" s="583">
        <v>1124070</v>
      </c>
      <c r="AN346" s="583">
        <v>109127</v>
      </c>
      <c r="AO346" s="583">
        <v>-71120</v>
      </c>
      <c r="AP346" s="583">
        <v>0</v>
      </c>
      <c r="AQ346" s="583">
        <v>1162077</v>
      </c>
      <c r="AR346" s="583">
        <v>0</v>
      </c>
      <c r="AS346" s="583">
        <v>371297</v>
      </c>
      <c r="AT346" s="583">
        <v>0</v>
      </c>
      <c r="AU346" s="583">
        <v>265301</v>
      </c>
      <c r="AV346" s="583">
        <v>0</v>
      </c>
      <c r="AW346" s="583">
        <v>636598</v>
      </c>
      <c r="AX346" s="583">
        <v>265301</v>
      </c>
      <c r="AY346" s="583">
        <v>718783</v>
      </c>
      <c r="AZ346" s="583">
        <v>26752</v>
      </c>
      <c r="BA346" s="583">
        <v>0</v>
      </c>
      <c r="BB346" s="583">
        <v>0</v>
      </c>
      <c r="BC346" s="583">
        <v>745535</v>
      </c>
      <c r="BD346" s="583">
        <v>265301</v>
      </c>
      <c r="BE346" s="583">
        <v>1516600</v>
      </c>
      <c r="BF346" s="583">
        <v>0</v>
      </c>
      <c r="BG346" s="583">
        <v>-265301</v>
      </c>
      <c r="BH346" s="583">
        <v>0</v>
      </c>
      <c r="BI346" s="583">
        <v>1251299</v>
      </c>
      <c r="BJ346" s="583">
        <v>0</v>
      </c>
      <c r="BK346" s="583">
        <v>562875</v>
      </c>
      <c r="BL346" s="583">
        <v>0</v>
      </c>
      <c r="BM346" s="583">
        <v>73723</v>
      </c>
      <c r="BN346" s="583">
        <v>0</v>
      </c>
      <c r="BO346" s="583">
        <v>636598</v>
      </c>
      <c r="BP346" s="583">
        <v>73723</v>
      </c>
      <c r="BQ346" s="583">
        <v>1078625</v>
      </c>
      <c r="BR346" s="583">
        <v>175827</v>
      </c>
      <c r="BS346" s="583">
        <v>-73723</v>
      </c>
      <c r="BT346" s="583">
        <v>0</v>
      </c>
      <c r="BU346" s="583">
        <v>1180729</v>
      </c>
      <c r="BV346" s="583">
        <v>0</v>
      </c>
    </row>
    <row r="347" spans="1:74" x14ac:dyDescent="0.2">
      <c r="A347" s="580">
        <v>16302</v>
      </c>
      <c r="B347" s="580" t="s">
        <v>170</v>
      </c>
      <c r="C347" s="583">
        <v>236872</v>
      </c>
      <c r="D347" s="583">
        <v>0</v>
      </c>
      <c r="E347" s="583">
        <v>158711</v>
      </c>
      <c r="F347" s="583">
        <v>0</v>
      </c>
      <c r="G347" s="583">
        <v>395583</v>
      </c>
      <c r="H347" s="583">
        <v>158711</v>
      </c>
      <c r="I347" s="583">
        <v>125960</v>
      </c>
      <c r="J347" s="583">
        <v>0</v>
      </c>
      <c r="K347" s="583">
        <v>269623</v>
      </c>
      <c r="L347" s="583">
        <v>0</v>
      </c>
      <c r="M347" s="583">
        <v>395583</v>
      </c>
      <c r="N347" s="583">
        <v>428334</v>
      </c>
      <c r="O347" s="583">
        <v>359337</v>
      </c>
      <c r="P347" s="583">
        <v>0</v>
      </c>
      <c r="Q347" s="583">
        <v>0</v>
      </c>
      <c r="R347" s="583">
        <v>0</v>
      </c>
      <c r="S347" s="583">
        <v>359337</v>
      </c>
      <c r="T347" s="583">
        <v>428334</v>
      </c>
      <c r="U347" s="583">
        <v>190802</v>
      </c>
      <c r="V347" s="583">
        <v>0</v>
      </c>
      <c r="W347" s="583">
        <v>204781</v>
      </c>
      <c r="X347" s="583">
        <v>0</v>
      </c>
      <c r="Y347" s="583">
        <v>395583</v>
      </c>
      <c r="Z347" s="583">
        <v>633115</v>
      </c>
      <c r="AA347" s="583">
        <v>1660337</v>
      </c>
      <c r="AB347" s="583">
        <v>15324</v>
      </c>
      <c r="AC347" s="583">
        <v>-633115</v>
      </c>
      <c r="AD347" s="583">
        <v>0</v>
      </c>
      <c r="AE347" s="583">
        <v>1042546</v>
      </c>
      <c r="AF347" s="583">
        <v>0</v>
      </c>
      <c r="AG347" s="583">
        <v>328870</v>
      </c>
      <c r="AH347" s="583">
        <v>10861</v>
      </c>
      <c r="AI347" s="583">
        <v>66713</v>
      </c>
      <c r="AJ347" s="583">
        <v>0</v>
      </c>
      <c r="AK347" s="583">
        <v>406444</v>
      </c>
      <c r="AL347" s="583">
        <v>66713</v>
      </c>
      <c r="AM347" s="583">
        <v>653736</v>
      </c>
      <c r="AN347" s="583">
        <v>63466</v>
      </c>
      <c r="AO347" s="583">
        <v>-52850</v>
      </c>
      <c r="AP347" s="583">
        <v>0</v>
      </c>
      <c r="AQ347" s="583">
        <v>664352</v>
      </c>
      <c r="AR347" s="583">
        <v>13863</v>
      </c>
      <c r="AS347" s="583">
        <v>215939</v>
      </c>
      <c r="AT347" s="583">
        <v>0</v>
      </c>
      <c r="AU347" s="583">
        <v>179644</v>
      </c>
      <c r="AV347" s="583">
        <v>0</v>
      </c>
      <c r="AW347" s="583">
        <v>395583</v>
      </c>
      <c r="AX347" s="583">
        <v>193507</v>
      </c>
      <c r="AY347" s="583">
        <v>418029</v>
      </c>
      <c r="AZ347" s="583">
        <v>15559</v>
      </c>
      <c r="BA347" s="583">
        <v>0</v>
      </c>
      <c r="BB347" s="583">
        <v>0</v>
      </c>
      <c r="BC347" s="583">
        <v>433588</v>
      </c>
      <c r="BD347" s="583">
        <v>193507</v>
      </c>
      <c r="BE347" s="583">
        <v>882023</v>
      </c>
      <c r="BF347" s="583">
        <v>0</v>
      </c>
      <c r="BG347" s="583">
        <v>-193507</v>
      </c>
      <c r="BH347" s="583">
        <v>0</v>
      </c>
      <c r="BI347" s="583">
        <v>688516</v>
      </c>
      <c r="BJ347" s="583">
        <v>0</v>
      </c>
      <c r="BK347" s="583">
        <v>327357</v>
      </c>
      <c r="BL347" s="583">
        <v>0</v>
      </c>
      <c r="BM347" s="583">
        <v>68226</v>
      </c>
      <c r="BN347" s="583">
        <v>0</v>
      </c>
      <c r="BO347" s="583">
        <v>395583</v>
      </c>
      <c r="BP347" s="583">
        <v>68226</v>
      </c>
      <c r="BQ347" s="583">
        <v>627306</v>
      </c>
      <c r="BR347" s="583">
        <v>102257</v>
      </c>
      <c r="BS347" s="583">
        <v>-68226</v>
      </c>
      <c r="BT347" s="583">
        <v>0</v>
      </c>
      <c r="BU347" s="583">
        <v>661337</v>
      </c>
      <c r="BV347" s="583">
        <v>0</v>
      </c>
    </row>
    <row r="348" spans="1:74" x14ac:dyDescent="0.2">
      <c r="A348" s="580">
        <v>16303</v>
      </c>
      <c r="B348" s="580" t="s">
        <v>403</v>
      </c>
      <c r="C348" s="583">
        <v>158250</v>
      </c>
      <c r="D348" s="583">
        <v>0</v>
      </c>
      <c r="E348" s="583">
        <v>72246</v>
      </c>
      <c r="F348" s="583">
        <v>0</v>
      </c>
      <c r="G348" s="583">
        <v>230496</v>
      </c>
      <c r="H348" s="583">
        <v>72246</v>
      </c>
      <c r="I348" s="583">
        <v>84152</v>
      </c>
      <c r="J348" s="583">
        <v>0</v>
      </c>
      <c r="K348" s="583">
        <v>146344</v>
      </c>
      <c r="L348" s="583">
        <v>0</v>
      </c>
      <c r="M348" s="583">
        <v>230496</v>
      </c>
      <c r="N348" s="583">
        <v>218590</v>
      </c>
      <c r="O348" s="583">
        <v>240067</v>
      </c>
      <c r="P348" s="583">
        <v>0</v>
      </c>
      <c r="Q348" s="583">
        <v>0</v>
      </c>
      <c r="R348" s="583">
        <v>0</v>
      </c>
      <c r="S348" s="583">
        <v>240067</v>
      </c>
      <c r="T348" s="583">
        <v>218590</v>
      </c>
      <c r="U348" s="583">
        <v>127472</v>
      </c>
      <c r="V348" s="583">
        <v>0</v>
      </c>
      <c r="W348" s="583">
        <v>103024</v>
      </c>
      <c r="X348" s="583">
        <v>0</v>
      </c>
      <c r="Y348" s="583">
        <v>230496</v>
      </c>
      <c r="Z348" s="583">
        <v>321614</v>
      </c>
      <c r="AA348" s="583">
        <v>1109242</v>
      </c>
      <c r="AB348" s="583">
        <v>10238</v>
      </c>
      <c r="AC348" s="583">
        <v>-321614</v>
      </c>
      <c r="AD348" s="583">
        <v>0</v>
      </c>
      <c r="AE348" s="583">
        <v>797866</v>
      </c>
      <c r="AF348" s="583">
        <v>0</v>
      </c>
      <c r="AG348" s="583">
        <v>219713</v>
      </c>
      <c r="AH348" s="583">
        <v>7256</v>
      </c>
      <c r="AI348" s="583">
        <v>10783</v>
      </c>
      <c r="AJ348" s="583">
        <v>0</v>
      </c>
      <c r="AK348" s="583">
        <v>237752</v>
      </c>
      <c r="AL348" s="583">
        <v>10783</v>
      </c>
      <c r="AM348" s="583">
        <v>436750</v>
      </c>
      <c r="AN348" s="583">
        <v>42400</v>
      </c>
      <c r="AO348" s="583">
        <v>-10783</v>
      </c>
      <c r="AP348" s="583">
        <v>0</v>
      </c>
      <c r="AQ348" s="583">
        <v>468367</v>
      </c>
      <c r="AR348" s="583">
        <v>0</v>
      </c>
      <c r="AS348" s="583">
        <v>144265</v>
      </c>
      <c r="AT348" s="583">
        <v>0</v>
      </c>
      <c r="AU348" s="583">
        <v>86231</v>
      </c>
      <c r="AV348" s="583">
        <v>0</v>
      </c>
      <c r="AW348" s="583">
        <v>230496</v>
      </c>
      <c r="AX348" s="583">
        <v>86231</v>
      </c>
      <c r="AY348" s="583">
        <v>279278</v>
      </c>
      <c r="AZ348" s="583">
        <v>10394</v>
      </c>
      <c r="BA348" s="583">
        <v>0</v>
      </c>
      <c r="BB348" s="583">
        <v>0</v>
      </c>
      <c r="BC348" s="583">
        <v>289672</v>
      </c>
      <c r="BD348" s="583">
        <v>86231</v>
      </c>
      <c r="BE348" s="583">
        <v>589264</v>
      </c>
      <c r="BF348" s="583">
        <v>0</v>
      </c>
      <c r="BG348" s="583">
        <v>-86231</v>
      </c>
      <c r="BH348" s="583">
        <v>0</v>
      </c>
      <c r="BI348" s="583">
        <v>503033</v>
      </c>
      <c r="BJ348" s="583">
        <v>0</v>
      </c>
      <c r="BK348" s="583">
        <v>218701</v>
      </c>
      <c r="BL348" s="583">
        <v>0</v>
      </c>
      <c r="BM348" s="583">
        <v>11795</v>
      </c>
      <c r="BN348" s="583">
        <v>0</v>
      </c>
      <c r="BO348" s="583">
        <v>230496</v>
      </c>
      <c r="BP348" s="583">
        <v>11795</v>
      </c>
      <c r="BQ348" s="583">
        <v>419092</v>
      </c>
      <c r="BR348" s="583">
        <v>68316</v>
      </c>
      <c r="BS348" s="583">
        <v>-11795</v>
      </c>
      <c r="BT348" s="583">
        <v>0</v>
      </c>
      <c r="BU348" s="583">
        <v>475613</v>
      </c>
      <c r="BV348" s="583">
        <v>0</v>
      </c>
    </row>
    <row r="349" spans="1:74" x14ac:dyDescent="0.2">
      <c r="A349" s="580">
        <v>16304</v>
      </c>
      <c r="B349" s="580" t="s">
        <v>405</v>
      </c>
      <c r="C349" s="583">
        <v>71741</v>
      </c>
      <c r="D349" s="583">
        <v>0</v>
      </c>
      <c r="E349" s="583">
        <v>42038</v>
      </c>
      <c r="F349" s="583">
        <v>0</v>
      </c>
      <c r="G349" s="583">
        <v>113779</v>
      </c>
      <c r="H349" s="583">
        <v>42038</v>
      </c>
      <c r="I349" s="583">
        <v>38149</v>
      </c>
      <c r="J349" s="583">
        <v>0</v>
      </c>
      <c r="K349" s="583">
        <v>75630</v>
      </c>
      <c r="L349" s="583">
        <v>0</v>
      </c>
      <c r="M349" s="583">
        <v>113779</v>
      </c>
      <c r="N349" s="583">
        <v>117668</v>
      </c>
      <c r="O349" s="583">
        <v>108832</v>
      </c>
      <c r="P349" s="583">
        <v>0</v>
      </c>
      <c r="Q349" s="583">
        <v>0</v>
      </c>
      <c r="R349" s="583">
        <v>0</v>
      </c>
      <c r="S349" s="583">
        <v>108832</v>
      </c>
      <c r="T349" s="583">
        <v>117668</v>
      </c>
      <c r="U349" s="583">
        <v>57788</v>
      </c>
      <c r="V349" s="583">
        <v>0</v>
      </c>
      <c r="W349" s="583">
        <v>55991</v>
      </c>
      <c r="X349" s="583">
        <v>0</v>
      </c>
      <c r="Y349" s="583">
        <v>113779</v>
      </c>
      <c r="Z349" s="583">
        <v>173659</v>
      </c>
      <c r="AA349" s="583">
        <v>502862</v>
      </c>
      <c r="AB349" s="583">
        <v>4641</v>
      </c>
      <c r="AC349" s="583">
        <v>-173659</v>
      </c>
      <c r="AD349" s="583">
        <v>0</v>
      </c>
      <c r="AE349" s="583">
        <v>333844</v>
      </c>
      <c r="AF349" s="583">
        <v>0</v>
      </c>
      <c r="AG349" s="583">
        <v>99604</v>
      </c>
      <c r="AH349" s="583">
        <v>3289</v>
      </c>
      <c r="AI349" s="583">
        <v>14175</v>
      </c>
      <c r="AJ349" s="583">
        <v>0</v>
      </c>
      <c r="AK349" s="583">
        <v>117068</v>
      </c>
      <c r="AL349" s="583">
        <v>14175</v>
      </c>
      <c r="AM349" s="583">
        <v>197995</v>
      </c>
      <c r="AN349" s="583">
        <v>19222</v>
      </c>
      <c r="AO349" s="583">
        <v>-14175</v>
      </c>
      <c r="AP349" s="583">
        <v>0</v>
      </c>
      <c r="AQ349" s="583">
        <v>203042</v>
      </c>
      <c r="AR349" s="583">
        <v>0</v>
      </c>
      <c r="AS349" s="583">
        <v>65401</v>
      </c>
      <c r="AT349" s="583">
        <v>0</v>
      </c>
      <c r="AU349" s="583">
        <v>48378</v>
      </c>
      <c r="AV349" s="583">
        <v>0</v>
      </c>
      <c r="AW349" s="583">
        <v>113779</v>
      </c>
      <c r="AX349" s="583">
        <v>48378</v>
      </c>
      <c r="AY349" s="583">
        <v>126607</v>
      </c>
      <c r="AZ349" s="583">
        <v>4712</v>
      </c>
      <c r="BA349" s="583">
        <v>0</v>
      </c>
      <c r="BB349" s="583">
        <v>0</v>
      </c>
      <c r="BC349" s="583">
        <v>131319</v>
      </c>
      <c r="BD349" s="583">
        <v>48378</v>
      </c>
      <c r="BE349" s="583">
        <v>267136</v>
      </c>
      <c r="BF349" s="583">
        <v>0</v>
      </c>
      <c r="BG349" s="583">
        <v>-48378</v>
      </c>
      <c r="BH349" s="583">
        <v>0</v>
      </c>
      <c r="BI349" s="583">
        <v>218758</v>
      </c>
      <c r="BJ349" s="583">
        <v>0</v>
      </c>
      <c r="BK349" s="583">
        <v>99146</v>
      </c>
      <c r="BL349" s="583">
        <v>0</v>
      </c>
      <c r="BM349" s="583">
        <v>14633</v>
      </c>
      <c r="BN349" s="583">
        <v>0</v>
      </c>
      <c r="BO349" s="583">
        <v>113779</v>
      </c>
      <c r="BP349" s="583">
        <v>14633</v>
      </c>
      <c r="BQ349" s="583">
        <v>189991</v>
      </c>
      <c r="BR349" s="583">
        <v>30970</v>
      </c>
      <c r="BS349" s="583">
        <v>-14633</v>
      </c>
      <c r="BT349" s="583">
        <v>0</v>
      </c>
      <c r="BU349" s="583">
        <v>206328</v>
      </c>
      <c r="BV349" s="583">
        <v>0</v>
      </c>
    </row>
    <row r="350" spans="1:74" x14ac:dyDescent="0.2">
      <c r="A350" s="580">
        <v>16305</v>
      </c>
      <c r="B350" s="580" t="s">
        <v>406</v>
      </c>
      <c r="C350" s="583">
        <v>101309</v>
      </c>
      <c r="D350" s="583">
        <v>0</v>
      </c>
      <c r="E350" s="583">
        <v>65661</v>
      </c>
      <c r="F350" s="583">
        <v>0</v>
      </c>
      <c r="G350" s="583">
        <v>166970</v>
      </c>
      <c r="H350" s="583">
        <v>65661</v>
      </c>
      <c r="I350" s="583">
        <v>53873</v>
      </c>
      <c r="J350" s="583">
        <v>0</v>
      </c>
      <c r="K350" s="583">
        <v>113097</v>
      </c>
      <c r="L350" s="583">
        <v>0</v>
      </c>
      <c r="M350" s="583">
        <v>166970</v>
      </c>
      <c r="N350" s="583">
        <v>178758</v>
      </c>
      <c r="O350" s="583">
        <v>153687</v>
      </c>
      <c r="P350" s="583">
        <v>0</v>
      </c>
      <c r="Q350" s="583">
        <v>0</v>
      </c>
      <c r="R350" s="583">
        <v>0</v>
      </c>
      <c r="S350" s="583">
        <v>153687</v>
      </c>
      <c r="T350" s="583">
        <v>178758</v>
      </c>
      <c r="U350" s="583">
        <v>81605</v>
      </c>
      <c r="V350" s="583">
        <v>0</v>
      </c>
      <c r="W350" s="583">
        <v>85365</v>
      </c>
      <c r="X350" s="583">
        <v>0</v>
      </c>
      <c r="Y350" s="583">
        <v>166970</v>
      </c>
      <c r="Z350" s="583">
        <v>264123</v>
      </c>
      <c r="AA350" s="583">
        <v>710120</v>
      </c>
      <c r="AB350" s="583">
        <v>6554</v>
      </c>
      <c r="AC350" s="583">
        <v>-264123</v>
      </c>
      <c r="AD350" s="583">
        <v>0</v>
      </c>
      <c r="AE350" s="583">
        <v>452551</v>
      </c>
      <c r="AF350" s="583">
        <v>0</v>
      </c>
      <c r="AG350" s="583">
        <v>140657</v>
      </c>
      <c r="AH350" s="583">
        <v>4645</v>
      </c>
      <c r="AI350" s="583">
        <v>26313</v>
      </c>
      <c r="AJ350" s="583">
        <v>0</v>
      </c>
      <c r="AK350" s="583">
        <v>171615</v>
      </c>
      <c r="AL350" s="583">
        <v>26313</v>
      </c>
      <c r="AM350" s="583">
        <v>279600</v>
      </c>
      <c r="AN350" s="583">
        <v>27144</v>
      </c>
      <c r="AO350" s="583">
        <v>-25975</v>
      </c>
      <c r="AP350" s="583">
        <v>0</v>
      </c>
      <c r="AQ350" s="583">
        <v>280769</v>
      </c>
      <c r="AR350" s="583">
        <v>338</v>
      </c>
      <c r="AS350" s="583">
        <v>92356</v>
      </c>
      <c r="AT350" s="583">
        <v>0</v>
      </c>
      <c r="AU350" s="583">
        <v>74614</v>
      </c>
      <c r="AV350" s="583">
        <v>0</v>
      </c>
      <c r="AW350" s="583">
        <v>166970</v>
      </c>
      <c r="AX350" s="583">
        <v>74952</v>
      </c>
      <c r="AY350" s="583">
        <v>178789</v>
      </c>
      <c r="AZ350" s="583">
        <v>6654</v>
      </c>
      <c r="BA350" s="583">
        <v>0</v>
      </c>
      <c r="BB350" s="583">
        <v>0</v>
      </c>
      <c r="BC350" s="583">
        <v>185443</v>
      </c>
      <c r="BD350" s="583">
        <v>74952</v>
      </c>
      <c r="BE350" s="583">
        <v>377238</v>
      </c>
      <c r="BF350" s="583">
        <v>0</v>
      </c>
      <c r="BG350" s="583">
        <v>-74952</v>
      </c>
      <c r="BH350" s="583">
        <v>0</v>
      </c>
      <c r="BI350" s="583">
        <v>302286</v>
      </c>
      <c r="BJ350" s="583">
        <v>0</v>
      </c>
      <c r="BK350" s="583">
        <v>140009</v>
      </c>
      <c r="BL350" s="583">
        <v>0</v>
      </c>
      <c r="BM350" s="583">
        <v>26961</v>
      </c>
      <c r="BN350" s="583">
        <v>0</v>
      </c>
      <c r="BO350" s="583">
        <v>166970</v>
      </c>
      <c r="BP350" s="583">
        <v>26961</v>
      </c>
      <c r="BQ350" s="583">
        <v>268296</v>
      </c>
      <c r="BR350" s="583">
        <v>43735</v>
      </c>
      <c r="BS350" s="583">
        <v>-26961</v>
      </c>
      <c r="BT350" s="583">
        <v>0</v>
      </c>
      <c r="BU350" s="583">
        <v>285070</v>
      </c>
      <c r="BV350" s="583">
        <v>0</v>
      </c>
    </row>
    <row r="351" spans="1:74" x14ac:dyDescent="0.2"/>
  </sheetData>
  <sheetProtection algorithmName="SHA-512" hashValue="G665rPTMd/VaIGruF1I5KttcoF6PeodAqTGLlyQPs3zUTok0NoRYkm/rZLrCAQ0YLrS6Q1JLkesEsRk35Zwoxg==" saltValue="/4SGpxCIOvEYmlCPVhlrxg==" spinCount="100000" sheet="1" objects="1" scenarios="1"/>
  <conditionalFormatting sqref="G3">
    <cfRule type="expression" dxfId="13" priority="7">
      <formula>"I4&gt;0"</formula>
    </cfRule>
  </conditionalFormatting>
  <conditionalFormatting sqref="M3">
    <cfRule type="expression" dxfId="12" priority="6">
      <formula>"I4&gt;0"</formula>
    </cfRule>
  </conditionalFormatting>
  <conditionalFormatting sqref="S3">
    <cfRule type="expression" dxfId="11" priority="5">
      <formula>"I4&gt;0"</formula>
    </cfRule>
  </conditionalFormatting>
  <conditionalFormatting sqref="Y3">
    <cfRule type="expression" dxfId="10" priority="4">
      <formula>"I4&gt;0"</formula>
    </cfRule>
  </conditionalFormatting>
  <conditionalFormatting sqref="AE3">
    <cfRule type="expression" dxfId="9" priority="3">
      <formula>"I4&gt;0"</formula>
    </cfRule>
  </conditionalFormatting>
  <conditionalFormatting sqref="AK3">
    <cfRule type="expression" dxfId="8" priority="2">
      <formula>"I4&gt;0"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17A7B-3303-43AC-AE31-97AE02F1FB1E}">
  <sheetPr codeName="Hoja10">
    <tabColor rgb="FFFF0000"/>
    <pageSetUpPr fitToPage="1"/>
  </sheetPr>
  <dimension ref="A1:L347"/>
  <sheetViews>
    <sheetView showOutlineSymbols="0" showWhiteSpace="0" workbookViewId="0">
      <selection sqref="A1:XFD1048576"/>
    </sheetView>
  </sheetViews>
  <sheetFormatPr baseColWidth="10" defaultRowHeight="3" customHeight="1" x14ac:dyDescent="0.25"/>
  <cols>
    <col min="1" max="1" width="23.5703125" bestFit="1" customWidth="1"/>
    <col min="2" max="2" width="20.5703125" customWidth="1"/>
    <col min="3" max="3" width="20.5703125" style="31" customWidth="1"/>
    <col min="4" max="4" width="17.85546875" style="6" bestFit="1" customWidth="1"/>
    <col min="5" max="5" width="20.5703125" style="31" customWidth="1"/>
    <col min="6" max="6" width="17.85546875" style="6" bestFit="1" customWidth="1"/>
    <col min="11" max="11" width="19.5703125" bestFit="1" customWidth="1"/>
    <col min="12" max="12" width="43.28515625" bestFit="1" customWidth="1"/>
  </cols>
  <sheetData>
    <row r="1" spans="1:12" ht="3" customHeight="1" thickBot="1" x14ac:dyDescent="0.3">
      <c r="A1" s="372" t="s">
        <v>544</v>
      </c>
      <c r="B1" s="381" t="s">
        <v>1028</v>
      </c>
      <c r="C1" s="384" t="s">
        <v>1029</v>
      </c>
      <c r="D1" s="385" t="s">
        <v>1030</v>
      </c>
      <c r="E1" s="384" t="s">
        <v>1033</v>
      </c>
      <c r="F1" s="385" t="s">
        <v>1030</v>
      </c>
      <c r="I1" t="s">
        <v>1085</v>
      </c>
      <c r="J1" t="s">
        <v>1087</v>
      </c>
      <c r="L1" t="s">
        <v>1088</v>
      </c>
    </row>
    <row r="2" spans="1:12" ht="3" customHeight="1" x14ac:dyDescent="0.25">
      <c r="A2" s="1" t="s">
        <v>119</v>
      </c>
      <c r="B2" s="369">
        <v>928111594</v>
      </c>
      <c r="C2" s="382">
        <v>2983695256</v>
      </c>
      <c r="D2" s="383">
        <f t="shared" ref="D2:D46" si="0">IFERROR(C2/B2,1)</f>
        <v>3.2148022665472702</v>
      </c>
      <c r="E2" s="382">
        <f>VLOOKUP(A2,COEFyDISTR_MINERO!$C$8:$Z$354,24,0)</f>
        <v>2618604690</v>
      </c>
      <c r="F2" s="383">
        <f>IFERROR(E2/B2,1)</f>
        <v>2.8214330118582702</v>
      </c>
      <c r="I2" t="s">
        <v>1086</v>
      </c>
      <c r="L2" t="s">
        <v>1089</v>
      </c>
    </row>
    <row r="3" spans="1:12" ht="3" customHeight="1" x14ac:dyDescent="0.25">
      <c r="A3" s="1" t="s">
        <v>78</v>
      </c>
      <c r="B3" s="369">
        <v>652461932</v>
      </c>
      <c r="C3" s="369">
        <v>1733810329</v>
      </c>
      <c r="D3" s="370">
        <f t="shared" si="0"/>
        <v>2.6573356144860876</v>
      </c>
      <c r="E3" s="369">
        <f>VLOOKUP(A3,COEFyDISTR_MINERO!$C$8:$Z$354,24,0)</f>
        <v>1823207765</v>
      </c>
      <c r="F3" s="370">
        <f t="shared" ref="F3:F46" si="1">IFERROR(E3/B3,1)</f>
        <v>2.7943511729662105</v>
      </c>
      <c r="I3">
        <v>1101</v>
      </c>
      <c r="J3" t="s">
        <v>1037</v>
      </c>
      <c r="K3" t="s">
        <v>1038</v>
      </c>
      <c r="L3" s="391">
        <v>2E-3</v>
      </c>
    </row>
    <row r="4" spans="1:12" ht="3" customHeight="1" x14ac:dyDescent="0.25">
      <c r="A4" s="1" t="s">
        <v>56</v>
      </c>
      <c r="B4" s="369">
        <v>309876111</v>
      </c>
      <c r="C4" s="369">
        <v>781920093</v>
      </c>
      <c r="D4" s="370">
        <f t="shared" si="0"/>
        <v>2.5233313096536185</v>
      </c>
      <c r="E4" s="369">
        <f>VLOOKUP(A4,COEFyDISTR_MINERO!$C$8:$Z$354,24,0)</f>
        <v>0</v>
      </c>
      <c r="F4" s="370">
        <f t="shared" si="1"/>
        <v>0</v>
      </c>
      <c r="I4">
        <v>1405</v>
      </c>
      <c r="J4" t="s">
        <v>1037</v>
      </c>
      <c r="K4" t="s">
        <v>1039</v>
      </c>
      <c r="L4" s="391">
        <v>1.97566785E-3</v>
      </c>
    </row>
    <row r="5" spans="1:12" ht="3" customHeight="1" x14ac:dyDescent="0.25">
      <c r="A5" s="1" t="s">
        <v>69</v>
      </c>
      <c r="B5" s="369">
        <v>242257343</v>
      </c>
      <c r="C5" s="369">
        <v>581453282</v>
      </c>
      <c r="D5" s="370">
        <f t="shared" si="0"/>
        <v>2.4001471938871219</v>
      </c>
      <c r="E5" s="369">
        <f>VLOOKUP(A5,COEFyDISTR_MINERO!$C$8:$Z$354,24,0)</f>
        <v>576381092</v>
      </c>
      <c r="F5" s="370">
        <f t="shared" si="1"/>
        <v>2.3792099957110486</v>
      </c>
      <c r="I5">
        <v>2101</v>
      </c>
      <c r="J5" t="s">
        <v>1040</v>
      </c>
      <c r="K5" t="s">
        <v>1040</v>
      </c>
      <c r="L5" s="391">
        <v>1.3631078749999999E-2</v>
      </c>
    </row>
    <row r="6" spans="1:12" ht="3" customHeight="1" x14ac:dyDescent="0.25">
      <c r="A6" s="1" t="s">
        <v>68</v>
      </c>
      <c r="B6" s="369">
        <v>2163944957</v>
      </c>
      <c r="C6" s="369">
        <v>5181516849</v>
      </c>
      <c r="D6" s="370">
        <f t="shared" si="0"/>
        <v>2.3944771941812379</v>
      </c>
      <c r="E6" s="369">
        <f>VLOOKUP(A6,COEFyDISTR_MINERO!$C$8:$Z$354,24,0)</f>
        <v>4525483433</v>
      </c>
      <c r="F6" s="370">
        <f t="shared" si="1"/>
        <v>2.0913117121398206</v>
      </c>
      <c r="I6">
        <v>2102</v>
      </c>
      <c r="J6" t="s">
        <v>1040</v>
      </c>
      <c r="K6" t="s">
        <v>1041</v>
      </c>
      <c r="L6" s="391">
        <v>3.9744338099999997E-3</v>
      </c>
    </row>
    <row r="7" spans="1:12" ht="3" customHeight="1" x14ac:dyDescent="0.25">
      <c r="A7" s="1" t="s">
        <v>116</v>
      </c>
      <c r="B7" s="369">
        <v>249211648</v>
      </c>
      <c r="C7" s="369">
        <v>586590244</v>
      </c>
      <c r="D7" s="370">
        <f t="shared" si="0"/>
        <v>2.3537834154525554</v>
      </c>
      <c r="E7" s="369">
        <f>VLOOKUP(A7,COEFyDISTR_MINERO!$C$8:$Z$354,24,0)</f>
        <v>594996263</v>
      </c>
      <c r="F7" s="370">
        <f t="shared" si="1"/>
        <v>2.3875138572977135</v>
      </c>
      <c r="I7">
        <v>2103</v>
      </c>
      <c r="J7" t="s">
        <v>1040</v>
      </c>
      <c r="K7" t="s">
        <v>1042</v>
      </c>
      <c r="L7" s="391">
        <v>6.3994854499999998E-3</v>
      </c>
    </row>
    <row r="8" spans="1:12" ht="3" customHeight="1" x14ac:dyDescent="0.25">
      <c r="A8" s="1" t="s">
        <v>67</v>
      </c>
      <c r="B8" s="369">
        <v>355324699</v>
      </c>
      <c r="C8" s="369">
        <v>832376978</v>
      </c>
      <c r="D8" s="370">
        <f t="shared" si="0"/>
        <v>2.3425812512965782</v>
      </c>
      <c r="E8" s="369">
        <f>VLOOKUP(A8,COEFyDISTR_MINERO!$C$8:$Z$354,24,0)</f>
        <v>850084666</v>
      </c>
      <c r="F8" s="370">
        <f t="shared" si="1"/>
        <v>2.3924164810169866</v>
      </c>
      <c r="I8">
        <v>2104</v>
      </c>
      <c r="J8" t="s">
        <v>1040</v>
      </c>
      <c r="K8" t="s">
        <v>1043</v>
      </c>
      <c r="L8" s="391">
        <v>6.4944330799999997E-3</v>
      </c>
    </row>
    <row r="9" spans="1:12" ht="3" customHeight="1" x14ac:dyDescent="0.25">
      <c r="A9" s="1" t="s">
        <v>80</v>
      </c>
      <c r="B9" s="369">
        <v>639647175</v>
      </c>
      <c r="C9" s="369">
        <v>1489450171</v>
      </c>
      <c r="D9" s="370">
        <f t="shared" si="0"/>
        <v>2.3285495961113249</v>
      </c>
      <c r="E9" s="369">
        <f>VLOOKUP(A9,COEFyDISTR_MINERO!$C$8:$Z$354,24,0)</f>
        <v>1528037306</v>
      </c>
      <c r="F9" s="370">
        <f t="shared" si="1"/>
        <v>2.3888752514227862</v>
      </c>
      <c r="I9">
        <v>2201</v>
      </c>
      <c r="J9" t="s">
        <v>1040</v>
      </c>
      <c r="K9" t="s">
        <v>1044</v>
      </c>
      <c r="L9" s="391">
        <v>6.1189439839999998E-2</v>
      </c>
    </row>
    <row r="10" spans="1:12" ht="3" customHeight="1" x14ac:dyDescent="0.25">
      <c r="A10" s="1" t="s">
        <v>54</v>
      </c>
      <c r="B10" s="369">
        <v>454354142</v>
      </c>
      <c r="C10" s="369">
        <v>1057804510</v>
      </c>
      <c r="D10" s="370">
        <f t="shared" si="0"/>
        <v>2.3281498113865551</v>
      </c>
      <c r="E10" s="369">
        <f>VLOOKUP(A10,COEFyDISTR_MINERO!$C$8:$Z$354,24,0)</f>
        <v>1042243752</v>
      </c>
      <c r="F10" s="370">
        <f t="shared" si="1"/>
        <v>2.2939017291934363</v>
      </c>
      <c r="I10">
        <v>2202</v>
      </c>
      <c r="J10" t="s">
        <v>1040</v>
      </c>
      <c r="K10" t="s">
        <v>1045</v>
      </c>
      <c r="L10" s="391">
        <v>4.3795619999999999E-4</v>
      </c>
    </row>
    <row r="11" spans="1:12" ht="3" customHeight="1" x14ac:dyDescent="0.25">
      <c r="A11" s="1" t="s">
        <v>72</v>
      </c>
      <c r="B11" s="369">
        <v>306686316</v>
      </c>
      <c r="C11" s="369">
        <v>713873234</v>
      </c>
      <c r="D11" s="370">
        <f t="shared" si="0"/>
        <v>2.3276983574317676</v>
      </c>
      <c r="E11" s="369">
        <f>VLOOKUP(A11,COEFyDISTR_MINERO!$C$8:$Z$354,24,0)</f>
        <v>710109876</v>
      </c>
      <c r="F11" s="370">
        <f t="shared" si="1"/>
        <v>2.3154273241196717</v>
      </c>
      <c r="I11">
        <v>2203</v>
      </c>
      <c r="J11" t="s">
        <v>1040</v>
      </c>
      <c r="K11" t="s">
        <v>1046</v>
      </c>
      <c r="L11" s="391">
        <v>8.7591240999999995E-4</v>
      </c>
    </row>
    <row r="12" spans="1:12" ht="3" customHeight="1" x14ac:dyDescent="0.25">
      <c r="A12" s="1" t="s">
        <v>71</v>
      </c>
      <c r="B12" s="369">
        <v>581054091</v>
      </c>
      <c r="C12" s="369">
        <v>1351699992</v>
      </c>
      <c r="D12" s="370">
        <f t="shared" si="0"/>
        <v>2.3262894331811874</v>
      </c>
      <c r="E12" s="369">
        <f>VLOOKUP(A12,COEFyDISTR_MINERO!$C$8:$Z$354,24,0)</f>
        <v>1331516478</v>
      </c>
      <c r="F12" s="370">
        <f t="shared" si="1"/>
        <v>2.2915534003184566</v>
      </c>
      <c r="I12">
        <v>2301</v>
      </c>
      <c r="J12" t="s">
        <v>1040</v>
      </c>
      <c r="K12" t="s">
        <v>1047</v>
      </c>
      <c r="L12" s="391">
        <v>3.1162790700000002E-3</v>
      </c>
    </row>
    <row r="13" spans="1:12" ht="3" customHeight="1" x14ac:dyDescent="0.25">
      <c r="A13" s="1" t="s">
        <v>374</v>
      </c>
      <c r="B13" s="369">
        <v>257268548</v>
      </c>
      <c r="C13" s="369">
        <v>590156349</v>
      </c>
      <c r="D13" s="370">
        <f t="shared" si="0"/>
        <v>2.2939311998604666</v>
      </c>
      <c r="E13" s="369">
        <f>VLOOKUP(A13,COEFyDISTR_MINERO!$C$8:$Z$354,24,0)</f>
        <v>586985138</v>
      </c>
      <c r="F13" s="370">
        <f t="shared" si="1"/>
        <v>2.2816047377855142</v>
      </c>
      <c r="I13">
        <v>2302</v>
      </c>
      <c r="J13" t="s">
        <v>1040</v>
      </c>
      <c r="K13" t="s">
        <v>1048</v>
      </c>
      <c r="L13" s="391">
        <v>1.55423527E-3</v>
      </c>
    </row>
    <row r="14" spans="1:12" ht="3" customHeight="1" x14ac:dyDescent="0.25">
      <c r="A14" s="1" t="s">
        <v>66</v>
      </c>
      <c r="B14" s="369">
        <v>303824679</v>
      </c>
      <c r="C14" s="369">
        <v>696055325</v>
      </c>
      <c r="D14" s="370">
        <f t="shared" si="0"/>
        <v>2.2909769123791288</v>
      </c>
      <c r="E14" s="369">
        <f>VLOOKUP(A14,COEFyDISTR_MINERO!$C$8:$Z$354,24,0)</f>
        <v>754508351</v>
      </c>
      <c r="F14" s="370">
        <f t="shared" si="1"/>
        <v>2.4833675575116794</v>
      </c>
      <c r="I14">
        <v>3102</v>
      </c>
      <c r="J14" t="s">
        <v>1049</v>
      </c>
      <c r="K14" t="s">
        <v>1050</v>
      </c>
      <c r="L14" s="391">
        <v>3.0312283299999999E-3</v>
      </c>
    </row>
    <row r="15" spans="1:12" ht="3" customHeight="1" x14ac:dyDescent="0.25">
      <c r="A15" s="1" t="s">
        <v>106</v>
      </c>
      <c r="B15" s="369">
        <v>441837544</v>
      </c>
      <c r="C15" s="369">
        <v>1005371426</v>
      </c>
      <c r="D15" s="370">
        <f t="shared" si="0"/>
        <v>2.2754323159102117</v>
      </c>
      <c r="E15" s="369">
        <f>VLOOKUP(A15,COEFyDISTR_MINERO!$C$8:$Z$354,24,0)</f>
        <v>983084117</v>
      </c>
      <c r="F15" s="370">
        <f t="shared" si="1"/>
        <v>2.2249899999444138</v>
      </c>
      <c r="I15">
        <v>3201</v>
      </c>
      <c r="J15" t="s">
        <v>1049</v>
      </c>
      <c r="K15" t="s">
        <v>1051</v>
      </c>
      <c r="L15" s="391">
        <v>6.6990135099999999E-3</v>
      </c>
    </row>
    <row r="16" spans="1:12" ht="3" customHeight="1" x14ac:dyDescent="0.25">
      <c r="A16" s="1" t="s">
        <v>499</v>
      </c>
      <c r="B16" s="369">
        <v>354456946</v>
      </c>
      <c r="C16" s="369">
        <v>801596018</v>
      </c>
      <c r="D16" s="370">
        <f t="shared" si="0"/>
        <v>2.261476399449653</v>
      </c>
      <c r="E16" s="369">
        <f>VLOOKUP(A16,COEFyDISTR_MINERO!$C$8:$Z$354,24,0)</f>
        <v>766296177</v>
      </c>
      <c r="F16" s="370">
        <f t="shared" si="1"/>
        <v>2.1618878841211933</v>
      </c>
      <c r="I16">
        <v>3101</v>
      </c>
      <c r="J16" t="s">
        <v>1049</v>
      </c>
      <c r="K16" t="s">
        <v>1052</v>
      </c>
      <c r="L16" s="391">
        <v>3.3100649449999998E-2</v>
      </c>
    </row>
    <row r="17" spans="1:12" ht="3" customHeight="1" x14ac:dyDescent="0.25">
      <c r="A17" s="1" t="s">
        <v>55</v>
      </c>
      <c r="B17" s="369">
        <v>249164945</v>
      </c>
      <c r="C17" s="369">
        <v>561287420</v>
      </c>
      <c r="D17" s="370">
        <f t="shared" si="0"/>
        <v>2.2526741071060377</v>
      </c>
      <c r="E17" s="369">
        <f>VLOOKUP(A17,COEFyDISTR_MINERO!$C$8:$Z$354,24,0)</f>
        <v>634297206</v>
      </c>
      <c r="F17" s="370">
        <f t="shared" si="1"/>
        <v>2.5456919953165964</v>
      </c>
      <c r="I17">
        <v>3202</v>
      </c>
      <c r="J17" t="s">
        <v>1049</v>
      </c>
      <c r="K17" t="s">
        <v>1053</v>
      </c>
      <c r="L17" s="391">
        <v>1.472477447E-2</v>
      </c>
    </row>
    <row r="18" spans="1:12" ht="3" customHeight="1" x14ac:dyDescent="0.25">
      <c r="A18" s="1" t="s">
        <v>70</v>
      </c>
      <c r="B18" s="369">
        <v>390145975</v>
      </c>
      <c r="C18" s="369">
        <v>877881086</v>
      </c>
      <c r="D18" s="370">
        <f t="shared" si="0"/>
        <v>2.2501349296247386</v>
      </c>
      <c r="E18" s="369">
        <f>VLOOKUP(A18,COEFyDISTR_MINERO!$C$8:$Z$354,24,0)</f>
        <v>915390817</v>
      </c>
      <c r="F18" s="370">
        <f t="shared" si="1"/>
        <v>2.3462777412992661</v>
      </c>
      <c r="I18">
        <v>3303</v>
      </c>
      <c r="J18" t="s">
        <v>1049</v>
      </c>
      <c r="K18" t="s">
        <v>1054</v>
      </c>
      <c r="L18" s="391">
        <v>6.4217744999999996E-3</v>
      </c>
    </row>
    <row r="19" spans="1:12" ht="3" customHeight="1" x14ac:dyDescent="0.25">
      <c r="A19" s="386" t="s">
        <v>144</v>
      </c>
      <c r="B19" s="387">
        <v>223716003</v>
      </c>
      <c r="C19" s="387">
        <v>501642902</v>
      </c>
      <c r="D19" s="388">
        <f t="shared" si="0"/>
        <v>2.2423201526624807</v>
      </c>
      <c r="E19" s="387">
        <f>VLOOKUP(A19,COEFyDISTR_MINERO!$C$8:$Z$354,24,0)</f>
        <v>512340072</v>
      </c>
      <c r="F19" s="388">
        <f t="shared" si="1"/>
        <v>2.2901359988985677</v>
      </c>
      <c r="I19">
        <v>3304</v>
      </c>
      <c r="J19" t="s">
        <v>1049</v>
      </c>
      <c r="K19" t="s">
        <v>1055</v>
      </c>
      <c r="L19" s="391">
        <v>3.4385823699999998E-2</v>
      </c>
    </row>
    <row r="20" spans="1:12" ht="3" customHeight="1" x14ac:dyDescent="0.25">
      <c r="A20" s="1" t="s">
        <v>76</v>
      </c>
      <c r="B20" s="369">
        <v>373199418</v>
      </c>
      <c r="C20" s="369">
        <v>833610983</v>
      </c>
      <c r="D20" s="370">
        <f t="shared" si="0"/>
        <v>2.233687789405931</v>
      </c>
      <c r="E20" s="369">
        <f>VLOOKUP(A20,COEFyDISTR_MINERO!$C$8:$Z$354,24,0)</f>
        <v>2434912180</v>
      </c>
      <c r="F20" s="370">
        <f t="shared" si="1"/>
        <v>6.5244265198720113</v>
      </c>
      <c r="I20">
        <v>3103</v>
      </c>
      <c r="J20" t="s">
        <v>1049</v>
      </c>
      <c r="K20" t="s">
        <v>1056</v>
      </c>
      <c r="L20" s="391">
        <v>3.2045229670000001E-2</v>
      </c>
    </row>
    <row r="21" spans="1:12" ht="3" customHeight="1" x14ac:dyDescent="0.25">
      <c r="A21" s="1" t="s">
        <v>79</v>
      </c>
      <c r="B21" s="369">
        <v>319734176</v>
      </c>
      <c r="C21" s="369">
        <v>705814560</v>
      </c>
      <c r="D21" s="370">
        <f t="shared" si="0"/>
        <v>2.2075042738002457</v>
      </c>
      <c r="E21" s="369">
        <f>VLOOKUP(A21,COEFyDISTR_MINERO!$C$8:$Z$354,24,0)</f>
        <v>731325253</v>
      </c>
      <c r="F21" s="370">
        <f t="shared" si="1"/>
        <v>2.2872914686480059</v>
      </c>
      <c r="I21">
        <v>3301</v>
      </c>
      <c r="J21" t="s">
        <v>1049</v>
      </c>
      <c r="K21" t="s">
        <v>1057</v>
      </c>
      <c r="L21" s="391">
        <v>2.92776873E-3</v>
      </c>
    </row>
    <row r="22" spans="1:12" ht="3" customHeight="1" x14ac:dyDescent="0.25">
      <c r="A22" s="1" t="s">
        <v>81</v>
      </c>
      <c r="B22" s="369">
        <v>748037565</v>
      </c>
      <c r="C22" s="369">
        <v>1639067387</v>
      </c>
      <c r="D22" s="370">
        <f t="shared" si="0"/>
        <v>2.1911565189911286</v>
      </c>
      <c r="E22" s="369">
        <f>VLOOKUP(A22,COEFyDISTR_MINERO!$C$8:$Z$354,24,0)</f>
        <v>1676732586</v>
      </c>
      <c r="F22" s="370">
        <f t="shared" si="1"/>
        <v>2.2415085344009427</v>
      </c>
      <c r="I22">
        <v>4101</v>
      </c>
      <c r="J22" t="s">
        <v>1058</v>
      </c>
      <c r="K22" t="s">
        <v>1059</v>
      </c>
      <c r="L22" s="391">
        <v>6.3333750400000003E-3</v>
      </c>
    </row>
    <row r="23" spans="1:12" ht="3" customHeight="1" x14ac:dyDescent="0.25">
      <c r="A23" s="1" t="s">
        <v>91</v>
      </c>
      <c r="B23" s="369">
        <v>295740847</v>
      </c>
      <c r="C23" s="369">
        <v>647221530</v>
      </c>
      <c r="D23" s="370">
        <f t="shared" si="0"/>
        <v>2.1884752700393801</v>
      </c>
      <c r="E23" s="369">
        <f>VLOOKUP(A23,COEFyDISTR_MINERO!$C$8:$Z$354,24,0)</f>
        <v>655964217</v>
      </c>
      <c r="F23" s="370">
        <f t="shared" si="1"/>
        <v>2.2180372567878659</v>
      </c>
      <c r="I23">
        <v>4102</v>
      </c>
      <c r="J23" t="s">
        <v>1058</v>
      </c>
      <c r="K23" t="s">
        <v>1058</v>
      </c>
      <c r="L23" s="391">
        <v>6.07581979E-3</v>
      </c>
    </row>
    <row r="24" spans="1:12" ht="3" customHeight="1" x14ac:dyDescent="0.25">
      <c r="A24" s="1" t="s">
        <v>375</v>
      </c>
      <c r="B24" s="369">
        <v>1337548455</v>
      </c>
      <c r="C24" s="369">
        <v>2911006579</v>
      </c>
      <c r="D24" s="370">
        <f t="shared" si="0"/>
        <v>2.1763746712263967</v>
      </c>
      <c r="E24" s="369">
        <f>VLOOKUP(A24,COEFyDISTR_MINERO!$C$8:$Z$354,24,0)</f>
        <v>2984341917</v>
      </c>
      <c r="F24" s="370">
        <f t="shared" si="1"/>
        <v>2.2312028441616345</v>
      </c>
      <c r="I24">
        <v>4103</v>
      </c>
      <c r="J24" t="s">
        <v>1058</v>
      </c>
      <c r="K24" t="s">
        <v>1060</v>
      </c>
      <c r="L24" s="391">
        <v>2.17949783E-2</v>
      </c>
    </row>
    <row r="25" spans="1:12" ht="3" customHeight="1" x14ac:dyDescent="0.25">
      <c r="A25" s="1" t="s">
        <v>115</v>
      </c>
      <c r="B25" s="369">
        <v>567736282</v>
      </c>
      <c r="C25" s="369">
        <v>1231381444</v>
      </c>
      <c r="D25" s="370">
        <f t="shared" si="0"/>
        <v>2.1689320958352982</v>
      </c>
      <c r="E25" s="369">
        <f>VLOOKUP(A25,COEFyDISTR_MINERO!$C$8:$Z$354,24,0)</f>
        <v>1319309661</v>
      </c>
      <c r="F25" s="370">
        <f t="shared" si="1"/>
        <v>2.3238072020910581</v>
      </c>
      <c r="I25">
        <v>4104</v>
      </c>
      <c r="J25" t="s">
        <v>1058</v>
      </c>
      <c r="K25" t="s">
        <v>1061</v>
      </c>
      <c r="L25" s="391">
        <v>3.73600634E-3</v>
      </c>
    </row>
    <row r="26" spans="1:12" ht="3" customHeight="1" x14ac:dyDescent="0.25">
      <c r="A26" s="1" t="s">
        <v>74</v>
      </c>
      <c r="B26" s="369">
        <v>470004606</v>
      </c>
      <c r="C26" s="369">
        <v>1015928119</v>
      </c>
      <c r="D26" s="370">
        <f t="shared" si="0"/>
        <v>2.1615280063872397</v>
      </c>
      <c r="E26" s="369">
        <f>VLOOKUP(A26,COEFyDISTR_MINERO!$C$8:$Z$354,24,0)</f>
        <v>1064682750</v>
      </c>
      <c r="F26" s="370">
        <f t="shared" si="1"/>
        <v>2.2652602472580874</v>
      </c>
      <c r="I26">
        <v>4201</v>
      </c>
      <c r="J26" t="s">
        <v>1058</v>
      </c>
      <c r="K26" t="s">
        <v>1062</v>
      </c>
      <c r="L26" s="391">
        <v>7.2114298100000003E-3</v>
      </c>
    </row>
    <row r="27" spans="1:12" ht="3" customHeight="1" x14ac:dyDescent="0.25">
      <c r="A27" s="1" t="s">
        <v>87</v>
      </c>
      <c r="B27" s="369">
        <v>443291903</v>
      </c>
      <c r="C27" s="369">
        <v>952656504</v>
      </c>
      <c r="D27" s="370">
        <f t="shared" si="0"/>
        <v>2.1490500899133274</v>
      </c>
      <c r="E27" s="369">
        <f>VLOOKUP(A27,COEFyDISTR_MINERO!$C$8:$Z$354,24,0)</f>
        <v>999278007</v>
      </c>
      <c r="F27" s="370">
        <f t="shared" si="1"/>
        <v>2.2542212033139708</v>
      </c>
      <c r="I27">
        <v>4202</v>
      </c>
      <c r="J27" t="s">
        <v>1058</v>
      </c>
      <c r="K27" t="s">
        <v>1063</v>
      </c>
      <c r="L27" s="391">
        <v>9.9644384999999992E-4</v>
      </c>
    </row>
    <row r="28" spans="1:12" ht="3" customHeight="1" x14ac:dyDescent="0.25">
      <c r="A28" s="1" t="s">
        <v>64</v>
      </c>
      <c r="B28" s="369">
        <v>992799311</v>
      </c>
      <c r="C28" s="369">
        <v>2127159350</v>
      </c>
      <c r="D28" s="370">
        <f t="shared" si="0"/>
        <v>2.1425874559254203</v>
      </c>
      <c r="E28" s="369">
        <f>VLOOKUP(A28,COEFyDISTR_MINERO!$C$8:$Z$354,24,0)</f>
        <v>2140268032</v>
      </c>
      <c r="F28" s="370">
        <f t="shared" si="1"/>
        <v>2.1557912140815336</v>
      </c>
      <c r="I28">
        <v>4203</v>
      </c>
      <c r="J28" t="s">
        <v>1058</v>
      </c>
      <c r="K28" t="s">
        <v>1064</v>
      </c>
      <c r="L28" s="391">
        <v>3.51729699E-3</v>
      </c>
    </row>
    <row r="29" spans="1:12" ht="3" customHeight="1" x14ac:dyDescent="0.25">
      <c r="A29" s="1" t="s">
        <v>89</v>
      </c>
      <c r="B29" s="369">
        <v>276816640</v>
      </c>
      <c r="C29" s="369">
        <v>591931988</v>
      </c>
      <c r="D29" s="370">
        <f t="shared" si="0"/>
        <v>2.1383540671543444</v>
      </c>
      <c r="E29" s="369">
        <f>VLOOKUP(A29,COEFyDISTR_MINERO!$C$8:$Z$354,24,0)</f>
        <v>615845855</v>
      </c>
      <c r="F29" s="370">
        <f t="shared" si="1"/>
        <v>2.224742902016295</v>
      </c>
      <c r="I29">
        <v>4204</v>
      </c>
      <c r="J29" t="s">
        <v>1058</v>
      </c>
      <c r="K29" t="s">
        <v>1065</v>
      </c>
      <c r="L29" s="391">
        <v>6.5777815599999999E-3</v>
      </c>
    </row>
    <row r="30" spans="1:12" ht="3" customHeight="1" x14ac:dyDescent="0.25">
      <c r="A30" s="1" t="s">
        <v>65</v>
      </c>
      <c r="B30" s="369">
        <v>335377558</v>
      </c>
      <c r="C30" s="369">
        <v>716026201</v>
      </c>
      <c r="D30" s="370">
        <f t="shared" si="0"/>
        <v>2.1349854333425613</v>
      </c>
      <c r="E30" s="369">
        <f>VLOOKUP(A30,COEFyDISTR_MINERO!$C$8:$Z$354,24,0)</f>
        <v>902576411</v>
      </c>
      <c r="F30" s="370">
        <f t="shared" si="1"/>
        <v>2.6912248284663103</v>
      </c>
      <c r="I30">
        <v>4302</v>
      </c>
      <c r="J30" t="s">
        <v>1058</v>
      </c>
      <c r="K30" t="s">
        <v>1066</v>
      </c>
      <c r="L30" s="391">
        <v>2.9936539499999999E-3</v>
      </c>
    </row>
    <row r="31" spans="1:12" ht="3" customHeight="1" x14ac:dyDescent="0.25">
      <c r="A31" s="1" t="s">
        <v>73</v>
      </c>
      <c r="B31" s="369">
        <v>1074114063</v>
      </c>
      <c r="C31" s="369">
        <v>2244163454</v>
      </c>
      <c r="D31" s="370">
        <f t="shared" si="0"/>
        <v>2.0893157731610486</v>
      </c>
      <c r="E31" s="369">
        <f>VLOOKUP(A31,COEFyDISTR_MINERO!$C$8:$Z$354,24,0)</f>
        <v>2296646570</v>
      </c>
      <c r="F31" s="370">
        <f t="shared" si="1"/>
        <v>2.1381775447436815</v>
      </c>
      <c r="I31">
        <v>4303</v>
      </c>
      <c r="J31" t="s">
        <v>1058</v>
      </c>
      <c r="K31" t="s">
        <v>1067</v>
      </c>
      <c r="L31" s="391">
        <v>1.13016636E-3</v>
      </c>
    </row>
    <row r="32" spans="1:12" ht="3" customHeight="1" x14ac:dyDescent="0.25">
      <c r="A32" s="1" t="s">
        <v>113</v>
      </c>
      <c r="B32" s="369">
        <v>612510340</v>
      </c>
      <c r="C32" s="369">
        <v>1279195304</v>
      </c>
      <c r="D32" s="370">
        <f t="shared" si="0"/>
        <v>2.0884468725866734</v>
      </c>
      <c r="E32" s="369">
        <f>VLOOKUP(A32,COEFyDISTR_MINERO!$C$8:$Z$354,24,0)</f>
        <v>1227386252</v>
      </c>
      <c r="F32" s="370">
        <f t="shared" si="1"/>
        <v>2.0038620931689088</v>
      </c>
      <c r="I32">
        <v>4304</v>
      </c>
      <c r="J32" t="s">
        <v>1058</v>
      </c>
      <c r="K32" t="s">
        <v>1068</v>
      </c>
      <c r="L32" s="391">
        <v>2.1597956100000001E-3</v>
      </c>
    </row>
    <row r="33" spans="1:12" ht="3" customHeight="1" x14ac:dyDescent="0.25">
      <c r="A33" s="1" t="s">
        <v>75</v>
      </c>
      <c r="B33" s="369">
        <v>262098774</v>
      </c>
      <c r="C33" s="369">
        <v>546976199</v>
      </c>
      <c r="D33" s="370">
        <f t="shared" si="0"/>
        <v>2.0869086514689306</v>
      </c>
      <c r="E33" s="369">
        <f>VLOOKUP(A33,COEFyDISTR_MINERO!$C$8:$Z$354,24,0)</f>
        <v>878676831</v>
      </c>
      <c r="F33" s="370">
        <f t="shared" si="1"/>
        <v>3.352464483485146</v>
      </c>
      <c r="I33">
        <v>5105</v>
      </c>
      <c r="J33" t="s">
        <v>1069</v>
      </c>
      <c r="K33" t="s">
        <v>1070</v>
      </c>
      <c r="L33" s="391">
        <v>1.3636788699999999E-2</v>
      </c>
    </row>
    <row r="34" spans="1:12" ht="3" customHeight="1" x14ac:dyDescent="0.25">
      <c r="A34" s="1" t="s">
        <v>385</v>
      </c>
      <c r="B34" s="369">
        <v>941238427</v>
      </c>
      <c r="C34" s="369">
        <v>1958555302</v>
      </c>
      <c r="D34" s="370">
        <f t="shared" si="0"/>
        <v>2.0808280301968591</v>
      </c>
      <c r="E34" s="369">
        <f>VLOOKUP(A34,COEFyDISTR_MINERO!$C$8:$Z$354,24,0)</f>
        <v>1491038704</v>
      </c>
      <c r="F34" s="370">
        <f t="shared" si="1"/>
        <v>1.5841243421737179</v>
      </c>
      <c r="I34">
        <v>5107</v>
      </c>
      <c r="J34" t="s">
        <v>1069</v>
      </c>
      <c r="K34" t="s">
        <v>1071</v>
      </c>
      <c r="L34" s="391">
        <v>1.0627371050000001E-2</v>
      </c>
    </row>
    <row r="35" spans="1:12" ht="3" customHeight="1" x14ac:dyDescent="0.25">
      <c r="A35" s="1" t="s">
        <v>86</v>
      </c>
      <c r="B35" s="369">
        <v>562330730</v>
      </c>
      <c r="C35" s="369">
        <v>1156037150</v>
      </c>
      <c r="D35" s="370">
        <f t="shared" si="0"/>
        <v>2.0557957947629859</v>
      </c>
      <c r="E35" s="369">
        <f>VLOOKUP(A35,COEFyDISTR_MINERO!$C$8:$Z$354,24,0)</f>
        <v>1162083297</v>
      </c>
      <c r="F35" s="370">
        <f t="shared" si="1"/>
        <v>2.0665477360627258</v>
      </c>
      <c r="I35">
        <v>5301</v>
      </c>
      <c r="J35" t="s">
        <v>1069</v>
      </c>
      <c r="K35" t="s">
        <v>1072</v>
      </c>
      <c r="L35" s="391">
        <v>6.7965535999999997E-3</v>
      </c>
    </row>
    <row r="36" spans="1:12" ht="3" customHeight="1" x14ac:dyDescent="0.25">
      <c r="A36" s="1" t="s">
        <v>92</v>
      </c>
      <c r="B36" s="369">
        <v>564885693</v>
      </c>
      <c r="C36" s="369">
        <v>1159634273</v>
      </c>
      <c r="D36" s="370">
        <f t="shared" si="0"/>
        <v>2.0528653626212479</v>
      </c>
      <c r="E36" s="369">
        <f>VLOOKUP(A36,COEFyDISTR_MINERO!$C$8:$Z$354,24,0)</f>
        <v>1185915201</v>
      </c>
      <c r="F36" s="370">
        <f t="shared" si="1"/>
        <v>2.099389691924805</v>
      </c>
      <c r="I36">
        <v>5302</v>
      </c>
      <c r="J36" t="s">
        <v>1069</v>
      </c>
      <c r="K36" t="s">
        <v>1073</v>
      </c>
      <c r="L36" s="391">
        <v>1.22526363E-3</v>
      </c>
    </row>
    <row r="37" spans="1:12" ht="3" customHeight="1" x14ac:dyDescent="0.25">
      <c r="A37" s="1" t="s">
        <v>122</v>
      </c>
      <c r="B37" s="369">
        <v>411565100</v>
      </c>
      <c r="C37" s="369">
        <v>844005696</v>
      </c>
      <c r="D37" s="370">
        <f t="shared" si="0"/>
        <v>2.0507222211018377</v>
      </c>
      <c r="E37" s="369">
        <f>VLOOKUP(A37,COEFyDISTR_MINERO!$C$8:$Z$354,24,0)</f>
        <v>876087219</v>
      </c>
      <c r="F37" s="370">
        <f t="shared" si="1"/>
        <v>2.128672278091607</v>
      </c>
      <c r="I37">
        <v>5402</v>
      </c>
      <c r="J37" t="s">
        <v>1069</v>
      </c>
      <c r="K37" t="s">
        <v>1074</v>
      </c>
      <c r="L37" s="391">
        <v>9.4434025799999995E-3</v>
      </c>
    </row>
    <row r="38" spans="1:12" ht="3" customHeight="1" x14ac:dyDescent="0.25">
      <c r="A38" s="1" t="s">
        <v>88</v>
      </c>
      <c r="B38" s="369">
        <v>389976176</v>
      </c>
      <c r="C38" s="369">
        <v>799134533</v>
      </c>
      <c r="D38" s="370">
        <f t="shared" si="0"/>
        <v>2.0491880842485104</v>
      </c>
      <c r="E38" s="369">
        <f>VLOOKUP(A38,COEFyDISTR_MINERO!$C$8:$Z$354,24,0)</f>
        <v>800623174</v>
      </c>
      <c r="F38" s="370">
        <f t="shared" si="1"/>
        <v>2.0530053456393706</v>
      </c>
      <c r="I38">
        <v>5404</v>
      </c>
      <c r="J38" t="s">
        <v>1069</v>
      </c>
      <c r="K38" t="s">
        <v>1090</v>
      </c>
      <c r="L38" s="391">
        <v>2.1702634900000002E-3</v>
      </c>
    </row>
    <row r="39" spans="1:12" ht="3" customHeight="1" x14ac:dyDescent="0.25">
      <c r="A39" s="1" t="s">
        <v>63</v>
      </c>
      <c r="B39" s="369">
        <v>407547375</v>
      </c>
      <c r="C39" s="369">
        <v>818881779</v>
      </c>
      <c r="D39" s="370">
        <f t="shared" si="0"/>
        <v>2.0092922424049475</v>
      </c>
      <c r="E39" s="369">
        <f>VLOOKUP(A39,COEFyDISTR_MINERO!$C$8:$Z$354,24,0)</f>
        <v>858972909</v>
      </c>
      <c r="F39" s="370">
        <f t="shared" si="1"/>
        <v>2.1076639470441934</v>
      </c>
      <c r="I39">
        <v>5502</v>
      </c>
      <c r="J39" t="s">
        <v>1069</v>
      </c>
      <c r="K39" t="s">
        <v>1075</v>
      </c>
      <c r="L39" s="391">
        <v>4.7243357400000002E-3</v>
      </c>
    </row>
    <row r="40" spans="1:12" ht="3" customHeight="1" x14ac:dyDescent="0.25">
      <c r="A40" s="1" t="s">
        <v>123</v>
      </c>
      <c r="B40" s="369">
        <v>461840562</v>
      </c>
      <c r="C40" s="369">
        <v>905190667</v>
      </c>
      <c r="D40" s="370">
        <f t="shared" si="0"/>
        <v>1.9599635490656622</v>
      </c>
      <c r="E40" s="369">
        <f>VLOOKUP(A40,COEFyDISTR_MINERO!$C$8:$Z$354,24,0)</f>
        <v>925841357</v>
      </c>
      <c r="F40" s="370">
        <f t="shared" si="1"/>
        <v>2.004677443208204</v>
      </c>
      <c r="I40">
        <v>5506</v>
      </c>
      <c r="J40" t="s">
        <v>1069</v>
      </c>
      <c r="K40" t="s">
        <v>1076</v>
      </c>
      <c r="L40" s="391">
        <v>5.9816114500000003E-3</v>
      </c>
    </row>
    <row r="41" spans="1:12" ht="3" customHeight="1" x14ac:dyDescent="0.25">
      <c r="A41" s="1" t="s">
        <v>376</v>
      </c>
      <c r="B41" s="369">
        <v>414037158</v>
      </c>
      <c r="C41" s="369">
        <v>788309280</v>
      </c>
      <c r="D41" s="370">
        <f t="shared" si="0"/>
        <v>1.9039578085404596</v>
      </c>
      <c r="E41" s="369">
        <f>VLOOKUP(A41,COEFyDISTR_MINERO!$C$8:$Z$354,24,0)</f>
        <v>812386087</v>
      </c>
      <c r="F41" s="370">
        <f t="shared" si="1"/>
        <v>1.9621091278961973</v>
      </c>
      <c r="I41">
        <v>5701</v>
      </c>
      <c r="J41" t="s">
        <v>1069</v>
      </c>
      <c r="K41" t="s">
        <v>1077</v>
      </c>
      <c r="L41" s="391">
        <v>2.62086402E-3</v>
      </c>
    </row>
    <row r="42" spans="1:12" ht="3" customHeight="1" x14ac:dyDescent="0.25">
      <c r="A42" s="1" t="s">
        <v>85</v>
      </c>
      <c r="B42" s="369">
        <v>378072793</v>
      </c>
      <c r="C42" s="369">
        <v>707945090</v>
      </c>
      <c r="D42" s="370">
        <f t="shared" si="0"/>
        <v>1.8725100115839333</v>
      </c>
      <c r="E42" s="369">
        <f>VLOOKUP(A42,COEFyDISTR_MINERO!$C$8:$Z$354,24,0)</f>
        <v>746672545</v>
      </c>
      <c r="F42" s="370">
        <f t="shared" si="1"/>
        <v>1.9749438701345536</v>
      </c>
      <c r="I42">
        <v>5702</v>
      </c>
      <c r="J42" t="s">
        <v>1069</v>
      </c>
      <c r="K42" t="s">
        <v>1078</v>
      </c>
      <c r="L42" s="391">
        <v>1.0995977759999999E-2</v>
      </c>
    </row>
    <row r="43" spans="1:12" ht="3" customHeight="1" x14ac:dyDescent="0.25">
      <c r="A43" s="1" t="s">
        <v>381</v>
      </c>
      <c r="B43" s="369">
        <v>922562245</v>
      </c>
      <c r="C43" s="369">
        <v>1624037618</v>
      </c>
      <c r="D43" s="370">
        <f t="shared" si="0"/>
        <v>1.7603556039733665</v>
      </c>
      <c r="E43" s="369">
        <f>VLOOKUP(A43,COEFyDISTR_MINERO!$C$8:$Z$354,24,0)</f>
        <v>1294618136</v>
      </c>
      <c r="F43" s="370">
        <f t="shared" si="1"/>
        <v>1.4032854075878642</v>
      </c>
      <c r="I43">
        <v>6101</v>
      </c>
      <c r="J43" t="s">
        <v>1091</v>
      </c>
      <c r="K43" t="s">
        <v>1079</v>
      </c>
      <c r="L43" s="391">
        <v>7.9784844600000009E-3</v>
      </c>
    </row>
    <row r="44" spans="1:12" ht="3" customHeight="1" x14ac:dyDescent="0.25">
      <c r="A44" s="1" t="s">
        <v>111</v>
      </c>
      <c r="B44" s="369">
        <v>0</v>
      </c>
      <c r="C44" s="369">
        <v>1281367250</v>
      </c>
      <c r="D44" s="370">
        <f t="shared" si="0"/>
        <v>1</v>
      </c>
      <c r="E44" s="369">
        <f>VLOOKUP(A44,COEFyDISTR_MINERO!$C$8:$Z$354,24,0)</f>
        <v>1333411609</v>
      </c>
      <c r="F44" s="370">
        <f t="shared" si="1"/>
        <v>1</v>
      </c>
      <c r="I44">
        <v>6104</v>
      </c>
      <c r="J44" t="s">
        <v>1091</v>
      </c>
      <c r="K44" t="s">
        <v>1080</v>
      </c>
      <c r="L44" s="391">
        <v>3.6221082200000002E-3</v>
      </c>
    </row>
    <row r="45" spans="1:12" ht="3" customHeight="1" x14ac:dyDescent="0.25">
      <c r="A45" s="1" t="s">
        <v>84</v>
      </c>
      <c r="B45" s="369">
        <v>0</v>
      </c>
      <c r="C45" s="369">
        <v>907380296</v>
      </c>
      <c r="D45" s="370">
        <f t="shared" si="0"/>
        <v>1</v>
      </c>
      <c r="E45" s="369">
        <f>VLOOKUP(A45,COEFyDISTR_MINERO!$C$8:$Z$354,24,0)</f>
        <v>931612912</v>
      </c>
      <c r="F45" s="370">
        <f t="shared" si="1"/>
        <v>1</v>
      </c>
      <c r="I45">
        <v>6105</v>
      </c>
      <c r="J45" t="s">
        <v>1091</v>
      </c>
      <c r="K45" t="s">
        <v>1081</v>
      </c>
      <c r="L45" s="391">
        <v>3.6412121299999999E-3</v>
      </c>
    </row>
    <row r="46" spans="1:12" ht="3" customHeight="1" x14ac:dyDescent="0.25">
      <c r="A46" s="1" t="s">
        <v>27</v>
      </c>
      <c r="B46" s="371">
        <v>224589134</v>
      </c>
      <c r="C46" s="371">
        <v>0</v>
      </c>
      <c r="D46" s="370">
        <f t="shared" si="0"/>
        <v>0</v>
      </c>
      <c r="E46" s="371">
        <f>VLOOKUP(A46,COEFyDISTR_MINERO!$C$8:$Z$354,24,0)</f>
        <v>513692056</v>
      </c>
      <c r="F46" s="370">
        <f t="shared" si="1"/>
        <v>2.2872524901405069</v>
      </c>
      <c r="I46">
        <v>6108</v>
      </c>
      <c r="J46" t="s">
        <v>1091</v>
      </c>
      <c r="K46" t="s">
        <v>1082</v>
      </c>
      <c r="L46" s="391">
        <v>1.474033061E-2</v>
      </c>
    </row>
    <row r="47" spans="1:12" ht="3" customHeight="1" x14ac:dyDescent="0.25">
      <c r="B47" s="31"/>
      <c r="D47" s="368"/>
      <c r="F47" s="368"/>
      <c r="I47">
        <v>6116</v>
      </c>
      <c r="J47" t="s">
        <v>1091</v>
      </c>
      <c r="K47" t="s">
        <v>1083</v>
      </c>
      <c r="L47" s="391">
        <v>4.2020691099999997E-3</v>
      </c>
    </row>
    <row r="48" spans="1:12" ht="3" customHeight="1" x14ac:dyDescent="0.25">
      <c r="B48" s="31"/>
      <c r="D48" s="368"/>
      <c r="F48" s="368"/>
      <c r="I48">
        <v>6203</v>
      </c>
      <c r="J48" t="s">
        <v>1091</v>
      </c>
      <c r="K48" t="s">
        <v>1084</v>
      </c>
      <c r="L48" s="391">
        <v>8.1431749999999998E-5</v>
      </c>
    </row>
    <row r="49" spans="2:6" ht="3" customHeight="1" x14ac:dyDescent="0.25">
      <c r="B49" s="31"/>
      <c r="D49" s="368"/>
      <c r="F49" s="368"/>
    </row>
    <row r="50" spans="2:6" ht="3" customHeight="1" x14ac:dyDescent="0.25">
      <c r="B50" s="31"/>
      <c r="D50" s="368"/>
      <c r="F50" s="368"/>
    </row>
    <row r="51" spans="2:6" ht="3" customHeight="1" x14ac:dyDescent="0.25">
      <c r="B51" s="31"/>
      <c r="D51" s="368"/>
      <c r="F51" s="368"/>
    </row>
    <row r="52" spans="2:6" ht="3" customHeight="1" x14ac:dyDescent="0.25">
      <c r="B52" s="31"/>
      <c r="D52" s="368"/>
      <c r="F52" s="368"/>
    </row>
    <row r="53" spans="2:6" ht="3" customHeight="1" x14ac:dyDescent="0.25">
      <c r="B53" s="31"/>
      <c r="D53" s="368"/>
      <c r="F53" s="368"/>
    </row>
    <row r="54" spans="2:6" ht="3" customHeight="1" x14ac:dyDescent="0.25">
      <c r="B54" s="31"/>
      <c r="D54" s="368"/>
      <c r="F54" s="368"/>
    </row>
    <row r="55" spans="2:6" ht="3" customHeight="1" x14ac:dyDescent="0.25">
      <c r="B55" s="31"/>
      <c r="D55" s="368"/>
      <c r="F55" s="368"/>
    </row>
    <row r="56" spans="2:6" ht="3" customHeight="1" x14ac:dyDescent="0.25">
      <c r="B56" s="31"/>
      <c r="D56" s="368"/>
      <c r="F56" s="368"/>
    </row>
    <row r="57" spans="2:6" ht="3" customHeight="1" x14ac:dyDescent="0.25">
      <c r="B57" s="31"/>
      <c r="D57" s="368"/>
      <c r="F57" s="368"/>
    </row>
    <row r="58" spans="2:6" ht="3" customHeight="1" x14ac:dyDescent="0.25">
      <c r="B58" s="31"/>
      <c r="D58" s="368"/>
      <c r="F58" s="368"/>
    </row>
    <row r="59" spans="2:6" ht="3" customHeight="1" x14ac:dyDescent="0.25">
      <c r="B59" s="31"/>
      <c r="D59" s="368"/>
      <c r="F59" s="368"/>
    </row>
    <row r="60" spans="2:6" ht="3" customHeight="1" x14ac:dyDescent="0.25">
      <c r="B60" s="31"/>
      <c r="D60" s="368"/>
      <c r="F60" s="368"/>
    </row>
    <row r="61" spans="2:6" ht="3" customHeight="1" x14ac:dyDescent="0.25">
      <c r="B61" s="31"/>
      <c r="D61" s="368"/>
      <c r="F61" s="368"/>
    </row>
    <row r="62" spans="2:6" ht="3" customHeight="1" x14ac:dyDescent="0.25">
      <c r="B62" s="31"/>
      <c r="D62" s="368"/>
      <c r="F62" s="368"/>
    </row>
    <row r="63" spans="2:6" ht="3" customHeight="1" x14ac:dyDescent="0.25">
      <c r="B63" s="31"/>
      <c r="D63" s="368"/>
      <c r="F63" s="368"/>
    </row>
    <row r="64" spans="2:6" ht="3" customHeight="1" x14ac:dyDescent="0.25">
      <c r="B64" s="31"/>
      <c r="D64" s="368"/>
      <c r="F64" s="368"/>
    </row>
    <row r="65" spans="2:6" ht="3" customHeight="1" x14ac:dyDescent="0.25">
      <c r="B65" s="31"/>
      <c r="D65" s="368"/>
      <c r="F65" s="368"/>
    </row>
    <row r="66" spans="2:6" ht="3" customHeight="1" x14ac:dyDescent="0.25">
      <c r="B66" s="31"/>
      <c r="D66" s="368"/>
      <c r="F66" s="368"/>
    </row>
    <row r="67" spans="2:6" ht="3" customHeight="1" x14ac:dyDescent="0.25">
      <c r="B67" s="31"/>
      <c r="D67" s="368"/>
      <c r="F67" s="368"/>
    </row>
    <row r="68" spans="2:6" ht="3" customHeight="1" x14ac:dyDescent="0.25">
      <c r="B68" s="31"/>
      <c r="D68" s="368"/>
      <c r="F68" s="368"/>
    </row>
    <row r="69" spans="2:6" ht="3" customHeight="1" x14ac:dyDescent="0.25">
      <c r="B69" s="31"/>
      <c r="D69" s="368"/>
      <c r="F69" s="368"/>
    </row>
    <row r="70" spans="2:6" ht="3" customHeight="1" x14ac:dyDescent="0.25">
      <c r="B70" s="31"/>
      <c r="D70" s="368"/>
      <c r="F70" s="368"/>
    </row>
    <row r="71" spans="2:6" ht="3" customHeight="1" x14ac:dyDescent="0.25">
      <c r="B71" s="31"/>
      <c r="D71" s="368"/>
      <c r="F71" s="368"/>
    </row>
    <row r="72" spans="2:6" ht="3" customHeight="1" x14ac:dyDescent="0.25">
      <c r="B72" s="31"/>
      <c r="D72" s="368"/>
      <c r="F72" s="368"/>
    </row>
    <row r="73" spans="2:6" ht="3" customHeight="1" x14ac:dyDescent="0.25">
      <c r="B73" s="31"/>
      <c r="D73" s="368"/>
      <c r="F73" s="368"/>
    </row>
    <row r="74" spans="2:6" ht="3" customHeight="1" x14ac:dyDescent="0.25">
      <c r="B74" s="31"/>
      <c r="D74" s="368"/>
      <c r="F74" s="368"/>
    </row>
    <row r="75" spans="2:6" ht="3" customHeight="1" x14ac:dyDescent="0.25">
      <c r="B75" s="31"/>
      <c r="D75" s="368"/>
      <c r="F75" s="368"/>
    </row>
    <row r="76" spans="2:6" ht="3" customHeight="1" x14ac:dyDescent="0.25">
      <c r="B76" s="31"/>
      <c r="D76" s="368"/>
      <c r="F76" s="368"/>
    </row>
    <row r="77" spans="2:6" ht="3" customHeight="1" x14ac:dyDescent="0.25">
      <c r="B77" s="31"/>
      <c r="D77" s="368"/>
      <c r="F77" s="368"/>
    </row>
    <row r="78" spans="2:6" ht="3" customHeight="1" x14ac:dyDescent="0.25">
      <c r="B78" s="31"/>
      <c r="D78" s="368"/>
      <c r="F78" s="368"/>
    </row>
    <row r="79" spans="2:6" ht="3" customHeight="1" x14ac:dyDescent="0.25">
      <c r="B79" s="31"/>
      <c r="D79" s="368"/>
      <c r="F79" s="368"/>
    </row>
    <row r="80" spans="2:6" ht="3" customHeight="1" x14ac:dyDescent="0.25">
      <c r="B80" s="31"/>
      <c r="D80" s="368"/>
      <c r="F80" s="368"/>
    </row>
    <row r="81" spans="2:6" ht="3" customHeight="1" x14ac:dyDescent="0.25">
      <c r="B81" s="31"/>
      <c r="D81" s="368"/>
      <c r="F81" s="368"/>
    </row>
    <row r="82" spans="2:6" ht="3" customHeight="1" x14ac:dyDescent="0.25">
      <c r="B82" s="31"/>
      <c r="D82" s="368"/>
      <c r="F82" s="368"/>
    </row>
    <row r="83" spans="2:6" ht="3" customHeight="1" x14ac:dyDescent="0.25">
      <c r="B83" s="31"/>
      <c r="D83" s="368"/>
      <c r="F83" s="368"/>
    </row>
    <row r="84" spans="2:6" ht="3" customHeight="1" x14ac:dyDescent="0.25">
      <c r="B84" s="31"/>
      <c r="D84" s="368"/>
      <c r="F84" s="368"/>
    </row>
    <row r="85" spans="2:6" ht="3" customHeight="1" x14ac:dyDescent="0.25">
      <c r="B85" s="31"/>
      <c r="D85" s="368"/>
      <c r="F85" s="368"/>
    </row>
    <row r="86" spans="2:6" ht="3" customHeight="1" x14ac:dyDescent="0.25">
      <c r="B86" s="31"/>
      <c r="D86" s="368"/>
      <c r="F86" s="368"/>
    </row>
    <row r="87" spans="2:6" ht="3" customHeight="1" x14ac:dyDescent="0.25">
      <c r="B87" s="31"/>
      <c r="D87" s="368"/>
      <c r="F87" s="368"/>
    </row>
    <row r="88" spans="2:6" ht="3" customHeight="1" x14ac:dyDescent="0.25">
      <c r="B88" s="31"/>
      <c r="D88" s="368"/>
      <c r="F88" s="368"/>
    </row>
    <row r="89" spans="2:6" ht="3" customHeight="1" x14ac:dyDescent="0.25">
      <c r="B89" s="31"/>
      <c r="D89" s="368"/>
      <c r="F89" s="368"/>
    </row>
    <row r="90" spans="2:6" ht="3" customHeight="1" x14ac:dyDescent="0.25">
      <c r="B90" s="31"/>
      <c r="D90" s="368"/>
      <c r="F90" s="368"/>
    </row>
    <row r="91" spans="2:6" ht="3" customHeight="1" x14ac:dyDescent="0.25">
      <c r="B91" s="31"/>
      <c r="D91" s="368"/>
      <c r="F91" s="368"/>
    </row>
    <row r="92" spans="2:6" ht="3" customHeight="1" x14ac:dyDescent="0.25">
      <c r="B92" s="31"/>
      <c r="D92" s="368"/>
      <c r="F92" s="368"/>
    </row>
    <row r="93" spans="2:6" ht="3" customHeight="1" x14ac:dyDescent="0.25">
      <c r="B93" s="31"/>
      <c r="D93" s="368"/>
      <c r="F93" s="368"/>
    </row>
    <row r="94" spans="2:6" ht="3" customHeight="1" x14ac:dyDescent="0.25">
      <c r="B94" s="31"/>
      <c r="D94" s="368"/>
      <c r="F94" s="368"/>
    </row>
    <row r="95" spans="2:6" ht="3" customHeight="1" x14ac:dyDescent="0.25">
      <c r="B95" s="31"/>
      <c r="D95" s="368"/>
      <c r="F95" s="368"/>
    </row>
    <row r="96" spans="2:6" ht="3" customHeight="1" x14ac:dyDescent="0.25">
      <c r="B96" s="31"/>
      <c r="D96" s="368"/>
      <c r="F96" s="368"/>
    </row>
    <row r="97" spans="2:6" ht="3" customHeight="1" x14ac:dyDescent="0.25">
      <c r="B97" s="31"/>
      <c r="D97" s="368"/>
      <c r="F97" s="368"/>
    </row>
    <row r="98" spans="2:6" ht="3" customHeight="1" x14ac:dyDescent="0.25">
      <c r="B98" s="31"/>
      <c r="D98" s="368"/>
      <c r="F98" s="368"/>
    </row>
    <row r="99" spans="2:6" ht="3" customHeight="1" x14ac:dyDescent="0.25">
      <c r="B99" s="31"/>
      <c r="D99" s="368"/>
      <c r="F99" s="368"/>
    </row>
    <row r="100" spans="2:6" ht="3" customHeight="1" x14ac:dyDescent="0.25">
      <c r="B100" s="31"/>
      <c r="D100" s="368"/>
      <c r="F100" s="368"/>
    </row>
    <row r="101" spans="2:6" ht="3" customHeight="1" x14ac:dyDescent="0.25">
      <c r="B101" s="31"/>
      <c r="D101" s="368"/>
      <c r="F101" s="368"/>
    </row>
    <row r="102" spans="2:6" ht="3" customHeight="1" x14ac:dyDescent="0.25">
      <c r="B102" s="31"/>
      <c r="D102" s="368"/>
      <c r="F102" s="368"/>
    </row>
    <row r="103" spans="2:6" ht="3" customHeight="1" x14ac:dyDescent="0.25">
      <c r="B103" s="31"/>
      <c r="D103" s="368"/>
      <c r="F103" s="368"/>
    </row>
    <row r="104" spans="2:6" ht="3" customHeight="1" x14ac:dyDescent="0.25">
      <c r="B104" s="31"/>
      <c r="D104" s="368"/>
      <c r="F104" s="368"/>
    </row>
    <row r="105" spans="2:6" ht="3" customHeight="1" x14ac:dyDescent="0.25">
      <c r="B105" s="31"/>
      <c r="D105" s="368"/>
      <c r="F105" s="368"/>
    </row>
    <row r="106" spans="2:6" ht="3" customHeight="1" x14ac:dyDescent="0.25">
      <c r="B106" s="31"/>
      <c r="D106" s="368"/>
      <c r="F106" s="368"/>
    </row>
    <row r="107" spans="2:6" ht="3" customHeight="1" x14ac:dyDescent="0.25">
      <c r="B107" s="31"/>
      <c r="D107" s="368"/>
      <c r="F107" s="368"/>
    </row>
    <row r="108" spans="2:6" ht="3" customHeight="1" x14ac:dyDescent="0.25">
      <c r="B108" s="31"/>
      <c r="D108" s="368"/>
      <c r="F108" s="368"/>
    </row>
    <row r="109" spans="2:6" ht="3" customHeight="1" x14ac:dyDescent="0.25">
      <c r="B109" s="31"/>
      <c r="D109" s="368"/>
      <c r="F109" s="368"/>
    </row>
    <row r="110" spans="2:6" ht="3" customHeight="1" x14ac:dyDescent="0.25">
      <c r="B110" s="31"/>
      <c r="D110" s="368"/>
      <c r="F110" s="368"/>
    </row>
    <row r="111" spans="2:6" ht="3" customHeight="1" x14ac:dyDescent="0.25">
      <c r="B111" s="31"/>
      <c r="D111" s="368"/>
      <c r="F111" s="368"/>
    </row>
    <row r="112" spans="2:6" ht="3" customHeight="1" x14ac:dyDescent="0.25">
      <c r="B112" s="31"/>
      <c r="D112" s="368"/>
      <c r="F112" s="368"/>
    </row>
    <row r="113" spans="2:6" ht="3" customHeight="1" x14ac:dyDescent="0.25">
      <c r="B113" s="31"/>
      <c r="D113" s="368"/>
      <c r="F113" s="368"/>
    </row>
    <row r="114" spans="2:6" ht="3" customHeight="1" x14ac:dyDescent="0.25">
      <c r="B114" s="31"/>
      <c r="D114" s="368"/>
      <c r="F114" s="368"/>
    </row>
    <row r="115" spans="2:6" ht="3" customHeight="1" x14ac:dyDescent="0.25">
      <c r="B115" s="31"/>
      <c r="D115" s="368"/>
      <c r="F115" s="368"/>
    </row>
    <row r="116" spans="2:6" ht="3" customHeight="1" x14ac:dyDescent="0.25">
      <c r="B116" s="31"/>
      <c r="D116" s="368"/>
      <c r="F116" s="368"/>
    </row>
    <row r="117" spans="2:6" ht="3" customHeight="1" x14ac:dyDescent="0.25">
      <c r="B117" s="31"/>
      <c r="D117" s="368"/>
      <c r="F117" s="368"/>
    </row>
    <row r="118" spans="2:6" ht="3" customHeight="1" x14ac:dyDescent="0.25">
      <c r="B118" s="31"/>
      <c r="D118" s="368"/>
      <c r="F118" s="368"/>
    </row>
    <row r="119" spans="2:6" ht="3" customHeight="1" x14ac:dyDescent="0.25">
      <c r="B119" s="31"/>
      <c r="D119" s="368"/>
      <c r="F119" s="368"/>
    </row>
    <row r="120" spans="2:6" ht="3" customHeight="1" x14ac:dyDescent="0.25">
      <c r="B120" s="31"/>
      <c r="D120" s="368"/>
      <c r="F120" s="368"/>
    </row>
    <row r="121" spans="2:6" ht="3" customHeight="1" x14ac:dyDescent="0.25">
      <c r="B121" s="31"/>
      <c r="D121" s="368"/>
      <c r="F121" s="368"/>
    </row>
    <row r="122" spans="2:6" ht="3" customHeight="1" x14ac:dyDescent="0.25">
      <c r="B122" s="31"/>
      <c r="D122" s="368"/>
      <c r="F122" s="368"/>
    </row>
    <row r="123" spans="2:6" ht="3" customHeight="1" x14ac:dyDescent="0.25">
      <c r="B123" s="31"/>
      <c r="D123" s="368"/>
      <c r="F123" s="368"/>
    </row>
    <row r="124" spans="2:6" ht="3" customHeight="1" x14ac:dyDescent="0.25">
      <c r="B124" s="31"/>
      <c r="D124" s="368"/>
      <c r="F124" s="368"/>
    </row>
    <row r="125" spans="2:6" ht="3" customHeight="1" x14ac:dyDescent="0.25">
      <c r="B125" s="31"/>
      <c r="D125" s="368"/>
      <c r="F125" s="368"/>
    </row>
    <row r="126" spans="2:6" ht="3" customHeight="1" x14ac:dyDescent="0.25">
      <c r="B126" s="31"/>
      <c r="D126" s="368"/>
      <c r="F126" s="368"/>
    </row>
    <row r="127" spans="2:6" ht="3" customHeight="1" x14ac:dyDescent="0.25">
      <c r="B127" s="31"/>
      <c r="D127" s="368"/>
      <c r="F127" s="368"/>
    </row>
    <row r="128" spans="2:6" ht="3" customHeight="1" x14ac:dyDescent="0.25">
      <c r="B128" s="31"/>
      <c r="D128" s="368"/>
      <c r="F128" s="368"/>
    </row>
    <row r="129" spans="2:6" ht="3" customHeight="1" x14ac:dyDescent="0.25">
      <c r="B129" s="31"/>
      <c r="D129" s="368"/>
      <c r="F129" s="368"/>
    </row>
    <row r="130" spans="2:6" ht="3" customHeight="1" x14ac:dyDescent="0.25">
      <c r="B130" s="31"/>
      <c r="D130" s="368"/>
      <c r="F130" s="368"/>
    </row>
    <row r="131" spans="2:6" ht="3" customHeight="1" x14ac:dyDescent="0.25">
      <c r="B131" s="31"/>
      <c r="D131" s="368"/>
      <c r="F131" s="368"/>
    </row>
    <row r="132" spans="2:6" ht="3" customHeight="1" x14ac:dyDescent="0.25">
      <c r="B132" s="31"/>
      <c r="D132" s="368"/>
      <c r="F132" s="368"/>
    </row>
    <row r="133" spans="2:6" ht="3" customHeight="1" x14ac:dyDescent="0.25">
      <c r="B133" s="31"/>
      <c r="D133" s="368"/>
      <c r="F133" s="368"/>
    </row>
    <row r="134" spans="2:6" ht="3" customHeight="1" x14ac:dyDescent="0.25">
      <c r="B134" s="31"/>
      <c r="D134" s="368"/>
      <c r="F134" s="368"/>
    </row>
    <row r="135" spans="2:6" ht="3" customHeight="1" x14ac:dyDescent="0.25">
      <c r="B135" s="31"/>
      <c r="D135" s="368"/>
      <c r="F135" s="368"/>
    </row>
    <row r="136" spans="2:6" ht="3" customHeight="1" x14ac:dyDescent="0.25">
      <c r="B136" s="31"/>
      <c r="D136" s="368"/>
      <c r="F136" s="368"/>
    </row>
    <row r="137" spans="2:6" ht="3" customHeight="1" x14ac:dyDescent="0.25">
      <c r="B137" s="31"/>
      <c r="D137" s="368"/>
      <c r="F137" s="368"/>
    </row>
    <row r="138" spans="2:6" ht="3" customHeight="1" x14ac:dyDescent="0.25">
      <c r="B138" s="31"/>
      <c r="D138" s="368"/>
      <c r="F138" s="368"/>
    </row>
    <row r="139" spans="2:6" ht="3" customHeight="1" x14ac:dyDescent="0.25">
      <c r="B139" s="31"/>
      <c r="D139" s="368"/>
      <c r="F139" s="368"/>
    </row>
    <row r="140" spans="2:6" ht="3" customHeight="1" x14ac:dyDescent="0.25">
      <c r="B140" s="31"/>
      <c r="D140" s="368"/>
      <c r="F140" s="368"/>
    </row>
    <row r="141" spans="2:6" ht="3" customHeight="1" x14ac:dyDescent="0.25">
      <c r="B141" s="31"/>
      <c r="D141" s="368"/>
      <c r="F141" s="368"/>
    </row>
    <row r="142" spans="2:6" ht="3" customHeight="1" x14ac:dyDescent="0.25">
      <c r="B142" s="31"/>
      <c r="D142" s="368"/>
      <c r="F142" s="368"/>
    </row>
    <row r="143" spans="2:6" ht="3" customHeight="1" x14ac:dyDescent="0.25">
      <c r="B143" s="31"/>
      <c r="D143" s="368"/>
      <c r="F143" s="368"/>
    </row>
    <row r="144" spans="2:6" ht="3" customHeight="1" x14ac:dyDescent="0.25">
      <c r="B144" s="31"/>
      <c r="D144" s="368"/>
      <c r="F144" s="368"/>
    </row>
    <row r="145" spans="2:6" ht="3" customHeight="1" x14ac:dyDescent="0.25">
      <c r="B145" s="31"/>
      <c r="D145" s="368"/>
      <c r="F145" s="368"/>
    </row>
    <row r="146" spans="2:6" ht="3" customHeight="1" x14ac:dyDescent="0.25">
      <c r="B146" s="31"/>
      <c r="D146" s="368"/>
      <c r="F146" s="368"/>
    </row>
    <row r="147" spans="2:6" ht="3" customHeight="1" x14ac:dyDescent="0.25">
      <c r="B147" s="31"/>
      <c r="D147" s="368"/>
      <c r="F147" s="368"/>
    </row>
    <row r="148" spans="2:6" ht="3" customHeight="1" x14ac:dyDescent="0.25">
      <c r="B148" s="31"/>
      <c r="D148" s="368"/>
      <c r="F148" s="368"/>
    </row>
    <row r="149" spans="2:6" ht="3" customHeight="1" x14ac:dyDescent="0.25">
      <c r="B149" s="31"/>
      <c r="D149" s="368"/>
      <c r="F149" s="368"/>
    </row>
    <row r="150" spans="2:6" ht="3" customHeight="1" x14ac:dyDescent="0.25">
      <c r="B150" s="31"/>
      <c r="D150" s="368"/>
      <c r="F150" s="368"/>
    </row>
    <row r="151" spans="2:6" ht="3" customHeight="1" x14ac:dyDescent="0.25">
      <c r="B151" s="31"/>
      <c r="D151" s="368"/>
      <c r="F151" s="368"/>
    </row>
    <row r="152" spans="2:6" ht="3" customHeight="1" x14ac:dyDescent="0.25">
      <c r="B152" s="31"/>
      <c r="D152" s="368"/>
      <c r="F152" s="368"/>
    </row>
    <row r="153" spans="2:6" ht="3" customHeight="1" x14ac:dyDescent="0.25">
      <c r="B153" s="31"/>
      <c r="D153" s="368"/>
      <c r="F153" s="368"/>
    </row>
    <row r="154" spans="2:6" ht="3" customHeight="1" x14ac:dyDescent="0.25">
      <c r="B154" s="31"/>
      <c r="D154" s="368"/>
      <c r="F154" s="368"/>
    </row>
    <row r="155" spans="2:6" ht="3" customHeight="1" x14ac:dyDescent="0.25">
      <c r="B155" s="31"/>
      <c r="D155" s="368"/>
      <c r="F155" s="368"/>
    </row>
    <row r="156" spans="2:6" ht="3" customHeight="1" x14ac:dyDescent="0.25">
      <c r="B156" s="31"/>
      <c r="D156" s="368"/>
      <c r="F156" s="368"/>
    </row>
    <row r="157" spans="2:6" ht="3" customHeight="1" x14ac:dyDescent="0.25">
      <c r="B157" s="31"/>
      <c r="D157" s="368"/>
      <c r="F157" s="368"/>
    </row>
    <row r="158" spans="2:6" ht="3" customHeight="1" x14ac:dyDescent="0.25">
      <c r="B158" s="31"/>
      <c r="D158" s="368"/>
      <c r="F158" s="368"/>
    </row>
    <row r="159" spans="2:6" ht="3" customHeight="1" x14ac:dyDescent="0.25">
      <c r="B159" s="31"/>
      <c r="D159" s="368"/>
      <c r="F159" s="368"/>
    </row>
    <row r="160" spans="2:6" ht="3" customHeight="1" x14ac:dyDescent="0.25">
      <c r="B160" s="31"/>
      <c r="D160" s="368"/>
      <c r="F160" s="368"/>
    </row>
    <row r="161" spans="2:6" ht="3" customHeight="1" x14ac:dyDescent="0.25">
      <c r="B161" s="31"/>
      <c r="D161" s="368"/>
      <c r="F161" s="368"/>
    </row>
    <row r="162" spans="2:6" ht="3" customHeight="1" x14ac:dyDescent="0.25">
      <c r="B162" s="31"/>
      <c r="D162" s="368"/>
      <c r="F162" s="368"/>
    </row>
    <row r="163" spans="2:6" ht="3" customHeight="1" x14ac:dyDescent="0.25">
      <c r="B163" s="31"/>
      <c r="D163" s="368"/>
      <c r="F163" s="368"/>
    </row>
    <row r="164" spans="2:6" ht="3" customHeight="1" x14ac:dyDescent="0.25">
      <c r="B164" s="31"/>
      <c r="D164" s="368"/>
      <c r="F164" s="368"/>
    </row>
    <row r="165" spans="2:6" ht="3" customHeight="1" x14ac:dyDescent="0.25">
      <c r="B165" s="31"/>
      <c r="D165" s="368"/>
      <c r="F165" s="368"/>
    </row>
    <row r="166" spans="2:6" ht="3" customHeight="1" x14ac:dyDescent="0.25">
      <c r="B166" s="31"/>
      <c r="D166" s="368"/>
      <c r="F166" s="368"/>
    </row>
    <row r="167" spans="2:6" ht="3" customHeight="1" x14ac:dyDescent="0.25">
      <c r="B167" s="31"/>
      <c r="D167" s="368"/>
      <c r="F167" s="368"/>
    </row>
    <row r="168" spans="2:6" ht="3" customHeight="1" x14ac:dyDescent="0.25">
      <c r="B168" s="31"/>
      <c r="D168" s="368"/>
      <c r="F168" s="368"/>
    </row>
    <row r="169" spans="2:6" ht="3" customHeight="1" x14ac:dyDescent="0.25">
      <c r="B169" s="31"/>
      <c r="D169" s="368"/>
      <c r="F169" s="368"/>
    </row>
    <row r="170" spans="2:6" ht="3" customHeight="1" x14ac:dyDescent="0.25">
      <c r="B170" s="31"/>
      <c r="D170" s="368"/>
      <c r="F170" s="368"/>
    </row>
    <row r="171" spans="2:6" ht="3" customHeight="1" x14ac:dyDescent="0.25">
      <c r="B171" s="31"/>
      <c r="D171" s="368"/>
      <c r="F171" s="368"/>
    </row>
    <row r="172" spans="2:6" ht="3" customHeight="1" x14ac:dyDescent="0.25">
      <c r="B172" s="31"/>
      <c r="D172" s="368"/>
      <c r="F172" s="368"/>
    </row>
    <row r="173" spans="2:6" ht="3" customHeight="1" x14ac:dyDescent="0.25">
      <c r="B173" s="31"/>
      <c r="D173" s="368"/>
      <c r="F173" s="368"/>
    </row>
    <row r="174" spans="2:6" ht="3" customHeight="1" x14ac:dyDescent="0.25">
      <c r="B174" s="31"/>
      <c r="D174" s="368"/>
      <c r="F174" s="368"/>
    </row>
    <row r="175" spans="2:6" ht="3" customHeight="1" x14ac:dyDescent="0.25">
      <c r="B175" s="31"/>
      <c r="D175" s="368"/>
      <c r="F175" s="368"/>
    </row>
    <row r="176" spans="2:6" ht="3" customHeight="1" x14ac:dyDescent="0.25">
      <c r="B176" s="31"/>
      <c r="D176" s="368"/>
      <c r="F176" s="368"/>
    </row>
    <row r="177" spans="2:6" ht="3" customHeight="1" x14ac:dyDescent="0.25">
      <c r="B177" s="31"/>
      <c r="D177" s="368"/>
      <c r="F177" s="368"/>
    </row>
    <row r="178" spans="2:6" ht="3" customHeight="1" x14ac:dyDescent="0.25">
      <c r="B178" s="31"/>
      <c r="D178" s="368"/>
      <c r="F178" s="368"/>
    </row>
    <row r="179" spans="2:6" ht="3" customHeight="1" x14ac:dyDescent="0.25">
      <c r="B179" s="31"/>
      <c r="D179" s="368"/>
      <c r="F179" s="368"/>
    </row>
    <row r="180" spans="2:6" ht="3" customHeight="1" x14ac:dyDescent="0.25">
      <c r="B180" s="31"/>
      <c r="D180" s="368"/>
      <c r="F180" s="368"/>
    </row>
    <row r="181" spans="2:6" ht="3" customHeight="1" x14ac:dyDescent="0.25">
      <c r="B181" s="31"/>
      <c r="D181" s="368"/>
      <c r="F181" s="368"/>
    </row>
    <row r="182" spans="2:6" ht="3" customHeight="1" x14ac:dyDescent="0.25">
      <c r="B182" s="31"/>
      <c r="D182" s="368"/>
      <c r="F182" s="368"/>
    </row>
    <row r="183" spans="2:6" ht="3" customHeight="1" x14ac:dyDescent="0.25">
      <c r="B183" s="31"/>
      <c r="D183" s="368"/>
      <c r="F183" s="368"/>
    </row>
    <row r="184" spans="2:6" ht="3" customHeight="1" x14ac:dyDescent="0.25">
      <c r="B184" s="31"/>
      <c r="D184" s="368"/>
      <c r="F184" s="368"/>
    </row>
    <row r="185" spans="2:6" ht="3" customHeight="1" x14ac:dyDescent="0.25">
      <c r="B185" s="31"/>
      <c r="D185" s="368"/>
      <c r="F185" s="368"/>
    </row>
    <row r="186" spans="2:6" ht="3" customHeight="1" x14ac:dyDescent="0.25">
      <c r="B186" s="31"/>
      <c r="D186" s="368"/>
      <c r="F186" s="368"/>
    </row>
    <row r="187" spans="2:6" ht="3" customHeight="1" x14ac:dyDescent="0.25">
      <c r="B187" s="31"/>
      <c r="D187" s="368"/>
      <c r="F187" s="368"/>
    </row>
    <row r="188" spans="2:6" ht="3" customHeight="1" x14ac:dyDescent="0.25">
      <c r="B188" s="31"/>
      <c r="D188" s="368"/>
      <c r="F188" s="368"/>
    </row>
    <row r="189" spans="2:6" ht="3" customHeight="1" x14ac:dyDescent="0.25">
      <c r="B189" s="31"/>
      <c r="D189" s="368"/>
      <c r="F189" s="368"/>
    </row>
    <row r="190" spans="2:6" ht="3" customHeight="1" x14ac:dyDescent="0.25">
      <c r="B190" s="31"/>
      <c r="D190" s="368"/>
      <c r="F190" s="368"/>
    </row>
    <row r="191" spans="2:6" ht="3" customHeight="1" x14ac:dyDescent="0.25">
      <c r="B191" s="31"/>
      <c r="D191" s="368"/>
      <c r="F191" s="368"/>
    </row>
    <row r="192" spans="2:6" ht="3" customHeight="1" x14ac:dyDescent="0.25">
      <c r="B192" s="31"/>
      <c r="D192" s="368"/>
      <c r="F192" s="368"/>
    </row>
    <row r="193" spans="2:6" ht="3" customHeight="1" x14ac:dyDescent="0.25">
      <c r="B193" s="31"/>
      <c r="D193" s="368"/>
      <c r="F193" s="368"/>
    </row>
    <row r="194" spans="2:6" ht="3" customHeight="1" x14ac:dyDescent="0.25">
      <c r="B194" s="31"/>
      <c r="D194" s="368"/>
      <c r="F194" s="368"/>
    </row>
    <row r="195" spans="2:6" ht="3" customHeight="1" x14ac:dyDescent="0.25">
      <c r="B195" s="31"/>
      <c r="D195" s="368"/>
      <c r="F195" s="368"/>
    </row>
    <row r="196" spans="2:6" ht="3" customHeight="1" x14ac:dyDescent="0.25">
      <c r="B196" s="31"/>
      <c r="D196" s="368"/>
      <c r="F196" s="368"/>
    </row>
    <row r="197" spans="2:6" ht="3" customHeight="1" x14ac:dyDescent="0.25">
      <c r="B197" s="31"/>
      <c r="D197" s="368"/>
      <c r="F197" s="368"/>
    </row>
    <row r="198" spans="2:6" ht="3" customHeight="1" x14ac:dyDescent="0.25">
      <c r="B198" s="31"/>
      <c r="D198" s="368"/>
      <c r="F198" s="368"/>
    </row>
    <row r="199" spans="2:6" ht="3" customHeight="1" x14ac:dyDescent="0.25">
      <c r="B199" s="31"/>
      <c r="D199" s="368"/>
      <c r="F199" s="368"/>
    </row>
    <row r="200" spans="2:6" ht="3" customHeight="1" x14ac:dyDescent="0.25">
      <c r="B200" s="31"/>
      <c r="D200" s="368"/>
      <c r="F200" s="368"/>
    </row>
    <row r="201" spans="2:6" ht="3" customHeight="1" x14ac:dyDescent="0.25">
      <c r="B201" s="31"/>
      <c r="D201" s="368"/>
      <c r="F201" s="368"/>
    </row>
    <row r="202" spans="2:6" ht="3" customHeight="1" x14ac:dyDescent="0.25">
      <c r="B202" s="31"/>
      <c r="D202" s="368"/>
      <c r="F202" s="368"/>
    </row>
    <row r="203" spans="2:6" ht="3" customHeight="1" x14ac:dyDescent="0.25">
      <c r="B203" s="31"/>
      <c r="D203" s="368"/>
      <c r="F203" s="368"/>
    </row>
    <row r="204" spans="2:6" ht="3" customHeight="1" x14ac:dyDescent="0.25">
      <c r="B204" s="31"/>
      <c r="D204" s="368"/>
      <c r="F204" s="368"/>
    </row>
    <row r="205" spans="2:6" ht="3" customHeight="1" x14ac:dyDescent="0.25">
      <c r="B205" s="31"/>
      <c r="D205" s="368"/>
      <c r="F205" s="368"/>
    </row>
    <row r="206" spans="2:6" ht="3" customHeight="1" x14ac:dyDescent="0.25">
      <c r="B206" s="31"/>
      <c r="D206" s="368"/>
      <c r="F206" s="368"/>
    </row>
    <row r="207" spans="2:6" ht="3" customHeight="1" x14ac:dyDescent="0.25">
      <c r="B207" s="31"/>
      <c r="D207" s="368"/>
      <c r="F207" s="368"/>
    </row>
    <row r="208" spans="2:6" ht="3" customHeight="1" x14ac:dyDescent="0.25">
      <c r="B208" s="31"/>
      <c r="D208" s="368"/>
      <c r="F208" s="368"/>
    </row>
    <row r="209" spans="2:6" ht="3" customHeight="1" x14ac:dyDescent="0.25">
      <c r="B209" s="31"/>
      <c r="D209" s="368"/>
      <c r="F209" s="368"/>
    </row>
    <row r="210" spans="2:6" ht="3" customHeight="1" x14ac:dyDescent="0.25">
      <c r="B210" s="31"/>
      <c r="D210" s="368"/>
      <c r="F210" s="368"/>
    </row>
    <row r="211" spans="2:6" ht="3" customHeight="1" x14ac:dyDescent="0.25">
      <c r="B211" s="31"/>
      <c r="D211" s="368"/>
      <c r="F211" s="368"/>
    </row>
    <row r="212" spans="2:6" ht="3" customHeight="1" x14ac:dyDescent="0.25">
      <c r="B212" s="31"/>
      <c r="D212" s="368"/>
      <c r="F212" s="368"/>
    </row>
    <row r="213" spans="2:6" ht="3" customHeight="1" x14ac:dyDescent="0.25">
      <c r="B213" s="31"/>
      <c r="D213" s="368"/>
      <c r="F213" s="368"/>
    </row>
    <row r="214" spans="2:6" ht="3" customHeight="1" x14ac:dyDescent="0.25">
      <c r="B214" s="31"/>
      <c r="D214" s="368"/>
      <c r="F214" s="368"/>
    </row>
    <row r="215" spans="2:6" ht="3" customHeight="1" x14ac:dyDescent="0.25">
      <c r="B215" s="31"/>
      <c r="D215" s="368"/>
      <c r="F215" s="368"/>
    </row>
    <row r="216" spans="2:6" ht="3" customHeight="1" x14ac:dyDescent="0.25">
      <c r="B216" s="31"/>
      <c r="D216" s="368"/>
      <c r="F216" s="368"/>
    </row>
    <row r="217" spans="2:6" ht="3" customHeight="1" x14ac:dyDescent="0.25">
      <c r="B217" s="31"/>
      <c r="D217" s="368"/>
      <c r="F217" s="368"/>
    </row>
    <row r="218" spans="2:6" ht="3" customHeight="1" x14ac:dyDescent="0.25">
      <c r="B218" s="31"/>
      <c r="D218" s="368"/>
      <c r="F218" s="368"/>
    </row>
    <row r="219" spans="2:6" ht="3" customHeight="1" x14ac:dyDescent="0.25">
      <c r="B219" s="31"/>
      <c r="D219" s="368"/>
      <c r="F219" s="368"/>
    </row>
    <row r="220" spans="2:6" ht="3" customHeight="1" x14ac:dyDescent="0.25">
      <c r="B220" s="31"/>
      <c r="D220" s="368"/>
      <c r="F220" s="368"/>
    </row>
    <row r="221" spans="2:6" ht="3" customHeight="1" x14ac:dyDescent="0.25">
      <c r="B221" s="31"/>
      <c r="D221" s="368"/>
      <c r="F221" s="368"/>
    </row>
    <row r="222" spans="2:6" ht="3" customHeight="1" x14ac:dyDescent="0.25">
      <c r="B222" s="31"/>
      <c r="D222" s="368"/>
      <c r="F222" s="368"/>
    </row>
    <row r="223" spans="2:6" ht="3" customHeight="1" x14ac:dyDescent="0.25">
      <c r="B223" s="31"/>
      <c r="D223" s="368"/>
      <c r="F223" s="368"/>
    </row>
    <row r="224" spans="2:6" ht="3" customHeight="1" x14ac:dyDescent="0.25">
      <c r="B224" s="31"/>
      <c r="D224" s="368"/>
      <c r="F224" s="368"/>
    </row>
    <row r="225" spans="2:6" ht="3" customHeight="1" x14ac:dyDescent="0.25">
      <c r="B225" s="31"/>
      <c r="D225" s="368"/>
      <c r="F225" s="368"/>
    </row>
    <row r="226" spans="2:6" ht="3" customHeight="1" x14ac:dyDescent="0.25">
      <c r="B226" s="31"/>
      <c r="D226" s="368"/>
      <c r="F226" s="368"/>
    </row>
    <row r="227" spans="2:6" ht="3" customHeight="1" x14ac:dyDescent="0.25">
      <c r="B227" s="31"/>
      <c r="D227" s="368"/>
      <c r="F227" s="368"/>
    </row>
    <row r="228" spans="2:6" ht="3" customHeight="1" x14ac:dyDescent="0.25">
      <c r="B228" s="31"/>
      <c r="D228" s="368"/>
      <c r="F228" s="368"/>
    </row>
    <row r="229" spans="2:6" ht="3" customHeight="1" x14ac:dyDescent="0.25">
      <c r="B229" s="31"/>
      <c r="D229" s="368"/>
      <c r="F229" s="368"/>
    </row>
    <row r="230" spans="2:6" ht="3" customHeight="1" x14ac:dyDescent="0.25">
      <c r="B230" s="31"/>
      <c r="D230" s="368"/>
      <c r="F230" s="368"/>
    </row>
    <row r="231" spans="2:6" ht="3" customHeight="1" x14ac:dyDescent="0.25">
      <c r="B231" s="31"/>
      <c r="D231" s="368"/>
      <c r="F231" s="368"/>
    </row>
    <row r="232" spans="2:6" ht="3" customHeight="1" x14ac:dyDescent="0.25">
      <c r="B232" s="31"/>
      <c r="D232" s="368"/>
      <c r="F232" s="368"/>
    </row>
    <row r="233" spans="2:6" ht="3" customHeight="1" x14ac:dyDescent="0.25">
      <c r="B233" s="31"/>
      <c r="D233" s="368"/>
      <c r="F233" s="368"/>
    </row>
    <row r="234" spans="2:6" ht="3" customHeight="1" x14ac:dyDescent="0.25">
      <c r="B234" s="31"/>
      <c r="D234" s="368"/>
      <c r="F234" s="368"/>
    </row>
    <row r="235" spans="2:6" ht="3" customHeight="1" x14ac:dyDescent="0.25">
      <c r="B235" s="31"/>
      <c r="D235" s="368"/>
      <c r="F235" s="368"/>
    </row>
    <row r="236" spans="2:6" ht="3" customHeight="1" x14ac:dyDescent="0.25">
      <c r="B236" s="31"/>
      <c r="D236" s="368"/>
      <c r="F236" s="368"/>
    </row>
    <row r="237" spans="2:6" ht="3" customHeight="1" x14ac:dyDescent="0.25">
      <c r="B237" s="31"/>
      <c r="D237" s="368"/>
      <c r="F237" s="368"/>
    </row>
    <row r="238" spans="2:6" ht="3" customHeight="1" x14ac:dyDescent="0.25">
      <c r="B238" s="31"/>
      <c r="D238" s="368"/>
      <c r="F238" s="368"/>
    </row>
    <row r="239" spans="2:6" ht="3" customHeight="1" x14ac:dyDescent="0.25">
      <c r="B239" s="31"/>
      <c r="D239" s="368"/>
      <c r="F239" s="368"/>
    </row>
    <row r="240" spans="2:6" ht="3" customHeight="1" x14ac:dyDescent="0.25">
      <c r="B240" s="31"/>
      <c r="D240" s="368"/>
      <c r="F240" s="368"/>
    </row>
    <row r="241" spans="2:6" ht="3" customHeight="1" x14ac:dyDescent="0.25">
      <c r="B241" s="31"/>
      <c r="D241" s="368"/>
      <c r="F241" s="368"/>
    </row>
    <row r="242" spans="2:6" ht="3" customHeight="1" x14ac:dyDescent="0.25">
      <c r="B242" s="31"/>
      <c r="D242" s="368"/>
      <c r="F242" s="368"/>
    </row>
    <row r="243" spans="2:6" ht="3" customHeight="1" x14ac:dyDescent="0.25">
      <c r="B243" s="31"/>
      <c r="D243" s="368"/>
      <c r="F243" s="368"/>
    </row>
    <row r="244" spans="2:6" ht="3" customHeight="1" x14ac:dyDescent="0.25">
      <c r="B244" s="31"/>
      <c r="D244" s="368"/>
      <c r="F244" s="368"/>
    </row>
    <row r="245" spans="2:6" ht="3" customHeight="1" x14ac:dyDescent="0.25">
      <c r="B245" s="31"/>
      <c r="D245" s="368"/>
      <c r="F245" s="368"/>
    </row>
    <row r="246" spans="2:6" ht="3" customHeight="1" x14ac:dyDescent="0.25">
      <c r="B246" s="31"/>
      <c r="D246" s="368"/>
      <c r="F246" s="368"/>
    </row>
    <row r="247" spans="2:6" ht="3" customHeight="1" x14ac:dyDescent="0.25">
      <c r="B247" s="31"/>
      <c r="D247" s="368"/>
      <c r="F247" s="368"/>
    </row>
    <row r="248" spans="2:6" ht="3" customHeight="1" x14ac:dyDescent="0.25">
      <c r="B248" s="31"/>
      <c r="D248" s="368"/>
      <c r="F248" s="368"/>
    </row>
    <row r="249" spans="2:6" ht="3" customHeight="1" x14ac:dyDescent="0.25">
      <c r="B249" s="31"/>
      <c r="D249" s="368"/>
      <c r="F249" s="368"/>
    </row>
    <row r="250" spans="2:6" ht="3" customHeight="1" x14ac:dyDescent="0.25">
      <c r="B250" s="31"/>
      <c r="D250" s="368"/>
      <c r="F250" s="368"/>
    </row>
    <row r="251" spans="2:6" ht="3" customHeight="1" x14ac:dyDescent="0.25">
      <c r="B251" s="31"/>
      <c r="D251" s="368"/>
      <c r="F251" s="368"/>
    </row>
    <row r="252" spans="2:6" ht="3" customHeight="1" x14ac:dyDescent="0.25">
      <c r="B252" s="31"/>
      <c r="D252" s="368"/>
      <c r="F252" s="368"/>
    </row>
    <row r="253" spans="2:6" ht="3" customHeight="1" x14ac:dyDescent="0.25">
      <c r="B253" s="31"/>
      <c r="D253" s="368"/>
      <c r="F253" s="368"/>
    </row>
    <row r="254" spans="2:6" ht="3" customHeight="1" x14ac:dyDescent="0.25">
      <c r="B254" s="31"/>
      <c r="D254" s="368"/>
      <c r="F254" s="368"/>
    </row>
    <row r="255" spans="2:6" ht="3" customHeight="1" x14ac:dyDescent="0.25">
      <c r="B255" s="31"/>
      <c r="D255" s="368"/>
      <c r="F255" s="368"/>
    </row>
    <row r="256" spans="2:6" ht="3" customHeight="1" x14ac:dyDescent="0.25">
      <c r="B256" s="31"/>
      <c r="D256" s="368"/>
      <c r="F256" s="368"/>
    </row>
    <row r="257" spans="2:6" ht="3" customHeight="1" x14ac:dyDescent="0.25">
      <c r="B257" s="31"/>
      <c r="D257" s="368"/>
      <c r="F257" s="368"/>
    </row>
    <row r="258" spans="2:6" ht="3" customHeight="1" x14ac:dyDescent="0.25">
      <c r="B258" s="31"/>
      <c r="D258" s="368"/>
      <c r="F258" s="368"/>
    </row>
    <row r="259" spans="2:6" ht="3" customHeight="1" x14ac:dyDescent="0.25">
      <c r="B259" s="31"/>
      <c r="D259" s="368"/>
      <c r="F259" s="368"/>
    </row>
    <row r="260" spans="2:6" ht="3" customHeight="1" x14ac:dyDescent="0.25">
      <c r="B260" s="31"/>
      <c r="D260" s="368"/>
      <c r="F260" s="368"/>
    </row>
    <row r="261" spans="2:6" ht="3" customHeight="1" x14ac:dyDescent="0.25">
      <c r="B261" s="31"/>
      <c r="D261" s="368"/>
      <c r="F261" s="368"/>
    </row>
    <row r="262" spans="2:6" ht="3" customHeight="1" x14ac:dyDescent="0.25">
      <c r="B262" s="31"/>
      <c r="D262" s="368"/>
      <c r="F262" s="368"/>
    </row>
    <row r="263" spans="2:6" ht="3" customHeight="1" x14ac:dyDescent="0.25">
      <c r="B263" s="31"/>
      <c r="D263" s="368"/>
      <c r="F263" s="368"/>
    </row>
    <row r="264" spans="2:6" ht="3" customHeight="1" x14ac:dyDescent="0.25">
      <c r="B264" s="31"/>
      <c r="D264" s="368"/>
      <c r="F264" s="368"/>
    </row>
    <row r="265" spans="2:6" ht="3" customHeight="1" x14ac:dyDescent="0.25">
      <c r="B265" s="31"/>
      <c r="D265" s="368"/>
      <c r="F265" s="368"/>
    </row>
    <row r="266" spans="2:6" ht="3" customHeight="1" x14ac:dyDescent="0.25">
      <c r="B266" s="31"/>
      <c r="D266" s="368"/>
      <c r="F266" s="368"/>
    </row>
    <row r="267" spans="2:6" ht="3" customHeight="1" x14ac:dyDescent="0.25">
      <c r="B267" s="31"/>
      <c r="D267" s="368"/>
      <c r="F267" s="368"/>
    </row>
    <row r="268" spans="2:6" ht="3" customHeight="1" x14ac:dyDescent="0.25">
      <c r="B268" s="31"/>
      <c r="D268" s="368"/>
      <c r="F268" s="368"/>
    </row>
    <row r="269" spans="2:6" ht="3" customHeight="1" x14ac:dyDescent="0.25">
      <c r="B269" s="31"/>
      <c r="D269" s="368"/>
      <c r="F269" s="368"/>
    </row>
    <row r="270" spans="2:6" ht="3" customHeight="1" x14ac:dyDescent="0.25">
      <c r="B270" s="31"/>
      <c r="D270" s="368"/>
      <c r="F270" s="368"/>
    </row>
    <row r="271" spans="2:6" ht="3" customHeight="1" x14ac:dyDescent="0.25">
      <c r="B271" s="31"/>
      <c r="D271" s="368"/>
      <c r="F271" s="368"/>
    </row>
    <row r="272" spans="2:6" ht="3" customHeight="1" x14ac:dyDescent="0.25">
      <c r="B272" s="31"/>
      <c r="D272" s="368"/>
      <c r="F272" s="368"/>
    </row>
    <row r="273" spans="2:6" ht="3" customHeight="1" x14ac:dyDescent="0.25">
      <c r="B273" s="31"/>
      <c r="D273" s="368"/>
      <c r="F273" s="368"/>
    </row>
    <row r="274" spans="2:6" ht="3" customHeight="1" x14ac:dyDescent="0.25">
      <c r="B274" s="31"/>
      <c r="D274" s="368"/>
      <c r="F274" s="368"/>
    </row>
    <row r="275" spans="2:6" ht="3" customHeight="1" x14ac:dyDescent="0.25">
      <c r="B275" s="31"/>
      <c r="D275" s="368"/>
      <c r="F275" s="368"/>
    </row>
    <row r="276" spans="2:6" ht="3" customHeight="1" x14ac:dyDescent="0.25">
      <c r="B276" s="31"/>
      <c r="D276" s="368"/>
      <c r="F276" s="368"/>
    </row>
    <row r="277" spans="2:6" ht="3" customHeight="1" x14ac:dyDescent="0.25">
      <c r="B277" s="31"/>
      <c r="D277" s="368"/>
      <c r="F277" s="368"/>
    </row>
    <row r="278" spans="2:6" ht="3" customHeight="1" x14ac:dyDescent="0.25">
      <c r="B278" s="31"/>
      <c r="D278" s="368"/>
      <c r="F278" s="368"/>
    </row>
    <row r="279" spans="2:6" ht="3" customHeight="1" x14ac:dyDescent="0.25">
      <c r="B279" s="31"/>
      <c r="D279" s="368"/>
      <c r="F279" s="368"/>
    </row>
    <row r="280" spans="2:6" ht="3" customHeight="1" x14ac:dyDescent="0.25">
      <c r="B280" s="31"/>
      <c r="D280" s="368"/>
      <c r="F280" s="368"/>
    </row>
    <row r="281" spans="2:6" ht="3" customHeight="1" x14ac:dyDescent="0.25">
      <c r="B281" s="31"/>
      <c r="D281" s="368"/>
      <c r="F281" s="368"/>
    </row>
    <row r="282" spans="2:6" ht="3" customHeight="1" x14ac:dyDescent="0.25">
      <c r="B282" s="31"/>
      <c r="D282" s="368"/>
      <c r="F282" s="368"/>
    </row>
    <row r="283" spans="2:6" ht="3" customHeight="1" x14ac:dyDescent="0.25">
      <c r="B283" s="31"/>
      <c r="D283" s="368"/>
      <c r="F283" s="368"/>
    </row>
    <row r="284" spans="2:6" ht="3" customHeight="1" x14ac:dyDescent="0.25">
      <c r="B284" s="31"/>
      <c r="D284" s="368"/>
      <c r="F284" s="368"/>
    </row>
    <row r="285" spans="2:6" ht="3" customHeight="1" x14ac:dyDescent="0.25">
      <c r="B285" s="31"/>
      <c r="D285" s="368"/>
      <c r="F285" s="368"/>
    </row>
    <row r="286" spans="2:6" ht="3" customHeight="1" x14ac:dyDescent="0.25">
      <c r="B286" s="31"/>
      <c r="D286" s="368"/>
      <c r="F286" s="368"/>
    </row>
    <row r="287" spans="2:6" ht="3" customHeight="1" x14ac:dyDescent="0.25">
      <c r="B287" s="31"/>
      <c r="D287" s="368"/>
      <c r="F287" s="368"/>
    </row>
    <row r="288" spans="2:6" ht="3" customHeight="1" x14ac:dyDescent="0.25">
      <c r="B288" s="31"/>
      <c r="D288" s="368"/>
      <c r="F288" s="368"/>
    </row>
    <row r="289" spans="2:6" ht="3" customHeight="1" x14ac:dyDescent="0.25">
      <c r="B289" s="31"/>
      <c r="D289" s="368"/>
      <c r="F289" s="368"/>
    </row>
    <row r="290" spans="2:6" ht="3" customHeight="1" x14ac:dyDescent="0.25">
      <c r="B290" s="31"/>
      <c r="D290" s="368"/>
      <c r="F290" s="368"/>
    </row>
    <row r="291" spans="2:6" ht="3" customHeight="1" x14ac:dyDescent="0.25">
      <c r="B291" s="31"/>
      <c r="D291" s="368"/>
      <c r="F291" s="368"/>
    </row>
    <row r="292" spans="2:6" ht="3" customHeight="1" x14ac:dyDescent="0.25">
      <c r="B292" s="31"/>
      <c r="D292" s="368"/>
      <c r="F292" s="368"/>
    </row>
    <row r="293" spans="2:6" ht="3" customHeight="1" x14ac:dyDescent="0.25">
      <c r="B293" s="31"/>
      <c r="D293" s="368"/>
      <c r="F293" s="368"/>
    </row>
    <row r="294" spans="2:6" ht="3" customHeight="1" x14ac:dyDescent="0.25">
      <c r="B294" s="31"/>
      <c r="D294" s="368"/>
      <c r="F294" s="368"/>
    </row>
    <row r="295" spans="2:6" ht="3" customHeight="1" x14ac:dyDescent="0.25">
      <c r="B295" s="31"/>
      <c r="D295" s="368"/>
      <c r="F295" s="368"/>
    </row>
    <row r="296" spans="2:6" ht="3" customHeight="1" x14ac:dyDescent="0.25">
      <c r="B296" s="31"/>
      <c r="D296" s="368"/>
      <c r="F296" s="368"/>
    </row>
    <row r="297" spans="2:6" ht="3" customHeight="1" x14ac:dyDescent="0.25">
      <c r="B297" s="31"/>
      <c r="D297" s="368"/>
      <c r="F297" s="368"/>
    </row>
    <row r="298" spans="2:6" ht="3" customHeight="1" x14ac:dyDescent="0.25">
      <c r="B298" s="31"/>
      <c r="D298" s="368"/>
      <c r="F298" s="368"/>
    </row>
    <row r="299" spans="2:6" ht="3" customHeight="1" x14ac:dyDescent="0.25">
      <c r="B299" s="31"/>
      <c r="D299" s="368"/>
      <c r="F299" s="368"/>
    </row>
    <row r="300" spans="2:6" ht="3" customHeight="1" x14ac:dyDescent="0.25">
      <c r="B300" s="31"/>
      <c r="D300" s="368"/>
      <c r="F300" s="368"/>
    </row>
    <row r="301" spans="2:6" ht="3" customHeight="1" x14ac:dyDescent="0.25">
      <c r="B301" s="31"/>
      <c r="D301" s="368"/>
      <c r="F301" s="368"/>
    </row>
    <row r="302" spans="2:6" ht="3" customHeight="1" x14ac:dyDescent="0.25">
      <c r="B302" s="31"/>
      <c r="D302" s="368"/>
      <c r="F302" s="368"/>
    </row>
    <row r="303" spans="2:6" ht="3" customHeight="1" x14ac:dyDescent="0.25">
      <c r="B303" s="31"/>
      <c r="D303" s="368"/>
      <c r="F303" s="368"/>
    </row>
    <row r="304" spans="2:6" ht="3" customHeight="1" x14ac:dyDescent="0.25">
      <c r="B304" s="31"/>
      <c r="D304" s="368"/>
      <c r="F304" s="368"/>
    </row>
    <row r="305" spans="2:6" ht="3" customHeight="1" x14ac:dyDescent="0.25">
      <c r="B305" s="31"/>
      <c r="D305" s="368"/>
      <c r="F305" s="368"/>
    </row>
    <row r="306" spans="2:6" ht="3" customHeight="1" x14ac:dyDescent="0.25">
      <c r="B306" s="31"/>
      <c r="D306" s="368"/>
      <c r="F306" s="368"/>
    </row>
    <row r="307" spans="2:6" ht="3" customHeight="1" x14ac:dyDescent="0.25">
      <c r="B307" s="31"/>
      <c r="D307" s="368"/>
      <c r="F307" s="368"/>
    </row>
    <row r="308" spans="2:6" ht="3" customHeight="1" x14ac:dyDescent="0.25">
      <c r="B308" s="31"/>
      <c r="D308" s="368"/>
      <c r="F308" s="368"/>
    </row>
    <row r="309" spans="2:6" ht="3" customHeight="1" x14ac:dyDescent="0.25">
      <c r="B309" s="31"/>
      <c r="D309" s="368"/>
      <c r="F309" s="368"/>
    </row>
    <row r="310" spans="2:6" ht="3" customHeight="1" x14ac:dyDescent="0.25">
      <c r="B310" s="31"/>
      <c r="D310" s="368"/>
      <c r="F310" s="368"/>
    </row>
    <row r="311" spans="2:6" ht="3" customHeight="1" x14ac:dyDescent="0.25">
      <c r="B311" s="31"/>
      <c r="D311" s="368"/>
      <c r="F311" s="368"/>
    </row>
    <row r="312" spans="2:6" ht="3" customHeight="1" x14ac:dyDescent="0.25">
      <c r="B312" s="31"/>
      <c r="D312" s="368"/>
      <c r="F312" s="368"/>
    </row>
    <row r="313" spans="2:6" ht="3" customHeight="1" x14ac:dyDescent="0.25">
      <c r="B313" s="31"/>
      <c r="D313" s="368"/>
      <c r="F313" s="368"/>
    </row>
    <row r="314" spans="2:6" ht="3" customHeight="1" x14ac:dyDescent="0.25">
      <c r="B314" s="31"/>
      <c r="D314" s="368"/>
      <c r="F314" s="368"/>
    </row>
    <row r="315" spans="2:6" ht="3" customHeight="1" x14ac:dyDescent="0.25">
      <c r="B315" s="31"/>
      <c r="D315" s="368"/>
      <c r="F315" s="368"/>
    </row>
    <row r="316" spans="2:6" ht="3" customHeight="1" x14ac:dyDescent="0.25">
      <c r="B316" s="31"/>
      <c r="D316" s="368"/>
      <c r="F316" s="368"/>
    </row>
    <row r="317" spans="2:6" ht="3" customHeight="1" x14ac:dyDescent="0.25">
      <c r="B317" s="31"/>
      <c r="D317" s="368"/>
      <c r="F317" s="368"/>
    </row>
    <row r="318" spans="2:6" ht="3" customHeight="1" x14ac:dyDescent="0.25">
      <c r="B318" s="31"/>
      <c r="D318" s="368"/>
      <c r="F318" s="368"/>
    </row>
    <row r="319" spans="2:6" ht="3" customHeight="1" x14ac:dyDescent="0.25">
      <c r="B319" s="31"/>
      <c r="D319" s="368"/>
      <c r="F319" s="368"/>
    </row>
    <row r="320" spans="2:6" ht="3" customHeight="1" x14ac:dyDescent="0.25">
      <c r="B320" s="31"/>
      <c r="D320" s="368"/>
      <c r="F320" s="368"/>
    </row>
    <row r="321" spans="2:6" ht="3" customHeight="1" x14ac:dyDescent="0.25">
      <c r="B321" s="31"/>
      <c r="D321" s="368"/>
      <c r="F321" s="368"/>
    </row>
    <row r="322" spans="2:6" ht="3" customHeight="1" x14ac:dyDescent="0.25">
      <c r="B322" s="31"/>
      <c r="D322" s="368"/>
      <c r="F322" s="368"/>
    </row>
    <row r="323" spans="2:6" ht="3" customHeight="1" x14ac:dyDescent="0.25">
      <c r="B323" s="31"/>
      <c r="D323" s="368"/>
      <c r="F323" s="368"/>
    </row>
    <row r="324" spans="2:6" ht="3" customHeight="1" x14ac:dyDescent="0.25">
      <c r="B324" s="31"/>
      <c r="D324" s="368"/>
      <c r="F324" s="368"/>
    </row>
    <row r="325" spans="2:6" ht="3" customHeight="1" x14ac:dyDescent="0.25">
      <c r="B325" s="31"/>
      <c r="D325" s="368"/>
      <c r="F325" s="368"/>
    </row>
    <row r="326" spans="2:6" ht="3" customHeight="1" x14ac:dyDescent="0.25">
      <c r="B326" s="31"/>
      <c r="D326" s="368"/>
      <c r="F326" s="368"/>
    </row>
    <row r="327" spans="2:6" ht="3" customHeight="1" x14ac:dyDescent="0.25">
      <c r="B327" s="31"/>
      <c r="D327" s="368"/>
      <c r="F327" s="368"/>
    </row>
    <row r="328" spans="2:6" ht="3" customHeight="1" x14ac:dyDescent="0.25">
      <c r="B328" s="31"/>
      <c r="D328" s="368"/>
      <c r="F328" s="368"/>
    </row>
    <row r="329" spans="2:6" ht="3" customHeight="1" x14ac:dyDescent="0.25">
      <c r="B329" s="31"/>
      <c r="D329" s="368"/>
      <c r="F329" s="368"/>
    </row>
    <row r="330" spans="2:6" ht="3" customHeight="1" x14ac:dyDescent="0.25">
      <c r="B330" s="31"/>
      <c r="D330" s="368"/>
      <c r="F330" s="368"/>
    </row>
    <row r="331" spans="2:6" ht="3" customHeight="1" x14ac:dyDescent="0.25">
      <c r="B331" s="31"/>
      <c r="D331" s="368"/>
      <c r="F331" s="368"/>
    </row>
    <row r="332" spans="2:6" ht="3" customHeight="1" x14ac:dyDescent="0.25">
      <c r="B332" s="31"/>
      <c r="D332" s="368"/>
      <c r="F332" s="368"/>
    </row>
    <row r="333" spans="2:6" ht="3" customHeight="1" x14ac:dyDescent="0.25">
      <c r="B333" s="31"/>
      <c r="D333" s="368"/>
      <c r="F333" s="368"/>
    </row>
    <row r="334" spans="2:6" ht="3" customHeight="1" x14ac:dyDescent="0.25">
      <c r="B334" s="31"/>
      <c r="D334" s="368"/>
      <c r="F334" s="368"/>
    </row>
    <row r="335" spans="2:6" ht="3" customHeight="1" x14ac:dyDescent="0.25">
      <c r="B335" s="31"/>
      <c r="D335" s="368"/>
      <c r="F335" s="368"/>
    </row>
    <row r="336" spans="2:6" ht="3" customHeight="1" x14ac:dyDescent="0.25">
      <c r="B336" s="31"/>
      <c r="D336" s="368"/>
      <c r="F336" s="368"/>
    </row>
    <row r="337" spans="2:6" ht="3" customHeight="1" x14ac:dyDescent="0.25">
      <c r="B337" s="31"/>
      <c r="D337" s="368"/>
      <c r="F337" s="368"/>
    </row>
    <row r="338" spans="2:6" ht="3" customHeight="1" x14ac:dyDescent="0.25">
      <c r="B338" s="31"/>
      <c r="D338" s="368"/>
      <c r="F338" s="368"/>
    </row>
    <row r="339" spans="2:6" ht="3" customHeight="1" x14ac:dyDescent="0.25">
      <c r="B339" s="31"/>
      <c r="D339" s="368"/>
      <c r="F339" s="368"/>
    </row>
    <row r="340" spans="2:6" ht="3" customHeight="1" x14ac:dyDescent="0.25">
      <c r="B340" s="31"/>
      <c r="D340" s="368"/>
      <c r="F340" s="368"/>
    </row>
    <row r="341" spans="2:6" ht="3" customHeight="1" x14ac:dyDescent="0.25">
      <c r="B341" s="31"/>
      <c r="D341" s="368"/>
      <c r="F341" s="368"/>
    </row>
    <row r="342" spans="2:6" ht="3" customHeight="1" x14ac:dyDescent="0.25">
      <c r="B342" s="31"/>
      <c r="D342" s="368"/>
      <c r="F342" s="368"/>
    </row>
    <row r="343" spans="2:6" ht="3" customHeight="1" x14ac:dyDescent="0.25">
      <c r="B343" s="31"/>
      <c r="D343" s="368"/>
      <c r="F343" s="368"/>
    </row>
    <row r="344" spans="2:6" ht="3" customHeight="1" x14ac:dyDescent="0.25">
      <c r="B344" s="31"/>
      <c r="D344" s="368"/>
      <c r="F344" s="368"/>
    </row>
    <row r="345" spans="2:6" ht="3" customHeight="1" x14ac:dyDescent="0.25">
      <c r="B345" s="31"/>
      <c r="D345" s="368"/>
      <c r="F345" s="368"/>
    </row>
    <row r="346" spans="2:6" ht="3" customHeight="1" x14ac:dyDescent="0.25">
      <c r="B346" s="31"/>
      <c r="D346" s="368"/>
      <c r="F346" s="368"/>
    </row>
    <row r="347" spans="2:6" ht="3" customHeight="1" x14ac:dyDescent="0.25">
      <c r="B347" s="31"/>
      <c r="D347" s="368"/>
      <c r="F347" s="368"/>
    </row>
  </sheetData>
  <sheetProtection algorithmName="SHA-512" hashValue="qU73q10/UVp3HtQBuqs0aBqZ8oM0HCmzbMzoc0/fLJ51W8kN27GtqIk3fRdSNfWdt903fbVyvJ1zaej2tmKojw==" saltValue="3kuhhh0+4POHMfniTO+ZBg==" spinCount="100000" sheet="1" objects="1" scenarios="1" selectLockedCells="1" selectUnlockedCells="1"/>
  <sortState xmlns:xlrd2="http://schemas.microsoft.com/office/spreadsheetml/2017/richdata2" ref="A2:D46">
    <sortCondition descending="1" ref="D2:D46"/>
  </sortState>
  <pageMargins left="0.7" right="0.7" top="0.75" bottom="0.75" header="0.3" footer="0.3"/>
  <pageSetup scale="74"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BE682-9FFA-4ED0-94EC-0117EFB55F38}">
  <sheetPr codeName="Hoja11">
    <tabColor rgb="FFFFFF00"/>
  </sheetPr>
  <dimension ref="A1:AO354"/>
  <sheetViews>
    <sheetView showOutlineSymbols="0" showWhiteSpace="0" topLeftCell="Y1" workbookViewId="0">
      <selection activeCell="Y1" sqref="A1:XFD1048576"/>
    </sheetView>
  </sheetViews>
  <sheetFormatPr baseColWidth="10" defaultRowHeight="3" customHeight="1" x14ac:dyDescent="0.25"/>
  <cols>
    <col min="1" max="2" width="10.85546875" hidden="1" customWidth="1"/>
    <col min="3" max="3" width="22.28515625" hidden="1" customWidth="1"/>
    <col min="4" max="4" width="16" style="31" hidden="1" customWidth="1"/>
    <col min="5" max="5" width="15.140625" style="31" hidden="1" customWidth="1"/>
    <col min="6" max="7" width="10.85546875" hidden="1" customWidth="1"/>
    <col min="8" max="8" width="20.85546875" hidden="1" customWidth="1"/>
    <col min="9" max="18" width="17" hidden="1" customWidth="1"/>
    <col min="19" max="19" width="14.140625" hidden="1" customWidth="1"/>
    <col min="20" max="20" width="8" hidden="1" customWidth="1"/>
    <col min="21" max="21" width="22.28515625" hidden="1" customWidth="1"/>
    <col min="22" max="22" width="16.28515625" hidden="1" customWidth="1"/>
    <col min="23" max="23" width="20.5703125" style="6" hidden="1" customWidth="1"/>
    <col min="24" max="24" width="17" hidden="1" customWidth="1"/>
    <col min="25" max="25" width="17" customWidth="1"/>
    <col min="26" max="26" width="12.28515625" customWidth="1"/>
    <col min="27" max="27" width="12.85546875" customWidth="1"/>
    <col min="28" max="28" width="26.7109375" customWidth="1"/>
    <col min="29" max="29" width="42.140625" bestFit="1" customWidth="1"/>
    <col min="32" max="32" width="11.7109375" customWidth="1"/>
    <col min="33" max="33" width="8" bestFit="1" customWidth="1"/>
    <col min="34" max="34" width="26" customWidth="1"/>
    <col min="35" max="35" width="16.28515625" bestFit="1" customWidth="1"/>
    <col min="39" max="39" width="8" bestFit="1" customWidth="1"/>
    <col min="40" max="40" width="22.28515625" bestFit="1" customWidth="1"/>
    <col min="41" max="41" width="21.85546875" bestFit="1" customWidth="1"/>
  </cols>
  <sheetData>
    <row r="1" spans="1:41" ht="3" customHeight="1" thickBot="1" x14ac:dyDescent="0.3">
      <c r="A1" s="406" t="s">
        <v>1109</v>
      </c>
      <c r="B1" s="406">
        <f>COUNTIF($H$4:$H$349,"&lt;&gt;"&amp;A2)</f>
        <v>302</v>
      </c>
      <c r="C1" s="415">
        <f>SUMIF($I$4:$I$349,"&gt;0",$A$4:$A$349)-SUM(Z3:Z368)</f>
        <v>0</v>
      </c>
      <c r="D1" s="415"/>
      <c r="E1" s="415"/>
      <c r="F1" s="416" t="str">
        <f>+COEFyDISTR_FET!G6</f>
        <v>&lt;=</v>
      </c>
      <c r="G1" s="416" t="str">
        <f>+COEFyDISTR_FET!H6</f>
        <v>&gt;</v>
      </c>
      <c r="H1" s="406"/>
      <c r="I1" s="406"/>
      <c r="J1" s="407" t="s">
        <v>1115</v>
      </c>
      <c r="K1" s="407"/>
      <c r="L1" s="407"/>
      <c r="M1" s="407"/>
      <c r="N1" s="407"/>
      <c r="O1" s="407"/>
      <c r="P1" s="407"/>
      <c r="Q1" s="407"/>
      <c r="S1" s="424" t="s">
        <v>1116</v>
      </c>
      <c r="T1" s="424"/>
      <c r="U1" s="424"/>
      <c r="V1" s="424"/>
      <c r="W1" s="423">
        <f>COUNTIF($W$4:$W$349,"SI")</f>
        <v>45</v>
      </c>
      <c r="Z1" s="407" t="str">
        <f>"TABLA PARA DECRETO FONDO EQUIDAD TERRITORIAL - "&amp;COEFyDISTR_FET!$D$6</f>
        <v>TABLA PARA DECRETO FONDO EQUIDAD TERRITORIAL - FET 2026</v>
      </c>
      <c r="AA1" s="407"/>
      <c r="AB1" s="407"/>
      <c r="AC1" s="407"/>
      <c r="AF1" s="407" t="str">
        <f>+Z1</f>
        <v>TABLA PARA DECRETO FONDO EQUIDAD TERRITORIAL - FET 2026</v>
      </c>
      <c r="AG1" s="130"/>
      <c r="AH1" s="130"/>
      <c r="AI1" s="130"/>
      <c r="AL1" s="409" t="s">
        <v>1112</v>
      </c>
      <c r="AM1" s="410"/>
      <c r="AN1" s="410"/>
      <c r="AO1" s="410"/>
    </row>
    <row r="2" spans="1:41" ht="3" customHeight="1" thickBot="1" x14ac:dyDescent="0.35">
      <c r="A2" s="417" t="s">
        <v>1105</v>
      </c>
      <c r="B2" s="406">
        <f>COUNTIF($H$4:$H$349,A2)</f>
        <v>44</v>
      </c>
      <c r="C2" s="418" t="s">
        <v>1110</v>
      </c>
      <c r="D2" s="419"/>
      <c r="E2" s="419"/>
      <c r="F2" s="420">
        <f>+COEFyDISTR_FET!G7</f>
        <v>0.8</v>
      </c>
      <c r="G2" s="420">
        <f>+COEFyDISTR_FET!H7</f>
        <v>0.5</v>
      </c>
      <c r="H2" s="406"/>
      <c r="I2" s="406"/>
      <c r="J2" s="407" t="s">
        <v>1106</v>
      </c>
      <c r="K2" s="407"/>
      <c r="L2" s="407"/>
      <c r="M2" s="407"/>
      <c r="N2" s="407" t="s">
        <v>1107</v>
      </c>
      <c r="O2" s="407"/>
      <c r="P2" s="407"/>
      <c r="Q2" s="407"/>
      <c r="S2" s="424"/>
      <c r="T2" s="424"/>
      <c r="U2" s="424"/>
      <c r="V2" s="424"/>
      <c r="W2" s="423" t="s">
        <v>1114</v>
      </c>
      <c r="Z2" s="408" t="s">
        <v>1108</v>
      </c>
      <c r="AF2" s="408" t="s">
        <v>1111</v>
      </c>
      <c r="AL2" s="411" t="s">
        <v>1113</v>
      </c>
    </row>
    <row r="3" spans="1:41" ht="3" customHeight="1" thickBot="1" x14ac:dyDescent="0.3">
      <c r="A3" s="421" t="str">
        <f>+COEFyDISTR_FET!A8</f>
        <v>Código Único Territorial (CUT)</v>
      </c>
      <c r="B3" s="421" t="str">
        <f>+COEFyDISTR_FET!B8</f>
        <v>CONARA</v>
      </c>
      <c r="C3" s="421" t="str">
        <f>+COEFyDISTR_FET!C8</f>
        <v>COMUNA</v>
      </c>
      <c r="D3" s="422" t="str">
        <f>+COEFyDISTR_FET!D8</f>
        <v>IPP FET
(V+T) 2024</v>
      </c>
      <c r="E3" s="422" t="str">
        <f>+COEFyDISTR_FET!E8</f>
        <v>Total FCM - TGR (M$) Año 2024 (FET)</v>
      </c>
      <c r="F3" s="422" t="str">
        <f>+COEFyDISTR_FET!G8</f>
        <v xml:space="preserve">Percentil IP </v>
      </c>
      <c r="G3" s="422" t="str">
        <f>+COEFyDISTR_FET!H8</f>
        <v>Dependencia FCM 
FET (%)</v>
      </c>
      <c r="H3" s="421" t="s">
        <v>1135</v>
      </c>
      <c r="I3" s="421" t="str">
        <f>+COEFyDISTR_FET!AA8</f>
        <v>COEFICIENTE 
FET 2026</v>
      </c>
      <c r="J3" s="412" t="str">
        <f>+A3</f>
        <v>Código Único Territorial (CUT)</v>
      </c>
      <c r="K3" s="413" t="str">
        <f>+B3</f>
        <v>CONARA</v>
      </c>
      <c r="L3" s="413" t="str">
        <f>+C3</f>
        <v>COMUNA</v>
      </c>
      <c r="M3" s="414" t="str">
        <f>+H3</f>
        <v>Acceso</v>
      </c>
      <c r="N3" s="412" t="str">
        <f>+J3</f>
        <v>Código Único Territorial (CUT)</v>
      </c>
      <c r="O3" s="413" t="str">
        <f>+K3</f>
        <v>CONARA</v>
      </c>
      <c r="P3" s="413" t="str">
        <f>+L3</f>
        <v>COMUNA</v>
      </c>
      <c r="Q3" s="414" t="str">
        <f>+I3</f>
        <v>COEFICIENTE 
FET 2026</v>
      </c>
      <c r="R3" s="97"/>
      <c r="S3" s="425" t="str">
        <f>+COEFyDISTR_MINERO!A8</f>
        <v>Código Único Territorial (CUT)</v>
      </c>
      <c r="T3" s="426" t="str">
        <f>+COEFyDISTR_MINERO!B8</f>
        <v>CONARA</v>
      </c>
      <c r="U3" s="426" t="str">
        <f>+COEFyDISTR_MINERO!C8</f>
        <v>COMUNA</v>
      </c>
      <c r="V3" s="427" t="str">
        <f>+COEFyDISTR_MINERO!X8</f>
        <v>COEFICIENTE 
FCMi 2026</v>
      </c>
      <c r="W3" s="428" t="str">
        <f>+COEFyDISTR_MINERO!D8</f>
        <v>ACCESO COMUNAS MINERAS</v>
      </c>
      <c r="Y3" s="97"/>
      <c r="Z3" s="404" t="str" cm="1">
        <f t="array" ref="Z3:AC305">_xlfn._xlws.FILTER($J$3:$M$349,$M$3:$M$349&lt;&gt;$A$2)</f>
        <v>Código Único Territorial (CUT)</v>
      </c>
      <c r="AA3" s="404" t="str">
        <v>CONARA</v>
      </c>
      <c r="AB3" s="404" t="str">
        <v>COMUNA</v>
      </c>
      <c r="AC3" s="404" t="str">
        <v>Acceso</v>
      </c>
      <c r="AF3" s="404" t="str" cm="1">
        <f t="array" ref="AF3:AI305">_xlfn._xlws.FILTER($N$3:$Q$349,$Q$3:$Q$349&gt;0)</f>
        <v>Código Único Territorial (CUT)</v>
      </c>
      <c r="AG3" s="404" t="str">
        <v>CONARA</v>
      </c>
      <c r="AH3" s="404" t="str">
        <v>COMUNA</v>
      </c>
      <c r="AI3" s="404" t="str">
        <v>COEFICIENTE 
FET 2026</v>
      </c>
      <c r="AL3" s="404" t="str" cm="1">
        <f t="array" ref="AL3:AO48">_xlfn._xlws.FILTER($S$3:$V$349,$V$3:$V$349&gt;0)</f>
        <v>Código Único Territorial (CUT)</v>
      </c>
      <c r="AM3" s="404" t="str">
        <v>CONARA</v>
      </c>
      <c r="AN3" s="404" t="str">
        <v>COMUNA</v>
      </c>
      <c r="AO3" s="404" t="str">
        <v>COEFICIENTE 
FCMi 2026</v>
      </c>
    </row>
    <row r="4" spans="1:41" ht="3" customHeight="1" x14ac:dyDescent="0.25">
      <c r="A4" s="5">
        <f>+COEFyDISTR_FET!A9</f>
        <v>1101</v>
      </c>
      <c r="B4" s="5">
        <f>+COEFyDISTR_FET!B9</f>
        <v>1201</v>
      </c>
      <c r="C4" t="str">
        <f>+COEFyDISTR_FET!C9</f>
        <v>IQUIQUE</v>
      </c>
      <c r="D4" s="31">
        <f>+COEFyDISTR_FET!D9</f>
        <v>47463055</v>
      </c>
      <c r="E4" s="31">
        <f>+COEFyDISTR_FET!E9</f>
        <v>7042583.4210000001</v>
      </c>
      <c r="F4" s="403">
        <f>+COEFyDISTR_FET!G9</f>
        <v>0.94199999999999995</v>
      </c>
      <c r="G4" s="403">
        <f>+COEFyDISTR_FET!H9</f>
        <v>0.12920000000000001</v>
      </c>
      <c r="H4" s="402" t="str">
        <f>IF(D4=0,$A$2,VLOOKUP(COUNTIF(F4,$F$1&amp;$F$2)&amp;COUNTIF(G4,$G$1&amp;$G$2),PARAMETROS!$K$26:$L$30,2,0))</f>
        <v>Sin Acceso</v>
      </c>
      <c r="I4" s="96">
        <f>+COEFyDISTR_FET!AA9</f>
        <v>0</v>
      </c>
      <c r="J4" s="97">
        <f t="shared" ref="J4:J67" si="0">+A4</f>
        <v>1101</v>
      </c>
      <c r="K4" s="97">
        <f t="shared" ref="K4:K67" si="1">+B4</f>
        <v>1201</v>
      </c>
      <c r="L4" t="str">
        <f t="shared" ref="L4:L67" si="2">+C4</f>
        <v>IQUIQUE</v>
      </c>
      <c r="M4" t="str">
        <f t="shared" ref="M4:M67" si="3">+H4</f>
        <v>Sin Acceso</v>
      </c>
      <c r="N4" s="97">
        <f t="shared" ref="N4:N67" si="4">+J4</f>
        <v>1101</v>
      </c>
      <c r="O4" s="97">
        <f t="shared" ref="O4:O67" si="5">+K4</f>
        <v>1201</v>
      </c>
      <c r="P4" t="str">
        <f t="shared" ref="P4:P67" si="6">+L4</f>
        <v>IQUIQUE</v>
      </c>
      <c r="Q4" s="96">
        <f t="shared" ref="Q4:Q67" si="7">+I4</f>
        <v>0</v>
      </c>
      <c r="R4" s="96"/>
      <c r="S4">
        <f>+COEFyDISTR_MINERO!A9</f>
        <v>1101</v>
      </c>
      <c r="T4">
        <f>+COEFyDISTR_MINERO!B9</f>
        <v>1201</v>
      </c>
      <c r="U4" t="str">
        <f>+COEFyDISTR_MINERO!C9</f>
        <v>IQUIQUE</v>
      </c>
      <c r="V4" s="96">
        <f>+COEFyDISTR_MINERO!X9</f>
        <v>1.8978319379480003E-2</v>
      </c>
      <c r="W4" s="6" t="str">
        <f>+COEFyDISTR_MINERO!D9</f>
        <v>SI</v>
      </c>
      <c r="X4" s="96"/>
      <c r="Y4" s="96"/>
      <c r="Z4" s="1">
        <v>1107</v>
      </c>
      <c r="AA4" s="1">
        <v>1211</v>
      </c>
      <c r="AB4" s="1" t="str">
        <v>ALTO HOSPICIO</v>
      </c>
      <c r="AC4" s="1" t="str">
        <v>Entra por Criterio de Dependencia</v>
      </c>
      <c r="AF4" s="1">
        <v>1107</v>
      </c>
      <c r="AG4" s="1">
        <v>1211</v>
      </c>
      <c r="AH4" s="1" t="str">
        <v>ALTO HOSPICIO</v>
      </c>
      <c r="AI4" s="405">
        <v>1.1872842872650001E-2</v>
      </c>
      <c r="AL4" s="1">
        <v>1101</v>
      </c>
      <c r="AM4" s="1">
        <v>1201</v>
      </c>
      <c r="AN4" s="1" t="str">
        <v>IQUIQUE</v>
      </c>
      <c r="AO4" s="405">
        <v>1.8978319379480003E-2</v>
      </c>
    </row>
    <row r="5" spans="1:41" ht="3" customHeight="1" x14ac:dyDescent="0.25">
      <c r="A5" s="5">
        <f>+COEFyDISTR_FET!A10</f>
        <v>1107</v>
      </c>
      <c r="B5" s="5">
        <f>+COEFyDISTR_FET!B10</f>
        <v>1211</v>
      </c>
      <c r="C5" t="str">
        <f>+COEFyDISTR_FET!C10</f>
        <v>ALTO HOSPICIO</v>
      </c>
      <c r="D5" s="31">
        <f>+COEFyDISTR_FET!D10</f>
        <v>7784736</v>
      </c>
      <c r="E5" s="31">
        <f>+COEFyDISTR_FET!E10</f>
        <v>18343696.063999999</v>
      </c>
      <c r="F5" s="403">
        <f>+COEFyDISTR_FET!G10</f>
        <v>0.85699999999999998</v>
      </c>
      <c r="G5" s="403">
        <f>+COEFyDISTR_FET!H10</f>
        <v>0.70209999999999995</v>
      </c>
      <c r="H5" s="402" t="str">
        <f>IF(D5=0,$A$2,VLOOKUP(COUNTIF(F5,$F$1&amp;$F$2)&amp;COUNTIF(G5,$G$1&amp;$G$2),PARAMETROS!$K$26:$L$30,2,0))</f>
        <v>Entra por Criterio de Dependencia</v>
      </c>
      <c r="I5" s="96">
        <f>+COEFyDISTR_FET!AA10</f>
        <v>1.1872842872650001E-2</v>
      </c>
      <c r="J5" s="97">
        <f t="shared" si="0"/>
        <v>1107</v>
      </c>
      <c r="K5" s="97">
        <f t="shared" si="1"/>
        <v>1211</v>
      </c>
      <c r="L5" t="str">
        <f t="shared" si="2"/>
        <v>ALTO HOSPICIO</v>
      </c>
      <c r="M5" t="str">
        <f t="shared" si="3"/>
        <v>Entra por Criterio de Dependencia</v>
      </c>
      <c r="N5" s="97">
        <f t="shared" si="4"/>
        <v>1107</v>
      </c>
      <c r="O5" s="97">
        <f t="shared" si="5"/>
        <v>1211</v>
      </c>
      <c r="P5" t="str">
        <f t="shared" si="6"/>
        <v>ALTO HOSPICIO</v>
      </c>
      <c r="Q5" s="96">
        <f t="shared" si="7"/>
        <v>1.1872842872650001E-2</v>
      </c>
      <c r="R5" s="96"/>
      <c r="S5">
        <f>+COEFyDISTR_MINERO!A10</f>
        <v>1107</v>
      </c>
      <c r="T5">
        <f>+COEFyDISTR_MINERO!B10</f>
        <v>1211</v>
      </c>
      <c r="U5" t="str">
        <f>+COEFyDISTR_MINERO!C10</f>
        <v>ALTO HOSPICIO</v>
      </c>
      <c r="V5" s="96">
        <f>+COEFyDISTR_MINERO!X10</f>
        <v>0</v>
      </c>
      <c r="W5" s="6" t="str">
        <f>+COEFyDISTR_MINERO!D10</f>
        <v>No</v>
      </c>
      <c r="X5" s="96"/>
      <c r="Y5" s="96"/>
      <c r="Z5" s="1">
        <v>1401</v>
      </c>
      <c r="AA5" s="1">
        <v>1204</v>
      </c>
      <c r="AB5" s="1" t="str">
        <v>POZO ALMONTE</v>
      </c>
      <c r="AC5" s="1" t="str">
        <v>Entra por Criterio de Percentil</v>
      </c>
      <c r="AF5" s="1">
        <v>1401</v>
      </c>
      <c r="AG5" s="1">
        <v>1204</v>
      </c>
      <c r="AH5" s="1" t="str">
        <v>POZO ALMONTE</v>
      </c>
      <c r="AI5" s="405">
        <v>2.7124102168499999E-3</v>
      </c>
      <c r="AL5" s="1">
        <v>1405</v>
      </c>
      <c r="AM5" s="1">
        <v>1203</v>
      </c>
      <c r="AN5" s="1" t="str">
        <v>PICA</v>
      </c>
      <c r="AO5" s="405">
        <v>1.154998043828E-2</v>
      </c>
    </row>
    <row r="6" spans="1:41" ht="3" customHeight="1" x14ac:dyDescent="0.25">
      <c r="A6" s="5">
        <f>+COEFyDISTR_FET!A11</f>
        <v>1401</v>
      </c>
      <c r="B6" s="5">
        <f>+COEFyDISTR_FET!B11</f>
        <v>1204</v>
      </c>
      <c r="C6" t="str">
        <f>+COEFyDISTR_FET!C11</f>
        <v>POZO ALMONTE</v>
      </c>
      <c r="D6" s="31">
        <f>+COEFyDISTR_FET!D11</f>
        <v>7971392</v>
      </c>
      <c r="E6" s="31">
        <f>+COEFyDISTR_FET!E11</f>
        <v>3876729.787</v>
      </c>
      <c r="F6" s="403">
        <f>+COEFyDISTR_FET!G11</f>
        <v>0.64600000000000002</v>
      </c>
      <c r="G6" s="403">
        <f>+COEFyDISTR_FET!H11</f>
        <v>0.32719999999999999</v>
      </c>
      <c r="H6" s="402" t="str">
        <f>IF(D6=0,$A$2,VLOOKUP(COUNTIF(F6,$F$1&amp;$F$2)&amp;COUNTIF(G6,$G$1&amp;$G$2),PARAMETROS!$K$26:$L$30,2,0))</f>
        <v>Entra por Criterio de Percentil</v>
      </c>
      <c r="I6" s="96">
        <f>+COEFyDISTR_FET!AA11</f>
        <v>2.7124102168499999E-3</v>
      </c>
      <c r="J6" s="97">
        <f t="shared" si="0"/>
        <v>1401</v>
      </c>
      <c r="K6" s="97">
        <f t="shared" si="1"/>
        <v>1204</v>
      </c>
      <c r="L6" t="str">
        <f t="shared" si="2"/>
        <v>POZO ALMONTE</v>
      </c>
      <c r="M6" t="str">
        <f t="shared" si="3"/>
        <v>Entra por Criterio de Percentil</v>
      </c>
      <c r="N6" s="97">
        <f t="shared" si="4"/>
        <v>1401</v>
      </c>
      <c r="O6" s="97">
        <f t="shared" si="5"/>
        <v>1204</v>
      </c>
      <c r="P6" t="str">
        <f t="shared" si="6"/>
        <v>POZO ALMONTE</v>
      </c>
      <c r="Q6" s="96">
        <f t="shared" si="7"/>
        <v>2.7124102168499999E-3</v>
      </c>
      <c r="R6" s="96"/>
      <c r="S6">
        <f>+COEFyDISTR_MINERO!A11</f>
        <v>1401</v>
      </c>
      <c r="T6">
        <f>+COEFyDISTR_MINERO!B11</f>
        <v>1204</v>
      </c>
      <c r="U6" t="str">
        <f>+COEFyDISTR_MINERO!C11</f>
        <v>POZO ALMONTE</v>
      </c>
      <c r="V6" s="96">
        <f>+COEFyDISTR_MINERO!X11</f>
        <v>0</v>
      </c>
      <c r="W6" s="6" t="str">
        <f>+COEFyDISTR_MINERO!D11</f>
        <v>No</v>
      </c>
      <c r="X6" s="96"/>
      <c r="Y6" s="96"/>
      <c r="Z6" s="1">
        <v>1402</v>
      </c>
      <c r="AA6" s="1">
        <v>1208</v>
      </c>
      <c r="AB6" s="1" t="str">
        <v>CAMIÑA</v>
      </c>
      <c r="AC6" s="1" t="str">
        <v>Entra por Criterio de Dependencia y Percentil</v>
      </c>
      <c r="AF6" s="1">
        <v>1402</v>
      </c>
      <c r="AG6" s="1">
        <v>1208</v>
      </c>
      <c r="AH6" s="1" t="str">
        <v>CAMIÑA</v>
      </c>
      <c r="AI6" s="405">
        <v>1.8384959623499999E-3</v>
      </c>
      <c r="AL6" s="1">
        <v>2101</v>
      </c>
      <c r="AM6" s="1">
        <v>2201</v>
      </c>
      <c r="AN6" s="1" t="str">
        <v>ANTOFAGASTA</v>
      </c>
      <c r="AO6" s="405">
        <v>3.8972351882579997E-2</v>
      </c>
    </row>
    <row r="7" spans="1:41" ht="3" customHeight="1" x14ac:dyDescent="0.25">
      <c r="A7" s="5">
        <f>+COEFyDISTR_FET!A12</f>
        <v>1402</v>
      </c>
      <c r="B7" s="5">
        <f>+COEFyDISTR_FET!B12</f>
        <v>1208</v>
      </c>
      <c r="C7" t="str">
        <f>+COEFyDISTR_FET!C12</f>
        <v>CAMIÑA</v>
      </c>
      <c r="D7" s="31">
        <f>+COEFyDISTR_FET!D12</f>
        <v>142731</v>
      </c>
      <c r="E7" s="31">
        <f>+COEFyDISTR_FET!E12</f>
        <v>2498460.102</v>
      </c>
      <c r="F7" s="403">
        <f>+COEFyDISTR_FET!G12</f>
        <v>3.6999999999999998E-2</v>
      </c>
      <c r="G7" s="403">
        <f>+COEFyDISTR_FET!H12</f>
        <v>0.94599999999999995</v>
      </c>
      <c r="H7" s="402" t="str">
        <f>IF(D7=0,$A$2,VLOOKUP(COUNTIF(F7,$F$1&amp;$F$2)&amp;COUNTIF(G7,$G$1&amp;$G$2),PARAMETROS!$K$26:$L$30,2,0))</f>
        <v>Entra por Criterio de Dependencia y Percentil</v>
      </c>
      <c r="I7" s="96">
        <f>+COEFyDISTR_FET!AA12</f>
        <v>1.8384959623499999E-3</v>
      </c>
      <c r="J7" s="97">
        <f t="shared" si="0"/>
        <v>1402</v>
      </c>
      <c r="K7" s="97">
        <f t="shared" si="1"/>
        <v>1208</v>
      </c>
      <c r="L7" t="str">
        <f t="shared" si="2"/>
        <v>CAMIÑA</v>
      </c>
      <c r="M7" t="str">
        <f t="shared" si="3"/>
        <v>Entra por Criterio de Dependencia y Percentil</v>
      </c>
      <c r="N7" s="97">
        <f t="shared" si="4"/>
        <v>1402</v>
      </c>
      <c r="O7" s="97">
        <f t="shared" si="5"/>
        <v>1208</v>
      </c>
      <c r="P7" t="str">
        <f t="shared" si="6"/>
        <v>CAMIÑA</v>
      </c>
      <c r="Q7" s="96">
        <f t="shared" si="7"/>
        <v>1.8384959623499999E-3</v>
      </c>
      <c r="R7" s="96"/>
      <c r="S7">
        <f>+COEFyDISTR_MINERO!A12</f>
        <v>1402</v>
      </c>
      <c r="T7">
        <f>+COEFyDISTR_MINERO!B12</f>
        <v>1208</v>
      </c>
      <c r="U7" t="str">
        <f>+COEFyDISTR_MINERO!C12</f>
        <v>CAMIÑA</v>
      </c>
      <c r="V7" s="96">
        <f>+COEFyDISTR_MINERO!X12</f>
        <v>0</v>
      </c>
      <c r="W7" s="6" t="str">
        <f>+COEFyDISTR_MINERO!D12</f>
        <v>No</v>
      </c>
      <c r="X7" s="96"/>
      <c r="Y7" s="96"/>
      <c r="Z7" s="1">
        <v>1403</v>
      </c>
      <c r="AA7" s="1">
        <v>1210</v>
      </c>
      <c r="AB7" s="1" t="str">
        <v>COLCHANE</v>
      </c>
      <c r="AC7" s="1" t="str">
        <v>Entra por Criterio de Dependencia y Percentil</v>
      </c>
      <c r="AF7" s="1">
        <v>1403</v>
      </c>
      <c r="AG7" s="1">
        <v>1210</v>
      </c>
      <c r="AH7" s="1" t="str">
        <v>COLCHANE</v>
      </c>
      <c r="AI7" s="405">
        <v>1.7535263226500001E-3</v>
      </c>
      <c r="AL7" s="1">
        <v>2102</v>
      </c>
      <c r="AM7" s="1">
        <v>2203</v>
      </c>
      <c r="AN7" s="1" t="str">
        <v>MEJILLONES</v>
      </c>
      <c r="AO7" s="405">
        <v>1.3738917042880001E-2</v>
      </c>
    </row>
    <row r="8" spans="1:41" ht="3" customHeight="1" x14ac:dyDescent="0.25">
      <c r="A8" s="5">
        <f>+COEFyDISTR_FET!A13</f>
        <v>1403</v>
      </c>
      <c r="B8" s="5">
        <f>+COEFyDISTR_FET!B13</f>
        <v>1210</v>
      </c>
      <c r="C8" t="str">
        <f>+COEFyDISTR_FET!C13</f>
        <v>COLCHANE</v>
      </c>
      <c r="D8" s="31">
        <f>+COEFyDISTR_FET!D13</f>
        <v>687213</v>
      </c>
      <c r="E8" s="31">
        <f>+COEFyDISTR_FET!E13</f>
        <v>1972637.115</v>
      </c>
      <c r="F8" s="403">
        <f>+COEFyDISTR_FET!G13</f>
        <v>0.04</v>
      </c>
      <c r="G8" s="403">
        <f>+COEFyDISTR_FET!H13</f>
        <v>0.74160000000000004</v>
      </c>
      <c r="H8" s="402" t="str">
        <f>IF(D8=0,$A$2,VLOOKUP(COUNTIF(F8,$F$1&amp;$F$2)&amp;COUNTIF(G8,$G$1&amp;$G$2),PARAMETROS!$K$26:$L$30,2,0))</f>
        <v>Entra por Criterio de Dependencia y Percentil</v>
      </c>
      <c r="I8" s="96">
        <f>+COEFyDISTR_FET!AA13</f>
        <v>1.7535263226500001E-3</v>
      </c>
      <c r="J8" s="97">
        <f t="shared" si="0"/>
        <v>1403</v>
      </c>
      <c r="K8" s="97">
        <f t="shared" si="1"/>
        <v>1210</v>
      </c>
      <c r="L8" t="str">
        <f t="shared" si="2"/>
        <v>COLCHANE</v>
      </c>
      <c r="M8" t="str">
        <f t="shared" si="3"/>
        <v>Entra por Criterio de Dependencia y Percentil</v>
      </c>
      <c r="N8" s="97">
        <f t="shared" si="4"/>
        <v>1403</v>
      </c>
      <c r="O8" s="97">
        <f t="shared" si="5"/>
        <v>1210</v>
      </c>
      <c r="P8" t="str">
        <f t="shared" si="6"/>
        <v>COLCHANE</v>
      </c>
      <c r="Q8" s="96">
        <f t="shared" si="7"/>
        <v>1.7535263226500001E-3</v>
      </c>
      <c r="R8" s="96"/>
      <c r="S8">
        <f>+COEFyDISTR_MINERO!A13</f>
        <v>1403</v>
      </c>
      <c r="T8">
        <f>+COEFyDISTR_MINERO!B13</f>
        <v>1210</v>
      </c>
      <c r="U8" t="str">
        <f>+COEFyDISTR_MINERO!C13</f>
        <v>COLCHANE</v>
      </c>
      <c r="V8" s="96">
        <f>+COEFyDISTR_MINERO!X13</f>
        <v>0</v>
      </c>
      <c r="W8" s="6" t="str">
        <f>+COEFyDISTR_MINERO!D13</f>
        <v>No</v>
      </c>
      <c r="X8" s="96"/>
      <c r="Y8" s="96"/>
      <c r="Z8" s="1">
        <v>1404</v>
      </c>
      <c r="AA8" s="1">
        <v>1206</v>
      </c>
      <c r="AB8" s="1" t="str">
        <v>HUARA</v>
      </c>
      <c r="AC8" s="1" t="str">
        <v>Entra por Criterio de Dependencia y Percentil</v>
      </c>
      <c r="AF8" s="1">
        <v>1404</v>
      </c>
      <c r="AG8" s="1">
        <v>1206</v>
      </c>
      <c r="AH8" s="1" t="str">
        <v>HUARA</v>
      </c>
      <c r="AI8" s="405">
        <v>2.0942492392500003E-3</v>
      </c>
      <c r="AL8" s="1">
        <v>2103</v>
      </c>
      <c r="AM8" s="1">
        <v>2206</v>
      </c>
      <c r="AN8" s="1" t="str">
        <v>SIERRA GORDA</v>
      </c>
      <c r="AO8" s="405">
        <v>1.5479275598679999E-2</v>
      </c>
    </row>
    <row r="9" spans="1:41" ht="3" customHeight="1" x14ac:dyDescent="0.25">
      <c r="A9" s="5">
        <f>+COEFyDISTR_FET!A14</f>
        <v>1404</v>
      </c>
      <c r="B9" s="5">
        <f>+COEFyDISTR_FET!B14</f>
        <v>1206</v>
      </c>
      <c r="C9" t="str">
        <f>+COEFyDISTR_FET!C14</f>
        <v>HUARA</v>
      </c>
      <c r="D9" s="31">
        <f>+COEFyDISTR_FET!D14</f>
        <v>2293714</v>
      </c>
      <c r="E9" s="31">
        <f>+COEFyDISTR_FET!E14</f>
        <v>2758937.4</v>
      </c>
      <c r="F9" s="403">
        <f>+COEFyDISTR_FET!G14</f>
        <v>0.28899999999999998</v>
      </c>
      <c r="G9" s="403">
        <f>+COEFyDISTR_FET!H14</f>
        <v>0.54600000000000004</v>
      </c>
      <c r="H9" s="402" t="str">
        <f>IF(D9=0,$A$2,VLOOKUP(COUNTIF(F9,$F$1&amp;$F$2)&amp;COUNTIF(G9,$G$1&amp;$G$2),PARAMETROS!$K$26:$L$30,2,0))</f>
        <v>Entra por Criterio de Dependencia y Percentil</v>
      </c>
      <c r="I9" s="96">
        <f>+COEFyDISTR_FET!AA14</f>
        <v>2.0942492392500003E-3</v>
      </c>
      <c r="J9" s="97">
        <f t="shared" si="0"/>
        <v>1404</v>
      </c>
      <c r="K9" s="97">
        <f t="shared" si="1"/>
        <v>1206</v>
      </c>
      <c r="L9" t="str">
        <f t="shared" si="2"/>
        <v>HUARA</v>
      </c>
      <c r="M9" t="str">
        <f t="shared" si="3"/>
        <v>Entra por Criterio de Dependencia y Percentil</v>
      </c>
      <c r="N9" s="97">
        <f t="shared" si="4"/>
        <v>1404</v>
      </c>
      <c r="O9" s="97">
        <f t="shared" si="5"/>
        <v>1206</v>
      </c>
      <c r="P9" t="str">
        <f t="shared" si="6"/>
        <v>HUARA</v>
      </c>
      <c r="Q9" s="96">
        <f t="shared" si="7"/>
        <v>2.0942492392500003E-3</v>
      </c>
      <c r="R9" s="96"/>
      <c r="S9">
        <f>+COEFyDISTR_MINERO!A14</f>
        <v>1404</v>
      </c>
      <c r="T9">
        <f>+COEFyDISTR_MINERO!B14</f>
        <v>1206</v>
      </c>
      <c r="U9" t="str">
        <f>+COEFyDISTR_MINERO!C14</f>
        <v>HUARA</v>
      </c>
      <c r="V9" s="96">
        <f>+COEFyDISTR_MINERO!X14</f>
        <v>0</v>
      </c>
      <c r="W9" s="6" t="str">
        <f>+COEFyDISTR_MINERO!D14</f>
        <v>No</v>
      </c>
      <c r="X9" s="96"/>
      <c r="Y9" s="96"/>
      <c r="Z9" s="1">
        <v>1405</v>
      </c>
      <c r="AA9" s="1">
        <v>1203</v>
      </c>
      <c r="AB9" s="1" t="str">
        <v>PICA</v>
      </c>
      <c r="AC9" s="1" t="str">
        <v>Entra por Criterio de Percentil</v>
      </c>
      <c r="AF9" s="1">
        <v>1405</v>
      </c>
      <c r="AG9" s="1">
        <v>1203</v>
      </c>
      <c r="AH9" s="1" t="str">
        <v>PICA</v>
      </c>
      <c r="AI9" s="405">
        <v>1.9348322546500001E-3</v>
      </c>
      <c r="AL9" s="1">
        <v>2104</v>
      </c>
      <c r="AM9" s="1">
        <v>2202</v>
      </c>
      <c r="AN9" s="1" t="str">
        <v>TALTAL</v>
      </c>
      <c r="AO9" s="405">
        <v>1.6435102974279997E-2</v>
      </c>
    </row>
    <row r="10" spans="1:41" ht="3" customHeight="1" x14ac:dyDescent="0.25">
      <c r="A10" s="5">
        <f>+COEFyDISTR_FET!A15</f>
        <v>1405</v>
      </c>
      <c r="B10" s="5">
        <f>+COEFyDISTR_FET!B15</f>
        <v>1203</v>
      </c>
      <c r="C10" t="str">
        <f>+COEFyDISTR_FET!C15</f>
        <v>PICA</v>
      </c>
      <c r="D10" s="31">
        <f>+COEFyDISTR_FET!D15</f>
        <v>5592051</v>
      </c>
      <c r="E10" s="31">
        <f>+COEFyDISTR_FET!E15</f>
        <v>2423232.9160000002</v>
      </c>
      <c r="F10" s="403">
        <f>+COEFyDISTR_FET!G15</f>
        <v>0.498</v>
      </c>
      <c r="G10" s="403">
        <f>+COEFyDISTR_FET!H15</f>
        <v>0.30230000000000001</v>
      </c>
      <c r="H10" s="402" t="str">
        <f>IF(D10=0,$A$2,VLOOKUP(COUNTIF(F10,$F$1&amp;$F$2)&amp;COUNTIF(G10,$G$1&amp;$G$2),PARAMETROS!$K$26:$L$30,2,0))</f>
        <v>Entra por Criterio de Percentil</v>
      </c>
      <c r="I10" s="96">
        <f>+COEFyDISTR_FET!AA15</f>
        <v>1.9348322546500001E-3</v>
      </c>
      <c r="J10" s="97">
        <f t="shared" si="0"/>
        <v>1405</v>
      </c>
      <c r="K10" s="97">
        <f t="shared" si="1"/>
        <v>1203</v>
      </c>
      <c r="L10" t="str">
        <f t="shared" si="2"/>
        <v>PICA</v>
      </c>
      <c r="M10" t="str">
        <f t="shared" si="3"/>
        <v>Entra por Criterio de Percentil</v>
      </c>
      <c r="N10" s="97">
        <f t="shared" si="4"/>
        <v>1405</v>
      </c>
      <c r="O10" s="97">
        <f t="shared" si="5"/>
        <v>1203</v>
      </c>
      <c r="P10" t="str">
        <f t="shared" si="6"/>
        <v>PICA</v>
      </c>
      <c r="Q10" s="96">
        <f t="shared" si="7"/>
        <v>1.9348322546500001E-3</v>
      </c>
      <c r="R10" s="96"/>
      <c r="S10">
        <f>+COEFyDISTR_MINERO!A15</f>
        <v>1405</v>
      </c>
      <c r="T10">
        <f>+COEFyDISTR_MINERO!B15</f>
        <v>1203</v>
      </c>
      <c r="U10" t="str">
        <f>+COEFyDISTR_MINERO!C15</f>
        <v>PICA</v>
      </c>
      <c r="V10" s="96">
        <f>+COEFyDISTR_MINERO!X15</f>
        <v>1.154998043828E-2</v>
      </c>
      <c r="W10" s="6" t="str">
        <f>+COEFyDISTR_MINERO!D15</f>
        <v>SI</v>
      </c>
      <c r="X10" s="96"/>
      <c r="Y10" s="96"/>
      <c r="Z10" s="1">
        <v>2102</v>
      </c>
      <c r="AA10" s="1">
        <v>2203</v>
      </c>
      <c r="AB10" s="1" t="str">
        <v>MEJILLONES</v>
      </c>
      <c r="AC10" s="1" t="str">
        <v>Entra por Criterio de Percentil</v>
      </c>
      <c r="AF10" s="1">
        <v>2102</v>
      </c>
      <c r="AG10" s="1">
        <v>2203</v>
      </c>
      <c r="AH10" s="1" t="str">
        <v>MEJILLONES</v>
      </c>
      <c r="AI10" s="405">
        <v>2.1123653597499999E-3</v>
      </c>
      <c r="AL10" s="1">
        <v>2201</v>
      </c>
      <c r="AM10" s="1">
        <v>2301</v>
      </c>
      <c r="AN10" s="1" t="str">
        <v>CALAMA</v>
      </c>
      <c r="AO10" s="405">
        <v>8.2404974596979999E-2</v>
      </c>
    </row>
    <row r="11" spans="1:41" ht="3" customHeight="1" x14ac:dyDescent="0.25">
      <c r="A11" s="5">
        <f>+COEFyDISTR_FET!A16</f>
        <v>2101</v>
      </c>
      <c r="B11" s="5">
        <f>+COEFyDISTR_FET!B16</f>
        <v>2201</v>
      </c>
      <c r="C11" t="str">
        <f>+COEFyDISTR_FET!C16</f>
        <v>ANTOFAGASTA</v>
      </c>
      <c r="D11" s="31">
        <f>+COEFyDISTR_FET!D16</f>
        <v>74332575</v>
      </c>
      <c r="E11" s="31">
        <f>+COEFyDISTR_FET!E16</f>
        <v>18468262.109999999</v>
      </c>
      <c r="F11" s="403">
        <f>+COEFyDISTR_FET!G16</f>
        <v>0.97899999999999998</v>
      </c>
      <c r="G11" s="403">
        <f>+COEFyDISTR_FET!H16</f>
        <v>0.19900000000000001</v>
      </c>
      <c r="H11" s="402" t="str">
        <f>IF(D11=0,$A$2,VLOOKUP(COUNTIF(F11,$F$1&amp;$F$2)&amp;COUNTIF(G11,$G$1&amp;$G$2),PARAMETROS!$K$26:$L$30,2,0))</f>
        <v>Sin Acceso</v>
      </c>
      <c r="I11" s="96">
        <f>+COEFyDISTR_FET!AA16</f>
        <v>0</v>
      </c>
      <c r="J11" s="97">
        <f t="shared" si="0"/>
        <v>2101</v>
      </c>
      <c r="K11" s="97">
        <f t="shared" si="1"/>
        <v>2201</v>
      </c>
      <c r="L11" t="str">
        <f t="shared" si="2"/>
        <v>ANTOFAGASTA</v>
      </c>
      <c r="M11" t="str">
        <f t="shared" si="3"/>
        <v>Sin Acceso</v>
      </c>
      <c r="N11" s="97">
        <f t="shared" si="4"/>
        <v>2101</v>
      </c>
      <c r="O11" s="97">
        <f t="shared" si="5"/>
        <v>2201</v>
      </c>
      <c r="P11" t="str">
        <f t="shared" si="6"/>
        <v>ANTOFAGASTA</v>
      </c>
      <c r="Q11" s="96">
        <f t="shared" si="7"/>
        <v>0</v>
      </c>
      <c r="R11" s="96"/>
      <c r="S11">
        <f>+COEFyDISTR_MINERO!A16</f>
        <v>2101</v>
      </c>
      <c r="T11">
        <f>+COEFyDISTR_MINERO!B16</f>
        <v>2201</v>
      </c>
      <c r="U11" t="str">
        <f>+COEFyDISTR_MINERO!C16</f>
        <v>ANTOFAGASTA</v>
      </c>
      <c r="V11" s="96">
        <f>+COEFyDISTR_MINERO!X16</f>
        <v>3.8972351882579997E-2</v>
      </c>
      <c r="W11" s="6" t="str">
        <f>+COEFyDISTR_MINERO!D16</f>
        <v>SI</v>
      </c>
      <c r="X11" s="96"/>
      <c r="Y11" s="96"/>
      <c r="Z11" s="1">
        <v>2103</v>
      </c>
      <c r="AA11" s="1">
        <v>2206</v>
      </c>
      <c r="AB11" s="1" t="str">
        <v>SIERRA GORDA</v>
      </c>
      <c r="AC11" s="1" t="str">
        <v>Entra por Criterio de Percentil</v>
      </c>
      <c r="AF11" s="1">
        <v>2103</v>
      </c>
      <c r="AG11" s="1">
        <v>2206</v>
      </c>
      <c r="AH11" s="1" t="str">
        <v>SIERRA GORDA</v>
      </c>
      <c r="AI11" s="405">
        <v>1.7167291660500001E-3</v>
      </c>
      <c r="AL11" s="1">
        <v>2202</v>
      </c>
      <c r="AM11" s="1">
        <v>2302</v>
      </c>
      <c r="AN11" s="1" t="str">
        <v>OLLAGÜE</v>
      </c>
      <c r="AO11" s="405">
        <v>9.3538693574800012E-3</v>
      </c>
    </row>
    <row r="12" spans="1:41" ht="3" customHeight="1" x14ac:dyDescent="0.25">
      <c r="A12" s="5">
        <f>+COEFyDISTR_FET!A17</f>
        <v>2102</v>
      </c>
      <c r="B12" s="5">
        <f>+COEFyDISTR_FET!B17</f>
        <v>2203</v>
      </c>
      <c r="C12" t="str">
        <f>+COEFyDISTR_FET!C17</f>
        <v>MEJILLONES</v>
      </c>
      <c r="D12" s="31">
        <f>+COEFyDISTR_FET!D17</f>
        <v>8869794</v>
      </c>
      <c r="E12" s="31">
        <f>+COEFyDISTR_FET!E17</f>
        <v>2759543.088</v>
      </c>
      <c r="F12" s="403">
        <f>+COEFyDISTR_FET!G17</f>
        <v>0.63700000000000001</v>
      </c>
      <c r="G12" s="403">
        <f>+COEFyDISTR_FET!H17</f>
        <v>0.23730000000000001</v>
      </c>
      <c r="H12" s="402" t="str">
        <f>IF(D12=0,$A$2,VLOOKUP(COUNTIF(F12,$F$1&amp;$F$2)&amp;COUNTIF(G12,$G$1&amp;$G$2),PARAMETROS!$K$26:$L$30,2,0))</f>
        <v>Entra por Criterio de Percentil</v>
      </c>
      <c r="I12" s="96">
        <f>+COEFyDISTR_FET!AA17</f>
        <v>2.1123653597499999E-3</v>
      </c>
      <c r="J12" s="97">
        <f t="shared" si="0"/>
        <v>2102</v>
      </c>
      <c r="K12" s="97">
        <f t="shared" si="1"/>
        <v>2203</v>
      </c>
      <c r="L12" t="str">
        <f t="shared" si="2"/>
        <v>MEJILLONES</v>
      </c>
      <c r="M12" t="str">
        <f t="shared" si="3"/>
        <v>Entra por Criterio de Percentil</v>
      </c>
      <c r="N12" s="97">
        <f t="shared" si="4"/>
        <v>2102</v>
      </c>
      <c r="O12" s="97">
        <f t="shared" si="5"/>
        <v>2203</v>
      </c>
      <c r="P12" t="str">
        <f t="shared" si="6"/>
        <v>MEJILLONES</v>
      </c>
      <c r="Q12" s="96">
        <f t="shared" si="7"/>
        <v>2.1123653597499999E-3</v>
      </c>
      <c r="R12" s="96"/>
      <c r="S12">
        <f>+COEFyDISTR_MINERO!A17</f>
        <v>2102</v>
      </c>
      <c r="T12">
        <f>+COEFyDISTR_MINERO!B17</f>
        <v>2203</v>
      </c>
      <c r="U12" t="str">
        <f>+COEFyDISTR_MINERO!C17</f>
        <v>MEJILLONES</v>
      </c>
      <c r="V12" s="96">
        <f>+COEFyDISTR_MINERO!X17</f>
        <v>1.3738917042880001E-2</v>
      </c>
      <c r="W12" s="6" t="str">
        <f>+COEFyDISTR_MINERO!D17</f>
        <v>SI</v>
      </c>
      <c r="X12" s="96"/>
      <c r="Y12" s="96"/>
      <c r="Z12" s="1">
        <v>2104</v>
      </c>
      <c r="AA12" s="1">
        <v>2202</v>
      </c>
      <c r="AB12" s="1" t="str">
        <v>TALTAL</v>
      </c>
      <c r="AC12" s="1" t="str">
        <v>Entra por Criterio de Percentil</v>
      </c>
      <c r="AF12" s="1">
        <v>2104</v>
      </c>
      <c r="AG12" s="1">
        <v>2202</v>
      </c>
      <c r="AH12" s="1" t="str">
        <v>TALTAL</v>
      </c>
      <c r="AI12" s="405">
        <v>2.1471088059500003E-3</v>
      </c>
      <c r="AL12" s="1">
        <v>2203</v>
      </c>
      <c r="AM12" s="1">
        <v>2303</v>
      </c>
      <c r="AN12" s="1" t="str">
        <v>SAN PEDRO DE ATACAMA</v>
      </c>
      <c r="AO12" s="405">
        <v>1.0495380208680001E-2</v>
      </c>
    </row>
    <row r="13" spans="1:41" ht="3" customHeight="1" x14ac:dyDescent="0.25">
      <c r="A13" s="5">
        <f>+COEFyDISTR_FET!A18</f>
        <v>2103</v>
      </c>
      <c r="B13" s="5">
        <f>+COEFyDISTR_FET!B18</f>
        <v>2206</v>
      </c>
      <c r="C13" t="str">
        <f>+COEFyDISTR_FET!C18</f>
        <v>SIERRA GORDA</v>
      </c>
      <c r="D13" s="31">
        <f>+COEFyDISTR_FET!D18</f>
        <v>13774988</v>
      </c>
      <c r="E13" s="31">
        <f>+COEFyDISTR_FET!E18</f>
        <v>2061277.3870000001</v>
      </c>
      <c r="F13" s="403">
        <f>+COEFyDISTR_FET!G18</f>
        <v>0.72099999999999997</v>
      </c>
      <c r="G13" s="403">
        <f>+COEFyDISTR_FET!H18</f>
        <v>0.13020000000000001</v>
      </c>
      <c r="H13" s="402" t="str">
        <f>IF(D13=0,$A$2,VLOOKUP(COUNTIF(F13,$F$1&amp;$F$2)&amp;COUNTIF(G13,$G$1&amp;$G$2),PARAMETROS!$K$26:$L$30,2,0))</f>
        <v>Entra por Criterio de Percentil</v>
      </c>
      <c r="I13" s="96">
        <f>+COEFyDISTR_FET!AA18</f>
        <v>1.7167291660500001E-3</v>
      </c>
      <c r="J13" s="97">
        <f t="shared" si="0"/>
        <v>2103</v>
      </c>
      <c r="K13" s="97">
        <f t="shared" si="1"/>
        <v>2206</v>
      </c>
      <c r="L13" t="str">
        <f t="shared" si="2"/>
        <v>SIERRA GORDA</v>
      </c>
      <c r="M13" t="str">
        <f t="shared" si="3"/>
        <v>Entra por Criterio de Percentil</v>
      </c>
      <c r="N13" s="97">
        <f t="shared" si="4"/>
        <v>2103</v>
      </c>
      <c r="O13" s="97">
        <f t="shared" si="5"/>
        <v>2206</v>
      </c>
      <c r="P13" t="str">
        <f t="shared" si="6"/>
        <v>SIERRA GORDA</v>
      </c>
      <c r="Q13" s="96">
        <f t="shared" si="7"/>
        <v>1.7167291660500001E-3</v>
      </c>
      <c r="R13" s="96"/>
      <c r="S13">
        <f>+COEFyDISTR_MINERO!A18</f>
        <v>2103</v>
      </c>
      <c r="T13">
        <f>+COEFyDISTR_MINERO!B18</f>
        <v>2206</v>
      </c>
      <c r="U13" t="str">
        <f>+COEFyDISTR_MINERO!C18</f>
        <v>SIERRA GORDA</v>
      </c>
      <c r="V13" s="96">
        <f>+COEFyDISTR_MINERO!X18</f>
        <v>1.5479275598679999E-2</v>
      </c>
      <c r="W13" s="6" t="str">
        <f>+COEFyDISTR_MINERO!D18</f>
        <v>SI</v>
      </c>
      <c r="X13" s="96"/>
      <c r="Y13" s="96"/>
      <c r="Z13" s="1">
        <v>2202</v>
      </c>
      <c r="AA13" s="1">
        <v>2302</v>
      </c>
      <c r="AB13" s="1" t="str">
        <v>OLLAGÜE</v>
      </c>
      <c r="AC13" s="1" t="str">
        <v>Entra por Criterio de Dependencia y Percentil</v>
      </c>
      <c r="AF13" s="1">
        <v>2202</v>
      </c>
      <c r="AG13" s="1">
        <v>2302</v>
      </c>
      <c r="AH13" s="1" t="str">
        <v>OLLAGÜE</v>
      </c>
      <c r="AI13" s="405">
        <v>1.6716128033500001E-3</v>
      </c>
      <c r="AL13" s="1">
        <v>2301</v>
      </c>
      <c r="AM13" s="1">
        <v>2101</v>
      </c>
      <c r="AN13" s="1" t="str">
        <v>TOCOPILLA</v>
      </c>
      <c r="AO13" s="405">
        <v>1.5641122502379999E-2</v>
      </c>
    </row>
    <row r="14" spans="1:41" ht="3" customHeight="1" x14ac:dyDescent="0.25">
      <c r="A14" s="5">
        <f>+COEFyDISTR_FET!A19</f>
        <v>2104</v>
      </c>
      <c r="B14" s="5">
        <f>+COEFyDISTR_FET!B19</f>
        <v>2202</v>
      </c>
      <c r="C14" t="str">
        <f>+COEFyDISTR_FET!C19</f>
        <v>TALTAL</v>
      </c>
      <c r="D14" s="31">
        <f>+COEFyDISTR_FET!D19</f>
        <v>5450341</v>
      </c>
      <c r="E14" s="31">
        <f>+COEFyDISTR_FET!E19</f>
        <v>2709399.5350000001</v>
      </c>
      <c r="F14" s="403">
        <f>+COEFyDISTR_FET!G19</f>
        <v>0.51500000000000001</v>
      </c>
      <c r="G14" s="403">
        <f>+COEFyDISTR_FET!H19</f>
        <v>0.33200000000000002</v>
      </c>
      <c r="H14" s="402" t="str">
        <f>IF(D14=0,$A$2,VLOOKUP(COUNTIF(F14,$F$1&amp;$F$2)&amp;COUNTIF(G14,$G$1&amp;$G$2),PARAMETROS!$K$26:$L$30,2,0))</f>
        <v>Entra por Criterio de Percentil</v>
      </c>
      <c r="I14" s="96">
        <f>+COEFyDISTR_FET!AA19</f>
        <v>2.1471088059500003E-3</v>
      </c>
      <c r="J14" s="97">
        <f t="shared" si="0"/>
        <v>2104</v>
      </c>
      <c r="K14" s="97">
        <f t="shared" si="1"/>
        <v>2202</v>
      </c>
      <c r="L14" t="str">
        <f t="shared" si="2"/>
        <v>TALTAL</v>
      </c>
      <c r="M14" t="str">
        <f t="shared" si="3"/>
        <v>Entra por Criterio de Percentil</v>
      </c>
      <c r="N14" s="97">
        <f t="shared" si="4"/>
        <v>2104</v>
      </c>
      <c r="O14" s="97">
        <f t="shared" si="5"/>
        <v>2202</v>
      </c>
      <c r="P14" t="str">
        <f t="shared" si="6"/>
        <v>TALTAL</v>
      </c>
      <c r="Q14" s="96">
        <f t="shared" si="7"/>
        <v>2.1471088059500003E-3</v>
      </c>
      <c r="R14" s="96"/>
      <c r="S14">
        <f>+COEFyDISTR_MINERO!A19</f>
        <v>2104</v>
      </c>
      <c r="T14">
        <f>+COEFyDISTR_MINERO!B19</f>
        <v>2202</v>
      </c>
      <c r="U14" t="str">
        <f>+COEFyDISTR_MINERO!C19</f>
        <v>TALTAL</v>
      </c>
      <c r="V14" s="96">
        <f>+COEFyDISTR_MINERO!X19</f>
        <v>1.6435102974279997E-2</v>
      </c>
      <c r="W14" s="6" t="str">
        <f>+COEFyDISTR_MINERO!D19</f>
        <v>SI</v>
      </c>
      <c r="X14" s="96"/>
      <c r="Y14" s="96"/>
      <c r="Z14" s="1">
        <v>2203</v>
      </c>
      <c r="AA14" s="1">
        <v>2303</v>
      </c>
      <c r="AB14" s="1" t="str">
        <v>SAN PEDRO DE ATACAMA</v>
      </c>
      <c r="AC14" s="1" t="str">
        <v>Entra por Criterio de Dependencia y Percentil</v>
      </c>
      <c r="AF14" s="1">
        <v>2203</v>
      </c>
      <c r="AG14" s="1">
        <v>2303</v>
      </c>
      <c r="AH14" s="1" t="str">
        <v>SAN PEDRO DE ATACAMA</v>
      </c>
      <c r="AI14" s="405">
        <v>2.1002599191500002E-3</v>
      </c>
      <c r="AL14" s="1">
        <v>2302</v>
      </c>
      <c r="AM14" s="1">
        <v>2103</v>
      </c>
      <c r="AN14" s="1" t="str">
        <v>MARÍA ELENA</v>
      </c>
      <c r="AO14" s="405">
        <v>1.0688470326980001E-2</v>
      </c>
    </row>
    <row r="15" spans="1:41" ht="3" customHeight="1" x14ac:dyDescent="0.25">
      <c r="A15" s="5">
        <f>+COEFyDISTR_FET!A20</f>
        <v>2201</v>
      </c>
      <c r="B15" s="5">
        <f>+COEFyDISTR_FET!B20</f>
        <v>2301</v>
      </c>
      <c r="C15" t="str">
        <f>+COEFyDISTR_FET!C20</f>
        <v>CALAMA</v>
      </c>
      <c r="D15" s="31">
        <f>+COEFyDISTR_FET!D20</f>
        <v>28364299</v>
      </c>
      <c r="E15" s="31">
        <f>+COEFyDISTR_FET!E20</f>
        <v>11951375.767999999</v>
      </c>
      <c r="F15" s="403">
        <f>+COEFyDISTR_FET!G20</f>
        <v>0.91</v>
      </c>
      <c r="G15" s="403">
        <f>+COEFyDISTR_FET!H20</f>
        <v>0.2964</v>
      </c>
      <c r="H15" s="402" t="str">
        <f>IF(D15=0,$A$2,VLOOKUP(COUNTIF(F15,$F$1&amp;$F$2)&amp;COUNTIF(G15,$G$1&amp;$G$2),PARAMETROS!$K$26:$L$30,2,0))</f>
        <v>Sin Acceso</v>
      </c>
      <c r="I15" s="96">
        <f>+COEFyDISTR_FET!AA20</f>
        <v>0</v>
      </c>
      <c r="J15" s="97">
        <f t="shared" si="0"/>
        <v>2201</v>
      </c>
      <c r="K15" s="97">
        <f t="shared" si="1"/>
        <v>2301</v>
      </c>
      <c r="L15" t="str">
        <f t="shared" si="2"/>
        <v>CALAMA</v>
      </c>
      <c r="M15" t="str">
        <f t="shared" si="3"/>
        <v>Sin Acceso</v>
      </c>
      <c r="N15" s="97">
        <f t="shared" si="4"/>
        <v>2201</v>
      </c>
      <c r="O15" s="97">
        <f t="shared" si="5"/>
        <v>2301</v>
      </c>
      <c r="P15" t="str">
        <f t="shared" si="6"/>
        <v>CALAMA</v>
      </c>
      <c r="Q15" s="96">
        <f t="shared" si="7"/>
        <v>0</v>
      </c>
      <c r="R15" s="96"/>
      <c r="S15">
        <f>+COEFyDISTR_MINERO!A20</f>
        <v>2201</v>
      </c>
      <c r="T15">
        <f>+COEFyDISTR_MINERO!B20</f>
        <v>2301</v>
      </c>
      <c r="U15" t="str">
        <f>+COEFyDISTR_MINERO!C20</f>
        <v>CALAMA</v>
      </c>
      <c r="V15" s="96">
        <f>+COEFyDISTR_MINERO!X20</f>
        <v>8.2404974596979999E-2</v>
      </c>
      <c r="W15" s="6" t="str">
        <f>+COEFyDISTR_MINERO!D20</f>
        <v>SI</v>
      </c>
      <c r="X15" s="96"/>
      <c r="Y15" s="96"/>
      <c r="Z15" s="1">
        <v>2301</v>
      </c>
      <c r="AA15" s="1">
        <v>2101</v>
      </c>
      <c r="AB15" s="1" t="str">
        <v>TOCOPILLA</v>
      </c>
      <c r="AC15" s="1" t="str">
        <v>Entra por Criterio de Dependencia y Percentil</v>
      </c>
      <c r="AF15" s="1">
        <v>2301</v>
      </c>
      <c r="AG15" s="1">
        <v>2101</v>
      </c>
      <c r="AH15" s="1" t="str">
        <v>TOCOPILLA</v>
      </c>
      <c r="AI15" s="405">
        <v>2.68782483085E-3</v>
      </c>
      <c r="AL15" s="1">
        <v>3101</v>
      </c>
      <c r="AM15" s="1">
        <v>3201</v>
      </c>
      <c r="AN15" s="1" t="str">
        <v>COPIAPÓ</v>
      </c>
      <c r="AO15" s="405">
        <v>5.434217659368E-2</v>
      </c>
    </row>
    <row r="16" spans="1:41" ht="3" customHeight="1" x14ac:dyDescent="0.25">
      <c r="A16" s="5">
        <f>+COEFyDISTR_FET!A21</f>
        <v>2202</v>
      </c>
      <c r="B16" s="5">
        <f>+COEFyDISTR_FET!B21</f>
        <v>2302</v>
      </c>
      <c r="C16" t="str">
        <f>+COEFyDISTR_FET!C21</f>
        <v>OLLAGÜE</v>
      </c>
      <c r="D16" s="31">
        <f>+COEFyDISTR_FET!D21</f>
        <v>1255041</v>
      </c>
      <c r="E16" s="31">
        <f>+COEFyDISTR_FET!E21</f>
        <v>2168769.9679999999</v>
      </c>
      <c r="F16" s="403">
        <f>+COEFyDISTR_FET!G21</f>
        <v>0.10100000000000001</v>
      </c>
      <c r="G16" s="403">
        <f>+COEFyDISTR_FET!H21</f>
        <v>0.63339999999999996</v>
      </c>
      <c r="H16" s="402" t="str">
        <f>IF(D16=0,$A$2,VLOOKUP(COUNTIF(F16,$F$1&amp;$F$2)&amp;COUNTIF(G16,$G$1&amp;$G$2),PARAMETROS!$K$26:$L$30,2,0))</f>
        <v>Entra por Criterio de Dependencia y Percentil</v>
      </c>
      <c r="I16" s="96">
        <f>+COEFyDISTR_FET!AA21</f>
        <v>1.6716128033500001E-3</v>
      </c>
      <c r="J16" s="97">
        <f t="shared" si="0"/>
        <v>2202</v>
      </c>
      <c r="K16" s="97">
        <f t="shared" si="1"/>
        <v>2302</v>
      </c>
      <c r="L16" t="str">
        <f t="shared" si="2"/>
        <v>OLLAGÜE</v>
      </c>
      <c r="M16" t="str">
        <f t="shared" si="3"/>
        <v>Entra por Criterio de Dependencia y Percentil</v>
      </c>
      <c r="N16" s="97">
        <f t="shared" si="4"/>
        <v>2202</v>
      </c>
      <c r="O16" s="97">
        <f t="shared" si="5"/>
        <v>2302</v>
      </c>
      <c r="P16" t="str">
        <f t="shared" si="6"/>
        <v>OLLAGÜE</v>
      </c>
      <c r="Q16" s="96">
        <f t="shared" si="7"/>
        <v>1.6716128033500001E-3</v>
      </c>
      <c r="R16" s="96"/>
      <c r="S16">
        <f>+COEFyDISTR_MINERO!A21</f>
        <v>2202</v>
      </c>
      <c r="T16">
        <f>+COEFyDISTR_MINERO!B21</f>
        <v>2302</v>
      </c>
      <c r="U16" t="str">
        <f>+COEFyDISTR_MINERO!C21</f>
        <v>OLLAGÜE</v>
      </c>
      <c r="V16" s="96">
        <f>+COEFyDISTR_MINERO!X21</f>
        <v>9.3538693574800012E-3</v>
      </c>
      <c r="W16" s="6" t="str">
        <f>+COEFyDISTR_MINERO!D21</f>
        <v>SI</v>
      </c>
      <c r="X16" s="96"/>
      <c r="Y16" s="96"/>
      <c r="Z16" s="1">
        <v>2302</v>
      </c>
      <c r="AA16" s="1">
        <v>2103</v>
      </c>
      <c r="AB16" s="1" t="str">
        <v>MARÍA ELENA</v>
      </c>
      <c r="AC16" s="1" t="str">
        <v>Entra por Criterio de Percentil</v>
      </c>
      <c r="AF16" s="1">
        <v>2302</v>
      </c>
      <c r="AG16" s="1">
        <v>2103</v>
      </c>
      <c r="AH16" s="1" t="str">
        <v>MARÍA ELENA</v>
      </c>
      <c r="AI16" s="405">
        <v>1.73093250575E-3</v>
      </c>
      <c r="AL16" s="1">
        <v>3102</v>
      </c>
      <c r="AM16" s="1">
        <v>3202</v>
      </c>
      <c r="AN16" s="1" t="str">
        <v>CALDERA</v>
      </c>
      <c r="AO16" s="405">
        <v>1.2930460843579999E-2</v>
      </c>
    </row>
    <row r="17" spans="1:41" ht="3" customHeight="1" x14ac:dyDescent="0.25">
      <c r="A17" s="5">
        <f>+COEFyDISTR_FET!A22</f>
        <v>2203</v>
      </c>
      <c r="B17" s="5">
        <f>+COEFyDISTR_FET!B22</f>
        <v>2303</v>
      </c>
      <c r="C17" t="str">
        <f>+COEFyDISTR_FET!C22</f>
        <v>SAN PEDRO DE ATACAMA</v>
      </c>
      <c r="D17" s="31">
        <f>+COEFyDISTR_FET!D22</f>
        <v>6674338</v>
      </c>
      <c r="E17" s="31">
        <f>+COEFyDISTR_FET!E22</f>
        <v>6683005.2939999998</v>
      </c>
      <c r="F17" s="403">
        <f>+COEFyDISTR_FET!G22</f>
        <v>0.68600000000000005</v>
      </c>
      <c r="G17" s="403">
        <f>+COEFyDISTR_FET!H22</f>
        <v>0.50029999999999997</v>
      </c>
      <c r="H17" s="402" t="str">
        <f>IF(D17=0,$A$2,VLOOKUP(COUNTIF(F17,$F$1&amp;$F$2)&amp;COUNTIF(G17,$G$1&amp;$G$2),PARAMETROS!$K$26:$L$30,2,0))</f>
        <v>Entra por Criterio de Dependencia y Percentil</v>
      </c>
      <c r="I17" s="96">
        <f>+COEFyDISTR_FET!AA22</f>
        <v>2.1002599191500002E-3</v>
      </c>
      <c r="J17" s="97">
        <f t="shared" si="0"/>
        <v>2203</v>
      </c>
      <c r="K17" s="97">
        <f t="shared" si="1"/>
        <v>2303</v>
      </c>
      <c r="L17" t="str">
        <f t="shared" si="2"/>
        <v>SAN PEDRO DE ATACAMA</v>
      </c>
      <c r="M17" t="str">
        <f t="shared" si="3"/>
        <v>Entra por Criterio de Dependencia y Percentil</v>
      </c>
      <c r="N17" s="97">
        <f t="shared" si="4"/>
        <v>2203</v>
      </c>
      <c r="O17" s="97">
        <f t="shared" si="5"/>
        <v>2303</v>
      </c>
      <c r="P17" t="str">
        <f t="shared" si="6"/>
        <v>SAN PEDRO DE ATACAMA</v>
      </c>
      <c r="Q17" s="96">
        <f t="shared" si="7"/>
        <v>2.1002599191500002E-3</v>
      </c>
      <c r="R17" s="96"/>
      <c r="S17">
        <f>+COEFyDISTR_MINERO!A22</f>
        <v>2203</v>
      </c>
      <c r="T17">
        <f>+COEFyDISTR_MINERO!B22</f>
        <v>2303</v>
      </c>
      <c r="U17" t="str">
        <f>+COEFyDISTR_MINERO!C22</f>
        <v>SAN PEDRO DE ATACAMA</v>
      </c>
      <c r="V17" s="96">
        <f>+COEFyDISTR_MINERO!X22</f>
        <v>1.0495380208680001E-2</v>
      </c>
      <c r="W17" s="6" t="str">
        <f>+COEFyDISTR_MINERO!D22</f>
        <v>SI</v>
      </c>
      <c r="X17" s="96"/>
      <c r="Y17" s="96"/>
      <c r="Z17" s="1">
        <v>3102</v>
      </c>
      <c r="AA17" s="1">
        <v>3202</v>
      </c>
      <c r="AB17" s="1" t="str">
        <v>CALDERA</v>
      </c>
      <c r="AC17" s="1" t="str">
        <v>Entra por Criterio de Dependencia y Percentil</v>
      </c>
      <c r="AF17" s="1">
        <v>3102</v>
      </c>
      <c r="AG17" s="1">
        <v>3202</v>
      </c>
      <c r="AH17" s="1" t="str">
        <v>CALDERA</v>
      </c>
      <c r="AI17" s="405">
        <v>2.2534094159499998E-3</v>
      </c>
      <c r="AL17" s="1">
        <v>3103</v>
      </c>
      <c r="AM17" s="1">
        <v>3203</v>
      </c>
      <c r="AN17" s="1" t="str">
        <v>TIERRA AMARILLA</v>
      </c>
      <c r="AO17" s="405">
        <v>4.1819864126980001E-2</v>
      </c>
    </row>
    <row r="18" spans="1:41" ht="3" customHeight="1" x14ac:dyDescent="0.25">
      <c r="A18" s="5">
        <f>+COEFyDISTR_FET!A23</f>
        <v>2301</v>
      </c>
      <c r="B18" s="5">
        <f>+COEFyDISTR_FET!B23</f>
        <v>2101</v>
      </c>
      <c r="C18" t="str">
        <f>+COEFyDISTR_FET!C23</f>
        <v>TOCOPILLA</v>
      </c>
      <c r="D18" s="31">
        <f>+COEFyDISTR_FET!D23</f>
        <v>3264150</v>
      </c>
      <c r="E18" s="31">
        <f>+COEFyDISTR_FET!E23</f>
        <v>5676553.6600000001</v>
      </c>
      <c r="F18" s="403">
        <f>+COEFyDISTR_FET!G23</f>
        <v>0.55000000000000004</v>
      </c>
      <c r="G18" s="403">
        <f>+COEFyDISTR_FET!H23</f>
        <v>0.63490000000000002</v>
      </c>
      <c r="H18" s="402" t="str">
        <f>IF(D18=0,$A$2,VLOOKUP(COUNTIF(F18,$F$1&amp;$F$2)&amp;COUNTIF(G18,$G$1&amp;$G$2),PARAMETROS!$K$26:$L$30,2,0))</f>
        <v>Entra por Criterio de Dependencia y Percentil</v>
      </c>
      <c r="I18" s="96">
        <f>+COEFyDISTR_FET!AA23</f>
        <v>2.68782483085E-3</v>
      </c>
      <c r="J18" s="97">
        <f t="shared" si="0"/>
        <v>2301</v>
      </c>
      <c r="K18" s="97">
        <f t="shared" si="1"/>
        <v>2101</v>
      </c>
      <c r="L18" t="str">
        <f t="shared" si="2"/>
        <v>TOCOPILLA</v>
      </c>
      <c r="M18" t="str">
        <f t="shared" si="3"/>
        <v>Entra por Criterio de Dependencia y Percentil</v>
      </c>
      <c r="N18" s="97">
        <f t="shared" si="4"/>
        <v>2301</v>
      </c>
      <c r="O18" s="97">
        <f t="shared" si="5"/>
        <v>2101</v>
      </c>
      <c r="P18" t="str">
        <f t="shared" si="6"/>
        <v>TOCOPILLA</v>
      </c>
      <c r="Q18" s="96">
        <f t="shared" si="7"/>
        <v>2.68782483085E-3</v>
      </c>
      <c r="R18" s="96"/>
      <c r="S18">
        <f>+COEFyDISTR_MINERO!A23</f>
        <v>2301</v>
      </c>
      <c r="T18">
        <f>+COEFyDISTR_MINERO!B23</f>
        <v>2101</v>
      </c>
      <c r="U18" t="str">
        <f>+COEFyDISTR_MINERO!C23</f>
        <v>TOCOPILLA</v>
      </c>
      <c r="V18" s="96">
        <f>+COEFyDISTR_MINERO!X23</f>
        <v>1.5641122502379999E-2</v>
      </c>
      <c r="W18" s="6" t="str">
        <f>+COEFyDISTR_MINERO!D23</f>
        <v>SI</v>
      </c>
      <c r="X18" s="96"/>
      <c r="Y18" s="96"/>
      <c r="Z18" s="1">
        <v>3103</v>
      </c>
      <c r="AA18" s="1">
        <v>3203</v>
      </c>
      <c r="AB18" s="1" t="str">
        <v>TIERRA AMARILLA</v>
      </c>
      <c r="AC18" s="1" t="str">
        <v>Entra por Criterio de Percentil</v>
      </c>
      <c r="AF18" s="1">
        <v>3103</v>
      </c>
      <c r="AG18" s="1">
        <v>3203</v>
      </c>
      <c r="AH18" s="1" t="str">
        <v>TIERRA AMARILLA</v>
      </c>
      <c r="AI18" s="405">
        <v>2.0039660316500001E-3</v>
      </c>
      <c r="AL18" s="1">
        <v>3201</v>
      </c>
      <c r="AM18" s="1">
        <v>3101</v>
      </c>
      <c r="AN18" s="1" t="str">
        <v>CHAÑARAL</v>
      </c>
      <c r="AO18" s="405">
        <v>1.6668441756579999E-2</v>
      </c>
    </row>
    <row r="19" spans="1:41" ht="3" customHeight="1" x14ac:dyDescent="0.25">
      <c r="A19" s="5">
        <f>+COEFyDISTR_FET!A24</f>
        <v>2302</v>
      </c>
      <c r="B19" s="5">
        <f>+COEFyDISTR_FET!B24</f>
        <v>2103</v>
      </c>
      <c r="C19" t="str">
        <f>+COEFyDISTR_FET!C24</f>
        <v>MARÍA ELENA</v>
      </c>
      <c r="D19" s="31">
        <f>+COEFyDISTR_FET!D24</f>
        <v>6646122</v>
      </c>
      <c r="E19" s="31">
        <f>+COEFyDISTR_FET!E24</f>
        <v>1974218.2339999999</v>
      </c>
      <c r="F19" s="403">
        <f>+COEFyDISTR_FET!G24</f>
        <v>0.53900000000000003</v>
      </c>
      <c r="G19" s="403">
        <f>+COEFyDISTR_FET!H24</f>
        <v>0.22900000000000001</v>
      </c>
      <c r="H19" s="402" t="str">
        <f>IF(D19=0,$A$2,VLOOKUP(COUNTIF(F19,$F$1&amp;$F$2)&amp;COUNTIF(G19,$G$1&amp;$G$2),PARAMETROS!$K$26:$L$30,2,0))</f>
        <v>Entra por Criterio de Percentil</v>
      </c>
      <c r="I19" s="96">
        <f>+COEFyDISTR_FET!AA24</f>
        <v>1.73093250575E-3</v>
      </c>
      <c r="J19" s="97">
        <f t="shared" si="0"/>
        <v>2302</v>
      </c>
      <c r="K19" s="97">
        <f t="shared" si="1"/>
        <v>2103</v>
      </c>
      <c r="L19" t="str">
        <f t="shared" si="2"/>
        <v>MARÍA ELENA</v>
      </c>
      <c r="M19" t="str">
        <f t="shared" si="3"/>
        <v>Entra por Criterio de Percentil</v>
      </c>
      <c r="N19" s="97">
        <f t="shared" si="4"/>
        <v>2302</v>
      </c>
      <c r="O19" s="97">
        <f t="shared" si="5"/>
        <v>2103</v>
      </c>
      <c r="P19" t="str">
        <f t="shared" si="6"/>
        <v>MARÍA ELENA</v>
      </c>
      <c r="Q19" s="96">
        <f t="shared" si="7"/>
        <v>1.73093250575E-3</v>
      </c>
      <c r="R19" s="96"/>
      <c r="S19">
        <f>+COEFyDISTR_MINERO!A24</f>
        <v>2302</v>
      </c>
      <c r="T19">
        <f>+COEFyDISTR_MINERO!B24</f>
        <v>2103</v>
      </c>
      <c r="U19" t="str">
        <f>+COEFyDISTR_MINERO!C24</f>
        <v>MARÍA ELENA</v>
      </c>
      <c r="V19" s="96">
        <f>+COEFyDISTR_MINERO!X24</f>
        <v>1.0688470326980001E-2</v>
      </c>
      <c r="W19" s="6" t="str">
        <f>+COEFyDISTR_MINERO!D24</f>
        <v>SI</v>
      </c>
      <c r="X19" s="96"/>
      <c r="Y19" s="96"/>
      <c r="Z19" s="1">
        <v>3201</v>
      </c>
      <c r="AA19" s="1">
        <v>3101</v>
      </c>
      <c r="AB19" s="1" t="str">
        <v>CHAÑARAL</v>
      </c>
      <c r="AC19" s="1" t="str">
        <v>Entra por Criterio de Percentil</v>
      </c>
      <c r="AF19" s="1">
        <v>3201</v>
      </c>
      <c r="AG19" s="1">
        <v>3101</v>
      </c>
      <c r="AH19" s="1" t="str">
        <v>CHAÑARAL</v>
      </c>
      <c r="AI19" s="405">
        <v>2.1805878697500002E-3</v>
      </c>
      <c r="AL19" s="1">
        <v>3202</v>
      </c>
      <c r="AM19" s="1">
        <v>3102</v>
      </c>
      <c r="AN19" s="1" t="str">
        <v>DIEGO DE ALMAGRO</v>
      </c>
      <c r="AO19" s="405">
        <v>2.4245714990780001E-2</v>
      </c>
    </row>
    <row r="20" spans="1:41" ht="3" customHeight="1" x14ac:dyDescent="0.25">
      <c r="A20" s="5">
        <f>+COEFyDISTR_FET!A25</f>
        <v>3101</v>
      </c>
      <c r="B20" s="5">
        <f>+COEFyDISTR_FET!B25</f>
        <v>3201</v>
      </c>
      <c r="C20" t="str">
        <f>+COEFyDISTR_FET!C25</f>
        <v>COPIAPÓ</v>
      </c>
      <c r="D20" s="31">
        <f>+COEFyDISTR_FET!D25</f>
        <v>26253692</v>
      </c>
      <c r="E20" s="31">
        <f>+COEFyDISTR_FET!E25</f>
        <v>16441420.776000001</v>
      </c>
      <c r="F20" s="403">
        <f>+COEFyDISTR_FET!G25</f>
        <v>0.91300000000000003</v>
      </c>
      <c r="G20" s="403">
        <f>+COEFyDISTR_FET!H25</f>
        <v>0.3851</v>
      </c>
      <c r="H20" s="402" t="str">
        <f>IF(D20=0,$A$2,VLOOKUP(COUNTIF(F20,$F$1&amp;$F$2)&amp;COUNTIF(G20,$G$1&amp;$G$2),PARAMETROS!$K$26:$L$30,2,0))</f>
        <v>Sin Acceso</v>
      </c>
      <c r="I20" s="96">
        <f>+COEFyDISTR_FET!AA25</f>
        <v>0</v>
      </c>
      <c r="J20" s="97">
        <f t="shared" si="0"/>
        <v>3101</v>
      </c>
      <c r="K20" s="97">
        <f t="shared" si="1"/>
        <v>3201</v>
      </c>
      <c r="L20" t="str">
        <f t="shared" si="2"/>
        <v>COPIAPÓ</v>
      </c>
      <c r="M20" t="str">
        <f t="shared" si="3"/>
        <v>Sin Acceso</v>
      </c>
      <c r="N20" s="97">
        <f t="shared" si="4"/>
        <v>3101</v>
      </c>
      <c r="O20" s="97">
        <f t="shared" si="5"/>
        <v>3201</v>
      </c>
      <c r="P20" t="str">
        <f t="shared" si="6"/>
        <v>COPIAPÓ</v>
      </c>
      <c r="Q20" s="96">
        <f t="shared" si="7"/>
        <v>0</v>
      </c>
      <c r="R20" s="96"/>
      <c r="S20">
        <f>+COEFyDISTR_MINERO!A25</f>
        <v>3101</v>
      </c>
      <c r="T20">
        <f>+COEFyDISTR_MINERO!B25</f>
        <v>3201</v>
      </c>
      <c r="U20" t="str">
        <f>+COEFyDISTR_MINERO!C25</f>
        <v>COPIAPÓ</v>
      </c>
      <c r="V20" s="96">
        <f>+COEFyDISTR_MINERO!X25</f>
        <v>5.434217659368E-2</v>
      </c>
      <c r="W20" s="6" t="str">
        <f>+COEFyDISTR_MINERO!D25</f>
        <v>SI</v>
      </c>
      <c r="X20" s="96"/>
      <c r="Y20" s="96"/>
      <c r="Z20" s="1">
        <v>3202</v>
      </c>
      <c r="AA20" s="1">
        <v>3102</v>
      </c>
      <c r="AB20" s="1" t="str">
        <v>DIEGO DE ALMAGRO</v>
      </c>
      <c r="AC20" s="1" t="str">
        <v>Entra por Criterio de Percentil</v>
      </c>
      <c r="AF20" s="1">
        <v>3202</v>
      </c>
      <c r="AG20" s="1">
        <v>3102</v>
      </c>
      <c r="AH20" s="1" t="str">
        <v>DIEGO DE ALMAGRO</v>
      </c>
      <c r="AI20" s="405">
        <v>1.9600289979500004E-3</v>
      </c>
      <c r="AL20" s="1">
        <v>3301</v>
      </c>
      <c r="AM20" s="1">
        <v>3301</v>
      </c>
      <c r="AN20" s="1" t="str">
        <v>VALLENAR</v>
      </c>
      <c r="AO20" s="405">
        <v>1.938691330888E-2</v>
      </c>
    </row>
    <row r="21" spans="1:41" ht="3" customHeight="1" x14ac:dyDescent="0.25">
      <c r="A21" s="5">
        <f>+COEFyDISTR_FET!A26</f>
        <v>3102</v>
      </c>
      <c r="B21" s="5">
        <f>+COEFyDISTR_FET!B26</f>
        <v>3202</v>
      </c>
      <c r="C21" t="str">
        <f>+COEFyDISTR_FET!C26</f>
        <v>CALDERA</v>
      </c>
      <c r="D21" s="31">
        <f>+COEFyDISTR_FET!D26</f>
        <v>3543232</v>
      </c>
      <c r="E21" s="31">
        <f>+COEFyDISTR_FET!E26</f>
        <v>9403813.534</v>
      </c>
      <c r="F21" s="403">
        <f>+COEFyDISTR_FET!G26</f>
        <v>0.66600000000000004</v>
      </c>
      <c r="G21" s="403">
        <f>+COEFyDISTR_FET!H26</f>
        <v>0.72629999999999995</v>
      </c>
      <c r="H21" s="402" t="str">
        <f>IF(D21=0,$A$2,VLOOKUP(COUNTIF(F21,$F$1&amp;$F$2)&amp;COUNTIF(G21,$G$1&amp;$G$2),PARAMETROS!$K$26:$L$30,2,0))</f>
        <v>Entra por Criterio de Dependencia y Percentil</v>
      </c>
      <c r="I21" s="96">
        <f>+COEFyDISTR_FET!AA26</f>
        <v>2.2534094159499998E-3</v>
      </c>
      <c r="J21" s="97">
        <f t="shared" si="0"/>
        <v>3102</v>
      </c>
      <c r="K21" s="97">
        <f t="shared" si="1"/>
        <v>3202</v>
      </c>
      <c r="L21" t="str">
        <f t="shared" si="2"/>
        <v>CALDERA</v>
      </c>
      <c r="M21" t="str">
        <f t="shared" si="3"/>
        <v>Entra por Criterio de Dependencia y Percentil</v>
      </c>
      <c r="N21" s="97">
        <f t="shared" si="4"/>
        <v>3102</v>
      </c>
      <c r="O21" s="97">
        <f t="shared" si="5"/>
        <v>3202</v>
      </c>
      <c r="P21" t="str">
        <f t="shared" si="6"/>
        <v>CALDERA</v>
      </c>
      <c r="Q21" s="96">
        <f t="shared" si="7"/>
        <v>2.2534094159499998E-3</v>
      </c>
      <c r="R21" s="96"/>
      <c r="S21">
        <f>+COEFyDISTR_MINERO!A26</f>
        <v>3102</v>
      </c>
      <c r="T21">
        <f>+COEFyDISTR_MINERO!B26</f>
        <v>3202</v>
      </c>
      <c r="U21" t="str">
        <f>+COEFyDISTR_MINERO!C26</f>
        <v>CALDERA</v>
      </c>
      <c r="V21" s="96">
        <f>+COEFyDISTR_MINERO!X26</f>
        <v>1.2930460843579999E-2</v>
      </c>
      <c r="W21" s="6" t="str">
        <f>+COEFyDISTR_MINERO!D26</f>
        <v>SI</v>
      </c>
      <c r="X21" s="96"/>
      <c r="Y21" s="96"/>
      <c r="Z21" s="1">
        <v>3301</v>
      </c>
      <c r="AA21" s="1">
        <v>3301</v>
      </c>
      <c r="AB21" s="1" t="str">
        <v>VALLENAR</v>
      </c>
      <c r="AC21" s="1" t="str">
        <v>Entra por Criterio de Dependencia y Percentil</v>
      </c>
      <c r="AF21" s="1">
        <v>3301</v>
      </c>
      <c r="AG21" s="1">
        <v>3301</v>
      </c>
      <c r="AH21" s="1" t="str">
        <v>VALLENAR</v>
      </c>
      <c r="AI21" s="405">
        <v>3.5853716381500002E-3</v>
      </c>
      <c r="AL21" s="1">
        <v>3303</v>
      </c>
      <c r="AM21" s="1">
        <v>3302</v>
      </c>
      <c r="AN21" s="1" t="str">
        <v>FREIRINA</v>
      </c>
      <c r="AO21" s="405">
        <v>1.5999913154579999E-2</v>
      </c>
    </row>
    <row r="22" spans="1:41" ht="3" customHeight="1" x14ac:dyDescent="0.25">
      <c r="A22" s="5">
        <f>+COEFyDISTR_FET!A27</f>
        <v>3103</v>
      </c>
      <c r="B22" s="5">
        <f>+COEFyDISTR_FET!B27</f>
        <v>3203</v>
      </c>
      <c r="C22" t="str">
        <f>+COEFyDISTR_FET!C27</f>
        <v>TIERRA AMARILLA</v>
      </c>
      <c r="D22" s="31">
        <f>+COEFyDISTR_FET!D27</f>
        <v>7458135</v>
      </c>
      <c r="E22" s="31">
        <f>+COEFyDISTR_FET!E27</f>
        <v>2585015.3560000001</v>
      </c>
      <c r="F22" s="403">
        <f>+COEFyDISTR_FET!G27</f>
        <v>0.6</v>
      </c>
      <c r="G22" s="403">
        <f>+COEFyDISTR_FET!H27</f>
        <v>0.25740000000000002</v>
      </c>
      <c r="H22" s="402" t="str">
        <f>IF(D22=0,$A$2,VLOOKUP(COUNTIF(F22,$F$1&amp;$F$2)&amp;COUNTIF(G22,$G$1&amp;$G$2),PARAMETROS!$K$26:$L$30,2,0))</f>
        <v>Entra por Criterio de Percentil</v>
      </c>
      <c r="I22" s="96">
        <f>+COEFyDISTR_FET!AA27</f>
        <v>2.0039660316500001E-3</v>
      </c>
      <c r="J22" s="97">
        <f t="shared" si="0"/>
        <v>3103</v>
      </c>
      <c r="K22" s="97">
        <f t="shared" si="1"/>
        <v>3203</v>
      </c>
      <c r="L22" t="str">
        <f t="shared" si="2"/>
        <v>TIERRA AMARILLA</v>
      </c>
      <c r="M22" t="str">
        <f t="shared" si="3"/>
        <v>Entra por Criterio de Percentil</v>
      </c>
      <c r="N22" s="97">
        <f t="shared" si="4"/>
        <v>3103</v>
      </c>
      <c r="O22" s="97">
        <f t="shared" si="5"/>
        <v>3203</v>
      </c>
      <c r="P22" t="str">
        <f t="shared" si="6"/>
        <v>TIERRA AMARILLA</v>
      </c>
      <c r="Q22" s="96">
        <f t="shared" si="7"/>
        <v>2.0039660316500001E-3</v>
      </c>
      <c r="R22" s="96"/>
      <c r="S22">
        <f>+COEFyDISTR_MINERO!A27</f>
        <v>3103</v>
      </c>
      <c r="T22">
        <f>+COEFyDISTR_MINERO!B27</f>
        <v>3203</v>
      </c>
      <c r="U22" t="str">
        <f>+COEFyDISTR_MINERO!C27</f>
        <v>TIERRA AMARILLA</v>
      </c>
      <c r="V22" s="96">
        <f>+COEFyDISTR_MINERO!X27</f>
        <v>4.1819864126980001E-2</v>
      </c>
      <c r="W22" s="6" t="str">
        <f>+COEFyDISTR_MINERO!D27</f>
        <v>SI</v>
      </c>
      <c r="X22" s="96"/>
      <c r="Y22" s="96"/>
      <c r="Z22" s="1">
        <v>3302</v>
      </c>
      <c r="AA22" s="1">
        <v>3304</v>
      </c>
      <c r="AB22" s="1" t="str">
        <v>ALTO DEL CARMEN</v>
      </c>
      <c r="AC22" s="1" t="str">
        <v>Entra por Criterio de Dependencia y Percentil</v>
      </c>
      <c r="AF22" s="1">
        <v>3302</v>
      </c>
      <c r="AG22" s="1">
        <v>3304</v>
      </c>
      <c r="AH22" s="1" t="str">
        <v>ALTO DEL CARMEN</v>
      </c>
      <c r="AI22" s="405">
        <v>2.0076256843500001E-3</v>
      </c>
      <c r="AL22" s="1">
        <v>3304</v>
      </c>
      <c r="AM22" s="1">
        <v>3303</v>
      </c>
      <c r="AN22" s="1" t="str">
        <v>HUASCO</v>
      </c>
      <c r="AO22" s="405">
        <v>4.4337556260879998E-2</v>
      </c>
    </row>
    <row r="23" spans="1:41" ht="3" customHeight="1" x14ac:dyDescent="0.25">
      <c r="A23" s="5">
        <f>+COEFyDISTR_FET!A28</f>
        <v>3201</v>
      </c>
      <c r="B23" s="5">
        <f>+COEFyDISTR_FET!B28</f>
        <v>3101</v>
      </c>
      <c r="C23" t="str">
        <f>+COEFyDISTR_FET!C28</f>
        <v>CHAÑARAL</v>
      </c>
      <c r="D23" s="31">
        <f>+COEFyDISTR_FET!D28</f>
        <v>3063852</v>
      </c>
      <c r="E23" s="31">
        <f>+COEFyDISTR_FET!E28</f>
        <v>2931625.85</v>
      </c>
      <c r="F23" s="403">
        <f>+COEFyDISTR_FET!G28</f>
        <v>0.40799999999999997</v>
      </c>
      <c r="G23" s="403">
        <f>+COEFyDISTR_FET!H28</f>
        <v>0.48899999999999999</v>
      </c>
      <c r="H23" s="402" t="str">
        <f>IF(D23=0,$A$2,VLOOKUP(COUNTIF(F23,$F$1&amp;$F$2)&amp;COUNTIF(G23,$G$1&amp;$G$2),PARAMETROS!$K$26:$L$30,2,0))</f>
        <v>Entra por Criterio de Percentil</v>
      </c>
      <c r="I23" s="96">
        <f>+COEFyDISTR_FET!AA28</f>
        <v>2.1805878697500002E-3</v>
      </c>
      <c r="J23" s="97">
        <f t="shared" si="0"/>
        <v>3201</v>
      </c>
      <c r="K23" s="97">
        <f t="shared" si="1"/>
        <v>3101</v>
      </c>
      <c r="L23" t="str">
        <f t="shared" si="2"/>
        <v>CHAÑARAL</v>
      </c>
      <c r="M23" t="str">
        <f t="shared" si="3"/>
        <v>Entra por Criterio de Percentil</v>
      </c>
      <c r="N23" s="97">
        <f t="shared" si="4"/>
        <v>3201</v>
      </c>
      <c r="O23" s="97">
        <f t="shared" si="5"/>
        <v>3101</v>
      </c>
      <c r="P23" t="str">
        <f t="shared" si="6"/>
        <v>CHAÑARAL</v>
      </c>
      <c r="Q23" s="96">
        <f t="shared" si="7"/>
        <v>2.1805878697500002E-3</v>
      </c>
      <c r="R23" s="96"/>
      <c r="S23">
        <f>+COEFyDISTR_MINERO!A28</f>
        <v>3201</v>
      </c>
      <c r="T23">
        <f>+COEFyDISTR_MINERO!B28</f>
        <v>3101</v>
      </c>
      <c r="U23" t="str">
        <f>+COEFyDISTR_MINERO!C28</f>
        <v>CHAÑARAL</v>
      </c>
      <c r="V23" s="96">
        <f>+COEFyDISTR_MINERO!X28</f>
        <v>1.6668441756579999E-2</v>
      </c>
      <c r="W23" s="6" t="str">
        <f>+COEFyDISTR_MINERO!D28</f>
        <v>SI</v>
      </c>
      <c r="X23" s="96"/>
      <c r="Y23" s="96"/>
      <c r="Z23" s="1">
        <v>3303</v>
      </c>
      <c r="AA23" s="1">
        <v>3302</v>
      </c>
      <c r="AB23" s="1" t="str">
        <v>FREIRINA</v>
      </c>
      <c r="AC23" s="1" t="str">
        <v>Entra por Criterio de Dependencia y Percentil</v>
      </c>
      <c r="AF23" s="1">
        <v>3303</v>
      </c>
      <c r="AG23" s="1">
        <v>3302</v>
      </c>
      <c r="AH23" s="1" t="str">
        <v>FREIRINA</v>
      </c>
      <c r="AI23" s="405">
        <v>1.9682064280500001E-3</v>
      </c>
      <c r="AL23" s="1">
        <v>4101</v>
      </c>
      <c r="AM23" s="1">
        <v>4101</v>
      </c>
      <c r="AN23" s="1" t="str">
        <v>LA SERENA</v>
      </c>
      <c r="AO23" s="405">
        <v>3.3198970191380003E-2</v>
      </c>
    </row>
    <row r="24" spans="1:41" ht="3" customHeight="1" x14ac:dyDescent="0.25">
      <c r="A24" s="5">
        <f>+COEFyDISTR_FET!A29</f>
        <v>3202</v>
      </c>
      <c r="B24" s="5">
        <f>+COEFyDISTR_FET!B29</f>
        <v>3102</v>
      </c>
      <c r="C24" t="str">
        <f>+COEFyDISTR_FET!C29</f>
        <v>DIEGO DE ALMAGRO</v>
      </c>
      <c r="D24" s="31">
        <f>+COEFyDISTR_FET!D29</f>
        <v>5348541</v>
      </c>
      <c r="E24" s="31">
        <f>+COEFyDISTR_FET!E29</f>
        <v>2454439.8289999999</v>
      </c>
      <c r="F24" s="403">
        <f>+COEFyDISTR_FET!G29</f>
        <v>0.48599999999999999</v>
      </c>
      <c r="G24" s="403">
        <f>+COEFyDISTR_FET!H29</f>
        <v>0.31459999999999999</v>
      </c>
      <c r="H24" s="402" t="str">
        <f>IF(D24=0,$A$2,VLOOKUP(COUNTIF(F24,$F$1&amp;$F$2)&amp;COUNTIF(G24,$G$1&amp;$G$2),PARAMETROS!$K$26:$L$30,2,0))</f>
        <v>Entra por Criterio de Percentil</v>
      </c>
      <c r="I24" s="96">
        <f>+COEFyDISTR_FET!AA29</f>
        <v>1.9600289979500004E-3</v>
      </c>
      <c r="J24" s="97">
        <f t="shared" si="0"/>
        <v>3202</v>
      </c>
      <c r="K24" s="97">
        <f t="shared" si="1"/>
        <v>3102</v>
      </c>
      <c r="L24" t="str">
        <f t="shared" si="2"/>
        <v>DIEGO DE ALMAGRO</v>
      </c>
      <c r="M24" t="str">
        <f t="shared" si="3"/>
        <v>Entra por Criterio de Percentil</v>
      </c>
      <c r="N24" s="97">
        <f t="shared" si="4"/>
        <v>3202</v>
      </c>
      <c r="O24" s="97">
        <f t="shared" si="5"/>
        <v>3102</v>
      </c>
      <c r="P24" t="str">
        <f t="shared" si="6"/>
        <v>DIEGO DE ALMAGRO</v>
      </c>
      <c r="Q24" s="96">
        <f t="shared" si="7"/>
        <v>1.9600289979500004E-3</v>
      </c>
      <c r="R24" s="96"/>
      <c r="S24">
        <f>+COEFyDISTR_MINERO!A29</f>
        <v>3202</v>
      </c>
      <c r="T24">
        <f>+COEFyDISTR_MINERO!B29</f>
        <v>3102</v>
      </c>
      <c r="U24" t="str">
        <f>+COEFyDISTR_MINERO!C29</f>
        <v>DIEGO DE ALMAGRO</v>
      </c>
      <c r="V24" s="96">
        <f>+COEFyDISTR_MINERO!X29</f>
        <v>2.4245714990780001E-2</v>
      </c>
      <c r="W24" s="6" t="str">
        <f>+COEFyDISTR_MINERO!D29</f>
        <v>SI</v>
      </c>
      <c r="X24" s="96"/>
      <c r="Y24" s="96"/>
      <c r="Z24" s="1">
        <v>3304</v>
      </c>
      <c r="AA24" s="1">
        <v>3303</v>
      </c>
      <c r="AB24" s="1" t="str">
        <v>HUASCO</v>
      </c>
      <c r="AC24" s="1" t="str">
        <v>Entra por Criterio de Dependencia y Percentil</v>
      </c>
      <c r="AF24" s="1">
        <v>3304</v>
      </c>
      <c r="AG24" s="1">
        <v>3303</v>
      </c>
      <c r="AH24" s="1" t="str">
        <v>HUASCO</v>
      </c>
      <c r="AI24" s="405">
        <v>2.1174604223499999E-3</v>
      </c>
      <c r="AL24" s="1">
        <v>4102</v>
      </c>
      <c r="AM24" s="1">
        <v>4103</v>
      </c>
      <c r="AN24" s="1" t="str">
        <v>COQUIMBO</v>
      </c>
      <c r="AO24" s="405">
        <v>2.7824182162879997E-2</v>
      </c>
    </row>
    <row r="25" spans="1:41" ht="3" customHeight="1" x14ac:dyDescent="0.25">
      <c r="A25" s="5">
        <f>+COEFyDISTR_FET!A30</f>
        <v>3301</v>
      </c>
      <c r="B25" s="5">
        <f>+COEFyDISTR_FET!B30</f>
        <v>3301</v>
      </c>
      <c r="C25" t="str">
        <f>+COEFyDISTR_FET!C30</f>
        <v>VALLENAR</v>
      </c>
      <c r="D25" s="31">
        <f>+COEFyDISTR_FET!D30</f>
        <v>6253296</v>
      </c>
      <c r="E25" s="31">
        <f>+COEFyDISTR_FET!E30</f>
        <v>8834996.1009999998</v>
      </c>
      <c r="F25" s="403">
        <f>+COEFyDISTR_FET!G30</f>
        <v>0.71299999999999997</v>
      </c>
      <c r="G25" s="403">
        <f>+COEFyDISTR_FET!H30</f>
        <v>0.58560000000000001</v>
      </c>
      <c r="H25" s="402" t="str">
        <f>IF(D25=0,$A$2,VLOOKUP(COUNTIF(F25,$F$1&amp;$F$2)&amp;COUNTIF(G25,$G$1&amp;$G$2),PARAMETROS!$K$26:$L$30,2,0))</f>
        <v>Entra por Criterio de Dependencia y Percentil</v>
      </c>
      <c r="I25" s="96">
        <f>+COEFyDISTR_FET!AA30</f>
        <v>3.5853716381500002E-3</v>
      </c>
      <c r="J25" s="97">
        <f t="shared" si="0"/>
        <v>3301</v>
      </c>
      <c r="K25" s="97">
        <f t="shared" si="1"/>
        <v>3301</v>
      </c>
      <c r="L25" t="str">
        <f t="shared" si="2"/>
        <v>VALLENAR</v>
      </c>
      <c r="M25" t="str">
        <f t="shared" si="3"/>
        <v>Entra por Criterio de Dependencia y Percentil</v>
      </c>
      <c r="N25" s="97">
        <f t="shared" si="4"/>
        <v>3301</v>
      </c>
      <c r="O25" s="97">
        <f t="shared" si="5"/>
        <v>3301</v>
      </c>
      <c r="P25" t="str">
        <f t="shared" si="6"/>
        <v>VALLENAR</v>
      </c>
      <c r="Q25" s="96">
        <f t="shared" si="7"/>
        <v>3.5853716381500002E-3</v>
      </c>
      <c r="R25" s="96"/>
      <c r="S25">
        <f>+COEFyDISTR_MINERO!A30</f>
        <v>3301</v>
      </c>
      <c r="T25">
        <f>+COEFyDISTR_MINERO!B30</f>
        <v>3301</v>
      </c>
      <c r="U25" t="str">
        <f>+COEFyDISTR_MINERO!C30</f>
        <v>VALLENAR</v>
      </c>
      <c r="V25" s="96">
        <f>+COEFyDISTR_MINERO!X30</f>
        <v>1.938691330888E-2</v>
      </c>
      <c r="W25" s="6" t="str">
        <f>+COEFyDISTR_MINERO!D30</f>
        <v>SI</v>
      </c>
      <c r="X25" s="96"/>
      <c r="Y25" s="96"/>
      <c r="Z25" s="1">
        <v>4103</v>
      </c>
      <c r="AA25" s="1">
        <v>4104</v>
      </c>
      <c r="AB25" s="1" t="str">
        <v>ANDACOLLO</v>
      </c>
      <c r="AC25" s="1" t="str">
        <v>Entra por Criterio de Dependencia y Percentil</v>
      </c>
      <c r="AF25" s="1">
        <v>4103</v>
      </c>
      <c r="AG25" s="1">
        <v>4104</v>
      </c>
      <c r="AH25" s="1" t="str">
        <v>ANDACOLLO</v>
      </c>
      <c r="AI25" s="405">
        <v>2.10319101155E-3</v>
      </c>
      <c r="AL25" s="1">
        <v>4103</v>
      </c>
      <c r="AM25" s="1">
        <v>4104</v>
      </c>
      <c r="AN25" s="1" t="str">
        <v>ANDACOLLO</v>
      </c>
      <c r="AO25" s="405">
        <v>3.053178919278E-2</v>
      </c>
    </row>
    <row r="26" spans="1:41" ht="3" customHeight="1" x14ac:dyDescent="0.25">
      <c r="A26" s="5">
        <f>+COEFyDISTR_FET!A31</f>
        <v>3302</v>
      </c>
      <c r="B26" s="5">
        <f>+COEFyDISTR_FET!B31</f>
        <v>3304</v>
      </c>
      <c r="C26" t="str">
        <f>+COEFyDISTR_FET!C31</f>
        <v>ALTO DEL CARMEN</v>
      </c>
      <c r="D26" s="31">
        <f>+COEFyDISTR_FET!D31</f>
        <v>1333027</v>
      </c>
      <c r="E26" s="31">
        <f>+COEFyDISTR_FET!E31</f>
        <v>2717643.8829999999</v>
      </c>
      <c r="F26" s="403">
        <f>+COEFyDISTR_FET!G31</f>
        <v>0.16200000000000001</v>
      </c>
      <c r="G26" s="403">
        <f>+COEFyDISTR_FET!H31</f>
        <v>0.67090000000000005</v>
      </c>
      <c r="H26" s="402" t="str">
        <f>IF(D26=0,$A$2,VLOOKUP(COUNTIF(F26,$F$1&amp;$F$2)&amp;COUNTIF(G26,$G$1&amp;$G$2),PARAMETROS!$K$26:$L$30,2,0))</f>
        <v>Entra por Criterio de Dependencia y Percentil</v>
      </c>
      <c r="I26" s="96">
        <f>+COEFyDISTR_FET!AA31</f>
        <v>2.0076256843500001E-3</v>
      </c>
      <c r="J26" s="97">
        <f t="shared" si="0"/>
        <v>3302</v>
      </c>
      <c r="K26" s="97">
        <f t="shared" si="1"/>
        <v>3304</v>
      </c>
      <c r="L26" t="str">
        <f t="shared" si="2"/>
        <v>ALTO DEL CARMEN</v>
      </c>
      <c r="M26" t="str">
        <f t="shared" si="3"/>
        <v>Entra por Criterio de Dependencia y Percentil</v>
      </c>
      <c r="N26" s="97">
        <f t="shared" si="4"/>
        <v>3302</v>
      </c>
      <c r="O26" s="97">
        <f t="shared" si="5"/>
        <v>3304</v>
      </c>
      <c r="P26" t="str">
        <f t="shared" si="6"/>
        <v>ALTO DEL CARMEN</v>
      </c>
      <c r="Q26" s="96">
        <f t="shared" si="7"/>
        <v>2.0076256843500001E-3</v>
      </c>
      <c r="R26" s="96"/>
      <c r="S26">
        <f>+COEFyDISTR_MINERO!A31</f>
        <v>3302</v>
      </c>
      <c r="T26">
        <f>+COEFyDISTR_MINERO!B31</f>
        <v>3304</v>
      </c>
      <c r="U26" t="str">
        <f>+COEFyDISTR_MINERO!C31</f>
        <v>ALTO DEL CARMEN</v>
      </c>
      <c r="V26" s="96">
        <f>+COEFyDISTR_MINERO!X31</f>
        <v>0</v>
      </c>
      <c r="W26" s="6" t="str">
        <f>+COEFyDISTR_MINERO!D31</f>
        <v>No</v>
      </c>
      <c r="X26" s="96"/>
      <c r="Y26" s="96"/>
      <c r="Z26" s="1">
        <v>4104</v>
      </c>
      <c r="AA26" s="1">
        <v>4102</v>
      </c>
      <c r="AB26" s="1" t="str">
        <v>LA HIGUERA</v>
      </c>
      <c r="AC26" s="1" t="str">
        <v>Entra por Criterio de Dependencia y Percentil</v>
      </c>
      <c r="AF26" s="1">
        <v>4104</v>
      </c>
      <c r="AG26" s="1">
        <v>4102</v>
      </c>
      <c r="AH26" s="1" t="str">
        <v>LA HIGUERA</v>
      </c>
      <c r="AI26" s="405">
        <v>2.0074246818500003E-3</v>
      </c>
      <c r="AL26" s="1">
        <v>4104</v>
      </c>
      <c r="AM26" s="1">
        <v>4102</v>
      </c>
      <c r="AN26" s="1" t="str">
        <v>LA HIGUERA</v>
      </c>
      <c r="AO26" s="405">
        <v>1.3316773733580001E-2</v>
      </c>
    </row>
    <row r="27" spans="1:41" ht="3" customHeight="1" x14ac:dyDescent="0.25">
      <c r="A27" s="5">
        <f>+COEFyDISTR_FET!A32</f>
        <v>3303</v>
      </c>
      <c r="B27" s="5">
        <f>+COEFyDISTR_FET!B32</f>
        <v>3302</v>
      </c>
      <c r="C27" t="str">
        <f>+COEFyDISTR_FET!C32</f>
        <v>FREIRINA</v>
      </c>
      <c r="D27" s="31">
        <f>+COEFyDISTR_FET!D32</f>
        <v>1304181</v>
      </c>
      <c r="E27" s="31">
        <f>+COEFyDISTR_FET!E32</f>
        <v>2644144.5520000001</v>
      </c>
      <c r="F27" s="403">
        <f>+COEFyDISTR_FET!G32</f>
        <v>0.14199999999999999</v>
      </c>
      <c r="G27" s="403">
        <f>+COEFyDISTR_FET!H32</f>
        <v>0.66969999999999996</v>
      </c>
      <c r="H27" s="402" t="str">
        <f>IF(D27=0,$A$2,VLOOKUP(COUNTIF(F27,$F$1&amp;$F$2)&amp;COUNTIF(G27,$G$1&amp;$G$2),PARAMETROS!$K$26:$L$30,2,0))</f>
        <v>Entra por Criterio de Dependencia y Percentil</v>
      </c>
      <c r="I27" s="96">
        <f>+COEFyDISTR_FET!AA32</f>
        <v>1.9682064280500001E-3</v>
      </c>
      <c r="J27" s="97">
        <f t="shared" si="0"/>
        <v>3303</v>
      </c>
      <c r="K27" s="97">
        <f t="shared" si="1"/>
        <v>3302</v>
      </c>
      <c r="L27" t="str">
        <f t="shared" si="2"/>
        <v>FREIRINA</v>
      </c>
      <c r="M27" t="str">
        <f t="shared" si="3"/>
        <v>Entra por Criterio de Dependencia y Percentil</v>
      </c>
      <c r="N27" s="97">
        <f t="shared" si="4"/>
        <v>3303</v>
      </c>
      <c r="O27" s="97">
        <f t="shared" si="5"/>
        <v>3302</v>
      </c>
      <c r="P27" t="str">
        <f t="shared" si="6"/>
        <v>FREIRINA</v>
      </c>
      <c r="Q27" s="96">
        <f t="shared" si="7"/>
        <v>1.9682064280500001E-3</v>
      </c>
      <c r="R27" s="96"/>
      <c r="S27">
        <f>+COEFyDISTR_MINERO!A32</f>
        <v>3303</v>
      </c>
      <c r="T27">
        <f>+COEFyDISTR_MINERO!B32</f>
        <v>3302</v>
      </c>
      <c r="U27" t="str">
        <f>+COEFyDISTR_MINERO!C32</f>
        <v>FREIRINA</v>
      </c>
      <c r="V27" s="96">
        <f>+COEFyDISTR_MINERO!X32</f>
        <v>1.5999913154579999E-2</v>
      </c>
      <c r="W27" s="6" t="str">
        <f>+COEFyDISTR_MINERO!D32</f>
        <v>SI</v>
      </c>
      <c r="X27" s="96"/>
      <c r="Y27" s="96"/>
      <c r="Z27" s="1">
        <v>4105</v>
      </c>
      <c r="AA27" s="1">
        <v>4106</v>
      </c>
      <c r="AB27" s="1" t="str">
        <v>PAIGUANO</v>
      </c>
      <c r="AC27" s="1" t="str">
        <v>Entra por Criterio de Dependencia y Percentil</v>
      </c>
      <c r="AF27" s="1">
        <v>4105</v>
      </c>
      <c r="AG27" s="1">
        <v>4106</v>
      </c>
      <c r="AH27" s="1" t="str">
        <v>PAIGUANO</v>
      </c>
      <c r="AI27" s="405">
        <v>1.8551577787499999E-3</v>
      </c>
      <c r="AL27" s="1">
        <v>4201</v>
      </c>
      <c r="AM27" s="1">
        <v>4301</v>
      </c>
      <c r="AN27" s="1" t="str">
        <v>ILLAPEL</v>
      </c>
      <c r="AO27" s="405">
        <v>2.1160489482380002E-2</v>
      </c>
    </row>
    <row r="28" spans="1:41" ht="3" customHeight="1" x14ac:dyDescent="0.25">
      <c r="A28" s="5">
        <f>+COEFyDISTR_FET!A33</f>
        <v>3304</v>
      </c>
      <c r="B28" s="5">
        <f>+COEFyDISTR_FET!B33</f>
        <v>3303</v>
      </c>
      <c r="C28" t="str">
        <f>+COEFyDISTR_FET!C33</f>
        <v>HUASCO</v>
      </c>
      <c r="D28" s="31">
        <f>+COEFyDISTR_FET!D33</f>
        <v>2389550</v>
      </c>
      <c r="E28" s="31">
        <f>+COEFyDISTR_FET!E33</f>
        <v>3414152.7409999999</v>
      </c>
      <c r="F28" s="403">
        <f>+COEFyDISTR_FET!G33</f>
        <v>0.376</v>
      </c>
      <c r="G28" s="403">
        <f>+COEFyDISTR_FET!H33</f>
        <v>0.58830000000000005</v>
      </c>
      <c r="H28" s="402" t="str">
        <f>IF(D28=0,$A$2,VLOOKUP(COUNTIF(F28,$F$1&amp;$F$2)&amp;COUNTIF(G28,$G$1&amp;$G$2),PARAMETROS!$K$26:$L$30,2,0))</f>
        <v>Entra por Criterio de Dependencia y Percentil</v>
      </c>
      <c r="I28" s="96">
        <f>+COEFyDISTR_FET!AA33</f>
        <v>2.1174604223499999E-3</v>
      </c>
      <c r="J28" s="97">
        <f t="shared" si="0"/>
        <v>3304</v>
      </c>
      <c r="K28" s="97">
        <f t="shared" si="1"/>
        <v>3303</v>
      </c>
      <c r="L28" t="str">
        <f t="shared" si="2"/>
        <v>HUASCO</v>
      </c>
      <c r="M28" t="str">
        <f t="shared" si="3"/>
        <v>Entra por Criterio de Dependencia y Percentil</v>
      </c>
      <c r="N28" s="97">
        <f t="shared" si="4"/>
        <v>3304</v>
      </c>
      <c r="O28" s="97">
        <f t="shared" si="5"/>
        <v>3303</v>
      </c>
      <c r="P28" t="str">
        <f t="shared" si="6"/>
        <v>HUASCO</v>
      </c>
      <c r="Q28" s="96">
        <f t="shared" si="7"/>
        <v>2.1174604223499999E-3</v>
      </c>
      <c r="R28" s="96"/>
      <c r="S28">
        <f>+COEFyDISTR_MINERO!A33</f>
        <v>3304</v>
      </c>
      <c r="T28">
        <f>+COEFyDISTR_MINERO!B33</f>
        <v>3303</v>
      </c>
      <c r="U28" t="str">
        <f>+COEFyDISTR_MINERO!C33</f>
        <v>HUASCO</v>
      </c>
      <c r="V28" s="96">
        <f>+COEFyDISTR_MINERO!X33</f>
        <v>4.4337556260879998E-2</v>
      </c>
      <c r="W28" s="6" t="str">
        <f>+COEFyDISTR_MINERO!D33</f>
        <v>SI</v>
      </c>
      <c r="X28" s="96"/>
      <c r="Y28" s="96"/>
      <c r="Z28" s="1">
        <v>4106</v>
      </c>
      <c r="AA28" s="1">
        <v>4105</v>
      </c>
      <c r="AB28" s="1" t="str">
        <v>VICUÑA</v>
      </c>
      <c r="AC28" s="1" t="str">
        <v>Entra por Criterio de Dependencia y Percentil</v>
      </c>
      <c r="AF28" s="1">
        <v>4106</v>
      </c>
      <c r="AG28" s="1">
        <v>4105</v>
      </c>
      <c r="AH28" s="1" t="str">
        <v>VICUÑA</v>
      </c>
      <c r="AI28" s="405">
        <v>2.8804756396500005E-3</v>
      </c>
      <c r="AL28" s="1">
        <v>4202</v>
      </c>
      <c r="AM28" s="1">
        <v>4304</v>
      </c>
      <c r="AN28" s="1" t="str">
        <v>CANELA</v>
      </c>
      <c r="AO28" s="405">
        <v>1.1213997963180001E-2</v>
      </c>
    </row>
    <row r="29" spans="1:41" ht="3" customHeight="1" x14ac:dyDescent="0.25">
      <c r="A29" s="5">
        <f>+COEFyDISTR_FET!A34</f>
        <v>4101</v>
      </c>
      <c r="B29" s="5">
        <f>+COEFyDISTR_FET!B34</f>
        <v>4101</v>
      </c>
      <c r="C29" t="str">
        <f>+COEFyDISTR_FET!C34</f>
        <v>LA SERENA</v>
      </c>
      <c r="D29" s="31">
        <f>+COEFyDISTR_FET!D34</f>
        <v>36318399</v>
      </c>
      <c r="E29" s="31">
        <f>+COEFyDISTR_FET!E34</f>
        <v>15474048.626</v>
      </c>
      <c r="F29" s="403">
        <f>+COEFyDISTR_FET!G34</f>
        <v>0.93300000000000005</v>
      </c>
      <c r="G29" s="403">
        <f>+COEFyDISTR_FET!H34</f>
        <v>0.29880000000000001</v>
      </c>
      <c r="H29" s="402" t="str">
        <f>IF(D29=0,$A$2,VLOOKUP(COUNTIF(F29,$F$1&amp;$F$2)&amp;COUNTIF(G29,$G$1&amp;$G$2),PARAMETROS!$K$26:$L$30,2,0))</f>
        <v>Sin Acceso</v>
      </c>
      <c r="I29" s="96">
        <f>+COEFyDISTR_FET!AA34</f>
        <v>0</v>
      </c>
      <c r="J29" s="97">
        <f t="shared" si="0"/>
        <v>4101</v>
      </c>
      <c r="K29" s="97">
        <f t="shared" si="1"/>
        <v>4101</v>
      </c>
      <c r="L29" t="str">
        <f t="shared" si="2"/>
        <v>LA SERENA</v>
      </c>
      <c r="M29" t="str">
        <f t="shared" si="3"/>
        <v>Sin Acceso</v>
      </c>
      <c r="N29" s="97">
        <f t="shared" si="4"/>
        <v>4101</v>
      </c>
      <c r="O29" s="97">
        <f t="shared" si="5"/>
        <v>4101</v>
      </c>
      <c r="P29" t="str">
        <f t="shared" si="6"/>
        <v>LA SERENA</v>
      </c>
      <c r="Q29" s="96">
        <f t="shared" si="7"/>
        <v>0</v>
      </c>
      <c r="R29" s="96"/>
      <c r="S29">
        <f>+COEFyDISTR_MINERO!A34</f>
        <v>4101</v>
      </c>
      <c r="T29">
        <f>+COEFyDISTR_MINERO!B34</f>
        <v>4101</v>
      </c>
      <c r="U29" t="str">
        <f>+COEFyDISTR_MINERO!C34</f>
        <v>LA SERENA</v>
      </c>
      <c r="V29" s="96">
        <f>+COEFyDISTR_MINERO!X34</f>
        <v>3.3198970191380003E-2</v>
      </c>
      <c r="W29" s="6" t="str">
        <f>+COEFyDISTR_MINERO!D34</f>
        <v>SI</v>
      </c>
      <c r="X29" s="96"/>
      <c r="Y29" s="96"/>
      <c r="Z29" s="1">
        <v>4201</v>
      </c>
      <c r="AA29" s="1">
        <v>4301</v>
      </c>
      <c r="AB29" s="1" t="str">
        <v>ILLAPEL</v>
      </c>
      <c r="AC29" s="1" t="str">
        <v>Entra por Criterio de Dependencia y Percentil</v>
      </c>
      <c r="AF29" s="1">
        <v>4201</v>
      </c>
      <c r="AG29" s="1">
        <v>4301</v>
      </c>
      <c r="AH29" s="1" t="str">
        <v>ILLAPEL</v>
      </c>
      <c r="AI29" s="405">
        <v>3.2912902378499998E-3</v>
      </c>
      <c r="AL29" s="1">
        <v>4203</v>
      </c>
      <c r="AM29" s="1">
        <v>4303</v>
      </c>
      <c r="AN29" s="1" t="str">
        <v>LOS VILOS</v>
      </c>
      <c r="AO29" s="405">
        <v>1.4578626422780001E-2</v>
      </c>
    </row>
    <row r="30" spans="1:41" ht="3" customHeight="1" x14ac:dyDescent="0.25">
      <c r="A30" s="5">
        <f>+COEFyDISTR_FET!A35</f>
        <v>4102</v>
      </c>
      <c r="B30" s="5">
        <f>+COEFyDISTR_FET!B35</f>
        <v>4103</v>
      </c>
      <c r="C30" t="str">
        <f>+COEFyDISTR_FET!C35</f>
        <v>COQUIMBO</v>
      </c>
      <c r="D30" s="31">
        <f>+COEFyDISTR_FET!D35</f>
        <v>46773782</v>
      </c>
      <c r="E30" s="31">
        <f>+COEFyDISTR_FET!E35</f>
        <v>30386022</v>
      </c>
      <c r="F30" s="403">
        <f>+COEFyDISTR_FET!G35</f>
        <v>0.97099999999999997</v>
      </c>
      <c r="G30" s="403">
        <f>+COEFyDISTR_FET!H35</f>
        <v>0.39379999999999998</v>
      </c>
      <c r="H30" s="402" t="str">
        <f>IF(D30=0,$A$2,VLOOKUP(COUNTIF(F30,$F$1&amp;$F$2)&amp;COUNTIF(G30,$G$1&amp;$G$2),PARAMETROS!$K$26:$L$30,2,0))</f>
        <v>Sin Acceso</v>
      </c>
      <c r="I30" s="96">
        <f>+COEFyDISTR_FET!AA35</f>
        <v>0</v>
      </c>
      <c r="J30" s="97">
        <f t="shared" si="0"/>
        <v>4102</v>
      </c>
      <c r="K30" s="97">
        <f t="shared" si="1"/>
        <v>4103</v>
      </c>
      <c r="L30" t="str">
        <f t="shared" si="2"/>
        <v>COQUIMBO</v>
      </c>
      <c r="M30" t="str">
        <f t="shared" si="3"/>
        <v>Sin Acceso</v>
      </c>
      <c r="N30" s="97">
        <f t="shared" si="4"/>
        <v>4102</v>
      </c>
      <c r="O30" s="97">
        <f t="shared" si="5"/>
        <v>4103</v>
      </c>
      <c r="P30" t="str">
        <f t="shared" si="6"/>
        <v>COQUIMBO</v>
      </c>
      <c r="Q30" s="96">
        <f t="shared" si="7"/>
        <v>0</v>
      </c>
      <c r="R30" s="96"/>
      <c r="S30">
        <f>+COEFyDISTR_MINERO!A35</f>
        <v>4102</v>
      </c>
      <c r="T30">
        <f>+COEFyDISTR_MINERO!B35</f>
        <v>4103</v>
      </c>
      <c r="U30" t="str">
        <f>+COEFyDISTR_MINERO!C35</f>
        <v>COQUIMBO</v>
      </c>
      <c r="V30" s="96">
        <f>+COEFyDISTR_MINERO!X35</f>
        <v>2.7824182162879997E-2</v>
      </c>
      <c r="W30" s="6" t="str">
        <f>+COEFyDISTR_MINERO!D35</f>
        <v>SI</v>
      </c>
      <c r="X30" s="96"/>
      <c r="Y30" s="96"/>
      <c r="Z30" s="1">
        <v>4202</v>
      </c>
      <c r="AA30" s="1">
        <v>4304</v>
      </c>
      <c r="AB30" s="1" t="str">
        <v>CANELA</v>
      </c>
      <c r="AC30" s="1" t="str">
        <v>Entra por Criterio de Dependencia y Percentil</v>
      </c>
      <c r="AF30" s="1">
        <v>4202</v>
      </c>
      <c r="AG30" s="1">
        <v>4304</v>
      </c>
      <c r="AH30" s="1" t="str">
        <v>CANELA</v>
      </c>
      <c r="AI30" s="405">
        <v>2.0750110563500001E-3</v>
      </c>
      <c r="AL30" s="1">
        <v>4204</v>
      </c>
      <c r="AM30" s="1">
        <v>4302</v>
      </c>
      <c r="AN30" s="1" t="str">
        <v>SALAMANCA</v>
      </c>
      <c r="AO30" s="405">
        <v>1.8195951889580002E-2</v>
      </c>
    </row>
    <row r="31" spans="1:41" ht="3" customHeight="1" x14ac:dyDescent="0.25">
      <c r="A31" s="5">
        <f>+COEFyDISTR_FET!A36</f>
        <v>4103</v>
      </c>
      <c r="B31" s="5">
        <f>+COEFyDISTR_FET!B36</f>
        <v>4104</v>
      </c>
      <c r="C31" t="str">
        <f>+COEFyDISTR_FET!C36</f>
        <v>ANDACOLLO</v>
      </c>
      <c r="D31" s="31">
        <f>+COEFyDISTR_FET!D36</f>
        <v>1556394</v>
      </c>
      <c r="E31" s="31">
        <f>+COEFyDISTR_FET!E36</f>
        <v>3470435.696</v>
      </c>
      <c r="F31" s="403">
        <f>+COEFyDISTR_FET!G36</f>
        <v>0.27800000000000002</v>
      </c>
      <c r="G31" s="403">
        <f>+COEFyDISTR_FET!H36</f>
        <v>0.69040000000000001</v>
      </c>
      <c r="H31" s="402" t="str">
        <f>IF(D31=0,$A$2,VLOOKUP(COUNTIF(F31,$F$1&amp;$F$2)&amp;COUNTIF(G31,$G$1&amp;$G$2),PARAMETROS!$K$26:$L$30,2,0))</f>
        <v>Entra por Criterio de Dependencia y Percentil</v>
      </c>
      <c r="I31" s="96">
        <f>+COEFyDISTR_FET!AA36</f>
        <v>2.10319101155E-3</v>
      </c>
      <c r="J31" s="97">
        <f t="shared" si="0"/>
        <v>4103</v>
      </c>
      <c r="K31" s="97">
        <f t="shared" si="1"/>
        <v>4104</v>
      </c>
      <c r="L31" t="str">
        <f t="shared" si="2"/>
        <v>ANDACOLLO</v>
      </c>
      <c r="M31" t="str">
        <f t="shared" si="3"/>
        <v>Entra por Criterio de Dependencia y Percentil</v>
      </c>
      <c r="N31" s="97">
        <f t="shared" si="4"/>
        <v>4103</v>
      </c>
      <c r="O31" s="97">
        <f t="shared" si="5"/>
        <v>4104</v>
      </c>
      <c r="P31" t="str">
        <f t="shared" si="6"/>
        <v>ANDACOLLO</v>
      </c>
      <c r="Q31" s="96">
        <f t="shared" si="7"/>
        <v>2.10319101155E-3</v>
      </c>
      <c r="R31" s="96"/>
      <c r="S31">
        <f>+COEFyDISTR_MINERO!A36</f>
        <v>4103</v>
      </c>
      <c r="T31">
        <f>+COEFyDISTR_MINERO!B36</f>
        <v>4104</v>
      </c>
      <c r="U31" t="str">
        <f>+COEFyDISTR_MINERO!C36</f>
        <v>ANDACOLLO</v>
      </c>
      <c r="V31" s="96">
        <f>+COEFyDISTR_MINERO!X36</f>
        <v>3.053178919278E-2</v>
      </c>
      <c r="W31" s="6" t="str">
        <f>+COEFyDISTR_MINERO!D36</f>
        <v>SI</v>
      </c>
      <c r="X31" s="96"/>
      <c r="Y31" s="96"/>
      <c r="Z31" s="1">
        <v>4203</v>
      </c>
      <c r="AA31" s="1">
        <v>4303</v>
      </c>
      <c r="AB31" s="1" t="str">
        <v>LOS VILOS</v>
      </c>
      <c r="AC31" s="1" t="str">
        <v>Entra por Criterio de Dependencia y Percentil</v>
      </c>
      <c r="AF31" s="1">
        <v>4203</v>
      </c>
      <c r="AG31" s="1">
        <v>4303</v>
      </c>
      <c r="AH31" s="1" t="str">
        <v>LOS VILOS</v>
      </c>
      <c r="AI31" s="405">
        <v>2.50520303035E-3</v>
      </c>
      <c r="AL31" s="1">
        <v>4302</v>
      </c>
      <c r="AM31" s="1">
        <v>4205</v>
      </c>
      <c r="AN31" s="1" t="str">
        <v>COMBARBALÁ</v>
      </c>
      <c r="AO31" s="405">
        <v>1.479281846348E-2</v>
      </c>
    </row>
    <row r="32" spans="1:41" ht="3" customHeight="1" x14ac:dyDescent="0.25">
      <c r="A32" s="5">
        <f>+COEFyDISTR_FET!A37</f>
        <v>4104</v>
      </c>
      <c r="B32" s="5">
        <f>+COEFyDISTR_FET!B37</f>
        <v>4102</v>
      </c>
      <c r="C32" t="str">
        <f>+COEFyDISTR_FET!C37</f>
        <v>LA HIGUERA</v>
      </c>
      <c r="D32" s="31">
        <f>+COEFyDISTR_FET!D37</f>
        <v>2122638</v>
      </c>
      <c r="E32" s="31">
        <f>+COEFyDISTR_FET!E37</f>
        <v>2683163.4270000001</v>
      </c>
      <c r="F32" s="403">
        <f>+COEFyDISTR_FET!G37</f>
        <v>0.25700000000000001</v>
      </c>
      <c r="G32" s="403">
        <f>+COEFyDISTR_FET!H37</f>
        <v>0.55830000000000002</v>
      </c>
      <c r="H32" s="402" t="str">
        <f>IF(D32=0,$A$2,VLOOKUP(COUNTIF(F32,$F$1&amp;$F$2)&amp;COUNTIF(G32,$G$1&amp;$G$2),PARAMETROS!$K$26:$L$30,2,0))</f>
        <v>Entra por Criterio de Dependencia y Percentil</v>
      </c>
      <c r="I32" s="96">
        <f>+COEFyDISTR_FET!AA37</f>
        <v>2.0074246818500003E-3</v>
      </c>
      <c r="J32" s="97">
        <f t="shared" si="0"/>
        <v>4104</v>
      </c>
      <c r="K32" s="97">
        <f t="shared" si="1"/>
        <v>4102</v>
      </c>
      <c r="L32" t="str">
        <f t="shared" si="2"/>
        <v>LA HIGUERA</v>
      </c>
      <c r="M32" t="str">
        <f t="shared" si="3"/>
        <v>Entra por Criterio de Dependencia y Percentil</v>
      </c>
      <c r="N32" s="97">
        <f t="shared" si="4"/>
        <v>4104</v>
      </c>
      <c r="O32" s="97">
        <f t="shared" si="5"/>
        <v>4102</v>
      </c>
      <c r="P32" t="str">
        <f t="shared" si="6"/>
        <v>LA HIGUERA</v>
      </c>
      <c r="Q32" s="96">
        <f t="shared" si="7"/>
        <v>2.0074246818500003E-3</v>
      </c>
      <c r="R32" s="96"/>
      <c r="S32">
        <f>+COEFyDISTR_MINERO!A37</f>
        <v>4104</v>
      </c>
      <c r="T32">
        <f>+COEFyDISTR_MINERO!B37</f>
        <v>4102</v>
      </c>
      <c r="U32" t="str">
        <f>+COEFyDISTR_MINERO!C37</f>
        <v>LA HIGUERA</v>
      </c>
      <c r="V32" s="96">
        <f>+COEFyDISTR_MINERO!X37</f>
        <v>1.3316773733580001E-2</v>
      </c>
      <c r="W32" s="6" t="str">
        <f>+COEFyDISTR_MINERO!D37</f>
        <v>SI</v>
      </c>
      <c r="X32" s="96"/>
      <c r="Y32" s="96"/>
      <c r="Z32" s="1">
        <v>4204</v>
      </c>
      <c r="AA32" s="1">
        <v>4302</v>
      </c>
      <c r="AB32" s="1" t="str">
        <v>SALAMANCA</v>
      </c>
      <c r="AC32" s="1" t="str">
        <v>Entra por Criterio de Dependencia y Percentil</v>
      </c>
      <c r="AF32" s="1">
        <v>4204</v>
      </c>
      <c r="AG32" s="1">
        <v>4302</v>
      </c>
      <c r="AH32" s="1" t="str">
        <v>SALAMANCA</v>
      </c>
      <c r="AI32" s="405">
        <v>2.7038959476499997E-3</v>
      </c>
      <c r="AL32" s="1">
        <v>4303</v>
      </c>
      <c r="AM32" s="1">
        <v>4203</v>
      </c>
      <c r="AN32" s="1" t="str">
        <v>MONTE PATRIA</v>
      </c>
      <c r="AO32" s="405">
        <v>1.6963831477079999E-2</v>
      </c>
    </row>
    <row r="33" spans="1:41" ht="3" customHeight="1" x14ac:dyDescent="0.25">
      <c r="A33" s="5">
        <f>+COEFyDISTR_FET!A38</f>
        <v>4105</v>
      </c>
      <c r="B33" s="5">
        <f>+COEFyDISTR_FET!B38</f>
        <v>4106</v>
      </c>
      <c r="C33" t="str">
        <f>+COEFyDISTR_FET!C38</f>
        <v>PAIGUANO</v>
      </c>
      <c r="D33" s="31">
        <f>+COEFyDISTR_FET!D38</f>
        <v>2089482</v>
      </c>
      <c r="E33" s="31">
        <f>+COEFyDISTR_FET!E38</f>
        <v>3402026.09</v>
      </c>
      <c r="F33" s="403">
        <f>+COEFyDISTR_FET!G38</f>
        <v>0.33900000000000002</v>
      </c>
      <c r="G33" s="403">
        <f>+COEFyDISTR_FET!H38</f>
        <v>0.61950000000000005</v>
      </c>
      <c r="H33" s="402" t="str">
        <f>IF(D33=0,$A$2,VLOOKUP(COUNTIF(F33,$F$1&amp;$F$2)&amp;COUNTIF(G33,$G$1&amp;$G$2),PARAMETROS!$K$26:$L$30,2,0))</f>
        <v>Entra por Criterio de Dependencia y Percentil</v>
      </c>
      <c r="I33" s="96">
        <f>+COEFyDISTR_FET!AA38</f>
        <v>1.8551577787499999E-3</v>
      </c>
      <c r="J33" s="97">
        <f t="shared" si="0"/>
        <v>4105</v>
      </c>
      <c r="K33" s="97">
        <f t="shared" si="1"/>
        <v>4106</v>
      </c>
      <c r="L33" t="str">
        <f t="shared" si="2"/>
        <v>PAIGUANO</v>
      </c>
      <c r="M33" t="str">
        <f t="shared" si="3"/>
        <v>Entra por Criterio de Dependencia y Percentil</v>
      </c>
      <c r="N33" s="97">
        <f t="shared" si="4"/>
        <v>4105</v>
      </c>
      <c r="O33" s="97">
        <f t="shared" si="5"/>
        <v>4106</v>
      </c>
      <c r="P33" t="str">
        <f t="shared" si="6"/>
        <v>PAIGUANO</v>
      </c>
      <c r="Q33" s="96">
        <f t="shared" si="7"/>
        <v>1.8551577787499999E-3</v>
      </c>
      <c r="R33" s="96"/>
      <c r="S33">
        <f>+COEFyDISTR_MINERO!A38</f>
        <v>4105</v>
      </c>
      <c r="T33">
        <f>+COEFyDISTR_MINERO!B38</f>
        <v>4106</v>
      </c>
      <c r="U33" t="str">
        <f>+COEFyDISTR_MINERO!C38</f>
        <v>PAIGUANO</v>
      </c>
      <c r="V33" s="96">
        <f>+COEFyDISTR_MINERO!X38</f>
        <v>0</v>
      </c>
      <c r="W33" s="6" t="str">
        <f>+COEFyDISTR_MINERO!D38</f>
        <v>No</v>
      </c>
      <c r="X33" s="96"/>
      <c r="Y33" s="96"/>
      <c r="Z33" s="1">
        <v>4301</v>
      </c>
      <c r="AA33" s="1">
        <v>4201</v>
      </c>
      <c r="AB33" s="1" t="str">
        <v>OVALLE</v>
      </c>
      <c r="AC33" s="1" t="str">
        <v>Entra por Criterio de Dependencia</v>
      </c>
      <c r="AF33" s="1">
        <v>4301</v>
      </c>
      <c r="AG33" s="1">
        <v>4201</v>
      </c>
      <c r="AH33" s="1" t="str">
        <v>OVALLE</v>
      </c>
      <c r="AI33" s="405">
        <v>7.5014143461500007E-3</v>
      </c>
      <c r="AL33" s="1">
        <v>4304</v>
      </c>
      <c r="AM33" s="1">
        <v>4204</v>
      </c>
      <c r="AN33" s="1" t="str">
        <v>PUNITAQUI</v>
      </c>
      <c r="AO33" s="405">
        <v>1.359623408718E-2</v>
      </c>
    </row>
    <row r="34" spans="1:41" ht="3" customHeight="1" x14ac:dyDescent="0.25">
      <c r="A34" s="5">
        <f>+COEFyDISTR_FET!A39</f>
        <v>4106</v>
      </c>
      <c r="B34" s="5">
        <f>+COEFyDISTR_FET!B39</f>
        <v>4105</v>
      </c>
      <c r="C34" t="str">
        <f>+COEFyDISTR_FET!C39</f>
        <v>VICUÑA</v>
      </c>
      <c r="D34" s="31">
        <f>+COEFyDISTR_FET!D39</f>
        <v>3082384</v>
      </c>
      <c r="E34" s="31">
        <f>+COEFyDISTR_FET!E39</f>
        <v>8919989.8159999996</v>
      </c>
      <c r="F34" s="403">
        <f>+COEFyDISTR_FET!G39</f>
        <v>0.64900000000000002</v>
      </c>
      <c r="G34" s="403">
        <f>+COEFyDISTR_FET!H39</f>
        <v>0.74319999999999997</v>
      </c>
      <c r="H34" s="402" t="str">
        <f>IF(D34=0,$A$2,VLOOKUP(COUNTIF(F34,$F$1&amp;$F$2)&amp;COUNTIF(G34,$G$1&amp;$G$2),PARAMETROS!$K$26:$L$30,2,0))</f>
        <v>Entra por Criterio de Dependencia y Percentil</v>
      </c>
      <c r="I34" s="96">
        <f>+COEFyDISTR_FET!AA39</f>
        <v>2.8804756396500005E-3</v>
      </c>
      <c r="J34" s="97">
        <f t="shared" si="0"/>
        <v>4106</v>
      </c>
      <c r="K34" s="97">
        <f t="shared" si="1"/>
        <v>4105</v>
      </c>
      <c r="L34" t="str">
        <f t="shared" si="2"/>
        <v>VICUÑA</v>
      </c>
      <c r="M34" t="str">
        <f t="shared" si="3"/>
        <v>Entra por Criterio de Dependencia y Percentil</v>
      </c>
      <c r="N34" s="97">
        <f t="shared" si="4"/>
        <v>4106</v>
      </c>
      <c r="O34" s="97">
        <f t="shared" si="5"/>
        <v>4105</v>
      </c>
      <c r="P34" t="str">
        <f t="shared" si="6"/>
        <v>VICUÑA</v>
      </c>
      <c r="Q34" s="96">
        <f t="shared" si="7"/>
        <v>2.8804756396500005E-3</v>
      </c>
      <c r="R34" s="96"/>
      <c r="S34">
        <f>+COEFyDISTR_MINERO!A39</f>
        <v>4106</v>
      </c>
      <c r="T34">
        <f>+COEFyDISTR_MINERO!B39</f>
        <v>4105</v>
      </c>
      <c r="U34" t="str">
        <f>+COEFyDISTR_MINERO!C39</f>
        <v>VICUÑA</v>
      </c>
      <c r="V34" s="96">
        <f>+COEFyDISTR_MINERO!X39</f>
        <v>0</v>
      </c>
      <c r="W34" s="6" t="str">
        <f>+COEFyDISTR_MINERO!D39</f>
        <v>No</v>
      </c>
      <c r="X34" s="96"/>
      <c r="Y34" s="96"/>
      <c r="Z34" s="1">
        <v>4302</v>
      </c>
      <c r="AA34" s="1">
        <v>4205</v>
      </c>
      <c r="AB34" s="1" t="str">
        <v>COMBARBALÁ</v>
      </c>
      <c r="AC34" s="1" t="str">
        <v>Entra por Criterio de Dependencia y Percentil</v>
      </c>
      <c r="AF34" s="1">
        <v>4302</v>
      </c>
      <c r="AG34" s="1">
        <v>4205</v>
      </c>
      <c r="AH34" s="1" t="str">
        <v>COMBARBALÁ</v>
      </c>
      <c r="AI34" s="405">
        <v>2.90829826825E-3</v>
      </c>
      <c r="AL34" s="1">
        <v>5105</v>
      </c>
      <c r="AM34" s="1">
        <v>5307</v>
      </c>
      <c r="AN34" s="1" t="str">
        <v>PUCHUNCAVÍ</v>
      </c>
      <c r="AO34" s="405">
        <v>2.3573829453280001E-2</v>
      </c>
    </row>
    <row r="35" spans="1:41" ht="3" customHeight="1" x14ac:dyDescent="0.25">
      <c r="A35" s="5">
        <f>+COEFyDISTR_FET!A40</f>
        <v>4201</v>
      </c>
      <c r="B35" s="5">
        <f>+COEFyDISTR_FET!B40</f>
        <v>4301</v>
      </c>
      <c r="C35" t="str">
        <f>+COEFyDISTR_FET!C40</f>
        <v>ILLAPEL</v>
      </c>
      <c r="D35" s="31">
        <f>+COEFyDISTR_FET!D40</f>
        <v>2700481</v>
      </c>
      <c r="E35" s="31">
        <f>+COEFyDISTR_FET!E40</f>
        <v>6931629.1679999996</v>
      </c>
      <c r="F35" s="403">
        <f>+COEFyDISTR_FET!G40</f>
        <v>0.58199999999999996</v>
      </c>
      <c r="G35" s="403">
        <f>+COEFyDISTR_FET!H40</f>
        <v>0.71960000000000002</v>
      </c>
      <c r="H35" s="402" t="str">
        <f>IF(D35=0,$A$2,VLOOKUP(COUNTIF(F35,$F$1&amp;$F$2)&amp;COUNTIF(G35,$G$1&amp;$G$2),PARAMETROS!$K$26:$L$30,2,0))</f>
        <v>Entra por Criterio de Dependencia y Percentil</v>
      </c>
      <c r="I35" s="96">
        <f>+COEFyDISTR_FET!AA40</f>
        <v>3.2912902378499998E-3</v>
      </c>
      <c r="J35" s="97">
        <f t="shared" si="0"/>
        <v>4201</v>
      </c>
      <c r="K35" s="97">
        <f t="shared" si="1"/>
        <v>4301</v>
      </c>
      <c r="L35" t="str">
        <f t="shared" si="2"/>
        <v>ILLAPEL</v>
      </c>
      <c r="M35" t="str">
        <f t="shared" si="3"/>
        <v>Entra por Criterio de Dependencia y Percentil</v>
      </c>
      <c r="N35" s="97">
        <f t="shared" si="4"/>
        <v>4201</v>
      </c>
      <c r="O35" s="97">
        <f t="shared" si="5"/>
        <v>4301</v>
      </c>
      <c r="P35" t="str">
        <f t="shared" si="6"/>
        <v>ILLAPEL</v>
      </c>
      <c r="Q35" s="96">
        <f t="shared" si="7"/>
        <v>3.2912902378499998E-3</v>
      </c>
      <c r="R35" s="96"/>
      <c r="S35">
        <f>+COEFyDISTR_MINERO!A40</f>
        <v>4201</v>
      </c>
      <c r="T35">
        <f>+COEFyDISTR_MINERO!B40</f>
        <v>4301</v>
      </c>
      <c r="U35" t="str">
        <f>+COEFyDISTR_MINERO!C40</f>
        <v>ILLAPEL</v>
      </c>
      <c r="V35" s="96">
        <f>+COEFyDISTR_MINERO!X40</f>
        <v>2.1160489482380002E-2</v>
      </c>
      <c r="W35" s="6" t="str">
        <f>+COEFyDISTR_MINERO!D40</f>
        <v>SI</v>
      </c>
      <c r="X35" s="96"/>
      <c r="Y35" s="96"/>
      <c r="Z35" s="1">
        <v>4303</v>
      </c>
      <c r="AA35" s="1">
        <v>4203</v>
      </c>
      <c r="AB35" s="1" t="str">
        <v>MONTE PATRIA</v>
      </c>
      <c r="AC35" s="1" t="str">
        <v>Entra por Criterio de Dependencia y Percentil</v>
      </c>
      <c r="AF35" s="1">
        <v>4303</v>
      </c>
      <c r="AG35" s="1">
        <v>4203</v>
      </c>
      <c r="AH35" s="1" t="str">
        <v>MONTE PATRIA</v>
      </c>
      <c r="AI35" s="405">
        <v>4.3584581337499997E-3</v>
      </c>
      <c r="AL35" s="1">
        <v>5107</v>
      </c>
      <c r="AM35" s="1">
        <v>5306</v>
      </c>
      <c r="AN35" s="1" t="str">
        <v>QUINTERO</v>
      </c>
      <c r="AO35" s="405">
        <v>2.3728842358280003E-2</v>
      </c>
    </row>
    <row r="36" spans="1:41" ht="3" customHeight="1" x14ac:dyDescent="0.25">
      <c r="A36" s="5">
        <f>+COEFyDISTR_FET!A41</f>
        <v>4202</v>
      </c>
      <c r="B36" s="5">
        <f>+COEFyDISTR_FET!B41</f>
        <v>4304</v>
      </c>
      <c r="C36" t="str">
        <f>+COEFyDISTR_FET!C41</f>
        <v>CANELA</v>
      </c>
      <c r="D36" s="31">
        <f>+COEFyDISTR_FET!D41</f>
        <v>1195637</v>
      </c>
      <c r="E36" s="31">
        <f>+COEFyDISTR_FET!E41</f>
        <v>2855755.307</v>
      </c>
      <c r="F36" s="403">
        <f>+COEFyDISTR_FET!G41</f>
        <v>0.16500000000000001</v>
      </c>
      <c r="G36" s="403">
        <f>+COEFyDISTR_FET!H41</f>
        <v>0.70489999999999997</v>
      </c>
      <c r="H36" s="402" t="str">
        <f>IF(D36=0,$A$2,VLOOKUP(COUNTIF(F36,$F$1&amp;$F$2)&amp;COUNTIF(G36,$G$1&amp;$G$2),PARAMETROS!$K$26:$L$30,2,0))</f>
        <v>Entra por Criterio de Dependencia y Percentil</v>
      </c>
      <c r="I36" s="96">
        <f>+COEFyDISTR_FET!AA41</f>
        <v>2.0750110563500001E-3</v>
      </c>
      <c r="J36" s="97">
        <f t="shared" si="0"/>
        <v>4202</v>
      </c>
      <c r="K36" s="97">
        <f t="shared" si="1"/>
        <v>4304</v>
      </c>
      <c r="L36" t="str">
        <f t="shared" si="2"/>
        <v>CANELA</v>
      </c>
      <c r="M36" t="str">
        <f t="shared" si="3"/>
        <v>Entra por Criterio de Dependencia y Percentil</v>
      </c>
      <c r="N36" s="97">
        <f t="shared" si="4"/>
        <v>4202</v>
      </c>
      <c r="O36" s="97">
        <f t="shared" si="5"/>
        <v>4304</v>
      </c>
      <c r="P36" t="str">
        <f t="shared" si="6"/>
        <v>CANELA</v>
      </c>
      <c r="Q36" s="96">
        <f t="shared" si="7"/>
        <v>2.0750110563500001E-3</v>
      </c>
      <c r="R36" s="96"/>
      <c r="S36">
        <f>+COEFyDISTR_MINERO!A41</f>
        <v>4202</v>
      </c>
      <c r="T36">
        <f>+COEFyDISTR_MINERO!B41</f>
        <v>4304</v>
      </c>
      <c r="U36" t="str">
        <f>+COEFyDISTR_MINERO!C41</f>
        <v>CANELA</v>
      </c>
      <c r="V36" s="96">
        <f>+COEFyDISTR_MINERO!X41</f>
        <v>1.1213997963180001E-2</v>
      </c>
      <c r="W36" s="6" t="str">
        <f>+COEFyDISTR_MINERO!D41</f>
        <v>SI</v>
      </c>
      <c r="X36" s="96"/>
      <c r="Y36" s="96"/>
      <c r="Z36" s="1">
        <v>4304</v>
      </c>
      <c r="AA36" s="1">
        <v>4204</v>
      </c>
      <c r="AB36" s="1" t="str">
        <v>PUNITAQUI</v>
      </c>
      <c r="AC36" s="1" t="str">
        <v>Entra por Criterio de Dependencia y Percentil</v>
      </c>
      <c r="AF36" s="1">
        <v>4304</v>
      </c>
      <c r="AG36" s="1">
        <v>4204</v>
      </c>
      <c r="AH36" s="1" t="str">
        <v>PUNITAQUI</v>
      </c>
      <c r="AI36" s="405">
        <v>2.5018886198500002E-3</v>
      </c>
      <c r="AL36" s="1">
        <v>5301</v>
      </c>
      <c r="AM36" s="1">
        <v>5701</v>
      </c>
      <c r="AN36" s="1" t="str">
        <v>LOS ANDES</v>
      </c>
      <c r="AO36" s="405">
        <v>2.402343985788E-2</v>
      </c>
    </row>
    <row r="37" spans="1:41" ht="3" customHeight="1" x14ac:dyDescent="0.25">
      <c r="A37" s="5">
        <f>+COEFyDISTR_FET!A42</f>
        <v>4203</v>
      </c>
      <c r="B37" s="5">
        <f>+COEFyDISTR_FET!B42</f>
        <v>4303</v>
      </c>
      <c r="C37" t="str">
        <f>+COEFyDISTR_FET!C42</f>
        <v>LOS VILOS</v>
      </c>
      <c r="D37" s="31">
        <f>+COEFyDISTR_FET!D42</f>
        <v>3520226</v>
      </c>
      <c r="E37" s="31">
        <f>+COEFyDISTR_FET!E42</f>
        <v>11116533.354</v>
      </c>
      <c r="F37" s="403">
        <f>+COEFyDISTR_FET!G42</f>
        <v>0.71</v>
      </c>
      <c r="G37" s="403">
        <f>+COEFyDISTR_FET!H42</f>
        <v>0.75949999999999995</v>
      </c>
      <c r="H37" s="402" t="str">
        <f>IF(D37=0,$A$2,VLOOKUP(COUNTIF(F37,$F$1&amp;$F$2)&amp;COUNTIF(G37,$G$1&amp;$G$2),PARAMETROS!$K$26:$L$30,2,0))</f>
        <v>Entra por Criterio de Dependencia y Percentil</v>
      </c>
      <c r="I37" s="96">
        <f>+COEFyDISTR_FET!AA42</f>
        <v>2.50520303035E-3</v>
      </c>
      <c r="J37" s="97">
        <f t="shared" si="0"/>
        <v>4203</v>
      </c>
      <c r="K37" s="97">
        <f t="shared" si="1"/>
        <v>4303</v>
      </c>
      <c r="L37" t="str">
        <f t="shared" si="2"/>
        <v>LOS VILOS</v>
      </c>
      <c r="M37" t="str">
        <f t="shared" si="3"/>
        <v>Entra por Criterio de Dependencia y Percentil</v>
      </c>
      <c r="N37" s="97">
        <f t="shared" si="4"/>
        <v>4203</v>
      </c>
      <c r="O37" s="97">
        <f t="shared" si="5"/>
        <v>4303</v>
      </c>
      <c r="P37" t="str">
        <f t="shared" si="6"/>
        <v>LOS VILOS</v>
      </c>
      <c r="Q37" s="96">
        <f t="shared" si="7"/>
        <v>2.50520303035E-3</v>
      </c>
      <c r="R37" s="96"/>
      <c r="S37">
        <f>+COEFyDISTR_MINERO!A42</f>
        <v>4203</v>
      </c>
      <c r="T37">
        <f>+COEFyDISTR_MINERO!B42</f>
        <v>4303</v>
      </c>
      <c r="U37" t="str">
        <f>+COEFyDISTR_MINERO!C42</f>
        <v>LOS VILOS</v>
      </c>
      <c r="V37" s="96">
        <f>+COEFyDISTR_MINERO!X42</f>
        <v>1.4578626422780001E-2</v>
      </c>
      <c r="W37" s="6" t="str">
        <f>+COEFyDISTR_MINERO!D42</f>
        <v>SI</v>
      </c>
      <c r="X37" s="96"/>
      <c r="Y37" s="96"/>
      <c r="Z37" s="1">
        <v>4305</v>
      </c>
      <c r="AA37" s="1">
        <v>4206</v>
      </c>
      <c r="AB37" s="1" t="str">
        <v>RÍO HURTADO</v>
      </c>
      <c r="AC37" s="1" t="str">
        <v>Entra por Criterio de Dependencia y Percentil</v>
      </c>
      <c r="AF37" s="1">
        <v>4305</v>
      </c>
      <c r="AG37" s="1">
        <v>4206</v>
      </c>
      <c r="AH37" s="1" t="str">
        <v>RÍO HURTADO</v>
      </c>
      <c r="AI37" s="405">
        <v>1.91212174615E-3</v>
      </c>
      <c r="AL37" s="1">
        <v>5302</v>
      </c>
      <c r="AM37" s="1">
        <v>5702</v>
      </c>
      <c r="AN37" s="1" t="str">
        <v>CALLE LARGA</v>
      </c>
      <c r="AO37" s="405">
        <v>1.083434569288E-2</v>
      </c>
    </row>
    <row r="38" spans="1:41" ht="3" customHeight="1" x14ac:dyDescent="0.25">
      <c r="A38" s="5">
        <f>+COEFyDISTR_FET!A43</f>
        <v>4204</v>
      </c>
      <c r="B38" s="5">
        <f>+COEFyDISTR_FET!B43</f>
        <v>4302</v>
      </c>
      <c r="C38" t="str">
        <f>+COEFyDISTR_FET!C43</f>
        <v>SALAMANCA</v>
      </c>
      <c r="D38" s="31">
        <f>+COEFyDISTR_FET!D43</f>
        <v>4404570</v>
      </c>
      <c r="E38" s="31">
        <f>+COEFyDISTR_FET!E43</f>
        <v>4891018.8169999998</v>
      </c>
      <c r="F38" s="403">
        <f>+COEFyDISTR_FET!G43</f>
        <v>0.55600000000000005</v>
      </c>
      <c r="G38" s="403">
        <f>+COEFyDISTR_FET!H43</f>
        <v>0.5262</v>
      </c>
      <c r="H38" s="402" t="str">
        <f>IF(D38=0,$A$2,VLOOKUP(COUNTIF(F38,$F$1&amp;$F$2)&amp;COUNTIF(G38,$G$1&amp;$G$2),PARAMETROS!$K$26:$L$30,2,0))</f>
        <v>Entra por Criterio de Dependencia y Percentil</v>
      </c>
      <c r="I38" s="96">
        <f>+COEFyDISTR_FET!AA43</f>
        <v>2.7038959476499997E-3</v>
      </c>
      <c r="J38" s="97">
        <f t="shared" si="0"/>
        <v>4204</v>
      </c>
      <c r="K38" s="97">
        <f t="shared" si="1"/>
        <v>4302</v>
      </c>
      <c r="L38" t="str">
        <f t="shared" si="2"/>
        <v>SALAMANCA</v>
      </c>
      <c r="M38" t="str">
        <f t="shared" si="3"/>
        <v>Entra por Criterio de Dependencia y Percentil</v>
      </c>
      <c r="N38" s="97">
        <f t="shared" si="4"/>
        <v>4204</v>
      </c>
      <c r="O38" s="97">
        <f t="shared" si="5"/>
        <v>4302</v>
      </c>
      <c r="P38" t="str">
        <f t="shared" si="6"/>
        <v>SALAMANCA</v>
      </c>
      <c r="Q38" s="96">
        <f t="shared" si="7"/>
        <v>2.7038959476499997E-3</v>
      </c>
      <c r="R38" s="96"/>
      <c r="S38">
        <f>+COEFyDISTR_MINERO!A43</f>
        <v>4204</v>
      </c>
      <c r="T38">
        <f>+COEFyDISTR_MINERO!B43</f>
        <v>4302</v>
      </c>
      <c r="U38" t="str">
        <f>+COEFyDISTR_MINERO!C43</f>
        <v>SALAMANCA</v>
      </c>
      <c r="V38" s="96">
        <f>+COEFyDISTR_MINERO!X43</f>
        <v>1.8195951889580002E-2</v>
      </c>
      <c r="W38" s="6" t="str">
        <f>+COEFyDISTR_MINERO!D43</f>
        <v>SI</v>
      </c>
      <c r="X38" s="96"/>
      <c r="Y38" s="96"/>
      <c r="Z38" s="1">
        <v>5101</v>
      </c>
      <c r="AA38" s="1">
        <v>5301</v>
      </c>
      <c r="AB38" s="1" t="str">
        <v>VALPARAÍSO</v>
      </c>
      <c r="AC38" s="1" t="str">
        <v>Entra por Criterio de Dependencia</v>
      </c>
      <c r="AF38" s="1">
        <v>5101</v>
      </c>
      <c r="AG38" s="1">
        <v>5301</v>
      </c>
      <c r="AH38" s="1" t="str">
        <v>VALPARAÍSO</v>
      </c>
      <c r="AI38" s="405">
        <v>9.7663067766500002E-3</v>
      </c>
      <c r="AL38" s="1">
        <v>5402</v>
      </c>
      <c r="AM38" s="1">
        <v>5203</v>
      </c>
      <c r="AN38" s="1" t="str">
        <v>CABILDO</v>
      </c>
      <c r="AO38" s="405">
        <v>2.1594446978880001E-2</v>
      </c>
    </row>
    <row r="39" spans="1:41" ht="3" customHeight="1" x14ac:dyDescent="0.25">
      <c r="A39" s="5">
        <f>+COEFyDISTR_FET!A44</f>
        <v>4301</v>
      </c>
      <c r="B39" s="5">
        <f>+COEFyDISTR_FET!B44</f>
        <v>4201</v>
      </c>
      <c r="C39" t="str">
        <f>+COEFyDISTR_FET!C44</f>
        <v>OVALLE</v>
      </c>
      <c r="D39" s="31">
        <f>+COEFyDISTR_FET!D44</f>
        <v>10581423</v>
      </c>
      <c r="E39" s="31">
        <f>+COEFyDISTR_FET!E44</f>
        <v>19347446.850000001</v>
      </c>
      <c r="F39" s="403">
        <f>+COEFyDISTR_FET!G44</f>
        <v>0.86899999999999999</v>
      </c>
      <c r="G39" s="403">
        <f>+COEFyDISTR_FET!H44</f>
        <v>0.64639999999999997</v>
      </c>
      <c r="H39" s="402" t="str">
        <f>IF(D39=0,$A$2,VLOOKUP(COUNTIF(F39,$F$1&amp;$F$2)&amp;COUNTIF(G39,$G$1&amp;$G$2),PARAMETROS!$K$26:$L$30,2,0))</f>
        <v>Entra por Criterio de Dependencia</v>
      </c>
      <c r="I39" s="96">
        <f>+COEFyDISTR_FET!AA44</f>
        <v>7.5014143461500007E-3</v>
      </c>
      <c r="J39" s="97">
        <f t="shared" si="0"/>
        <v>4301</v>
      </c>
      <c r="K39" s="97">
        <f t="shared" si="1"/>
        <v>4201</v>
      </c>
      <c r="L39" t="str">
        <f t="shared" si="2"/>
        <v>OVALLE</v>
      </c>
      <c r="M39" t="str">
        <f t="shared" si="3"/>
        <v>Entra por Criterio de Dependencia</v>
      </c>
      <c r="N39" s="97">
        <f t="shared" si="4"/>
        <v>4301</v>
      </c>
      <c r="O39" s="97">
        <f t="shared" si="5"/>
        <v>4201</v>
      </c>
      <c r="P39" t="str">
        <f t="shared" si="6"/>
        <v>OVALLE</v>
      </c>
      <c r="Q39" s="96">
        <f t="shared" si="7"/>
        <v>7.5014143461500007E-3</v>
      </c>
      <c r="R39" s="96"/>
      <c r="S39">
        <f>+COEFyDISTR_MINERO!A44</f>
        <v>4301</v>
      </c>
      <c r="T39">
        <f>+COEFyDISTR_MINERO!B44</f>
        <v>4201</v>
      </c>
      <c r="U39" t="str">
        <f>+COEFyDISTR_MINERO!C44</f>
        <v>OVALLE</v>
      </c>
      <c r="V39" s="96">
        <f>+COEFyDISTR_MINERO!X44</f>
        <v>0</v>
      </c>
      <c r="W39" s="6" t="str">
        <f>+COEFyDISTR_MINERO!D44</f>
        <v>No</v>
      </c>
      <c r="X39" s="96"/>
      <c r="Y39" s="96"/>
      <c r="Z39" s="1">
        <v>5102</v>
      </c>
      <c r="AA39" s="1">
        <v>5305</v>
      </c>
      <c r="AB39" s="1" t="str">
        <v>CASABLANCA</v>
      </c>
      <c r="AC39" s="1" t="str">
        <v>Entra por Criterio de Percentil</v>
      </c>
      <c r="AF39" s="1">
        <v>5102</v>
      </c>
      <c r="AG39" s="1">
        <v>5305</v>
      </c>
      <c r="AH39" s="1" t="str">
        <v>CASABLANCA</v>
      </c>
      <c r="AI39" s="405">
        <v>2.27439239915E-3</v>
      </c>
      <c r="AL39" s="1">
        <v>5404</v>
      </c>
      <c r="AM39" s="1">
        <v>5202</v>
      </c>
      <c r="AN39" s="1" t="str">
        <v>PETORCA</v>
      </c>
      <c r="AO39" s="405">
        <v>1.194451718228E-2</v>
      </c>
    </row>
    <row r="40" spans="1:41" ht="3" customHeight="1" x14ac:dyDescent="0.25">
      <c r="A40" s="5">
        <f>+COEFyDISTR_FET!A45</f>
        <v>4302</v>
      </c>
      <c r="B40" s="5">
        <f>+COEFyDISTR_FET!B45</f>
        <v>4205</v>
      </c>
      <c r="C40" t="str">
        <f>+COEFyDISTR_FET!C45</f>
        <v>COMBARBALÁ</v>
      </c>
      <c r="D40" s="31">
        <f>+COEFyDISTR_FET!D45</f>
        <v>759952</v>
      </c>
      <c r="E40" s="31">
        <f>+COEFyDISTR_FET!E45</f>
        <v>4873889.2589999996</v>
      </c>
      <c r="F40" s="403">
        <f>+COEFyDISTR_FET!G45</f>
        <v>0.35899999999999999</v>
      </c>
      <c r="G40" s="403">
        <f>+COEFyDISTR_FET!H45</f>
        <v>0.86509999999999998</v>
      </c>
      <c r="H40" s="402" t="str">
        <f>IF(D40=0,$A$2,VLOOKUP(COUNTIF(F40,$F$1&amp;$F$2)&amp;COUNTIF(G40,$G$1&amp;$G$2),PARAMETROS!$K$26:$L$30,2,0))</f>
        <v>Entra por Criterio de Dependencia y Percentil</v>
      </c>
      <c r="I40" s="96">
        <f>+COEFyDISTR_FET!AA45</f>
        <v>2.90829826825E-3</v>
      </c>
      <c r="J40" s="97">
        <f t="shared" si="0"/>
        <v>4302</v>
      </c>
      <c r="K40" s="97">
        <f t="shared" si="1"/>
        <v>4205</v>
      </c>
      <c r="L40" t="str">
        <f t="shared" si="2"/>
        <v>COMBARBALÁ</v>
      </c>
      <c r="M40" t="str">
        <f t="shared" si="3"/>
        <v>Entra por Criterio de Dependencia y Percentil</v>
      </c>
      <c r="N40" s="97">
        <f t="shared" si="4"/>
        <v>4302</v>
      </c>
      <c r="O40" s="97">
        <f t="shared" si="5"/>
        <v>4205</v>
      </c>
      <c r="P40" t="str">
        <f t="shared" si="6"/>
        <v>COMBARBALÁ</v>
      </c>
      <c r="Q40" s="96">
        <f t="shared" si="7"/>
        <v>2.90829826825E-3</v>
      </c>
      <c r="R40" s="96"/>
      <c r="S40">
        <f>+COEFyDISTR_MINERO!A45</f>
        <v>4302</v>
      </c>
      <c r="T40">
        <f>+COEFyDISTR_MINERO!B45</f>
        <v>4205</v>
      </c>
      <c r="U40" t="str">
        <f>+COEFyDISTR_MINERO!C45</f>
        <v>COMBARBALÁ</v>
      </c>
      <c r="V40" s="96">
        <f>+COEFyDISTR_MINERO!X45</f>
        <v>1.479281846348E-2</v>
      </c>
      <c r="W40" s="6" t="str">
        <f>+COEFyDISTR_MINERO!D45</f>
        <v>SI</v>
      </c>
      <c r="X40" s="96"/>
      <c r="Y40" s="96"/>
      <c r="Z40" s="1">
        <v>5103</v>
      </c>
      <c r="AA40" s="1">
        <v>5309</v>
      </c>
      <c r="AB40" s="1" t="str">
        <v>CONCÓN</v>
      </c>
      <c r="AC40" s="1" t="str">
        <v>Entra por Criterio de Percentil</v>
      </c>
      <c r="AF40" s="1">
        <v>5103</v>
      </c>
      <c r="AG40" s="1">
        <v>5309</v>
      </c>
      <c r="AH40" s="1" t="str">
        <v>CONCÓN</v>
      </c>
      <c r="AI40" s="405">
        <v>1.92096158945E-3</v>
      </c>
      <c r="AL40" s="1">
        <v>5506</v>
      </c>
      <c r="AM40" s="1">
        <v>5502</v>
      </c>
      <c r="AN40" s="1" t="str">
        <v>NOGALES</v>
      </c>
      <c r="AO40" s="405">
        <v>1.7901075746880001E-2</v>
      </c>
    </row>
    <row r="41" spans="1:41" ht="3" customHeight="1" x14ac:dyDescent="0.25">
      <c r="A41" s="5">
        <f>+COEFyDISTR_FET!A46</f>
        <v>4303</v>
      </c>
      <c r="B41" s="5">
        <f>+COEFyDISTR_FET!B46</f>
        <v>4203</v>
      </c>
      <c r="C41" t="str">
        <f>+COEFyDISTR_FET!C46</f>
        <v>MONTE PATRIA</v>
      </c>
      <c r="D41" s="31">
        <f>+COEFyDISTR_FET!D46</f>
        <v>1927539</v>
      </c>
      <c r="E41" s="31">
        <f>+COEFyDISTR_FET!E46</f>
        <v>8319495.6169999996</v>
      </c>
      <c r="F41" s="403">
        <f>+COEFyDISTR_FET!G46</f>
        <v>0.60499999999999998</v>
      </c>
      <c r="G41" s="403">
        <f>+COEFyDISTR_FET!H46</f>
        <v>0.81189999999999996</v>
      </c>
      <c r="H41" s="402" t="str">
        <f>IF(D41=0,$A$2,VLOOKUP(COUNTIF(F41,$F$1&amp;$F$2)&amp;COUNTIF(G41,$G$1&amp;$G$2),PARAMETROS!$K$26:$L$30,2,0))</f>
        <v>Entra por Criterio de Dependencia y Percentil</v>
      </c>
      <c r="I41" s="96">
        <f>+COEFyDISTR_FET!AA46</f>
        <v>4.3584581337499997E-3</v>
      </c>
      <c r="J41" s="97">
        <f t="shared" si="0"/>
        <v>4303</v>
      </c>
      <c r="K41" s="97">
        <f t="shared" si="1"/>
        <v>4203</v>
      </c>
      <c r="L41" t="str">
        <f t="shared" si="2"/>
        <v>MONTE PATRIA</v>
      </c>
      <c r="M41" t="str">
        <f t="shared" si="3"/>
        <v>Entra por Criterio de Dependencia y Percentil</v>
      </c>
      <c r="N41" s="97">
        <f t="shared" si="4"/>
        <v>4303</v>
      </c>
      <c r="O41" s="97">
        <f t="shared" si="5"/>
        <v>4203</v>
      </c>
      <c r="P41" t="str">
        <f t="shared" si="6"/>
        <v>MONTE PATRIA</v>
      </c>
      <c r="Q41" s="96">
        <f t="shared" si="7"/>
        <v>4.3584581337499997E-3</v>
      </c>
      <c r="R41" s="96"/>
      <c r="S41">
        <f>+COEFyDISTR_MINERO!A46</f>
        <v>4303</v>
      </c>
      <c r="T41">
        <f>+COEFyDISTR_MINERO!B46</f>
        <v>4203</v>
      </c>
      <c r="U41" t="str">
        <f>+COEFyDISTR_MINERO!C46</f>
        <v>MONTE PATRIA</v>
      </c>
      <c r="V41" s="96">
        <f>+COEFyDISTR_MINERO!X46</f>
        <v>1.6963831477079999E-2</v>
      </c>
      <c r="W41" s="6" t="str">
        <f>+COEFyDISTR_MINERO!D46</f>
        <v>SI</v>
      </c>
      <c r="X41" s="96"/>
      <c r="Y41" s="96"/>
      <c r="Z41" s="1">
        <v>5104</v>
      </c>
      <c r="AA41" s="1">
        <v>5308</v>
      </c>
      <c r="AB41" s="1" t="str">
        <v>JUAN FERNÁNDEZ</v>
      </c>
      <c r="AC41" s="1" t="str">
        <v>Entra por Criterio de Dependencia y Percentil</v>
      </c>
      <c r="AF41" s="1">
        <v>5104</v>
      </c>
      <c r="AG41" s="1">
        <v>5308</v>
      </c>
      <c r="AH41" s="1" t="str">
        <v>JUAN FERNÁNDEZ</v>
      </c>
      <c r="AI41" s="405">
        <v>1.6826616843500001E-3</v>
      </c>
      <c r="AL41" s="1">
        <v>5701</v>
      </c>
      <c r="AM41" s="1">
        <v>5601</v>
      </c>
      <c r="AN41" s="1" t="str">
        <v>SAN FELIPE</v>
      </c>
      <c r="AO41" s="405">
        <v>2.4280223617780001E-2</v>
      </c>
    </row>
    <row r="42" spans="1:41" ht="3" customHeight="1" x14ac:dyDescent="0.25">
      <c r="A42" s="5">
        <f>+COEFyDISTR_FET!A47</f>
        <v>4304</v>
      </c>
      <c r="B42" s="5">
        <f>+COEFyDISTR_FET!B47</f>
        <v>4204</v>
      </c>
      <c r="C42" t="str">
        <f>+COEFyDISTR_FET!C47</f>
        <v>PUNITAQUI</v>
      </c>
      <c r="D42" s="31">
        <f>+COEFyDISTR_FET!D47</f>
        <v>954709</v>
      </c>
      <c r="E42" s="31">
        <f>+COEFyDISTR_FET!E47</f>
        <v>3829124.6</v>
      </c>
      <c r="F42" s="403">
        <f>+COEFyDISTR_FET!G47</f>
        <v>0.252</v>
      </c>
      <c r="G42" s="403">
        <f>+COEFyDISTR_FET!H47</f>
        <v>0.8004</v>
      </c>
      <c r="H42" s="402" t="str">
        <f>IF(D42=0,$A$2,VLOOKUP(COUNTIF(F42,$F$1&amp;$F$2)&amp;COUNTIF(G42,$G$1&amp;$G$2),PARAMETROS!$K$26:$L$30,2,0))</f>
        <v>Entra por Criterio de Dependencia y Percentil</v>
      </c>
      <c r="I42" s="96">
        <f>+COEFyDISTR_FET!AA47</f>
        <v>2.5018886198500002E-3</v>
      </c>
      <c r="J42" s="97">
        <f t="shared" si="0"/>
        <v>4304</v>
      </c>
      <c r="K42" s="97">
        <f t="shared" si="1"/>
        <v>4204</v>
      </c>
      <c r="L42" t="str">
        <f t="shared" si="2"/>
        <v>PUNITAQUI</v>
      </c>
      <c r="M42" t="str">
        <f t="shared" si="3"/>
        <v>Entra por Criterio de Dependencia y Percentil</v>
      </c>
      <c r="N42" s="97">
        <f t="shared" si="4"/>
        <v>4304</v>
      </c>
      <c r="O42" s="97">
        <f t="shared" si="5"/>
        <v>4204</v>
      </c>
      <c r="P42" t="str">
        <f t="shared" si="6"/>
        <v>PUNITAQUI</v>
      </c>
      <c r="Q42" s="96">
        <f t="shared" si="7"/>
        <v>2.5018886198500002E-3</v>
      </c>
      <c r="R42" s="96"/>
      <c r="S42">
        <f>+COEFyDISTR_MINERO!A47</f>
        <v>4304</v>
      </c>
      <c r="T42">
        <f>+COEFyDISTR_MINERO!B47</f>
        <v>4204</v>
      </c>
      <c r="U42" t="str">
        <f>+COEFyDISTR_MINERO!C47</f>
        <v>PUNITAQUI</v>
      </c>
      <c r="V42" s="96">
        <f>+COEFyDISTR_MINERO!X47</f>
        <v>1.359623408718E-2</v>
      </c>
      <c r="W42" s="6" t="str">
        <f>+COEFyDISTR_MINERO!D47</f>
        <v>SI</v>
      </c>
      <c r="X42" s="96"/>
      <c r="Y42" s="96"/>
      <c r="Z42" s="1">
        <v>5105</v>
      </c>
      <c r="AA42" s="1">
        <v>5307</v>
      </c>
      <c r="AB42" s="1" t="str">
        <v>PUCHUNCAVÍ</v>
      </c>
      <c r="AC42" s="1" t="str">
        <v>Entra por Criterio de Percentil</v>
      </c>
      <c r="AF42" s="1">
        <v>5105</v>
      </c>
      <c r="AG42" s="1">
        <v>5307</v>
      </c>
      <c r="AH42" s="1" t="str">
        <v>PUCHUNCAVÍ</v>
      </c>
      <c r="AI42" s="405">
        <v>2.0371669026500003E-3</v>
      </c>
      <c r="AL42" s="1">
        <v>5702</v>
      </c>
      <c r="AM42" s="1">
        <v>5603</v>
      </c>
      <c r="AN42" s="1" t="str">
        <v>CATEMU</v>
      </c>
      <c r="AO42" s="405">
        <v>2.234959743638E-2</v>
      </c>
    </row>
    <row r="43" spans="1:41" ht="3" customHeight="1" x14ac:dyDescent="0.25">
      <c r="A43" s="5">
        <f>+COEFyDISTR_FET!A48</f>
        <v>4305</v>
      </c>
      <c r="B43" s="5">
        <f>+COEFyDISTR_FET!B48</f>
        <v>4206</v>
      </c>
      <c r="C43" t="str">
        <f>+COEFyDISTR_FET!C48</f>
        <v>RÍO HURTADO</v>
      </c>
      <c r="D43" s="31">
        <f>+COEFyDISTR_FET!D48</f>
        <v>645033</v>
      </c>
      <c r="E43" s="31">
        <f>+COEFyDISTR_FET!E48</f>
        <v>2675397.1970000002</v>
      </c>
      <c r="F43" s="403">
        <f>+COEFyDISTR_FET!G48</f>
        <v>8.5999999999999993E-2</v>
      </c>
      <c r="G43" s="403">
        <f>+COEFyDISTR_FET!H48</f>
        <v>0.80569999999999997</v>
      </c>
      <c r="H43" s="402" t="str">
        <f>IF(D43=0,$A$2,VLOOKUP(COUNTIF(F43,$F$1&amp;$F$2)&amp;COUNTIF(G43,$G$1&amp;$G$2),PARAMETROS!$K$26:$L$30,2,0))</f>
        <v>Entra por Criterio de Dependencia y Percentil</v>
      </c>
      <c r="I43" s="96">
        <f>+COEFyDISTR_FET!AA48</f>
        <v>1.91212174615E-3</v>
      </c>
      <c r="J43" s="97">
        <f t="shared" si="0"/>
        <v>4305</v>
      </c>
      <c r="K43" s="97">
        <f t="shared" si="1"/>
        <v>4206</v>
      </c>
      <c r="L43" t="str">
        <f t="shared" si="2"/>
        <v>RÍO HURTADO</v>
      </c>
      <c r="M43" t="str">
        <f t="shared" si="3"/>
        <v>Entra por Criterio de Dependencia y Percentil</v>
      </c>
      <c r="N43" s="97">
        <f t="shared" si="4"/>
        <v>4305</v>
      </c>
      <c r="O43" s="97">
        <f t="shared" si="5"/>
        <v>4206</v>
      </c>
      <c r="P43" t="str">
        <f t="shared" si="6"/>
        <v>RÍO HURTADO</v>
      </c>
      <c r="Q43" s="96">
        <f t="shared" si="7"/>
        <v>1.91212174615E-3</v>
      </c>
      <c r="R43" s="96"/>
      <c r="S43">
        <f>+COEFyDISTR_MINERO!A48</f>
        <v>4305</v>
      </c>
      <c r="T43">
        <f>+COEFyDISTR_MINERO!B48</f>
        <v>4206</v>
      </c>
      <c r="U43" t="str">
        <f>+COEFyDISTR_MINERO!C48</f>
        <v>RÍO HURTADO</v>
      </c>
      <c r="V43" s="96">
        <f>+COEFyDISTR_MINERO!X48</f>
        <v>0</v>
      </c>
      <c r="W43" s="6" t="str">
        <f>+COEFyDISTR_MINERO!D48</f>
        <v>No</v>
      </c>
      <c r="X43" s="96"/>
      <c r="Y43" s="96"/>
      <c r="Z43" s="1">
        <v>5107</v>
      </c>
      <c r="AA43" s="1">
        <v>5306</v>
      </c>
      <c r="AB43" s="1" t="str">
        <v>QUINTERO</v>
      </c>
      <c r="AC43" s="1" t="str">
        <v>Entra por Criterio de Dependencia</v>
      </c>
      <c r="AF43" s="1">
        <v>5107</v>
      </c>
      <c r="AG43" s="1">
        <v>5306</v>
      </c>
      <c r="AH43" s="1" t="str">
        <v>QUINTERO</v>
      </c>
      <c r="AI43" s="405">
        <v>2.63196837295E-3</v>
      </c>
      <c r="AL43" s="1">
        <v>6101</v>
      </c>
      <c r="AM43" s="1">
        <v>6101</v>
      </c>
      <c r="AN43" s="1" t="str">
        <v>RANCAGUA</v>
      </c>
      <c r="AO43" s="405">
        <v>4.7682431320279994E-2</v>
      </c>
    </row>
    <row r="44" spans="1:41" ht="3" customHeight="1" x14ac:dyDescent="0.25">
      <c r="A44" s="5">
        <f>+COEFyDISTR_FET!A49</f>
        <v>5101</v>
      </c>
      <c r="B44" s="5">
        <f>+COEFyDISTR_FET!B49</f>
        <v>5301</v>
      </c>
      <c r="C44" t="str">
        <f>+COEFyDISTR_FET!C49</f>
        <v>VALPARAÍSO</v>
      </c>
      <c r="D44" s="31">
        <f>+COEFyDISTR_FET!D49</f>
        <v>33633391</v>
      </c>
      <c r="E44" s="31">
        <f>+COEFyDISTR_FET!E49</f>
        <v>39387383.501999997</v>
      </c>
      <c r="F44" s="403">
        <f>+COEFyDISTR_FET!G49</f>
        <v>0.96199999999999997</v>
      </c>
      <c r="G44" s="403">
        <f>+COEFyDISTR_FET!H49</f>
        <v>0.53939999999999999</v>
      </c>
      <c r="H44" s="402" t="str">
        <f>IF(D44=0,$A$2,VLOOKUP(COUNTIF(F44,$F$1&amp;$F$2)&amp;COUNTIF(G44,$G$1&amp;$G$2),PARAMETROS!$K$26:$L$30,2,0))</f>
        <v>Entra por Criterio de Dependencia</v>
      </c>
      <c r="I44" s="96">
        <f>+COEFyDISTR_FET!AA49</f>
        <v>9.7663067766500002E-3</v>
      </c>
      <c r="J44" s="97">
        <f t="shared" si="0"/>
        <v>5101</v>
      </c>
      <c r="K44" s="97">
        <f t="shared" si="1"/>
        <v>5301</v>
      </c>
      <c r="L44" t="str">
        <f t="shared" si="2"/>
        <v>VALPARAÍSO</v>
      </c>
      <c r="M44" t="str">
        <f t="shared" si="3"/>
        <v>Entra por Criterio de Dependencia</v>
      </c>
      <c r="N44" s="97">
        <f t="shared" si="4"/>
        <v>5101</v>
      </c>
      <c r="O44" s="97">
        <f t="shared" si="5"/>
        <v>5301</v>
      </c>
      <c r="P44" t="str">
        <f t="shared" si="6"/>
        <v>VALPARAÍSO</v>
      </c>
      <c r="Q44" s="96">
        <f t="shared" si="7"/>
        <v>9.7663067766500002E-3</v>
      </c>
      <c r="R44" s="96"/>
      <c r="S44">
        <f>+COEFyDISTR_MINERO!A49</f>
        <v>5101</v>
      </c>
      <c r="T44">
        <f>+COEFyDISTR_MINERO!B49</f>
        <v>5301</v>
      </c>
      <c r="U44" t="str">
        <f>+COEFyDISTR_MINERO!C49</f>
        <v>VALPARAÍSO</v>
      </c>
      <c r="V44" s="96">
        <f>+COEFyDISTR_MINERO!X49</f>
        <v>0</v>
      </c>
      <c r="W44" s="6" t="str">
        <f>+COEFyDISTR_MINERO!D49</f>
        <v>No</v>
      </c>
      <c r="X44" s="96"/>
      <c r="Y44" s="96"/>
      <c r="Z44" s="1">
        <v>5201</v>
      </c>
      <c r="AA44" s="1">
        <v>5101</v>
      </c>
      <c r="AB44" s="1" t="str">
        <v>ISLA DE PASCUA</v>
      </c>
      <c r="AC44" s="1" t="str">
        <v>Entra por Criterio de Dependencia y Percentil</v>
      </c>
      <c r="AF44" s="1">
        <v>5201</v>
      </c>
      <c r="AG44" s="1">
        <v>5101</v>
      </c>
      <c r="AH44" s="1" t="str">
        <v>ISLA DE PASCUA</v>
      </c>
      <c r="AI44" s="405">
        <v>2.33636882455E-3</v>
      </c>
      <c r="AL44" s="1">
        <v>6104</v>
      </c>
      <c r="AM44" s="1">
        <v>6106</v>
      </c>
      <c r="AN44" s="1" t="str">
        <v>COLTAUCO</v>
      </c>
      <c r="AO44" s="405">
        <v>1.6858736666980002E-2</v>
      </c>
    </row>
    <row r="45" spans="1:41" ht="3" customHeight="1" x14ac:dyDescent="0.25">
      <c r="A45" s="5">
        <f>+COEFyDISTR_FET!A50</f>
        <v>5102</v>
      </c>
      <c r="B45" s="5">
        <f>+COEFyDISTR_FET!B50</f>
        <v>5305</v>
      </c>
      <c r="C45" t="str">
        <f>+COEFyDISTR_FET!C50</f>
        <v>CASABLANCA</v>
      </c>
      <c r="D45" s="31">
        <f>+COEFyDISTR_FET!D50</f>
        <v>10311948</v>
      </c>
      <c r="E45" s="31">
        <f>+COEFyDISTR_FET!E50</f>
        <v>2885187.841</v>
      </c>
      <c r="F45" s="403">
        <f>+COEFyDISTR_FET!G50</f>
        <v>0.68400000000000005</v>
      </c>
      <c r="G45" s="403">
        <f>+COEFyDISTR_FET!H50</f>
        <v>0.21859999999999999</v>
      </c>
      <c r="H45" s="402" t="str">
        <f>IF(D45=0,$A$2,VLOOKUP(COUNTIF(F45,$F$1&amp;$F$2)&amp;COUNTIF(G45,$G$1&amp;$G$2),PARAMETROS!$K$26:$L$30,2,0))</f>
        <v>Entra por Criterio de Percentil</v>
      </c>
      <c r="I45" s="96">
        <f>+COEFyDISTR_FET!AA50</f>
        <v>2.27439239915E-3</v>
      </c>
      <c r="J45" s="97">
        <f t="shared" si="0"/>
        <v>5102</v>
      </c>
      <c r="K45" s="97">
        <f t="shared" si="1"/>
        <v>5305</v>
      </c>
      <c r="L45" t="str">
        <f t="shared" si="2"/>
        <v>CASABLANCA</v>
      </c>
      <c r="M45" t="str">
        <f t="shared" si="3"/>
        <v>Entra por Criterio de Percentil</v>
      </c>
      <c r="N45" s="97">
        <f t="shared" si="4"/>
        <v>5102</v>
      </c>
      <c r="O45" s="97">
        <f t="shared" si="5"/>
        <v>5305</v>
      </c>
      <c r="P45" t="str">
        <f t="shared" si="6"/>
        <v>CASABLANCA</v>
      </c>
      <c r="Q45" s="96">
        <f t="shared" si="7"/>
        <v>2.27439239915E-3</v>
      </c>
      <c r="R45" s="96"/>
      <c r="S45">
        <f>+COEFyDISTR_MINERO!A50</f>
        <v>5102</v>
      </c>
      <c r="T45">
        <f>+COEFyDISTR_MINERO!B50</f>
        <v>5305</v>
      </c>
      <c r="U45" t="str">
        <f>+COEFyDISTR_MINERO!C50</f>
        <v>CASABLANCA</v>
      </c>
      <c r="V45" s="96">
        <f>+COEFyDISTR_MINERO!X50</f>
        <v>0</v>
      </c>
      <c r="W45" s="6" t="str">
        <f>+COEFyDISTR_MINERO!D50</f>
        <v>No</v>
      </c>
      <c r="X45" s="96"/>
      <c r="Y45" s="96"/>
      <c r="Z45" s="1">
        <v>5301</v>
      </c>
      <c r="AA45" s="1">
        <v>5701</v>
      </c>
      <c r="AB45" s="1" t="str">
        <v>LOS ANDES</v>
      </c>
      <c r="AC45" s="1" t="str">
        <v>Entra por Criterio de Dependencia y Percentil</v>
      </c>
      <c r="AF45" s="1">
        <v>5301</v>
      </c>
      <c r="AG45" s="1">
        <v>5701</v>
      </c>
      <c r="AH45" s="1" t="str">
        <v>LOS ANDES</v>
      </c>
      <c r="AI45" s="405">
        <v>4.0204612709499998E-3</v>
      </c>
      <c r="AL45" s="1">
        <v>6105</v>
      </c>
      <c r="AM45" s="1">
        <v>6105</v>
      </c>
      <c r="AN45" s="1" t="str">
        <v>DOÑIHUE</v>
      </c>
      <c r="AO45" s="405">
        <v>1.5952758654279999E-2</v>
      </c>
    </row>
    <row r="46" spans="1:41" ht="3" customHeight="1" x14ac:dyDescent="0.25">
      <c r="A46" s="5">
        <f>+COEFyDISTR_FET!A51</f>
        <v>5103</v>
      </c>
      <c r="B46" s="5">
        <f>+COEFyDISTR_FET!B51</f>
        <v>5309</v>
      </c>
      <c r="C46" t="str">
        <f>+COEFyDISTR_FET!C51</f>
        <v>CONCÓN</v>
      </c>
      <c r="D46" s="31">
        <f>+COEFyDISTR_FET!D51</f>
        <v>14491259</v>
      </c>
      <c r="E46" s="31">
        <f>+COEFyDISTR_FET!E51</f>
        <v>2550551.7149999999</v>
      </c>
      <c r="F46" s="403">
        <f>+COEFyDISTR_FET!G51</f>
        <v>0.747</v>
      </c>
      <c r="G46" s="403">
        <f>+COEFyDISTR_FET!H51</f>
        <v>0.1497</v>
      </c>
      <c r="H46" s="402" t="str">
        <f>IF(D46=0,$A$2,VLOOKUP(COUNTIF(F46,$F$1&amp;$F$2)&amp;COUNTIF(G46,$G$1&amp;$G$2),PARAMETROS!$K$26:$L$30,2,0))</f>
        <v>Entra por Criterio de Percentil</v>
      </c>
      <c r="I46" s="96">
        <f>+COEFyDISTR_FET!AA51</f>
        <v>1.92096158945E-3</v>
      </c>
      <c r="J46" s="97">
        <f t="shared" si="0"/>
        <v>5103</v>
      </c>
      <c r="K46" s="97">
        <f t="shared" si="1"/>
        <v>5309</v>
      </c>
      <c r="L46" t="str">
        <f t="shared" si="2"/>
        <v>CONCÓN</v>
      </c>
      <c r="M46" t="str">
        <f t="shared" si="3"/>
        <v>Entra por Criterio de Percentil</v>
      </c>
      <c r="N46" s="97">
        <f t="shared" si="4"/>
        <v>5103</v>
      </c>
      <c r="O46" s="97">
        <f t="shared" si="5"/>
        <v>5309</v>
      </c>
      <c r="P46" t="str">
        <f t="shared" si="6"/>
        <v>CONCÓN</v>
      </c>
      <c r="Q46" s="96">
        <f t="shared" si="7"/>
        <v>1.92096158945E-3</v>
      </c>
      <c r="R46" s="96"/>
      <c r="S46">
        <f>+COEFyDISTR_MINERO!A51</f>
        <v>5103</v>
      </c>
      <c r="T46">
        <f>+COEFyDISTR_MINERO!B51</f>
        <v>5309</v>
      </c>
      <c r="U46" t="str">
        <f>+COEFyDISTR_MINERO!C51</f>
        <v>CONCÓN</v>
      </c>
      <c r="V46" s="96">
        <f>+COEFyDISTR_MINERO!X51</f>
        <v>0</v>
      </c>
      <c r="W46" s="6" t="str">
        <f>+COEFyDISTR_MINERO!D51</f>
        <v>No</v>
      </c>
      <c r="X46" s="96"/>
      <c r="Y46" s="96"/>
      <c r="Z46" s="1">
        <v>5302</v>
      </c>
      <c r="AA46" s="1">
        <v>5702</v>
      </c>
      <c r="AB46" s="1" t="str">
        <v>CALLE LARGA</v>
      </c>
      <c r="AC46" s="1" t="str">
        <v>Entra por Criterio de Percentil</v>
      </c>
      <c r="AF46" s="1">
        <v>5302</v>
      </c>
      <c r="AG46" s="1">
        <v>5702</v>
      </c>
      <c r="AH46" s="1" t="str">
        <v>CALLE LARGA</v>
      </c>
      <c r="AI46" s="405">
        <v>2.0674459521500001E-3</v>
      </c>
      <c r="AL46" s="1">
        <v>6108</v>
      </c>
      <c r="AM46" s="1">
        <v>6102</v>
      </c>
      <c r="AN46" s="1" t="str">
        <v>MACHALÍ</v>
      </c>
      <c r="AO46" s="405">
        <v>2.7150470962379998E-2</v>
      </c>
    </row>
    <row r="47" spans="1:41" ht="3" customHeight="1" x14ac:dyDescent="0.25">
      <c r="A47" s="5">
        <f>+COEFyDISTR_FET!A52</f>
        <v>5104</v>
      </c>
      <c r="B47" s="5">
        <f>+COEFyDISTR_FET!B52</f>
        <v>5308</v>
      </c>
      <c r="C47" t="str">
        <f>+COEFyDISTR_FET!C52</f>
        <v>JUAN FERNÁNDEZ</v>
      </c>
      <c r="D47" s="31">
        <f>+COEFyDISTR_FET!D52</f>
        <v>147969</v>
      </c>
      <c r="E47" s="31">
        <f>+COEFyDISTR_FET!E52</f>
        <v>2064978.899</v>
      </c>
      <c r="F47" s="403">
        <f>+COEFyDISTR_FET!G52</f>
        <v>1.7000000000000001E-2</v>
      </c>
      <c r="G47" s="403">
        <f>+COEFyDISTR_FET!H52</f>
        <v>0.93310000000000004</v>
      </c>
      <c r="H47" s="402" t="str">
        <f>IF(D47=0,$A$2,VLOOKUP(COUNTIF(F47,$F$1&amp;$F$2)&amp;COUNTIF(G47,$G$1&amp;$G$2),PARAMETROS!$K$26:$L$30,2,0))</f>
        <v>Entra por Criterio de Dependencia y Percentil</v>
      </c>
      <c r="I47" s="96">
        <f>+COEFyDISTR_FET!AA52</f>
        <v>1.6826616843500001E-3</v>
      </c>
      <c r="J47" s="97">
        <f t="shared" si="0"/>
        <v>5104</v>
      </c>
      <c r="K47" s="97">
        <f t="shared" si="1"/>
        <v>5308</v>
      </c>
      <c r="L47" t="str">
        <f t="shared" si="2"/>
        <v>JUAN FERNÁNDEZ</v>
      </c>
      <c r="M47" t="str">
        <f t="shared" si="3"/>
        <v>Entra por Criterio de Dependencia y Percentil</v>
      </c>
      <c r="N47" s="97">
        <f t="shared" si="4"/>
        <v>5104</v>
      </c>
      <c r="O47" s="97">
        <f t="shared" si="5"/>
        <v>5308</v>
      </c>
      <c r="P47" t="str">
        <f t="shared" si="6"/>
        <v>JUAN FERNÁNDEZ</v>
      </c>
      <c r="Q47" s="96">
        <f t="shared" si="7"/>
        <v>1.6826616843500001E-3</v>
      </c>
      <c r="R47" s="96"/>
      <c r="S47">
        <f>+COEFyDISTR_MINERO!A52</f>
        <v>5104</v>
      </c>
      <c r="T47">
        <f>+COEFyDISTR_MINERO!B52</f>
        <v>5308</v>
      </c>
      <c r="U47" t="str">
        <f>+COEFyDISTR_MINERO!C52</f>
        <v>JUAN FERNÁNDEZ</v>
      </c>
      <c r="V47" s="96">
        <f>+COEFyDISTR_MINERO!X52</f>
        <v>0</v>
      </c>
      <c r="W47" s="6" t="str">
        <f>+COEFyDISTR_MINERO!D52</f>
        <v>No</v>
      </c>
      <c r="X47" s="96"/>
      <c r="Y47" s="96"/>
      <c r="Z47" s="1">
        <v>5303</v>
      </c>
      <c r="AA47" s="1">
        <v>5704</v>
      </c>
      <c r="AB47" s="1" t="str">
        <v>RINCONADA</v>
      </c>
      <c r="AC47" s="1" t="str">
        <v>Entra por Criterio de Percentil</v>
      </c>
      <c r="AF47" s="1">
        <v>5303</v>
      </c>
      <c r="AG47" s="1">
        <v>5704</v>
      </c>
      <c r="AH47" s="1" t="str">
        <v>RINCONADA</v>
      </c>
      <c r="AI47" s="405">
        <v>1.9429678150500002E-3</v>
      </c>
      <c r="AL47" s="1">
        <v>6116</v>
      </c>
      <c r="AM47" s="1">
        <v>6113</v>
      </c>
      <c r="AN47" s="1" t="str">
        <v>REQUÍNOA</v>
      </c>
      <c r="AO47" s="405">
        <v>1.3953562731480001E-2</v>
      </c>
    </row>
    <row r="48" spans="1:41" ht="3" customHeight="1" x14ac:dyDescent="0.25">
      <c r="A48" s="5">
        <f>+COEFyDISTR_FET!A53</f>
        <v>5105</v>
      </c>
      <c r="B48" s="5">
        <f>+COEFyDISTR_FET!B53</f>
        <v>5307</v>
      </c>
      <c r="C48" t="str">
        <f>+COEFyDISTR_FET!C53</f>
        <v>PUCHUNCAVÍ</v>
      </c>
      <c r="D48" s="31">
        <f>+COEFyDISTR_FET!D53</f>
        <v>8550433</v>
      </c>
      <c r="E48" s="31">
        <f>+COEFyDISTR_FET!E53</f>
        <v>2896860.3620000002</v>
      </c>
      <c r="F48" s="403">
        <f>+COEFyDISTR_FET!G53</f>
        <v>0.628</v>
      </c>
      <c r="G48" s="403">
        <f>+COEFyDISTR_FET!H53</f>
        <v>0.25309999999999999</v>
      </c>
      <c r="H48" s="402" t="str">
        <f>IF(D48=0,$A$2,VLOOKUP(COUNTIF(F48,$F$1&amp;$F$2)&amp;COUNTIF(G48,$G$1&amp;$G$2),PARAMETROS!$K$26:$L$30,2,0))</f>
        <v>Entra por Criterio de Percentil</v>
      </c>
      <c r="I48" s="96">
        <f>+COEFyDISTR_FET!AA53</f>
        <v>2.0371669026500003E-3</v>
      </c>
      <c r="J48" s="97">
        <f t="shared" si="0"/>
        <v>5105</v>
      </c>
      <c r="K48" s="97">
        <f t="shared" si="1"/>
        <v>5307</v>
      </c>
      <c r="L48" t="str">
        <f t="shared" si="2"/>
        <v>PUCHUNCAVÍ</v>
      </c>
      <c r="M48" t="str">
        <f t="shared" si="3"/>
        <v>Entra por Criterio de Percentil</v>
      </c>
      <c r="N48" s="97">
        <f t="shared" si="4"/>
        <v>5105</v>
      </c>
      <c r="O48" s="97">
        <f t="shared" si="5"/>
        <v>5307</v>
      </c>
      <c r="P48" t="str">
        <f t="shared" si="6"/>
        <v>PUCHUNCAVÍ</v>
      </c>
      <c r="Q48" s="96">
        <f t="shared" si="7"/>
        <v>2.0371669026500003E-3</v>
      </c>
      <c r="R48" s="96"/>
      <c r="S48">
        <f>+COEFyDISTR_MINERO!A53</f>
        <v>5105</v>
      </c>
      <c r="T48">
        <f>+COEFyDISTR_MINERO!B53</f>
        <v>5307</v>
      </c>
      <c r="U48" t="str">
        <f>+COEFyDISTR_MINERO!C53</f>
        <v>PUCHUNCAVÍ</v>
      </c>
      <c r="V48" s="96">
        <f>+COEFyDISTR_MINERO!X53</f>
        <v>2.3573829453280001E-2</v>
      </c>
      <c r="W48" s="6" t="str">
        <f>+COEFyDISTR_MINERO!D53</f>
        <v>SI</v>
      </c>
      <c r="X48" s="96"/>
      <c r="Y48" s="96"/>
      <c r="Z48" s="1">
        <v>5304</v>
      </c>
      <c r="AA48" s="1">
        <v>5703</v>
      </c>
      <c r="AB48" s="1" t="str">
        <v>SAN ESTEBAN</v>
      </c>
      <c r="AC48" s="1" t="str">
        <v>Entra por Criterio de Dependencia y Percentil</v>
      </c>
      <c r="AF48" s="1">
        <v>5304</v>
      </c>
      <c r="AG48" s="1">
        <v>5703</v>
      </c>
      <c r="AH48" s="1" t="str">
        <v>SAN ESTEBAN</v>
      </c>
      <c r="AI48" s="405">
        <v>2.19212721555E-3</v>
      </c>
      <c r="AL48" s="1">
        <v>6203</v>
      </c>
      <c r="AM48" s="1">
        <v>6303</v>
      </c>
      <c r="AN48" s="1" t="str">
        <v>LITUECHE</v>
      </c>
      <c r="AO48" s="405">
        <v>9.3292509281799989E-3</v>
      </c>
    </row>
    <row r="49" spans="1:41" ht="3" customHeight="1" x14ac:dyDescent="0.25">
      <c r="A49" s="5">
        <f>+COEFyDISTR_FET!A54</f>
        <v>5107</v>
      </c>
      <c r="B49" s="5">
        <f>+COEFyDISTR_FET!B54</f>
        <v>5306</v>
      </c>
      <c r="C49" t="str">
        <f>+COEFyDISTR_FET!C54</f>
        <v>QUINTERO</v>
      </c>
      <c r="D49" s="31">
        <f>+COEFyDISTR_FET!D54</f>
        <v>4630693</v>
      </c>
      <c r="E49" s="31">
        <f>+COEFyDISTR_FET!E54</f>
        <v>17865094.568999998</v>
      </c>
      <c r="F49" s="403">
        <f>+COEFyDISTR_FET!G54</f>
        <v>0.82599999999999996</v>
      </c>
      <c r="G49" s="403">
        <f>+COEFyDISTR_FET!H54</f>
        <v>0.79420000000000002</v>
      </c>
      <c r="H49" s="402" t="str">
        <f>IF(D49=0,$A$2,VLOOKUP(COUNTIF(F49,$F$1&amp;$F$2)&amp;COUNTIF(G49,$G$1&amp;$G$2),PARAMETROS!$K$26:$L$30,2,0))</f>
        <v>Entra por Criterio de Dependencia</v>
      </c>
      <c r="I49" s="96">
        <f>+COEFyDISTR_FET!AA54</f>
        <v>2.63196837295E-3</v>
      </c>
      <c r="J49" s="97">
        <f t="shared" si="0"/>
        <v>5107</v>
      </c>
      <c r="K49" s="97">
        <f t="shared" si="1"/>
        <v>5306</v>
      </c>
      <c r="L49" t="str">
        <f t="shared" si="2"/>
        <v>QUINTERO</v>
      </c>
      <c r="M49" t="str">
        <f t="shared" si="3"/>
        <v>Entra por Criterio de Dependencia</v>
      </c>
      <c r="N49" s="97">
        <f t="shared" si="4"/>
        <v>5107</v>
      </c>
      <c r="O49" s="97">
        <f t="shared" si="5"/>
        <v>5306</v>
      </c>
      <c r="P49" t="str">
        <f t="shared" si="6"/>
        <v>QUINTERO</v>
      </c>
      <c r="Q49" s="96">
        <f t="shared" si="7"/>
        <v>2.63196837295E-3</v>
      </c>
      <c r="R49" s="96"/>
      <c r="S49">
        <f>+COEFyDISTR_MINERO!A54</f>
        <v>5107</v>
      </c>
      <c r="T49">
        <f>+COEFyDISTR_MINERO!B54</f>
        <v>5306</v>
      </c>
      <c r="U49" t="str">
        <f>+COEFyDISTR_MINERO!C54</f>
        <v>QUINTERO</v>
      </c>
      <c r="V49" s="96">
        <f>+COEFyDISTR_MINERO!X54</f>
        <v>2.3728842358280003E-2</v>
      </c>
      <c r="W49" s="6" t="str">
        <f>+COEFyDISTR_MINERO!D54</f>
        <v>SI</v>
      </c>
      <c r="X49" s="96"/>
      <c r="Y49" s="96"/>
      <c r="Z49" s="1">
        <v>5401</v>
      </c>
      <c r="AA49" s="1">
        <v>5201</v>
      </c>
      <c r="AB49" s="1" t="str">
        <v>LA LIGUA</v>
      </c>
      <c r="AC49" s="1" t="str">
        <v>Entra por Criterio de Dependencia y Percentil</v>
      </c>
      <c r="AF49" s="1">
        <v>5401</v>
      </c>
      <c r="AG49" s="1">
        <v>5201</v>
      </c>
      <c r="AH49" s="1" t="str">
        <v>LA LIGUA</v>
      </c>
      <c r="AI49" s="405">
        <v>2.9623399595500003E-3</v>
      </c>
      <c r="AL49" s="1"/>
      <c r="AM49" s="1"/>
      <c r="AN49" s="1"/>
      <c r="AO49" s="405"/>
    </row>
    <row r="50" spans="1:41" ht="3" customHeight="1" x14ac:dyDescent="0.25">
      <c r="A50" s="5">
        <f>+COEFyDISTR_FET!A55</f>
        <v>5109</v>
      </c>
      <c r="B50" s="5">
        <f>+COEFyDISTR_FET!B55</f>
        <v>5302</v>
      </c>
      <c r="C50" t="str">
        <f>+COEFyDISTR_FET!C55</f>
        <v>VIÑA DEL MAR</v>
      </c>
      <c r="D50" s="31">
        <f>+COEFyDISTR_FET!D55</f>
        <v>103483640</v>
      </c>
      <c r="E50" s="31">
        <f>+COEFyDISTR_FET!E55</f>
        <v>12721170.834000001</v>
      </c>
      <c r="F50" s="403">
        <f>+COEFyDISTR_FET!G55</f>
        <v>0.98799999999999999</v>
      </c>
      <c r="G50" s="403">
        <f>+COEFyDISTR_FET!H55</f>
        <v>0.1095</v>
      </c>
      <c r="H50" s="402" t="str">
        <f>IF(D50=0,$A$2,VLOOKUP(COUNTIF(F50,$F$1&amp;$F$2)&amp;COUNTIF(G50,$G$1&amp;$G$2),PARAMETROS!$K$26:$L$30,2,0))</f>
        <v>Sin Acceso</v>
      </c>
      <c r="I50" s="96">
        <f>+COEFyDISTR_FET!AA55</f>
        <v>0</v>
      </c>
      <c r="J50" s="97">
        <f t="shared" si="0"/>
        <v>5109</v>
      </c>
      <c r="K50" s="97">
        <f t="shared" si="1"/>
        <v>5302</v>
      </c>
      <c r="L50" t="str">
        <f t="shared" si="2"/>
        <v>VIÑA DEL MAR</v>
      </c>
      <c r="M50" t="str">
        <f t="shared" si="3"/>
        <v>Sin Acceso</v>
      </c>
      <c r="N50" s="97">
        <f t="shared" si="4"/>
        <v>5109</v>
      </c>
      <c r="O50" s="97">
        <f t="shared" si="5"/>
        <v>5302</v>
      </c>
      <c r="P50" t="str">
        <f t="shared" si="6"/>
        <v>VIÑA DEL MAR</v>
      </c>
      <c r="Q50" s="96">
        <f t="shared" si="7"/>
        <v>0</v>
      </c>
      <c r="R50" s="96"/>
      <c r="S50">
        <f>+COEFyDISTR_MINERO!A55</f>
        <v>5109</v>
      </c>
      <c r="T50">
        <f>+COEFyDISTR_MINERO!B55</f>
        <v>5302</v>
      </c>
      <c r="U50" t="str">
        <f>+COEFyDISTR_MINERO!C55</f>
        <v>VIÑA DEL MAR</v>
      </c>
      <c r="V50" s="96">
        <f>+COEFyDISTR_MINERO!X55</f>
        <v>0</v>
      </c>
      <c r="W50" s="6" t="str">
        <f>+COEFyDISTR_MINERO!D55</f>
        <v>No</v>
      </c>
      <c r="X50" s="96"/>
      <c r="Y50" s="96"/>
      <c r="Z50" s="1">
        <v>5402</v>
      </c>
      <c r="AA50" s="1">
        <v>5203</v>
      </c>
      <c r="AB50" s="1" t="str">
        <v>CABILDO</v>
      </c>
      <c r="AC50" s="1" t="str">
        <v>Entra por Criterio de Dependencia y Percentil</v>
      </c>
      <c r="AF50" s="1">
        <v>5402</v>
      </c>
      <c r="AG50" s="1">
        <v>5203</v>
      </c>
      <c r="AH50" s="1" t="str">
        <v>CABILDO</v>
      </c>
      <c r="AI50" s="405">
        <v>2.6487593322499997E-3</v>
      </c>
    </row>
    <row r="51" spans="1:41" ht="3" customHeight="1" x14ac:dyDescent="0.25">
      <c r="A51" s="5">
        <f>+COEFyDISTR_FET!A56</f>
        <v>5201</v>
      </c>
      <c r="B51" s="5">
        <f>+COEFyDISTR_FET!B56</f>
        <v>5101</v>
      </c>
      <c r="C51" t="str">
        <f>+COEFyDISTR_FET!C56</f>
        <v>ISLA DE PASCUA</v>
      </c>
      <c r="D51" s="31">
        <f>+COEFyDISTR_FET!D56</f>
        <v>202814</v>
      </c>
      <c r="E51" s="31">
        <f>+COEFyDISTR_FET!E56</f>
        <v>5723257.0060000001</v>
      </c>
      <c r="F51" s="403">
        <f>+COEFyDISTR_FET!G56</f>
        <v>0.39700000000000002</v>
      </c>
      <c r="G51" s="403">
        <f>+COEFyDISTR_FET!H56</f>
        <v>0.96579999999999999</v>
      </c>
      <c r="H51" s="402" t="str">
        <f>IF(D51=0,$A$2,VLOOKUP(COUNTIF(F51,$F$1&amp;$F$2)&amp;COUNTIF(G51,$G$1&amp;$G$2),PARAMETROS!$K$26:$L$30,2,0))</f>
        <v>Entra por Criterio de Dependencia y Percentil</v>
      </c>
      <c r="I51" s="96">
        <f>+COEFyDISTR_FET!AA56</f>
        <v>2.33636882455E-3</v>
      </c>
      <c r="J51" s="97">
        <f t="shared" si="0"/>
        <v>5201</v>
      </c>
      <c r="K51" s="97">
        <f t="shared" si="1"/>
        <v>5101</v>
      </c>
      <c r="L51" t="str">
        <f t="shared" si="2"/>
        <v>ISLA DE PASCUA</v>
      </c>
      <c r="M51" t="str">
        <f t="shared" si="3"/>
        <v>Entra por Criterio de Dependencia y Percentil</v>
      </c>
      <c r="N51" s="97">
        <f t="shared" si="4"/>
        <v>5201</v>
      </c>
      <c r="O51" s="97">
        <f t="shared" si="5"/>
        <v>5101</v>
      </c>
      <c r="P51" t="str">
        <f t="shared" si="6"/>
        <v>ISLA DE PASCUA</v>
      </c>
      <c r="Q51" s="96">
        <f t="shared" si="7"/>
        <v>2.33636882455E-3</v>
      </c>
      <c r="R51" s="96"/>
      <c r="S51">
        <f>+COEFyDISTR_MINERO!A56</f>
        <v>5201</v>
      </c>
      <c r="T51">
        <f>+COEFyDISTR_MINERO!B56</f>
        <v>5101</v>
      </c>
      <c r="U51" t="str">
        <f>+COEFyDISTR_MINERO!C56</f>
        <v>ISLA DE PASCUA</v>
      </c>
      <c r="V51" s="96">
        <f>+COEFyDISTR_MINERO!X56</f>
        <v>0</v>
      </c>
      <c r="W51" s="6" t="str">
        <f>+COEFyDISTR_MINERO!D56</f>
        <v>No</v>
      </c>
      <c r="X51" s="96"/>
      <c r="Y51" s="96"/>
      <c r="Z51" s="1">
        <v>5403</v>
      </c>
      <c r="AA51" s="1">
        <v>5205</v>
      </c>
      <c r="AB51" s="1" t="str">
        <v>PAPUDO</v>
      </c>
      <c r="AC51" s="1" t="str">
        <v>Entra por Criterio de Percentil</v>
      </c>
      <c r="AF51" s="1">
        <v>5403</v>
      </c>
      <c r="AG51" s="1">
        <v>5205</v>
      </c>
      <c r="AH51" s="1" t="str">
        <v>PAPUDO</v>
      </c>
      <c r="AI51" s="405">
        <v>1.7911398667500001E-3</v>
      </c>
    </row>
    <row r="52" spans="1:41" ht="3" customHeight="1" x14ac:dyDescent="0.25">
      <c r="A52" s="5">
        <f>+COEFyDISTR_FET!A57</f>
        <v>5301</v>
      </c>
      <c r="B52" s="5">
        <f>+COEFyDISTR_FET!B57</f>
        <v>5701</v>
      </c>
      <c r="C52" t="str">
        <f>+COEFyDISTR_FET!C57</f>
        <v>LOS ANDES</v>
      </c>
      <c r="D52" s="31">
        <f>+COEFyDISTR_FET!D57</f>
        <v>6943810</v>
      </c>
      <c r="E52" s="31">
        <f>+COEFyDISTR_FET!E57</f>
        <v>9901823.5739999991</v>
      </c>
      <c r="F52" s="403">
        <f>+COEFyDISTR_FET!G57</f>
        <v>0.74199999999999999</v>
      </c>
      <c r="G52" s="403">
        <f>+COEFyDISTR_FET!H57</f>
        <v>0.58779999999999999</v>
      </c>
      <c r="H52" s="402" t="str">
        <f>IF(D52=0,$A$2,VLOOKUP(COUNTIF(F52,$F$1&amp;$F$2)&amp;COUNTIF(G52,$G$1&amp;$G$2),PARAMETROS!$K$26:$L$30,2,0))</f>
        <v>Entra por Criterio de Dependencia y Percentil</v>
      </c>
      <c r="I52" s="96">
        <f>+COEFyDISTR_FET!AA57</f>
        <v>4.0204612709499998E-3</v>
      </c>
      <c r="J52" s="97">
        <f t="shared" si="0"/>
        <v>5301</v>
      </c>
      <c r="K52" s="97">
        <f t="shared" si="1"/>
        <v>5701</v>
      </c>
      <c r="L52" t="str">
        <f t="shared" si="2"/>
        <v>LOS ANDES</v>
      </c>
      <c r="M52" t="str">
        <f t="shared" si="3"/>
        <v>Entra por Criterio de Dependencia y Percentil</v>
      </c>
      <c r="N52" s="97">
        <f t="shared" si="4"/>
        <v>5301</v>
      </c>
      <c r="O52" s="97">
        <f t="shared" si="5"/>
        <v>5701</v>
      </c>
      <c r="P52" t="str">
        <f t="shared" si="6"/>
        <v>LOS ANDES</v>
      </c>
      <c r="Q52" s="96">
        <f t="shared" si="7"/>
        <v>4.0204612709499998E-3</v>
      </c>
      <c r="R52" s="96"/>
      <c r="S52">
        <f>+COEFyDISTR_MINERO!A57</f>
        <v>5301</v>
      </c>
      <c r="T52">
        <f>+COEFyDISTR_MINERO!B57</f>
        <v>5701</v>
      </c>
      <c r="U52" t="str">
        <f>+COEFyDISTR_MINERO!C57</f>
        <v>LOS ANDES</v>
      </c>
      <c r="V52" s="96">
        <f>+COEFyDISTR_MINERO!X57</f>
        <v>2.402343985788E-2</v>
      </c>
      <c r="W52" s="6" t="str">
        <f>+COEFyDISTR_MINERO!D57</f>
        <v>SI</v>
      </c>
      <c r="X52" s="96"/>
      <c r="Y52" s="96"/>
      <c r="Z52" s="1">
        <v>5404</v>
      </c>
      <c r="AA52" s="1">
        <v>5202</v>
      </c>
      <c r="AB52" s="1" t="str">
        <v>PETORCA</v>
      </c>
      <c r="AC52" s="1" t="str">
        <v>Entra por Criterio de Dependencia y Percentil</v>
      </c>
      <c r="AF52" s="1">
        <v>5404</v>
      </c>
      <c r="AG52" s="1">
        <v>5202</v>
      </c>
      <c r="AH52" s="1" t="str">
        <v>PETORCA</v>
      </c>
      <c r="AI52" s="405">
        <v>2.0610765579500002E-3</v>
      </c>
    </row>
    <row r="53" spans="1:41" ht="3" customHeight="1" x14ac:dyDescent="0.25">
      <c r="A53" s="5">
        <f>+COEFyDISTR_FET!A58</f>
        <v>5302</v>
      </c>
      <c r="B53" s="5">
        <f>+COEFyDISTR_FET!B58</f>
        <v>5702</v>
      </c>
      <c r="C53" t="str">
        <f>+COEFyDISTR_FET!C58</f>
        <v>CALLE LARGA</v>
      </c>
      <c r="D53" s="31">
        <f>+COEFyDISTR_FET!D58</f>
        <v>3371385</v>
      </c>
      <c r="E53" s="31">
        <f>+COEFyDISTR_FET!E58</f>
        <v>2659000.6189999999</v>
      </c>
      <c r="F53" s="403">
        <f>+COEFyDISTR_FET!G58</f>
        <v>0.41099999999999998</v>
      </c>
      <c r="G53" s="403">
        <f>+COEFyDISTR_FET!H58</f>
        <v>0.44090000000000001</v>
      </c>
      <c r="H53" s="402" t="str">
        <f>IF(D53=0,$A$2,VLOOKUP(COUNTIF(F53,$F$1&amp;$F$2)&amp;COUNTIF(G53,$G$1&amp;$G$2),PARAMETROS!$K$26:$L$30,2,0))</f>
        <v>Entra por Criterio de Percentil</v>
      </c>
      <c r="I53" s="96">
        <f>+COEFyDISTR_FET!AA58</f>
        <v>2.0674459521500001E-3</v>
      </c>
      <c r="J53" s="97">
        <f t="shared" si="0"/>
        <v>5302</v>
      </c>
      <c r="K53" s="97">
        <f t="shared" si="1"/>
        <v>5702</v>
      </c>
      <c r="L53" t="str">
        <f t="shared" si="2"/>
        <v>CALLE LARGA</v>
      </c>
      <c r="M53" t="str">
        <f t="shared" si="3"/>
        <v>Entra por Criterio de Percentil</v>
      </c>
      <c r="N53" s="97">
        <f t="shared" si="4"/>
        <v>5302</v>
      </c>
      <c r="O53" s="97">
        <f t="shared" si="5"/>
        <v>5702</v>
      </c>
      <c r="P53" t="str">
        <f t="shared" si="6"/>
        <v>CALLE LARGA</v>
      </c>
      <c r="Q53" s="96">
        <f t="shared" si="7"/>
        <v>2.0674459521500001E-3</v>
      </c>
      <c r="R53" s="96"/>
      <c r="S53">
        <f>+COEFyDISTR_MINERO!A58</f>
        <v>5302</v>
      </c>
      <c r="T53">
        <f>+COEFyDISTR_MINERO!B58</f>
        <v>5702</v>
      </c>
      <c r="U53" t="str">
        <f>+COEFyDISTR_MINERO!C58</f>
        <v>CALLE LARGA</v>
      </c>
      <c r="V53" s="96">
        <f>+COEFyDISTR_MINERO!X58</f>
        <v>1.083434569288E-2</v>
      </c>
      <c r="W53" s="6" t="str">
        <f>+COEFyDISTR_MINERO!D58</f>
        <v>SI</v>
      </c>
      <c r="X53" s="96"/>
      <c r="Y53" s="96"/>
      <c r="Z53" s="1">
        <v>5501</v>
      </c>
      <c r="AA53" s="1">
        <v>5501</v>
      </c>
      <c r="AB53" s="1" t="str">
        <v>QUILLOTA</v>
      </c>
      <c r="AC53" s="1" t="str">
        <v>Entra por Criterio de Dependencia</v>
      </c>
      <c r="AF53" s="1">
        <v>5501</v>
      </c>
      <c r="AG53" s="1">
        <v>5501</v>
      </c>
      <c r="AH53" s="1" t="str">
        <v>QUILLOTA</v>
      </c>
      <c r="AI53" s="405">
        <v>5.6711412518499994E-3</v>
      </c>
    </row>
    <row r="54" spans="1:41" ht="3" customHeight="1" x14ac:dyDescent="0.25">
      <c r="A54" s="5">
        <f>+COEFyDISTR_FET!A59</f>
        <v>5303</v>
      </c>
      <c r="B54" s="5">
        <f>+COEFyDISTR_FET!B59</f>
        <v>5704</v>
      </c>
      <c r="C54" t="str">
        <f>+COEFyDISTR_FET!C59</f>
        <v>RINCONADA</v>
      </c>
      <c r="D54" s="31">
        <f>+COEFyDISTR_FET!D59</f>
        <v>7181684</v>
      </c>
      <c r="E54" s="31">
        <f>+COEFyDISTR_FET!E59</f>
        <v>2331167.9649999999</v>
      </c>
      <c r="F54" s="403">
        <f>+COEFyDISTR_FET!G59</f>
        <v>0.57299999999999995</v>
      </c>
      <c r="G54" s="403">
        <f>+COEFyDISTR_FET!H59</f>
        <v>0.24510000000000001</v>
      </c>
      <c r="H54" s="402" t="str">
        <f>IF(D54=0,$A$2,VLOOKUP(COUNTIF(F54,$F$1&amp;$F$2)&amp;COUNTIF(G54,$G$1&amp;$G$2),PARAMETROS!$K$26:$L$30,2,0))</f>
        <v>Entra por Criterio de Percentil</v>
      </c>
      <c r="I54" s="96">
        <f>+COEFyDISTR_FET!AA59</f>
        <v>1.9429678150500002E-3</v>
      </c>
      <c r="J54" s="97">
        <f t="shared" si="0"/>
        <v>5303</v>
      </c>
      <c r="K54" s="97">
        <f t="shared" si="1"/>
        <v>5704</v>
      </c>
      <c r="L54" t="str">
        <f t="shared" si="2"/>
        <v>RINCONADA</v>
      </c>
      <c r="M54" t="str">
        <f t="shared" si="3"/>
        <v>Entra por Criterio de Percentil</v>
      </c>
      <c r="N54" s="97">
        <f t="shared" si="4"/>
        <v>5303</v>
      </c>
      <c r="O54" s="97">
        <f t="shared" si="5"/>
        <v>5704</v>
      </c>
      <c r="P54" t="str">
        <f t="shared" si="6"/>
        <v>RINCONADA</v>
      </c>
      <c r="Q54" s="96">
        <f t="shared" si="7"/>
        <v>1.9429678150500002E-3</v>
      </c>
      <c r="R54" s="96"/>
      <c r="S54">
        <f>+COEFyDISTR_MINERO!A59</f>
        <v>5303</v>
      </c>
      <c r="T54">
        <f>+COEFyDISTR_MINERO!B59</f>
        <v>5704</v>
      </c>
      <c r="U54" t="str">
        <f>+COEFyDISTR_MINERO!C59</f>
        <v>RINCONADA</v>
      </c>
      <c r="V54" s="96">
        <f>+COEFyDISTR_MINERO!X59</f>
        <v>0</v>
      </c>
      <c r="W54" s="6" t="str">
        <f>+COEFyDISTR_MINERO!D59</f>
        <v>No</v>
      </c>
      <c r="X54" s="96"/>
      <c r="Y54" s="96"/>
      <c r="Z54" s="1">
        <v>5502</v>
      </c>
      <c r="AA54" s="1">
        <v>5504</v>
      </c>
      <c r="AB54" s="1" t="str">
        <v>CALERA</v>
      </c>
      <c r="AC54" s="1" t="str">
        <v>Entra por Criterio de Dependencia y Percentil</v>
      </c>
      <c r="AF54" s="1">
        <v>5502</v>
      </c>
      <c r="AG54" s="1">
        <v>5504</v>
      </c>
      <c r="AH54" s="1" t="str">
        <v>CALERA</v>
      </c>
      <c r="AI54" s="405">
        <v>4.01569676435E-3</v>
      </c>
    </row>
    <row r="55" spans="1:41" ht="3" customHeight="1" x14ac:dyDescent="0.25">
      <c r="A55" s="5">
        <f>+COEFyDISTR_FET!A60</f>
        <v>5304</v>
      </c>
      <c r="B55" s="5">
        <f>+COEFyDISTR_FET!B60</f>
        <v>5703</v>
      </c>
      <c r="C55" t="str">
        <f>+COEFyDISTR_FET!C60</f>
        <v>SAN ESTEBAN</v>
      </c>
      <c r="D55" s="31">
        <f>+COEFyDISTR_FET!D60</f>
        <v>2336653</v>
      </c>
      <c r="E55" s="31">
        <f>+COEFyDISTR_FET!E60</f>
        <v>4214427.9330000002</v>
      </c>
      <c r="F55" s="403">
        <f>+COEFyDISTR_FET!G60</f>
        <v>0.45200000000000001</v>
      </c>
      <c r="G55" s="403">
        <f>+COEFyDISTR_FET!H60</f>
        <v>0.64329999999999998</v>
      </c>
      <c r="H55" s="402" t="str">
        <f>IF(D55=0,$A$2,VLOOKUP(COUNTIF(F55,$F$1&amp;$F$2)&amp;COUNTIF(G55,$G$1&amp;$G$2),PARAMETROS!$K$26:$L$30,2,0))</f>
        <v>Entra por Criterio de Dependencia y Percentil</v>
      </c>
      <c r="I55" s="96">
        <f>+COEFyDISTR_FET!AA60</f>
        <v>2.19212721555E-3</v>
      </c>
      <c r="J55" s="97">
        <f t="shared" si="0"/>
        <v>5304</v>
      </c>
      <c r="K55" s="97">
        <f t="shared" si="1"/>
        <v>5703</v>
      </c>
      <c r="L55" t="str">
        <f t="shared" si="2"/>
        <v>SAN ESTEBAN</v>
      </c>
      <c r="M55" t="str">
        <f t="shared" si="3"/>
        <v>Entra por Criterio de Dependencia y Percentil</v>
      </c>
      <c r="N55" s="97">
        <f t="shared" si="4"/>
        <v>5304</v>
      </c>
      <c r="O55" s="97">
        <f t="shared" si="5"/>
        <v>5703</v>
      </c>
      <c r="P55" t="str">
        <f t="shared" si="6"/>
        <v>SAN ESTEBAN</v>
      </c>
      <c r="Q55" s="96">
        <f t="shared" si="7"/>
        <v>2.19212721555E-3</v>
      </c>
      <c r="R55" s="96"/>
      <c r="S55">
        <f>+COEFyDISTR_MINERO!A60</f>
        <v>5304</v>
      </c>
      <c r="T55">
        <f>+COEFyDISTR_MINERO!B60</f>
        <v>5703</v>
      </c>
      <c r="U55" t="str">
        <f>+COEFyDISTR_MINERO!C60</f>
        <v>SAN ESTEBAN</v>
      </c>
      <c r="V55" s="96">
        <f>+COEFyDISTR_MINERO!X60</f>
        <v>0</v>
      </c>
      <c r="W55" s="6" t="str">
        <f>+COEFyDISTR_MINERO!D60</f>
        <v>No</v>
      </c>
      <c r="X55" s="96"/>
      <c r="Y55" s="96"/>
      <c r="Z55" s="1">
        <v>5503</v>
      </c>
      <c r="AA55" s="1">
        <v>5503</v>
      </c>
      <c r="AB55" s="1" t="str">
        <v>HIJUELAS</v>
      </c>
      <c r="AC55" s="1" t="str">
        <v>Entra por Criterio de Dependencia y Percentil</v>
      </c>
      <c r="AF55" s="1">
        <v>5503</v>
      </c>
      <c r="AG55" s="1">
        <v>5503</v>
      </c>
      <c r="AH55" s="1" t="str">
        <v>HIJUELAS</v>
      </c>
      <c r="AI55" s="405">
        <v>2.1549049393500001E-3</v>
      </c>
    </row>
    <row r="56" spans="1:41" ht="3" customHeight="1" x14ac:dyDescent="0.25">
      <c r="A56" s="5">
        <f>+COEFyDISTR_FET!A61</f>
        <v>5401</v>
      </c>
      <c r="B56" s="5">
        <f>+COEFyDISTR_FET!B61</f>
        <v>5201</v>
      </c>
      <c r="C56" t="str">
        <f>+COEFyDISTR_FET!C61</f>
        <v>LA LIGUA</v>
      </c>
      <c r="D56" s="31">
        <f>+COEFyDISTR_FET!D61</f>
        <v>3852324</v>
      </c>
      <c r="E56" s="31">
        <f>+COEFyDISTR_FET!E61</f>
        <v>7660051.5259999996</v>
      </c>
      <c r="F56" s="403">
        <f>+COEFyDISTR_FET!G61</f>
        <v>0.63100000000000001</v>
      </c>
      <c r="G56" s="403">
        <f>+COEFyDISTR_FET!H61</f>
        <v>0.66539999999999999</v>
      </c>
      <c r="H56" s="402" t="str">
        <f>IF(D56=0,$A$2,VLOOKUP(COUNTIF(F56,$F$1&amp;$F$2)&amp;COUNTIF(G56,$G$1&amp;$G$2),PARAMETROS!$K$26:$L$30,2,0))</f>
        <v>Entra por Criterio de Dependencia y Percentil</v>
      </c>
      <c r="I56" s="96">
        <f>+COEFyDISTR_FET!AA61</f>
        <v>2.9623399595500003E-3</v>
      </c>
      <c r="J56" s="97">
        <f t="shared" si="0"/>
        <v>5401</v>
      </c>
      <c r="K56" s="97">
        <f t="shared" si="1"/>
        <v>5201</v>
      </c>
      <c r="L56" t="str">
        <f t="shared" si="2"/>
        <v>LA LIGUA</v>
      </c>
      <c r="M56" t="str">
        <f t="shared" si="3"/>
        <v>Entra por Criterio de Dependencia y Percentil</v>
      </c>
      <c r="N56" s="97">
        <f t="shared" si="4"/>
        <v>5401</v>
      </c>
      <c r="O56" s="97">
        <f t="shared" si="5"/>
        <v>5201</v>
      </c>
      <c r="P56" t="str">
        <f t="shared" si="6"/>
        <v>LA LIGUA</v>
      </c>
      <c r="Q56" s="96">
        <f t="shared" si="7"/>
        <v>2.9623399595500003E-3</v>
      </c>
      <c r="R56" s="96"/>
      <c r="S56">
        <f>+COEFyDISTR_MINERO!A61</f>
        <v>5401</v>
      </c>
      <c r="T56">
        <f>+COEFyDISTR_MINERO!B61</f>
        <v>5201</v>
      </c>
      <c r="U56" t="str">
        <f>+COEFyDISTR_MINERO!C61</f>
        <v>LA LIGUA</v>
      </c>
      <c r="V56" s="96">
        <f>+COEFyDISTR_MINERO!X61</f>
        <v>0</v>
      </c>
      <c r="W56" s="6" t="str">
        <f>+COEFyDISTR_MINERO!D61</f>
        <v>No</v>
      </c>
      <c r="X56" s="96"/>
      <c r="Y56" s="96"/>
      <c r="Z56" s="1">
        <v>5504</v>
      </c>
      <c r="AA56" s="1">
        <v>5505</v>
      </c>
      <c r="AB56" s="1" t="str">
        <v>LA CRUZ</v>
      </c>
      <c r="AC56" s="1" t="str">
        <v>Entra por Criterio de Dependencia y Percentil</v>
      </c>
      <c r="AF56" s="1">
        <v>5504</v>
      </c>
      <c r="AG56" s="1">
        <v>5505</v>
      </c>
      <c r="AH56" s="1" t="str">
        <v>LA CRUZ</v>
      </c>
      <c r="AI56" s="405">
        <v>2.3351537245499998E-3</v>
      </c>
    </row>
    <row r="57" spans="1:41" ht="3" customHeight="1" x14ac:dyDescent="0.25">
      <c r="A57" s="5">
        <f>+COEFyDISTR_FET!A62</f>
        <v>5402</v>
      </c>
      <c r="B57" s="5">
        <f>+COEFyDISTR_FET!B62</f>
        <v>5203</v>
      </c>
      <c r="C57" t="str">
        <f>+COEFyDISTR_FET!C62</f>
        <v>CABILDO</v>
      </c>
      <c r="D57" s="31">
        <f>+COEFyDISTR_FET!D62</f>
        <v>1762633</v>
      </c>
      <c r="E57" s="31">
        <f>+COEFyDISTR_FET!E62</f>
        <v>4208989.4560000002</v>
      </c>
      <c r="F57" s="403">
        <f>+COEFyDISTR_FET!G62</f>
        <v>0.40500000000000003</v>
      </c>
      <c r="G57" s="403">
        <f>+COEFyDISTR_FET!H62</f>
        <v>0.70479999999999998</v>
      </c>
      <c r="H57" s="402" t="str">
        <f>IF(D57=0,$A$2,VLOOKUP(COUNTIF(F57,$F$1&amp;$F$2)&amp;COUNTIF(G57,$G$1&amp;$G$2),PARAMETROS!$K$26:$L$30,2,0))</f>
        <v>Entra por Criterio de Dependencia y Percentil</v>
      </c>
      <c r="I57" s="96">
        <f>+COEFyDISTR_FET!AA62</f>
        <v>2.6487593322499997E-3</v>
      </c>
      <c r="J57" s="97">
        <f t="shared" si="0"/>
        <v>5402</v>
      </c>
      <c r="K57" s="97">
        <f t="shared" si="1"/>
        <v>5203</v>
      </c>
      <c r="L57" t="str">
        <f t="shared" si="2"/>
        <v>CABILDO</v>
      </c>
      <c r="M57" t="str">
        <f t="shared" si="3"/>
        <v>Entra por Criterio de Dependencia y Percentil</v>
      </c>
      <c r="N57" s="97">
        <f t="shared" si="4"/>
        <v>5402</v>
      </c>
      <c r="O57" s="97">
        <f t="shared" si="5"/>
        <v>5203</v>
      </c>
      <c r="P57" t="str">
        <f t="shared" si="6"/>
        <v>CABILDO</v>
      </c>
      <c r="Q57" s="96">
        <f t="shared" si="7"/>
        <v>2.6487593322499997E-3</v>
      </c>
      <c r="R57" s="96"/>
      <c r="S57">
        <f>+COEFyDISTR_MINERO!A62</f>
        <v>5402</v>
      </c>
      <c r="T57">
        <f>+COEFyDISTR_MINERO!B62</f>
        <v>5203</v>
      </c>
      <c r="U57" t="str">
        <f>+COEFyDISTR_MINERO!C62</f>
        <v>CABILDO</v>
      </c>
      <c r="V57" s="96">
        <f>+COEFyDISTR_MINERO!X62</f>
        <v>2.1594446978880001E-2</v>
      </c>
      <c r="W57" s="6" t="str">
        <f>+COEFyDISTR_MINERO!D62</f>
        <v>SI</v>
      </c>
      <c r="X57" s="96"/>
      <c r="Y57" s="96"/>
      <c r="Z57" s="1">
        <v>5506</v>
      </c>
      <c r="AA57" s="1">
        <v>5502</v>
      </c>
      <c r="AB57" s="1" t="str">
        <v>NOGALES</v>
      </c>
      <c r="AC57" s="1" t="str">
        <v>Entra por Criterio de Dependencia y Percentil</v>
      </c>
      <c r="AF57" s="1">
        <v>5506</v>
      </c>
      <c r="AG57" s="1">
        <v>5502</v>
      </c>
      <c r="AH57" s="1" t="str">
        <v>NOGALES</v>
      </c>
      <c r="AI57" s="405">
        <v>2.3171916614500004E-3</v>
      </c>
    </row>
    <row r="58" spans="1:41" ht="3" customHeight="1" x14ac:dyDescent="0.25">
      <c r="A58" s="5">
        <f>+COEFyDISTR_FET!A63</f>
        <v>5403</v>
      </c>
      <c r="B58" s="5">
        <f>+COEFyDISTR_FET!B63</f>
        <v>5205</v>
      </c>
      <c r="C58" t="str">
        <f>+COEFyDISTR_FET!C63</f>
        <v>PAPUDO</v>
      </c>
      <c r="D58" s="31">
        <f>+COEFyDISTR_FET!D63</f>
        <v>3904826</v>
      </c>
      <c r="E58" s="31">
        <f>+COEFyDISTR_FET!E63</f>
        <v>2035207.371</v>
      </c>
      <c r="F58" s="403">
        <f>+COEFyDISTR_FET!G63</f>
        <v>0.4</v>
      </c>
      <c r="G58" s="403">
        <f>+COEFyDISTR_FET!H63</f>
        <v>0.34260000000000002</v>
      </c>
      <c r="H58" s="402" t="str">
        <f>IF(D58=0,$A$2,VLOOKUP(COUNTIF(F58,$F$1&amp;$F$2)&amp;COUNTIF(G58,$G$1&amp;$G$2),PARAMETROS!$K$26:$L$30,2,0))</f>
        <v>Entra por Criterio de Percentil</v>
      </c>
      <c r="I58" s="96">
        <f>+COEFyDISTR_FET!AA63</f>
        <v>1.7911398667500001E-3</v>
      </c>
      <c r="J58" s="97">
        <f t="shared" si="0"/>
        <v>5403</v>
      </c>
      <c r="K58" s="97">
        <f t="shared" si="1"/>
        <v>5205</v>
      </c>
      <c r="L58" t="str">
        <f t="shared" si="2"/>
        <v>PAPUDO</v>
      </c>
      <c r="M58" t="str">
        <f t="shared" si="3"/>
        <v>Entra por Criterio de Percentil</v>
      </c>
      <c r="N58" s="97">
        <f t="shared" si="4"/>
        <v>5403</v>
      </c>
      <c r="O58" s="97">
        <f t="shared" si="5"/>
        <v>5205</v>
      </c>
      <c r="P58" t="str">
        <f t="shared" si="6"/>
        <v>PAPUDO</v>
      </c>
      <c r="Q58" s="96">
        <f t="shared" si="7"/>
        <v>1.7911398667500001E-3</v>
      </c>
      <c r="R58" s="96"/>
      <c r="S58">
        <f>+COEFyDISTR_MINERO!A63</f>
        <v>5403</v>
      </c>
      <c r="T58">
        <f>+COEFyDISTR_MINERO!B63</f>
        <v>5205</v>
      </c>
      <c r="U58" t="str">
        <f>+COEFyDISTR_MINERO!C63</f>
        <v>PAPUDO</v>
      </c>
      <c r="V58" s="96">
        <f>+COEFyDISTR_MINERO!X63</f>
        <v>0</v>
      </c>
      <c r="W58" s="6" t="str">
        <f>+COEFyDISTR_MINERO!D63</f>
        <v>No</v>
      </c>
      <c r="X58" s="96"/>
      <c r="Y58" s="96"/>
      <c r="Z58" s="1">
        <v>5601</v>
      </c>
      <c r="AA58" s="1">
        <v>5401</v>
      </c>
      <c r="AB58" s="1" t="str">
        <v>SAN ANTONIO</v>
      </c>
      <c r="AC58" s="1" t="str">
        <v>Entra por Criterio de Dependencia</v>
      </c>
      <c r="AF58" s="1">
        <v>5601</v>
      </c>
      <c r="AG58" s="1">
        <v>5401</v>
      </c>
      <c r="AH58" s="1" t="str">
        <v>SAN ANTONIO</v>
      </c>
      <c r="AI58" s="405">
        <v>4.3284416740500004E-3</v>
      </c>
    </row>
    <row r="59" spans="1:41" ht="3" customHeight="1" x14ac:dyDescent="0.25">
      <c r="A59" s="5">
        <f>+COEFyDISTR_FET!A64</f>
        <v>5404</v>
      </c>
      <c r="B59" s="5">
        <f>+COEFyDISTR_FET!B64</f>
        <v>5202</v>
      </c>
      <c r="C59" t="str">
        <f>+COEFyDISTR_FET!C64</f>
        <v>PETORCA</v>
      </c>
      <c r="D59" s="31">
        <f>+COEFyDISTR_FET!D64</f>
        <v>1732312</v>
      </c>
      <c r="E59" s="31">
        <f>+COEFyDISTR_FET!E64</f>
        <v>2857616.4330000002</v>
      </c>
      <c r="F59" s="403">
        <f>+COEFyDISTR_FET!G64</f>
        <v>0.23100000000000001</v>
      </c>
      <c r="G59" s="403">
        <f>+COEFyDISTR_FET!H64</f>
        <v>0.62260000000000004</v>
      </c>
      <c r="H59" s="402" t="str">
        <f>IF(D59=0,$A$2,VLOOKUP(COUNTIF(F59,$F$1&amp;$F$2)&amp;COUNTIF(G59,$G$1&amp;$G$2),PARAMETROS!$K$26:$L$30,2,0))</f>
        <v>Entra por Criterio de Dependencia y Percentil</v>
      </c>
      <c r="I59" s="96">
        <f>+COEFyDISTR_FET!AA64</f>
        <v>2.0610765579500002E-3</v>
      </c>
      <c r="J59" s="97">
        <f t="shared" si="0"/>
        <v>5404</v>
      </c>
      <c r="K59" s="97">
        <f t="shared" si="1"/>
        <v>5202</v>
      </c>
      <c r="L59" t="str">
        <f t="shared" si="2"/>
        <v>PETORCA</v>
      </c>
      <c r="M59" t="str">
        <f t="shared" si="3"/>
        <v>Entra por Criterio de Dependencia y Percentil</v>
      </c>
      <c r="N59" s="97">
        <f t="shared" si="4"/>
        <v>5404</v>
      </c>
      <c r="O59" s="97">
        <f t="shared" si="5"/>
        <v>5202</v>
      </c>
      <c r="P59" t="str">
        <f t="shared" si="6"/>
        <v>PETORCA</v>
      </c>
      <c r="Q59" s="96">
        <f t="shared" si="7"/>
        <v>2.0610765579500002E-3</v>
      </c>
      <c r="R59" s="96"/>
      <c r="S59">
        <f>+COEFyDISTR_MINERO!A64</f>
        <v>5404</v>
      </c>
      <c r="T59">
        <f>+COEFyDISTR_MINERO!B64</f>
        <v>5202</v>
      </c>
      <c r="U59" t="str">
        <f>+COEFyDISTR_MINERO!C64</f>
        <v>PETORCA</v>
      </c>
      <c r="V59" s="96">
        <f>+COEFyDISTR_MINERO!X64</f>
        <v>1.194451718228E-2</v>
      </c>
      <c r="W59" s="6" t="str">
        <f>+COEFyDISTR_MINERO!D64</f>
        <v>SI</v>
      </c>
      <c r="X59" s="96"/>
      <c r="Y59" s="96"/>
      <c r="Z59" s="1">
        <v>5602</v>
      </c>
      <c r="AA59" s="1">
        <v>5406</v>
      </c>
      <c r="AB59" s="1" t="str">
        <v>ALGARROBO</v>
      </c>
      <c r="AC59" s="1" t="str">
        <v>Entra por Criterio de Percentil</v>
      </c>
      <c r="AF59" s="1">
        <v>5602</v>
      </c>
      <c r="AG59" s="1">
        <v>5406</v>
      </c>
      <c r="AH59" s="1" t="str">
        <v>ALGARROBO</v>
      </c>
      <c r="AI59" s="405">
        <v>1.9308420696500001E-3</v>
      </c>
    </row>
    <row r="60" spans="1:41" ht="3" customHeight="1" x14ac:dyDescent="0.25">
      <c r="A60" s="5">
        <f>+COEFyDISTR_FET!A65</f>
        <v>5405</v>
      </c>
      <c r="B60" s="5">
        <f>+COEFyDISTR_FET!B65</f>
        <v>5204</v>
      </c>
      <c r="C60" t="str">
        <f>+COEFyDISTR_FET!C65</f>
        <v>ZAPALLAR</v>
      </c>
      <c r="D60" s="31">
        <f>+COEFyDISTR_FET!D65</f>
        <v>20354468</v>
      </c>
      <c r="E60" s="31">
        <f>+COEFyDISTR_FET!E65</f>
        <v>1949449.851</v>
      </c>
      <c r="F60" s="403">
        <f>+COEFyDISTR_FET!G65</f>
        <v>0.82299999999999995</v>
      </c>
      <c r="G60" s="403">
        <f>+COEFyDISTR_FET!H65</f>
        <v>8.7400000000000005E-2</v>
      </c>
      <c r="H60" s="402" t="str">
        <f>IF(D60=0,$A$2,VLOOKUP(COUNTIF(F60,$F$1&amp;$F$2)&amp;COUNTIF(G60,$G$1&amp;$G$2),PARAMETROS!$K$26:$L$30,2,0))</f>
        <v>Sin Acceso</v>
      </c>
      <c r="I60" s="96">
        <f>+COEFyDISTR_FET!AA65</f>
        <v>0</v>
      </c>
      <c r="J60" s="97">
        <f t="shared" si="0"/>
        <v>5405</v>
      </c>
      <c r="K60" s="97">
        <f t="shared" si="1"/>
        <v>5204</v>
      </c>
      <c r="L60" t="str">
        <f t="shared" si="2"/>
        <v>ZAPALLAR</v>
      </c>
      <c r="M60" t="str">
        <f t="shared" si="3"/>
        <v>Sin Acceso</v>
      </c>
      <c r="N60" s="97">
        <f t="shared" si="4"/>
        <v>5405</v>
      </c>
      <c r="O60" s="97">
        <f t="shared" si="5"/>
        <v>5204</v>
      </c>
      <c r="P60" t="str">
        <f t="shared" si="6"/>
        <v>ZAPALLAR</v>
      </c>
      <c r="Q60" s="96">
        <f t="shared" si="7"/>
        <v>0</v>
      </c>
      <c r="R60" s="96"/>
      <c r="S60">
        <f>+COEFyDISTR_MINERO!A65</f>
        <v>5405</v>
      </c>
      <c r="T60">
        <f>+COEFyDISTR_MINERO!B65</f>
        <v>5204</v>
      </c>
      <c r="U60" t="str">
        <f>+COEFyDISTR_MINERO!C65</f>
        <v>ZAPALLAR</v>
      </c>
      <c r="V60" s="96">
        <f>+COEFyDISTR_MINERO!X65</f>
        <v>0</v>
      </c>
      <c r="W60" s="6" t="str">
        <f>+COEFyDISTR_MINERO!D65</f>
        <v>No</v>
      </c>
      <c r="X60" s="96"/>
      <c r="Y60" s="96"/>
      <c r="Z60" s="1">
        <v>5603</v>
      </c>
      <c r="AA60" s="1">
        <v>5403</v>
      </c>
      <c r="AB60" s="1" t="str">
        <v>CARTAGENA</v>
      </c>
      <c r="AC60" s="1" t="str">
        <v>Entra por Criterio de Dependencia y Percentil</v>
      </c>
      <c r="AF60" s="1">
        <v>5603</v>
      </c>
      <c r="AG60" s="1">
        <v>5403</v>
      </c>
      <c r="AH60" s="1" t="str">
        <v>CARTAGENA</v>
      </c>
      <c r="AI60" s="405">
        <v>3.10752163955E-3</v>
      </c>
    </row>
    <row r="61" spans="1:41" ht="3" customHeight="1" x14ac:dyDescent="0.25">
      <c r="A61" s="5">
        <f>+COEFyDISTR_FET!A66</f>
        <v>5501</v>
      </c>
      <c r="B61" s="5">
        <f>+COEFyDISTR_FET!B66</f>
        <v>5501</v>
      </c>
      <c r="C61" t="str">
        <f>+COEFyDISTR_FET!C66</f>
        <v>QUILLOTA</v>
      </c>
      <c r="D61" s="31">
        <f>+COEFyDISTR_FET!D66</f>
        <v>9050435</v>
      </c>
      <c r="E61" s="31">
        <f>+COEFyDISTR_FET!E66</f>
        <v>12745271.639</v>
      </c>
      <c r="F61" s="403">
        <f>+COEFyDISTR_FET!G66</f>
        <v>0.81699999999999995</v>
      </c>
      <c r="G61" s="403">
        <f>+COEFyDISTR_FET!H66</f>
        <v>0.58479999999999999</v>
      </c>
      <c r="H61" s="402" t="str">
        <f>IF(D61=0,$A$2,VLOOKUP(COUNTIF(F61,$F$1&amp;$F$2)&amp;COUNTIF(G61,$G$1&amp;$G$2),PARAMETROS!$K$26:$L$30,2,0))</f>
        <v>Entra por Criterio de Dependencia</v>
      </c>
      <c r="I61" s="96">
        <f>+COEFyDISTR_FET!AA66</f>
        <v>5.6711412518499994E-3</v>
      </c>
      <c r="J61" s="97">
        <f t="shared" si="0"/>
        <v>5501</v>
      </c>
      <c r="K61" s="97">
        <f t="shared" si="1"/>
        <v>5501</v>
      </c>
      <c r="L61" t="str">
        <f t="shared" si="2"/>
        <v>QUILLOTA</v>
      </c>
      <c r="M61" t="str">
        <f t="shared" si="3"/>
        <v>Entra por Criterio de Dependencia</v>
      </c>
      <c r="N61" s="97">
        <f t="shared" si="4"/>
        <v>5501</v>
      </c>
      <c r="O61" s="97">
        <f t="shared" si="5"/>
        <v>5501</v>
      </c>
      <c r="P61" t="str">
        <f t="shared" si="6"/>
        <v>QUILLOTA</v>
      </c>
      <c r="Q61" s="96">
        <f t="shared" si="7"/>
        <v>5.6711412518499994E-3</v>
      </c>
      <c r="R61" s="96"/>
      <c r="S61">
        <f>+COEFyDISTR_MINERO!A66</f>
        <v>5501</v>
      </c>
      <c r="T61">
        <f>+COEFyDISTR_MINERO!B66</f>
        <v>5501</v>
      </c>
      <c r="U61" t="str">
        <f>+COEFyDISTR_MINERO!C66</f>
        <v>QUILLOTA</v>
      </c>
      <c r="V61" s="96">
        <f>+COEFyDISTR_MINERO!X66</f>
        <v>0</v>
      </c>
      <c r="W61" s="6" t="str">
        <f>+COEFyDISTR_MINERO!D66</f>
        <v>No</v>
      </c>
      <c r="X61" s="96"/>
      <c r="Y61" s="96"/>
      <c r="Z61" s="1">
        <v>5604</v>
      </c>
      <c r="AA61" s="1">
        <v>5405</v>
      </c>
      <c r="AB61" s="1" t="str">
        <v>EL QUISCO</v>
      </c>
      <c r="AC61" s="1" t="str">
        <v>Entra por Criterio de Dependencia</v>
      </c>
      <c r="AF61" s="1">
        <v>5604</v>
      </c>
      <c r="AG61" s="1">
        <v>5405</v>
      </c>
      <c r="AH61" s="1" t="str">
        <v>EL QUISCO</v>
      </c>
      <c r="AI61" s="405">
        <v>2.4844377839500003E-3</v>
      </c>
    </row>
    <row r="62" spans="1:41" ht="3" customHeight="1" x14ac:dyDescent="0.25">
      <c r="A62" s="5">
        <f>+COEFyDISTR_FET!A67</f>
        <v>5502</v>
      </c>
      <c r="B62" s="5">
        <f>+COEFyDISTR_FET!B67</f>
        <v>5504</v>
      </c>
      <c r="C62" t="str">
        <f>+COEFyDISTR_FET!C67</f>
        <v>CALERA</v>
      </c>
      <c r="D62" s="31">
        <f>+COEFyDISTR_FET!D67</f>
        <v>4672987</v>
      </c>
      <c r="E62" s="31">
        <f>+COEFyDISTR_FET!E67</f>
        <v>8398283.3200000003</v>
      </c>
      <c r="F62" s="403">
        <f>+COEFyDISTR_FET!G67</f>
        <v>0.67500000000000004</v>
      </c>
      <c r="G62" s="403">
        <f>+COEFyDISTR_FET!H67</f>
        <v>0.64249999999999996</v>
      </c>
      <c r="H62" s="402" t="str">
        <f>IF(D62=0,$A$2,VLOOKUP(COUNTIF(F62,$F$1&amp;$F$2)&amp;COUNTIF(G62,$G$1&amp;$G$2),PARAMETROS!$K$26:$L$30,2,0))</f>
        <v>Entra por Criterio de Dependencia y Percentil</v>
      </c>
      <c r="I62" s="96">
        <f>+COEFyDISTR_FET!AA67</f>
        <v>4.01569676435E-3</v>
      </c>
      <c r="J62" s="97">
        <f t="shared" si="0"/>
        <v>5502</v>
      </c>
      <c r="K62" s="97">
        <f t="shared" si="1"/>
        <v>5504</v>
      </c>
      <c r="L62" t="str">
        <f t="shared" si="2"/>
        <v>CALERA</v>
      </c>
      <c r="M62" t="str">
        <f t="shared" si="3"/>
        <v>Entra por Criterio de Dependencia y Percentil</v>
      </c>
      <c r="N62" s="97">
        <f t="shared" si="4"/>
        <v>5502</v>
      </c>
      <c r="O62" s="97">
        <f t="shared" si="5"/>
        <v>5504</v>
      </c>
      <c r="P62" t="str">
        <f t="shared" si="6"/>
        <v>CALERA</v>
      </c>
      <c r="Q62" s="96">
        <f t="shared" si="7"/>
        <v>4.01569676435E-3</v>
      </c>
      <c r="R62" s="96"/>
      <c r="S62">
        <f>+COEFyDISTR_MINERO!A67</f>
        <v>5502</v>
      </c>
      <c r="T62">
        <f>+COEFyDISTR_MINERO!B67</f>
        <v>5504</v>
      </c>
      <c r="U62" t="str">
        <f>+COEFyDISTR_MINERO!C67</f>
        <v>CALERA</v>
      </c>
      <c r="V62" s="96">
        <f>+COEFyDISTR_MINERO!X67</f>
        <v>0</v>
      </c>
      <c r="W62" s="6" t="str">
        <f>+COEFyDISTR_MINERO!D67</f>
        <v>No</v>
      </c>
      <c r="X62" s="96"/>
      <c r="Y62" s="96"/>
      <c r="Z62" s="1">
        <v>5605</v>
      </c>
      <c r="AA62" s="1">
        <v>5404</v>
      </c>
      <c r="AB62" s="1" t="str">
        <v>EL TABO</v>
      </c>
      <c r="AC62" s="1" t="str">
        <v>Entra por Criterio de Dependencia y Percentil</v>
      </c>
      <c r="AF62" s="1">
        <v>5605</v>
      </c>
      <c r="AG62" s="1">
        <v>5404</v>
      </c>
      <c r="AH62" s="1" t="str">
        <v>EL TABO</v>
      </c>
      <c r="AI62" s="405">
        <v>2.46420477815E-3</v>
      </c>
    </row>
    <row r="63" spans="1:41" ht="3" customHeight="1" x14ac:dyDescent="0.25">
      <c r="A63" s="5">
        <f>+COEFyDISTR_FET!A68</f>
        <v>5503</v>
      </c>
      <c r="B63" s="5">
        <f>+COEFyDISTR_FET!B68</f>
        <v>5503</v>
      </c>
      <c r="C63" t="str">
        <f>+COEFyDISTR_FET!C68</f>
        <v>HIJUELAS</v>
      </c>
      <c r="D63" s="31">
        <f>+COEFyDISTR_FET!D68</f>
        <v>2558619</v>
      </c>
      <c r="E63" s="31">
        <f>+COEFyDISTR_FET!E68</f>
        <v>3519412.713</v>
      </c>
      <c r="F63" s="403">
        <f>+COEFyDISTR_FET!G68</f>
        <v>0.41399999999999998</v>
      </c>
      <c r="G63" s="403">
        <f>+COEFyDISTR_FET!H68</f>
        <v>0.57899999999999996</v>
      </c>
      <c r="H63" s="402" t="str">
        <f>IF(D63=0,$A$2,VLOOKUP(COUNTIF(F63,$F$1&amp;$F$2)&amp;COUNTIF(G63,$G$1&amp;$G$2),PARAMETROS!$K$26:$L$30,2,0))</f>
        <v>Entra por Criterio de Dependencia y Percentil</v>
      </c>
      <c r="I63" s="96">
        <f>+COEFyDISTR_FET!AA68</f>
        <v>2.1549049393500001E-3</v>
      </c>
      <c r="J63" s="97">
        <f t="shared" si="0"/>
        <v>5503</v>
      </c>
      <c r="K63" s="97">
        <f t="shared" si="1"/>
        <v>5503</v>
      </c>
      <c r="L63" t="str">
        <f t="shared" si="2"/>
        <v>HIJUELAS</v>
      </c>
      <c r="M63" t="str">
        <f t="shared" si="3"/>
        <v>Entra por Criterio de Dependencia y Percentil</v>
      </c>
      <c r="N63" s="97">
        <f t="shared" si="4"/>
        <v>5503</v>
      </c>
      <c r="O63" s="97">
        <f t="shared" si="5"/>
        <v>5503</v>
      </c>
      <c r="P63" t="str">
        <f t="shared" si="6"/>
        <v>HIJUELAS</v>
      </c>
      <c r="Q63" s="96">
        <f t="shared" si="7"/>
        <v>2.1549049393500001E-3</v>
      </c>
      <c r="R63" s="96"/>
      <c r="S63">
        <f>+COEFyDISTR_MINERO!A68</f>
        <v>5503</v>
      </c>
      <c r="T63">
        <f>+COEFyDISTR_MINERO!B68</f>
        <v>5503</v>
      </c>
      <c r="U63" t="str">
        <f>+COEFyDISTR_MINERO!C68</f>
        <v>HIJUELAS</v>
      </c>
      <c r="V63" s="96">
        <f>+COEFyDISTR_MINERO!X68</f>
        <v>0</v>
      </c>
      <c r="W63" s="6" t="str">
        <f>+COEFyDISTR_MINERO!D68</f>
        <v>No</v>
      </c>
      <c r="X63" s="96"/>
      <c r="Y63" s="96"/>
      <c r="Z63" s="1">
        <v>5606</v>
      </c>
      <c r="AA63" s="1">
        <v>5402</v>
      </c>
      <c r="AB63" s="1" t="str">
        <v>SANTO DOMINGO</v>
      </c>
      <c r="AC63" s="1" t="str">
        <v>Entra por Criterio de Percentil</v>
      </c>
      <c r="AF63" s="1">
        <v>5606</v>
      </c>
      <c r="AG63" s="1">
        <v>5402</v>
      </c>
      <c r="AH63" s="1" t="str">
        <v>SANTO DOMINGO</v>
      </c>
      <c r="AI63" s="405">
        <v>1.96223478575E-3</v>
      </c>
    </row>
    <row r="64" spans="1:41" ht="3" customHeight="1" x14ac:dyDescent="0.25">
      <c r="A64" s="5">
        <f>+COEFyDISTR_FET!A69</f>
        <v>5504</v>
      </c>
      <c r="B64" s="5">
        <f>+COEFyDISTR_FET!B69</f>
        <v>5505</v>
      </c>
      <c r="C64" t="str">
        <f>+COEFyDISTR_FET!C69</f>
        <v>LA CRUZ</v>
      </c>
      <c r="D64" s="31">
        <f>+COEFyDISTR_FET!D69</f>
        <v>2735857</v>
      </c>
      <c r="E64" s="31">
        <f>+COEFyDISTR_FET!E69</f>
        <v>3652236.497</v>
      </c>
      <c r="F64" s="403">
        <f>+COEFyDISTR_FET!G69</f>
        <v>0.437</v>
      </c>
      <c r="G64" s="403">
        <f>+COEFyDISTR_FET!H69</f>
        <v>0.57169999999999999</v>
      </c>
      <c r="H64" s="402" t="str">
        <f>IF(D64=0,$A$2,VLOOKUP(COUNTIF(F64,$F$1&amp;$F$2)&amp;COUNTIF(G64,$G$1&amp;$G$2),PARAMETROS!$K$26:$L$30,2,0))</f>
        <v>Entra por Criterio de Dependencia y Percentil</v>
      </c>
      <c r="I64" s="96">
        <f>+COEFyDISTR_FET!AA69</f>
        <v>2.3351537245499998E-3</v>
      </c>
      <c r="J64" s="97">
        <f t="shared" si="0"/>
        <v>5504</v>
      </c>
      <c r="K64" s="97">
        <f t="shared" si="1"/>
        <v>5505</v>
      </c>
      <c r="L64" t="str">
        <f t="shared" si="2"/>
        <v>LA CRUZ</v>
      </c>
      <c r="M64" t="str">
        <f t="shared" si="3"/>
        <v>Entra por Criterio de Dependencia y Percentil</v>
      </c>
      <c r="N64" s="97">
        <f t="shared" si="4"/>
        <v>5504</v>
      </c>
      <c r="O64" s="97">
        <f t="shared" si="5"/>
        <v>5505</v>
      </c>
      <c r="P64" t="str">
        <f t="shared" si="6"/>
        <v>LA CRUZ</v>
      </c>
      <c r="Q64" s="96">
        <f t="shared" si="7"/>
        <v>2.3351537245499998E-3</v>
      </c>
      <c r="R64" s="96"/>
      <c r="S64">
        <f>+COEFyDISTR_MINERO!A69</f>
        <v>5504</v>
      </c>
      <c r="T64">
        <f>+COEFyDISTR_MINERO!B69</f>
        <v>5505</v>
      </c>
      <c r="U64" t="str">
        <f>+COEFyDISTR_MINERO!C69</f>
        <v>LA CRUZ</v>
      </c>
      <c r="V64" s="96">
        <f>+COEFyDISTR_MINERO!X69</f>
        <v>0</v>
      </c>
      <c r="W64" s="6" t="str">
        <f>+COEFyDISTR_MINERO!D69</f>
        <v>No</v>
      </c>
      <c r="X64" s="96"/>
      <c r="Y64" s="96"/>
      <c r="Z64" s="1">
        <v>5701</v>
      </c>
      <c r="AA64" s="1">
        <v>5601</v>
      </c>
      <c r="AB64" s="1" t="str">
        <v>SAN FELIPE</v>
      </c>
      <c r="AC64" s="1" t="str">
        <v>Entra por Criterio de Dependencia y Percentil</v>
      </c>
      <c r="AF64" s="1">
        <v>5701</v>
      </c>
      <c r="AG64" s="1">
        <v>5601</v>
      </c>
      <c r="AH64" s="1" t="str">
        <v>SAN FELIPE</v>
      </c>
      <c r="AI64" s="405">
        <v>5.80662413215E-3</v>
      </c>
    </row>
    <row r="65" spans="1:35" ht="3" customHeight="1" x14ac:dyDescent="0.25">
      <c r="A65" s="5">
        <f>+COEFyDISTR_FET!A70</f>
        <v>5506</v>
      </c>
      <c r="B65" s="5">
        <f>+COEFyDISTR_FET!B70</f>
        <v>5502</v>
      </c>
      <c r="C65" t="str">
        <f>+COEFyDISTR_FET!C70</f>
        <v>NOGALES</v>
      </c>
      <c r="D65" s="31">
        <f>+COEFyDISTR_FET!D70</f>
        <v>2382743</v>
      </c>
      <c r="E65" s="31">
        <f>+COEFyDISTR_FET!E70</f>
        <v>3960110.0520000001</v>
      </c>
      <c r="F65" s="403">
        <f>+COEFyDISTR_FET!G70</f>
        <v>0.43099999999999999</v>
      </c>
      <c r="G65" s="403">
        <f>+COEFyDISTR_FET!H70</f>
        <v>0.62429999999999997</v>
      </c>
      <c r="H65" s="402" t="str">
        <f>IF(D65=0,$A$2,VLOOKUP(COUNTIF(F65,$F$1&amp;$F$2)&amp;COUNTIF(G65,$G$1&amp;$G$2),PARAMETROS!$K$26:$L$30,2,0))</f>
        <v>Entra por Criterio de Dependencia y Percentil</v>
      </c>
      <c r="I65" s="96">
        <f>+COEFyDISTR_FET!AA70</f>
        <v>2.3171916614500004E-3</v>
      </c>
      <c r="J65" s="97">
        <f t="shared" si="0"/>
        <v>5506</v>
      </c>
      <c r="K65" s="97">
        <f t="shared" si="1"/>
        <v>5502</v>
      </c>
      <c r="L65" t="str">
        <f t="shared" si="2"/>
        <v>NOGALES</v>
      </c>
      <c r="M65" t="str">
        <f t="shared" si="3"/>
        <v>Entra por Criterio de Dependencia y Percentil</v>
      </c>
      <c r="N65" s="97">
        <f t="shared" si="4"/>
        <v>5506</v>
      </c>
      <c r="O65" s="97">
        <f t="shared" si="5"/>
        <v>5502</v>
      </c>
      <c r="P65" t="str">
        <f t="shared" si="6"/>
        <v>NOGALES</v>
      </c>
      <c r="Q65" s="96">
        <f t="shared" si="7"/>
        <v>2.3171916614500004E-3</v>
      </c>
      <c r="R65" s="96"/>
      <c r="S65">
        <f>+COEFyDISTR_MINERO!A70</f>
        <v>5506</v>
      </c>
      <c r="T65">
        <f>+COEFyDISTR_MINERO!B70</f>
        <v>5502</v>
      </c>
      <c r="U65" t="str">
        <f>+COEFyDISTR_MINERO!C70</f>
        <v>NOGALES</v>
      </c>
      <c r="V65" s="96">
        <f>+COEFyDISTR_MINERO!X70</f>
        <v>1.7901075746880001E-2</v>
      </c>
      <c r="W65" s="6" t="str">
        <f>+COEFyDISTR_MINERO!D70</f>
        <v>SI</v>
      </c>
      <c r="X65" s="96"/>
      <c r="Y65" s="96"/>
      <c r="Z65" s="1">
        <v>5702</v>
      </c>
      <c r="AA65" s="1">
        <v>5603</v>
      </c>
      <c r="AB65" s="1" t="str">
        <v>CATEMU</v>
      </c>
      <c r="AC65" s="1" t="str">
        <v>Entra por Criterio de Dependencia y Percentil</v>
      </c>
      <c r="AF65" s="1">
        <v>5702</v>
      </c>
      <c r="AG65" s="1">
        <v>5603</v>
      </c>
      <c r="AH65" s="1" t="str">
        <v>CATEMU</v>
      </c>
      <c r="AI65" s="405">
        <v>2.17344868965E-3</v>
      </c>
    </row>
    <row r="66" spans="1:35" ht="3" customHeight="1" x14ac:dyDescent="0.25">
      <c r="A66" s="5">
        <f>+COEFyDISTR_FET!A71</f>
        <v>5601</v>
      </c>
      <c r="B66" s="5">
        <f>+COEFyDISTR_FET!B71</f>
        <v>5401</v>
      </c>
      <c r="C66" t="str">
        <f>+COEFyDISTR_FET!C71</f>
        <v>SAN ANTONIO</v>
      </c>
      <c r="D66" s="31">
        <f>+COEFyDISTR_FET!D71</f>
        <v>11866198</v>
      </c>
      <c r="E66" s="31">
        <f>+COEFyDISTR_FET!E71</f>
        <v>12304345.452</v>
      </c>
      <c r="F66" s="403">
        <f>+COEFyDISTR_FET!G71</f>
        <v>0.83099999999999996</v>
      </c>
      <c r="G66" s="403">
        <f>+COEFyDISTR_FET!H71</f>
        <v>0.5091</v>
      </c>
      <c r="H66" s="402" t="str">
        <f>IF(D66=0,$A$2,VLOOKUP(COUNTIF(F66,$F$1&amp;$F$2)&amp;COUNTIF(G66,$G$1&amp;$G$2),PARAMETROS!$K$26:$L$30,2,0))</f>
        <v>Entra por Criterio de Dependencia</v>
      </c>
      <c r="I66" s="96">
        <f>+COEFyDISTR_FET!AA71</f>
        <v>4.3284416740500004E-3</v>
      </c>
      <c r="J66" s="97">
        <f t="shared" si="0"/>
        <v>5601</v>
      </c>
      <c r="K66" s="97">
        <f t="shared" si="1"/>
        <v>5401</v>
      </c>
      <c r="L66" t="str">
        <f t="shared" si="2"/>
        <v>SAN ANTONIO</v>
      </c>
      <c r="M66" t="str">
        <f t="shared" si="3"/>
        <v>Entra por Criterio de Dependencia</v>
      </c>
      <c r="N66" s="97">
        <f t="shared" si="4"/>
        <v>5601</v>
      </c>
      <c r="O66" s="97">
        <f t="shared" si="5"/>
        <v>5401</v>
      </c>
      <c r="P66" t="str">
        <f t="shared" si="6"/>
        <v>SAN ANTONIO</v>
      </c>
      <c r="Q66" s="96">
        <f t="shared" si="7"/>
        <v>4.3284416740500004E-3</v>
      </c>
      <c r="R66" s="96"/>
      <c r="S66">
        <f>+COEFyDISTR_MINERO!A71</f>
        <v>5601</v>
      </c>
      <c r="T66">
        <f>+COEFyDISTR_MINERO!B71</f>
        <v>5401</v>
      </c>
      <c r="U66" t="str">
        <f>+COEFyDISTR_MINERO!C71</f>
        <v>SAN ANTONIO</v>
      </c>
      <c r="V66" s="96">
        <f>+COEFyDISTR_MINERO!X71</f>
        <v>0</v>
      </c>
      <c r="W66" s="6" t="str">
        <f>+COEFyDISTR_MINERO!D71</f>
        <v>No</v>
      </c>
      <c r="X66" s="96"/>
      <c r="Y66" s="96"/>
      <c r="Z66" s="1">
        <v>5703</v>
      </c>
      <c r="AA66" s="1">
        <v>5606</v>
      </c>
      <c r="AB66" s="1" t="str">
        <v>LLAILLAY</v>
      </c>
      <c r="AC66" s="1" t="str">
        <v>Entra por Criterio de Dependencia y Percentil</v>
      </c>
      <c r="AF66" s="1">
        <v>5703</v>
      </c>
      <c r="AG66" s="1">
        <v>5606</v>
      </c>
      <c r="AH66" s="1" t="str">
        <v>LLAILLAY</v>
      </c>
      <c r="AI66" s="405">
        <v>2.9434020836499996E-3</v>
      </c>
    </row>
    <row r="67" spans="1:35" ht="3" customHeight="1" x14ac:dyDescent="0.25">
      <c r="A67" s="5">
        <f>+COEFyDISTR_FET!A72</f>
        <v>5602</v>
      </c>
      <c r="B67" s="5">
        <f>+COEFyDISTR_FET!B72</f>
        <v>5406</v>
      </c>
      <c r="C67" t="str">
        <f>+COEFyDISTR_FET!C72</f>
        <v>ALGARROBO</v>
      </c>
      <c r="D67" s="31">
        <f>+COEFyDISTR_FET!D72</f>
        <v>9376496</v>
      </c>
      <c r="E67" s="31">
        <f>+COEFyDISTR_FET!E72</f>
        <v>2362849.7059999998</v>
      </c>
      <c r="F67" s="403">
        <f>+COEFyDISTR_FET!G72</f>
        <v>0.64300000000000002</v>
      </c>
      <c r="G67" s="403">
        <f>+COEFyDISTR_FET!H72</f>
        <v>0.20130000000000001</v>
      </c>
      <c r="H67" s="402" t="str">
        <f>IF(D67=0,$A$2,VLOOKUP(COUNTIF(F67,$F$1&amp;$F$2)&amp;COUNTIF(G67,$G$1&amp;$G$2),PARAMETROS!$K$26:$L$30,2,0))</f>
        <v>Entra por Criterio de Percentil</v>
      </c>
      <c r="I67" s="96">
        <f>+COEFyDISTR_FET!AA72</f>
        <v>1.9308420696500001E-3</v>
      </c>
      <c r="J67" s="97">
        <f t="shared" si="0"/>
        <v>5602</v>
      </c>
      <c r="K67" s="97">
        <f t="shared" si="1"/>
        <v>5406</v>
      </c>
      <c r="L67" t="str">
        <f t="shared" si="2"/>
        <v>ALGARROBO</v>
      </c>
      <c r="M67" t="str">
        <f t="shared" si="3"/>
        <v>Entra por Criterio de Percentil</v>
      </c>
      <c r="N67" s="97">
        <f t="shared" si="4"/>
        <v>5602</v>
      </c>
      <c r="O67" s="97">
        <f t="shared" si="5"/>
        <v>5406</v>
      </c>
      <c r="P67" t="str">
        <f t="shared" si="6"/>
        <v>ALGARROBO</v>
      </c>
      <c r="Q67" s="96">
        <f t="shared" si="7"/>
        <v>1.9308420696500001E-3</v>
      </c>
      <c r="R67" s="96"/>
      <c r="S67">
        <f>+COEFyDISTR_MINERO!A72</f>
        <v>5602</v>
      </c>
      <c r="T67">
        <f>+COEFyDISTR_MINERO!B72</f>
        <v>5406</v>
      </c>
      <c r="U67" t="str">
        <f>+COEFyDISTR_MINERO!C72</f>
        <v>ALGARROBO</v>
      </c>
      <c r="V67" s="96">
        <f>+COEFyDISTR_MINERO!X72</f>
        <v>0</v>
      </c>
      <c r="W67" s="6" t="str">
        <f>+COEFyDISTR_MINERO!D72</f>
        <v>No</v>
      </c>
      <c r="X67" s="96"/>
      <c r="Y67" s="96"/>
      <c r="Z67" s="1">
        <v>5704</v>
      </c>
      <c r="AA67" s="1">
        <v>5602</v>
      </c>
      <c r="AB67" s="1" t="str">
        <v>PANQUEHUE</v>
      </c>
      <c r="AC67" s="1" t="str">
        <v>Entra por Criterio de Dependencia y Percentil</v>
      </c>
      <c r="AF67" s="1">
        <v>5704</v>
      </c>
      <c r="AG67" s="1">
        <v>5602</v>
      </c>
      <c r="AH67" s="1" t="str">
        <v>PANQUEHUE</v>
      </c>
      <c r="AI67" s="405">
        <v>1.8489286649499999E-3</v>
      </c>
    </row>
    <row r="68" spans="1:35" ht="3" customHeight="1" x14ac:dyDescent="0.25">
      <c r="A68" s="5">
        <f>+COEFyDISTR_FET!A73</f>
        <v>5603</v>
      </c>
      <c r="B68" s="5">
        <f>+COEFyDISTR_FET!B73</f>
        <v>5403</v>
      </c>
      <c r="C68" t="str">
        <f>+COEFyDISTR_FET!C73</f>
        <v>CARTAGENA</v>
      </c>
      <c r="D68" s="31">
        <f>+COEFyDISTR_FET!D73</f>
        <v>2207228</v>
      </c>
      <c r="E68" s="31">
        <f>+COEFyDISTR_FET!E73</f>
        <v>14938002.812000001</v>
      </c>
      <c r="F68" s="403">
        <f>+COEFyDISTR_FET!G73</f>
        <v>0.753</v>
      </c>
      <c r="G68" s="403">
        <f>+COEFyDISTR_FET!H73</f>
        <v>0.87129999999999996</v>
      </c>
      <c r="H68" s="402" t="str">
        <f>IF(D68=0,$A$2,VLOOKUP(COUNTIF(F68,$F$1&amp;$F$2)&amp;COUNTIF(G68,$G$1&amp;$G$2),PARAMETROS!$K$26:$L$30,2,0))</f>
        <v>Entra por Criterio de Dependencia y Percentil</v>
      </c>
      <c r="I68" s="96">
        <f>+COEFyDISTR_FET!AA73</f>
        <v>3.10752163955E-3</v>
      </c>
      <c r="J68" s="97">
        <f t="shared" ref="J68:J131" si="8">+A68</f>
        <v>5603</v>
      </c>
      <c r="K68" s="97">
        <f t="shared" ref="K68:K131" si="9">+B68</f>
        <v>5403</v>
      </c>
      <c r="L68" t="str">
        <f t="shared" ref="L68:L131" si="10">+C68</f>
        <v>CARTAGENA</v>
      </c>
      <c r="M68" t="str">
        <f t="shared" ref="M68:M131" si="11">+H68</f>
        <v>Entra por Criterio de Dependencia y Percentil</v>
      </c>
      <c r="N68" s="97">
        <f t="shared" ref="N68:N131" si="12">+J68</f>
        <v>5603</v>
      </c>
      <c r="O68" s="97">
        <f t="shared" ref="O68:O131" si="13">+K68</f>
        <v>5403</v>
      </c>
      <c r="P68" t="str">
        <f t="shared" ref="P68:P131" si="14">+L68</f>
        <v>CARTAGENA</v>
      </c>
      <c r="Q68" s="96">
        <f t="shared" ref="Q68:Q131" si="15">+I68</f>
        <v>3.10752163955E-3</v>
      </c>
      <c r="R68" s="96"/>
      <c r="S68">
        <f>+COEFyDISTR_MINERO!A73</f>
        <v>5603</v>
      </c>
      <c r="T68">
        <f>+COEFyDISTR_MINERO!B73</f>
        <v>5403</v>
      </c>
      <c r="U68" t="str">
        <f>+COEFyDISTR_MINERO!C73</f>
        <v>CARTAGENA</v>
      </c>
      <c r="V68" s="96">
        <f>+COEFyDISTR_MINERO!X73</f>
        <v>0</v>
      </c>
      <c r="W68" s="6" t="str">
        <f>+COEFyDISTR_MINERO!D73</f>
        <v>No</v>
      </c>
      <c r="X68" s="96"/>
      <c r="Y68" s="96"/>
      <c r="Z68" s="1">
        <v>5705</v>
      </c>
      <c r="AA68" s="1">
        <v>5604</v>
      </c>
      <c r="AB68" s="1" t="str">
        <v>PUTAENDO</v>
      </c>
      <c r="AC68" s="1" t="str">
        <v>Entra por Criterio de Dependencia y Percentil</v>
      </c>
      <c r="AF68" s="1">
        <v>5705</v>
      </c>
      <c r="AG68" s="1">
        <v>5604</v>
      </c>
      <c r="AH68" s="1" t="str">
        <v>PUTAENDO</v>
      </c>
      <c r="AI68" s="405">
        <v>2.6800240460500002E-3</v>
      </c>
    </row>
    <row r="69" spans="1:35" ht="3" customHeight="1" x14ac:dyDescent="0.25">
      <c r="A69" s="5">
        <f>+COEFyDISTR_FET!A74</f>
        <v>5604</v>
      </c>
      <c r="B69" s="5">
        <f>+COEFyDISTR_FET!B74</f>
        <v>5405</v>
      </c>
      <c r="C69" t="str">
        <f>+COEFyDISTR_FET!C74</f>
        <v>EL QUISCO</v>
      </c>
      <c r="D69" s="31">
        <f>+COEFyDISTR_FET!D74</f>
        <v>3469805</v>
      </c>
      <c r="E69" s="31">
        <f>+COEFyDISTR_FET!E74</f>
        <v>18809598.028999999</v>
      </c>
      <c r="F69" s="403">
        <f>+COEFyDISTR_FET!G74</f>
        <v>0.82</v>
      </c>
      <c r="G69" s="403">
        <f>+COEFyDISTR_FET!H74</f>
        <v>0.84430000000000005</v>
      </c>
      <c r="H69" s="402" t="str">
        <f>IF(D69=0,$A$2,VLOOKUP(COUNTIF(F69,$F$1&amp;$F$2)&amp;COUNTIF(G69,$G$1&amp;$G$2),PARAMETROS!$K$26:$L$30,2,0))</f>
        <v>Entra por Criterio de Dependencia</v>
      </c>
      <c r="I69" s="96">
        <f>+COEFyDISTR_FET!AA74</f>
        <v>2.4844377839500003E-3</v>
      </c>
      <c r="J69" s="97">
        <f t="shared" si="8"/>
        <v>5604</v>
      </c>
      <c r="K69" s="97">
        <f t="shared" si="9"/>
        <v>5405</v>
      </c>
      <c r="L69" t="str">
        <f t="shared" si="10"/>
        <v>EL QUISCO</v>
      </c>
      <c r="M69" t="str">
        <f t="shared" si="11"/>
        <v>Entra por Criterio de Dependencia</v>
      </c>
      <c r="N69" s="97">
        <f t="shared" si="12"/>
        <v>5604</v>
      </c>
      <c r="O69" s="97">
        <f t="shared" si="13"/>
        <v>5405</v>
      </c>
      <c r="P69" t="str">
        <f t="shared" si="14"/>
        <v>EL QUISCO</v>
      </c>
      <c r="Q69" s="96">
        <f t="shared" si="15"/>
        <v>2.4844377839500003E-3</v>
      </c>
      <c r="R69" s="96"/>
      <c r="S69">
        <f>+COEFyDISTR_MINERO!A74</f>
        <v>5604</v>
      </c>
      <c r="T69">
        <f>+COEFyDISTR_MINERO!B74</f>
        <v>5405</v>
      </c>
      <c r="U69" t="str">
        <f>+COEFyDISTR_MINERO!C74</f>
        <v>EL QUISCO</v>
      </c>
      <c r="V69" s="96">
        <f>+COEFyDISTR_MINERO!X74</f>
        <v>0</v>
      </c>
      <c r="W69" s="6" t="str">
        <f>+COEFyDISTR_MINERO!D74</f>
        <v>No</v>
      </c>
      <c r="X69" s="96"/>
      <c r="Y69" s="96"/>
      <c r="Z69" s="1">
        <v>5706</v>
      </c>
      <c r="AA69" s="1">
        <v>5605</v>
      </c>
      <c r="AB69" s="1" t="str">
        <v>SANTA MARÍA</v>
      </c>
      <c r="AC69" s="1" t="str">
        <v>Entra por Criterio de Dependencia y Percentil</v>
      </c>
      <c r="AF69" s="1">
        <v>5706</v>
      </c>
      <c r="AG69" s="1">
        <v>5605</v>
      </c>
      <c r="AH69" s="1" t="str">
        <v>SANTA MARÍA</v>
      </c>
      <c r="AI69" s="405">
        <v>2.1882466684499998E-3</v>
      </c>
    </row>
    <row r="70" spans="1:35" ht="3" customHeight="1" x14ac:dyDescent="0.25">
      <c r="A70" s="5">
        <f>+COEFyDISTR_FET!A75</f>
        <v>5605</v>
      </c>
      <c r="B70" s="5">
        <f>+COEFyDISTR_FET!B75</f>
        <v>5404</v>
      </c>
      <c r="C70" t="str">
        <f>+COEFyDISTR_FET!C75</f>
        <v>EL TABO</v>
      </c>
      <c r="D70" s="31">
        <f>+COEFyDISTR_FET!D75</f>
        <v>2724821</v>
      </c>
      <c r="E70" s="31">
        <f>+COEFyDISTR_FET!E75</f>
        <v>17731237.168000001</v>
      </c>
      <c r="F70" s="403">
        <f>+COEFyDISTR_FET!G75</f>
        <v>0.79700000000000004</v>
      </c>
      <c r="G70" s="403">
        <f>+COEFyDISTR_FET!H75</f>
        <v>0.86680000000000001</v>
      </c>
      <c r="H70" s="402" t="str">
        <f>IF(D70=0,$A$2,VLOOKUP(COUNTIF(F70,$F$1&amp;$F$2)&amp;COUNTIF(G70,$G$1&amp;$G$2),PARAMETROS!$K$26:$L$30,2,0))</f>
        <v>Entra por Criterio de Dependencia y Percentil</v>
      </c>
      <c r="I70" s="96">
        <f>+COEFyDISTR_FET!AA75</f>
        <v>2.46420477815E-3</v>
      </c>
      <c r="J70" s="97">
        <f t="shared" si="8"/>
        <v>5605</v>
      </c>
      <c r="K70" s="97">
        <f t="shared" si="9"/>
        <v>5404</v>
      </c>
      <c r="L70" t="str">
        <f t="shared" si="10"/>
        <v>EL TABO</v>
      </c>
      <c r="M70" t="str">
        <f t="shared" si="11"/>
        <v>Entra por Criterio de Dependencia y Percentil</v>
      </c>
      <c r="N70" s="97">
        <f t="shared" si="12"/>
        <v>5605</v>
      </c>
      <c r="O70" s="97">
        <f t="shared" si="13"/>
        <v>5404</v>
      </c>
      <c r="P70" t="str">
        <f t="shared" si="14"/>
        <v>EL TABO</v>
      </c>
      <c r="Q70" s="96">
        <f t="shared" si="15"/>
        <v>2.46420477815E-3</v>
      </c>
      <c r="R70" s="96"/>
      <c r="S70">
        <f>+COEFyDISTR_MINERO!A75</f>
        <v>5605</v>
      </c>
      <c r="T70">
        <f>+COEFyDISTR_MINERO!B75</f>
        <v>5404</v>
      </c>
      <c r="U70" t="str">
        <f>+COEFyDISTR_MINERO!C75</f>
        <v>EL TABO</v>
      </c>
      <c r="V70" s="96">
        <f>+COEFyDISTR_MINERO!X75</f>
        <v>0</v>
      </c>
      <c r="W70" s="6" t="str">
        <f>+COEFyDISTR_MINERO!D75</f>
        <v>No</v>
      </c>
      <c r="X70" s="96"/>
      <c r="Y70" s="96"/>
      <c r="Z70" s="1">
        <v>5801</v>
      </c>
      <c r="AA70" s="1">
        <v>5304</v>
      </c>
      <c r="AB70" s="1" t="str">
        <v>QUILPUÉ</v>
      </c>
      <c r="AC70" s="1" t="str">
        <v>Entra por Criterio de Dependencia</v>
      </c>
      <c r="AF70" s="1">
        <v>5801</v>
      </c>
      <c r="AG70" s="1">
        <v>5304</v>
      </c>
      <c r="AH70" s="1" t="str">
        <v>QUILPUÉ</v>
      </c>
      <c r="AI70" s="405">
        <v>9.8654261205500006E-3</v>
      </c>
    </row>
    <row r="71" spans="1:35" ht="3" customHeight="1" x14ac:dyDescent="0.25">
      <c r="A71" s="5">
        <f>+COEFyDISTR_FET!A76</f>
        <v>5606</v>
      </c>
      <c r="B71" s="5">
        <f>+COEFyDISTR_FET!B76</f>
        <v>5402</v>
      </c>
      <c r="C71" t="str">
        <f>+COEFyDISTR_FET!C76</f>
        <v>SANTO DOMINGO</v>
      </c>
      <c r="D71" s="31">
        <f>+COEFyDISTR_FET!D76</f>
        <v>17563428</v>
      </c>
      <c r="E71" s="31">
        <f>+COEFyDISTR_FET!E76</f>
        <v>2473739.514</v>
      </c>
      <c r="F71" s="403">
        <f>+COEFyDISTR_FET!G76</f>
        <v>0.79100000000000004</v>
      </c>
      <c r="G71" s="403">
        <f>+COEFyDISTR_FET!H76</f>
        <v>0.1235</v>
      </c>
      <c r="H71" s="402" t="str">
        <f>IF(D71=0,$A$2,VLOOKUP(COUNTIF(F71,$F$1&amp;$F$2)&amp;COUNTIF(G71,$G$1&amp;$G$2),PARAMETROS!$K$26:$L$30,2,0))</f>
        <v>Entra por Criterio de Percentil</v>
      </c>
      <c r="I71" s="96">
        <f>+COEFyDISTR_FET!AA76</f>
        <v>1.96223478575E-3</v>
      </c>
      <c r="J71" s="97">
        <f t="shared" si="8"/>
        <v>5606</v>
      </c>
      <c r="K71" s="97">
        <f t="shared" si="9"/>
        <v>5402</v>
      </c>
      <c r="L71" t="str">
        <f t="shared" si="10"/>
        <v>SANTO DOMINGO</v>
      </c>
      <c r="M71" t="str">
        <f t="shared" si="11"/>
        <v>Entra por Criterio de Percentil</v>
      </c>
      <c r="N71" s="97">
        <f t="shared" si="12"/>
        <v>5606</v>
      </c>
      <c r="O71" s="97">
        <f t="shared" si="13"/>
        <v>5402</v>
      </c>
      <c r="P71" t="str">
        <f t="shared" si="14"/>
        <v>SANTO DOMINGO</v>
      </c>
      <c r="Q71" s="96">
        <f t="shared" si="15"/>
        <v>1.96223478575E-3</v>
      </c>
      <c r="R71" s="96"/>
      <c r="S71">
        <f>+COEFyDISTR_MINERO!A76</f>
        <v>5606</v>
      </c>
      <c r="T71">
        <f>+COEFyDISTR_MINERO!B76</f>
        <v>5402</v>
      </c>
      <c r="U71" t="str">
        <f>+COEFyDISTR_MINERO!C76</f>
        <v>SANTO DOMINGO</v>
      </c>
      <c r="V71" s="96">
        <f>+COEFyDISTR_MINERO!X76</f>
        <v>0</v>
      </c>
      <c r="W71" s="6" t="str">
        <f>+COEFyDISTR_MINERO!D76</f>
        <v>No</v>
      </c>
      <c r="X71" s="96"/>
      <c r="Y71" s="96"/>
      <c r="Z71" s="1">
        <v>5802</v>
      </c>
      <c r="AA71" s="1">
        <v>5506</v>
      </c>
      <c r="AB71" s="1" t="str">
        <v>LIMACHE</v>
      </c>
      <c r="AC71" s="1" t="str">
        <v>Entra por Criterio de Dependencia y Percentil</v>
      </c>
      <c r="AF71" s="1">
        <v>5802</v>
      </c>
      <c r="AG71" s="1">
        <v>5506</v>
      </c>
      <c r="AH71" s="1" t="str">
        <v>LIMACHE</v>
      </c>
      <c r="AI71" s="405">
        <v>3.8493751603500001E-3</v>
      </c>
    </row>
    <row r="72" spans="1:35" ht="3" customHeight="1" x14ac:dyDescent="0.25">
      <c r="A72" s="5">
        <f>+COEFyDISTR_FET!A77</f>
        <v>5701</v>
      </c>
      <c r="B72" s="5">
        <f>+COEFyDISTR_FET!B77</f>
        <v>5601</v>
      </c>
      <c r="C72" t="str">
        <f>+COEFyDISTR_FET!C77</f>
        <v>SAN FELIPE</v>
      </c>
      <c r="D72" s="31">
        <f>+COEFyDISTR_FET!D77</f>
        <v>6795136</v>
      </c>
      <c r="E72" s="31">
        <f>+COEFyDISTR_FET!E77</f>
        <v>12056865.558</v>
      </c>
      <c r="F72" s="403">
        <f>+COEFyDISTR_FET!G77</f>
        <v>0.77100000000000002</v>
      </c>
      <c r="G72" s="403">
        <f>+COEFyDISTR_FET!H77</f>
        <v>0.63959999999999995</v>
      </c>
      <c r="H72" s="402" t="str">
        <f>IF(D72=0,$A$2,VLOOKUP(COUNTIF(F72,$F$1&amp;$F$2)&amp;COUNTIF(G72,$G$1&amp;$G$2),PARAMETROS!$K$26:$L$30,2,0))</f>
        <v>Entra por Criterio de Dependencia y Percentil</v>
      </c>
      <c r="I72" s="96">
        <f>+COEFyDISTR_FET!AA77</f>
        <v>5.80662413215E-3</v>
      </c>
      <c r="J72" s="97">
        <f t="shared" si="8"/>
        <v>5701</v>
      </c>
      <c r="K72" s="97">
        <f t="shared" si="9"/>
        <v>5601</v>
      </c>
      <c r="L72" t="str">
        <f t="shared" si="10"/>
        <v>SAN FELIPE</v>
      </c>
      <c r="M72" t="str">
        <f t="shared" si="11"/>
        <v>Entra por Criterio de Dependencia y Percentil</v>
      </c>
      <c r="N72" s="97">
        <f t="shared" si="12"/>
        <v>5701</v>
      </c>
      <c r="O72" s="97">
        <f t="shared" si="13"/>
        <v>5601</v>
      </c>
      <c r="P72" t="str">
        <f t="shared" si="14"/>
        <v>SAN FELIPE</v>
      </c>
      <c r="Q72" s="96">
        <f t="shared" si="15"/>
        <v>5.80662413215E-3</v>
      </c>
      <c r="R72" s="96"/>
      <c r="S72">
        <f>+COEFyDISTR_MINERO!A77</f>
        <v>5701</v>
      </c>
      <c r="T72">
        <f>+COEFyDISTR_MINERO!B77</f>
        <v>5601</v>
      </c>
      <c r="U72" t="str">
        <f>+COEFyDISTR_MINERO!C77</f>
        <v>SAN FELIPE</v>
      </c>
      <c r="V72" s="96">
        <f>+COEFyDISTR_MINERO!X77</f>
        <v>2.4280223617780001E-2</v>
      </c>
      <c r="W72" s="6" t="str">
        <f>+COEFyDISTR_MINERO!D77</f>
        <v>SI</v>
      </c>
      <c r="X72" s="96"/>
      <c r="Y72" s="96"/>
      <c r="Z72" s="1">
        <v>5803</v>
      </c>
      <c r="AA72" s="1">
        <v>5507</v>
      </c>
      <c r="AB72" s="1" t="str">
        <v>OLMUÉ</v>
      </c>
      <c r="AC72" s="1" t="str">
        <v>Entra por Criterio de Dependencia y Percentil</v>
      </c>
      <c r="AF72" s="1">
        <v>5803</v>
      </c>
      <c r="AG72" s="1">
        <v>5507</v>
      </c>
      <c r="AH72" s="1" t="str">
        <v>OLMUÉ</v>
      </c>
      <c r="AI72" s="405">
        <v>2.0960420130500001E-3</v>
      </c>
    </row>
    <row r="73" spans="1:35" ht="3" customHeight="1" x14ac:dyDescent="0.25">
      <c r="A73" s="5">
        <f>+COEFyDISTR_FET!A78</f>
        <v>5702</v>
      </c>
      <c r="B73" s="5">
        <f>+COEFyDISTR_FET!B78</f>
        <v>5603</v>
      </c>
      <c r="C73" t="str">
        <f>+COEFyDISTR_FET!C78</f>
        <v>CATEMU</v>
      </c>
      <c r="D73" s="31">
        <f>+COEFyDISTR_FET!D78</f>
        <v>1881281</v>
      </c>
      <c r="E73" s="31">
        <f>+COEFyDISTR_FET!E78</f>
        <v>3320782.5819999999</v>
      </c>
      <c r="F73" s="403">
        <f>+COEFyDISTR_FET!G78</f>
        <v>0.313</v>
      </c>
      <c r="G73" s="403">
        <f>+COEFyDISTR_FET!H78</f>
        <v>0.63839999999999997</v>
      </c>
      <c r="H73" s="402" t="str">
        <f>IF(D73=0,$A$2,VLOOKUP(COUNTIF(F73,$F$1&amp;$F$2)&amp;COUNTIF(G73,$G$1&amp;$G$2),PARAMETROS!$K$26:$L$30,2,0))</f>
        <v>Entra por Criterio de Dependencia y Percentil</v>
      </c>
      <c r="I73" s="96">
        <f>+COEFyDISTR_FET!AA78</f>
        <v>2.17344868965E-3</v>
      </c>
      <c r="J73" s="97">
        <f t="shared" si="8"/>
        <v>5702</v>
      </c>
      <c r="K73" s="97">
        <f t="shared" si="9"/>
        <v>5603</v>
      </c>
      <c r="L73" t="str">
        <f t="shared" si="10"/>
        <v>CATEMU</v>
      </c>
      <c r="M73" t="str">
        <f t="shared" si="11"/>
        <v>Entra por Criterio de Dependencia y Percentil</v>
      </c>
      <c r="N73" s="97">
        <f t="shared" si="12"/>
        <v>5702</v>
      </c>
      <c r="O73" s="97">
        <f t="shared" si="13"/>
        <v>5603</v>
      </c>
      <c r="P73" t="str">
        <f t="shared" si="14"/>
        <v>CATEMU</v>
      </c>
      <c r="Q73" s="96">
        <f t="shared" si="15"/>
        <v>2.17344868965E-3</v>
      </c>
      <c r="R73" s="96"/>
      <c r="S73">
        <f>+COEFyDISTR_MINERO!A78</f>
        <v>5702</v>
      </c>
      <c r="T73">
        <f>+COEFyDISTR_MINERO!B78</f>
        <v>5603</v>
      </c>
      <c r="U73" t="str">
        <f>+COEFyDISTR_MINERO!C78</f>
        <v>CATEMU</v>
      </c>
      <c r="V73" s="96">
        <f>+COEFyDISTR_MINERO!X78</f>
        <v>2.234959743638E-2</v>
      </c>
      <c r="W73" s="6" t="str">
        <f>+COEFyDISTR_MINERO!D78</f>
        <v>SI</v>
      </c>
      <c r="X73" s="96"/>
      <c r="Y73" s="96"/>
      <c r="Z73" s="1">
        <v>5804</v>
      </c>
      <c r="AA73" s="1">
        <v>5303</v>
      </c>
      <c r="AB73" s="1" t="str">
        <v>VILLA ALEMANA</v>
      </c>
      <c r="AC73" s="1" t="str">
        <v>Entra por Criterio de Dependencia</v>
      </c>
      <c r="AF73" s="1">
        <v>5804</v>
      </c>
      <c r="AG73" s="1">
        <v>5303</v>
      </c>
      <c r="AH73" s="1" t="str">
        <v>VILLA ALEMANA</v>
      </c>
      <c r="AI73" s="405">
        <v>1.004722035125E-2</v>
      </c>
    </row>
    <row r="74" spans="1:35" ht="3" customHeight="1" x14ac:dyDescent="0.25">
      <c r="A74" s="5">
        <f>+COEFyDISTR_FET!A79</f>
        <v>5703</v>
      </c>
      <c r="B74" s="5">
        <f>+COEFyDISTR_FET!B79</f>
        <v>5606</v>
      </c>
      <c r="C74" t="str">
        <f>+COEFyDISTR_FET!C79</f>
        <v>LLAILLAY</v>
      </c>
      <c r="D74" s="31">
        <f>+COEFyDISTR_FET!D79</f>
        <v>2221509</v>
      </c>
      <c r="E74" s="31">
        <f>+COEFyDISTR_FET!E79</f>
        <v>4749461.3969999999</v>
      </c>
      <c r="F74" s="403">
        <f>+COEFyDISTR_FET!G79</f>
        <v>0.46600000000000003</v>
      </c>
      <c r="G74" s="403">
        <f>+COEFyDISTR_FET!H79</f>
        <v>0.68130000000000002</v>
      </c>
      <c r="H74" s="402" t="str">
        <f>IF(D74=0,$A$2,VLOOKUP(COUNTIF(F74,$F$1&amp;$F$2)&amp;COUNTIF(G74,$G$1&amp;$G$2),PARAMETROS!$K$26:$L$30,2,0))</f>
        <v>Entra por Criterio de Dependencia y Percentil</v>
      </c>
      <c r="I74" s="96">
        <f>+COEFyDISTR_FET!AA79</f>
        <v>2.9434020836499996E-3</v>
      </c>
      <c r="J74" s="97">
        <f t="shared" si="8"/>
        <v>5703</v>
      </c>
      <c r="K74" s="97">
        <f t="shared" si="9"/>
        <v>5606</v>
      </c>
      <c r="L74" t="str">
        <f t="shared" si="10"/>
        <v>LLAILLAY</v>
      </c>
      <c r="M74" t="str">
        <f t="shared" si="11"/>
        <v>Entra por Criterio de Dependencia y Percentil</v>
      </c>
      <c r="N74" s="97">
        <f t="shared" si="12"/>
        <v>5703</v>
      </c>
      <c r="O74" s="97">
        <f t="shared" si="13"/>
        <v>5606</v>
      </c>
      <c r="P74" t="str">
        <f t="shared" si="14"/>
        <v>LLAILLAY</v>
      </c>
      <c r="Q74" s="96">
        <f t="shared" si="15"/>
        <v>2.9434020836499996E-3</v>
      </c>
      <c r="R74" s="96"/>
      <c r="S74">
        <f>+COEFyDISTR_MINERO!A79</f>
        <v>5703</v>
      </c>
      <c r="T74">
        <f>+COEFyDISTR_MINERO!B79</f>
        <v>5606</v>
      </c>
      <c r="U74" t="str">
        <f>+COEFyDISTR_MINERO!C79</f>
        <v>LLAILLAY</v>
      </c>
      <c r="V74" s="96">
        <f>+COEFyDISTR_MINERO!X79</f>
        <v>0</v>
      </c>
      <c r="W74" s="6" t="str">
        <f>+COEFyDISTR_MINERO!D79</f>
        <v>No</v>
      </c>
      <c r="X74" s="96"/>
      <c r="Y74" s="96"/>
      <c r="Z74" s="1">
        <v>6102</v>
      </c>
      <c r="AA74" s="1">
        <v>6107</v>
      </c>
      <c r="AB74" s="1" t="str">
        <v>CODEGUA</v>
      </c>
      <c r="AC74" s="1" t="str">
        <v>Entra por Criterio de Dependencia y Percentil</v>
      </c>
      <c r="AF74" s="1">
        <v>6102</v>
      </c>
      <c r="AG74" s="1">
        <v>6107</v>
      </c>
      <c r="AH74" s="1" t="str">
        <v>CODEGUA</v>
      </c>
      <c r="AI74" s="405">
        <v>2.0157922044500001E-3</v>
      </c>
    </row>
    <row r="75" spans="1:35" ht="3" customHeight="1" x14ac:dyDescent="0.25">
      <c r="A75" s="5">
        <f>+COEFyDISTR_FET!A80</f>
        <v>5704</v>
      </c>
      <c r="B75" s="5">
        <f>+COEFyDISTR_FET!B80</f>
        <v>5602</v>
      </c>
      <c r="C75" t="str">
        <f>+COEFyDISTR_FET!C80</f>
        <v>PANQUEHUE</v>
      </c>
      <c r="D75" s="31">
        <f>+COEFyDISTR_FET!D80</f>
        <v>1456728</v>
      </c>
      <c r="E75" s="31">
        <f>+COEFyDISTR_FET!E80</f>
        <v>2141183.8670000001</v>
      </c>
      <c r="F75" s="403">
        <f>+COEFyDISTR_FET!G80</f>
        <v>0.121</v>
      </c>
      <c r="G75" s="403">
        <f>+COEFyDISTR_FET!H80</f>
        <v>0.59509999999999996</v>
      </c>
      <c r="H75" s="402" t="str">
        <f>IF(D75=0,$A$2,VLOOKUP(COUNTIF(F75,$F$1&amp;$F$2)&amp;COUNTIF(G75,$G$1&amp;$G$2),PARAMETROS!$K$26:$L$30,2,0))</f>
        <v>Entra por Criterio de Dependencia y Percentil</v>
      </c>
      <c r="I75" s="96">
        <f>+COEFyDISTR_FET!AA80</f>
        <v>1.8489286649499999E-3</v>
      </c>
      <c r="J75" s="97">
        <f t="shared" si="8"/>
        <v>5704</v>
      </c>
      <c r="K75" s="97">
        <f t="shared" si="9"/>
        <v>5602</v>
      </c>
      <c r="L75" t="str">
        <f t="shared" si="10"/>
        <v>PANQUEHUE</v>
      </c>
      <c r="M75" t="str">
        <f t="shared" si="11"/>
        <v>Entra por Criterio de Dependencia y Percentil</v>
      </c>
      <c r="N75" s="97">
        <f t="shared" si="12"/>
        <v>5704</v>
      </c>
      <c r="O75" s="97">
        <f t="shared" si="13"/>
        <v>5602</v>
      </c>
      <c r="P75" t="str">
        <f t="shared" si="14"/>
        <v>PANQUEHUE</v>
      </c>
      <c r="Q75" s="96">
        <f t="shared" si="15"/>
        <v>1.8489286649499999E-3</v>
      </c>
      <c r="R75" s="96"/>
      <c r="S75">
        <f>+COEFyDISTR_MINERO!A80</f>
        <v>5704</v>
      </c>
      <c r="T75">
        <f>+COEFyDISTR_MINERO!B80</f>
        <v>5602</v>
      </c>
      <c r="U75" t="str">
        <f>+COEFyDISTR_MINERO!C80</f>
        <v>PANQUEHUE</v>
      </c>
      <c r="V75" s="96">
        <f>+COEFyDISTR_MINERO!X80</f>
        <v>0</v>
      </c>
      <c r="W75" s="6" t="str">
        <f>+COEFyDISTR_MINERO!D80</f>
        <v>No</v>
      </c>
      <c r="X75" s="96"/>
      <c r="Y75" s="96"/>
      <c r="Z75" s="1">
        <v>6103</v>
      </c>
      <c r="AA75" s="1">
        <v>6116</v>
      </c>
      <c r="AB75" s="1" t="str">
        <v>COINCO</v>
      </c>
      <c r="AC75" s="1" t="str">
        <v>Entra por Criterio de Dependencia y Percentil</v>
      </c>
      <c r="AF75" s="1">
        <v>6103</v>
      </c>
      <c r="AG75" s="1">
        <v>6116</v>
      </c>
      <c r="AH75" s="1" t="str">
        <v>COINCO</v>
      </c>
      <c r="AI75" s="405">
        <v>1.9924248851499998E-3</v>
      </c>
    </row>
    <row r="76" spans="1:35" ht="3" customHeight="1" x14ac:dyDescent="0.25">
      <c r="A76" s="5">
        <f>+COEFyDISTR_FET!A81</f>
        <v>5705</v>
      </c>
      <c r="B76" s="5">
        <f>+COEFyDISTR_FET!B81</f>
        <v>5604</v>
      </c>
      <c r="C76" t="str">
        <f>+COEFyDISTR_FET!C81</f>
        <v>PUTAENDO</v>
      </c>
      <c r="D76" s="31">
        <f>+COEFyDISTR_FET!D81</f>
        <v>1379015</v>
      </c>
      <c r="E76" s="31">
        <f>+COEFyDISTR_FET!E81</f>
        <v>4303901.3140000002</v>
      </c>
      <c r="F76" s="403">
        <f>+COEFyDISTR_FET!G81</f>
        <v>0.36199999999999999</v>
      </c>
      <c r="G76" s="403">
        <f>+COEFyDISTR_FET!H81</f>
        <v>0.75729999999999997</v>
      </c>
      <c r="H76" s="402" t="str">
        <f>IF(D76=0,$A$2,VLOOKUP(COUNTIF(F76,$F$1&amp;$F$2)&amp;COUNTIF(G76,$G$1&amp;$G$2),PARAMETROS!$K$26:$L$30,2,0))</f>
        <v>Entra por Criterio de Dependencia y Percentil</v>
      </c>
      <c r="I76" s="96">
        <f>+COEFyDISTR_FET!AA81</f>
        <v>2.6800240460500002E-3</v>
      </c>
      <c r="J76" s="97">
        <f t="shared" si="8"/>
        <v>5705</v>
      </c>
      <c r="K76" s="97">
        <f t="shared" si="9"/>
        <v>5604</v>
      </c>
      <c r="L76" t="str">
        <f t="shared" si="10"/>
        <v>PUTAENDO</v>
      </c>
      <c r="M76" t="str">
        <f t="shared" si="11"/>
        <v>Entra por Criterio de Dependencia y Percentil</v>
      </c>
      <c r="N76" s="97">
        <f t="shared" si="12"/>
        <v>5705</v>
      </c>
      <c r="O76" s="97">
        <f t="shared" si="13"/>
        <v>5604</v>
      </c>
      <c r="P76" t="str">
        <f t="shared" si="14"/>
        <v>PUTAENDO</v>
      </c>
      <c r="Q76" s="96">
        <f t="shared" si="15"/>
        <v>2.6800240460500002E-3</v>
      </c>
      <c r="R76" s="96"/>
      <c r="S76">
        <f>+COEFyDISTR_MINERO!A81</f>
        <v>5705</v>
      </c>
      <c r="T76">
        <f>+COEFyDISTR_MINERO!B81</f>
        <v>5604</v>
      </c>
      <c r="U76" t="str">
        <f>+COEFyDISTR_MINERO!C81</f>
        <v>PUTAENDO</v>
      </c>
      <c r="V76" s="96">
        <f>+COEFyDISTR_MINERO!X81</f>
        <v>0</v>
      </c>
      <c r="W76" s="6" t="str">
        <f>+COEFyDISTR_MINERO!D81</f>
        <v>No</v>
      </c>
      <c r="X76" s="96"/>
      <c r="Y76" s="96"/>
      <c r="Z76" s="1">
        <v>6104</v>
      </c>
      <c r="AA76" s="1">
        <v>6106</v>
      </c>
      <c r="AB76" s="1" t="str">
        <v>COLTAUCO</v>
      </c>
      <c r="AC76" s="1" t="str">
        <v>Entra por Criterio de Dependencia y Percentil</v>
      </c>
      <c r="AF76" s="1">
        <v>6104</v>
      </c>
      <c r="AG76" s="1">
        <v>6106</v>
      </c>
      <c r="AH76" s="1" t="str">
        <v>COLTAUCO</v>
      </c>
      <c r="AI76" s="405">
        <v>3.2355248415499999E-3</v>
      </c>
    </row>
    <row r="77" spans="1:35" ht="3" customHeight="1" x14ac:dyDescent="0.25">
      <c r="A77" s="5">
        <f>+COEFyDISTR_FET!A82</f>
        <v>5706</v>
      </c>
      <c r="B77" s="5">
        <f>+COEFyDISTR_FET!B82</f>
        <v>5605</v>
      </c>
      <c r="C77" t="str">
        <f>+COEFyDISTR_FET!C82</f>
        <v>SANTA MARÍA</v>
      </c>
      <c r="D77" s="31">
        <f>+COEFyDISTR_FET!D82</f>
        <v>1825928</v>
      </c>
      <c r="E77" s="31">
        <f>+COEFyDISTR_FET!E82</f>
        <v>3268942.0389999999</v>
      </c>
      <c r="F77" s="403">
        <f>+COEFyDISTR_FET!G82</f>
        <v>0.29499999999999998</v>
      </c>
      <c r="G77" s="403">
        <f>+COEFyDISTR_FET!H82</f>
        <v>0.64159999999999995</v>
      </c>
      <c r="H77" s="402" t="str">
        <f>IF(D77=0,$A$2,VLOOKUP(COUNTIF(F77,$F$1&amp;$F$2)&amp;COUNTIF(G77,$G$1&amp;$G$2),PARAMETROS!$K$26:$L$30,2,0))</f>
        <v>Entra por Criterio de Dependencia y Percentil</v>
      </c>
      <c r="I77" s="96">
        <f>+COEFyDISTR_FET!AA82</f>
        <v>2.1882466684499998E-3</v>
      </c>
      <c r="J77" s="97">
        <f t="shared" si="8"/>
        <v>5706</v>
      </c>
      <c r="K77" s="97">
        <f t="shared" si="9"/>
        <v>5605</v>
      </c>
      <c r="L77" t="str">
        <f t="shared" si="10"/>
        <v>SANTA MARÍA</v>
      </c>
      <c r="M77" t="str">
        <f t="shared" si="11"/>
        <v>Entra por Criterio de Dependencia y Percentil</v>
      </c>
      <c r="N77" s="97">
        <f t="shared" si="12"/>
        <v>5706</v>
      </c>
      <c r="O77" s="97">
        <f t="shared" si="13"/>
        <v>5605</v>
      </c>
      <c r="P77" t="str">
        <f t="shared" si="14"/>
        <v>SANTA MARÍA</v>
      </c>
      <c r="Q77" s="96">
        <f t="shared" si="15"/>
        <v>2.1882466684499998E-3</v>
      </c>
      <c r="R77" s="96"/>
      <c r="S77">
        <f>+COEFyDISTR_MINERO!A82</f>
        <v>5706</v>
      </c>
      <c r="T77">
        <f>+COEFyDISTR_MINERO!B82</f>
        <v>5605</v>
      </c>
      <c r="U77" t="str">
        <f>+COEFyDISTR_MINERO!C82</f>
        <v>SANTA MARÍA</v>
      </c>
      <c r="V77" s="96">
        <f>+COEFyDISTR_MINERO!X82</f>
        <v>0</v>
      </c>
      <c r="W77" s="6" t="str">
        <f>+COEFyDISTR_MINERO!D82</f>
        <v>No</v>
      </c>
      <c r="X77" s="96"/>
      <c r="Y77" s="96"/>
      <c r="Z77" s="1">
        <v>6105</v>
      </c>
      <c r="AA77" s="1">
        <v>6105</v>
      </c>
      <c r="AB77" s="1" t="str">
        <v>DOÑIHUE</v>
      </c>
      <c r="AC77" s="1" t="str">
        <v>Entra por Criterio de Dependencia y Percentil</v>
      </c>
      <c r="AF77" s="1">
        <v>6105</v>
      </c>
      <c r="AG77" s="1">
        <v>6105</v>
      </c>
      <c r="AH77" s="1" t="str">
        <v>DOÑIHUE</v>
      </c>
      <c r="AI77" s="405">
        <v>2.7218422761499999E-3</v>
      </c>
    </row>
    <row r="78" spans="1:35" ht="3" customHeight="1" x14ac:dyDescent="0.25">
      <c r="A78" s="5">
        <f>+COEFyDISTR_FET!A83</f>
        <v>5801</v>
      </c>
      <c r="B78" s="5">
        <f>+COEFyDISTR_FET!B83</f>
        <v>5304</v>
      </c>
      <c r="C78" t="str">
        <f>+COEFyDISTR_FET!C83</f>
        <v>QUILPUÉ</v>
      </c>
      <c r="D78" s="31">
        <f>+COEFyDISTR_FET!D83</f>
        <v>12449839</v>
      </c>
      <c r="E78" s="31">
        <f>+COEFyDISTR_FET!E83</f>
        <v>20762863.993000001</v>
      </c>
      <c r="F78" s="403">
        <f>+COEFyDISTR_FET!G83</f>
        <v>0.875</v>
      </c>
      <c r="G78" s="403">
        <f>+COEFyDISTR_FET!H83</f>
        <v>0.62509999999999999</v>
      </c>
      <c r="H78" s="402" t="str">
        <f>IF(D78=0,$A$2,VLOOKUP(COUNTIF(F78,$F$1&amp;$F$2)&amp;COUNTIF(G78,$G$1&amp;$G$2),PARAMETROS!$K$26:$L$30,2,0))</f>
        <v>Entra por Criterio de Dependencia</v>
      </c>
      <c r="I78" s="96">
        <f>+COEFyDISTR_FET!AA83</f>
        <v>9.8654261205500006E-3</v>
      </c>
      <c r="J78" s="97">
        <f t="shared" si="8"/>
        <v>5801</v>
      </c>
      <c r="K78" s="97">
        <f t="shared" si="9"/>
        <v>5304</v>
      </c>
      <c r="L78" t="str">
        <f t="shared" si="10"/>
        <v>QUILPUÉ</v>
      </c>
      <c r="M78" t="str">
        <f t="shared" si="11"/>
        <v>Entra por Criterio de Dependencia</v>
      </c>
      <c r="N78" s="97">
        <f t="shared" si="12"/>
        <v>5801</v>
      </c>
      <c r="O78" s="97">
        <f t="shared" si="13"/>
        <v>5304</v>
      </c>
      <c r="P78" t="str">
        <f t="shared" si="14"/>
        <v>QUILPUÉ</v>
      </c>
      <c r="Q78" s="96">
        <f t="shared" si="15"/>
        <v>9.8654261205500006E-3</v>
      </c>
      <c r="R78" s="96"/>
      <c r="S78">
        <f>+COEFyDISTR_MINERO!A83</f>
        <v>5801</v>
      </c>
      <c r="T78">
        <f>+COEFyDISTR_MINERO!B83</f>
        <v>5304</v>
      </c>
      <c r="U78" t="str">
        <f>+COEFyDISTR_MINERO!C83</f>
        <v>QUILPUÉ</v>
      </c>
      <c r="V78" s="96">
        <f>+COEFyDISTR_MINERO!X83</f>
        <v>0</v>
      </c>
      <c r="W78" s="6" t="str">
        <f>+COEFyDISTR_MINERO!D83</f>
        <v>No</v>
      </c>
      <c r="X78" s="96"/>
      <c r="Y78" s="96"/>
      <c r="Z78" s="1">
        <v>6106</v>
      </c>
      <c r="AA78" s="1">
        <v>6103</v>
      </c>
      <c r="AB78" s="1" t="str">
        <v>GRANEROS</v>
      </c>
      <c r="AC78" s="1" t="str">
        <v>Entra por Criterio de Dependencia y Percentil</v>
      </c>
      <c r="AF78" s="1">
        <v>6106</v>
      </c>
      <c r="AG78" s="1">
        <v>6103</v>
      </c>
      <c r="AH78" s="1" t="str">
        <v>GRANEROS</v>
      </c>
      <c r="AI78" s="405">
        <v>3.8774320739499999E-3</v>
      </c>
    </row>
    <row r="79" spans="1:35" ht="3" customHeight="1" x14ac:dyDescent="0.25">
      <c r="A79" s="5">
        <f>+COEFyDISTR_FET!A84</f>
        <v>5802</v>
      </c>
      <c r="B79" s="5">
        <f>+COEFyDISTR_FET!B84</f>
        <v>5506</v>
      </c>
      <c r="C79" t="str">
        <f>+COEFyDISTR_FET!C84</f>
        <v>LIMACHE</v>
      </c>
      <c r="D79" s="31">
        <f>+COEFyDISTR_FET!D84</f>
        <v>4232929</v>
      </c>
      <c r="E79" s="31">
        <f>+COEFyDISTR_FET!E84</f>
        <v>7922170.7010000004</v>
      </c>
      <c r="F79" s="403">
        <f>+COEFyDISTR_FET!G84</f>
        <v>0.65200000000000002</v>
      </c>
      <c r="G79" s="403">
        <f>+COEFyDISTR_FET!H84</f>
        <v>0.65180000000000005</v>
      </c>
      <c r="H79" s="402" t="str">
        <f>IF(D79=0,$A$2,VLOOKUP(COUNTIF(F79,$F$1&amp;$F$2)&amp;COUNTIF(G79,$G$1&amp;$G$2),PARAMETROS!$K$26:$L$30,2,0))</f>
        <v>Entra por Criterio de Dependencia y Percentil</v>
      </c>
      <c r="I79" s="96">
        <f>+COEFyDISTR_FET!AA84</f>
        <v>3.8493751603500001E-3</v>
      </c>
      <c r="J79" s="97">
        <f t="shared" si="8"/>
        <v>5802</v>
      </c>
      <c r="K79" s="97">
        <f t="shared" si="9"/>
        <v>5506</v>
      </c>
      <c r="L79" t="str">
        <f t="shared" si="10"/>
        <v>LIMACHE</v>
      </c>
      <c r="M79" t="str">
        <f t="shared" si="11"/>
        <v>Entra por Criterio de Dependencia y Percentil</v>
      </c>
      <c r="N79" s="97">
        <f t="shared" si="12"/>
        <v>5802</v>
      </c>
      <c r="O79" s="97">
        <f t="shared" si="13"/>
        <v>5506</v>
      </c>
      <c r="P79" t="str">
        <f t="shared" si="14"/>
        <v>LIMACHE</v>
      </c>
      <c r="Q79" s="96">
        <f t="shared" si="15"/>
        <v>3.8493751603500001E-3</v>
      </c>
      <c r="R79" s="96"/>
      <c r="S79">
        <f>+COEFyDISTR_MINERO!A84</f>
        <v>5802</v>
      </c>
      <c r="T79">
        <f>+COEFyDISTR_MINERO!B84</f>
        <v>5506</v>
      </c>
      <c r="U79" t="str">
        <f>+COEFyDISTR_MINERO!C84</f>
        <v>LIMACHE</v>
      </c>
      <c r="V79" s="96">
        <f>+COEFyDISTR_MINERO!X84</f>
        <v>0</v>
      </c>
      <c r="W79" s="6" t="str">
        <f>+COEFyDISTR_MINERO!D84</f>
        <v>No</v>
      </c>
      <c r="X79" s="96"/>
      <c r="Y79" s="96"/>
      <c r="Z79" s="1">
        <v>6107</v>
      </c>
      <c r="AA79" s="1">
        <v>6109</v>
      </c>
      <c r="AB79" s="1" t="str">
        <v>LAS CABRAS</v>
      </c>
      <c r="AC79" s="1" t="str">
        <v>Entra por Criterio de Percentil</v>
      </c>
      <c r="AF79" s="1">
        <v>6107</v>
      </c>
      <c r="AG79" s="1">
        <v>6109</v>
      </c>
      <c r="AH79" s="1" t="str">
        <v>LAS CABRAS</v>
      </c>
      <c r="AI79" s="405">
        <v>2.3186043255500003E-3</v>
      </c>
    </row>
    <row r="80" spans="1:35" ht="3" customHeight="1" x14ac:dyDescent="0.25">
      <c r="A80" s="5">
        <f>+COEFyDISTR_FET!A85</f>
        <v>5803</v>
      </c>
      <c r="B80" s="5">
        <f>+COEFyDISTR_FET!B85</f>
        <v>5507</v>
      </c>
      <c r="C80" t="str">
        <f>+COEFyDISTR_FET!C85</f>
        <v>OLMUÉ</v>
      </c>
      <c r="D80" s="31">
        <f>+COEFyDISTR_FET!D85</f>
        <v>2425150</v>
      </c>
      <c r="E80" s="31">
        <f>+COEFyDISTR_FET!E85</f>
        <v>3176285.8059999999</v>
      </c>
      <c r="F80" s="403">
        <f>+COEFyDISTR_FET!G85</f>
        <v>0.35599999999999998</v>
      </c>
      <c r="G80" s="403">
        <f>+COEFyDISTR_FET!H85</f>
        <v>0.56699999999999995</v>
      </c>
      <c r="H80" s="402" t="str">
        <f>IF(D80=0,$A$2,VLOOKUP(COUNTIF(F80,$F$1&amp;$F$2)&amp;COUNTIF(G80,$G$1&amp;$G$2),PARAMETROS!$K$26:$L$30,2,0))</f>
        <v>Entra por Criterio de Dependencia y Percentil</v>
      </c>
      <c r="I80" s="96">
        <f>+COEFyDISTR_FET!AA85</f>
        <v>2.0960420130500001E-3</v>
      </c>
      <c r="J80" s="97">
        <f t="shared" si="8"/>
        <v>5803</v>
      </c>
      <c r="K80" s="97">
        <f t="shared" si="9"/>
        <v>5507</v>
      </c>
      <c r="L80" t="str">
        <f t="shared" si="10"/>
        <v>OLMUÉ</v>
      </c>
      <c r="M80" t="str">
        <f t="shared" si="11"/>
        <v>Entra por Criterio de Dependencia y Percentil</v>
      </c>
      <c r="N80" s="97">
        <f t="shared" si="12"/>
        <v>5803</v>
      </c>
      <c r="O80" s="97">
        <f t="shared" si="13"/>
        <v>5507</v>
      </c>
      <c r="P80" t="str">
        <f t="shared" si="14"/>
        <v>OLMUÉ</v>
      </c>
      <c r="Q80" s="96">
        <f t="shared" si="15"/>
        <v>2.0960420130500001E-3</v>
      </c>
      <c r="R80" s="96"/>
      <c r="S80">
        <f>+COEFyDISTR_MINERO!A85</f>
        <v>5803</v>
      </c>
      <c r="T80">
        <f>+COEFyDISTR_MINERO!B85</f>
        <v>5507</v>
      </c>
      <c r="U80" t="str">
        <f>+COEFyDISTR_MINERO!C85</f>
        <v>OLMUÉ</v>
      </c>
      <c r="V80" s="96">
        <f>+COEFyDISTR_MINERO!X85</f>
        <v>0</v>
      </c>
      <c r="W80" s="6" t="str">
        <f>+COEFyDISTR_MINERO!D85</f>
        <v>No</v>
      </c>
      <c r="X80" s="96"/>
      <c r="Y80" s="96"/>
      <c r="Z80" s="1">
        <v>6108</v>
      </c>
      <c r="AA80" s="1">
        <v>6102</v>
      </c>
      <c r="AB80" s="1" t="str">
        <v>MACHALÍ</v>
      </c>
      <c r="AC80" s="1" t="str">
        <v>Entra por Criterio de Percentil</v>
      </c>
      <c r="AF80" s="1">
        <v>6108</v>
      </c>
      <c r="AG80" s="1">
        <v>6102</v>
      </c>
      <c r="AH80" s="1" t="str">
        <v>MACHALÍ</v>
      </c>
      <c r="AI80" s="405">
        <v>2.35451240945E-3</v>
      </c>
    </row>
    <row r="81" spans="1:35" ht="3" customHeight="1" x14ac:dyDescent="0.25">
      <c r="A81" s="5">
        <f>+COEFyDISTR_FET!A86</f>
        <v>5804</v>
      </c>
      <c r="B81" s="5">
        <f>+COEFyDISTR_FET!B86</f>
        <v>5303</v>
      </c>
      <c r="C81" t="str">
        <f>+COEFyDISTR_FET!C86</f>
        <v>VILLA ALEMANA</v>
      </c>
      <c r="D81" s="31">
        <f>+COEFyDISTR_FET!D86</f>
        <v>8770518</v>
      </c>
      <c r="E81" s="31">
        <f>+COEFyDISTR_FET!E86</f>
        <v>19654713.499000002</v>
      </c>
      <c r="F81" s="403">
        <f>+COEFyDISTR_FET!G86</f>
        <v>0.86299999999999999</v>
      </c>
      <c r="G81" s="403">
        <f>+COEFyDISTR_FET!H86</f>
        <v>0.6915</v>
      </c>
      <c r="H81" s="402" t="str">
        <f>IF(D81=0,$A$2,VLOOKUP(COUNTIF(F81,$F$1&amp;$F$2)&amp;COUNTIF(G81,$G$1&amp;$G$2),PARAMETROS!$K$26:$L$30,2,0))</f>
        <v>Entra por Criterio de Dependencia</v>
      </c>
      <c r="I81" s="96">
        <f>+COEFyDISTR_FET!AA86</f>
        <v>1.004722035125E-2</v>
      </c>
      <c r="J81" s="97">
        <f t="shared" si="8"/>
        <v>5804</v>
      </c>
      <c r="K81" s="97">
        <f t="shared" si="9"/>
        <v>5303</v>
      </c>
      <c r="L81" t="str">
        <f t="shared" si="10"/>
        <v>VILLA ALEMANA</v>
      </c>
      <c r="M81" t="str">
        <f t="shared" si="11"/>
        <v>Entra por Criterio de Dependencia</v>
      </c>
      <c r="N81" s="97">
        <f t="shared" si="12"/>
        <v>5804</v>
      </c>
      <c r="O81" s="97">
        <f t="shared" si="13"/>
        <v>5303</v>
      </c>
      <c r="P81" t="str">
        <f t="shared" si="14"/>
        <v>VILLA ALEMANA</v>
      </c>
      <c r="Q81" s="96">
        <f t="shared" si="15"/>
        <v>1.004722035125E-2</v>
      </c>
      <c r="R81" s="96"/>
      <c r="S81">
        <f>+COEFyDISTR_MINERO!A86</f>
        <v>5804</v>
      </c>
      <c r="T81">
        <f>+COEFyDISTR_MINERO!B86</f>
        <v>5303</v>
      </c>
      <c r="U81" t="str">
        <f>+COEFyDISTR_MINERO!C86</f>
        <v>VILLA ALEMANA</v>
      </c>
      <c r="V81" s="96">
        <f>+COEFyDISTR_MINERO!X86</f>
        <v>0</v>
      </c>
      <c r="W81" s="6" t="str">
        <f>+COEFyDISTR_MINERO!D86</f>
        <v>No</v>
      </c>
      <c r="X81" s="96"/>
      <c r="Y81" s="96"/>
      <c r="Z81" s="1">
        <v>6109</v>
      </c>
      <c r="AA81" s="1">
        <v>6115</v>
      </c>
      <c r="AB81" s="1" t="str">
        <v>MALLOA</v>
      </c>
      <c r="AC81" s="1" t="str">
        <v>Entra por Criterio de Dependencia y Percentil</v>
      </c>
      <c r="AF81" s="1">
        <v>6109</v>
      </c>
      <c r="AG81" s="1">
        <v>6115</v>
      </c>
      <c r="AH81" s="1" t="str">
        <v>MALLOA</v>
      </c>
      <c r="AI81" s="405">
        <v>2.2235090295499998E-3</v>
      </c>
    </row>
    <row r="82" spans="1:35" ht="3" customHeight="1" x14ac:dyDescent="0.25">
      <c r="A82" s="5">
        <f>+COEFyDISTR_FET!A87</f>
        <v>6101</v>
      </c>
      <c r="B82" s="5">
        <f>+COEFyDISTR_FET!B87</f>
        <v>6101</v>
      </c>
      <c r="C82" t="str">
        <f>+COEFyDISTR_FET!C87</f>
        <v>RANCAGUA</v>
      </c>
      <c r="D82" s="31">
        <f>+COEFyDISTR_FET!D87</f>
        <v>28899132</v>
      </c>
      <c r="E82" s="31">
        <f>+COEFyDISTR_FET!E87</f>
        <v>25943786.555</v>
      </c>
      <c r="F82" s="403">
        <f>+COEFyDISTR_FET!G87</f>
        <v>0.94399999999999995</v>
      </c>
      <c r="G82" s="403">
        <f>+COEFyDISTR_FET!H87</f>
        <v>0.47310000000000002</v>
      </c>
      <c r="H82" s="402" t="str">
        <f>IF(D82=0,$A$2,VLOOKUP(COUNTIF(F82,$F$1&amp;$F$2)&amp;COUNTIF(G82,$G$1&amp;$G$2),PARAMETROS!$K$26:$L$30,2,0))</f>
        <v>Sin Acceso</v>
      </c>
      <c r="I82" s="96">
        <f>+COEFyDISTR_FET!AA87</f>
        <v>0</v>
      </c>
      <c r="J82" s="97">
        <f t="shared" si="8"/>
        <v>6101</v>
      </c>
      <c r="K82" s="97">
        <f t="shared" si="9"/>
        <v>6101</v>
      </c>
      <c r="L82" t="str">
        <f t="shared" si="10"/>
        <v>RANCAGUA</v>
      </c>
      <c r="M82" t="str">
        <f t="shared" si="11"/>
        <v>Sin Acceso</v>
      </c>
      <c r="N82" s="97">
        <f t="shared" si="12"/>
        <v>6101</v>
      </c>
      <c r="O82" s="97">
        <f t="shared" si="13"/>
        <v>6101</v>
      </c>
      <c r="P82" t="str">
        <f t="shared" si="14"/>
        <v>RANCAGUA</v>
      </c>
      <c r="Q82" s="96">
        <f t="shared" si="15"/>
        <v>0</v>
      </c>
      <c r="R82" s="96"/>
      <c r="S82">
        <f>+COEFyDISTR_MINERO!A87</f>
        <v>6101</v>
      </c>
      <c r="T82">
        <f>+COEFyDISTR_MINERO!B87</f>
        <v>6101</v>
      </c>
      <c r="U82" t="str">
        <f>+COEFyDISTR_MINERO!C87</f>
        <v>RANCAGUA</v>
      </c>
      <c r="V82" s="96">
        <f>+COEFyDISTR_MINERO!X87</f>
        <v>4.7682431320279994E-2</v>
      </c>
      <c r="W82" s="6" t="str">
        <f>+COEFyDISTR_MINERO!D87</f>
        <v>SI</v>
      </c>
      <c r="X82" s="96"/>
      <c r="Y82" s="96"/>
      <c r="Z82" s="1">
        <v>6110</v>
      </c>
      <c r="AA82" s="1">
        <v>6104</v>
      </c>
      <c r="AB82" s="1" t="str">
        <v>MOSTAZAL</v>
      </c>
      <c r="AC82" s="1" t="str">
        <v>Entra por Criterio de Percentil</v>
      </c>
      <c r="AF82" s="1">
        <v>6110</v>
      </c>
      <c r="AG82" s="1">
        <v>6104</v>
      </c>
      <c r="AH82" s="1" t="str">
        <v>MOSTAZAL</v>
      </c>
      <c r="AI82" s="405">
        <v>2.2930491165499998E-3</v>
      </c>
    </row>
    <row r="83" spans="1:35" ht="3" customHeight="1" x14ac:dyDescent="0.25">
      <c r="A83" s="5">
        <f>+COEFyDISTR_FET!A88</f>
        <v>6102</v>
      </c>
      <c r="B83" s="5">
        <f>+COEFyDISTR_FET!B88</f>
        <v>6107</v>
      </c>
      <c r="C83" t="str">
        <f>+COEFyDISTR_FET!C88</f>
        <v>CODEGUA</v>
      </c>
      <c r="D83" s="31">
        <f>+COEFyDISTR_FET!D88</f>
        <v>1461512</v>
      </c>
      <c r="E83" s="31">
        <f>+COEFyDISTR_FET!E88</f>
        <v>2837060.2549999999</v>
      </c>
      <c r="F83" s="403">
        <f>+COEFyDISTR_FET!G88</f>
        <v>0.19700000000000001</v>
      </c>
      <c r="G83" s="403">
        <f>+COEFyDISTR_FET!H88</f>
        <v>0.66</v>
      </c>
      <c r="H83" s="402" t="str">
        <f>IF(D83=0,$A$2,VLOOKUP(COUNTIF(F83,$F$1&amp;$F$2)&amp;COUNTIF(G83,$G$1&amp;$G$2),PARAMETROS!$K$26:$L$30,2,0))</f>
        <v>Entra por Criterio de Dependencia y Percentil</v>
      </c>
      <c r="I83" s="96">
        <f>+COEFyDISTR_FET!AA88</f>
        <v>2.0157922044500001E-3</v>
      </c>
      <c r="J83" s="97">
        <f t="shared" si="8"/>
        <v>6102</v>
      </c>
      <c r="K83" s="97">
        <f t="shared" si="9"/>
        <v>6107</v>
      </c>
      <c r="L83" t="str">
        <f t="shared" si="10"/>
        <v>CODEGUA</v>
      </c>
      <c r="M83" t="str">
        <f t="shared" si="11"/>
        <v>Entra por Criterio de Dependencia y Percentil</v>
      </c>
      <c r="N83" s="97">
        <f t="shared" si="12"/>
        <v>6102</v>
      </c>
      <c r="O83" s="97">
        <f t="shared" si="13"/>
        <v>6107</v>
      </c>
      <c r="P83" t="str">
        <f t="shared" si="14"/>
        <v>CODEGUA</v>
      </c>
      <c r="Q83" s="96">
        <f t="shared" si="15"/>
        <v>2.0157922044500001E-3</v>
      </c>
      <c r="R83" s="96"/>
      <c r="S83">
        <f>+COEFyDISTR_MINERO!A88</f>
        <v>6102</v>
      </c>
      <c r="T83">
        <f>+COEFyDISTR_MINERO!B88</f>
        <v>6107</v>
      </c>
      <c r="U83" t="str">
        <f>+COEFyDISTR_MINERO!C88</f>
        <v>CODEGUA</v>
      </c>
      <c r="V83" s="96">
        <f>+COEFyDISTR_MINERO!X88</f>
        <v>0</v>
      </c>
      <c r="W83" s="6" t="str">
        <f>+COEFyDISTR_MINERO!D88</f>
        <v>No</v>
      </c>
      <c r="X83" s="96"/>
      <c r="Y83" s="96"/>
      <c r="Z83" s="1">
        <v>6111</v>
      </c>
      <c r="AA83" s="1">
        <v>6114</v>
      </c>
      <c r="AB83" s="1" t="str">
        <v>OLIVAR</v>
      </c>
      <c r="AC83" s="1" t="str">
        <v>Entra por Criterio de Dependencia y Percentil</v>
      </c>
      <c r="AF83" s="1">
        <v>6111</v>
      </c>
      <c r="AG83" s="1">
        <v>6114</v>
      </c>
      <c r="AH83" s="1" t="str">
        <v>OLIVAR</v>
      </c>
      <c r="AI83" s="405">
        <v>1.9469358564500002E-3</v>
      </c>
    </row>
    <row r="84" spans="1:35" ht="3" customHeight="1" x14ac:dyDescent="0.25">
      <c r="A84" s="5">
        <f>+COEFyDISTR_FET!A89</f>
        <v>6103</v>
      </c>
      <c r="B84" s="5">
        <f>+COEFyDISTR_FET!B89</f>
        <v>6116</v>
      </c>
      <c r="C84" t="str">
        <f>+COEFyDISTR_FET!C89</f>
        <v>COINCO</v>
      </c>
      <c r="D84" s="31">
        <f>+COEFyDISTR_FET!D89</f>
        <v>769599</v>
      </c>
      <c r="E84" s="31">
        <f>+COEFyDISTR_FET!E89</f>
        <v>2610967.3939999999</v>
      </c>
      <c r="F84" s="403">
        <f>+COEFyDISTR_FET!G89</f>
        <v>9.8000000000000004E-2</v>
      </c>
      <c r="G84" s="403">
        <f>+COEFyDISTR_FET!H89</f>
        <v>0.77229999999999999</v>
      </c>
      <c r="H84" s="402" t="str">
        <f>IF(D84=0,$A$2,VLOOKUP(COUNTIF(F84,$F$1&amp;$F$2)&amp;COUNTIF(G84,$G$1&amp;$G$2),PARAMETROS!$K$26:$L$30,2,0))</f>
        <v>Entra por Criterio de Dependencia y Percentil</v>
      </c>
      <c r="I84" s="96">
        <f>+COEFyDISTR_FET!AA89</f>
        <v>1.9924248851499998E-3</v>
      </c>
      <c r="J84" s="97">
        <f t="shared" si="8"/>
        <v>6103</v>
      </c>
      <c r="K84" s="97">
        <f t="shared" si="9"/>
        <v>6116</v>
      </c>
      <c r="L84" t="str">
        <f t="shared" si="10"/>
        <v>COINCO</v>
      </c>
      <c r="M84" t="str">
        <f t="shared" si="11"/>
        <v>Entra por Criterio de Dependencia y Percentil</v>
      </c>
      <c r="N84" s="97">
        <f t="shared" si="12"/>
        <v>6103</v>
      </c>
      <c r="O84" s="97">
        <f t="shared" si="13"/>
        <v>6116</v>
      </c>
      <c r="P84" t="str">
        <f t="shared" si="14"/>
        <v>COINCO</v>
      </c>
      <c r="Q84" s="96">
        <f t="shared" si="15"/>
        <v>1.9924248851499998E-3</v>
      </c>
      <c r="R84" s="96"/>
      <c r="S84">
        <f>+COEFyDISTR_MINERO!A89</f>
        <v>6103</v>
      </c>
      <c r="T84">
        <f>+COEFyDISTR_MINERO!B89</f>
        <v>6116</v>
      </c>
      <c r="U84" t="str">
        <f>+COEFyDISTR_MINERO!C89</f>
        <v>COINCO</v>
      </c>
      <c r="V84" s="96">
        <f>+COEFyDISTR_MINERO!X89</f>
        <v>0</v>
      </c>
      <c r="W84" s="6" t="str">
        <f>+COEFyDISTR_MINERO!D89</f>
        <v>No</v>
      </c>
      <c r="X84" s="96"/>
      <c r="Y84" s="96"/>
      <c r="Z84" s="1">
        <v>6112</v>
      </c>
      <c r="AA84" s="1">
        <v>6108</v>
      </c>
      <c r="AB84" s="1" t="str">
        <v>PEUMO</v>
      </c>
      <c r="AC84" s="1" t="str">
        <v>Entra por Criterio de Dependencia y Percentil</v>
      </c>
      <c r="AF84" s="1">
        <v>6112</v>
      </c>
      <c r="AG84" s="1">
        <v>6108</v>
      </c>
      <c r="AH84" s="1" t="str">
        <v>PEUMO</v>
      </c>
      <c r="AI84" s="405">
        <v>2.4673895025499998E-3</v>
      </c>
    </row>
    <row r="85" spans="1:35" ht="3" customHeight="1" x14ac:dyDescent="0.25">
      <c r="A85" s="5">
        <f>+COEFyDISTR_FET!A90</f>
        <v>6104</v>
      </c>
      <c r="B85" s="5">
        <f>+COEFyDISTR_FET!B90</f>
        <v>6106</v>
      </c>
      <c r="C85" t="str">
        <f>+COEFyDISTR_FET!C90</f>
        <v>COLTAUCO</v>
      </c>
      <c r="D85" s="31">
        <f>+COEFyDISTR_FET!D90</f>
        <v>1294862</v>
      </c>
      <c r="E85" s="31">
        <f>+COEFyDISTR_FET!E90</f>
        <v>4925661.6310000001</v>
      </c>
      <c r="F85" s="403">
        <f>+COEFyDISTR_FET!G90</f>
        <v>0.42</v>
      </c>
      <c r="G85" s="403">
        <f>+COEFyDISTR_FET!H90</f>
        <v>0.79179999999999995</v>
      </c>
      <c r="H85" s="402" t="str">
        <f>IF(D85=0,$A$2,VLOOKUP(COUNTIF(F85,$F$1&amp;$F$2)&amp;COUNTIF(G85,$G$1&amp;$G$2),PARAMETROS!$K$26:$L$30,2,0))</f>
        <v>Entra por Criterio de Dependencia y Percentil</v>
      </c>
      <c r="I85" s="96">
        <f>+COEFyDISTR_FET!AA90</f>
        <v>3.2355248415499999E-3</v>
      </c>
      <c r="J85" s="97">
        <f t="shared" si="8"/>
        <v>6104</v>
      </c>
      <c r="K85" s="97">
        <f t="shared" si="9"/>
        <v>6106</v>
      </c>
      <c r="L85" t="str">
        <f t="shared" si="10"/>
        <v>COLTAUCO</v>
      </c>
      <c r="M85" t="str">
        <f t="shared" si="11"/>
        <v>Entra por Criterio de Dependencia y Percentil</v>
      </c>
      <c r="N85" s="97">
        <f t="shared" si="12"/>
        <v>6104</v>
      </c>
      <c r="O85" s="97">
        <f t="shared" si="13"/>
        <v>6106</v>
      </c>
      <c r="P85" t="str">
        <f t="shared" si="14"/>
        <v>COLTAUCO</v>
      </c>
      <c r="Q85" s="96">
        <f t="shared" si="15"/>
        <v>3.2355248415499999E-3</v>
      </c>
      <c r="R85" s="96"/>
      <c r="S85">
        <f>+COEFyDISTR_MINERO!A90</f>
        <v>6104</v>
      </c>
      <c r="T85">
        <f>+COEFyDISTR_MINERO!B90</f>
        <v>6106</v>
      </c>
      <c r="U85" t="str">
        <f>+COEFyDISTR_MINERO!C90</f>
        <v>COLTAUCO</v>
      </c>
      <c r="V85" s="96">
        <f>+COEFyDISTR_MINERO!X90</f>
        <v>1.6858736666980002E-2</v>
      </c>
      <c r="W85" s="6" t="str">
        <f>+COEFyDISTR_MINERO!D90</f>
        <v>SI</v>
      </c>
      <c r="X85" s="96"/>
      <c r="Y85" s="96"/>
      <c r="Z85" s="1">
        <v>6113</v>
      </c>
      <c r="AA85" s="1">
        <v>6111</v>
      </c>
      <c r="AB85" s="1" t="str">
        <v>PICHIDEGUA</v>
      </c>
      <c r="AC85" s="1" t="str">
        <v>Entra por Criterio de Dependencia y Percentil</v>
      </c>
      <c r="AF85" s="1">
        <v>6113</v>
      </c>
      <c r="AG85" s="1">
        <v>6111</v>
      </c>
      <c r="AH85" s="1" t="str">
        <v>PICHIDEGUA</v>
      </c>
      <c r="AI85" s="405">
        <v>2.7670793975500003E-3</v>
      </c>
    </row>
    <row r="86" spans="1:35" ht="3" customHeight="1" x14ac:dyDescent="0.25">
      <c r="A86" s="5">
        <f>+COEFyDISTR_FET!A91</f>
        <v>6105</v>
      </c>
      <c r="B86" s="5">
        <f>+COEFyDISTR_FET!B91</f>
        <v>6105</v>
      </c>
      <c r="C86" t="str">
        <f>+COEFyDISTR_FET!C91</f>
        <v>DOÑIHUE</v>
      </c>
      <c r="D86" s="31">
        <f>+COEFyDISTR_FET!D91</f>
        <v>2035246</v>
      </c>
      <c r="E86" s="31">
        <f>+COEFyDISTR_FET!E91</f>
        <v>4231781.818</v>
      </c>
      <c r="F86" s="403">
        <f>+COEFyDISTR_FET!G91</f>
        <v>0.42799999999999999</v>
      </c>
      <c r="G86" s="403">
        <f>+COEFyDISTR_FET!H91</f>
        <v>0.67520000000000002</v>
      </c>
      <c r="H86" s="402" t="str">
        <f>IF(D86=0,$A$2,VLOOKUP(COUNTIF(F86,$F$1&amp;$F$2)&amp;COUNTIF(G86,$G$1&amp;$G$2),PARAMETROS!$K$26:$L$30,2,0))</f>
        <v>Entra por Criterio de Dependencia y Percentil</v>
      </c>
      <c r="I86" s="96">
        <f>+COEFyDISTR_FET!AA91</f>
        <v>2.7218422761499999E-3</v>
      </c>
      <c r="J86" s="97">
        <f t="shared" si="8"/>
        <v>6105</v>
      </c>
      <c r="K86" s="97">
        <f t="shared" si="9"/>
        <v>6105</v>
      </c>
      <c r="L86" t="str">
        <f t="shared" si="10"/>
        <v>DOÑIHUE</v>
      </c>
      <c r="M86" t="str">
        <f t="shared" si="11"/>
        <v>Entra por Criterio de Dependencia y Percentil</v>
      </c>
      <c r="N86" s="97">
        <f t="shared" si="12"/>
        <v>6105</v>
      </c>
      <c r="O86" s="97">
        <f t="shared" si="13"/>
        <v>6105</v>
      </c>
      <c r="P86" t="str">
        <f t="shared" si="14"/>
        <v>DOÑIHUE</v>
      </c>
      <c r="Q86" s="96">
        <f t="shared" si="15"/>
        <v>2.7218422761499999E-3</v>
      </c>
      <c r="R86" s="96"/>
      <c r="S86">
        <f>+COEFyDISTR_MINERO!A91</f>
        <v>6105</v>
      </c>
      <c r="T86">
        <f>+COEFyDISTR_MINERO!B91</f>
        <v>6105</v>
      </c>
      <c r="U86" t="str">
        <f>+COEFyDISTR_MINERO!C91</f>
        <v>DOÑIHUE</v>
      </c>
      <c r="V86" s="96">
        <f>+COEFyDISTR_MINERO!X91</f>
        <v>1.5952758654279999E-2</v>
      </c>
      <c r="W86" s="6" t="str">
        <f>+COEFyDISTR_MINERO!D91</f>
        <v>SI</v>
      </c>
      <c r="X86" s="96"/>
      <c r="Y86" s="96"/>
      <c r="Z86" s="1">
        <v>6114</v>
      </c>
      <c r="AA86" s="1">
        <v>6117</v>
      </c>
      <c r="AB86" s="1" t="str">
        <v>QUINTA DE TILCOCO</v>
      </c>
      <c r="AC86" s="1" t="str">
        <v>Entra por Criterio de Dependencia y Percentil</v>
      </c>
      <c r="AF86" s="1">
        <v>6114</v>
      </c>
      <c r="AG86" s="1">
        <v>6117</v>
      </c>
      <c r="AH86" s="1" t="str">
        <v>QUINTA DE TILCOCO</v>
      </c>
      <c r="AI86" s="405">
        <v>2.1786514256499998E-3</v>
      </c>
    </row>
    <row r="87" spans="1:35" ht="3" customHeight="1" x14ac:dyDescent="0.25">
      <c r="A87" s="5">
        <f>+COEFyDISTR_FET!A92</f>
        <v>6106</v>
      </c>
      <c r="B87" s="5">
        <f>+COEFyDISTR_FET!B92</f>
        <v>6103</v>
      </c>
      <c r="C87" t="str">
        <f>+COEFyDISTR_FET!C92</f>
        <v>GRANEROS</v>
      </c>
      <c r="D87" s="31">
        <f>+COEFyDISTR_FET!D92</f>
        <v>2254649</v>
      </c>
      <c r="E87" s="31">
        <f>+COEFyDISTR_FET!E92</f>
        <v>5804282.3810000001</v>
      </c>
      <c r="F87" s="403">
        <f>+COEFyDISTR_FET!G92</f>
        <v>0.50700000000000001</v>
      </c>
      <c r="G87" s="403">
        <f>+COEFyDISTR_FET!H92</f>
        <v>0.72019999999999995</v>
      </c>
      <c r="H87" s="402" t="str">
        <f>IF(D87=0,$A$2,VLOOKUP(COUNTIF(F87,$F$1&amp;$F$2)&amp;COUNTIF(G87,$G$1&amp;$G$2),PARAMETROS!$K$26:$L$30,2,0))</f>
        <v>Entra por Criterio de Dependencia y Percentil</v>
      </c>
      <c r="I87" s="96">
        <f>+COEFyDISTR_FET!AA92</f>
        <v>3.8774320739499999E-3</v>
      </c>
      <c r="J87" s="97">
        <f t="shared" si="8"/>
        <v>6106</v>
      </c>
      <c r="K87" s="97">
        <f t="shared" si="9"/>
        <v>6103</v>
      </c>
      <c r="L87" t="str">
        <f t="shared" si="10"/>
        <v>GRANEROS</v>
      </c>
      <c r="M87" t="str">
        <f t="shared" si="11"/>
        <v>Entra por Criterio de Dependencia y Percentil</v>
      </c>
      <c r="N87" s="97">
        <f t="shared" si="12"/>
        <v>6106</v>
      </c>
      <c r="O87" s="97">
        <f t="shared" si="13"/>
        <v>6103</v>
      </c>
      <c r="P87" t="str">
        <f t="shared" si="14"/>
        <v>GRANEROS</v>
      </c>
      <c r="Q87" s="96">
        <f t="shared" si="15"/>
        <v>3.8774320739499999E-3</v>
      </c>
      <c r="R87" s="96"/>
      <c r="S87">
        <f>+COEFyDISTR_MINERO!A92</f>
        <v>6106</v>
      </c>
      <c r="T87">
        <f>+COEFyDISTR_MINERO!B92</f>
        <v>6103</v>
      </c>
      <c r="U87" t="str">
        <f>+COEFyDISTR_MINERO!C92</f>
        <v>GRANEROS</v>
      </c>
      <c r="V87" s="96">
        <f>+COEFyDISTR_MINERO!X92</f>
        <v>0</v>
      </c>
      <c r="W87" s="6" t="str">
        <f>+COEFyDISTR_MINERO!D92</f>
        <v>No</v>
      </c>
      <c r="X87" s="96"/>
      <c r="Y87" s="96"/>
      <c r="Z87" s="1">
        <v>6115</v>
      </c>
      <c r="AA87" s="1">
        <v>6112</v>
      </c>
      <c r="AB87" s="1" t="str">
        <v>RENGO</v>
      </c>
      <c r="AC87" s="1" t="str">
        <v>Entra por Criterio de Dependencia y Percentil</v>
      </c>
      <c r="AF87" s="1">
        <v>6115</v>
      </c>
      <c r="AG87" s="1">
        <v>6112</v>
      </c>
      <c r="AH87" s="1" t="str">
        <v>RENGO</v>
      </c>
      <c r="AI87" s="405">
        <v>4.1361159025500001E-3</v>
      </c>
    </row>
    <row r="88" spans="1:35" ht="3" customHeight="1" x14ac:dyDescent="0.25">
      <c r="A88" s="5">
        <f>+COEFyDISTR_FET!A93</f>
        <v>6107</v>
      </c>
      <c r="B88" s="5">
        <f>+COEFyDISTR_FET!B93</f>
        <v>6109</v>
      </c>
      <c r="C88" t="str">
        <f>+COEFyDISTR_FET!C93</f>
        <v>LAS CABRAS</v>
      </c>
      <c r="D88" s="31">
        <f>+COEFyDISTR_FET!D93</f>
        <v>5441723</v>
      </c>
      <c r="E88" s="31">
        <f>+COEFyDISTR_FET!E93</f>
        <v>3151169.3569999998</v>
      </c>
      <c r="F88" s="403">
        <f>+COEFyDISTR_FET!G93</f>
        <v>0.53300000000000003</v>
      </c>
      <c r="G88" s="403">
        <f>+COEFyDISTR_FET!H93</f>
        <v>0.36670000000000003</v>
      </c>
      <c r="H88" s="402" t="str">
        <f>IF(D88=0,$A$2,VLOOKUP(COUNTIF(F88,$F$1&amp;$F$2)&amp;COUNTIF(G88,$G$1&amp;$G$2),PARAMETROS!$K$26:$L$30,2,0))</f>
        <v>Entra por Criterio de Percentil</v>
      </c>
      <c r="I88" s="96">
        <f>+COEFyDISTR_FET!AA93</f>
        <v>2.3186043255500003E-3</v>
      </c>
      <c r="J88" s="97">
        <f t="shared" si="8"/>
        <v>6107</v>
      </c>
      <c r="K88" s="97">
        <f t="shared" si="9"/>
        <v>6109</v>
      </c>
      <c r="L88" t="str">
        <f t="shared" si="10"/>
        <v>LAS CABRAS</v>
      </c>
      <c r="M88" t="str">
        <f t="shared" si="11"/>
        <v>Entra por Criterio de Percentil</v>
      </c>
      <c r="N88" s="97">
        <f t="shared" si="12"/>
        <v>6107</v>
      </c>
      <c r="O88" s="97">
        <f t="shared" si="13"/>
        <v>6109</v>
      </c>
      <c r="P88" t="str">
        <f t="shared" si="14"/>
        <v>LAS CABRAS</v>
      </c>
      <c r="Q88" s="96">
        <f t="shared" si="15"/>
        <v>2.3186043255500003E-3</v>
      </c>
      <c r="R88" s="96"/>
      <c r="S88">
        <f>+COEFyDISTR_MINERO!A93</f>
        <v>6107</v>
      </c>
      <c r="T88">
        <f>+COEFyDISTR_MINERO!B93</f>
        <v>6109</v>
      </c>
      <c r="U88" t="str">
        <f>+COEFyDISTR_MINERO!C93</f>
        <v>LAS CABRAS</v>
      </c>
      <c r="V88" s="96">
        <f>+COEFyDISTR_MINERO!X93</f>
        <v>0</v>
      </c>
      <c r="W88" s="6" t="str">
        <f>+COEFyDISTR_MINERO!D93</f>
        <v>No</v>
      </c>
      <c r="X88" s="96"/>
      <c r="Y88" s="96"/>
      <c r="Z88" s="1">
        <v>6116</v>
      </c>
      <c r="AA88" s="1">
        <v>6113</v>
      </c>
      <c r="AB88" s="1" t="str">
        <v>REQUÍNOA</v>
      </c>
      <c r="AC88" s="1" t="str">
        <v>Entra por Criterio de Percentil</v>
      </c>
      <c r="AF88" s="1">
        <v>6116</v>
      </c>
      <c r="AG88" s="1">
        <v>6113</v>
      </c>
      <c r="AH88" s="1" t="str">
        <v>REQUÍNOA</v>
      </c>
      <c r="AI88" s="405">
        <v>2.1374198061500003E-3</v>
      </c>
    </row>
    <row r="89" spans="1:35" ht="3" customHeight="1" x14ac:dyDescent="0.25">
      <c r="A89" s="5">
        <f>+COEFyDISTR_FET!A94</f>
        <v>6108</v>
      </c>
      <c r="B89" s="5">
        <f>+COEFyDISTR_FET!B94</f>
        <v>6102</v>
      </c>
      <c r="C89" t="str">
        <f>+COEFyDISTR_FET!C94</f>
        <v>MACHALÍ</v>
      </c>
      <c r="D89" s="31">
        <f>+COEFyDISTR_FET!D94</f>
        <v>9017577</v>
      </c>
      <c r="E89" s="31">
        <f>+COEFyDISTR_FET!E94</f>
        <v>3358081.4339999999</v>
      </c>
      <c r="F89" s="403">
        <f>+COEFyDISTR_FET!G94</f>
        <v>0.65500000000000003</v>
      </c>
      <c r="G89" s="403">
        <f>+COEFyDISTR_FET!H94</f>
        <v>0.27129999999999999</v>
      </c>
      <c r="H89" s="402" t="str">
        <f>IF(D89=0,$A$2,VLOOKUP(COUNTIF(F89,$F$1&amp;$F$2)&amp;COUNTIF(G89,$G$1&amp;$G$2),PARAMETROS!$K$26:$L$30,2,0))</f>
        <v>Entra por Criterio de Percentil</v>
      </c>
      <c r="I89" s="96">
        <f>+COEFyDISTR_FET!AA94</f>
        <v>2.35451240945E-3</v>
      </c>
      <c r="J89" s="97">
        <f t="shared" si="8"/>
        <v>6108</v>
      </c>
      <c r="K89" s="97">
        <f t="shared" si="9"/>
        <v>6102</v>
      </c>
      <c r="L89" t="str">
        <f t="shared" si="10"/>
        <v>MACHALÍ</v>
      </c>
      <c r="M89" t="str">
        <f t="shared" si="11"/>
        <v>Entra por Criterio de Percentil</v>
      </c>
      <c r="N89" s="97">
        <f t="shared" si="12"/>
        <v>6108</v>
      </c>
      <c r="O89" s="97">
        <f t="shared" si="13"/>
        <v>6102</v>
      </c>
      <c r="P89" t="str">
        <f t="shared" si="14"/>
        <v>MACHALÍ</v>
      </c>
      <c r="Q89" s="96">
        <f t="shared" si="15"/>
        <v>2.35451240945E-3</v>
      </c>
      <c r="R89" s="96"/>
      <c r="S89">
        <f>+COEFyDISTR_MINERO!A94</f>
        <v>6108</v>
      </c>
      <c r="T89">
        <f>+COEFyDISTR_MINERO!B94</f>
        <v>6102</v>
      </c>
      <c r="U89" t="str">
        <f>+COEFyDISTR_MINERO!C94</f>
        <v>MACHALÍ</v>
      </c>
      <c r="V89" s="96">
        <f>+COEFyDISTR_MINERO!X94</f>
        <v>2.7150470962379998E-2</v>
      </c>
      <c r="W89" s="6" t="str">
        <f>+COEFyDISTR_MINERO!D94</f>
        <v>SI</v>
      </c>
      <c r="X89" s="96"/>
      <c r="Y89" s="96"/>
      <c r="Z89" s="1">
        <v>6117</v>
      </c>
      <c r="AA89" s="1">
        <v>6110</v>
      </c>
      <c r="AB89" s="1" t="str">
        <v>SAN VICENTE</v>
      </c>
      <c r="AC89" s="1" t="str">
        <v>Entra por Criterio de Dependencia y Percentil</v>
      </c>
      <c r="AF89" s="1">
        <v>6117</v>
      </c>
      <c r="AG89" s="1">
        <v>6110</v>
      </c>
      <c r="AH89" s="1" t="str">
        <v>SAN VICENTE</v>
      </c>
      <c r="AI89" s="405">
        <v>4.0556132344499998E-3</v>
      </c>
    </row>
    <row r="90" spans="1:35" ht="3" customHeight="1" x14ac:dyDescent="0.25">
      <c r="A90" s="5">
        <f>+COEFyDISTR_FET!A95</f>
        <v>6109</v>
      </c>
      <c r="B90" s="5">
        <f>+COEFyDISTR_FET!B95</f>
        <v>6115</v>
      </c>
      <c r="C90" t="str">
        <f>+COEFyDISTR_FET!C95</f>
        <v>MALLOA</v>
      </c>
      <c r="D90" s="31">
        <f>+COEFyDISTR_FET!D95</f>
        <v>1406581</v>
      </c>
      <c r="E90" s="31">
        <f>+COEFyDISTR_FET!E95</f>
        <v>3733020.54</v>
      </c>
      <c r="F90" s="403">
        <f>+COEFyDISTR_FET!G95</f>
        <v>0.30399999999999999</v>
      </c>
      <c r="G90" s="403">
        <f>+COEFyDISTR_FET!H95</f>
        <v>0.72629999999999995</v>
      </c>
      <c r="H90" s="402" t="str">
        <f>IF(D90=0,$A$2,VLOOKUP(COUNTIF(F90,$F$1&amp;$F$2)&amp;COUNTIF(G90,$G$1&amp;$G$2),PARAMETROS!$K$26:$L$30,2,0))</f>
        <v>Entra por Criterio de Dependencia y Percentil</v>
      </c>
      <c r="I90" s="96">
        <f>+COEFyDISTR_FET!AA95</f>
        <v>2.2235090295499998E-3</v>
      </c>
      <c r="J90" s="97">
        <f t="shared" si="8"/>
        <v>6109</v>
      </c>
      <c r="K90" s="97">
        <f t="shared" si="9"/>
        <v>6115</v>
      </c>
      <c r="L90" t="str">
        <f t="shared" si="10"/>
        <v>MALLOA</v>
      </c>
      <c r="M90" t="str">
        <f t="shared" si="11"/>
        <v>Entra por Criterio de Dependencia y Percentil</v>
      </c>
      <c r="N90" s="97">
        <f t="shared" si="12"/>
        <v>6109</v>
      </c>
      <c r="O90" s="97">
        <f t="shared" si="13"/>
        <v>6115</v>
      </c>
      <c r="P90" t="str">
        <f t="shared" si="14"/>
        <v>MALLOA</v>
      </c>
      <c r="Q90" s="96">
        <f t="shared" si="15"/>
        <v>2.2235090295499998E-3</v>
      </c>
      <c r="R90" s="96"/>
      <c r="S90">
        <f>+COEFyDISTR_MINERO!A95</f>
        <v>6109</v>
      </c>
      <c r="T90">
        <f>+COEFyDISTR_MINERO!B95</f>
        <v>6115</v>
      </c>
      <c r="U90" t="str">
        <f>+COEFyDISTR_MINERO!C95</f>
        <v>MALLOA</v>
      </c>
      <c r="V90" s="96">
        <f>+COEFyDISTR_MINERO!X95</f>
        <v>0</v>
      </c>
      <c r="W90" s="6" t="str">
        <f>+COEFyDISTR_MINERO!D95</f>
        <v>No</v>
      </c>
      <c r="X90" s="96"/>
      <c r="Y90" s="96"/>
      <c r="Z90" s="1">
        <v>6201</v>
      </c>
      <c r="AA90" s="1">
        <v>6301</v>
      </c>
      <c r="AB90" s="1" t="str">
        <v>PICHILEMU</v>
      </c>
      <c r="AC90" s="1" t="str">
        <v>Entra por Criterio de Dependencia y Percentil</v>
      </c>
      <c r="AF90" s="1">
        <v>6201</v>
      </c>
      <c r="AG90" s="1">
        <v>6301</v>
      </c>
      <c r="AH90" s="1" t="str">
        <v>PICHILEMU</v>
      </c>
      <c r="AI90" s="405">
        <v>2.2618211997500002E-3</v>
      </c>
    </row>
    <row r="91" spans="1:35" ht="3" customHeight="1" x14ac:dyDescent="0.25">
      <c r="A91" s="5">
        <f>+COEFyDISTR_FET!A96</f>
        <v>6110</v>
      </c>
      <c r="B91" s="5">
        <f>+COEFyDISTR_FET!B96</f>
        <v>6104</v>
      </c>
      <c r="C91" t="str">
        <f>+COEFyDISTR_FET!C96</f>
        <v>MOSTAZAL</v>
      </c>
      <c r="D91" s="31">
        <f>+COEFyDISTR_FET!D96</f>
        <v>15221392</v>
      </c>
      <c r="E91" s="31">
        <f>+COEFyDISTR_FET!E96</f>
        <v>3227871.952</v>
      </c>
      <c r="F91" s="403">
        <f>+COEFyDISTR_FET!G96</f>
        <v>0.76800000000000002</v>
      </c>
      <c r="G91" s="403">
        <f>+COEFyDISTR_FET!H96</f>
        <v>0.17499999999999999</v>
      </c>
      <c r="H91" s="402" t="str">
        <f>IF(D91=0,$A$2,VLOOKUP(COUNTIF(F91,$F$1&amp;$F$2)&amp;COUNTIF(G91,$G$1&amp;$G$2),PARAMETROS!$K$26:$L$30,2,0))</f>
        <v>Entra por Criterio de Percentil</v>
      </c>
      <c r="I91" s="96">
        <f>+COEFyDISTR_FET!AA96</f>
        <v>2.2930491165499998E-3</v>
      </c>
      <c r="J91" s="97">
        <f t="shared" si="8"/>
        <v>6110</v>
      </c>
      <c r="K91" s="97">
        <f t="shared" si="9"/>
        <v>6104</v>
      </c>
      <c r="L91" t="str">
        <f t="shared" si="10"/>
        <v>MOSTAZAL</v>
      </c>
      <c r="M91" t="str">
        <f t="shared" si="11"/>
        <v>Entra por Criterio de Percentil</v>
      </c>
      <c r="N91" s="97">
        <f t="shared" si="12"/>
        <v>6110</v>
      </c>
      <c r="O91" s="97">
        <f t="shared" si="13"/>
        <v>6104</v>
      </c>
      <c r="P91" t="str">
        <f t="shared" si="14"/>
        <v>MOSTAZAL</v>
      </c>
      <c r="Q91" s="96">
        <f t="shared" si="15"/>
        <v>2.2930491165499998E-3</v>
      </c>
      <c r="R91" s="96"/>
      <c r="S91">
        <f>+COEFyDISTR_MINERO!A96</f>
        <v>6110</v>
      </c>
      <c r="T91">
        <f>+COEFyDISTR_MINERO!B96</f>
        <v>6104</v>
      </c>
      <c r="U91" t="str">
        <f>+COEFyDISTR_MINERO!C96</f>
        <v>MOSTAZAL</v>
      </c>
      <c r="V91" s="96">
        <f>+COEFyDISTR_MINERO!X96</f>
        <v>0</v>
      </c>
      <c r="W91" s="6" t="str">
        <f>+COEFyDISTR_MINERO!D96</f>
        <v>No</v>
      </c>
      <c r="X91" s="96"/>
      <c r="Y91" s="96"/>
      <c r="Z91" s="1">
        <v>6202</v>
      </c>
      <c r="AA91" s="1">
        <v>6304</v>
      </c>
      <c r="AB91" s="1" t="str">
        <v>LA ESTRELLA</v>
      </c>
      <c r="AC91" s="1" t="str">
        <v>Entra por Criterio de Dependencia y Percentil</v>
      </c>
      <c r="AF91" s="1">
        <v>6202</v>
      </c>
      <c r="AG91" s="1">
        <v>6304</v>
      </c>
      <c r="AH91" s="1" t="str">
        <v>LA ESTRELLA</v>
      </c>
      <c r="AI91" s="405">
        <v>1.7462955833500002E-3</v>
      </c>
    </row>
    <row r="92" spans="1:35" ht="3" customHeight="1" x14ac:dyDescent="0.25">
      <c r="A92" s="5">
        <f>+COEFyDISTR_FET!A97</f>
        <v>6111</v>
      </c>
      <c r="B92" s="5">
        <f>+COEFyDISTR_FET!B97</f>
        <v>6114</v>
      </c>
      <c r="C92" t="str">
        <f>+COEFyDISTR_FET!C97</f>
        <v>OLIVAR</v>
      </c>
      <c r="D92" s="31">
        <f>+COEFyDISTR_FET!D97</f>
        <v>2095848</v>
      </c>
      <c r="E92" s="31">
        <f>+COEFyDISTR_FET!E97</f>
        <v>2469516.7119999998</v>
      </c>
      <c r="F92" s="403">
        <f>+COEFyDISTR_FET!G97</f>
        <v>0.22800000000000001</v>
      </c>
      <c r="G92" s="403">
        <f>+COEFyDISTR_FET!H97</f>
        <v>0.54090000000000005</v>
      </c>
      <c r="H92" s="402" t="str">
        <f>IF(D92=0,$A$2,VLOOKUP(COUNTIF(F92,$F$1&amp;$F$2)&amp;COUNTIF(G92,$G$1&amp;$G$2),PARAMETROS!$K$26:$L$30,2,0))</f>
        <v>Entra por Criterio de Dependencia y Percentil</v>
      </c>
      <c r="I92" s="96">
        <f>+COEFyDISTR_FET!AA97</f>
        <v>1.9469358564500002E-3</v>
      </c>
      <c r="J92" s="97">
        <f t="shared" si="8"/>
        <v>6111</v>
      </c>
      <c r="K92" s="97">
        <f t="shared" si="9"/>
        <v>6114</v>
      </c>
      <c r="L92" t="str">
        <f t="shared" si="10"/>
        <v>OLIVAR</v>
      </c>
      <c r="M92" t="str">
        <f t="shared" si="11"/>
        <v>Entra por Criterio de Dependencia y Percentil</v>
      </c>
      <c r="N92" s="97">
        <f t="shared" si="12"/>
        <v>6111</v>
      </c>
      <c r="O92" s="97">
        <f t="shared" si="13"/>
        <v>6114</v>
      </c>
      <c r="P92" t="str">
        <f t="shared" si="14"/>
        <v>OLIVAR</v>
      </c>
      <c r="Q92" s="96">
        <f t="shared" si="15"/>
        <v>1.9469358564500002E-3</v>
      </c>
      <c r="R92" s="96"/>
      <c r="S92">
        <f>+COEFyDISTR_MINERO!A97</f>
        <v>6111</v>
      </c>
      <c r="T92">
        <f>+COEFyDISTR_MINERO!B97</f>
        <v>6114</v>
      </c>
      <c r="U92" t="str">
        <f>+COEFyDISTR_MINERO!C97</f>
        <v>OLIVAR</v>
      </c>
      <c r="V92" s="96">
        <f>+COEFyDISTR_MINERO!X97</f>
        <v>0</v>
      </c>
      <c r="W92" s="6" t="str">
        <f>+COEFyDISTR_MINERO!D97</f>
        <v>No</v>
      </c>
      <c r="X92" s="96"/>
      <c r="Y92" s="96"/>
      <c r="Z92" s="1">
        <v>6203</v>
      </c>
      <c r="AA92" s="1">
        <v>6303</v>
      </c>
      <c r="AB92" s="1" t="str">
        <v>LITUECHE</v>
      </c>
      <c r="AC92" s="1" t="str">
        <v>Entra por Criterio de Dependencia y Percentil</v>
      </c>
      <c r="AF92" s="1">
        <v>6203</v>
      </c>
      <c r="AG92" s="1">
        <v>6303</v>
      </c>
      <c r="AH92" s="1" t="str">
        <v>LITUECHE</v>
      </c>
      <c r="AI92" s="405">
        <v>1.8141197498500001E-3</v>
      </c>
    </row>
    <row r="93" spans="1:35" ht="3" customHeight="1" x14ac:dyDescent="0.25">
      <c r="A93" s="5">
        <f>+COEFyDISTR_FET!A98</f>
        <v>6112</v>
      </c>
      <c r="B93" s="5">
        <f>+COEFyDISTR_FET!B98</f>
        <v>6108</v>
      </c>
      <c r="C93" t="str">
        <f>+COEFyDISTR_FET!C98</f>
        <v>PEUMO</v>
      </c>
      <c r="D93" s="31">
        <f>+COEFyDISTR_FET!D98</f>
        <v>1053133</v>
      </c>
      <c r="E93" s="31">
        <f>+COEFyDISTR_FET!E98</f>
        <v>3174526.7740000002</v>
      </c>
      <c r="F93" s="403">
        <f>+COEFyDISTR_FET!G98</f>
        <v>0.185</v>
      </c>
      <c r="G93" s="403">
        <f>+COEFyDISTR_FET!H98</f>
        <v>0.75090000000000001</v>
      </c>
      <c r="H93" s="402" t="str">
        <f>IF(D93=0,$A$2,VLOOKUP(COUNTIF(F93,$F$1&amp;$F$2)&amp;COUNTIF(G93,$G$1&amp;$G$2),PARAMETROS!$K$26:$L$30,2,0))</f>
        <v>Entra por Criterio de Dependencia y Percentil</v>
      </c>
      <c r="I93" s="96">
        <f>+COEFyDISTR_FET!AA98</f>
        <v>2.4673895025499998E-3</v>
      </c>
      <c r="J93" s="97">
        <f t="shared" si="8"/>
        <v>6112</v>
      </c>
      <c r="K93" s="97">
        <f t="shared" si="9"/>
        <v>6108</v>
      </c>
      <c r="L93" t="str">
        <f t="shared" si="10"/>
        <v>PEUMO</v>
      </c>
      <c r="M93" t="str">
        <f t="shared" si="11"/>
        <v>Entra por Criterio de Dependencia y Percentil</v>
      </c>
      <c r="N93" s="97">
        <f t="shared" si="12"/>
        <v>6112</v>
      </c>
      <c r="O93" s="97">
        <f t="shared" si="13"/>
        <v>6108</v>
      </c>
      <c r="P93" t="str">
        <f t="shared" si="14"/>
        <v>PEUMO</v>
      </c>
      <c r="Q93" s="96">
        <f t="shared" si="15"/>
        <v>2.4673895025499998E-3</v>
      </c>
      <c r="R93" s="96"/>
      <c r="S93">
        <f>+COEFyDISTR_MINERO!A98</f>
        <v>6112</v>
      </c>
      <c r="T93">
        <f>+COEFyDISTR_MINERO!B98</f>
        <v>6108</v>
      </c>
      <c r="U93" t="str">
        <f>+COEFyDISTR_MINERO!C98</f>
        <v>PEUMO</v>
      </c>
      <c r="V93" s="96">
        <f>+COEFyDISTR_MINERO!X98</f>
        <v>0</v>
      </c>
      <c r="W93" s="6" t="str">
        <f>+COEFyDISTR_MINERO!D98</f>
        <v>No</v>
      </c>
      <c r="X93" s="96"/>
      <c r="Y93" s="96"/>
      <c r="Z93" s="1">
        <v>6204</v>
      </c>
      <c r="AA93" s="1">
        <v>6305</v>
      </c>
      <c r="AB93" s="1" t="str">
        <v>MARCHIHUE</v>
      </c>
      <c r="AC93" s="1" t="str">
        <v>Entra por Criterio de Percentil</v>
      </c>
      <c r="AF93" s="1">
        <v>6204</v>
      </c>
      <c r="AG93" s="1">
        <v>6305</v>
      </c>
      <c r="AH93" s="1" t="str">
        <v>MARCHIHUE</v>
      </c>
      <c r="AI93" s="405">
        <v>1.8682332391500001E-3</v>
      </c>
    </row>
    <row r="94" spans="1:35" ht="3" customHeight="1" x14ac:dyDescent="0.25">
      <c r="A94" s="5">
        <f>+COEFyDISTR_FET!A99</f>
        <v>6113</v>
      </c>
      <c r="B94" s="5">
        <f>+COEFyDISTR_FET!B99</f>
        <v>6111</v>
      </c>
      <c r="C94" t="str">
        <f>+COEFyDISTR_FET!C99</f>
        <v>PICHIDEGUA</v>
      </c>
      <c r="D94" s="31">
        <f>+COEFyDISTR_FET!D99</f>
        <v>1721510</v>
      </c>
      <c r="E94" s="31">
        <f>+COEFyDISTR_FET!E99</f>
        <v>4049753.0260000001</v>
      </c>
      <c r="F94" s="403">
        <f>+COEFyDISTR_FET!G99</f>
        <v>0.371</v>
      </c>
      <c r="G94" s="403">
        <f>+COEFyDISTR_FET!H99</f>
        <v>0.70169999999999999</v>
      </c>
      <c r="H94" s="402" t="str">
        <f>IF(D94=0,$A$2,VLOOKUP(COUNTIF(F94,$F$1&amp;$F$2)&amp;COUNTIF(G94,$G$1&amp;$G$2),PARAMETROS!$K$26:$L$30,2,0))</f>
        <v>Entra por Criterio de Dependencia y Percentil</v>
      </c>
      <c r="I94" s="96">
        <f>+COEFyDISTR_FET!AA99</f>
        <v>2.7670793975500003E-3</v>
      </c>
      <c r="J94" s="97">
        <f t="shared" si="8"/>
        <v>6113</v>
      </c>
      <c r="K94" s="97">
        <f t="shared" si="9"/>
        <v>6111</v>
      </c>
      <c r="L94" t="str">
        <f t="shared" si="10"/>
        <v>PICHIDEGUA</v>
      </c>
      <c r="M94" t="str">
        <f t="shared" si="11"/>
        <v>Entra por Criterio de Dependencia y Percentil</v>
      </c>
      <c r="N94" s="97">
        <f t="shared" si="12"/>
        <v>6113</v>
      </c>
      <c r="O94" s="97">
        <f t="shared" si="13"/>
        <v>6111</v>
      </c>
      <c r="P94" t="str">
        <f t="shared" si="14"/>
        <v>PICHIDEGUA</v>
      </c>
      <c r="Q94" s="96">
        <f t="shared" si="15"/>
        <v>2.7670793975500003E-3</v>
      </c>
      <c r="R94" s="96"/>
      <c r="S94">
        <f>+COEFyDISTR_MINERO!A99</f>
        <v>6113</v>
      </c>
      <c r="T94">
        <f>+COEFyDISTR_MINERO!B99</f>
        <v>6111</v>
      </c>
      <c r="U94" t="str">
        <f>+COEFyDISTR_MINERO!C99</f>
        <v>PICHIDEGUA</v>
      </c>
      <c r="V94" s="96">
        <f>+COEFyDISTR_MINERO!X99</f>
        <v>0</v>
      </c>
      <c r="W94" s="6" t="str">
        <f>+COEFyDISTR_MINERO!D99</f>
        <v>No</v>
      </c>
      <c r="X94" s="96"/>
      <c r="Y94" s="96"/>
      <c r="Z94" s="1">
        <v>6205</v>
      </c>
      <c r="AA94" s="1">
        <v>6302</v>
      </c>
      <c r="AB94" s="1" t="str">
        <v>NAVIDAD</v>
      </c>
      <c r="AC94" s="1" t="str">
        <v>Entra por Criterio de Dependencia y Percentil</v>
      </c>
      <c r="AF94" s="1">
        <v>6205</v>
      </c>
      <c r="AG94" s="1">
        <v>6302</v>
      </c>
      <c r="AH94" s="1" t="str">
        <v>NAVIDAD</v>
      </c>
      <c r="AI94" s="405">
        <v>2.0022672798500002E-3</v>
      </c>
    </row>
    <row r="95" spans="1:35" ht="3" customHeight="1" x14ac:dyDescent="0.25">
      <c r="A95" s="5">
        <f>+COEFyDISTR_FET!A100</f>
        <v>6114</v>
      </c>
      <c r="B95" s="5">
        <f>+COEFyDISTR_FET!B100</f>
        <v>6117</v>
      </c>
      <c r="C95" t="str">
        <f>+COEFyDISTR_FET!C100</f>
        <v>QUINTA DE TILCOCO</v>
      </c>
      <c r="D95" s="31">
        <f>+COEFyDISTR_FET!D100</f>
        <v>1422715</v>
      </c>
      <c r="E95" s="31">
        <f>+COEFyDISTR_FET!E100</f>
        <v>3274724.5410000002</v>
      </c>
      <c r="F95" s="403">
        <f>+COEFyDISTR_FET!G100</f>
        <v>0.23699999999999999</v>
      </c>
      <c r="G95" s="403">
        <f>+COEFyDISTR_FET!H100</f>
        <v>0.69710000000000005</v>
      </c>
      <c r="H95" s="402" t="str">
        <f>IF(D95=0,$A$2,VLOOKUP(COUNTIF(F95,$F$1&amp;$F$2)&amp;COUNTIF(G95,$G$1&amp;$G$2),PARAMETROS!$K$26:$L$30,2,0))</f>
        <v>Entra por Criterio de Dependencia y Percentil</v>
      </c>
      <c r="I95" s="96">
        <f>+COEFyDISTR_FET!AA100</f>
        <v>2.1786514256499998E-3</v>
      </c>
      <c r="J95" s="97">
        <f t="shared" si="8"/>
        <v>6114</v>
      </c>
      <c r="K95" s="97">
        <f t="shared" si="9"/>
        <v>6117</v>
      </c>
      <c r="L95" t="str">
        <f t="shared" si="10"/>
        <v>QUINTA DE TILCOCO</v>
      </c>
      <c r="M95" t="str">
        <f t="shared" si="11"/>
        <v>Entra por Criterio de Dependencia y Percentil</v>
      </c>
      <c r="N95" s="97">
        <f t="shared" si="12"/>
        <v>6114</v>
      </c>
      <c r="O95" s="97">
        <f t="shared" si="13"/>
        <v>6117</v>
      </c>
      <c r="P95" t="str">
        <f t="shared" si="14"/>
        <v>QUINTA DE TILCOCO</v>
      </c>
      <c r="Q95" s="96">
        <f t="shared" si="15"/>
        <v>2.1786514256499998E-3</v>
      </c>
      <c r="R95" s="96"/>
      <c r="S95">
        <f>+COEFyDISTR_MINERO!A100</f>
        <v>6114</v>
      </c>
      <c r="T95">
        <f>+COEFyDISTR_MINERO!B100</f>
        <v>6117</v>
      </c>
      <c r="U95" t="str">
        <f>+COEFyDISTR_MINERO!C100</f>
        <v>QUINTA DE TILCOCO</v>
      </c>
      <c r="V95" s="96">
        <f>+COEFyDISTR_MINERO!X100</f>
        <v>0</v>
      </c>
      <c r="W95" s="6" t="str">
        <f>+COEFyDISTR_MINERO!D100</f>
        <v>No</v>
      </c>
      <c r="X95" s="96"/>
      <c r="Y95" s="96"/>
      <c r="Z95" s="1">
        <v>6206</v>
      </c>
      <c r="AA95" s="1">
        <v>6306</v>
      </c>
      <c r="AB95" s="1" t="str">
        <v>PAREDONES</v>
      </c>
      <c r="AC95" s="1" t="str">
        <v>Entra por Criterio de Dependencia y Percentil</v>
      </c>
      <c r="AF95" s="1">
        <v>6206</v>
      </c>
      <c r="AG95" s="1">
        <v>6306</v>
      </c>
      <c r="AH95" s="1" t="str">
        <v>PAREDONES</v>
      </c>
      <c r="AI95" s="405">
        <v>1.96794967135E-3</v>
      </c>
    </row>
    <row r="96" spans="1:35" ht="3" customHeight="1" x14ac:dyDescent="0.25">
      <c r="A96" s="5">
        <f>+COEFyDISTR_FET!A101</f>
        <v>6115</v>
      </c>
      <c r="B96" s="5">
        <f>+COEFyDISTR_FET!B101</f>
        <v>6112</v>
      </c>
      <c r="C96" t="str">
        <f>+COEFyDISTR_FET!C101</f>
        <v>RENGO</v>
      </c>
      <c r="D96" s="31">
        <f>+COEFyDISTR_FET!D101</f>
        <v>6155098</v>
      </c>
      <c r="E96" s="31">
        <f>+COEFyDISTR_FET!E101</f>
        <v>9633603.1559999995</v>
      </c>
      <c r="F96" s="403">
        <f>+COEFyDISTR_FET!G101</f>
        <v>0.71799999999999997</v>
      </c>
      <c r="G96" s="403">
        <f>+COEFyDISTR_FET!H101</f>
        <v>0.61019999999999996</v>
      </c>
      <c r="H96" s="402" t="str">
        <f>IF(D96=0,$A$2,VLOOKUP(COUNTIF(F96,$F$1&amp;$F$2)&amp;COUNTIF(G96,$G$1&amp;$G$2),PARAMETROS!$K$26:$L$30,2,0))</f>
        <v>Entra por Criterio de Dependencia y Percentil</v>
      </c>
      <c r="I96" s="96">
        <f>+COEFyDISTR_FET!AA101</f>
        <v>4.1361159025500001E-3</v>
      </c>
      <c r="J96" s="97">
        <f t="shared" si="8"/>
        <v>6115</v>
      </c>
      <c r="K96" s="97">
        <f t="shared" si="9"/>
        <v>6112</v>
      </c>
      <c r="L96" t="str">
        <f t="shared" si="10"/>
        <v>RENGO</v>
      </c>
      <c r="M96" t="str">
        <f t="shared" si="11"/>
        <v>Entra por Criterio de Dependencia y Percentil</v>
      </c>
      <c r="N96" s="97">
        <f t="shared" si="12"/>
        <v>6115</v>
      </c>
      <c r="O96" s="97">
        <f t="shared" si="13"/>
        <v>6112</v>
      </c>
      <c r="P96" t="str">
        <f t="shared" si="14"/>
        <v>RENGO</v>
      </c>
      <c r="Q96" s="96">
        <f t="shared" si="15"/>
        <v>4.1361159025500001E-3</v>
      </c>
      <c r="R96" s="96"/>
      <c r="S96">
        <f>+COEFyDISTR_MINERO!A101</f>
        <v>6115</v>
      </c>
      <c r="T96">
        <f>+COEFyDISTR_MINERO!B101</f>
        <v>6112</v>
      </c>
      <c r="U96" t="str">
        <f>+COEFyDISTR_MINERO!C101</f>
        <v>RENGO</v>
      </c>
      <c r="V96" s="96">
        <f>+COEFyDISTR_MINERO!X101</f>
        <v>0</v>
      </c>
      <c r="W96" s="6" t="str">
        <f>+COEFyDISTR_MINERO!D101</f>
        <v>No</v>
      </c>
      <c r="X96" s="96"/>
      <c r="Y96" s="96"/>
      <c r="Z96" s="1">
        <v>6301</v>
      </c>
      <c r="AA96" s="1">
        <v>6201</v>
      </c>
      <c r="AB96" s="1" t="str">
        <v>SAN FERNANDO</v>
      </c>
      <c r="AC96" s="1" t="str">
        <v>Entra por Criterio de Percentil</v>
      </c>
      <c r="AF96" s="1">
        <v>6301</v>
      </c>
      <c r="AG96" s="1">
        <v>6201</v>
      </c>
      <c r="AH96" s="1" t="str">
        <v>SAN FERNANDO</v>
      </c>
      <c r="AI96" s="405">
        <v>3.8676545868499999E-3</v>
      </c>
    </row>
    <row r="97" spans="1:35" ht="3" customHeight="1" x14ac:dyDescent="0.25">
      <c r="A97" s="5">
        <f>+COEFyDISTR_FET!A102</f>
        <v>6116</v>
      </c>
      <c r="B97" s="5">
        <f>+COEFyDISTR_FET!B102</f>
        <v>6113</v>
      </c>
      <c r="C97" t="str">
        <f>+COEFyDISTR_FET!C102</f>
        <v>REQUÍNOA</v>
      </c>
      <c r="D97" s="31">
        <f>+COEFyDISTR_FET!D102</f>
        <v>5868811</v>
      </c>
      <c r="E97" s="31">
        <f>+COEFyDISTR_FET!E102</f>
        <v>3022901.5970000001</v>
      </c>
      <c r="F97" s="403">
        <f>+COEFyDISTR_FET!G102</f>
        <v>0.54700000000000004</v>
      </c>
      <c r="G97" s="403">
        <f>+COEFyDISTR_FET!H102</f>
        <v>0.34</v>
      </c>
      <c r="H97" s="402" t="str">
        <f>IF(D97=0,$A$2,VLOOKUP(COUNTIF(F97,$F$1&amp;$F$2)&amp;COUNTIF(G97,$G$1&amp;$G$2),PARAMETROS!$K$26:$L$30,2,0))</f>
        <v>Entra por Criterio de Percentil</v>
      </c>
      <c r="I97" s="96">
        <f>+COEFyDISTR_FET!AA102</f>
        <v>2.1374198061500003E-3</v>
      </c>
      <c r="J97" s="97">
        <f t="shared" si="8"/>
        <v>6116</v>
      </c>
      <c r="K97" s="97">
        <f t="shared" si="9"/>
        <v>6113</v>
      </c>
      <c r="L97" t="str">
        <f t="shared" si="10"/>
        <v>REQUÍNOA</v>
      </c>
      <c r="M97" t="str">
        <f t="shared" si="11"/>
        <v>Entra por Criterio de Percentil</v>
      </c>
      <c r="N97" s="97">
        <f t="shared" si="12"/>
        <v>6116</v>
      </c>
      <c r="O97" s="97">
        <f t="shared" si="13"/>
        <v>6113</v>
      </c>
      <c r="P97" t="str">
        <f t="shared" si="14"/>
        <v>REQUÍNOA</v>
      </c>
      <c r="Q97" s="96">
        <f t="shared" si="15"/>
        <v>2.1374198061500003E-3</v>
      </c>
      <c r="R97" s="96"/>
      <c r="S97">
        <f>+COEFyDISTR_MINERO!A102</f>
        <v>6116</v>
      </c>
      <c r="T97">
        <f>+COEFyDISTR_MINERO!B102</f>
        <v>6113</v>
      </c>
      <c r="U97" t="str">
        <f>+COEFyDISTR_MINERO!C102</f>
        <v>REQUÍNOA</v>
      </c>
      <c r="V97" s="96">
        <f>+COEFyDISTR_MINERO!X102</f>
        <v>1.3953562731480001E-2</v>
      </c>
      <c r="W97" s="6" t="str">
        <f>+COEFyDISTR_MINERO!D102</f>
        <v>SI</v>
      </c>
      <c r="X97" s="96"/>
      <c r="Y97" s="96"/>
      <c r="Z97" s="1">
        <v>6302</v>
      </c>
      <c r="AA97" s="1">
        <v>6209</v>
      </c>
      <c r="AB97" s="1" t="str">
        <v>CHÉPICA</v>
      </c>
      <c r="AC97" s="1" t="str">
        <v>Entra por Criterio de Dependencia y Percentil</v>
      </c>
      <c r="AF97" s="1">
        <v>6302</v>
      </c>
      <c r="AG97" s="1">
        <v>6209</v>
      </c>
      <c r="AH97" s="1" t="str">
        <v>CHÉPICA</v>
      </c>
      <c r="AI97" s="405">
        <v>2.70998351075E-3</v>
      </c>
    </row>
    <row r="98" spans="1:35" ht="3" customHeight="1" x14ac:dyDescent="0.25">
      <c r="A98" s="5">
        <f>+COEFyDISTR_FET!A103</f>
        <v>6117</v>
      </c>
      <c r="B98" s="5">
        <f>+COEFyDISTR_FET!B103</f>
        <v>6110</v>
      </c>
      <c r="C98" t="str">
        <f>+COEFyDISTR_FET!C103</f>
        <v>SAN VICENTE</v>
      </c>
      <c r="D98" s="31">
        <f>+COEFyDISTR_FET!D103</f>
        <v>4449991</v>
      </c>
      <c r="E98" s="31">
        <f>+COEFyDISTR_FET!E103</f>
        <v>9152729.1329999994</v>
      </c>
      <c r="F98" s="403">
        <f>+COEFyDISTR_FET!G103</f>
        <v>0.69499999999999995</v>
      </c>
      <c r="G98" s="403">
        <f>+COEFyDISTR_FET!H103</f>
        <v>0.67290000000000005</v>
      </c>
      <c r="H98" s="402" t="str">
        <f>IF(D98=0,$A$2,VLOOKUP(COUNTIF(F98,$F$1&amp;$F$2)&amp;COUNTIF(G98,$G$1&amp;$G$2),PARAMETROS!$K$26:$L$30,2,0))</f>
        <v>Entra por Criterio de Dependencia y Percentil</v>
      </c>
      <c r="I98" s="96">
        <f>+COEFyDISTR_FET!AA103</f>
        <v>4.0556132344499998E-3</v>
      </c>
      <c r="J98" s="97">
        <f t="shared" si="8"/>
        <v>6117</v>
      </c>
      <c r="K98" s="97">
        <f t="shared" si="9"/>
        <v>6110</v>
      </c>
      <c r="L98" t="str">
        <f t="shared" si="10"/>
        <v>SAN VICENTE</v>
      </c>
      <c r="M98" t="str">
        <f t="shared" si="11"/>
        <v>Entra por Criterio de Dependencia y Percentil</v>
      </c>
      <c r="N98" s="97">
        <f t="shared" si="12"/>
        <v>6117</v>
      </c>
      <c r="O98" s="97">
        <f t="shared" si="13"/>
        <v>6110</v>
      </c>
      <c r="P98" t="str">
        <f t="shared" si="14"/>
        <v>SAN VICENTE</v>
      </c>
      <c r="Q98" s="96">
        <f t="shared" si="15"/>
        <v>4.0556132344499998E-3</v>
      </c>
      <c r="R98" s="96"/>
      <c r="S98">
        <f>+COEFyDISTR_MINERO!A103</f>
        <v>6117</v>
      </c>
      <c r="T98">
        <f>+COEFyDISTR_MINERO!B103</f>
        <v>6110</v>
      </c>
      <c r="U98" t="str">
        <f>+COEFyDISTR_MINERO!C103</f>
        <v>SAN VICENTE</v>
      </c>
      <c r="V98" s="96">
        <f>+COEFyDISTR_MINERO!X103</f>
        <v>0</v>
      </c>
      <c r="W98" s="6" t="str">
        <f>+COEFyDISTR_MINERO!D103</f>
        <v>No</v>
      </c>
      <c r="X98" s="96"/>
      <c r="Y98" s="96"/>
      <c r="Z98" s="1">
        <v>6303</v>
      </c>
      <c r="AA98" s="1">
        <v>6202</v>
      </c>
      <c r="AB98" s="1" t="str">
        <v>CHIMBARONGO</v>
      </c>
      <c r="AC98" s="1" t="str">
        <v>Entra por Criterio de Dependencia y Percentil</v>
      </c>
      <c r="AF98" s="1">
        <v>6303</v>
      </c>
      <c r="AG98" s="1">
        <v>6202</v>
      </c>
      <c r="AH98" s="1" t="str">
        <v>CHIMBARONGO</v>
      </c>
      <c r="AI98" s="405">
        <v>3.4659386149500006E-3</v>
      </c>
    </row>
    <row r="99" spans="1:35" ht="3" customHeight="1" x14ac:dyDescent="0.25">
      <c r="A99" s="5">
        <f>+COEFyDISTR_FET!A104</f>
        <v>6201</v>
      </c>
      <c r="B99" s="5">
        <f>+COEFyDISTR_FET!B104</f>
        <v>6301</v>
      </c>
      <c r="C99" t="str">
        <f>+COEFyDISTR_FET!C104</f>
        <v>PICHILEMU</v>
      </c>
      <c r="D99" s="31">
        <f>+COEFyDISTR_FET!D104</f>
        <v>4139521</v>
      </c>
      <c r="E99" s="31">
        <f>+COEFyDISTR_FET!E104</f>
        <v>12220532.187000001</v>
      </c>
      <c r="F99" s="403">
        <f>+COEFyDISTR_FET!G104</f>
        <v>0.73599999999999999</v>
      </c>
      <c r="G99" s="403">
        <f>+COEFyDISTR_FET!H104</f>
        <v>0.747</v>
      </c>
      <c r="H99" s="402" t="str">
        <f>IF(D99=0,$A$2,VLOOKUP(COUNTIF(F99,$F$1&amp;$F$2)&amp;COUNTIF(G99,$G$1&amp;$G$2),PARAMETROS!$K$26:$L$30,2,0))</f>
        <v>Entra por Criterio de Dependencia y Percentil</v>
      </c>
      <c r="I99" s="96">
        <f>+COEFyDISTR_FET!AA104</f>
        <v>2.2618211997500002E-3</v>
      </c>
      <c r="J99" s="97">
        <f t="shared" si="8"/>
        <v>6201</v>
      </c>
      <c r="K99" s="97">
        <f t="shared" si="9"/>
        <v>6301</v>
      </c>
      <c r="L99" t="str">
        <f t="shared" si="10"/>
        <v>PICHILEMU</v>
      </c>
      <c r="M99" t="str">
        <f t="shared" si="11"/>
        <v>Entra por Criterio de Dependencia y Percentil</v>
      </c>
      <c r="N99" s="97">
        <f t="shared" si="12"/>
        <v>6201</v>
      </c>
      <c r="O99" s="97">
        <f t="shared" si="13"/>
        <v>6301</v>
      </c>
      <c r="P99" t="str">
        <f t="shared" si="14"/>
        <v>PICHILEMU</v>
      </c>
      <c r="Q99" s="96">
        <f t="shared" si="15"/>
        <v>2.2618211997500002E-3</v>
      </c>
      <c r="R99" s="96"/>
      <c r="S99">
        <f>+COEFyDISTR_MINERO!A104</f>
        <v>6201</v>
      </c>
      <c r="T99">
        <f>+COEFyDISTR_MINERO!B104</f>
        <v>6301</v>
      </c>
      <c r="U99" t="str">
        <f>+COEFyDISTR_MINERO!C104</f>
        <v>PICHILEMU</v>
      </c>
      <c r="V99" s="96">
        <f>+COEFyDISTR_MINERO!X104</f>
        <v>0</v>
      </c>
      <c r="W99" s="6" t="str">
        <f>+COEFyDISTR_MINERO!D104</f>
        <v>No</v>
      </c>
      <c r="X99" s="96"/>
      <c r="Y99" s="96"/>
      <c r="Z99" s="1">
        <v>6304</v>
      </c>
      <c r="AA99" s="1">
        <v>6206</v>
      </c>
      <c r="AB99" s="1" t="str">
        <v>LOLOL</v>
      </c>
      <c r="AC99" s="1" t="str">
        <v>Entra por Criterio de Dependencia y Percentil</v>
      </c>
      <c r="AF99" s="1">
        <v>6304</v>
      </c>
      <c r="AG99" s="1">
        <v>6206</v>
      </c>
      <c r="AH99" s="1" t="str">
        <v>LOLOL</v>
      </c>
      <c r="AI99" s="405">
        <v>1.9513908837500002E-3</v>
      </c>
    </row>
    <row r="100" spans="1:35" ht="3" customHeight="1" x14ac:dyDescent="0.25">
      <c r="A100" s="5">
        <f>+COEFyDISTR_FET!A105</f>
        <v>6202</v>
      </c>
      <c r="B100" s="5">
        <f>+COEFyDISTR_FET!B105</f>
        <v>6304</v>
      </c>
      <c r="C100" t="str">
        <f>+COEFyDISTR_FET!C105</f>
        <v>LA ESTRELLA</v>
      </c>
      <c r="D100" s="31">
        <f>+COEFyDISTR_FET!D105</f>
        <v>1938792</v>
      </c>
      <c r="E100" s="31">
        <f>+COEFyDISTR_FET!E105</f>
        <v>1961592.7039999999</v>
      </c>
      <c r="F100" s="403">
        <f>+COEFyDISTR_FET!G105</f>
        <v>0.13900000000000001</v>
      </c>
      <c r="G100" s="403">
        <f>+COEFyDISTR_FET!H105</f>
        <v>0.50290000000000001</v>
      </c>
      <c r="H100" s="402" t="str">
        <f>IF(D100=0,$A$2,VLOOKUP(COUNTIF(F100,$F$1&amp;$F$2)&amp;COUNTIF(G100,$G$1&amp;$G$2),PARAMETROS!$K$26:$L$30,2,0))</f>
        <v>Entra por Criterio de Dependencia y Percentil</v>
      </c>
      <c r="I100" s="96">
        <f>+COEFyDISTR_FET!AA105</f>
        <v>1.7462955833500002E-3</v>
      </c>
      <c r="J100" s="97">
        <f t="shared" si="8"/>
        <v>6202</v>
      </c>
      <c r="K100" s="97">
        <f t="shared" si="9"/>
        <v>6304</v>
      </c>
      <c r="L100" t="str">
        <f t="shared" si="10"/>
        <v>LA ESTRELLA</v>
      </c>
      <c r="M100" t="str">
        <f t="shared" si="11"/>
        <v>Entra por Criterio de Dependencia y Percentil</v>
      </c>
      <c r="N100" s="97">
        <f t="shared" si="12"/>
        <v>6202</v>
      </c>
      <c r="O100" s="97">
        <f t="shared" si="13"/>
        <v>6304</v>
      </c>
      <c r="P100" t="str">
        <f t="shared" si="14"/>
        <v>LA ESTRELLA</v>
      </c>
      <c r="Q100" s="96">
        <f t="shared" si="15"/>
        <v>1.7462955833500002E-3</v>
      </c>
      <c r="R100" s="96"/>
      <c r="S100">
        <f>+COEFyDISTR_MINERO!A105</f>
        <v>6202</v>
      </c>
      <c r="T100">
        <f>+COEFyDISTR_MINERO!B105</f>
        <v>6304</v>
      </c>
      <c r="U100" t="str">
        <f>+COEFyDISTR_MINERO!C105</f>
        <v>LA ESTRELLA</v>
      </c>
      <c r="V100" s="96">
        <f>+COEFyDISTR_MINERO!X105</f>
        <v>0</v>
      </c>
      <c r="W100" s="6" t="str">
        <f>+COEFyDISTR_MINERO!D105</f>
        <v>No</v>
      </c>
      <c r="X100" s="96"/>
      <c r="Y100" s="96"/>
      <c r="Z100" s="1">
        <v>6305</v>
      </c>
      <c r="AA100" s="1">
        <v>6203</v>
      </c>
      <c r="AB100" s="1" t="str">
        <v>NANCAGUA</v>
      </c>
      <c r="AC100" s="1" t="str">
        <v>Entra por Criterio de Dependencia y Percentil</v>
      </c>
      <c r="AF100" s="1">
        <v>6305</v>
      </c>
      <c r="AG100" s="1">
        <v>6203</v>
      </c>
      <c r="AH100" s="1" t="str">
        <v>NANCAGUA</v>
      </c>
      <c r="AI100" s="405">
        <v>2.2540908946500002E-3</v>
      </c>
    </row>
    <row r="101" spans="1:35" ht="3" customHeight="1" x14ac:dyDescent="0.25">
      <c r="A101" s="5">
        <f>+COEFyDISTR_FET!A106</f>
        <v>6203</v>
      </c>
      <c r="B101" s="5">
        <f>+COEFyDISTR_FET!B106</f>
        <v>6303</v>
      </c>
      <c r="C101" t="str">
        <f>+COEFyDISTR_FET!C106</f>
        <v>LITUECHE</v>
      </c>
      <c r="D101" s="31">
        <f>+COEFyDISTR_FET!D106</f>
        <v>1755022</v>
      </c>
      <c r="E101" s="31">
        <f>+COEFyDISTR_FET!E106</f>
        <v>2117657.821</v>
      </c>
      <c r="F101" s="403">
        <f>+COEFyDISTR_FET!G106</f>
        <v>0.13600000000000001</v>
      </c>
      <c r="G101" s="403">
        <f>+COEFyDISTR_FET!H106</f>
        <v>0.54679999999999995</v>
      </c>
      <c r="H101" s="402" t="str">
        <f>IF(D101=0,$A$2,VLOOKUP(COUNTIF(F101,$F$1&amp;$F$2)&amp;COUNTIF(G101,$G$1&amp;$G$2),PARAMETROS!$K$26:$L$30,2,0))</f>
        <v>Entra por Criterio de Dependencia y Percentil</v>
      </c>
      <c r="I101" s="96">
        <f>+COEFyDISTR_FET!AA106</f>
        <v>1.8141197498500001E-3</v>
      </c>
      <c r="J101" s="97">
        <f t="shared" si="8"/>
        <v>6203</v>
      </c>
      <c r="K101" s="97">
        <f t="shared" si="9"/>
        <v>6303</v>
      </c>
      <c r="L101" t="str">
        <f t="shared" si="10"/>
        <v>LITUECHE</v>
      </c>
      <c r="M101" t="str">
        <f t="shared" si="11"/>
        <v>Entra por Criterio de Dependencia y Percentil</v>
      </c>
      <c r="N101" s="97">
        <f t="shared" si="12"/>
        <v>6203</v>
      </c>
      <c r="O101" s="97">
        <f t="shared" si="13"/>
        <v>6303</v>
      </c>
      <c r="P101" t="str">
        <f t="shared" si="14"/>
        <v>LITUECHE</v>
      </c>
      <c r="Q101" s="96">
        <f t="shared" si="15"/>
        <v>1.8141197498500001E-3</v>
      </c>
      <c r="R101" s="96"/>
      <c r="S101">
        <f>+COEFyDISTR_MINERO!A106</f>
        <v>6203</v>
      </c>
      <c r="T101">
        <f>+COEFyDISTR_MINERO!B106</f>
        <v>6303</v>
      </c>
      <c r="U101" t="str">
        <f>+COEFyDISTR_MINERO!C106</f>
        <v>LITUECHE</v>
      </c>
      <c r="V101" s="96">
        <f>+COEFyDISTR_MINERO!X106</f>
        <v>9.3292509281799989E-3</v>
      </c>
      <c r="W101" s="6" t="str">
        <f>+COEFyDISTR_MINERO!D106</f>
        <v>SI</v>
      </c>
      <c r="X101" s="96"/>
      <c r="Y101" s="96"/>
      <c r="Z101" s="1">
        <v>6306</v>
      </c>
      <c r="AA101" s="1">
        <v>6207</v>
      </c>
      <c r="AB101" s="1" t="str">
        <v>PALMILLA</v>
      </c>
      <c r="AC101" s="1" t="str">
        <v>Entra por Criterio de Dependencia y Percentil</v>
      </c>
      <c r="AF101" s="1">
        <v>6306</v>
      </c>
      <c r="AG101" s="1">
        <v>6207</v>
      </c>
      <c r="AH101" s="1" t="str">
        <v>PALMILLA</v>
      </c>
      <c r="AI101" s="405">
        <v>2.0062992251499998E-3</v>
      </c>
    </row>
    <row r="102" spans="1:35" ht="3" customHeight="1" x14ac:dyDescent="0.25">
      <c r="A102" s="5">
        <f>+COEFyDISTR_FET!A107</f>
        <v>6204</v>
      </c>
      <c r="B102" s="5">
        <f>+COEFyDISTR_FET!B107</f>
        <v>6305</v>
      </c>
      <c r="C102" t="str">
        <f>+COEFyDISTR_FET!C107</f>
        <v>MARCHIHUE</v>
      </c>
      <c r="D102" s="31">
        <f>+COEFyDISTR_FET!D107</f>
        <v>3667983</v>
      </c>
      <c r="E102" s="31">
        <f>+COEFyDISTR_FET!E107</f>
        <v>2246527.7220000001</v>
      </c>
      <c r="F102" s="403">
        <f>+COEFyDISTR_FET!G107</f>
        <v>0.39100000000000001</v>
      </c>
      <c r="G102" s="403">
        <f>+COEFyDISTR_FET!H107</f>
        <v>0.37980000000000003</v>
      </c>
      <c r="H102" s="402" t="str">
        <f>IF(D102=0,$A$2,VLOOKUP(COUNTIF(F102,$F$1&amp;$F$2)&amp;COUNTIF(G102,$G$1&amp;$G$2),PARAMETROS!$K$26:$L$30,2,0))</f>
        <v>Entra por Criterio de Percentil</v>
      </c>
      <c r="I102" s="96">
        <f>+COEFyDISTR_FET!AA107</f>
        <v>1.8682332391500001E-3</v>
      </c>
      <c r="J102" s="97">
        <f t="shared" si="8"/>
        <v>6204</v>
      </c>
      <c r="K102" s="97">
        <f t="shared" si="9"/>
        <v>6305</v>
      </c>
      <c r="L102" t="str">
        <f t="shared" si="10"/>
        <v>MARCHIHUE</v>
      </c>
      <c r="M102" t="str">
        <f t="shared" si="11"/>
        <v>Entra por Criterio de Percentil</v>
      </c>
      <c r="N102" s="97">
        <f t="shared" si="12"/>
        <v>6204</v>
      </c>
      <c r="O102" s="97">
        <f t="shared" si="13"/>
        <v>6305</v>
      </c>
      <c r="P102" t="str">
        <f t="shared" si="14"/>
        <v>MARCHIHUE</v>
      </c>
      <c r="Q102" s="96">
        <f t="shared" si="15"/>
        <v>1.8682332391500001E-3</v>
      </c>
      <c r="R102" s="96"/>
      <c r="S102">
        <f>+COEFyDISTR_MINERO!A107</f>
        <v>6204</v>
      </c>
      <c r="T102">
        <f>+COEFyDISTR_MINERO!B107</f>
        <v>6305</v>
      </c>
      <c r="U102" t="str">
        <f>+COEFyDISTR_MINERO!C107</f>
        <v>MARCHIHUE</v>
      </c>
      <c r="V102" s="96">
        <f>+COEFyDISTR_MINERO!X107</f>
        <v>0</v>
      </c>
      <c r="W102" s="6" t="str">
        <f>+COEFyDISTR_MINERO!D107</f>
        <v>No</v>
      </c>
      <c r="X102" s="96"/>
      <c r="Y102" s="96"/>
      <c r="Z102" s="1">
        <v>6307</v>
      </c>
      <c r="AA102" s="1">
        <v>6208</v>
      </c>
      <c r="AB102" s="1" t="str">
        <v>PERALILLO</v>
      </c>
      <c r="AC102" s="1" t="str">
        <v>Entra por Criterio de Dependencia y Percentil</v>
      </c>
      <c r="AF102" s="1">
        <v>6307</v>
      </c>
      <c r="AG102" s="1">
        <v>6208</v>
      </c>
      <c r="AH102" s="1" t="str">
        <v>PERALILLO</v>
      </c>
      <c r="AI102" s="405">
        <v>1.96075820895E-3</v>
      </c>
    </row>
    <row r="103" spans="1:35" ht="3" customHeight="1" x14ac:dyDescent="0.25">
      <c r="A103" s="5">
        <f>+COEFyDISTR_FET!A108</f>
        <v>6205</v>
      </c>
      <c r="B103" s="5">
        <f>+COEFyDISTR_FET!B108</f>
        <v>6302</v>
      </c>
      <c r="C103" t="str">
        <f>+COEFyDISTR_FET!C108</f>
        <v>NAVIDAD</v>
      </c>
      <c r="D103" s="31">
        <f>+COEFyDISTR_FET!D108</f>
        <v>857395</v>
      </c>
      <c r="E103" s="31">
        <f>+COEFyDISTR_FET!E108</f>
        <v>7188901.8729999997</v>
      </c>
      <c r="F103" s="403">
        <f>+COEFyDISTR_FET!G108</f>
        <v>0.501</v>
      </c>
      <c r="G103" s="403">
        <f>+COEFyDISTR_FET!H108</f>
        <v>0.89339999999999997</v>
      </c>
      <c r="H103" s="402" t="str">
        <f>IF(D103=0,$A$2,VLOOKUP(COUNTIF(F103,$F$1&amp;$F$2)&amp;COUNTIF(G103,$G$1&amp;$G$2),PARAMETROS!$K$26:$L$30,2,0))</f>
        <v>Entra por Criterio de Dependencia y Percentil</v>
      </c>
      <c r="I103" s="96">
        <f>+COEFyDISTR_FET!AA108</f>
        <v>2.0022672798500002E-3</v>
      </c>
      <c r="J103" s="97">
        <f t="shared" si="8"/>
        <v>6205</v>
      </c>
      <c r="K103" s="97">
        <f t="shared" si="9"/>
        <v>6302</v>
      </c>
      <c r="L103" t="str">
        <f t="shared" si="10"/>
        <v>NAVIDAD</v>
      </c>
      <c r="M103" t="str">
        <f t="shared" si="11"/>
        <v>Entra por Criterio de Dependencia y Percentil</v>
      </c>
      <c r="N103" s="97">
        <f t="shared" si="12"/>
        <v>6205</v>
      </c>
      <c r="O103" s="97">
        <f t="shared" si="13"/>
        <v>6302</v>
      </c>
      <c r="P103" t="str">
        <f t="shared" si="14"/>
        <v>NAVIDAD</v>
      </c>
      <c r="Q103" s="96">
        <f t="shared" si="15"/>
        <v>2.0022672798500002E-3</v>
      </c>
      <c r="R103" s="96"/>
      <c r="S103">
        <f>+COEFyDISTR_MINERO!A108</f>
        <v>6205</v>
      </c>
      <c r="T103">
        <f>+COEFyDISTR_MINERO!B108</f>
        <v>6302</v>
      </c>
      <c r="U103" t="str">
        <f>+COEFyDISTR_MINERO!C108</f>
        <v>NAVIDAD</v>
      </c>
      <c r="V103" s="96">
        <f>+COEFyDISTR_MINERO!X108</f>
        <v>0</v>
      </c>
      <c r="W103" s="6" t="str">
        <f>+COEFyDISTR_MINERO!D108</f>
        <v>No</v>
      </c>
      <c r="X103" s="96"/>
      <c r="Y103" s="96"/>
      <c r="Z103" s="1">
        <v>6308</v>
      </c>
      <c r="AA103" s="1">
        <v>6204</v>
      </c>
      <c r="AB103" s="1" t="str">
        <v>PLACILLA</v>
      </c>
      <c r="AC103" s="1" t="str">
        <v>Entra por Criterio de Dependencia y Percentil</v>
      </c>
      <c r="AF103" s="1">
        <v>6308</v>
      </c>
      <c r="AG103" s="1">
        <v>6204</v>
      </c>
      <c r="AH103" s="1" t="str">
        <v>PLACILLA</v>
      </c>
      <c r="AI103" s="405">
        <v>1.9696365788499999E-3</v>
      </c>
    </row>
    <row r="104" spans="1:35" ht="3" customHeight="1" x14ac:dyDescent="0.25">
      <c r="A104" s="5">
        <f>+COEFyDISTR_FET!A109</f>
        <v>6206</v>
      </c>
      <c r="B104" s="5">
        <f>+COEFyDISTR_FET!B109</f>
        <v>6306</v>
      </c>
      <c r="C104" t="str">
        <f>+COEFyDISTR_FET!C109</f>
        <v>PAREDONES</v>
      </c>
      <c r="D104" s="31">
        <f>+COEFyDISTR_FET!D109</f>
        <v>616292</v>
      </c>
      <c r="E104" s="31">
        <f>+COEFyDISTR_FET!E109</f>
        <v>3872983.0210000002</v>
      </c>
      <c r="F104" s="403">
        <f>+COEFyDISTR_FET!G109</f>
        <v>0.214</v>
      </c>
      <c r="G104" s="403">
        <f>+COEFyDISTR_FET!H109</f>
        <v>0.86270000000000002</v>
      </c>
      <c r="H104" s="402" t="str">
        <f>IF(D104=0,$A$2,VLOOKUP(COUNTIF(F104,$F$1&amp;$F$2)&amp;COUNTIF(G104,$G$1&amp;$G$2),PARAMETROS!$K$26:$L$30,2,0))</f>
        <v>Entra por Criterio de Dependencia y Percentil</v>
      </c>
      <c r="I104" s="96">
        <f>+COEFyDISTR_FET!AA109</f>
        <v>1.96794967135E-3</v>
      </c>
      <c r="J104" s="97">
        <f t="shared" si="8"/>
        <v>6206</v>
      </c>
      <c r="K104" s="97">
        <f t="shared" si="9"/>
        <v>6306</v>
      </c>
      <c r="L104" t="str">
        <f t="shared" si="10"/>
        <v>PAREDONES</v>
      </c>
      <c r="M104" t="str">
        <f t="shared" si="11"/>
        <v>Entra por Criterio de Dependencia y Percentil</v>
      </c>
      <c r="N104" s="97">
        <f t="shared" si="12"/>
        <v>6206</v>
      </c>
      <c r="O104" s="97">
        <f t="shared" si="13"/>
        <v>6306</v>
      </c>
      <c r="P104" t="str">
        <f t="shared" si="14"/>
        <v>PAREDONES</v>
      </c>
      <c r="Q104" s="96">
        <f t="shared" si="15"/>
        <v>1.96794967135E-3</v>
      </c>
      <c r="R104" s="96"/>
      <c r="S104">
        <f>+COEFyDISTR_MINERO!A109</f>
        <v>6206</v>
      </c>
      <c r="T104">
        <f>+COEFyDISTR_MINERO!B109</f>
        <v>6306</v>
      </c>
      <c r="U104" t="str">
        <f>+COEFyDISTR_MINERO!C109</f>
        <v>PAREDONES</v>
      </c>
      <c r="V104" s="96">
        <f>+COEFyDISTR_MINERO!X109</f>
        <v>0</v>
      </c>
      <c r="W104" s="6" t="str">
        <f>+COEFyDISTR_MINERO!D109</f>
        <v>No</v>
      </c>
      <c r="X104" s="96"/>
      <c r="Y104" s="96"/>
      <c r="Z104" s="1">
        <v>6309</v>
      </c>
      <c r="AA104" s="1">
        <v>6214</v>
      </c>
      <c r="AB104" s="1" t="str">
        <v>PUMANQUE</v>
      </c>
      <c r="AC104" s="1" t="str">
        <v>Entra por Criterio de Dependencia y Percentil</v>
      </c>
      <c r="AF104" s="1">
        <v>6309</v>
      </c>
      <c r="AG104" s="1">
        <v>6214</v>
      </c>
      <c r="AH104" s="1" t="str">
        <v>PUMANQUE</v>
      </c>
      <c r="AI104" s="405">
        <v>1.78049957375E-3</v>
      </c>
    </row>
    <row r="105" spans="1:35" ht="3" customHeight="1" x14ac:dyDescent="0.25">
      <c r="A105" s="5">
        <f>+COEFyDISTR_FET!A110</f>
        <v>6301</v>
      </c>
      <c r="B105" s="5">
        <f>+COEFyDISTR_FET!B110</f>
        <v>6201</v>
      </c>
      <c r="C105" t="str">
        <f>+COEFyDISTR_FET!C110</f>
        <v>SAN FERNANDO</v>
      </c>
      <c r="D105" s="31">
        <f>+COEFyDISTR_FET!D110</f>
        <v>10567254</v>
      </c>
      <c r="E105" s="31">
        <f>+COEFyDISTR_FET!E110</f>
        <v>9128861.0999999996</v>
      </c>
      <c r="F105" s="403">
        <f>+COEFyDISTR_FET!G110</f>
        <v>0.78800000000000003</v>
      </c>
      <c r="G105" s="403">
        <f>+COEFyDISTR_FET!H110</f>
        <v>0.46350000000000002</v>
      </c>
      <c r="H105" s="402" t="str">
        <f>IF(D105=0,$A$2,VLOOKUP(COUNTIF(F105,$F$1&amp;$F$2)&amp;COUNTIF(G105,$G$1&amp;$G$2),PARAMETROS!$K$26:$L$30,2,0))</f>
        <v>Entra por Criterio de Percentil</v>
      </c>
      <c r="I105" s="96">
        <f>+COEFyDISTR_FET!AA110</f>
        <v>3.8676545868499999E-3</v>
      </c>
      <c r="J105" s="97">
        <f t="shared" si="8"/>
        <v>6301</v>
      </c>
      <c r="K105" s="97">
        <f t="shared" si="9"/>
        <v>6201</v>
      </c>
      <c r="L105" t="str">
        <f t="shared" si="10"/>
        <v>SAN FERNANDO</v>
      </c>
      <c r="M105" t="str">
        <f t="shared" si="11"/>
        <v>Entra por Criterio de Percentil</v>
      </c>
      <c r="N105" s="97">
        <f t="shared" si="12"/>
        <v>6301</v>
      </c>
      <c r="O105" s="97">
        <f t="shared" si="13"/>
        <v>6201</v>
      </c>
      <c r="P105" t="str">
        <f t="shared" si="14"/>
        <v>SAN FERNANDO</v>
      </c>
      <c r="Q105" s="96">
        <f t="shared" si="15"/>
        <v>3.8676545868499999E-3</v>
      </c>
      <c r="R105" s="96"/>
      <c r="S105">
        <f>+COEFyDISTR_MINERO!A110</f>
        <v>6301</v>
      </c>
      <c r="T105">
        <f>+COEFyDISTR_MINERO!B110</f>
        <v>6201</v>
      </c>
      <c r="U105" t="str">
        <f>+COEFyDISTR_MINERO!C110</f>
        <v>SAN FERNANDO</v>
      </c>
      <c r="V105" s="96">
        <f>+COEFyDISTR_MINERO!X110</f>
        <v>0</v>
      </c>
      <c r="W105" s="6" t="str">
        <f>+COEFyDISTR_MINERO!D110</f>
        <v>No</v>
      </c>
      <c r="X105" s="96"/>
      <c r="Y105" s="96"/>
      <c r="Z105" s="1">
        <v>6310</v>
      </c>
      <c r="AA105" s="1">
        <v>6205</v>
      </c>
      <c r="AB105" s="1" t="str">
        <v>SANTA CRUZ</v>
      </c>
      <c r="AC105" s="1" t="str">
        <v>Entra por Criterio de Percentil</v>
      </c>
      <c r="AF105" s="1">
        <v>6310</v>
      </c>
      <c r="AG105" s="1">
        <v>6205</v>
      </c>
      <c r="AH105" s="1" t="str">
        <v>SANTA CRUZ</v>
      </c>
      <c r="AI105" s="405">
        <v>2.7809404182500001E-3</v>
      </c>
    </row>
    <row r="106" spans="1:35" ht="3" customHeight="1" x14ac:dyDescent="0.25">
      <c r="A106" s="5">
        <f>+COEFyDISTR_FET!A111</f>
        <v>6302</v>
      </c>
      <c r="B106" s="5">
        <f>+COEFyDISTR_FET!B111</f>
        <v>6209</v>
      </c>
      <c r="C106" t="str">
        <f>+COEFyDISTR_FET!C111</f>
        <v>CHÉPICA</v>
      </c>
      <c r="D106" s="31">
        <f>+COEFyDISTR_FET!D111</f>
        <v>1024249</v>
      </c>
      <c r="E106" s="31">
        <f>+COEFyDISTR_FET!E111</f>
        <v>4018881.9750000001</v>
      </c>
      <c r="F106" s="403">
        <f>+COEFyDISTR_FET!G111</f>
        <v>0.28599999999999998</v>
      </c>
      <c r="G106" s="403">
        <f>+COEFyDISTR_FET!H111</f>
        <v>0.79690000000000005</v>
      </c>
      <c r="H106" s="402" t="str">
        <f>IF(D106=0,$A$2,VLOOKUP(COUNTIF(F106,$F$1&amp;$F$2)&amp;COUNTIF(G106,$G$1&amp;$G$2),PARAMETROS!$K$26:$L$30,2,0))</f>
        <v>Entra por Criterio de Dependencia y Percentil</v>
      </c>
      <c r="I106" s="96">
        <f>+COEFyDISTR_FET!AA111</f>
        <v>2.70998351075E-3</v>
      </c>
      <c r="J106" s="97">
        <f t="shared" si="8"/>
        <v>6302</v>
      </c>
      <c r="K106" s="97">
        <f t="shared" si="9"/>
        <v>6209</v>
      </c>
      <c r="L106" t="str">
        <f t="shared" si="10"/>
        <v>CHÉPICA</v>
      </c>
      <c r="M106" t="str">
        <f t="shared" si="11"/>
        <v>Entra por Criterio de Dependencia y Percentil</v>
      </c>
      <c r="N106" s="97">
        <f t="shared" si="12"/>
        <v>6302</v>
      </c>
      <c r="O106" s="97">
        <f t="shared" si="13"/>
        <v>6209</v>
      </c>
      <c r="P106" t="str">
        <f t="shared" si="14"/>
        <v>CHÉPICA</v>
      </c>
      <c r="Q106" s="96">
        <f t="shared" si="15"/>
        <v>2.70998351075E-3</v>
      </c>
      <c r="R106" s="96"/>
      <c r="S106">
        <f>+COEFyDISTR_MINERO!A111</f>
        <v>6302</v>
      </c>
      <c r="T106">
        <f>+COEFyDISTR_MINERO!B111</f>
        <v>6209</v>
      </c>
      <c r="U106" t="str">
        <f>+COEFyDISTR_MINERO!C111</f>
        <v>CHÉPICA</v>
      </c>
      <c r="V106" s="96">
        <f>+COEFyDISTR_MINERO!X111</f>
        <v>0</v>
      </c>
      <c r="W106" s="6" t="str">
        <f>+COEFyDISTR_MINERO!D111</f>
        <v>No</v>
      </c>
      <c r="X106" s="96"/>
      <c r="Y106" s="96"/>
      <c r="Z106" s="1">
        <v>7102</v>
      </c>
      <c r="AA106" s="1">
        <v>7208</v>
      </c>
      <c r="AB106" s="1" t="str">
        <v>CONSTITUCIÓN</v>
      </c>
      <c r="AC106" s="1" t="str">
        <v>Entra por Criterio de Dependencia y Percentil</v>
      </c>
      <c r="AF106" s="1">
        <v>7102</v>
      </c>
      <c r="AG106" s="1">
        <v>7208</v>
      </c>
      <c r="AH106" s="1" t="str">
        <v>CONSTITUCIÓN</v>
      </c>
      <c r="AI106" s="405">
        <v>4.2613391939500004E-3</v>
      </c>
    </row>
    <row r="107" spans="1:35" ht="3" customHeight="1" x14ac:dyDescent="0.25">
      <c r="A107" s="5">
        <f>+COEFyDISTR_FET!A112</f>
        <v>6303</v>
      </c>
      <c r="B107" s="5">
        <f>+COEFyDISTR_FET!B112</f>
        <v>6202</v>
      </c>
      <c r="C107" t="str">
        <f>+COEFyDISTR_FET!C112</f>
        <v>CHIMBARONGO</v>
      </c>
      <c r="D107" s="31">
        <f>+COEFyDISTR_FET!D112</f>
        <v>3078140</v>
      </c>
      <c r="E107" s="31">
        <f>+COEFyDISTR_FET!E112</f>
        <v>6843141.5209999997</v>
      </c>
      <c r="F107" s="403">
        <f>+COEFyDISTR_FET!G112</f>
        <v>0.58799999999999997</v>
      </c>
      <c r="G107" s="403">
        <f>+COEFyDISTR_FET!H112</f>
        <v>0.68969999999999998</v>
      </c>
      <c r="H107" s="402" t="str">
        <f>IF(D107=0,$A$2,VLOOKUP(COUNTIF(F107,$F$1&amp;$F$2)&amp;COUNTIF(G107,$G$1&amp;$G$2),PARAMETROS!$K$26:$L$30,2,0))</f>
        <v>Entra por Criterio de Dependencia y Percentil</v>
      </c>
      <c r="I107" s="96">
        <f>+COEFyDISTR_FET!AA112</f>
        <v>3.4659386149500006E-3</v>
      </c>
      <c r="J107" s="97">
        <f t="shared" si="8"/>
        <v>6303</v>
      </c>
      <c r="K107" s="97">
        <f t="shared" si="9"/>
        <v>6202</v>
      </c>
      <c r="L107" t="str">
        <f t="shared" si="10"/>
        <v>CHIMBARONGO</v>
      </c>
      <c r="M107" t="str">
        <f t="shared" si="11"/>
        <v>Entra por Criterio de Dependencia y Percentil</v>
      </c>
      <c r="N107" s="97">
        <f t="shared" si="12"/>
        <v>6303</v>
      </c>
      <c r="O107" s="97">
        <f t="shared" si="13"/>
        <v>6202</v>
      </c>
      <c r="P107" t="str">
        <f t="shared" si="14"/>
        <v>CHIMBARONGO</v>
      </c>
      <c r="Q107" s="96">
        <f t="shared" si="15"/>
        <v>3.4659386149500006E-3</v>
      </c>
      <c r="R107" s="96"/>
      <c r="S107">
        <f>+COEFyDISTR_MINERO!A112</f>
        <v>6303</v>
      </c>
      <c r="T107">
        <f>+COEFyDISTR_MINERO!B112</f>
        <v>6202</v>
      </c>
      <c r="U107" t="str">
        <f>+COEFyDISTR_MINERO!C112</f>
        <v>CHIMBARONGO</v>
      </c>
      <c r="V107" s="96">
        <f>+COEFyDISTR_MINERO!X112</f>
        <v>0</v>
      </c>
      <c r="W107" s="6" t="str">
        <f>+COEFyDISTR_MINERO!D112</f>
        <v>No</v>
      </c>
      <c r="X107" s="96"/>
      <c r="Y107" s="96"/>
      <c r="Z107" s="1">
        <v>7103</v>
      </c>
      <c r="AA107" s="1">
        <v>7207</v>
      </c>
      <c r="AB107" s="1" t="str">
        <v>CUREPTO</v>
      </c>
      <c r="AC107" s="1" t="str">
        <v>Entra por Criterio de Dependencia y Percentil</v>
      </c>
      <c r="AF107" s="1">
        <v>7103</v>
      </c>
      <c r="AG107" s="1">
        <v>7207</v>
      </c>
      <c r="AH107" s="1" t="str">
        <v>CUREPTO</v>
      </c>
      <c r="AI107" s="405">
        <v>2.5233073107500002E-3</v>
      </c>
    </row>
    <row r="108" spans="1:35" ht="3" customHeight="1" x14ac:dyDescent="0.25">
      <c r="A108" s="5">
        <f>+COEFyDISTR_FET!A113</f>
        <v>6304</v>
      </c>
      <c r="B108" s="5">
        <f>+COEFyDISTR_FET!B113</f>
        <v>6206</v>
      </c>
      <c r="C108" t="str">
        <f>+COEFyDISTR_FET!C113</f>
        <v>LOLOL</v>
      </c>
      <c r="D108" s="31">
        <f>+COEFyDISTR_FET!D113</f>
        <v>909421</v>
      </c>
      <c r="E108" s="31">
        <f>+COEFyDISTR_FET!E113</f>
        <v>2415744.5469999998</v>
      </c>
      <c r="F108" s="403">
        <f>+COEFyDISTR_FET!G113</f>
        <v>8.8999999999999996E-2</v>
      </c>
      <c r="G108" s="403">
        <f>+COEFyDISTR_FET!H113</f>
        <v>0.72650000000000003</v>
      </c>
      <c r="H108" s="402" t="str">
        <f>IF(D108=0,$A$2,VLOOKUP(COUNTIF(F108,$F$1&amp;$F$2)&amp;COUNTIF(G108,$G$1&amp;$G$2),PARAMETROS!$K$26:$L$30,2,0))</f>
        <v>Entra por Criterio de Dependencia y Percentil</v>
      </c>
      <c r="I108" s="96">
        <f>+COEFyDISTR_FET!AA113</f>
        <v>1.9513908837500002E-3</v>
      </c>
      <c r="J108" s="97">
        <f t="shared" si="8"/>
        <v>6304</v>
      </c>
      <c r="K108" s="97">
        <f t="shared" si="9"/>
        <v>6206</v>
      </c>
      <c r="L108" t="str">
        <f t="shared" si="10"/>
        <v>LOLOL</v>
      </c>
      <c r="M108" t="str">
        <f t="shared" si="11"/>
        <v>Entra por Criterio de Dependencia y Percentil</v>
      </c>
      <c r="N108" s="97">
        <f t="shared" si="12"/>
        <v>6304</v>
      </c>
      <c r="O108" s="97">
        <f t="shared" si="13"/>
        <v>6206</v>
      </c>
      <c r="P108" t="str">
        <f t="shared" si="14"/>
        <v>LOLOL</v>
      </c>
      <c r="Q108" s="96">
        <f t="shared" si="15"/>
        <v>1.9513908837500002E-3</v>
      </c>
      <c r="R108" s="96"/>
      <c r="S108">
        <f>+COEFyDISTR_MINERO!A113</f>
        <v>6304</v>
      </c>
      <c r="T108">
        <f>+COEFyDISTR_MINERO!B113</f>
        <v>6206</v>
      </c>
      <c r="U108" t="str">
        <f>+COEFyDISTR_MINERO!C113</f>
        <v>LOLOL</v>
      </c>
      <c r="V108" s="96">
        <f>+COEFyDISTR_MINERO!X113</f>
        <v>0</v>
      </c>
      <c r="W108" s="6" t="str">
        <f>+COEFyDISTR_MINERO!D113</f>
        <v>No</v>
      </c>
      <c r="X108" s="96"/>
      <c r="Y108" s="96"/>
      <c r="Z108" s="1">
        <v>7104</v>
      </c>
      <c r="AA108" s="1">
        <v>7209</v>
      </c>
      <c r="AB108" s="1" t="str">
        <v>EMPEDRADO</v>
      </c>
      <c r="AC108" s="1" t="str">
        <v>Entra por Criterio de Dependencia y Percentil</v>
      </c>
      <c r="AF108" s="1">
        <v>7104</v>
      </c>
      <c r="AG108" s="1">
        <v>7209</v>
      </c>
      <c r="AH108" s="1" t="str">
        <v>EMPEDRADO</v>
      </c>
      <c r="AI108" s="405">
        <v>2.1858369099500004E-3</v>
      </c>
    </row>
    <row r="109" spans="1:35" ht="3" customHeight="1" x14ac:dyDescent="0.25">
      <c r="A109" s="5">
        <f>+COEFyDISTR_FET!A114</f>
        <v>6305</v>
      </c>
      <c r="B109" s="5">
        <f>+COEFyDISTR_FET!B114</f>
        <v>6203</v>
      </c>
      <c r="C109" t="str">
        <f>+COEFyDISTR_FET!C114</f>
        <v>NANCAGUA</v>
      </c>
      <c r="D109" s="31">
        <f>+COEFyDISTR_FET!D114</f>
        <v>2120466</v>
      </c>
      <c r="E109" s="31">
        <f>+COEFyDISTR_FET!E114</f>
        <v>3804168.7620000001</v>
      </c>
      <c r="F109" s="403">
        <f>+COEFyDISTR_FET!G114</f>
        <v>0.39400000000000002</v>
      </c>
      <c r="G109" s="403">
        <f>+COEFyDISTR_FET!H114</f>
        <v>0.6421</v>
      </c>
      <c r="H109" s="402" t="str">
        <f>IF(D109=0,$A$2,VLOOKUP(COUNTIF(F109,$F$1&amp;$F$2)&amp;COUNTIF(G109,$G$1&amp;$G$2),PARAMETROS!$K$26:$L$30,2,0))</f>
        <v>Entra por Criterio de Dependencia y Percentil</v>
      </c>
      <c r="I109" s="96">
        <f>+COEFyDISTR_FET!AA114</f>
        <v>2.2540908946500002E-3</v>
      </c>
      <c r="J109" s="97">
        <f t="shared" si="8"/>
        <v>6305</v>
      </c>
      <c r="K109" s="97">
        <f t="shared" si="9"/>
        <v>6203</v>
      </c>
      <c r="L109" t="str">
        <f t="shared" si="10"/>
        <v>NANCAGUA</v>
      </c>
      <c r="M109" t="str">
        <f t="shared" si="11"/>
        <v>Entra por Criterio de Dependencia y Percentil</v>
      </c>
      <c r="N109" s="97">
        <f t="shared" si="12"/>
        <v>6305</v>
      </c>
      <c r="O109" s="97">
        <f t="shared" si="13"/>
        <v>6203</v>
      </c>
      <c r="P109" t="str">
        <f t="shared" si="14"/>
        <v>NANCAGUA</v>
      </c>
      <c r="Q109" s="96">
        <f t="shared" si="15"/>
        <v>2.2540908946500002E-3</v>
      </c>
      <c r="R109" s="96"/>
      <c r="S109">
        <f>+COEFyDISTR_MINERO!A114</f>
        <v>6305</v>
      </c>
      <c r="T109">
        <f>+COEFyDISTR_MINERO!B114</f>
        <v>6203</v>
      </c>
      <c r="U109" t="str">
        <f>+COEFyDISTR_MINERO!C114</f>
        <v>NANCAGUA</v>
      </c>
      <c r="V109" s="96">
        <f>+COEFyDISTR_MINERO!X114</f>
        <v>0</v>
      </c>
      <c r="W109" s="6" t="str">
        <f>+COEFyDISTR_MINERO!D114</f>
        <v>No</v>
      </c>
      <c r="X109" s="96"/>
      <c r="Y109" s="96"/>
      <c r="Z109" s="1">
        <v>7105</v>
      </c>
      <c r="AA109" s="1">
        <v>7206</v>
      </c>
      <c r="AB109" s="1" t="str">
        <v>MAULE</v>
      </c>
      <c r="AC109" s="1" t="str">
        <v>Entra por Criterio de Dependencia y Percentil</v>
      </c>
      <c r="AF109" s="1">
        <v>7105</v>
      </c>
      <c r="AG109" s="1">
        <v>7206</v>
      </c>
      <c r="AH109" s="1" t="str">
        <v>MAULE</v>
      </c>
      <c r="AI109" s="405">
        <v>6.8865799152499994E-3</v>
      </c>
    </row>
    <row r="110" spans="1:35" ht="3" customHeight="1" x14ac:dyDescent="0.25">
      <c r="A110" s="5">
        <f>+COEFyDISTR_FET!A115</f>
        <v>6306</v>
      </c>
      <c r="B110" s="5">
        <f>+COEFyDISTR_FET!B115</f>
        <v>6207</v>
      </c>
      <c r="C110" t="str">
        <f>+COEFyDISTR_FET!C115</f>
        <v>PALMILLA</v>
      </c>
      <c r="D110" s="31">
        <f>+COEFyDISTR_FET!D115</f>
        <v>2001231</v>
      </c>
      <c r="E110" s="31">
        <f>+COEFyDISTR_FET!E115</f>
        <v>2496268.9989999998</v>
      </c>
      <c r="F110" s="403">
        <f>+COEFyDISTR_FET!G115</f>
        <v>0.217</v>
      </c>
      <c r="G110" s="403">
        <f>+COEFyDISTR_FET!H115</f>
        <v>0.55500000000000005</v>
      </c>
      <c r="H110" s="402" t="str">
        <f>IF(D110=0,$A$2,VLOOKUP(COUNTIF(F110,$F$1&amp;$F$2)&amp;COUNTIF(G110,$G$1&amp;$G$2),PARAMETROS!$K$26:$L$30,2,0))</f>
        <v>Entra por Criterio de Dependencia y Percentil</v>
      </c>
      <c r="I110" s="96">
        <f>+COEFyDISTR_FET!AA115</f>
        <v>2.0062992251499998E-3</v>
      </c>
      <c r="J110" s="97">
        <f t="shared" si="8"/>
        <v>6306</v>
      </c>
      <c r="K110" s="97">
        <f t="shared" si="9"/>
        <v>6207</v>
      </c>
      <c r="L110" t="str">
        <f t="shared" si="10"/>
        <v>PALMILLA</v>
      </c>
      <c r="M110" t="str">
        <f t="shared" si="11"/>
        <v>Entra por Criterio de Dependencia y Percentil</v>
      </c>
      <c r="N110" s="97">
        <f t="shared" si="12"/>
        <v>6306</v>
      </c>
      <c r="O110" s="97">
        <f t="shared" si="13"/>
        <v>6207</v>
      </c>
      <c r="P110" t="str">
        <f t="shared" si="14"/>
        <v>PALMILLA</v>
      </c>
      <c r="Q110" s="96">
        <f t="shared" si="15"/>
        <v>2.0062992251499998E-3</v>
      </c>
      <c r="R110" s="96"/>
      <c r="S110">
        <f>+COEFyDISTR_MINERO!A115</f>
        <v>6306</v>
      </c>
      <c r="T110">
        <f>+COEFyDISTR_MINERO!B115</f>
        <v>6207</v>
      </c>
      <c r="U110" t="str">
        <f>+COEFyDISTR_MINERO!C115</f>
        <v>PALMILLA</v>
      </c>
      <c r="V110" s="96">
        <f>+COEFyDISTR_MINERO!X115</f>
        <v>0</v>
      </c>
      <c r="W110" s="6" t="str">
        <f>+COEFyDISTR_MINERO!D115</f>
        <v>No</v>
      </c>
      <c r="X110" s="96"/>
      <c r="Y110" s="96"/>
      <c r="Z110" s="1">
        <v>7106</v>
      </c>
      <c r="AA110" s="1">
        <v>7203</v>
      </c>
      <c r="AB110" s="1" t="str">
        <v>PELARCO</v>
      </c>
      <c r="AC110" s="1" t="str">
        <v>Entra por Criterio de Percentil</v>
      </c>
      <c r="AF110" s="1">
        <v>7106</v>
      </c>
      <c r="AG110" s="1">
        <v>7203</v>
      </c>
      <c r="AH110" s="1" t="str">
        <v>PELARCO</v>
      </c>
      <c r="AI110" s="405">
        <v>2.0003632812500001E-3</v>
      </c>
    </row>
    <row r="111" spans="1:35" ht="3" customHeight="1" x14ac:dyDescent="0.25">
      <c r="A111" s="5">
        <f>+COEFyDISTR_FET!A116</f>
        <v>6307</v>
      </c>
      <c r="B111" s="5">
        <f>+COEFyDISTR_FET!B116</f>
        <v>6208</v>
      </c>
      <c r="C111" t="str">
        <f>+COEFyDISTR_FET!C116</f>
        <v>PERALILLO</v>
      </c>
      <c r="D111" s="31">
        <f>+COEFyDISTR_FET!D116</f>
        <v>1667128</v>
      </c>
      <c r="E111" s="31">
        <f>+COEFyDISTR_FET!E116</f>
        <v>2659884.9330000002</v>
      </c>
      <c r="F111" s="403">
        <f>+COEFyDISTR_FET!G116</f>
        <v>0.20499999999999999</v>
      </c>
      <c r="G111" s="403">
        <f>+COEFyDISTR_FET!H116</f>
        <v>0.61470000000000002</v>
      </c>
      <c r="H111" s="402" t="str">
        <f>IF(D111=0,$A$2,VLOOKUP(COUNTIF(F111,$F$1&amp;$F$2)&amp;COUNTIF(G111,$G$1&amp;$G$2),PARAMETROS!$K$26:$L$30,2,0))</f>
        <v>Entra por Criterio de Dependencia y Percentil</v>
      </c>
      <c r="I111" s="96">
        <f>+COEFyDISTR_FET!AA116</f>
        <v>1.96075820895E-3</v>
      </c>
      <c r="J111" s="97">
        <f t="shared" si="8"/>
        <v>6307</v>
      </c>
      <c r="K111" s="97">
        <f t="shared" si="9"/>
        <v>6208</v>
      </c>
      <c r="L111" t="str">
        <f t="shared" si="10"/>
        <v>PERALILLO</v>
      </c>
      <c r="M111" t="str">
        <f t="shared" si="11"/>
        <v>Entra por Criterio de Dependencia y Percentil</v>
      </c>
      <c r="N111" s="97">
        <f t="shared" si="12"/>
        <v>6307</v>
      </c>
      <c r="O111" s="97">
        <f t="shared" si="13"/>
        <v>6208</v>
      </c>
      <c r="P111" t="str">
        <f t="shared" si="14"/>
        <v>PERALILLO</v>
      </c>
      <c r="Q111" s="96">
        <f t="shared" si="15"/>
        <v>1.96075820895E-3</v>
      </c>
      <c r="R111" s="96"/>
      <c r="S111">
        <f>+COEFyDISTR_MINERO!A116</f>
        <v>6307</v>
      </c>
      <c r="T111">
        <f>+COEFyDISTR_MINERO!B116</f>
        <v>6208</v>
      </c>
      <c r="U111" t="str">
        <f>+COEFyDISTR_MINERO!C116</f>
        <v>PERALILLO</v>
      </c>
      <c r="V111" s="96">
        <f>+COEFyDISTR_MINERO!X116</f>
        <v>0</v>
      </c>
      <c r="W111" s="6" t="str">
        <f>+COEFyDISTR_MINERO!D116</f>
        <v>No</v>
      </c>
      <c r="X111" s="96"/>
      <c r="Y111" s="96"/>
      <c r="Z111" s="1">
        <v>7107</v>
      </c>
      <c r="AA111" s="1">
        <v>7205</v>
      </c>
      <c r="AB111" s="1" t="str">
        <v>PENCAHUE</v>
      </c>
      <c r="AC111" s="1" t="str">
        <v>Entra por Criterio de Dependencia y Percentil</v>
      </c>
      <c r="AF111" s="1">
        <v>7107</v>
      </c>
      <c r="AG111" s="1">
        <v>7205</v>
      </c>
      <c r="AH111" s="1" t="str">
        <v>PENCAHUE</v>
      </c>
      <c r="AI111" s="405">
        <v>2.0430511365500002E-3</v>
      </c>
    </row>
    <row r="112" spans="1:35" ht="3" customHeight="1" x14ac:dyDescent="0.25">
      <c r="A112" s="5">
        <f>+COEFyDISTR_FET!A117</f>
        <v>6308</v>
      </c>
      <c r="B112" s="5">
        <f>+COEFyDISTR_FET!B117</f>
        <v>6204</v>
      </c>
      <c r="C112" t="str">
        <f>+COEFyDISTR_FET!C117</f>
        <v>PLACILLA</v>
      </c>
      <c r="D112" s="31">
        <f>+COEFyDISTR_FET!D117</f>
        <v>920333</v>
      </c>
      <c r="E112" s="31">
        <f>+COEFyDISTR_FET!E117</f>
        <v>2526988.264</v>
      </c>
      <c r="F112" s="403">
        <f>+COEFyDISTR_FET!G117</f>
        <v>0.11</v>
      </c>
      <c r="G112" s="403">
        <f>+COEFyDISTR_FET!H117</f>
        <v>0.73299999999999998</v>
      </c>
      <c r="H112" s="402" t="str">
        <f>IF(D112=0,$A$2,VLOOKUP(COUNTIF(F112,$F$1&amp;$F$2)&amp;COUNTIF(G112,$G$1&amp;$G$2),PARAMETROS!$K$26:$L$30,2,0))</f>
        <v>Entra por Criterio de Dependencia y Percentil</v>
      </c>
      <c r="I112" s="96">
        <f>+COEFyDISTR_FET!AA117</f>
        <v>1.9696365788499999E-3</v>
      </c>
      <c r="J112" s="97">
        <f t="shared" si="8"/>
        <v>6308</v>
      </c>
      <c r="K112" s="97">
        <f t="shared" si="9"/>
        <v>6204</v>
      </c>
      <c r="L112" t="str">
        <f t="shared" si="10"/>
        <v>PLACILLA</v>
      </c>
      <c r="M112" t="str">
        <f t="shared" si="11"/>
        <v>Entra por Criterio de Dependencia y Percentil</v>
      </c>
      <c r="N112" s="97">
        <f t="shared" si="12"/>
        <v>6308</v>
      </c>
      <c r="O112" s="97">
        <f t="shared" si="13"/>
        <v>6204</v>
      </c>
      <c r="P112" t="str">
        <f t="shared" si="14"/>
        <v>PLACILLA</v>
      </c>
      <c r="Q112" s="96">
        <f t="shared" si="15"/>
        <v>1.9696365788499999E-3</v>
      </c>
      <c r="R112" s="96"/>
      <c r="S112">
        <f>+COEFyDISTR_MINERO!A117</f>
        <v>6308</v>
      </c>
      <c r="T112">
        <f>+COEFyDISTR_MINERO!B117</f>
        <v>6204</v>
      </c>
      <c r="U112" t="str">
        <f>+COEFyDISTR_MINERO!C117</f>
        <v>PLACILLA</v>
      </c>
      <c r="V112" s="96">
        <f>+COEFyDISTR_MINERO!X117</f>
        <v>0</v>
      </c>
      <c r="W112" s="6" t="str">
        <f>+COEFyDISTR_MINERO!D117</f>
        <v>No</v>
      </c>
      <c r="X112" s="96"/>
      <c r="Y112" s="96"/>
      <c r="Z112" s="1">
        <v>7108</v>
      </c>
      <c r="AA112" s="1">
        <v>7204</v>
      </c>
      <c r="AB112" s="1" t="str">
        <v>RÍO CLARO</v>
      </c>
      <c r="AC112" s="1" t="str">
        <v>Entra por Criterio de Percentil</v>
      </c>
      <c r="AF112" s="1">
        <v>7108</v>
      </c>
      <c r="AG112" s="1">
        <v>7204</v>
      </c>
      <c r="AH112" s="1" t="str">
        <v>RÍO CLARO</v>
      </c>
      <c r="AI112" s="405">
        <v>2.1454842772500003E-3</v>
      </c>
    </row>
    <row r="113" spans="1:35" ht="3" customHeight="1" x14ac:dyDescent="0.25">
      <c r="A113" s="5">
        <f>+COEFyDISTR_FET!A118</f>
        <v>6309</v>
      </c>
      <c r="B113" s="5">
        <f>+COEFyDISTR_FET!B118</f>
        <v>6214</v>
      </c>
      <c r="C113" t="str">
        <f>+COEFyDISTR_FET!C118</f>
        <v>PUMANQUE</v>
      </c>
      <c r="D113" s="31">
        <f>+COEFyDISTR_FET!D118</f>
        <v>622086</v>
      </c>
      <c r="E113" s="31">
        <f>+COEFyDISTR_FET!E118</f>
        <v>2056046.824</v>
      </c>
      <c r="F113" s="403">
        <f>+COEFyDISTR_FET!G118</f>
        <v>4.2999999999999997E-2</v>
      </c>
      <c r="G113" s="403">
        <f>+COEFyDISTR_FET!H118</f>
        <v>0.76770000000000005</v>
      </c>
      <c r="H113" s="402" t="str">
        <f>IF(D113=0,$A$2,VLOOKUP(COUNTIF(F113,$F$1&amp;$F$2)&amp;COUNTIF(G113,$G$1&amp;$G$2),PARAMETROS!$K$26:$L$30,2,0))</f>
        <v>Entra por Criterio de Dependencia y Percentil</v>
      </c>
      <c r="I113" s="96">
        <f>+COEFyDISTR_FET!AA118</f>
        <v>1.78049957375E-3</v>
      </c>
      <c r="J113" s="97">
        <f t="shared" si="8"/>
        <v>6309</v>
      </c>
      <c r="K113" s="97">
        <f t="shared" si="9"/>
        <v>6214</v>
      </c>
      <c r="L113" t="str">
        <f t="shared" si="10"/>
        <v>PUMANQUE</v>
      </c>
      <c r="M113" t="str">
        <f t="shared" si="11"/>
        <v>Entra por Criterio de Dependencia y Percentil</v>
      </c>
      <c r="N113" s="97">
        <f t="shared" si="12"/>
        <v>6309</v>
      </c>
      <c r="O113" s="97">
        <f t="shared" si="13"/>
        <v>6214</v>
      </c>
      <c r="P113" t="str">
        <f t="shared" si="14"/>
        <v>PUMANQUE</v>
      </c>
      <c r="Q113" s="96">
        <f t="shared" si="15"/>
        <v>1.78049957375E-3</v>
      </c>
      <c r="R113" s="96"/>
      <c r="S113">
        <f>+COEFyDISTR_MINERO!A118</f>
        <v>6309</v>
      </c>
      <c r="T113">
        <f>+COEFyDISTR_MINERO!B118</f>
        <v>6214</v>
      </c>
      <c r="U113" t="str">
        <f>+COEFyDISTR_MINERO!C118</f>
        <v>PUMANQUE</v>
      </c>
      <c r="V113" s="96">
        <f>+COEFyDISTR_MINERO!X118</f>
        <v>0</v>
      </c>
      <c r="W113" s="6" t="str">
        <f>+COEFyDISTR_MINERO!D118</f>
        <v>No</v>
      </c>
      <c r="X113" s="96"/>
      <c r="Y113" s="96"/>
      <c r="Z113" s="1">
        <v>7109</v>
      </c>
      <c r="AA113" s="1">
        <v>7202</v>
      </c>
      <c r="AB113" s="1" t="str">
        <v>SAN CLEMENTE</v>
      </c>
      <c r="AC113" s="1" t="str">
        <v>Entra por Criterio de Dependencia y Percentil</v>
      </c>
      <c r="AF113" s="1">
        <v>7109</v>
      </c>
      <c r="AG113" s="1">
        <v>7202</v>
      </c>
      <c r="AH113" s="1" t="str">
        <v>SAN CLEMENTE</v>
      </c>
      <c r="AI113" s="405">
        <v>4.5678860401499998E-3</v>
      </c>
    </row>
    <row r="114" spans="1:35" ht="3" customHeight="1" x14ac:dyDescent="0.25">
      <c r="A114" s="5">
        <f>+COEFyDISTR_FET!A119</f>
        <v>6310</v>
      </c>
      <c r="B114" s="5">
        <f>+COEFyDISTR_FET!B119</f>
        <v>6205</v>
      </c>
      <c r="C114" t="str">
        <f>+COEFyDISTR_FET!C119</f>
        <v>SANTA CRUZ</v>
      </c>
      <c r="D114" s="31">
        <f>+COEFyDISTR_FET!D119</f>
        <v>6341179</v>
      </c>
      <c r="E114" s="31">
        <f>+COEFyDISTR_FET!E119</f>
        <v>5309093.426</v>
      </c>
      <c r="F114" s="403">
        <f>+COEFyDISTR_FET!G119</f>
        <v>0.64</v>
      </c>
      <c r="G114" s="403">
        <f>+COEFyDISTR_FET!H119</f>
        <v>0.45569999999999999</v>
      </c>
      <c r="H114" s="402" t="str">
        <f>IF(D114=0,$A$2,VLOOKUP(COUNTIF(F114,$F$1&amp;$F$2)&amp;COUNTIF(G114,$G$1&amp;$G$2),PARAMETROS!$K$26:$L$30,2,0))</f>
        <v>Entra por Criterio de Percentil</v>
      </c>
      <c r="I114" s="96">
        <f>+COEFyDISTR_FET!AA119</f>
        <v>2.7809404182500001E-3</v>
      </c>
      <c r="J114" s="97">
        <f t="shared" si="8"/>
        <v>6310</v>
      </c>
      <c r="K114" s="97">
        <f t="shared" si="9"/>
        <v>6205</v>
      </c>
      <c r="L114" t="str">
        <f t="shared" si="10"/>
        <v>SANTA CRUZ</v>
      </c>
      <c r="M114" t="str">
        <f t="shared" si="11"/>
        <v>Entra por Criterio de Percentil</v>
      </c>
      <c r="N114" s="97">
        <f t="shared" si="12"/>
        <v>6310</v>
      </c>
      <c r="O114" s="97">
        <f t="shared" si="13"/>
        <v>6205</v>
      </c>
      <c r="P114" t="str">
        <f t="shared" si="14"/>
        <v>SANTA CRUZ</v>
      </c>
      <c r="Q114" s="96">
        <f t="shared" si="15"/>
        <v>2.7809404182500001E-3</v>
      </c>
      <c r="R114" s="96"/>
      <c r="S114">
        <f>+COEFyDISTR_MINERO!A119</f>
        <v>6310</v>
      </c>
      <c r="T114">
        <f>+COEFyDISTR_MINERO!B119</f>
        <v>6205</v>
      </c>
      <c r="U114" t="str">
        <f>+COEFyDISTR_MINERO!C119</f>
        <v>SANTA CRUZ</v>
      </c>
      <c r="V114" s="96">
        <f>+COEFyDISTR_MINERO!X119</f>
        <v>0</v>
      </c>
      <c r="W114" s="6" t="str">
        <f>+COEFyDISTR_MINERO!D119</f>
        <v>No</v>
      </c>
      <c r="X114" s="96"/>
      <c r="Y114" s="96"/>
      <c r="Z114" s="1">
        <v>7110</v>
      </c>
      <c r="AA114" s="1">
        <v>7210</v>
      </c>
      <c r="AB114" s="1" t="str">
        <v>SAN RAFAEL</v>
      </c>
      <c r="AC114" s="1" t="str">
        <v>Entra por Criterio de Dependencia y Percentil</v>
      </c>
      <c r="AF114" s="1">
        <v>7110</v>
      </c>
      <c r="AG114" s="1">
        <v>7210</v>
      </c>
      <c r="AH114" s="1" t="str">
        <v>SAN RAFAEL</v>
      </c>
      <c r="AI114" s="405">
        <v>2.0839267693500002E-3</v>
      </c>
    </row>
    <row r="115" spans="1:35" ht="3" customHeight="1" x14ac:dyDescent="0.25">
      <c r="A115" s="5">
        <f>+COEFyDISTR_FET!A120</f>
        <v>7101</v>
      </c>
      <c r="B115" s="5">
        <f>+COEFyDISTR_FET!B120</f>
        <v>7201</v>
      </c>
      <c r="C115" t="str">
        <f>+COEFyDISTR_FET!C120</f>
        <v>TALCA</v>
      </c>
      <c r="D115" s="31">
        <f>+COEFyDISTR_FET!D120</f>
        <v>26741864</v>
      </c>
      <c r="E115" s="31">
        <f>+COEFyDISTR_FET!E120</f>
        <v>24292871.550000001</v>
      </c>
      <c r="F115" s="403">
        <f>+COEFyDISTR_FET!G120</f>
        <v>0.93</v>
      </c>
      <c r="G115" s="403">
        <f>+COEFyDISTR_FET!H120</f>
        <v>0.47599999999999998</v>
      </c>
      <c r="H115" s="402" t="str">
        <f>IF(D115=0,$A$2,VLOOKUP(COUNTIF(F115,$F$1&amp;$F$2)&amp;COUNTIF(G115,$G$1&amp;$G$2),PARAMETROS!$K$26:$L$30,2,0))</f>
        <v>Sin Acceso</v>
      </c>
      <c r="I115" s="96">
        <f>+COEFyDISTR_FET!AA120</f>
        <v>0</v>
      </c>
      <c r="J115" s="97">
        <f t="shared" si="8"/>
        <v>7101</v>
      </c>
      <c r="K115" s="97">
        <f t="shared" si="9"/>
        <v>7201</v>
      </c>
      <c r="L115" t="str">
        <f t="shared" si="10"/>
        <v>TALCA</v>
      </c>
      <c r="M115" t="str">
        <f t="shared" si="11"/>
        <v>Sin Acceso</v>
      </c>
      <c r="N115" s="97">
        <f t="shared" si="12"/>
        <v>7101</v>
      </c>
      <c r="O115" s="97">
        <f t="shared" si="13"/>
        <v>7201</v>
      </c>
      <c r="P115" t="str">
        <f t="shared" si="14"/>
        <v>TALCA</v>
      </c>
      <c r="Q115" s="96">
        <f t="shared" si="15"/>
        <v>0</v>
      </c>
      <c r="R115" s="96"/>
      <c r="S115">
        <f>+COEFyDISTR_MINERO!A120</f>
        <v>7101</v>
      </c>
      <c r="T115">
        <f>+COEFyDISTR_MINERO!B120</f>
        <v>7201</v>
      </c>
      <c r="U115" t="str">
        <f>+COEFyDISTR_MINERO!C120</f>
        <v>TALCA</v>
      </c>
      <c r="V115" s="96">
        <f>+COEFyDISTR_MINERO!X120</f>
        <v>0</v>
      </c>
      <c r="W115" s="6" t="str">
        <f>+COEFyDISTR_MINERO!D120</f>
        <v>No</v>
      </c>
      <c r="X115" s="96"/>
      <c r="Y115" s="96"/>
      <c r="Z115" s="1">
        <v>7201</v>
      </c>
      <c r="AA115" s="1">
        <v>7401</v>
      </c>
      <c r="AB115" s="1" t="str">
        <v>CAUQUENES</v>
      </c>
      <c r="AC115" s="1" t="str">
        <v>Entra por Criterio de Dependencia y Percentil</v>
      </c>
      <c r="AF115" s="1">
        <v>7201</v>
      </c>
      <c r="AG115" s="1">
        <v>7401</v>
      </c>
      <c r="AH115" s="1" t="str">
        <v>CAUQUENES</v>
      </c>
      <c r="AI115" s="405">
        <v>4.78286524245E-3</v>
      </c>
    </row>
    <row r="116" spans="1:35" ht="3" customHeight="1" x14ac:dyDescent="0.25">
      <c r="A116" s="5">
        <f>+COEFyDISTR_FET!A121</f>
        <v>7102</v>
      </c>
      <c r="B116" s="5">
        <f>+COEFyDISTR_FET!B121</f>
        <v>7208</v>
      </c>
      <c r="C116" t="str">
        <f>+COEFyDISTR_FET!C121</f>
        <v>CONSTITUCIÓN</v>
      </c>
      <c r="D116" s="31">
        <f>+COEFyDISTR_FET!D121</f>
        <v>4703763</v>
      </c>
      <c r="E116" s="31">
        <f>+COEFyDISTR_FET!E121</f>
        <v>12490067.284</v>
      </c>
      <c r="F116" s="403">
        <f>+COEFyDISTR_FET!G121</f>
        <v>0.75600000000000001</v>
      </c>
      <c r="G116" s="403">
        <f>+COEFyDISTR_FET!H121</f>
        <v>0.72640000000000005</v>
      </c>
      <c r="H116" s="402" t="str">
        <f>IF(D116=0,$A$2,VLOOKUP(COUNTIF(F116,$F$1&amp;$F$2)&amp;COUNTIF(G116,$G$1&amp;$G$2),PARAMETROS!$K$26:$L$30,2,0))</f>
        <v>Entra por Criterio de Dependencia y Percentil</v>
      </c>
      <c r="I116" s="96">
        <f>+COEFyDISTR_FET!AA121</f>
        <v>4.2613391939500004E-3</v>
      </c>
      <c r="J116" s="97">
        <f t="shared" si="8"/>
        <v>7102</v>
      </c>
      <c r="K116" s="97">
        <f t="shared" si="9"/>
        <v>7208</v>
      </c>
      <c r="L116" t="str">
        <f t="shared" si="10"/>
        <v>CONSTITUCIÓN</v>
      </c>
      <c r="M116" t="str">
        <f t="shared" si="11"/>
        <v>Entra por Criterio de Dependencia y Percentil</v>
      </c>
      <c r="N116" s="97">
        <f t="shared" si="12"/>
        <v>7102</v>
      </c>
      <c r="O116" s="97">
        <f t="shared" si="13"/>
        <v>7208</v>
      </c>
      <c r="P116" t="str">
        <f t="shared" si="14"/>
        <v>CONSTITUCIÓN</v>
      </c>
      <c r="Q116" s="96">
        <f t="shared" si="15"/>
        <v>4.2613391939500004E-3</v>
      </c>
      <c r="R116" s="96"/>
      <c r="S116">
        <f>+COEFyDISTR_MINERO!A121</f>
        <v>7102</v>
      </c>
      <c r="T116">
        <f>+COEFyDISTR_MINERO!B121</f>
        <v>7208</v>
      </c>
      <c r="U116" t="str">
        <f>+COEFyDISTR_MINERO!C121</f>
        <v>CONSTITUCIÓN</v>
      </c>
      <c r="V116" s="96">
        <f>+COEFyDISTR_MINERO!X121</f>
        <v>0</v>
      </c>
      <c r="W116" s="6" t="str">
        <f>+COEFyDISTR_MINERO!D121</f>
        <v>No</v>
      </c>
      <c r="X116" s="96"/>
      <c r="Y116" s="96"/>
      <c r="Z116" s="1">
        <v>7202</v>
      </c>
      <c r="AA116" s="1">
        <v>7403</v>
      </c>
      <c r="AB116" s="1" t="str">
        <v>CHANCO</v>
      </c>
      <c r="AC116" s="1" t="str">
        <v>Entra por Criterio de Dependencia y Percentil</v>
      </c>
      <c r="AF116" s="1">
        <v>7202</v>
      </c>
      <c r="AG116" s="1">
        <v>7403</v>
      </c>
      <c r="AH116" s="1" t="str">
        <v>CHANCO</v>
      </c>
      <c r="AI116" s="405">
        <v>2.4625970249500004E-3</v>
      </c>
    </row>
    <row r="117" spans="1:35" ht="3" customHeight="1" x14ac:dyDescent="0.25">
      <c r="A117" s="5">
        <f>+COEFyDISTR_FET!A122</f>
        <v>7103</v>
      </c>
      <c r="B117" s="5">
        <f>+COEFyDISTR_FET!B122</f>
        <v>7207</v>
      </c>
      <c r="C117" t="str">
        <f>+COEFyDISTR_FET!C122</f>
        <v>CUREPTO</v>
      </c>
      <c r="D117" s="31">
        <f>+COEFyDISTR_FET!D122</f>
        <v>879258</v>
      </c>
      <c r="E117" s="31">
        <f>+COEFyDISTR_FET!E122</f>
        <v>3952526.99</v>
      </c>
      <c r="F117" s="403">
        <f>+COEFyDISTR_FET!G122</f>
        <v>0.26300000000000001</v>
      </c>
      <c r="G117" s="403">
        <f>+COEFyDISTR_FET!H122</f>
        <v>0.81799999999999995</v>
      </c>
      <c r="H117" s="402" t="str">
        <f>IF(D117=0,$A$2,VLOOKUP(COUNTIF(F117,$F$1&amp;$F$2)&amp;COUNTIF(G117,$G$1&amp;$G$2),PARAMETROS!$K$26:$L$30,2,0))</f>
        <v>Entra por Criterio de Dependencia y Percentil</v>
      </c>
      <c r="I117" s="96">
        <f>+COEFyDISTR_FET!AA122</f>
        <v>2.5233073107500002E-3</v>
      </c>
      <c r="J117" s="97">
        <f t="shared" si="8"/>
        <v>7103</v>
      </c>
      <c r="K117" s="97">
        <f t="shared" si="9"/>
        <v>7207</v>
      </c>
      <c r="L117" t="str">
        <f t="shared" si="10"/>
        <v>CUREPTO</v>
      </c>
      <c r="M117" t="str">
        <f t="shared" si="11"/>
        <v>Entra por Criterio de Dependencia y Percentil</v>
      </c>
      <c r="N117" s="97">
        <f t="shared" si="12"/>
        <v>7103</v>
      </c>
      <c r="O117" s="97">
        <f t="shared" si="13"/>
        <v>7207</v>
      </c>
      <c r="P117" t="str">
        <f t="shared" si="14"/>
        <v>CUREPTO</v>
      </c>
      <c r="Q117" s="96">
        <f t="shared" si="15"/>
        <v>2.5233073107500002E-3</v>
      </c>
      <c r="R117" s="96"/>
      <c r="S117">
        <f>+COEFyDISTR_MINERO!A122</f>
        <v>7103</v>
      </c>
      <c r="T117">
        <f>+COEFyDISTR_MINERO!B122</f>
        <v>7207</v>
      </c>
      <c r="U117" t="str">
        <f>+COEFyDISTR_MINERO!C122</f>
        <v>CUREPTO</v>
      </c>
      <c r="V117" s="96">
        <f>+COEFyDISTR_MINERO!X122</f>
        <v>0</v>
      </c>
      <c r="W117" s="6" t="str">
        <f>+COEFyDISTR_MINERO!D122</f>
        <v>No</v>
      </c>
      <c r="X117" s="96"/>
      <c r="Y117" s="96"/>
      <c r="Z117" s="1">
        <v>7203</v>
      </c>
      <c r="AA117" s="1">
        <v>7402</v>
      </c>
      <c r="AB117" s="1" t="str">
        <v>PELLUHUE</v>
      </c>
      <c r="AC117" s="1" t="str">
        <v>Entra por Criterio de Dependencia y Percentil</v>
      </c>
      <c r="AF117" s="1">
        <v>7203</v>
      </c>
      <c r="AG117" s="1">
        <v>7402</v>
      </c>
      <c r="AH117" s="1" t="str">
        <v>PELLUHUE</v>
      </c>
      <c r="AI117" s="405">
        <v>2.2962844314499999E-3</v>
      </c>
    </row>
    <row r="118" spans="1:35" ht="3" customHeight="1" x14ac:dyDescent="0.25">
      <c r="A118" s="5">
        <f>+COEFyDISTR_FET!A123</f>
        <v>7104</v>
      </c>
      <c r="B118" s="5">
        <f>+COEFyDISTR_FET!B123</f>
        <v>7209</v>
      </c>
      <c r="C118" t="str">
        <f>+COEFyDISTR_FET!C123</f>
        <v>EMPEDRADO</v>
      </c>
      <c r="D118" s="31">
        <f>+COEFyDISTR_FET!D123</f>
        <v>375912</v>
      </c>
      <c r="E118" s="31">
        <f>+COEFyDISTR_FET!E123</f>
        <v>2992244.6609999998</v>
      </c>
      <c r="F118" s="403">
        <f>+COEFyDISTR_FET!G123</f>
        <v>9.5000000000000001E-2</v>
      </c>
      <c r="G118" s="403">
        <f>+COEFyDISTR_FET!H123</f>
        <v>0.88839999999999997</v>
      </c>
      <c r="H118" s="402" t="str">
        <f>IF(D118=0,$A$2,VLOOKUP(COUNTIF(F118,$F$1&amp;$F$2)&amp;COUNTIF(G118,$G$1&amp;$G$2),PARAMETROS!$K$26:$L$30,2,0))</f>
        <v>Entra por Criterio de Dependencia y Percentil</v>
      </c>
      <c r="I118" s="96">
        <f>+COEFyDISTR_FET!AA123</f>
        <v>2.1858369099500004E-3</v>
      </c>
      <c r="J118" s="97">
        <f t="shared" si="8"/>
        <v>7104</v>
      </c>
      <c r="K118" s="97">
        <f t="shared" si="9"/>
        <v>7209</v>
      </c>
      <c r="L118" t="str">
        <f t="shared" si="10"/>
        <v>EMPEDRADO</v>
      </c>
      <c r="M118" t="str">
        <f t="shared" si="11"/>
        <v>Entra por Criterio de Dependencia y Percentil</v>
      </c>
      <c r="N118" s="97">
        <f t="shared" si="12"/>
        <v>7104</v>
      </c>
      <c r="O118" s="97">
        <f t="shared" si="13"/>
        <v>7209</v>
      </c>
      <c r="P118" t="str">
        <f t="shared" si="14"/>
        <v>EMPEDRADO</v>
      </c>
      <c r="Q118" s="96">
        <f t="shared" si="15"/>
        <v>2.1858369099500004E-3</v>
      </c>
      <c r="R118" s="96"/>
      <c r="S118">
        <f>+COEFyDISTR_MINERO!A123</f>
        <v>7104</v>
      </c>
      <c r="T118">
        <f>+COEFyDISTR_MINERO!B123</f>
        <v>7209</v>
      </c>
      <c r="U118" t="str">
        <f>+COEFyDISTR_MINERO!C123</f>
        <v>EMPEDRADO</v>
      </c>
      <c r="V118" s="96">
        <f>+COEFyDISTR_MINERO!X123</f>
        <v>0</v>
      </c>
      <c r="W118" s="6" t="str">
        <f>+COEFyDISTR_MINERO!D123</f>
        <v>No</v>
      </c>
      <c r="X118" s="96"/>
      <c r="Y118" s="96"/>
      <c r="Z118" s="1">
        <v>7302</v>
      </c>
      <c r="AA118" s="1">
        <v>7107</v>
      </c>
      <c r="AB118" s="1" t="str">
        <v>HUALAÑÉ</v>
      </c>
      <c r="AC118" s="1" t="str">
        <v>Entra por Criterio de Dependencia y Percentil</v>
      </c>
      <c r="AF118" s="1">
        <v>7302</v>
      </c>
      <c r="AG118" s="1">
        <v>7107</v>
      </c>
      <c r="AH118" s="1" t="str">
        <v>HUALAÑÉ</v>
      </c>
      <c r="AI118" s="405">
        <v>2.0928003358499998E-3</v>
      </c>
    </row>
    <row r="119" spans="1:35" ht="3" customHeight="1" x14ac:dyDescent="0.25">
      <c r="A119" s="5">
        <f>+COEFyDISTR_FET!A124</f>
        <v>7105</v>
      </c>
      <c r="B119" s="5">
        <f>+COEFyDISTR_FET!B124</f>
        <v>7206</v>
      </c>
      <c r="C119" t="str">
        <f>+COEFyDISTR_FET!C124</f>
        <v>MAULE</v>
      </c>
      <c r="D119" s="31">
        <f>+COEFyDISTR_FET!D124</f>
        <v>3268397</v>
      </c>
      <c r="E119" s="31">
        <f>+COEFyDISTR_FET!E124</f>
        <v>10520719.58</v>
      </c>
      <c r="F119" s="403">
        <f>+COEFyDISTR_FET!G124</f>
        <v>0.70099999999999996</v>
      </c>
      <c r="G119" s="403">
        <f>+COEFyDISTR_FET!H124</f>
        <v>0.76300000000000001</v>
      </c>
      <c r="H119" s="402" t="str">
        <f>IF(D119=0,$A$2,VLOOKUP(COUNTIF(F119,$F$1&amp;$F$2)&amp;COUNTIF(G119,$G$1&amp;$G$2),PARAMETROS!$K$26:$L$30,2,0))</f>
        <v>Entra por Criterio de Dependencia y Percentil</v>
      </c>
      <c r="I119" s="96">
        <f>+COEFyDISTR_FET!AA124</f>
        <v>6.8865799152499994E-3</v>
      </c>
      <c r="J119" s="97">
        <f t="shared" si="8"/>
        <v>7105</v>
      </c>
      <c r="K119" s="97">
        <f t="shared" si="9"/>
        <v>7206</v>
      </c>
      <c r="L119" t="str">
        <f t="shared" si="10"/>
        <v>MAULE</v>
      </c>
      <c r="M119" t="str">
        <f t="shared" si="11"/>
        <v>Entra por Criterio de Dependencia y Percentil</v>
      </c>
      <c r="N119" s="97">
        <f t="shared" si="12"/>
        <v>7105</v>
      </c>
      <c r="O119" s="97">
        <f t="shared" si="13"/>
        <v>7206</v>
      </c>
      <c r="P119" t="str">
        <f t="shared" si="14"/>
        <v>MAULE</v>
      </c>
      <c r="Q119" s="96">
        <f t="shared" si="15"/>
        <v>6.8865799152499994E-3</v>
      </c>
      <c r="R119" s="96"/>
      <c r="S119">
        <f>+COEFyDISTR_MINERO!A124</f>
        <v>7105</v>
      </c>
      <c r="T119">
        <f>+COEFyDISTR_MINERO!B124</f>
        <v>7206</v>
      </c>
      <c r="U119" t="str">
        <f>+COEFyDISTR_MINERO!C124</f>
        <v>MAULE</v>
      </c>
      <c r="V119" s="96">
        <f>+COEFyDISTR_MINERO!X124</f>
        <v>0</v>
      </c>
      <c r="W119" s="6" t="str">
        <f>+COEFyDISTR_MINERO!D124</f>
        <v>No</v>
      </c>
      <c r="X119" s="96"/>
      <c r="Y119" s="96"/>
      <c r="Z119" s="1">
        <v>7303</v>
      </c>
      <c r="AA119" s="1">
        <v>7105</v>
      </c>
      <c r="AB119" s="1" t="str">
        <v>LICANTÉN</v>
      </c>
      <c r="AC119" s="1" t="str">
        <v>Entra por Criterio de Dependencia y Percentil</v>
      </c>
      <c r="AF119" s="1">
        <v>7303</v>
      </c>
      <c r="AG119" s="1">
        <v>7105</v>
      </c>
      <c r="AH119" s="1" t="str">
        <v>LICANTÉN</v>
      </c>
      <c r="AI119" s="405">
        <v>1.92440177665E-3</v>
      </c>
    </row>
    <row r="120" spans="1:35" ht="3" customHeight="1" x14ac:dyDescent="0.25">
      <c r="A120" s="5">
        <f>+COEFyDISTR_FET!A125</f>
        <v>7106</v>
      </c>
      <c r="B120" s="5">
        <f>+COEFyDISTR_FET!B125</f>
        <v>7203</v>
      </c>
      <c r="C120" t="str">
        <f>+COEFyDISTR_FET!C125</f>
        <v>PELARCO</v>
      </c>
      <c r="D120" s="31">
        <f>+COEFyDISTR_FET!D125</f>
        <v>7345579</v>
      </c>
      <c r="E120" s="31">
        <f>+COEFyDISTR_FET!E125</f>
        <v>2502024.3689999999</v>
      </c>
      <c r="F120" s="403">
        <f>+COEFyDISTR_FET!G125</f>
        <v>0.58499999999999996</v>
      </c>
      <c r="G120" s="403">
        <f>+COEFyDISTR_FET!H125</f>
        <v>0.25409999999999999</v>
      </c>
      <c r="H120" s="402" t="str">
        <f>IF(D120=0,$A$2,VLOOKUP(COUNTIF(F120,$F$1&amp;$F$2)&amp;COUNTIF(G120,$G$1&amp;$G$2),PARAMETROS!$K$26:$L$30,2,0))</f>
        <v>Entra por Criterio de Percentil</v>
      </c>
      <c r="I120" s="96">
        <f>+COEFyDISTR_FET!AA125</f>
        <v>2.0003632812500001E-3</v>
      </c>
      <c r="J120" s="97">
        <f t="shared" si="8"/>
        <v>7106</v>
      </c>
      <c r="K120" s="97">
        <f t="shared" si="9"/>
        <v>7203</v>
      </c>
      <c r="L120" t="str">
        <f t="shared" si="10"/>
        <v>PELARCO</v>
      </c>
      <c r="M120" t="str">
        <f t="shared" si="11"/>
        <v>Entra por Criterio de Percentil</v>
      </c>
      <c r="N120" s="97">
        <f t="shared" si="12"/>
        <v>7106</v>
      </c>
      <c r="O120" s="97">
        <f t="shared" si="13"/>
        <v>7203</v>
      </c>
      <c r="P120" t="str">
        <f t="shared" si="14"/>
        <v>PELARCO</v>
      </c>
      <c r="Q120" s="96">
        <f t="shared" si="15"/>
        <v>2.0003632812500001E-3</v>
      </c>
      <c r="R120" s="96"/>
      <c r="S120">
        <f>+COEFyDISTR_MINERO!A125</f>
        <v>7106</v>
      </c>
      <c r="T120">
        <f>+COEFyDISTR_MINERO!B125</f>
        <v>7203</v>
      </c>
      <c r="U120" t="str">
        <f>+COEFyDISTR_MINERO!C125</f>
        <v>PELARCO</v>
      </c>
      <c r="V120" s="96">
        <f>+COEFyDISTR_MINERO!X125</f>
        <v>0</v>
      </c>
      <c r="W120" s="6" t="str">
        <f>+COEFyDISTR_MINERO!D125</f>
        <v>No</v>
      </c>
      <c r="X120" s="96"/>
      <c r="Y120" s="96"/>
      <c r="Z120" s="1">
        <v>7304</v>
      </c>
      <c r="AA120" s="1">
        <v>7108</v>
      </c>
      <c r="AB120" s="1" t="str">
        <v>MOLINA</v>
      </c>
      <c r="AC120" s="1" t="str">
        <v>Entra por Criterio de Dependencia y Percentil</v>
      </c>
      <c r="AF120" s="1">
        <v>7304</v>
      </c>
      <c r="AG120" s="1">
        <v>7108</v>
      </c>
      <c r="AH120" s="1" t="str">
        <v>MOLINA</v>
      </c>
      <c r="AI120" s="405">
        <v>4.3299836800499997E-3</v>
      </c>
    </row>
    <row r="121" spans="1:35" ht="3" customHeight="1" x14ac:dyDescent="0.25">
      <c r="A121" s="5">
        <f>+COEFyDISTR_FET!A126</f>
        <v>7107</v>
      </c>
      <c r="B121" s="5">
        <f>+COEFyDISTR_FET!B126</f>
        <v>7205</v>
      </c>
      <c r="C121" t="str">
        <f>+COEFyDISTR_FET!C126</f>
        <v>PENCAHUE</v>
      </c>
      <c r="D121" s="31">
        <f>+COEFyDISTR_FET!D126</f>
        <v>1433212</v>
      </c>
      <c r="E121" s="31">
        <f>+COEFyDISTR_FET!E126</f>
        <v>2572041.1549999998</v>
      </c>
      <c r="F121" s="403">
        <f>+COEFyDISTR_FET!G126</f>
        <v>0.156</v>
      </c>
      <c r="G121" s="403">
        <f>+COEFyDISTR_FET!H126</f>
        <v>0.64219999999999999</v>
      </c>
      <c r="H121" s="402" t="str">
        <f>IF(D121=0,$A$2,VLOOKUP(COUNTIF(F121,$F$1&amp;$F$2)&amp;COUNTIF(G121,$G$1&amp;$G$2),PARAMETROS!$K$26:$L$30,2,0))</f>
        <v>Entra por Criterio de Dependencia y Percentil</v>
      </c>
      <c r="I121" s="96">
        <f>+COEFyDISTR_FET!AA126</f>
        <v>2.0430511365500002E-3</v>
      </c>
      <c r="J121" s="97">
        <f t="shared" si="8"/>
        <v>7107</v>
      </c>
      <c r="K121" s="97">
        <f t="shared" si="9"/>
        <v>7205</v>
      </c>
      <c r="L121" t="str">
        <f t="shared" si="10"/>
        <v>PENCAHUE</v>
      </c>
      <c r="M121" t="str">
        <f t="shared" si="11"/>
        <v>Entra por Criterio de Dependencia y Percentil</v>
      </c>
      <c r="N121" s="97">
        <f t="shared" si="12"/>
        <v>7107</v>
      </c>
      <c r="O121" s="97">
        <f t="shared" si="13"/>
        <v>7205</v>
      </c>
      <c r="P121" t="str">
        <f t="shared" si="14"/>
        <v>PENCAHUE</v>
      </c>
      <c r="Q121" s="96">
        <f t="shared" si="15"/>
        <v>2.0430511365500002E-3</v>
      </c>
      <c r="R121" s="96"/>
      <c r="S121">
        <f>+COEFyDISTR_MINERO!A126</f>
        <v>7107</v>
      </c>
      <c r="T121">
        <f>+COEFyDISTR_MINERO!B126</f>
        <v>7205</v>
      </c>
      <c r="U121" t="str">
        <f>+COEFyDISTR_MINERO!C126</f>
        <v>PENCAHUE</v>
      </c>
      <c r="V121" s="96">
        <f>+COEFyDISTR_MINERO!X126</f>
        <v>0</v>
      </c>
      <c r="W121" s="6" t="str">
        <f>+COEFyDISTR_MINERO!D126</f>
        <v>No</v>
      </c>
      <c r="X121" s="96"/>
      <c r="Y121" s="96"/>
      <c r="Z121" s="1">
        <v>7305</v>
      </c>
      <c r="AA121" s="1">
        <v>7104</v>
      </c>
      <c r="AB121" s="1" t="str">
        <v>RAUCO</v>
      </c>
      <c r="AC121" s="1" t="str">
        <v>Entra por Criterio de Dependencia y Percentil</v>
      </c>
      <c r="AF121" s="1">
        <v>7305</v>
      </c>
      <c r="AG121" s="1">
        <v>7104</v>
      </c>
      <c r="AH121" s="1" t="str">
        <v>RAUCO</v>
      </c>
      <c r="AI121" s="405">
        <v>2.1322011079499999E-3</v>
      </c>
    </row>
    <row r="122" spans="1:35" ht="3" customHeight="1" x14ac:dyDescent="0.25">
      <c r="A122" s="5">
        <f>+COEFyDISTR_FET!A127</f>
        <v>7108</v>
      </c>
      <c r="B122" s="5">
        <f>+COEFyDISTR_FET!B127</f>
        <v>7204</v>
      </c>
      <c r="C122" t="str">
        <f>+COEFyDISTR_FET!C127</f>
        <v>RÍO CLARO</v>
      </c>
      <c r="D122" s="31">
        <f>+COEFyDISTR_FET!D127</f>
        <v>3584070</v>
      </c>
      <c r="E122" s="31">
        <f>+COEFyDISTR_FET!E127</f>
        <v>2801855.071</v>
      </c>
      <c r="F122" s="403">
        <f>+COEFyDISTR_FET!G127</f>
        <v>0.434</v>
      </c>
      <c r="G122" s="403">
        <f>+COEFyDISTR_FET!H127</f>
        <v>0.43880000000000002</v>
      </c>
      <c r="H122" s="402" t="str">
        <f>IF(D122=0,$A$2,VLOOKUP(COUNTIF(F122,$F$1&amp;$F$2)&amp;COUNTIF(G122,$G$1&amp;$G$2),PARAMETROS!$K$26:$L$30,2,0))</f>
        <v>Entra por Criterio de Percentil</v>
      </c>
      <c r="I122" s="96">
        <f>+COEFyDISTR_FET!AA127</f>
        <v>2.1454842772500003E-3</v>
      </c>
      <c r="J122" s="97">
        <f t="shared" si="8"/>
        <v>7108</v>
      </c>
      <c r="K122" s="97">
        <f t="shared" si="9"/>
        <v>7204</v>
      </c>
      <c r="L122" t="str">
        <f t="shared" si="10"/>
        <v>RÍO CLARO</v>
      </c>
      <c r="M122" t="str">
        <f t="shared" si="11"/>
        <v>Entra por Criterio de Percentil</v>
      </c>
      <c r="N122" s="97">
        <f t="shared" si="12"/>
        <v>7108</v>
      </c>
      <c r="O122" s="97">
        <f t="shared" si="13"/>
        <v>7204</v>
      </c>
      <c r="P122" t="str">
        <f t="shared" si="14"/>
        <v>RÍO CLARO</v>
      </c>
      <c r="Q122" s="96">
        <f t="shared" si="15"/>
        <v>2.1454842772500003E-3</v>
      </c>
      <c r="R122" s="96"/>
      <c r="S122">
        <f>+COEFyDISTR_MINERO!A127</f>
        <v>7108</v>
      </c>
      <c r="T122">
        <f>+COEFyDISTR_MINERO!B127</f>
        <v>7204</v>
      </c>
      <c r="U122" t="str">
        <f>+COEFyDISTR_MINERO!C127</f>
        <v>RÍO CLARO</v>
      </c>
      <c r="V122" s="96">
        <f>+COEFyDISTR_MINERO!X127</f>
        <v>0</v>
      </c>
      <c r="W122" s="6" t="str">
        <f>+COEFyDISTR_MINERO!D127</f>
        <v>No</v>
      </c>
      <c r="X122" s="96"/>
      <c r="Y122" s="96"/>
      <c r="Z122" s="1">
        <v>7306</v>
      </c>
      <c r="AA122" s="1">
        <v>7103</v>
      </c>
      <c r="AB122" s="1" t="str">
        <v>ROMERAL</v>
      </c>
      <c r="AC122" s="1" t="str">
        <v>Entra por Criterio de Percentil</v>
      </c>
      <c r="AF122" s="1">
        <v>7306</v>
      </c>
      <c r="AG122" s="1">
        <v>7103</v>
      </c>
      <c r="AH122" s="1" t="str">
        <v>ROMERAL</v>
      </c>
      <c r="AI122" s="405">
        <v>2.15421760145E-3</v>
      </c>
    </row>
    <row r="123" spans="1:35" ht="3" customHeight="1" x14ac:dyDescent="0.25">
      <c r="A123" s="5">
        <f>+COEFyDISTR_FET!A128</f>
        <v>7109</v>
      </c>
      <c r="B123" s="5">
        <f>+COEFyDISTR_FET!B128</f>
        <v>7202</v>
      </c>
      <c r="C123" t="str">
        <f>+COEFyDISTR_FET!C128</f>
        <v>SAN CLEMENTE</v>
      </c>
      <c r="D123" s="31">
        <f>+COEFyDISTR_FET!D128</f>
        <v>3660344</v>
      </c>
      <c r="E123" s="31">
        <f>+COEFyDISTR_FET!E128</f>
        <v>9812201.3579999991</v>
      </c>
      <c r="F123" s="403">
        <f>+COEFyDISTR_FET!G128</f>
        <v>0.68899999999999995</v>
      </c>
      <c r="G123" s="403">
        <f>+COEFyDISTR_FET!H128</f>
        <v>0.72829999999999995</v>
      </c>
      <c r="H123" s="402" t="str">
        <f>IF(D123=0,$A$2,VLOOKUP(COUNTIF(F123,$F$1&amp;$F$2)&amp;COUNTIF(G123,$G$1&amp;$G$2),PARAMETROS!$K$26:$L$30,2,0))</f>
        <v>Entra por Criterio de Dependencia y Percentil</v>
      </c>
      <c r="I123" s="96">
        <f>+COEFyDISTR_FET!AA128</f>
        <v>4.5678860401499998E-3</v>
      </c>
      <c r="J123" s="97">
        <f t="shared" si="8"/>
        <v>7109</v>
      </c>
      <c r="K123" s="97">
        <f t="shared" si="9"/>
        <v>7202</v>
      </c>
      <c r="L123" t="str">
        <f t="shared" si="10"/>
        <v>SAN CLEMENTE</v>
      </c>
      <c r="M123" t="str">
        <f t="shared" si="11"/>
        <v>Entra por Criterio de Dependencia y Percentil</v>
      </c>
      <c r="N123" s="97">
        <f t="shared" si="12"/>
        <v>7109</v>
      </c>
      <c r="O123" s="97">
        <f t="shared" si="13"/>
        <v>7202</v>
      </c>
      <c r="P123" t="str">
        <f t="shared" si="14"/>
        <v>SAN CLEMENTE</v>
      </c>
      <c r="Q123" s="96">
        <f t="shared" si="15"/>
        <v>4.5678860401499998E-3</v>
      </c>
      <c r="R123" s="96"/>
      <c r="S123">
        <f>+COEFyDISTR_MINERO!A128</f>
        <v>7109</v>
      </c>
      <c r="T123">
        <f>+COEFyDISTR_MINERO!B128</f>
        <v>7202</v>
      </c>
      <c r="U123" t="str">
        <f>+COEFyDISTR_MINERO!C128</f>
        <v>SAN CLEMENTE</v>
      </c>
      <c r="V123" s="96">
        <f>+COEFyDISTR_MINERO!X128</f>
        <v>0</v>
      </c>
      <c r="W123" s="6" t="str">
        <f>+COEFyDISTR_MINERO!D128</f>
        <v>No</v>
      </c>
      <c r="X123" s="96"/>
      <c r="Y123" s="96"/>
      <c r="Z123" s="1">
        <v>7307</v>
      </c>
      <c r="AA123" s="1">
        <v>7109</v>
      </c>
      <c r="AB123" s="1" t="str">
        <v>SAGRADA FAMILIA</v>
      </c>
      <c r="AC123" s="1" t="str">
        <v>Entra por Criterio de Percentil</v>
      </c>
      <c r="AF123" s="1">
        <v>7307</v>
      </c>
      <c r="AG123" s="1">
        <v>7109</v>
      </c>
      <c r="AH123" s="1" t="str">
        <v>SAGRADA FAMILIA</v>
      </c>
      <c r="AI123" s="405">
        <v>2.2364120956500002E-3</v>
      </c>
    </row>
    <row r="124" spans="1:35" ht="3" customHeight="1" x14ac:dyDescent="0.25">
      <c r="A124" s="5">
        <f>+COEFyDISTR_FET!A129</f>
        <v>7110</v>
      </c>
      <c r="B124" s="5">
        <f>+COEFyDISTR_FET!B129</f>
        <v>7210</v>
      </c>
      <c r="C124" t="str">
        <f>+COEFyDISTR_FET!C129</f>
        <v>SAN RAFAEL</v>
      </c>
      <c r="D124" s="31">
        <f>+COEFyDISTR_FET!D129</f>
        <v>1313650</v>
      </c>
      <c r="E124" s="31">
        <f>+COEFyDISTR_FET!E129</f>
        <v>2836684.5559999999</v>
      </c>
      <c r="F124" s="403">
        <f>+COEFyDISTR_FET!G129</f>
        <v>0.182</v>
      </c>
      <c r="G124" s="403">
        <f>+COEFyDISTR_FET!H129</f>
        <v>0.6835</v>
      </c>
      <c r="H124" s="402" t="str">
        <f>IF(D124=0,$A$2,VLOOKUP(COUNTIF(F124,$F$1&amp;$F$2)&amp;COUNTIF(G124,$G$1&amp;$G$2),PARAMETROS!$K$26:$L$30,2,0))</f>
        <v>Entra por Criterio de Dependencia y Percentil</v>
      </c>
      <c r="I124" s="96">
        <f>+COEFyDISTR_FET!AA129</f>
        <v>2.0839267693500002E-3</v>
      </c>
      <c r="J124" s="97">
        <f t="shared" si="8"/>
        <v>7110</v>
      </c>
      <c r="K124" s="97">
        <f t="shared" si="9"/>
        <v>7210</v>
      </c>
      <c r="L124" t="str">
        <f t="shared" si="10"/>
        <v>SAN RAFAEL</v>
      </c>
      <c r="M124" t="str">
        <f t="shared" si="11"/>
        <v>Entra por Criterio de Dependencia y Percentil</v>
      </c>
      <c r="N124" s="97">
        <f t="shared" si="12"/>
        <v>7110</v>
      </c>
      <c r="O124" s="97">
        <f t="shared" si="13"/>
        <v>7210</v>
      </c>
      <c r="P124" t="str">
        <f t="shared" si="14"/>
        <v>SAN RAFAEL</v>
      </c>
      <c r="Q124" s="96">
        <f t="shared" si="15"/>
        <v>2.0839267693500002E-3</v>
      </c>
      <c r="R124" s="96"/>
      <c r="S124">
        <f>+COEFyDISTR_MINERO!A129</f>
        <v>7110</v>
      </c>
      <c r="T124">
        <f>+COEFyDISTR_MINERO!B129</f>
        <v>7210</v>
      </c>
      <c r="U124" t="str">
        <f>+COEFyDISTR_MINERO!C129</f>
        <v>SAN RAFAEL</v>
      </c>
      <c r="V124" s="96">
        <f>+COEFyDISTR_MINERO!X129</f>
        <v>0</v>
      </c>
      <c r="W124" s="6" t="str">
        <f>+COEFyDISTR_MINERO!D129</f>
        <v>No</v>
      </c>
      <c r="X124" s="96"/>
      <c r="Y124" s="96"/>
      <c r="Z124" s="1">
        <v>7308</v>
      </c>
      <c r="AA124" s="1">
        <v>7102</v>
      </c>
      <c r="AB124" s="1" t="str">
        <v>TENO</v>
      </c>
      <c r="AC124" s="1" t="str">
        <v>Entra por Criterio de Dependencia y Percentil</v>
      </c>
      <c r="AF124" s="1">
        <v>7308</v>
      </c>
      <c r="AG124" s="1">
        <v>7102</v>
      </c>
      <c r="AH124" s="1" t="str">
        <v>TENO</v>
      </c>
      <c r="AI124" s="405">
        <v>2.5363102878499999E-3</v>
      </c>
    </row>
    <row r="125" spans="1:35" ht="3" customHeight="1" x14ac:dyDescent="0.25">
      <c r="A125" s="5">
        <f>+COEFyDISTR_FET!A130</f>
        <v>7201</v>
      </c>
      <c r="B125" s="5">
        <f>+COEFyDISTR_FET!B130</f>
        <v>7401</v>
      </c>
      <c r="C125" t="str">
        <f>+COEFyDISTR_FET!C130</f>
        <v>CAUQUENES</v>
      </c>
      <c r="D125" s="31">
        <f>+COEFyDISTR_FET!D130</f>
        <v>3461761</v>
      </c>
      <c r="E125" s="31">
        <f>+COEFyDISTR_FET!E130</f>
        <v>10120016.499</v>
      </c>
      <c r="F125" s="403">
        <f>+COEFyDISTR_FET!G130</f>
        <v>0.69199999999999995</v>
      </c>
      <c r="G125" s="403">
        <f>+COEFyDISTR_FET!H130</f>
        <v>0.74509999999999998</v>
      </c>
      <c r="H125" s="402" t="str">
        <f>IF(D125=0,$A$2,VLOOKUP(COUNTIF(F125,$F$1&amp;$F$2)&amp;COUNTIF(G125,$G$1&amp;$G$2),PARAMETROS!$K$26:$L$30,2,0))</f>
        <v>Entra por Criterio de Dependencia y Percentil</v>
      </c>
      <c r="I125" s="96">
        <f>+COEFyDISTR_FET!AA130</f>
        <v>4.78286524245E-3</v>
      </c>
      <c r="J125" s="97">
        <f t="shared" si="8"/>
        <v>7201</v>
      </c>
      <c r="K125" s="97">
        <f t="shared" si="9"/>
        <v>7401</v>
      </c>
      <c r="L125" t="str">
        <f t="shared" si="10"/>
        <v>CAUQUENES</v>
      </c>
      <c r="M125" t="str">
        <f t="shared" si="11"/>
        <v>Entra por Criterio de Dependencia y Percentil</v>
      </c>
      <c r="N125" s="97">
        <f t="shared" si="12"/>
        <v>7201</v>
      </c>
      <c r="O125" s="97">
        <f t="shared" si="13"/>
        <v>7401</v>
      </c>
      <c r="P125" t="str">
        <f t="shared" si="14"/>
        <v>CAUQUENES</v>
      </c>
      <c r="Q125" s="96">
        <f t="shared" si="15"/>
        <v>4.78286524245E-3</v>
      </c>
      <c r="R125" s="96"/>
      <c r="S125">
        <f>+COEFyDISTR_MINERO!A130</f>
        <v>7201</v>
      </c>
      <c r="T125">
        <f>+COEFyDISTR_MINERO!B130</f>
        <v>7401</v>
      </c>
      <c r="U125" t="str">
        <f>+COEFyDISTR_MINERO!C130</f>
        <v>CAUQUENES</v>
      </c>
      <c r="V125" s="96">
        <f>+COEFyDISTR_MINERO!X130</f>
        <v>0</v>
      </c>
      <c r="W125" s="6" t="str">
        <f>+COEFyDISTR_MINERO!D130</f>
        <v>No</v>
      </c>
      <c r="X125" s="96"/>
      <c r="Y125" s="96"/>
      <c r="Z125" s="1">
        <v>7309</v>
      </c>
      <c r="AA125" s="1">
        <v>7106</v>
      </c>
      <c r="AB125" s="1" t="str">
        <v>VICHUQUÉN</v>
      </c>
      <c r="AC125" s="1" t="str">
        <v>Entra por Criterio de Percentil</v>
      </c>
      <c r="AF125" s="1">
        <v>7309</v>
      </c>
      <c r="AG125" s="1">
        <v>7106</v>
      </c>
      <c r="AH125" s="1" t="str">
        <v>VICHUQUÉN</v>
      </c>
      <c r="AI125" s="405">
        <v>1.81960418235E-3</v>
      </c>
    </row>
    <row r="126" spans="1:35" ht="3" customHeight="1" x14ac:dyDescent="0.25">
      <c r="A126" s="5">
        <f>+COEFyDISTR_FET!A131</f>
        <v>7202</v>
      </c>
      <c r="B126" s="5">
        <f>+COEFyDISTR_FET!B131</f>
        <v>7403</v>
      </c>
      <c r="C126" t="str">
        <f>+COEFyDISTR_FET!C131</f>
        <v>CHANCO</v>
      </c>
      <c r="D126" s="31">
        <f>+COEFyDISTR_FET!D131</f>
        <v>696396</v>
      </c>
      <c r="E126" s="31">
        <f>+COEFyDISTR_FET!E131</f>
        <v>3826907.0060000001</v>
      </c>
      <c r="F126" s="403">
        <f>+COEFyDISTR_FET!G131</f>
        <v>0.223</v>
      </c>
      <c r="G126" s="403">
        <f>+COEFyDISTR_FET!H131</f>
        <v>0.84599999999999997</v>
      </c>
      <c r="H126" s="402" t="str">
        <f>IF(D126=0,$A$2,VLOOKUP(COUNTIF(F126,$F$1&amp;$F$2)&amp;COUNTIF(G126,$G$1&amp;$G$2),PARAMETROS!$K$26:$L$30,2,0))</f>
        <v>Entra por Criterio de Dependencia y Percentil</v>
      </c>
      <c r="I126" s="96">
        <f>+COEFyDISTR_FET!AA131</f>
        <v>2.4625970249500004E-3</v>
      </c>
      <c r="J126" s="97">
        <f t="shared" si="8"/>
        <v>7202</v>
      </c>
      <c r="K126" s="97">
        <f t="shared" si="9"/>
        <v>7403</v>
      </c>
      <c r="L126" t="str">
        <f t="shared" si="10"/>
        <v>CHANCO</v>
      </c>
      <c r="M126" t="str">
        <f t="shared" si="11"/>
        <v>Entra por Criterio de Dependencia y Percentil</v>
      </c>
      <c r="N126" s="97">
        <f t="shared" si="12"/>
        <v>7202</v>
      </c>
      <c r="O126" s="97">
        <f t="shared" si="13"/>
        <v>7403</v>
      </c>
      <c r="P126" t="str">
        <f t="shared" si="14"/>
        <v>CHANCO</v>
      </c>
      <c r="Q126" s="96">
        <f t="shared" si="15"/>
        <v>2.4625970249500004E-3</v>
      </c>
      <c r="R126" s="96"/>
      <c r="S126">
        <f>+COEFyDISTR_MINERO!A131</f>
        <v>7202</v>
      </c>
      <c r="T126">
        <f>+COEFyDISTR_MINERO!B131</f>
        <v>7403</v>
      </c>
      <c r="U126" t="str">
        <f>+COEFyDISTR_MINERO!C131</f>
        <v>CHANCO</v>
      </c>
      <c r="V126" s="96">
        <f>+COEFyDISTR_MINERO!X131</f>
        <v>0</v>
      </c>
      <c r="W126" s="6" t="str">
        <f>+COEFyDISTR_MINERO!D131</f>
        <v>No</v>
      </c>
      <c r="X126" s="96"/>
      <c r="Y126" s="96"/>
      <c r="Z126" s="1">
        <v>7401</v>
      </c>
      <c r="AA126" s="1">
        <v>7301</v>
      </c>
      <c r="AB126" s="1" t="str">
        <v>LINARES</v>
      </c>
      <c r="AC126" s="1" t="str">
        <v>Entra por Criterio de Dependencia</v>
      </c>
      <c r="AF126" s="1">
        <v>7401</v>
      </c>
      <c r="AG126" s="1">
        <v>7301</v>
      </c>
      <c r="AH126" s="1" t="str">
        <v>LINARES</v>
      </c>
      <c r="AI126" s="405">
        <v>7.5157363293500007E-3</v>
      </c>
    </row>
    <row r="127" spans="1:35" ht="3" customHeight="1" x14ac:dyDescent="0.25">
      <c r="A127" s="5">
        <f>+COEFyDISTR_FET!A132</f>
        <v>7203</v>
      </c>
      <c r="B127" s="5">
        <f>+COEFyDISTR_FET!B132</f>
        <v>7402</v>
      </c>
      <c r="C127" t="str">
        <f>+COEFyDISTR_FET!C132</f>
        <v>PELLUHUE</v>
      </c>
      <c r="D127" s="31">
        <f>+COEFyDISTR_FET!D132</f>
        <v>1056585</v>
      </c>
      <c r="E127" s="31">
        <f>+COEFyDISTR_FET!E132</f>
        <v>8965051.2819999997</v>
      </c>
      <c r="F127" s="403">
        <f>+COEFyDISTR_FET!G132</f>
        <v>0.59699999999999998</v>
      </c>
      <c r="G127" s="403">
        <f>+COEFyDISTR_FET!H132</f>
        <v>0.89459999999999995</v>
      </c>
      <c r="H127" s="402" t="str">
        <f>IF(D127=0,$A$2,VLOOKUP(COUNTIF(F127,$F$1&amp;$F$2)&amp;COUNTIF(G127,$G$1&amp;$G$2),PARAMETROS!$K$26:$L$30,2,0))</f>
        <v>Entra por Criterio de Dependencia y Percentil</v>
      </c>
      <c r="I127" s="96">
        <f>+COEFyDISTR_FET!AA132</f>
        <v>2.2962844314499999E-3</v>
      </c>
      <c r="J127" s="97">
        <f t="shared" si="8"/>
        <v>7203</v>
      </c>
      <c r="K127" s="97">
        <f t="shared" si="9"/>
        <v>7402</v>
      </c>
      <c r="L127" t="str">
        <f t="shared" si="10"/>
        <v>PELLUHUE</v>
      </c>
      <c r="M127" t="str">
        <f t="shared" si="11"/>
        <v>Entra por Criterio de Dependencia y Percentil</v>
      </c>
      <c r="N127" s="97">
        <f t="shared" si="12"/>
        <v>7203</v>
      </c>
      <c r="O127" s="97">
        <f t="shared" si="13"/>
        <v>7402</v>
      </c>
      <c r="P127" t="str">
        <f t="shared" si="14"/>
        <v>PELLUHUE</v>
      </c>
      <c r="Q127" s="96">
        <f t="shared" si="15"/>
        <v>2.2962844314499999E-3</v>
      </c>
      <c r="R127" s="96"/>
      <c r="S127">
        <f>+COEFyDISTR_MINERO!A132</f>
        <v>7203</v>
      </c>
      <c r="T127">
        <f>+COEFyDISTR_MINERO!B132</f>
        <v>7402</v>
      </c>
      <c r="U127" t="str">
        <f>+COEFyDISTR_MINERO!C132</f>
        <v>PELLUHUE</v>
      </c>
      <c r="V127" s="96">
        <f>+COEFyDISTR_MINERO!X132</f>
        <v>0</v>
      </c>
      <c r="W127" s="6" t="str">
        <f>+COEFyDISTR_MINERO!D132</f>
        <v>No</v>
      </c>
      <c r="X127" s="96"/>
      <c r="Y127" s="96"/>
      <c r="Z127" s="1">
        <v>7402</v>
      </c>
      <c r="AA127" s="1">
        <v>7303</v>
      </c>
      <c r="AB127" s="1" t="str">
        <v>COLBÚN</v>
      </c>
      <c r="AC127" s="1" t="str">
        <v>Entra por Criterio de Percentil</v>
      </c>
      <c r="AF127" s="1">
        <v>7402</v>
      </c>
      <c r="AG127" s="1">
        <v>7303</v>
      </c>
      <c r="AH127" s="1" t="str">
        <v>COLBÚN</v>
      </c>
      <c r="AI127" s="405">
        <v>2.5400429831499999E-3</v>
      </c>
    </row>
    <row r="128" spans="1:35" ht="3" customHeight="1" x14ac:dyDescent="0.25">
      <c r="A128" s="5">
        <f>+COEFyDISTR_FET!A133</f>
        <v>7301</v>
      </c>
      <c r="B128" s="5">
        <f>+COEFyDISTR_FET!B133</f>
        <v>7101</v>
      </c>
      <c r="C128" t="str">
        <f>+COEFyDISTR_FET!C133</f>
        <v>CURICÓ</v>
      </c>
      <c r="D128" s="31">
        <f>+COEFyDISTR_FET!D133</f>
        <v>19368212</v>
      </c>
      <c r="E128" s="31">
        <f>+COEFyDISTR_FET!E133</f>
        <v>17583083.122000001</v>
      </c>
      <c r="F128" s="403">
        <f>+COEFyDISTR_FET!G133</f>
        <v>0.89200000000000002</v>
      </c>
      <c r="G128" s="403">
        <f>+COEFyDISTR_FET!H133</f>
        <v>0.4758</v>
      </c>
      <c r="H128" s="402" t="str">
        <f>IF(D128=0,$A$2,VLOOKUP(COUNTIF(F128,$F$1&amp;$F$2)&amp;COUNTIF(G128,$G$1&amp;$G$2),PARAMETROS!$K$26:$L$30,2,0))</f>
        <v>Sin Acceso</v>
      </c>
      <c r="I128" s="96">
        <f>+COEFyDISTR_FET!AA133</f>
        <v>0</v>
      </c>
      <c r="J128" s="97">
        <f t="shared" si="8"/>
        <v>7301</v>
      </c>
      <c r="K128" s="97">
        <f t="shared" si="9"/>
        <v>7101</v>
      </c>
      <c r="L128" t="str">
        <f t="shared" si="10"/>
        <v>CURICÓ</v>
      </c>
      <c r="M128" t="str">
        <f t="shared" si="11"/>
        <v>Sin Acceso</v>
      </c>
      <c r="N128" s="97">
        <f t="shared" si="12"/>
        <v>7301</v>
      </c>
      <c r="O128" s="97">
        <f t="shared" si="13"/>
        <v>7101</v>
      </c>
      <c r="P128" t="str">
        <f t="shared" si="14"/>
        <v>CURICÓ</v>
      </c>
      <c r="Q128" s="96">
        <f t="shared" si="15"/>
        <v>0</v>
      </c>
      <c r="R128" s="96"/>
      <c r="S128">
        <f>+COEFyDISTR_MINERO!A133</f>
        <v>7301</v>
      </c>
      <c r="T128">
        <f>+COEFyDISTR_MINERO!B133</f>
        <v>7101</v>
      </c>
      <c r="U128" t="str">
        <f>+COEFyDISTR_MINERO!C133</f>
        <v>CURICÓ</v>
      </c>
      <c r="V128" s="96">
        <f>+COEFyDISTR_MINERO!X133</f>
        <v>0</v>
      </c>
      <c r="W128" s="6" t="str">
        <f>+COEFyDISTR_MINERO!D133</f>
        <v>No</v>
      </c>
      <c r="X128" s="96"/>
      <c r="Y128" s="96"/>
      <c r="Z128" s="1">
        <v>7403</v>
      </c>
      <c r="AA128" s="1">
        <v>7304</v>
      </c>
      <c r="AB128" s="1" t="str">
        <v>LONGAVÍ</v>
      </c>
      <c r="AC128" s="1" t="str">
        <v>Entra por Criterio de Dependencia y Percentil</v>
      </c>
      <c r="AF128" s="1">
        <v>7403</v>
      </c>
      <c r="AG128" s="1">
        <v>7304</v>
      </c>
      <c r="AH128" s="1" t="str">
        <v>LONGAVÍ</v>
      </c>
      <c r="AI128" s="405">
        <v>4.4080632529499997E-3</v>
      </c>
    </row>
    <row r="129" spans="1:35" ht="3" customHeight="1" x14ac:dyDescent="0.25">
      <c r="A129" s="5">
        <f>+COEFyDISTR_FET!A134</f>
        <v>7302</v>
      </c>
      <c r="B129" s="5">
        <f>+COEFyDISTR_FET!B134</f>
        <v>7107</v>
      </c>
      <c r="C129" t="str">
        <f>+COEFyDISTR_FET!C134</f>
        <v>HUALAÑÉ</v>
      </c>
      <c r="D129" s="31">
        <f>+COEFyDISTR_FET!D134</f>
        <v>1233193</v>
      </c>
      <c r="E129" s="31">
        <f>+COEFyDISTR_FET!E134</f>
        <v>2872052.9279999998</v>
      </c>
      <c r="F129" s="403">
        <f>+COEFyDISTR_FET!G134</f>
        <v>0.17599999999999999</v>
      </c>
      <c r="G129" s="403">
        <f>+COEFyDISTR_FET!H134</f>
        <v>0.6996</v>
      </c>
      <c r="H129" s="402" t="str">
        <f>IF(D129=0,$A$2,VLOOKUP(COUNTIF(F129,$F$1&amp;$F$2)&amp;COUNTIF(G129,$G$1&amp;$G$2),PARAMETROS!$K$26:$L$30,2,0))</f>
        <v>Entra por Criterio de Dependencia y Percentil</v>
      </c>
      <c r="I129" s="96">
        <f>+COEFyDISTR_FET!AA134</f>
        <v>2.0928003358499998E-3</v>
      </c>
      <c r="J129" s="97">
        <f t="shared" si="8"/>
        <v>7302</v>
      </c>
      <c r="K129" s="97">
        <f t="shared" si="9"/>
        <v>7107</v>
      </c>
      <c r="L129" t="str">
        <f t="shared" si="10"/>
        <v>HUALAÑÉ</v>
      </c>
      <c r="M129" t="str">
        <f t="shared" si="11"/>
        <v>Entra por Criterio de Dependencia y Percentil</v>
      </c>
      <c r="N129" s="97">
        <f t="shared" si="12"/>
        <v>7302</v>
      </c>
      <c r="O129" s="97">
        <f t="shared" si="13"/>
        <v>7107</v>
      </c>
      <c r="P129" t="str">
        <f t="shared" si="14"/>
        <v>HUALAÑÉ</v>
      </c>
      <c r="Q129" s="96">
        <f t="shared" si="15"/>
        <v>2.0928003358499998E-3</v>
      </c>
      <c r="R129" s="96"/>
      <c r="S129">
        <f>+COEFyDISTR_MINERO!A134</f>
        <v>7302</v>
      </c>
      <c r="T129">
        <f>+COEFyDISTR_MINERO!B134</f>
        <v>7107</v>
      </c>
      <c r="U129" t="str">
        <f>+COEFyDISTR_MINERO!C134</f>
        <v>HUALAÑÉ</v>
      </c>
      <c r="V129" s="96">
        <f>+COEFyDISTR_MINERO!X134</f>
        <v>0</v>
      </c>
      <c r="W129" s="6" t="str">
        <f>+COEFyDISTR_MINERO!D134</f>
        <v>No</v>
      </c>
      <c r="X129" s="96"/>
      <c r="Y129" s="96"/>
      <c r="Z129" s="1">
        <v>7404</v>
      </c>
      <c r="AA129" s="1">
        <v>7305</v>
      </c>
      <c r="AB129" s="1" t="str">
        <v>PARRAL</v>
      </c>
      <c r="AC129" s="1" t="str">
        <v>Entra por Criterio de Dependencia y Percentil</v>
      </c>
      <c r="AF129" s="1">
        <v>7404</v>
      </c>
      <c r="AG129" s="1">
        <v>7305</v>
      </c>
      <c r="AH129" s="1" t="str">
        <v>PARRAL</v>
      </c>
      <c r="AI129" s="405">
        <v>4.3174160372500001E-3</v>
      </c>
    </row>
    <row r="130" spans="1:35" ht="3" customHeight="1" x14ac:dyDescent="0.25">
      <c r="A130" s="5">
        <f>+COEFyDISTR_FET!A135</f>
        <v>7303</v>
      </c>
      <c r="B130" s="5">
        <f>+COEFyDISTR_FET!B135</f>
        <v>7105</v>
      </c>
      <c r="C130" t="str">
        <f>+COEFyDISTR_FET!C135</f>
        <v>LICANTÉN</v>
      </c>
      <c r="D130" s="31">
        <f>+COEFyDISTR_FET!D135</f>
        <v>1125209</v>
      </c>
      <c r="E130" s="31">
        <f>+COEFyDISTR_FET!E135</f>
        <v>5403307.9409999996</v>
      </c>
      <c r="F130" s="403">
        <f>+COEFyDISTR_FET!G135</f>
        <v>0.44600000000000001</v>
      </c>
      <c r="G130" s="403">
        <f>+COEFyDISTR_FET!H135</f>
        <v>0.8276</v>
      </c>
      <c r="H130" s="402" t="str">
        <f>IF(D130=0,$A$2,VLOOKUP(COUNTIF(F130,$F$1&amp;$F$2)&amp;COUNTIF(G130,$G$1&amp;$G$2),PARAMETROS!$K$26:$L$30,2,0))</f>
        <v>Entra por Criterio de Dependencia y Percentil</v>
      </c>
      <c r="I130" s="96">
        <f>+COEFyDISTR_FET!AA135</f>
        <v>1.92440177665E-3</v>
      </c>
      <c r="J130" s="97">
        <f t="shared" si="8"/>
        <v>7303</v>
      </c>
      <c r="K130" s="97">
        <f t="shared" si="9"/>
        <v>7105</v>
      </c>
      <c r="L130" t="str">
        <f t="shared" si="10"/>
        <v>LICANTÉN</v>
      </c>
      <c r="M130" t="str">
        <f t="shared" si="11"/>
        <v>Entra por Criterio de Dependencia y Percentil</v>
      </c>
      <c r="N130" s="97">
        <f t="shared" si="12"/>
        <v>7303</v>
      </c>
      <c r="O130" s="97">
        <f t="shared" si="13"/>
        <v>7105</v>
      </c>
      <c r="P130" t="str">
        <f t="shared" si="14"/>
        <v>LICANTÉN</v>
      </c>
      <c r="Q130" s="96">
        <f t="shared" si="15"/>
        <v>1.92440177665E-3</v>
      </c>
      <c r="R130" s="96"/>
      <c r="S130">
        <f>+COEFyDISTR_MINERO!A135</f>
        <v>7303</v>
      </c>
      <c r="T130">
        <f>+COEFyDISTR_MINERO!B135</f>
        <v>7105</v>
      </c>
      <c r="U130" t="str">
        <f>+COEFyDISTR_MINERO!C135</f>
        <v>LICANTÉN</v>
      </c>
      <c r="V130" s="96">
        <f>+COEFyDISTR_MINERO!X135</f>
        <v>0</v>
      </c>
      <c r="W130" s="6" t="str">
        <f>+COEFyDISTR_MINERO!D135</f>
        <v>No</v>
      </c>
      <c r="X130" s="96"/>
      <c r="Y130" s="96"/>
      <c r="Z130" s="1">
        <v>7405</v>
      </c>
      <c r="AA130" s="1">
        <v>7306</v>
      </c>
      <c r="AB130" s="1" t="str">
        <v>RETIRO</v>
      </c>
      <c r="AC130" s="1" t="str">
        <v>Entra por Criterio de Dependencia y Percentil</v>
      </c>
      <c r="AF130" s="1">
        <v>7405</v>
      </c>
      <c r="AG130" s="1">
        <v>7306</v>
      </c>
      <c r="AH130" s="1" t="str">
        <v>RETIRO</v>
      </c>
      <c r="AI130" s="405">
        <v>3.17582758555E-3</v>
      </c>
    </row>
    <row r="131" spans="1:35" ht="3" customHeight="1" x14ac:dyDescent="0.25">
      <c r="A131" s="5">
        <f>+COEFyDISTR_FET!A136</f>
        <v>7304</v>
      </c>
      <c r="B131" s="5">
        <f>+COEFyDISTR_FET!B136</f>
        <v>7108</v>
      </c>
      <c r="C131" t="str">
        <f>+COEFyDISTR_FET!C136</f>
        <v>MOLINA</v>
      </c>
      <c r="D131" s="31">
        <f>+COEFyDISTR_FET!D136</f>
        <v>4145168</v>
      </c>
      <c r="E131" s="31">
        <f>+COEFyDISTR_FET!E136</f>
        <v>10419197.372</v>
      </c>
      <c r="F131" s="403">
        <f>+COEFyDISTR_FET!G136</f>
        <v>0.70699999999999996</v>
      </c>
      <c r="G131" s="403">
        <f>+COEFyDISTR_FET!H136</f>
        <v>0.71540000000000004</v>
      </c>
      <c r="H131" s="402" t="str">
        <f>IF(D131=0,$A$2,VLOOKUP(COUNTIF(F131,$F$1&amp;$F$2)&amp;COUNTIF(G131,$G$1&amp;$G$2),PARAMETROS!$K$26:$L$30,2,0))</f>
        <v>Entra por Criterio de Dependencia y Percentil</v>
      </c>
      <c r="I131" s="96">
        <f>+COEFyDISTR_FET!AA136</f>
        <v>4.3299836800499997E-3</v>
      </c>
      <c r="J131" s="97">
        <f t="shared" si="8"/>
        <v>7304</v>
      </c>
      <c r="K131" s="97">
        <f t="shared" si="9"/>
        <v>7108</v>
      </c>
      <c r="L131" t="str">
        <f t="shared" si="10"/>
        <v>MOLINA</v>
      </c>
      <c r="M131" t="str">
        <f t="shared" si="11"/>
        <v>Entra por Criterio de Dependencia y Percentil</v>
      </c>
      <c r="N131" s="97">
        <f t="shared" si="12"/>
        <v>7304</v>
      </c>
      <c r="O131" s="97">
        <f t="shared" si="13"/>
        <v>7108</v>
      </c>
      <c r="P131" t="str">
        <f t="shared" si="14"/>
        <v>MOLINA</v>
      </c>
      <c r="Q131" s="96">
        <f t="shared" si="15"/>
        <v>4.3299836800499997E-3</v>
      </c>
      <c r="R131" s="96"/>
      <c r="S131">
        <f>+COEFyDISTR_MINERO!A136</f>
        <v>7304</v>
      </c>
      <c r="T131">
        <f>+COEFyDISTR_MINERO!B136</f>
        <v>7108</v>
      </c>
      <c r="U131" t="str">
        <f>+COEFyDISTR_MINERO!C136</f>
        <v>MOLINA</v>
      </c>
      <c r="V131" s="96">
        <f>+COEFyDISTR_MINERO!X136</f>
        <v>0</v>
      </c>
      <c r="W131" s="6" t="str">
        <f>+COEFyDISTR_MINERO!D136</f>
        <v>No</v>
      </c>
      <c r="X131" s="96"/>
      <c r="Y131" s="96"/>
      <c r="Z131" s="1">
        <v>7406</v>
      </c>
      <c r="AA131" s="1">
        <v>7310</v>
      </c>
      <c r="AB131" s="1" t="str">
        <v>SAN JAVIER</v>
      </c>
      <c r="AC131" s="1" t="str">
        <v>Entra por Criterio de Dependencia y Percentil</v>
      </c>
      <c r="AF131" s="1">
        <v>7406</v>
      </c>
      <c r="AG131" s="1">
        <v>7310</v>
      </c>
      <c r="AH131" s="1" t="str">
        <v>SAN JAVIER</v>
      </c>
      <c r="AI131" s="405">
        <v>5.03465702165E-3</v>
      </c>
    </row>
    <row r="132" spans="1:35" ht="3" customHeight="1" x14ac:dyDescent="0.25">
      <c r="A132" s="5">
        <f>+COEFyDISTR_FET!A137</f>
        <v>7305</v>
      </c>
      <c r="B132" s="5">
        <f>+COEFyDISTR_FET!B137</f>
        <v>7104</v>
      </c>
      <c r="C132" t="str">
        <f>+COEFyDISTR_FET!C137</f>
        <v>RAUCO</v>
      </c>
      <c r="D132" s="31">
        <f>+COEFyDISTR_FET!D137</f>
        <v>1199154</v>
      </c>
      <c r="E132" s="31">
        <f>+COEFyDISTR_FET!E137</f>
        <v>2892288.2370000002</v>
      </c>
      <c r="F132" s="403">
        <f>+COEFyDISTR_FET!G137</f>
        <v>0.17100000000000001</v>
      </c>
      <c r="G132" s="403">
        <f>+COEFyDISTR_FET!H137</f>
        <v>0.70689999999999997</v>
      </c>
      <c r="H132" s="402" t="str">
        <f>IF(D132=0,$A$2,VLOOKUP(COUNTIF(F132,$F$1&amp;$F$2)&amp;COUNTIF(G132,$G$1&amp;$G$2),PARAMETROS!$K$26:$L$30,2,0))</f>
        <v>Entra por Criterio de Dependencia y Percentil</v>
      </c>
      <c r="I132" s="96">
        <f>+COEFyDISTR_FET!AA137</f>
        <v>2.1322011079499999E-3</v>
      </c>
      <c r="J132" s="97">
        <f t="shared" ref="J132:J195" si="16">+A132</f>
        <v>7305</v>
      </c>
      <c r="K132" s="97">
        <f t="shared" ref="K132:K195" si="17">+B132</f>
        <v>7104</v>
      </c>
      <c r="L132" t="str">
        <f t="shared" ref="L132:L195" si="18">+C132</f>
        <v>RAUCO</v>
      </c>
      <c r="M132" t="str">
        <f t="shared" ref="M132:M195" si="19">+H132</f>
        <v>Entra por Criterio de Dependencia y Percentil</v>
      </c>
      <c r="N132" s="97">
        <f t="shared" ref="N132:N195" si="20">+J132</f>
        <v>7305</v>
      </c>
      <c r="O132" s="97">
        <f t="shared" ref="O132:O195" si="21">+K132</f>
        <v>7104</v>
      </c>
      <c r="P132" t="str">
        <f t="shared" ref="P132:P195" si="22">+L132</f>
        <v>RAUCO</v>
      </c>
      <c r="Q132" s="96">
        <f t="shared" ref="Q132:Q195" si="23">+I132</f>
        <v>2.1322011079499999E-3</v>
      </c>
      <c r="R132" s="96"/>
      <c r="S132">
        <f>+COEFyDISTR_MINERO!A137</f>
        <v>7305</v>
      </c>
      <c r="T132">
        <f>+COEFyDISTR_MINERO!B137</f>
        <v>7104</v>
      </c>
      <c r="U132" t="str">
        <f>+COEFyDISTR_MINERO!C137</f>
        <v>RAUCO</v>
      </c>
      <c r="V132" s="96">
        <f>+COEFyDISTR_MINERO!X137</f>
        <v>0</v>
      </c>
      <c r="W132" s="6" t="str">
        <f>+COEFyDISTR_MINERO!D137</f>
        <v>No</v>
      </c>
      <c r="X132" s="96"/>
      <c r="Y132" s="96"/>
      <c r="Z132" s="1">
        <v>7407</v>
      </c>
      <c r="AA132" s="1">
        <v>7309</v>
      </c>
      <c r="AB132" s="1" t="str">
        <v>VILLA ALEGRE</v>
      </c>
      <c r="AC132" s="1" t="str">
        <v>Entra por Criterio de Dependencia y Percentil</v>
      </c>
      <c r="AF132" s="1">
        <v>7407</v>
      </c>
      <c r="AG132" s="1">
        <v>7309</v>
      </c>
      <c r="AH132" s="1" t="str">
        <v>VILLA ALEGRE</v>
      </c>
      <c r="AI132" s="405">
        <v>2.9369530233500003E-3</v>
      </c>
    </row>
    <row r="133" spans="1:35" ht="3" customHeight="1" x14ac:dyDescent="0.25">
      <c r="A133" s="5">
        <f>+COEFyDISTR_FET!A138</f>
        <v>7306</v>
      </c>
      <c r="B133" s="5">
        <f>+COEFyDISTR_FET!B138</f>
        <v>7103</v>
      </c>
      <c r="C133" t="str">
        <f>+COEFyDISTR_FET!C138</f>
        <v>ROMERAL</v>
      </c>
      <c r="D133" s="31">
        <f>+COEFyDISTR_FET!D138</f>
        <v>3019388</v>
      </c>
      <c r="E133" s="31">
        <f>+COEFyDISTR_FET!E138</f>
        <v>2837629.2420000001</v>
      </c>
      <c r="F133" s="403">
        <f>+COEFyDISTR_FET!G138</f>
        <v>0.38800000000000001</v>
      </c>
      <c r="G133" s="403">
        <f>+COEFyDISTR_FET!H138</f>
        <v>0.48449999999999999</v>
      </c>
      <c r="H133" s="402" t="str">
        <f>IF(D133=0,$A$2,VLOOKUP(COUNTIF(F133,$F$1&amp;$F$2)&amp;COUNTIF(G133,$G$1&amp;$G$2),PARAMETROS!$K$26:$L$30,2,0))</f>
        <v>Entra por Criterio de Percentil</v>
      </c>
      <c r="I133" s="96">
        <f>+COEFyDISTR_FET!AA138</f>
        <v>2.15421760145E-3</v>
      </c>
      <c r="J133" s="97">
        <f t="shared" si="16"/>
        <v>7306</v>
      </c>
      <c r="K133" s="97">
        <f t="shared" si="17"/>
        <v>7103</v>
      </c>
      <c r="L133" t="str">
        <f t="shared" si="18"/>
        <v>ROMERAL</v>
      </c>
      <c r="M133" t="str">
        <f t="shared" si="19"/>
        <v>Entra por Criterio de Percentil</v>
      </c>
      <c r="N133" s="97">
        <f t="shared" si="20"/>
        <v>7306</v>
      </c>
      <c r="O133" s="97">
        <f t="shared" si="21"/>
        <v>7103</v>
      </c>
      <c r="P133" t="str">
        <f t="shared" si="22"/>
        <v>ROMERAL</v>
      </c>
      <c r="Q133" s="96">
        <f t="shared" si="23"/>
        <v>2.15421760145E-3</v>
      </c>
      <c r="R133" s="96"/>
      <c r="S133">
        <f>+COEFyDISTR_MINERO!A138</f>
        <v>7306</v>
      </c>
      <c r="T133">
        <f>+COEFyDISTR_MINERO!B138</f>
        <v>7103</v>
      </c>
      <c r="U133" t="str">
        <f>+COEFyDISTR_MINERO!C138</f>
        <v>ROMERAL</v>
      </c>
      <c r="V133" s="96">
        <f>+COEFyDISTR_MINERO!X138</f>
        <v>0</v>
      </c>
      <c r="W133" s="6" t="str">
        <f>+COEFyDISTR_MINERO!D138</f>
        <v>No</v>
      </c>
      <c r="X133" s="96"/>
      <c r="Y133" s="96"/>
      <c r="Z133" s="1">
        <v>7408</v>
      </c>
      <c r="AA133" s="1">
        <v>7302</v>
      </c>
      <c r="AB133" s="1" t="str">
        <v>YERBAS BUENAS</v>
      </c>
      <c r="AC133" s="1" t="str">
        <v>Entra por Criterio de Dependencia y Percentil</v>
      </c>
      <c r="AF133" s="1">
        <v>7408</v>
      </c>
      <c r="AG133" s="1">
        <v>7302</v>
      </c>
      <c r="AH133" s="1" t="str">
        <v>YERBAS BUENAS</v>
      </c>
      <c r="AI133" s="405">
        <v>2.65792570435E-3</v>
      </c>
    </row>
    <row r="134" spans="1:35" ht="3" customHeight="1" x14ac:dyDescent="0.25">
      <c r="A134" s="5">
        <f>+COEFyDISTR_FET!A139</f>
        <v>7307</v>
      </c>
      <c r="B134" s="5">
        <f>+COEFyDISTR_FET!B139</f>
        <v>7109</v>
      </c>
      <c r="C134" t="str">
        <f>+COEFyDISTR_FET!C139</f>
        <v>SAGRADA FAMILIA</v>
      </c>
      <c r="D134" s="31">
        <f>+COEFyDISTR_FET!D139</f>
        <v>4489891</v>
      </c>
      <c r="E134" s="31">
        <f>+COEFyDISTR_FET!E139</f>
        <v>3207024.625</v>
      </c>
      <c r="F134" s="403">
        <f>+COEFyDISTR_FET!G139</f>
        <v>0.48099999999999998</v>
      </c>
      <c r="G134" s="403">
        <f>+COEFyDISTR_FET!H139</f>
        <v>0.41670000000000001</v>
      </c>
      <c r="H134" s="402" t="str">
        <f>IF(D134=0,$A$2,VLOOKUP(COUNTIF(F134,$F$1&amp;$F$2)&amp;COUNTIF(G134,$G$1&amp;$G$2),PARAMETROS!$K$26:$L$30,2,0))</f>
        <v>Entra por Criterio de Percentil</v>
      </c>
      <c r="I134" s="96">
        <f>+COEFyDISTR_FET!AA139</f>
        <v>2.2364120956500002E-3</v>
      </c>
      <c r="J134" s="97">
        <f t="shared" si="16"/>
        <v>7307</v>
      </c>
      <c r="K134" s="97">
        <f t="shared" si="17"/>
        <v>7109</v>
      </c>
      <c r="L134" t="str">
        <f t="shared" si="18"/>
        <v>SAGRADA FAMILIA</v>
      </c>
      <c r="M134" t="str">
        <f t="shared" si="19"/>
        <v>Entra por Criterio de Percentil</v>
      </c>
      <c r="N134" s="97">
        <f t="shared" si="20"/>
        <v>7307</v>
      </c>
      <c r="O134" s="97">
        <f t="shared" si="21"/>
        <v>7109</v>
      </c>
      <c r="P134" t="str">
        <f t="shared" si="22"/>
        <v>SAGRADA FAMILIA</v>
      </c>
      <c r="Q134" s="96">
        <f t="shared" si="23"/>
        <v>2.2364120956500002E-3</v>
      </c>
      <c r="R134" s="96"/>
      <c r="S134">
        <f>+COEFyDISTR_MINERO!A139</f>
        <v>7307</v>
      </c>
      <c r="T134">
        <f>+COEFyDISTR_MINERO!B139</f>
        <v>7109</v>
      </c>
      <c r="U134" t="str">
        <f>+COEFyDISTR_MINERO!C139</f>
        <v>SAGRADA FAMILIA</v>
      </c>
      <c r="V134" s="96">
        <f>+COEFyDISTR_MINERO!X139</f>
        <v>0</v>
      </c>
      <c r="W134" s="6" t="str">
        <f>+COEFyDISTR_MINERO!D139</f>
        <v>No</v>
      </c>
      <c r="X134" s="96"/>
      <c r="Y134" s="96"/>
      <c r="Z134" s="1">
        <v>8102</v>
      </c>
      <c r="AA134" s="1">
        <v>8207</v>
      </c>
      <c r="AB134" s="1" t="str">
        <v>CORONEL</v>
      </c>
      <c r="AC134" s="1" t="str">
        <v>Entra por Criterio de Dependencia</v>
      </c>
      <c r="AF134" s="1">
        <v>8102</v>
      </c>
      <c r="AG134" s="1">
        <v>8207</v>
      </c>
      <c r="AH134" s="1" t="str">
        <v>CORONEL</v>
      </c>
      <c r="AI134" s="405">
        <v>5.6719599590499999E-3</v>
      </c>
    </row>
    <row r="135" spans="1:35" ht="3" customHeight="1" x14ac:dyDescent="0.25">
      <c r="A135" s="5">
        <f>+COEFyDISTR_FET!A140</f>
        <v>7308</v>
      </c>
      <c r="B135" s="5">
        <f>+COEFyDISTR_FET!B140</f>
        <v>7102</v>
      </c>
      <c r="C135" t="str">
        <f>+COEFyDISTR_FET!C140</f>
        <v>TENO</v>
      </c>
      <c r="D135" s="31">
        <f>+COEFyDISTR_FET!D140</f>
        <v>3748220</v>
      </c>
      <c r="E135" s="31">
        <f>+COEFyDISTR_FET!E140</f>
        <v>4302549.2</v>
      </c>
      <c r="F135" s="403">
        <f>+COEFyDISTR_FET!G140</f>
        <v>0.504</v>
      </c>
      <c r="G135" s="403">
        <f>+COEFyDISTR_FET!H140</f>
        <v>0.53439999999999999</v>
      </c>
      <c r="H135" s="402" t="str">
        <f>IF(D135=0,$A$2,VLOOKUP(COUNTIF(F135,$F$1&amp;$F$2)&amp;COUNTIF(G135,$G$1&amp;$G$2),PARAMETROS!$K$26:$L$30,2,0))</f>
        <v>Entra por Criterio de Dependencia y Percentil</v>
      </c>
      <c r="I135" s="96">
        <f>+COEFyDISTR_FET!AA140</f>
        <v>2.5363102878499999E-3</v>
      </c>
      <c r="J135" s="97">
        <f t="shared" si="16"/>
        <v>7308</v>
      </c>
      <c r="K135" s="97">
        <f t="shared" si="17"/>
        <v>7102</v>
      </c>
      <c r="L135" t="str">
        <f t="shared" si="18"/>
        <v>TENO</v>
      </c>
      <c r="M135" t="str">
        <f t="shared" si="19"/>
        <v>Entra por Criterio de Dependencia y Percentil</v>
      </c>
      <c r="N135" s="97">
        <f t="shared" si="20"/>
        <v>7308</v>
      </c>
      <c r="O135" s="97">
        <f t="shared" si="21"/>
        <v>7102</v>
      </c>
      <c r="P135" t="str">
        <f t="shared" si="22"/>
        <v>TENO</v>
      </c>
      <c r="Q135" s="96">
        <f t="shared" si="23"/>
        <v>2.5363102878499999E-3</v>
      </c>
      <c r="R135" s="96"/>
      <c r="S135">
        <f>+COEFyDISTR_MINERO!A140</f>
        <v>7308</v>
      </c>
      <c r="T135">
        <f>+COEFyDISTR_MINERO!B140</f>
        <v>7102</v>
      </c>
      <c r="U135" t="str">
        <f>+COEFyDISTR_MINERO!C140</f>
        <v>TENO</v>
      </c>
      <c r="V135" s="96">
        <f>+COEFyDISTR_MINERO!X140</f>
        <v>0</v>
      </c>
      <c r="W135" s="6" t="str">
        <f>+COEFyDISTR_MINERO!D140</f>
        <v>No</v>
      </c>
      <c r="X135" s="96"/>
      <c r="Y135" s="96"/>
      <c r="Z135" s="1">
        <v>8103</v>
      </c>
      <c r="AA135" s="1">
        <v>8211</v>
      </c>
      <c r="AB135" s="1" t="str">
        <v>CHIGUAYANTE</v>
      </c>
      <c r="AC135" s="1" t="str">
        <v>Entra por Criterio de Dependencia</v>
      </c>
      <c r="AF135" s="1">
        <v>8103</v>
      </c>
      <c r="AG135" s="1">
        <v>8211</v>
      </c>
      <c r="AH135" s="1" t="str">
        <v>CHIGUAYANTE</v>
      </c>
      <c r="AI135" s="405">
        <v>4.8222583374499996E-3</v>
      </c>
    </row>
    <row r="136" spans="1:35" ht="3" customHeight="1" x14ac:dyDescent="0.25">
      <c r="A136" s="5">
        <f>+COEFyDISTR_FET!A141</f>
        <v>7309</v>
      </c>
      <c r="B136" s="5">
        <f>+COEFyDISTR_FET!B141</f>
        <v>7106</v>
      </c>
      <c r="C136" t="str">
        <f>+COEFyDISTR_FET!C141</f>
        <v>VICHUQUÉN</v>
      </c>
      <c r="D136" s="31">
        <f>+COEFyDISTR_FET!D141</f>
        <v>2825227</v>
      </c>
      <c r="E136" s="31">
        <f>+COEFyDISTR_FET!E141</f>
        <v>2198479.5729999999</v>
      </c>
      <c r="F136" s="403">
        <f>+COEFyDISTR_FET!G141</f>
        <v>0.27500000000000002</v>
      </c>
      <c r="G136" s="403">
        <f>+COEFyDISTR_FET!H141</f>
        <v>0.43759999999999999</v>
      </c>
      <c r="H136" s="402" t="str">
        <f>IF(D136=0,$A$2,VLOOKUP(COUNTIF(F136,$F$1&amp;$F$2)&amp;COUNTIF(G136,$G$1&amp;$G$2),PARAMETROS!$K$26:$L$30,2,0))</f>
        <v>Entra por Criterio de Percentil</v>
      </c>
      <c r="I136" s="96">
        <f>+COEFyDISTR_FET!AA141</f>
        <v>1.81960418235E-3</v>
      </c>
      <c r="J136" s="97">
        <f t="shared" si="16"/>
        <v>7309</v>
      </c>
      <c r="K136" s="97">
        <f t="shared" si="17"/>
        <v>7106</v>
      </c>
      <c r="L136" t="str">
        <f t="shared" si="18"/>
        <v>VICHUQUÉN</v>
      </c>
      <c r="M136" t="str">
        <f t="shared" si="19"/>
        <v>Entra por Criterio de Percentil</v>
      </c>
      <c r="N136" s="97">
        <f t="shared" si="20"/>
        <v>7309</v>
      </c>
      <c r="O136" s="97">
        <f t="shared" si="21"/>
        <v>7106</v>
      </c>
      <c r="P136" t="str">
        <f t="shared" si="22"/>
        <v>VICHUQUÉN</v>
      </c>
      <c r="Q136" s="96">
        <f t="shared" si="23"/>
        <v>1.81960418235E-3</v>
      </c>
      <c r="R136" s="96"/>
      <c r="S136">
        <f>+COEFyDISTR_MINERO!A141</f>
        <v>7309</v>
      </c>
      <c r="T136">
        <f>+COEFyDISTR_MINERO!B141</f>
        <v>7106</v>
      </c>
      <c r="U136" t="str">
        <f>+COEFyDISTR_MINERO!C141</f>
        <v>VICHUQUÉN</v>
      </c>
      <c r="V136" s="96">
        <f>+COEFyDISTR_MINERO!X141</f>
        <v>0</v>
      </c>
      <c r="W136" s="6" t="str">
        <f>+COEFyDISTR_MINERO!D141</f>
        <v>No</v>
      </c>
      <c r="X136" s="96"/>
      <c r="Y136" s="96"/>
      <c r="Z136" s="1">
        <v>8104</v>
      </c>
      <c r="AA136" s="1">
        <v>8204</v>
      </c>
      <c r="AB136" s="1" t="str">
        <v>FLORIDA</v>
      </c>
      <c r="AC136" s="1" t="str">
        <v>Entra por Criterio de Dependencia y Percentil</v>
      </c>
      <c r="AF136" s="1">
        <v>8104</v>
      </c>
      <c r="AG136" s="1">
        <v>8204</v>
      </c>
      <c r="AH136" s="1" t="str">
        <v>FLORIDA</v>
      </c>
      <c r="AI136" s="405">
        <v>2.5794314089500003E-3</v>
      </c>
    </row>
    <row r="137" spans="1:35" ht="3" customHeight="1" x14ac:dyDescent="0.25">
      <c r="A137" s="5">
        <f>+COEFyDISTR_FET!A142</f>
        <v>7401</v>
      </c>
      <c r="B137" s="5">
        <f>+COEFyDISTR_FET!B142</f>
        <v>7301</v>
      </c>
      <c r="C137" t="str">
        <f>+COEFyDISTR_FET!C142</f>
        <v>LINARES</v>
      </c>
      <c r="D137" s="31">
        <f>+COEFyDISTR_FET!D142</f>
        <v>7861559</v>
      </c>
      <c r="E137" s="31">
        <f>+COEFyDISTR_FET!E142</f>
        <v>16757754.732999999</v>
      </c>
      <c r="F137" s="403">
        <f>+COEFyDISTR_FET!G142</f>
        <v>0.83399999999999996</v>
      </c>
      <c r="G137" s="403">
        <f>+COEFyDISTR_FET!H142</f>
        <v>0.68069999999999997</v>
      </c>
      <c r="H137" s="402" t="str">
        <f>IF(D137=0,$A$2,VLOOKUP(COUNTIF(F137,$F$1&amp;$F$2)&amp;COUNTIF(G137,$G$1&amp;$G$2),PARAMETROS!$K$26:$L$30,2,0))</f>
        <v>Entra por Criterio de Dependencia</v>
      </c>
      <c r="I137" s="96">
        <f>+COEFyDISTR_FET!AA142</f>
        <v>7.5157363293500007E-3</v>
      </c>
      <c r="J137" s="97">
        <f t="shared" si="16"/>
        <v>7401</v>
      </c>
      <c r="K137" s="97">
        <f t="shared" si="17"/>
        <v>7301</v>
      </c>
      <c r="L137" t="str">
        <f t="shared" si="18"/>
        <v>LINARES</v>
      </c>
      <c r="M137" t="str">
        <f t="shared" si="19"/>
        <v>Entra por Criterio de Dependencia</v>
      </c>
      <c r="N137" s="97">
        <f t="shared" si="20"/>
        <v>7401</v>
      </c>
      <c r="O137" s="97">
        <f t="shared" si="21"/>
        <v>7301</v>
      </c>
      <c r="P137" t="str">
        <f t="shared" si="22"/>
        <v>LINARES</v>
      </c>
      <c r="Q137" s="96">
        <f t="shared" si="23"/>
        <v>7.5157363293500007E-3</v>
      </c>
      <c r="R137" s="96"/>
      <c r="S137">
        <f>+COEFyDISTR_MINERO!A142</f>
        <v>7401</v>
      </c>
      <c r="T137">
        <f>+COEFyDISTR_MINERO!B142</f>
        <v>7301</v>
      </c>
      <c r="U137" t="str">
        <f>+COEFyDISTR_MINERO!C142</f>
        <v>LINARES</v>
      </c>
      <c r="V137" s="96">
        <f>+COEFyDISTR_MINERO!X142</f>
        <v>0</v>
      </c>
      <c r="W137" s="6" t="str">
        <f>+COEFyDISTR_MINERO!D142</f>
        <v>No</v>
      </c>
      <c r="X137" s="96"/>
      <c r="Y137" s="96"/>
      <c r="Z137" s="1">
        <v>8105</v>
      </c>
      <c r="AA137" s="1">
        <v>8203</v>
      </c>
      <c r="AB137" s="1" t="str">
        <v>HUALQUI</v>
      </c>
      <c r="AC137" s="1" t="str">
        <v>Entra por Criterio de Dependencia y Percentil</v>
      </c>
      <c r="AF137" s="1">
        <v>8105</v>
      </c>
      <c r="AG137" s="1">
        <v>8203</v>
      </c>
      <c r="AH137" s="1" t="str">
        <v>HUALQUI</v>
      </c>
      <c r="AI137" s="405">
        <v>3.7811716922500002E-3</v>
      </c>
    </row>
    <row r="138" spans="1:35" ht="3" customHeight="1" x14ac:dyDescent="0.25">
      <c r="A138" s="5">
        <f>+COEFyDISTR_FET!A143</f>
        <v>7402</v>
      </c>
      <c r="B138" s="5">
        <f>+COEFyDISTR_FET!B143</f>
        <v>7303</v>
      </c>
      <c r="C138" t="str">
        <f>+COEFyDISTR_FET!C143</f>
        <v>COLBÚN</v>
      </c>
      <c r="D138" s="31">
        <f>+COEFyDISTR_FET!D143</f>
        <v>6754026</v>
      </c>
      <c r="E138" s="31">
        <f>+COEFyDISTR_FET!E143</f>
        <v>4795399.983</v>
      </c>
      <c r="F138" s="403">
        <f>+COEFyDISTR_FET!G143</f>
        <v>0.63400000000000001</v>
      </c>
      <c r="G138" s="403">
        <f>+COEFyDISTR_FET!H143</f>
        <v>0.41520000000000001</v>
      </c>
      <c r="H138" s="402" t="str">
        <f>IF(D138=0,$A$2,VLOOKUP(COUNTIF(F138,$F$1&amp;$F$2)&amp;COUNTIF(G138,$G$1&amp;$G$2),PARAMETROS!$K$26:$L$30,2,0))</f>
        <v>Entra por Criterio de Percentil</v>
      </c>
      <c r="I138" s="96">
        <f>+COEFyDISTR_FET!AA143</f>
        <v>2.5400429831499999E-3</v>
      </c>
      <c r="J138" s="97">
        <f t="shared" si="16"/>
        <v>7402</v>
      </c>
      <c r="K138" s="97">
        <f t="shared" si="17"/>
        <v>7303</v>
      </c>
      <c r="L138" t="str">
        <f t="shared" si="18"/>
        <v>COLBÚN</v>
      </c>
      <c r="M138" t="str">
        <f t="shared" si="19"/>
        <v>Entra por Criterio de Percentil</v>
      </c>
      <c r="N138" s="97">
        <f t="shared" si="20"/>
        <v>7402</v>
      </c>
      <c r="O138" s="97">
        <f t="shared" si="21"/>
        <v>7303</v>
      </c>
      <c r="P138" t="str">
        <f t="shared" si="22"/>
        <v>COLBÚN</v>
      </c>
      <c r="Q138" s="96">
        <f t="shared" si="23"/>
        <v>2.5400429831499999E-3</v>
      </c>
      <c r="R138" s="96"/>
      <c r="S138">
        <f>+COEFyDISTR_MINERO!A143</f>
        <v>7402</v>
      </c>
      <c r="T138">
        <f>+COEFyDISTR_MINERO!B143</f>
        <v>7303</v>
      </c>
      <c r="U138" t="str">
        <f>+COEFyDISTR_MINERO!C143</f>
        <v>COLBÚN</v>
      </c>
      <c r="V138" s="96">
        <f>+COEFyDISTR_MINERO!X143</f>
        <v>0</v>
      </c>
      <c r="W138" s="6" t="str">
        <f>+COEFyDISTR_MINERO!D143</f>
        <v>No</v>
      </c>
      <c r="X138" s="96"/>
      <c r="Y138" s="96"/>
      <c r="Z138" s="1">
        <v>8106</v>
      </c>
      <c r="AA138" s="1">
        <v>8208</v>
      </c>
      <c r="AB138" s="1" t="str">
        <v>LOTA</v>
      </c>
      <c r="AC138" s="1" t="str">
        <v>Entra por Criterio de Dependencia y Percentil</v>
      </c>
      <c r="AF138" s="1">
        <v>8106</v>
      </c>
      <c r="AG138" s="1">
        <v>8208</v>
      </c>
      <c r="AH138" s="1" t="str">
        <v>LOTA</v>
      </c>
      <c r="AI138" s="405">
        <v>4.8220479950500002E-3</v>
      </c>
    </row>
    <row r="139" spans="1:35" ht="3" customHeight="1" x14ac:dyDescent="0.25">
      <c r="A139" s="5">
        <f>+COEFyDISTR_FET!A144</f>
        <v>7403</v>
      </c>
      <c r="B139" s="5">
        <f>+COEFyDISTR_FET!B144</f>
        <v>7304</v>
      </c>
      <c r="C139" t="str">
        <f>+COEFyDISTR_FET!C144</f>
        <v>LONGAVÍ</v>
      </c>
      <c r="D139" s="31">
        <f>+COEFyDISTR_FET!D144</f>
        <v>1720544</v>
      </c>
      <c r="E139" s="31">
        <f>+COEFyDISTR_FET!E144</f>
        <v>7720346.0760000004</v>
      </c>
      <c r="F139" s="403">
        <f>+COEFyDISTR_FET!G144</f>
        <v>0.57099999999999995</v>
      </c>
      <c r="G139" s="403">
        <f>+COEFyDISTR_FET!H144</f>
        <v>0.81779999999999997</v>
      </c>
      <c r="H139" s="402" t="str">
        <f>IF(D139=0,$A$2,VLOOKUP(COUNTIF(F139,$F$1&amp;$F$2)&amp;COUNTIF(G139,$G$1&amp;$G$2),PARAMETROS!$K$26:$L$30,2,0))</f>
        <v>Entra por Criterio de Dependencia y Percentil</v>
      </c>
      <c r="I139" s="96">
        <f>+COEFyDISTR_FET!AA144</f>
        <v>4.4080632529499997E-3</v>
      </c>
      <c r="J139" s="97">
        <f t="shared" si="16"/>
        <v>7403</v>
      </c>
      <c r="K139" s="97">
        <f t="shared" si="17"/>
        <v>7304</v>
      </c>
      <c r="L139" t="str">
        <f t="shared" si="18"/>
        <v>LONGAVÍ</v>
      </c>
      <c r="M139" t="str">
        <f t="shared" si="19"/>
        <v>Entra por Criterio de Dependencia y Percentil</v>
      </c>
      <c r="N139" s="97">
        <f t="shared" si="20"/>
        <v>7403</v>
      </c>
      <c r="O139" s="97">
        <f t="shared" si="21"/>
        <v>7304</v>
      </c>
      <c r="P139" t="str">
        <f t="shared" si="22"/>
        <v>LONGAVÍ</v>
      </c>
      <c r="Q139" s="96">
        <f t="shared" si="23"/>
        <v>4.4080632529499997E-3</v>
      </c>
      <c r="R139" s="96"/>
      <c r="S139">
        <f>+COEFyDISTR_MINERO!A144</f>
        <v>7403</v>
      </c>
      <c r="T139">
        <f>+COEFyDISTR_MINERO!B144</f>
        <v>7304</v>
      </c>
      <c r="U139" t="str">
        <f>+COEFyDISTR_MINERO!C144</f>
        <v>LONGAVÍ</v>
      </c>
      <c r="V139" s="96">
        <f>+COEFyDISTR_MINERO!X144</f>
        <v>0</v>
      </c>
      <c r="W139" s="6" t="str">
        <f>+COEFyDISTR_MINERO!D144</f>
        <v>No</v>
      </c>
      <c r="X139" s="96"/>
      <c r="Y139" s="96"/>
      <c r="Z139" s="1">
        <v>8107</v>
      </c>
      <c r="AA139" s="1">
        <v>8202</v>
      </c>
      <c r="AB139" s="1" t="str">
        <v>PENCO</v>
      </c>
      <c r="AC139" s="1" t="str">
        <v>Entra por Criterio de Dependencia y Percentil</v>
      </c>
      <c r="AF139" s="1">
        <v>8107</v>
      </c>
      <c r="AG139" s="1">
        <v>8202</v>
      </c>
      <c r="AH139" s="1" t="str">
        <v>PENCO</v>
      </c>
      <c r="AI139" s="405">
        <v>3.8835440192500001E-3</v>
      </c>
    </row>
    <row r="140" spans="1:35" ht="3" customHeight="1" x14ac:dyDescent="0.25">
      <c r="A140" s="5">
        <f>+COEFyDISTR_FET!A145</f>
        <v>7404</v>
      </c>
      <c r="B140" s="5">
        <f>+COEFyDISTR_FET!B145</f>
        <v>7305</v>
      </c>
      <c r="C140" t="str">
        <f>+COEFyDISTR_FET!C145</f>
        <v>PARRAL</v>
      </c>
      <c r="D140" s="31">
        <f>+COEFyDISTR_FET!D145</f>
        <v>3732335</v>
      </c>
      <c r="E140" s="31">
        <f>+COEFyDISTR_FET!E145</f>
        <v>9378802.1740000006</v>
      </c>
      <c r="F140" s="403">
        <f>+COEFyDISTR_FET!G145</f>
        <v>0.67800000000000005</v>
      </c>
      <c r="G140" s="403">
        <f>+COEFyDISTR_FET!H145</f>
        <v>0.71530000000000005</v>
      </c>
      <c r="H140" s="402" t="str">
        <f>IF(D140=0,$A$2,VLOOKUP(COUNTIF(F140,$F$1&amp;$F$2)&amp;COUNTIF(G140,$G$1&amp;$G$2),PARAMETROS!$K$26:$L$30,2,0))</f>
        <v>Entra por Criterio de Dependencia y Percentil</v>
      </c>
      <c r="I140" s="96">
        <f>+COEFyDISTR_FET!AA145</f>
        <v>4.3174160372500001E-3</v>
      </c>
      <c r="J140" s="97">
        <f t="shared" si="16"/>
        <v>7404</v>
      </c>
      <c r="K140" s="97">
        <f t="shared" si="17"/>
        <v>7305</v>
      </c>
      <c r="L140" t="str">
        <f t="shared" si="18"/>
        <v>PARRAL</v>
      </c>
      <c r="M140" t="str">
        <f t="shared" si="19"/>
        <v>Entra por Criterio de Dependencia y Percentil</v>
      </c>
      <c r="N140" s="97">
        <f t="shared" si="20"/>
        <v>7404</v>
      </c>
      <c r="O140" s="97">
        <f t="shared" si="21"/>
        <v>7305</v>
      </c>
      <c r="P140" t="str">
        <f t="shared" si="22"/>
        <v>PARRAL</v>
      </c>
      <c r="Q140" s="96">
        <f t="shared" si="23"/>
        <v>4.3174160372500001E-3</v>
      </c>
      <c r="R140" s="96"/>
      <c r="S140">
        <f>+COEFyDISTR_MINERO!A145</f>
        <v>7404</v>
      </c>
      <c r="T140">
        <f>+COEFyDISTR_MINERO!B145</f>
        <v>7305</v>
      </c>
      <c r="U140" t="str">
        <f>+COEFyDISTR_MINERO!C145</f>
        <v>PARRAL</v>
      </c>
      <c r="V140" s="96">
        <f>+COEFyDISTR_MINERO!X145</f>
        <v>0</v>
      </c>
      <c r="W140" s="6" t="str">
        <f>+COEFyDISTR_MINERO!D145</f>
        <v>No</v>
      </c>
      <c r="X140" s="96"/>
      <c r="Y140" s="96"/>
      <c r="Z140" s="1">
        <v>8109</v>
      </c>
      <c r="AA140" s="1">
        <v>8209</v>
      </c>
      <c r="AB140" s="1" t="str">
        <v>SANTA JUANA</v>
      </c>
      <c r="AC140" s="1" t="str">
        <v>Entra por Criterio de Dependencia y Percentil</v>
      </c>
      <c r="AF140" s="1">
        <v>8109</v>
      </c>
      <c r="AG140" s="1">
        <v>8209</v>
      </c>
      <c r="AH140" s="1" t="str">
        <v>SANTA JUANA</v>
      </c>
      <c r="AI140" s="405">
        <v>2.5294458100500001E-3</v>
      </c>
    </row>
    <row r="141" spans="1:35" ht="3" customHeight="1" x14ac:dyDescent="0.25">
      <c r="A141" s="5">
        <f>+COEFyDISTR_FET!A146</f>
        <v>7405</v>
      </c>
      <c r="B141" s="5">
        <f>+COEFyDISTR_FET!B146</f>
        <v>7306</v>
      </c>
      <c r="C141" t="str">
        <f>+COEFyDISTR_FET!C146</f>
        <v>RETIRO</v>
      </c>
      <c r="D141" s="31">
        <f>+COEFyDISTR_FET!D146</f>
        <v>1599709</v>
      </c>
      <c r="E141" s="31">
        <f>+COEFyDISTR_FET!E146</f>
        <v>4946553.2079999996</v>
      </c>
      <c r="F141" s="403">
        <f>+COEFyDISTR_FET!G146</f>
        <v>0.44900000000000001</v>
      </c>
      <c r="G141" s="403">
        <f>+COEFyDISTR_FET!H146</f>
        <v>0.75560000000000005</v>
      </c>
      <c r="H141" s="402" t="str">
        <f>IF(D141=0,$A$2,VLOOKUP(COUNTIF(F141,$F$1&amp;$F$2)&amp;COUNTIF(G141,$G$1&amp;$G$2),PARAMETROS!$K$26:$L$30,2,0))</f>
        <v>Entra por Criterio de Dependencia y Percentil</v>
      </c>
      <c r="I141" s="96">
        <f>+COEFyDISTR_FET!AA146</f>
        <v>3.17582758555E-3</v>
      </c>
      <c r="J141" s="97">
        <f t="shared" si="16"/>
        <v>7405</v>
      </c>
      <c r="K141" s="97">
        <f t="shared" si="17"/>
        <v>7306</v>
      </c>
      <c r="L141" t="str">
        <f t="shared" si="18"/>
        <v>RETIRO</v>
      </c>
      <c r="M141" t="str">
        <f t="shared" si="19"/>
        <v>Entra por Criterio de Dependencia y Percentil</v>
      </c>
      <c r="N141" s="97">
        <f t="shared" si="20"/>
        <v>7405</v>
      </c>
      <c r="O141" s="97">
        <f t="shared" si="21"/>
        <v>7306</v>
      </c>
      <c r="P141" t="str">
        <f t="shared" si="22"/>
        <v>RETIRO</v>
      </c>
      <c r="Q141" s="96">
        <f t="shared" si="23"/>
        <v>3.17582758555E-3</v>
      </c>
      <c r="R141" s="96"/>
      <c r="S141">
        <f>+COEFyDISTR_MINERO!A146</f>
        <v>7405</v>
      </c>
      <c r="T141">
        <f>+COEFyDISTR_MINERO!B146</f>
        <v>7306</v>
      </c>
      <c r="U141" t="str">
        <f>+COEFyDISTR_MINERO!C146</f>
        <v>RETIRO</v>
      </c>
      <c r="V141" s="96">
        <f>+COEFyDISTR_MINERO!X146</f>
        <v>0</v>
      </c>
      <c r="W141" s="6" t="str">
        <f>+COEFyDISTR_MINERO!D146</f>
        <v>No</v>
      </c>
      <c r="X141" s="96"/>
      <c r="Y141" s="96"/>
      <c r="Z141" s="1">
        <v>8111</v>
      </c>
      <c r="AA141" s="1">
        <v>8205</v>
      </c>
      <c r="AB141" s="1" t="str">
        <v>TOMÉ</v>
      </c>
      <c r="AC141" s="1" t="str">
        <v>Entra por Criterio de Dependencia</v>
      </c>
      <c r="AF141" s="1">
        <v>8111</v>
      </c>
      <c r="AG141" s="1">
        <v>8205</v>
      </c>
      <c r="AH141" s="1" t="str">
        <v>TOMÉ</v>
      </c>
      <c r="AI141" s="405">
        <v>5.1539869171500002E-3</v>
      </c>
    </row>
    <row r="142" spans="1:35" ht="3" customHeight="1" x14ac:dyDescent="0.25">
      <c r="A142" s="5">
        <f>+COEFyDISTR_FET!A147</f>
        <v>7406</v>
      </c>
      <c r="B142" s="5">
        <f>+COEFyDISTR_FET!B147</f>
        <v>7310</v>
      </c>
      <c r="C142" t="str">
        <f>+COEFyDISTR_FET!C147</f>
        <v>SAN JAVIER</v>
      </c>
      <c r="D142" s="31">
        <f>+COEFyDISTR_FET!D147</f>
        <v>3710527</v>
      </c>
      <c r="E142" s="31">
        <f>+COEFyDISTR_FET!E147</f>
        <v>10246786.530999999</v>
      </c>
      <c r="F142" s="403">
        <f>+COEFyDISTR_FET!G147</f>
        <v>0.70399999999999996</v>
      </c>
      <c r="G142" s="403">
        <f>+COEFyDISTR_FET!H147</f>
        <v>0.73419999999999996</v>
      </c>
      <c r="H142" s="402" t="str">
        <f>IF(D142=0,$A$2,VLOOKUP(COUNTIF(F142,$F$1&amp;$F$2)&amp;COUNTIF(G142,$G$1&amp;$G$2),PARAMETROS!$K$26:$L$30,2,0))</f>
        <v>Entra por Criterio de Dependencia y Percentil</v>
      </c>
      <c r="I142" s="96">
        <f>+COEFyDISTR_FET!AA147</f>
        <v>5.03465702165E-3</v>
      </c>
      <c r="J142" s="97">
        <f t="shared" si="16"/>
        <v>7406</v>
      </c>
      <c r="K142" s="97">
        <f t="shared" si="17"/>
        <v>7310</v>
      </c>
      <c r="L142" t="str">
        <f t="shared" si="18"/>
        <v>SAN JAVIER</v>
      </c>
      <c r="M142" t="str">
        <f t="shared" si="19"/>
        <v>Entra por Criterio de Dependencia y Percentil</v>
      </c>
      <c r="N142" s="97">
        <f t="shared" si="20"/>
        <v>7406</v>
      </c>
      <c r="O142" s="97">
        <f t="shared" si="21"/>
        <v>7310</v>
      </c>
      <c r="P142" t="str">
        <f t="shared" si="22"/>
        <v>SAN JAVIER</v>
      </c>
      <c r="Q142" s="96">
        <f t="shared" si="23"/>
        <v>5.03465702165E-3</v>
      </c>
      <c r="R142" s="96"/>
      <c r="S142">
        <f>+COEFyDISTR_MINERO!A147</f>
        <v>7406</v>
      </c>
      <c r="T142">
        <f>+COEFyDISTR_MINERO!B147</f>
        <v>7310</v>
      </c>
      <c r="U142" t="str">
        <f>+COEFyDISTR_MINERO!C147</f>
        <v>SAN JAVIER</v>
      </c>
      <c r="V142" s="96">
        <f>+COEFyDISTR_MINERO!X147</f>
        <v>0</v>
      </c>
      <c r="W142" s="6" t="str">
        <f>+COEFyDISTR_MINERO!D147</f>
        <v>No</v>
      </c>
      <c r="X142" s="96"/>
      <c r="Y142" s="96"/>
      <c r="Z142" s="1">
        <v>8112</v>
      </c>
      <c r="AA142" s="1">
        <v>8212</v>
      </c>
      <c r="AB142" s="1" t="str">
        <v>HUALPÉN</v>
      </c>
      <c r="AC142" s="1" t="str">
        <v>Entra por Criterio de Dependencia</v>
      </c>
      <c r="AF142" s="1">
        <v>8112</v>
      </c>
      <c r="AG142" s="1">
        <v>8212</v>
      </c>
      <c r="AH142" s="1" t="str">
        <v>HUALPÉN</v>
      </c>
      <c r="AI142" s="405">
        <v>4.2066584046499995E-3</v>
      </c>
    </row>
    <row r="143" spans="1:35" ht="3" customHeight="1" x14ac:dyDescent="0.25">
      <c r="A143" s="5">
        <f>+COEFyDISTR_FET!A148</f>
        <v>7407</v>
      </c>
      <c r="B143" s="5">
        <f>+COEFyDISTR_FET!B148</f>
        <v>7309</v>
      </c>
      <c r="C143" t="str">
        <f>+COEFyDISTR_FET!C148</f>
        <v>VILLA ALEGRE</v>
      </c>
      <c r="D143" s="31">
        <f>+COEFyDISTR_FET!D148</f>
        <v>1136804</v>
      </c>
      <c r="E143" s="31">
        <f>+COEFyDISTR_FET!E148</f>
        <v>4386926.9179999996</v>
      </c>
      <c r="F143" s="403">
        <f>+COEFyDISTR_FET!G148</f>
        <v>0.35</v>
      </c>
      <c r="G143" s="403">
        <f>+COEFyDISTR_FET!H148</f>
        <v>0.79420000000000002</v>
      </c>
      <c r="H143" s="402" t="str">
        <f>IF(D143=0,$A$2,VLOOKUP(COUNTIF(F143,$F$1&amp;$F$2)&amp;COUNTIF(G143,$G$1&amp;$G$2),PARAMETROS!$K$26:$L$30,2,0))</f>
        <v>Entra por Criterio de Dependencia y Percentil</v>
      </c>
      <c r="I143" s="96">
        <f>+COEFyDISTR_FET!AA148</f>
        <v>2.9369530233500003E-3</v>
      </c>
      <c r="J143" s="97">
        <f t="shared" si="16"/>
        <v>7407</v>
      </c>
      <c r="K143" s="97">
        <f t="shared" si="17"/>
        <v>7309</v>
      </c>
      <c r="L143" t="str">
        <f t="shared" si="18"/>
        <v>VILLA ALEGRE</v>
      </c>
      <c r="M143" t="str">
        <f t="shared" si="19"/>
        <v>Entra por Criterio de Dependencia y Percentil</v>
      </c>
      <c r="N143" s="97">
        <f t="shared" si="20"/>
        <v>7407</v>
      </c>
      <c r="O143" s="97">
        <f t="shared" si="21"/>
        <v>7309</v>
      </c>
      <c r="P143" t="str">
        <f t="shared" si="22"/>
        <v>VILLA ALEGRE</v>
      </c>
      <c r="Q143" s="96">
        <f t="shared" si="23"/>
        <v>2.9369530233500003E-3</v>
      </c>
      <c r="R143" s="96"/>
      <c r="S143">
        <f>+COEFyDISTR_MINERO!A148</f>
        <v>7407</v>
      </c>
      <c r="T143">
        <f>+COEFyDISTR_MINERO!B148</f>
        <v>7309</v>
      </c>
      <c r="U143" t="str">
        <f>+COEFyDISTR_MINERO!C148</f>
        <v>VILLA ALEGRE</v>
      </c>
      <c r="V143" s="96">
        <f>+COEFyDISTR_MINERO!X148</f>
        <v>0</v>
      </c>
      <c r="W143" s="6" t="str">
        <f>+COEFyDISTR_MINERO!D148</f>
        <v>No</v>
      </c>
      <c r="X143" s="96"/>
      <c r="Y143" s="96"/>
      <c r="Z143" s="1">
        <v>8201</v>
      </c>
      <c r="AA143" s="1">
        <v>8303</v>
      </c>
      <c r="AB143" s="1" t="str">
        <v>LEBU</v>
      </c>
      <c r="AC143" s="1" t="str">
        <v>Entra por Criterio de Dependencia y Percentil</v>
      </c>
      <c r="AF143" s="1">
        <v>8201</v>
      </c>
      <c r="AG143" s="1">
        <v>8303</v>
      </c>
      <c r="AH143" s="1" t="str">
        <v>LEBU</v>
      </c>
      <c r="AI143" s="405">
        <v>3.93854237865E-3</v>
      </c>
    </row>
    <row r="144" spans="1:35" ht="3" customHeight="1" x14ac:dyDescent="0.25">
      <c r="A144" s="5">
        <f>+COEFyDISTR_FET!A149</f>
        <v>7408</v>
      </c>
      <c r="B144" s="5">
        <f>+COEFyDISTR_FET!B149</f>
        <v>7302</v>
      </c>
      <c r="C144" t="str">
        <f>+COEFyDISTR_FET!C149</f>
        <v>YERBAS BUENAS</v>
      </c>
      <c r="D144" s="31">
        <f>+COEFyDISTR_FET!D149</f>
        <v>1701031</v>
      </c>
      <c r="E144" s="31">
        <f>+COEFyDISTR_FET!E149</f>
        <v>3872731.4219999998</v>
      </c>
      <c r="F144" s="403">
        <f>+COEFyDISTR_FET!G149</f>
        <v>0.35299999999999998</v>
      </c>
      <c r="G144" s="403">
        <f>+COEFyDISTR_FET!H149</f>
        <v>0.69479999999999997</v>
      </c>
      <c r="H144" s="402" t="str">
        <f>IF(D144=0,$A$2,VLOOKUP(COUNTIF(F144,$F$1&amp;$F$2)&amp;COUNTIF(G144,$G$1&amp;$G$2),PARAMETROS!$K$26:$L$30,2,0))</f>
        <v>Entra por Criterio de Dependencia y Percentil</v>
      </c>
      <c r="I144" s="96">
        <f>+COEFyDISTR_FET!AA149</f>
        <v>2.65792570435E-3</v>
      </c>
      <c r="J144" s="97">
        <f t="shared" si="16"/>
        <v>7408</v>
      </c>
      <c r="K144" s="97">
        <f t="shared" si="17"/>
        <v>7302</v>
      </c>
      <c r="L144" t="str">
        <f t="shared" si="18"/>
        <v>YERBAS BUENAS</v>
      </c>
      <c r="M144" t="str">
        <f t="shared" si="19"/>
        <v>Entra por Criterio de Dependencia y Percentil</v>
      </c>
      <c r="N144" s="97">
        <f t="shared" si="20"/>
        <v>7408</v>
      </c>
      <c r="O144" s="97">
        <f t="shared" si="21"/>
        <v>7302</v>
      </c>
      <c r="P144" t="str">
        <f t="shared" si="22"/>
        <v>YERBAS BUENAS</v>
      </c>
      <c r="Q144" s="96">
        <f t="shared" si="23"/>
        <v>2.65792570435E-3</v>
      </c>
      <c r="R144" s="96"/>
      <c r="S144">
        <f>+COEFyDISTR_MINERO!A149</f>
        <v>7408</v>
      </c>
      <c r="T144">
        <f>+COEFyDISTR_MINERO!B149</f>
        <v>7302</v>
      </c>
      <c r="U144" t="str">
        <f>+COEFyDISTR_MINERO!C149</f>
        <v>YERBAS BUENAS</v>
      </c>
      <c r="V144" s="96">
        <f>+COEFyDISTR_MINERO!X149</f>
        <v>0</v>
      </c>
      <c r="W144" s="6" t="str">
        <f>+COEFyDISTR_MINERO!D149</f>
        <v>No</v>
      </c>
      <c r="X144" s="96"/>
      <c r="Y144" s="96"/>
      <c r="Z144" s="1">
        <v>8202</v>
      </c>
      <c r="AA144" s="1">
        <v>8301</v>
      </c>
      <c r="AB144" s="1" t="str">
        <v>ARAUCO</v>
      </c>
      <c r="AC144" s="1" t="str">
        <v>Entra por Criterio de Dependencia y Percentil</v>
      </c>
      <c r="AF144" s="1">
        <v>8202</v>
      </c>
      <c r="AG144" s="1">
        <v>8301</v>
      </c>
      <c r="AH144" s="1" t="str">
        <v>ARAUCO</v>
      </c>
      <c r="AI144" s="405">
        <v>3.2890975764500001E-3</v>
      </c>
    </row>
    <row r="145" spans="1:35" ht="3" customHeight="1" x14ac:dyDescent="0.25">
      <c r="A145" s="5">
        <f>+COEFyDISTR_FET!A150</f>
        <v>8101</v>
      </c>
      <c r="B145" s="5">
        <f>+COEFyDISTR_FET!B150</f>
        <v>8201</v>
      </c>
      <c r="C145" t="str">
        <f>+COEFyDISTR_FET!C150</f>
        <v>CONCEPCIÓN</v>
      </c>
      <c r="D145" s="31">
        <f>+COEFyDISTR_FET!D150</f>
        <v>41740940</v>
      </c>
      <c r="E145" s="31">
        <f>+COEFyDISTR_FET!E150</f>
        <v>10483327.197000001</v>
      </c>
      <c r="F145" s="403">
        <f>+COEFyDISTR_FET!G150</f>
        <v>0.93600000000000005</v>
      </c>
      <c r="G145" s="403">
        <f>+COEFyDISTR_FET!H150</f>
        <v>0.20069999999999999</v>
      </c>
      <c r="H145" s="402" t="str">
        <f>IF(D145=0,$A$2,VLOOKUP(COUNTIF(F145,$F$1&amp;$F$2)&amp;COUNTIF(G145,$G$1&amp;$G$2),PARAMETROS!$K$26:$L$30,2,0))</f>
        <v>Sin Acceso</v>
      </c>
      <c r="I145" s="96">
        <f>+COEFyDISTR_FET!AA150</f>
        <v>0</v>
      </c>
      <c r="J145" s="97">
        <f t="shared" si="16"/>
        <v>8101</v>
      </c>
      <c r="K145" s="97">
        <f t="shared" si="17"/>
        <v>8201</v>
      </c>
      <c r="L145" t="str">
        <f t="shared" si="18"/>
        <v>CONCEPCIÓN</v>
      </c>
      <c r="M145" t="str">
        <f t="shared" si="19"/>
        <v>Sin Acceso</v>
      </c>
      <c r="N145" s="97">
        <f t="shared" si="20"/>
        <v>8101</v>
      </c>
      <c r="O145" s="97">
        <f t="shared" si="21"/>
        <v>8201</v>
      </c>
      <c r="P145" t="str">
        <f t="shared" si="22"/>
        <v>CONCEPCIÓN</v>
      </c>
      <c r="Q145" s="96">
        <f t="shared" si="23"/>
        <v>0</v>
      </c>
      <c r="R145" s="96"/>
      <c r="S145">
        <f>+COEFyDISTR_MINERO!A150</f>
        <v>8101</v>
      </c>
      <c r="T145">
        <f>+COEFyDISTR_MINERO!B150</f>
        <v>8201</v>
      </c>
      <c r="U145" t="str">
        <f>+COEFyDISTR_MINERO!C150</f>
        <v>CONCEPCIÓN</v>
      </c>
      <c r="V145" s="96">
        <f>+COEFyDISTR_MINERO!X150</f>
        <v>0</v>
      </c>
      <c r="W145" s="6" t="str">
        <f>+COEFyDISTR_MINERO!D150</f>
        <v>No</v>
      </c>
      <c r="X145" s="96"/>
      <c r="Y145" s="96"/>
      <c r="Z145" s="1">
        <v>8203</v>
      </c>
      <c r="AA145" s="1">
        <v>8305</v>
      </c>
      <c r="AB145" s="1" t="str">
        <v>CAÑETE</v>
      </c>
      <c r="AC145" s="1" t="str">
        <v>Entra por Criterio de Dependencia y Percentil</v>
      </c>
      <c r="AF145" s="1">
        <v>8203</v>
      </c>
      <c r="AG145" s="1">
        <v>8305</v>
      </c>
      <c r="AH145" s="1" t="str">
        <v>CAÑETE</v>
      </c>
      <c r="AI145" s="405">
        <v>4.9943782652499998E-3</v>
      </c>
    </row>
    <row r="146" spans="1:35" ht="3" customHeight="1" x14ac:dyDescent="0.25">
      <c r="A146" s="5">
        <f>+COEFyDISTR_FET!A151</f>
        <v>8102</v>
      </c>
      <c r="B146" s="5">
        <f>+COEFyDISTR_FET!B151</f>
        <v>8207</v>
      </c>
      <c r="C146" t="str">
        <f>+COEFyDISTR_FET!C151</f>
        <v>CORONEL</v>
      </c>
      <c r="D146" s="31">
        <f>+COEFyDISTR_FET!D151</f>
        <v>16714067</v>
      </c>
      <c r="E146" s="31">
        <f>+COEFyDISTR_FET!E151</f>
        <v>17452607.429000001</v>
      </c>
      <c r="F146" s="403">
        <f>+COEFyDISTR_FET!G151</f>
        <v>0.88100000000000001</v>
      </c>
      <c r="G146" s="403">
        <f>+COEFyDISTR_FET!H151</f>
        <v>0.51080000000000003</v>
      </c>
      <c r="H146" s="402" t="str">
        <f>IF(D146=0,$A$2,VLOOKUP(COUNTIF(F146,$F$1&amp;$F$2)&amp;COUNTIF(G146,$G$1&amp;$G$2),PARAMETROS!$K$26:$L$30,2,0))</f>
        <v>Entra por Criterio de Dependencia</v>
      </c>
      <c r="I146" s="96">
        <f>+COEFyDISTR_FET!AA151</f>
        <v>5.6719599590499999E-3</v>
      </c>
      <c r="J146" s="97">
        <f t="shared" si="16"/>
        <v>8102</v>
      </c>
      <c r="K146" s="97">
        <f t="shared" si="17"/>
        <v>8207</v>
      </c>
      <c r="L146" t="str">
        <f t="shared" si="18"/>
        <v>CORONEL</v>
      </c>
      <c r="M146" t="str">
        <f t="shared" si="19"/>
        <v>Entra por Criterio de Dependencia</v>
      </c>
      <c r="N146" s="97">
        <f t="shared" si="20"/>
        <v>8102</v>
      </c>
      <c r="O146" s="97">
        <f t="shared" si="21"/>
        <v>8207</v>
      </c>
      <c r="P146" t="str">
        <f t="shared" si="22"/>
        <v>CORONEL</v>
      </c>
      <c r="Q146" s="96">
        <f t="shared" si="23"/>
        <v>5.6719599590499999E-3</v>
      </c>
      <c r="R146" s="96"/>
      <c r="S146">
        <f>+COEFyDISTR_MINERO!A151</f>
        <v>8102</v>
      </c>
      <c r="T146">
        <f>+COEFyDISTR_MINERO!B151</f>
        <v>8207</v>
      </c>
      <c r="U146" t="str">
        <f>+COEFyDISTR_MINERO!C151</f>
        <v>CORONEL</v>
      </c>
      <c r="V146" s="96">
        <f>+COEFyDISTR_MINERO!X151</f>
        <v>0</v>
      </c>
      <c r="W146" s="6" t="str">
        <f>+COEFyDISTR_MINERO!D151</f>
        <v>No</v>
      </c>
      <c r="X146" s="96"/>
      <c r="Y146" s="96"/>
      <c r="Z146" s="1">
        <v>8204</v>
      </c>
      <c r="AA146" s="1">
        <v>8306</v>
      </c>
      <c r="AB146" s="1" t="str">
        <v>CONTULMO</v>
      </c>
      <c r="AC146" s="1" t="str">
        <v>Entra por Criterio de Dependencia y Percentil</v>
      </c>
      <c r="AF146" s="1">
        <v>8204</v>
      </c>
      <c r="AG146" s="1">
        <v>8306</v>
      </c>
      <c r="AH146" s="1" t="str">
        <v>CONTULMO</v>
      </c>
      <c r="AI146" s="405">
        <v>2.1741103753500001E-3</v>
      </c>
    </row>
    <row r="147" spans="1:35" ht="3" customHeight="1" x14ac:dyDescent="0.25">
      <c r="A147" s="5">
        <f>+COEFyDISTR_FET!A152</f>
        <v>8103</v>
      </c>
      <c r="B147" s="5">
        <f>+COEFyDISTR_FET!B152</f>
        <v>8211</v>
      </c>
      <c r="C147" t="str">
        <f>+COEFyDISTR_FET!C152</f>
        <v>CHIGUAYANTE</v>
      </c>
      <c r="D147" s="31">
        <f>+COEFyDISTR_FET!D152</f>
        <v>8188859</v>
      </c>
      <c r="E147" s="31">
        <f>+COEFyDISTR_FET!E152</f>
        <v>12489385.465</v>
      </c>
      <c r="F147" s="403">
        <f>+COEFyDISTR_FET!G152</f>
        <v>0.80200000000000005</v>
      </c>
      <c r="G147" s="403">
        <f>+COEFyDISTR_FET!H152</f>
        <v>0.60399999999999998</v>
      </c>
      <c r="H147" s="402" t="str">
        <f>IF(D147=0,$A$2,VLOOKUP(COUNTIF(F147,$F$1&amp;$F$2)&amp;COUNTIF(G147,$G$1&amp;$G$2),PARAMETROS!$K$26:$L$30,2,0))</f>
        <v>Entra por Criterio de Dependencia</v>
      </c>
      <c r="I147" s="96">
        <f>+COEFyDISTR_FET!AA152</f>
        <v>4.8222583374499996E-3</v>
      </c>
      <c r="J147" s="97">
        <f t="shared" si="16"/>
        <v>8103</v>
      </c>
      <c r="K147" s="97">
        <f t="shared" si="17"/>
        <v>8211</v>
      </c>
      <c r="L147" t="str">
        <f t="shared" si="18"/>
        <v>CHIGUAYANTE</v>
      </c>
      <c r="M147" t="str">
        <f t="shared" si="19"/>
        <v>Entra por Criterio de Dependencia</v>
      </c>
      <c r="N147" s="97">
        <f t="shared" si="20"/>
        <v>8103</v>
      </c>
      <c r="O147" s="97">
        <f t="shared" si="21"/>
        <v>8211</v>
      </c>
      <c r="P147" t="str">
        <f t="shared" si="22"/>
        <v>CHIGUAYANTE</v>
      </c>
      <c r="Q147" s="96">
        <f t="shared" si="23"/>
        <v>4.8222583374499996E-3</v>
      </c>
      <c r="R147" s="96"/>
      <c r="S147">
        <f>+COEFyDISTR_MINERO!A152</f>
        <v>8103</v>
      </c>
      <c r="T147">
        <f>+COEFyDISTR_MINERO!B152</f>
        <v>8211</v>
      </c>
      <c r="U147" t="str">
        <f>+COEFyDISTR_MINERO!C152</f>
        <v>CHIGUAYANTE</v>
      </c>
      <c r="V147" s="96">
        <f>+COEFyDISTR_MINERO!X152</f>
        <v>0</v>
      </c>
      <c r="W147" s="6" t="str">
        <f>+COEFyDISTR_MINERO!D152</f>
        <v>No</v>
      </c>
      <c r="X147" s="96"/>
      <c r="Y147" s="96"/>
      <c r="Z147" s="1">
        <v>8205</v>
      </c>
      <c r="AA147" s="1">
        <v>8302</v>
      </c>
      <c r="AB147" s="1" t="str">
        <v>CURANILAHUE</v>
      </c>
      <c r="AC147" s="1" t="str">
        <v>Entra por Criterio de Dependencia y Percentil</v>
      </c>
      <c r="AF147" s="1">
        <v>8205</v>
      </c>
      <c r="AG147" s="1">
        <v>8302</v>
      </c>
      <c r="AH147" s="1" t="str">
        <v>CURANILAHUE</v>
      </c>
      <c r="AI147" s="405">
        <v>3.81136452955E-3</v>
      </c>
    </row>
    <row r="148" spans="1:35" ht="3" customHeight="1" x14ac:dyDescent="0.25">
      <c r="A148" s="5">
        <f>+COEFyDISTR_FET!A153</f>
        <v>8104</v>
      </c>
      <c r="B148" s="5">
        <f>+COEFyDISTR_FET!B153</f>
        <v>8204</v>
      </c>
      <c r="C148" t="str">
        <f>+COEFyDISTR_FET!C153</f>
        <v>FLORIDA</v>
      </c>
      <c r="D148" s="31">
        <f>+COEFyDISTR_FET!D153</f>
        <v>750760</v>
      </c>
      <c r="E148" s="31">
        <f>+COEFyDISTR_FET!E153</f>
        <v>4435282.1849999996</v>
      </c>
      <c r="F148" s="403">
        <f>+COEFyDISTR_FET!G153</f>
        <v>0.31</v>
      </c>
      <c r="G148" s="403">
        <f>+COEFyDISTR_FET!H153</f>
        <v>0.85519999999999996</v>
      </c>
      <c r="H148" s="402" t="str">
        <f>IF(D148=0,$A$2,VLOOKUP(COUNTIF(F148,$F$1&amp;$F$2)&amp;COUNTIF(G148,$G$1&amp;$G$2),PARAMETROS!$K$26:$L$30,2,0))</f>
        <v>Entra por Criterio de Dependencia y Percentil</v>
      </c>
      <c r="I148" s="96">
        <f>+COEFyDISTR_FET!AA153</f>
        <v>2.5794314089500003E-3</v>
      </c>
      <c r="J148" s="97">
        <f t="shared" si="16"/>
        <v>8104</v>
      </c>
      <c r="K148" s="97">
        <f t="shared" si="17"/>
        <v>8204</v>
      </c>
      <c r="L148" t="str">
        <f t="shared" si="18"/>
        <v>FLORIDA</v>
      </c>
      <c r="M148" t="str">
        <f t="shared" si="19"/>
        <v>Entra por Criterio de Dependencia y Percentil</v>
      </c>
      <c r="N148" s="97">
        <f t="shared" si="20"/>
        <v>8104</v>
      </c>
      <c r="O148" s="97">
        <f t="shared" si="21"/>
        <v>8204</v>
      </c>
      <c r="P148" t="str">
        <f t="shared" si="22"/>
        <v>FLORIDA</v>
      </c>
      <c r="Q148" s="96">
        <f t="shared" si="23"/>
        <v>2.5794314089500003E-3</v>
      </c>
      <c r="R148" s="96"/>
      <c r="S148">
        <f>+COEFyDISTR_MINERO!A153</f>
        <v>8104</v>
      </c>
      <c r="T148">
        <f>+COEFyDISTR_MINERO!B153</f>
        <v>8204</v>
      </c>
      <c r="U148" t="str">
        <f>+COEFyDISTR_MINERO!C153</f>
        <v>FLORIDA</v>
      </c>
      <c r="V148" s="96">
        <f>+COEFyDISTR_MINERO!X153</f>
        <v>0</v>
      </c>
      <c r="W148" s="6" t="str">
        <f>+COEFyDISTR_MINERO!D153</f>
        <v>No</v>
      </c>
      <c r="X148" s="96"/>
      <c r="Y148" s="96"/>
      <c r="Z148" s="1">
        <v>8206</v>
      </c>
      <c r="AA148" s="1">
        <v>8304</v>
      </c>
      <c r="AB148" s="1" t="str">
        <v>LOS ÁLAMOS</v>
      </c>
      <c r="AC148" s="1" t="str">
        <v>Entra por Criterio de Dependencia y Percentil</v>
      </c>
      <c r="AF148" s="1">
        <v>8206</v>
      </c>
      <c r="AG148" s="1">
        <v>8304</v>
      </c>
      <c r="AH148" s="1" t="str">
        <v>LOS ÁLAMOS</v>
      </c>
      <c r="AI148" s="405">
        <v>3.4645862457499997E-3</v>
      </c>
    </row>
    <row r="149" spans="1:35" ht="3" customHeight="1" x14ac:dyDescent="0.25">
      <c r="A149" s="5">
        <f>+COEFyDISTR_FET!A154</f>
        <v>8105</v>
      </c>
      <c r="B149" s="5">
        <f>+COEFyDISTR_FET!B154</f>
        <v>8203</v>
      </c>
      <c r="C149" t="str">
        <f>+COEFyDISTR_FET!C154</f>
        <v>HUALQUI</v>
      </c>
      <c r="D149" s="31">
        <f>+COEFyDISTR_FET!D154</f>
        <v>1333343</v>
      </c>
      <c r="E149" s="31">
        <f>+COEFyDISTR_FET!E154</f>
        <v>6736689.8660000004</v>
      </c>
      <c r="F149" s="403">
        <f>+COEFyDISTR_FET!G154</f>
        <v>0.51</v>
      </c>
      <c r="G149" s="403">
        <f>+COEFyDISTR_FET!H154</f>
        <v>0.83479999999999999</v>
      </c>
      <c r="H149" s="402" t="str">
        <f>IF(D149=0,$A$2,VLOOKUP(COUNTIF(F149,$F$1&amp;$F$2)&amp;COUNTIF(G149,$G$1&amp;$G$2),PARAMETROS!$K$26:$L$30,2,0))</f>
        <v>Entra por Criterio de Dependencia y Percentil</v>
      </c>
      <c r="I149" s="96">
        <f>+COEFyDISTR_FET!AA154</f>
        <v>3.7811716922500002E-3</v>
      </c>
      <c r="J149" s="97">
        <f t="shared" si="16"/>
        <v>8105</v>
      </c>
      <c r="K149" s="97">
        <f t="shared" si="17"/>
        <v>8203</v>
      </c>
      <c r="L149" t="str">
        <f t="shared" si="18"/>
        <v>HUALQUI</v>
      </c>
      <c r="M149" t="str">
        <f t="shared" si="19"/>
        <v>Entra por Criterio de Dependencia y Percentil</v>
      </c>
      <c r="N149" s="97">
        <f t="shared" si="20"/>
        <v>8105</v>
      </c>
      <c r="O149" s="97">
        <f t="shared" si="21"/>
        <v>8203</v>
      </c>
      <c r="P149" t="str">
        <f t="shared" si="22"/>
        <v>HUALQUI</v>
      </c>
      <c r="Q149" s="96">
        <f t="shared" si="23"/>
        <v>3.7811716922500002E-3</v>
      </c>
      <c r="R149" s="96"/>
      <c r="S149">
        <f>+COEFyDISTR_MINERO!A154</f>
        <v>8105</v>
      </c>
      <c r="T149">
        <f>+COEFyDISTR_MINERO!B154</f>
        <v>8203</v>
      </c>
      <c r="U149" t="str">
        <f>+COEFyDISTR_MINERO!C154</f>
        <v>HUALQUI</v>
      </c>
      <c r="V149" s="96">
        <f>+COEFyDISTR_MINERO!X154</f>
        <v>0</v>
      </c>
      <c r="W149" s="6" t="str">
        <f>+COEFyDISTR_MINERO!D154</f>
        <v>No</v>
      </c>
      <c r="X149" s="96"/>
      <c r="Y149" s="96"/>
      <c r="Z149" s="1">
        <v>8207</v>
      </c>
      <c r="AA149" s="1">
        <v>8307</v>
      </c>
      <c r="AB149" s="1" t="str">
        <v>TIRÚA</v>
      </c>
      <c r="AC149" s="1" t="str">
        <v>Entra por Criterio de Dependencia y Percentil</v>
      </c>
      <c r="AF149" s="1">
        <v>8207</v>
      </c>
      <c r="AG149" s="1">
        <v>8307</v>
      </c>
      <c r="AH149" s="1" t="str">
        <v>TIRÚA</v>
      </c>
      <c r="AI149" s="405">
        <v>2.7392855850499999E-3</v>
      </c>
    </row>
    <row r="150" spans="1:35" ht="3" customHeight="1" x14ac:dyDescent="0.25">
      <c r="A150" s="5">
        <f>+COEFyDISTR_FET!A155</f>
        <v>8106</v>
      </c>
      <c r="B150" s="5">
        <f>+COEFyDISTR_FET!B155</f>
        <v>8208</v>
      </c>
      <c r="C150" t="str">
        <f>+COEFyDISTR_FET!C155</f>
        <v>LOTA</v>
      </c>
      <c r="D150" s="31">
        <f>+COEFyDISTR_FET!D155</f>
        <v>2435465</v>
      </c>
      <c r="E150" s="31">
        <f>+COEFyDISTR_FET!E155</f>
        <v>11319447.148</v>
      </c>
      <c r="F150" s="403">
        <f>+COEFyDISTR_FET!G155</f>
        <v>0.69799999999999995</v>
      </c>
      <c r="G150" s="403">
        <f>+COEFyDISTR_FET!H155</f>
        <v>0.82289999999999996</v>
      </c>
      <c r="H150" s="402" t="str">
        <f>IF(D150=0,$A$2,VLOOKUP(COUNTIF(F150,$F$1&amp;$F$2)&amp;COUNTIF(G150,$G$1&amp;$G$2),PARAMETROS!$K$26:$L$30,2,0))</f>
        <v>Entra por Criterio de Dependencia y Percentil</v>
      </c>
      <c r="I150" s="96">
        <f>+COEFyDISTR_FET!AA155</f>
        <v>4.8220479950500002E-3</v>
      </c>
      <c r="J150" s="97">
        <f t="shared" si="16"/>
        <v>8106</v>
      </c>
      <c r="K150" s="97">
        <f t="shared" si="17"/>
        <v>8208</v>
      </c>
      <c r="L150" t="str">
        <f t="shared" si="18"/>
        <v>LOTA</v>
      </c>
      <c r="M150" t="str">
        <f t="shared" si="19"/>
        <v>Entra por Criterio de Dependencia y Percentil</v>
      </c>
      <c r="N150" s="97">
        <f t="shared" si="20"/>
        <v>8106</v>
      </c>
      <c r="O150" s="97">
        <f t="shared" si="21"/>
        <v>8208</v>
      </c>
      <c r="P150" t="str">
        <f t="shared" si="22"/>
        <v>LOTA</v>
      </c>
      <c r="Q150" s="96">
        <f t="shared" si="23"/>
        <v>4.8220479950500002E-3</v>
      </c>
      <c r="R150" s="96"/>
      <c r="S150">
        <f>+COEFyDISTR_MINERO!A155</f>
        <v>8106</v>
      </c>
      <c r="T150">
        <f>+COEFyDISTR_MINERO!B155</f>
        <v>8208</v>
      </c>
      <c r="U150" t="str">
        <f>+COEFyDISTR_MINERO!C155</f>
        <v>LOTA</v>
      </c>
      <c r="V150" s="96">
        <f>+COEFyDISTR_MINERO!X155</f>
        <v>0</v>
      </c>
      <c r="W150" s="6" t="str">
        <f>+COEFyDISTR_MINERO!D155</f>
        <v>No</v>
      </c>
      <c r="X150" s="96"/>
      <c r="Y150" s="96"/>
      <c r="Z150" s="1">
        <v>8301</v>
      </c>
      <c r="AA150" s="1">
        <v>8401</v>
      </c>
      <c r="AB150" s="1" t="str">
        <v>LOS ÁNGELES</v>
      </c>
      <c r="AC150" s="1" t="str">
        <v>Entra por Criterio de Dependencia</v>
      </c>
      <c r="AF150" s="1">
        <v>8301</v>
      </c>
      <c r="AG150" s="1">
        <v>8401</v>
      </c>
      <c r="AH150" s="1" t="str">
        <v>LOS ÁNGELES</v>
      </c>
      <c r="AI150" s="405">
        <v>8.4511123339499981E-3</v>
      </c>
    </row>
    <row r="151" spans="1:35" ht="3" customHeight="1" x14ac:dyDescent="0.25">
      <c r="A151" s="5">
        <f>+COEFyDISTR_FET!A156</f>
        <v>8107</v>
      </c>
      <c r="B151" s="5">
        <f>+COEFyDISTR_FET!B156</f>
        <v>8202</v>
      </c>
      <c r="C151" t="str">
        <f>+COEFyDISTR_FET!C156</f>
        <v>PENCO</v>
      </c>
      <c r="D151" s="31">
        <f>+COEFyDISTR_FET!D156</f>
        <v>4158623</v>
      </c>
      <c r="E151" s="31">
        <f>+COEFyDISTR_FET!E156</f>
        <v>8432705.9399999995</v>
      </c>
      <c r="F151" s="403">
        <f>+COEFyDISTR_FET!G156</f>
        <v>0.65700000000000003</v>
      </c>
      <c r="G151" s="403">
        <f>+COEFyDISTR_FET!H156</f>
        <v>0.66969999999999996</v>
      </c>
      <c r="H151" s="402" t="str">
        <f>IF(D151=0,$A$2,VLOOKUP(COUNTIF(F151,$F$1&amp;$F$2)&amp;COUNTIF(G151,$G$1&amp;$G$2),PARAMETROS!$K$26:$L$30,2,0))</f>
        <v>Entra por Criterio de Dependencia y Percentil</v>
      </c>
      <c r="I151" s="96">
        <f>+COEFyDISTR_FET!AA156</f>
        <v>3.8835440192500001E-3</v>
      </c>
      <c r="J151" s="97">
        <f t="shared" si="16"/>
        <v>8107</v>
      </c>
      <c r="K151" s="97">
        <f t="shared" si="17"/>
        <v>8202</v>
      </c>
      <c r="L151" t="str">
        <f t="shared" si="18"/>
        <v>PENCO</v>
      </c>
      <c r="M151" t="str">
        <f t="shared" si="19"/>
        <v>Entra por Criterio de Dependencia y Percentil</v>
      </c>
      <c r="N151" s="97">
        <f t="shared" si="20"/>
        <v>8107</v>
      </c>
      <c r="O151" s="97">
        <f t="shared" si="21"/>
        <v>8202</v>
      </c>
      <c r="P151" t="str">
        <f t="shared" si="22"/>
        <v>PENCO</v>
      </c>
      <c r="Q151" s="96">
        <f t="shared" si="23"/>
        <v>3.8835440192500001E-3</v>
      </c>
      <c r="R151" s="96"/>
      <c r="S151">
        <f>+COEFyDISTR_MINERO!A156</f>
        <v>8107</v>
      </c>
      <c r="T151">
        <f>+COEFyDISTR_MINERO!B156</f>
        <v>8202</v>
      </c>
      <c r="U151" t="str">
        <f>+COEFyDISTR_MINERO!C156</f>
        <v>PENCO</v>
      </c>
      <c r="V151" s="96">
        <f>+COEFyDISTR_MINERO!X156</f>
        <v>0</v>
      </c>
      <c r="W151" s="6" t="str">
        <f>+COEFyDISTR_MINERO!D156</f>
        <v>No</v>
      </c>
      <c r="X151" s="96"/>
      <c r="Y151" s="96"/>
      <c r="Z151" s="1">
        <v>8302</v>
      </c>
      <c r="AA151" s="1">
        <v>8413</v>
      </c>
      <c r="AB151" s="1" t="str">
        <v>ANTUCO</v>
      </c>
      <c r="AC151" s="1" t="str">
        <v>Entra por Criterio de Dependencia y Percentil</v>
      </c>
      <c r="AF151" s="1">
        <v>8302</v>
      </c>
      <c r="AG151" s="1">
        <v>8413</v>
      </c>
      <c r="AH151" s="1" t="str">
        <v>ANTUCO</v>
      </c>
      <c r="AI151" s="405">
        <v>1.8724404772500001E-3</v>
      </c>
    </row>
    <row r="152" spans="1:35" ht="3" customHeight="1" x14ac:dyDescent="0.25">
      <c r="A152" s="5">
        <f>+COEFyDISTR_FET!A157</f>
        <v>8108</v>
      </c>
      <c r="B152" s="5">
        <f>+COEFyDISTR_FET!B157</f>
        <v>8210</v>
      </c>
      <c r="C152" t="str">
        <f>+COEFyDISTR_FET!C157</f>
        <v>SAN PEDRO DE LA PAZ</v>
      </c>
      <c r="D152" s="31">
        <f>+COEFyDISTR_FET!D157</f>
        <v>17350185</v>
      </c>
      <c r="E152" s="31">
        <f>+COEFyDISTR_FET!E157</f>
        <v>10314776.454</v>
      </c>
      <c r="F152" s="403">
        <f>+COEFyDISTR_FET!G157</f>
        <v>0.86</v>
      </c>
      <c r="G152" s="403">
        <f>+COEFyDISTR_FET!H157</f>
        <v>0.37280000000000002</v>
      </c>
      <c r="H152" s="402" t="str">
        <f>IF(D152=0,$A$2,VLOOKUP(COUNTIF(F152,$F$1&amp;$F$2)&amp;COUNTIF(G152,$G$1&amp;$G$2),PARAMETROS!$K$26:$L$30,2,0))</f>
        <v>Sin Acceso</v>
      </c>
      <c r="I152" s="96">
        <f>+COEFyDISTR_FET!AA157</f>
        <v>0</v>
      </c>
      <c r="J152" s="97">
        <f t="shared" si="16"/>
        <v>8108</v>
      </c>
      <c r="K152" s="97">
        <f t="shared" si="17"/>
        <v>8210</v>
      </c>
      <c r="L152" t="str">
        <f t="shared" si="18"/>
        <v>SAN PEDRO DE LA PAZ</v>
      </c>
      <c r="M152" t="str">
        <f t="shared" si="19"/>
        <v>Sin Acceso</v>
      </c>
      <c r="N152" s="97">
        <f t="shared" si="20"/>
        <v>8108</v>
      </c>
      <c r="O152" s="97">
        <f t="shared" si="21"/>
        <v>8210</v>
      </c>
      <c r="P152" t="str">
        <f t="shared" si="22"/>
        <v>SAN PEDRO DE LA PAZ</v>
      </c>
      <c r="Q152" s="96">
        <f t="shared" si="23"/>
        <v>0</v>
      </c>
      <c r="R152" s="96"/>
      <c r="S152">
        <f>+COEFyDISTR_MINERO!A157</f>
        <v>8108</v>
      </c>
      <c r="T152">
        <f>+COEFyDISTR_MINERO!B157</f>
        <v>8210</v>
      </c>
      <c r="U152" t="str">
        <f>+COEFyDISTR_MINERO!C157</f>
        <v>SAN PEDRO DE LA PAZ</v>
      </c>
      <c r="V152" s="96">
        <f>+COEFyDISTR_MINERO!X157</f>
        <v>0</v>
      </c>
      <c r="W152" s="6" t="str">
        <f>+COEFyDISTR_MINERO!D157</f>
        <v>No</v>
      </c>
      <c r="X152" s="96"/>
      <c r="Y152" s="96"/>
      <c r="Z152" s="1">
        <v>8303</v>
      </c>
      <c r="AA152" s="1">
        <v>8410</v>
      </c>
      <c r="AB152" s="1" t="str">
        <v>CABRERO</v>
      </c>
      <c r="AC152" s="1" t="str">
        <v>Entra por Criterio de Dependencia y Percentil</v>
      </c>
      <c r="AF152" s="1">
        <v>8303</v>
      </c>
      <c r="AG152" s="1">
        <v>8410</v>
      </c>
      <c r="AH152" s="1" t="str">
        <v>CABRERO</v>
      </c>
      <c r="AI152" s="405">
        <v>3.1109639683499996E-3</v>
      </c>
    </row>
    <row r="153" spans="1:35" ht="3" customHeight="1" x14ac:dyDescent="0.25">
      <c r="A153" s="5">
        <f>+COEFyDISTR_FET!A158</f>
        <v>8109</v>
      </c>
      <c r="B153" s="5">
        <f>+COEFyDISTR_FET!B158</f>
        <v>8209</v>
      </c>
      <c r="C153" t="str">
        <f>+COEFyDISTR_FET!C158</f>
        <v>SANTA JUANA</v>
      </c>
      <c r="D153" s="31">
        <f>+COEFyDISTR_FET!D158</f>
        <v>1625727</v>
      </c>
      <c r="E153" s="31">
        <f>+COEFyDISTR_FET!E158</f>
        <v>5292730.3640000001</v>
      </c>
      <c r="F153" s="403">
        <f>+COEFyDISTR_FET!G158</f>
        <v>0.46</v>
      </c>
      <c r="G153" s="403">
        <f>+COEFyDISTR_FET!H158</f>
        <v>0.76500000000000001</v>
      </c>
      <c r="H153" s="402" t="str">
        <f>IF(D153=0,$A$2,VLOOKUP(COUNTIF(F153,$F$1&amp;$F$2)&amp;COUNTIF(G153,$G$1&amp;$G$2),PARAMETROS!$K$26:$L$30,2,0))</f>
        <v>Entra por Criterio de Dependencia y Percentil</v>
      </c>
      <c r="I153" s="96">
        <f>+COEFyDISTR_FET!AA158</f>
        <v>2.5294458100500001E-3</v>
      </c>
      <c r="J153" s="97">
        <f t="shared" si="16"/>
        <v>8109</v>
      </c>
      <c r="K153" s="97">
        <f t="shared" si="17"/>
        <v>8209</v>
      </c>
      <c r="L153" t="str">
        <f t="shared" si="18"/>
        <v>SANTA JUANA</v>
      </c>
      <c r="M153" t="str">
        <f t="shared" si="19"/>
        <v>Entra por Criterio de Dependencia y Percentil</v>
      </c>
      <c r="N153" s="97">
        <f t="shared" si="20"/>
        <v>8109</v>
      </c>
      <c r="O153" s="97">
        <f t="shared" si="21"/>
        <v>8209</v>
      </c>
      <c r="P153" t="str">
        <f t="shared" si="22"/>
        <v>SANTA JUANA</v>
      </c>
      <c r="Q153" s="96">
        <f t="shared" si="23"/>
        <v>2.5294458100500001E-3</v>
      </c>
      <c r="R153" s="96"/>
      <c r="S153">
        <f>+COEFyDISTR_MINERO!A158</f>
        <v>8109</v>
      </c>
      <c r="T153">
        <f>+COEFyDISTR_MINERO!B158</f>
        <v>8209</v>
      </c>
      <c r="U153" t="str">
        <f>+COEFyDISTR_MINERO!C158</f>
        <v>SANTA JUANA</v>
      </c>
      <c r="V153" s="96">
        <f>+COEFyDISTR_MINERO!X158</f>
        <v>0</v>
      </c>
      <c r="W153" s="6" t="str">
        <f>+COEFyDISTR_MINERO!D158</f>
        <v>No</v>
      </c>
      <c r="X153" s="96"/>
      <c r="Y153" s="96"/>
      <c r="Z153" s="1">
        <v>8304</v>
      </c>
      <c r="AA153" s="1">
        <v>8403</v>
      </c>
      <c r="AB153" s="1" t="str">
        <v>LAJA</v>
      </c>
      <c r="AC153" s="1" t="str">
        <v>Entra por Criterio de Dependencia y Percentil</v>
      </c>
      <c r="AF153" s="1">
        <v>8304</v>
      </c>
      <c r="AG153" s="1">
        <v>8403</v>
      </c>
      <c r="AH153" s="1" t="str">
        <v>LAJA</v>
      </c>
      <c r="AI153" s="405">
        <v>2.8021155425500001E-3</v>
      </c>
    </row>
    <row r="154" spans="1:35" ht="3" customHeight="1" x14ac:dyDescent="0.25">
      <c r="A154" s="5">
        <f>+COEFyDISTR_FET!A159</f>
        <v>8110</v>
      </c>
      <c r="B154" s="5">
        <f>+COEFyDISTR_FET!B159</f>
        <v>8206</v>
      </c>
      <c r="C154" t="str">
        <f>+COEFyDISTR_FET!C159</f>
        <v>TALCAHUANO</v>
      </c>
      <c r="D154" s="31">
        <f>+COEFyDISTR_FET!D159</f>
        <v>26119904</v>
      </c>
      <c r="E154" s="31">
        <f>+COEFyDISTR_FET!E159</f>
        <v>11051814.308</v>
      </c>
      <c r="F154" s="403">
        <f>+COEFyDISTR_FET!G159</f>
        <v>0.89500000000000002</v>
      </c>
      <c r="G154" s="403">
        <f>+COEFyDISTR_FET!H159</f>
        <v>0.29730000000000001</v>
      </c>
      <c r="H154" s="402" t="str">
        <f>IF(D154=0,$A$2,VLOOKUP(COUNTIF(F154,$F$1&amp;$F$2)&amp;COUNTIF(G154,$G$1&amp;$G$2),PARAMETROS!$K$26:$L$30,2,0))</f>
        <v>Sin Acceso</v>
      </c>
      <c r="I154" s="96">
        <f>+COEFyDISTR_FET!AA159</f>
        <v>0</v>
      </c>
      <c r="J154" s="97">
        <f t="shared" si="16"/>
        <v>8110</v>
      </c>
      <c r="K154" s="97">
        <f t="shared" si="17"/>
        <v>8206</v>
      </c>
      <c r="L154" t="str">
        <f t="shared" si="18"/>
        <v>TALCAHUANO</v>
      </c>
      <c r="M154" t="str">
        <f t="shared" si="19"/>
        <v>Sin Acceso</v>
      </c>
      <c r="N154" s="97">
        <f t="shared" si="20"/>
        <v>8110</v>
      </c>
      <c r="O154" s="97">
        <f t="shared" si="21"/>
        <v>8206</v>
      </c>
      <c r="P154" t="str">
        <f t="shared" si="22"/>
        <v>TALCAHUANO</v>
      </c>
      <c r="Q154" s="96">
        <f t="shared" si="23"/>
        <v>0</v>
      </c>
      <c r="R154" s="96"/>
      <c r="S154">
        <f>+COEFyDISTR_MINERO!A159</f>
        <v>8110</v>
      </c>
      <c r="T154">
        <f>+COEFyDISTR_MINERO!B159</f>
        <v>8206</v>
      </c>
      <c r="U154" t="str">
        <f>+COEFyDISTR_MINERO!C159</f>
        <v>TALCAHUANO</v>
      </c>
      <c r="V154" s="96">
        <f>+COEFyDISTR_MINERO!X159</f>
        <v>0</v>
      </c>
      <c r="W154" s="6" t="str">
        <f>+COEFyDISTR_MINERO!D159</f>
        <v>No</v>
      </c>
      <c r="X154" s="96"/>
      <c r="Y154" s="96"/>
      <c r="Z154" s="1">
        <v>8305</v>
      </c>
      <c r="AA154" s="1">
        <v>8407</v>
      </c>
      <c r="AB154" s="1" t="str">
        <v>MULCHÉN</v>
      </c>
      <c r="AC154" s="1" t="str">
        <v>Entra por Criterio de Dependencia y Percentil</v>
      </c>
      <c r="AF154" s="1">
        <v>8305</v>
      </c>
      <c r="AG154" s="1">
        <v>8407</v>
      </c>
      <c r="AH154" s="1" t="str">
        <v>MULCHÉN</v>
      </c>
      <c r="AI154" s="405">
        <v>3.3306812789500001E-3</v>
      </c>
    </row>
    <row r="155" spans="1:35" ht="3" customHeight="1" x14ac:dyDescent="0.25">
      <c r="A155" s="5">
        <f>+COEFyDISTR_FET!A160</f>
        <v>8111</v>
      </c>
      <c r="B155" s="5">
        <f>+COEFyDISTR_FET!B160</f>
        <v>8205</v>
      </c>
      <c r="C155" t="str">
        <f>+COEFyDISTR_FET!C160</f>
        <v>TOMÉ</v>
      </c>
      <c r="D155" s="31">
        <f>+COEFyDISTR_FET!D160</f>
        <v>3996907</v>
      </c>
      <c r="E155" s="31">
        <f>+COEFyDISTR_FET!E160</f>
        <v>16957986.750999998</v>
      </c>
      <c r="F155" s="403">
        <f>+COEFyDISTR_FET!G160</f>
        <v>0.80500000000000005</v>
      </c>
      <c r="G155" s="403">
        <f>+COEFyDISTR_FET!H160</f>
        <v>0.80930000000000002</v>
      </c>
      <c r="H155" s="402" t="str">
        <f>IF(D155=0,$A$2,VLOOKUP(COUNTIF(F155,$F$1&amp;$F$2)&amp;COUNTIF(G155,$G$1&amp;$G$2),PARAMETROS!$K$26:$L$30,2,0))</f>
        <v>Entra por Criterio de Dependencia</v>
      </c>
      <c r="I155" s="96">
        <f>+COEFyDISTR_FET!AA160</f>
        <v>5.1539869171500002E-3</v>
      </c>
      <c r="J155" s="97">
        <f t="shared" si="16"/>
        <v>8111</v>
      </c>
      <c r="K155" s="97">
        <f t="shared" si="17"/>
        <v>8205</v>
      </c>
      <c r="L155" t="str">
        <f t="shared" si="18"/>
        <v>TOMÉ</v>
      </c>
      <c r="M155" t="str">
        <f t="shared" si="19"/>
        <v>Entra por Criterio de Dependencia</v>
      </c>
      <c r="N155" s="97">
        <f t="shared" si="20"/>
        <v>8111</v>
      </c>
      <c r="O155" s="97">
        <f t="shared" si="21"/>
        <v>8205</v>
      </c>
      <c r="P155" t="str">
        <f t="shared" si="22"/>
        <v>TOMÉ</v>
      </c>
      <c r="Q155" s="96">
        <f t="shared" si="23"/>
        <v>5.1539869171500002E-3</v>
      </c>
      <c r="R155" s="96"/>
      <c r="S155">
        <f>+COEFyDISTR_MINERO!A160</f>
        <v>8111</v>
      </c>
      <c r="T155">
        <f>+COEFyDISTR_MINERO!B160</f>
        <v>8205</v>
      </c>
      <c r="U155" t="str">
        <f>+COEFyDISTR_MINERO!C160</f>
        <v>TOMÉ</v>
      </c>
      <c r="V155" s="96">
        <f>+COEFyDISTR_MINERO!X160</f>
        <v>0</v>
      </c>
      <c r="W155" s="6" t="str">
        <f>+COEFyDISTR_MINERO!D160</f>
        <v>No</v>
      </c>
      <c r="X155" s="96"/>
      <c r="Y155" s="96"/>
      <c r="Z155" s="1">
        <v>8306</v>
      </c>
      <c r="AA155" s="1">
        <v>8405</v>
      </c>
      <c r="AB155" s="1" t="str">
        <v>NACIMIENTO</v>
      </c>
      <c r="AC155" s="1" t="str">
        <v>Entra por Criterio de Dependencia y Percentil</v>
      </c>
      <c r="AF155" s="1">
        <v>8306</v>
      </c>
      <c r="AG155" s="1">
        <v>8405</v>
      </c>
      <c r="AH155" s="1" t="str">
        <v>NACIMIENTO</v>
      </c>
      <c r="AI155" s="405">
        <v>2.8790691702499996E-3</v>
      </c>
    </row>
    <row r="156" spans="1:35" ht="3" customHeight="1" x14ac:dyDescent="0.25">
      <c r="A156" s="5">
        <f>+COEFyDISTR_FET!A161</f>
        <v>8112</v>
      </c>
      <c r="B156" s="5">
        <f>+COEFyDISTR_FET!B161</f>
        <v>8212</v>
      </c>
      <c r="C156" t="str">
        <f>+COEFyDISTR_FET!C161</f>
        <v>HUALPÉN</v>
      </c>
      <c r="D156" s="31">
        <f>+COEFyDISTR_FET!D161</f>
        <v>10818986</v>
      </c>
      <c r="E156" s="31">
        <f>+COEFyDISTR_FET!E161</f>
        <v>10843255.887</v>
      </c>
      <c r="F156" s="403">
        <f>+COEFyDISTR_FET!G161</f>
        <v>0.81399999999999995</v>
      </c>
      <c r="G156" s="403">
        <f>+COEFyDISTR_FET!H161</f>
        <v>0.50060000000000004</v>
      </c>
      <c r="H156" s="402" t="str">
        <f>IF(D156=0,$A$2,VLOOKUP(COUNTIF(F156,$F$1&amp;$F$2)&amp;COUNTIF(G156,$G$1&amp;$G$2),PARAMETROS!$K$26:$L$30,2,0))</f>
        <v>Entra por Criterio de Dependencia</v>
      </c>
      <c r="I156" s="96">
        <f>+COEFyDISTR_FET!AA161</f>
        <v>4.2066584046499995E-3</v>
      </c>
      <c r="J156" s="97">
        <f t="shared" si="16"/>
        <v>8112</v>
      </c>
      <c r="K156" s="97">
        <f t="shared" si="17"/>
        <v>8212</v>
      </c>
      <c r="L156" t="str">
        <f t="shared" si="18"/>
        <v>HUALPÉN</v>
      </c>
      <c r="M156" t="str">
        <f t="shared" si="19"/>
        <v>Entra por Criterio de Dependencia</v>
      </c>
      <c r="N156" s="97">
        <f t="shared" si="20"/>
        <v>8112</v>
      </c>
      <c r="O156" s="97">
        <f t="shared" si="21"/>
        <v>8212</v>
      </c>
      <c r="P156" t="str">
        <f t="shared" si="22"/>
        <v>HUALPÉN</v>
      </c>
      <c r="Q156" s="96">
        <f t="shared" si="23"/>
        <v>4.2066584046499995E-3</v>
      </c>
      <c r="R156" s="96"/>
      <c r="S156">
        <f>+COEFyDISTR_MINERO!A161</f>
        <v>8112</v>
      </c>
      <c r="T156">
        <f>+COEFyDISTR_MINERO!B161</f>
        <v>8212</v>
      </c>
      <c r="U156" t="str">
        <f>+COEFyDISTR_MINERO!C161</f>
        <v>HUALPÉN</v>
      </c>
      <c r="V156" s="96">
        <f>+COEFyDISTR_MINERO!X161</f>
        <v>0</v>
      </c>
      <c r="W156" s="6" t="str">
        <f>+COEFyDISTR_MINERO!D161</f>
        <v>No</v>
      </c>
      <c r="X156" s="96"/>
      <c r="Y156" s="96"/>
      <c r="Z156" s="1">
        <v>8307</v>
      </c>
      <c r="AA156" s="1">
        <v>8406</v>
      </c>
      <c r="AB156" s="1" t="str">
        <v>NEGRETE</v>
      </c>
      <c r="AC156" s="1" t="str">
        <v>Entra por Criterio de Dependencia y Percentil</v>
      </c>
      <c r="AF156" s="1">
        <v>8307</v>
      </c>
      <c r="AG156" s="1">
        <v>8406</v>
      </c>
      <c r="AH156" s="1" t="str">
        <v>NEGRETE</v>
      </c>
      <c r="AI156" s="405">
        <v>2.1557378466500001E-3</v>
      </c>
    </row>
    <row r="157" spans="1:35" ht="3" customHeight="1" x14ac:dyDescent="0.25">
      <c r="A157" s="5">
        <f>+COEFyDISTR_FET!A162</f>
        <v>8201</v>
      </c>
      <c r="B157" s="5">
        <f>+COEFyDISTR_FET!B162</f>
        <v>8303</v>
      </c>
      <c r="C157" t="str">
        <f>+COEFyDISTR_FET!C162</f>
        <v>LEBU</v>
      </c>
      <c r="D157" s="31">
        <f>+COEFyDISTR_FET!D162</f>
        <v>1081332</v>
      </c>
      <c r="E157" s="31">
        <f>+COEFyDISTR_FET!E162</f>
        <v>6933308.2620000001</v>
      </c>
      <c r="F157" s="403">
        <f>+COEFyDISTR_FET!G162</f>
        <v>0.495</v>
      </c>
      <c r="G157" s="403">
        <f>+COEFyDISTR_FET!H162</f>
        <v>0.86509999999999998</v>
      </c>
      <c r="H157" s="402" t="str">
        <f>IF(D157=0,$A$2,VLOOKUP(COUNTIF(F157,$F$1&amp;$F$2)&amp;COUNTIF(G157,$G$1&amp;$G$2),PARAMETROS!$K$26:$L$30,2,0))</f>
        <v>Entra por Criterio de Dependencia y Percentil</v>
      </c>
      <c r="I157" s="96">
        <f>+COEFyDISTR_FET!AA162</f>
        <v>3.93854237865E-3</v>
      </c>
      <c r="J157" s="97">
        <f t="shared" si="16"/>
        <v>8201</v>
      </c>
      <c r="K157" s="97">
        <f t="shared" si="17"/>
        <v>8303</v>
      </c>
      <c r="L157" t="str">
        <f t="shared" si="18"/>
        <v>LEBU</v>
      </c>
      <c r="M157" t="str">
        <f t="shared" si="19"/>
        <v>Entra por Criterio de Dependencia y Percentil</v>
      </c>
      <c r="N157" s="97">
        <f t="shared" si="20"/>
        <v>8201</v>
      </c>
      <c r="O157" s="97">
        <f t="shared" si="21"/>
        <v>8303</v>
      </c>
      <c r="P157" t="str">
        <f t="shared" si="22"/>
        <v>LEBU</v>
      </c>
      <c r="Q157" s="96">
        <f t="shared" si="23"/>
        <v>3.93854237865E-3</v>
      </c>
      <c r="R157" s="96"/>
      <c r="S157">
        <f>+COEFyDISTR_MINERO!A162</f>
        <v>8201</v>
      </c>
      <c r="T157">
        <f>+COEFyDISTR_MINERO!B162</f>
        <v>8303</v>
      </c>
      <c r="U157" t="str">
        <f>+COEFyDISTR_MINERO!C162</f>
        <v>LEBU</v>
      </c>
      <c r="V157" s="96">
        <f>+COEFyDISTR_MINERO!X162</f>
        <v>0</v>
      </c>
      <c r="W157" s="6" t="str">
        <f>+COEFyDISTR_MINERO!D162</f>
        <v>No</v>
      </c>
      <c r="X157" s="96"/>
      <c r="Y157" s="96"/>
      <c r="Z157" s="1">
        <v>8308</v>
      </c>
      <c r="AA157" s="1">
        <v>8408</v>
      </c>
      <c r="AB157" s="1" t="str">
        <v>QUILACO</v>
      </c>
      <c r="AC157" s="1" t="str">
        <v>Entra por Criterio de Dependencia y Percentil</v>
      </c>
      <c r="AF157" s="1">
        <v>8308</v>
      </c>
      <c r="AG157" s="1">
        <v>8408</v>
      </c>
      <c r="AH157" s="1" t="str">
        <v>QUILACO</v>
      </c>
      <c r="AI157" s="405">
        <v>1.8588347099500002E-3</v>
      </c>
    </row>
    <row r="158" spans="1:35" ht="3" customHeight="1" x14ac:dyDescent="0.25">
      <c r="A158" s="5">
        <f>+COEFyDISTR_FET!A163</f>
        <v>8202</v>
      </c>
      <c r="B158" s="5">
        <f>+COEFyDISTR_FET!B163</f>
        <v>8301</v>
      </c>
      <c r="C158" t="str">
        <f>+COEFyDISTR_FET!C163</f>
        <v>ARAUCO</v>
      </c>
      <c r="D158" s="31">
        <f>+COEFyDISTR_FET!D163</f>
        <v>3730562</v>
      </c>
      <c r="E158" s="31">
        <f>+COEFyDISTR_FET!E163</f>
        <v>9418600.9340000004</v>
      </c>
      <c r="F158" s="403">
        <f>+COEFyDISTR_FET!G163</f>
        <v>0.68100000000000005</v>
      </c>
      <c r="G158" s="403">
        <f>+COEFyDISTR_FET!H163</f>
        <v>0.71630000000000005</v>
      </c>
      <c r="H158" s="402" t="str">
        <f>IF(D158=0,$A$2,VLOOKUP(COUNTIF(F158,$F$1&amp;$F$2)&amp;COUNTIF(G158,$G$1&amp;$G$2),PARAMETROS!$K$26:$L$30,2,0))</f>
        <v>Entra por Criterio de Dependencia y Percentil</v>
      </c>
      <c r="I158" s="96">
        <f>+COEFyDISTR_FET!AA163</f>
        <v>3.2890975764500001E-3</v>
      </c>
      <c r="J158" s="97">
        <f t="shared" si="16"/>
        <v>8202</v>
      </c>
      <c r="K158" s="97">
        <f t="shared" si="17"/>
        <v>8301</v>
      </c>
      <c r="L158" t="str">
        <f t="shared" si="18"/>
        <v>ARAUCO</v>
      </c>
      <c r="M158" t="str">
        <f t="shared" si="19"/>
        <v>Entra por Criterio de Dependencia y Percentil</v>
      </c>
      <c r="N158" s="97">
        <f t="shared" si="20"/>
        <v>8202</v>
      </c>
      <c r="O158" s="97">
        <f t="shared" si="21"/>
        <v>8301</v>
      </c>
      <c r="P158" t="str">
        <f t="shared" si="22"/>
        <v>ARAUCO</v>
      </c>
      <c r="Q158" s="96">
        <f t="shared" si="23"/>
        <v>3.2890975764500001E-3</v>
      </c>
      <c r="R158" s="96"/>
      <c r="S158">
        <f>+COEFyDISTR_MINERO!A163</f>
        <v>8202</v>
      </c>
      <c r="T158">
        <f>+COEFyDISTR_MINERO!B163</f>
        <v>8301</v>
      </c>
      <c r="U158" t="str">
        <f>+COEFyDISTR_MINERO!C163</f>
        <v>ARAUCO</v>
      </c>
      <c r="V158" s="96">
        <f>+COEFyDISTR_MINERO!X163</f>
        <v>0</v>
      </c>
      <c r="W158" s="6" t="str">
        <f>+COEFyDISTR_MINERO!D163</f>
        <v>No</v>
      </c>
      <c r="X158" s="96"/>
      <c r="Y158" s="96"/>
      <c r="Z158" s="1">
        <v>8309</v>
      </c>
      <c r="AA158" s="1">
        <v>8404</v>
      </c>
      <c r="AB158" s="1" t="str">
        <v>QUILLECO</v>
      </c>
      <c r="AC158" s="1" t="str">
        <v>Entra por Criterio de Dependencia y Percentil</v>
      </c>
      <c r="AF158" s="1">
        <v>8309</v>
      </c>
      <c r="AG158" s="1">
        <v>8404</v>
      </c>
      <c r="AH158" s="1" t="str">
        <v>QUILLECO</v>
      </c>
      <c r="AI158" s="405">
        <v>2.26209259605E-3</v>
      </c>
    </row>
    <row r="159" spans="1:35" ht="3" customHeight="1" x14ac:dyDescent="0.25">
      <c r="A159" s="5">
        <f>+COEFyDISTR_FET!A164</f>
        <v>8203</v>
      </c>
      <c r="B159" s="5">
        <f>+COEFyDISTR_FET!B164</f>
        <v>8305</v>
      </c>
      <c r="C159" t="str">
        <f>+COEFyDISTR_FET!C164</f>
        <v>CAÑETE</v>
      </c>
      <c r="D159" s="31">
        <f>+COEFyDISTR_FET!D164</f>
        <v>1545931</v>
      </c>
      <c r="E159" s="31">
        <f>+COEFyDISTR_FET!E164</f>
        <v>9593301.7449999992</v>
      </c>
      <c r="F159" s="403">
        <f>+COEFyDISTR_FET!G164</f>
        <v>0.623</v>
      </c>
      <c r="G159" s="403">
        <f>+COEFyDISTR_FET!H164</f>
        <v>0.86119999999999997</v>
      </c>
      <c r="H159" s="402" t="str">
        <f>IF(D159=0,$A$2,VLOOKUP(COUNTIF(F159,$F$1&amp;$F$2)&amp;COUNTIF(G159,$G$1&amp;$G$2),PARAMETROS!$K$26:$L$30,2,0))</f>
        <v>Entra por Criterio de Dependencia y Percentil</v>
      </c>
      <c r="I159" s="96">
        <f>+COEFyDISTR_FET!AA164</f>
        <v>4.9943782652499998E-3</v>
      </c>
      <c r="J159" s="97">
        <f t="shared" si="16"/>
        <v>8203</v>
      </c>
      <c r="K159" s="97">
        <f t="shared" si="17"/>
        <v>8305</v>
      </c>
      <c r="L159" t="str">
        <f t="shared" si="18"/>
        <v>CAÑETE</v>
      </c>
      <c r="M159" t="str">
        <f t="shared" si="19"/>
        <v>Entra por Criterio de Dependencia y Percentil</v>
      </c>
      <c r="N159" s="97">
        <f t="shared" si="20"/>
        <v>8203</v>
      </c>
      <c r="O159" s="97">
        <f t="shared" si="21"/>
        <v>8305</v>
      </c>
      <c r="P159" t="str">
        <f t="shared" si="22"/>
        <v>CAÑETE</v>
      </c>
      <c r="Q159" s="96">
        <f t="shared" si="23"/>
        <v>4.9943782652499998E-3</v>
      </c>
      <c r="R159" s="96"/>
      <c r="S159">
        <f>+COEFyDISTR_MINERO!A164</f>
        <v>8203</v>
      </c>
      <c r="T159">
        <f>+COEFyDISTR_MINERO!B164</f>
        <v>8305</v>
      </c>
      <c r="U159" t="str">
        <f>+COEFyDISTR_MINERO!C164</f>
        <v>CAÑETE</v>
      </c>
      <c r="V159" s="96">
        <f>+COEFyDISTR_MINERO!X164</f>
        <v>0</v>
      </c>
      <c r="W159" s="6" t="str">
        <f>+COEFyDISTR_MINERO!D164</f>
        <v>No</v>
      </c>
      <c r="X159" s="96"/>
      <c r="Y159" s="96"/>
      <c r="Z159" s="1">
        <v>8310</v>
      </c>
      <c r="AA159" s="1">
        <v>8411</v>
      </c>
      <c r="AB159" s="1" t="str">
        <v>SAN ROSENDO</v>
      </c>
      <c r="AC159" s="1" t="str">
        <v>Entra por Criterio de Dependencia y Percentil</v>
      </c>
      <c r="AF159" s="1">
        <v>8310</v>
      </c>
      <c r="AG159" s="1">
        <v>8411</v>
      </c>
      <c r="AH159" s="1" t="str">
        <v>SAN ROSENDO</v>
      </c>
      <c r="AI159" s="405">
        <v>1.9223401323500001E-3</v>
      </c>
    </row>
    <row r="160" spans="1:35" ht="3" customHeight="1" x14ac:dyDescent="0.25">
      <c r="A160" s="5">
        <f>+COEFyDISTR_FET!A165</f>
        <v>8204</v>
      </c>
      <c r="B160" s="5">
        <f>+COEFyDISTR_FET!B165</f>
        <v>8306</v>
      </c>
      <c r="C160" t="str">
        <f>+COEFyDISTR_FET!C165</f>
        <v>CONTULMO</v>
      </c>
      <c r="D160" s="31">
        <f>+COEFyDISTR_FET!D165</f>
        <v>382166</v>
      </c>
      <c r="E160" s="31">
        <f>+COEFyDISTR_FET!E165</f>
        <v>4584336.9460000005</v>
      </c>
      <c r="F160" s="403">
        <f>+COEFyDISTR_FET!G165</f>
        <v>0.27200000000000002</v>
      </c>
      <c r="G160" s="403">
        <f>+COEFyDISTR_FET!H165</f>
        <v>0.92310000000000003</v>
      </c>
      <c r="H160" s="402" t="str">
        <f>IF(D160=0,$A$2,VLOOKUP(COUNTIF(F160,$F$1&amp;$F$2)&amp;COUNTIF(G160,$G$1&amp;$G$2),PARAMETROS!$K$26:$L$30,2,0))</f>
        <v>Entra por Criterio de Dependencia y Percentil</v>
      </c>
      <c r="I160" s="96">
        <f>+COEFyDISTR_FET!AA165</f>
        <v>2.1741103753500001E-3</v>
      </c>
      <c r="J160" s="97">
        <f t="shared" si="16"/>
        <v>8204</v>
      </c>
      <c r="K160" s="97">
        <f t="shared" si="17"/>
        <v>8306</v>
      </c>
      <c r="L160" t="str">
        <f t="shared" si="18"/>
        <v>CONTULMO</v>
      </c>
      <c r="M160" t="str">
        <f t="shared" si="19"/>
        <v>Entra por Criterio de Dependencia y Percentil</v>
      </c>
      <c r="N160" s="97">
        <f t="shared" si="20"/>
        <v>8204</v>
      </c>
      <c r="O160" s="97">
        <f t="shared" si="21"/>
        <v>8306</v>
      </c>
      <c r="P160" t="str">
        <f t="shared" si="22"/>
        <v>CONTULMO</v>
      </c>
      <c r="Q160" s="96">
        <f t="shared" si="23"/>
        <v>2.1741103753500001E-3</v>
      </c>
      <c r="R160" s="96"/>
      <c r="S160">
        <f>+COEFyDISTR_MINERO!A165</f>
        <v>8204</v>
      </c>
      <c r="T160">
        <f>+COEFyDISTR_MINERO!B165</f>
        <v>8306</v>
      </c>
      <c r="U160" t="str">
        <f>+COEFyDISTR_MINERO!C165</f>
        <v>CONTULMO</v>
      </c>
      <c r="V160" s="96">
        <f>+COEFyDISTR_MINERO!X165</f>
        <v>0</v>
      </c>
      <c r="W160" s="6" t="str">
        <f>+COEFyDISTR_MINERO!D165</f>
        <v>No</v>
      </c>
      <c r="X160" s="96"/>
      <c r="Y160" s="96"/>
      <c r="Z160" s="1">
        <v>8311</v>
      </c>
      <c r="AA160" s="1">
        <v>8402</v>
      </c>
      <c r="AB160" s="1" t="str">
        <v>SANTA BÁRBARA</v>
      </c>
      <c r="AC160" s="1" t="str">
        <v>Entra por Criterio de Dependencia y Percentil</v>
      </c>
      <c r="AF160" s="1">
        <v>8311</v>
      </c>
      <c r="AG160" s="1">
        <v>8402</v>
      </c>
      <c r="AH160" s="1" t="str">
        <v>SANTA BÁRBARA</v>
      </c>
      <c r="AI160" s="405">
        <v>2.4587361808500003E-3</v>
      </c>
    </row>
    <row r="161" spans="1:35" ht="3" customHeight="1" x14ac:dyDescent="0.25">
      <c r="A161" s="5">
        <f>+COEFyDISTR_FET!A166</f>
        <v>8205</v>
      </c>
      <c r="B161" s="5">
        <f>+COEFyDISTR_FET!B166</f>
        <v>8302</v>
      </c>
      <c r="C161" t="str">
        <f>+COEFyDISTR_FET!C166</f>
        <v>CURANILAHUE</v>
      </c>
      <c r="D161" s="31">
        <f>+COEFyDISTR_FET!D166</f>
        <v>2136173</v>
      </c>
      <c r="E161" s="31">
        <f>+COEFyDISTR_FET!E166</f>
        <v>7482860.4720000001</v>
      </c>
      <c r="F161" s="403">
        <f>+COEFyDISTR_FET!G166</f>
        <v>0.57899999999999996</v>
      </c>
      <c r="G161" s="403">
        <f>+COEFyDISTR_FET!H166</f>
        <v>0.77790000000000004</v>
      </c>
      <c r="H161" s="402" t="str">
        <f>IF(D161=0,$A$2,VLOOKUP(COUNTIF(F161,$F$1&amp;$F$2)&amp;COUNTIF(G161,$G$1&amp;$G$2),PARAMETROS!$K$26:$L$30,2,0))</f>
        <v>Entra por Criterio de Dependencia y Percentil</v>
      </c>
      <c r="I161" s="96">
        <f>+COEFyDISTR_FET!AA166</f>
        <v>3.81136452955E-3</v>
      </c>
      <c r="J161" s="97">
        <f t="shared" si="16"/>
        <v>8205</v>
      </c>
      <c r="K161" s="97">
        <f t="shared" si="17"/>
        <v>8302</v>
      </c>
      <c r="L161" t="str">
        <f t="shared" si="18"/>
        <v>CURANILAHUE</v>
      </c>
      <c r="M161" t="str">
        <f t="shared" si="19"/>
        <v>Entra por Criterio de Dependencia y Percentil</v>
      </c>
      <c r="N161" s="97">
        <f t="shared" si="20"/>
        <v>8205</v>
      </c>
      <c r="O161" s="97">
        <f t="shared" si="21"/>
        <v>8302</v>
      </c>
      <c r="P161" t="str">
        <f t="shared" si="22"/>
        <v>CURANILAHUE</v>
      </c>
      <c r="Q161" s="96">
        <f t="shared" si="23"/>
        <v>3.81136452955E-3</v>
      </c>
      <c r="R161" s="96"/>
      <c r="S161">
        <f>+COEFyDISTR_MINERO!A166</f>
        <v>8205</v>
      </c>
      <c r="T161">
        <f>+COEFyDISTR_MINERO!B166</f>
        <v>8302</v>
      </c>
      <c r="U161" t="str">
        <f>+COEFyDISTR_MINERO!C166</f>
        <v>CURANILAHUE</v>
      </c>
      <c r="V161" s="96">
        <f>+COEFyDISTR_MINERO!X166</f>
        <v>0</v>
      </c>
      <c r="W161" s="6" t="str">
        <f>+COEFyDISTR_MINERO!D166</f>
        <v>No</v>
      </c>
      <c r="X161" s="96"/>
      <c r="Y161" s="96"/>
      <c r="Z161" s="1">
        <v>8312</v>
      </c>
      <c r="AA161" s="1">
        <v>8412</v>
      </c>
      <c r="AB161" s="1" t="str">
        <v>TUCAPEL</v>
      </c>
      <c r="AC161" s="1" t="str">
        <v>Entra por Criterio de Dependencia y Percentil</v>
      </c>
      <c r="AF161" s="1">
        <v>8312</v>
      </c>
      <c r="AG161" s="1">
        <v>8412</v>
      </c>
      <c r="AH161" s="1" t="str">
        <v>TUCAPEL</v>
      </c>
      <c r="AI161" s="405">
        <v>2.4380308417500003E-3</v>
      </c>
    </row>
    <row r="162" spans="1:35" ht="3" customHeight="1" x14ac:dyDescent="0.25">
      <c r="A162" s="5">
        <f>+COEFyDISTR_FET!A167</f>
        <v>8206</v>
      </c>
      <c r="B162" s="5">
        <f>+COEFyDISTR_FET!B167</f>
        <v>8304</v>
      </c>
      <c r="C162" t="str">
        <f>+COEFyDISTR_FET!C167</f>
        <v>LOS ÁLAMOS</v>
      </c>
      <c r="D162" s="31">
        <f>+COEFyDISTR_FET!D167</f>
        <v>1095892</v>
      </c>
      <c r="E162" s="31">
        <f>+COEFyDISTR_FET!E167</f>
        <v>5379666.6890000002</v>
      </c>
      <c r="F162" s="403">
        <f>+COEFyDISTR_FET!G167</f>
        <v>0.443</v>
      </c>
      <c r="G162" s="403">
        <f>+COEFyDISTR_FET!H167</f>
        <v>0.83079999999999998</v>
      </c>
      <c r="H162" s="402" t="str">
        <f>IF(D162=0,$A$2,VLOOKUP(COUNTIF(F162,$F$1&amp;$F$2)&amp;COUNTIF(G162,$G$1&amp;$G$2),PARAMETROS!$K$26:$L$30,2,0))</f>
        <v>Entra por Criterio de Dependencia y Percentil</v>
      </c>
      <c r="I162" s="96">
        <f>+COEFyDISTR_FET!AA167</f>
        <v>3.4645862457499997E-3</v>
      </c>
      <c r="J162" s="97">
        <f t="shared" si="16"/>
        <v>8206</v>
      </c>
      <c r="K162" s="97">
        <f t="shared" si="17"/>
        <v>8304</v>
      </c>
      <c r="L162" t="str">
        <f t="shared" si="18"/>
        <v>LOS ÁLAMOS</v>
      </c>
      <c r="M162" t="str">
        <f t="shared" si="19"/>
        <v>Entra por Criterio de Dependencia y Percentil</v>
      </c>
      <c r="N162" s="97">
        <f t="shared" si="20"/>
        <v>8206</v>
      </c>
      <c r="O162" s="97">
        <f t="shared" si="21"/>
        <v>8304</v>
      </c>
      <c r="P162" t="str">
        <f t="shared" si="22"/>
        <v>LOS ÁLAMOS</v>
      </c>
      <c r="Q162" s="96">
        <f t="shared" si="23"/>
        <v>3.4645862457499997E-3</v>
      </c>
      <c r="R162" s="96"/>
      <c r="S162">
        <f>+COEFyDISTR_MINERO!A167</f>
        <v>8206</v>
      </c>
      <c r="T162">
        <f>+COEFyDISTR_MINERO!B167</f>
        <v>8304</v>
      </c>
      <c r="U162" t="str">
        <f>+COEFyDISTR_MINERO!C167</f>
        <v>LOS ÁLAMOS</v>
      </c>
      <c r="V162" s="96">
        <f>+COEFyDISTR_MINERO!X167</f>
        <v>0</v>
      </c>
      <c r="W162" s="6" t="str">
        <f>+COEFyDISTR_MINERO!D167</f>
        <v>No</v>
      </c>
      <c r="X162" s="96"/>
      <c r="Y162" s="96"/>
      <c r="Z162" s="1">
        <v>8313</v>
      </c>
      <c r="AA162" s="1">
        <v>8409</v>
      </c>
      <c r="AB162" s="1" t="str">
        <v>YUMBEL</v>
      </c>
      <c r="AC162" s="1" t="str">
        <v>Entra por Criterio de Dependencia y Percentil</v>
      </c>
      <c r="AF162" s="1">
        <v>8313</v>
      </c>
      <c r="AG162" s="1">
        <v>8409</v>
      </c>
      <c r="AH162" s="1" t="str">
        <v>YUMBEL</v>
      </c>
      <c r="AI162" s="405">
        <v>3.3712242788499999E-3</v>
      </c>
    </row>
    <row r="163" spans="1:35" ht="3" customHeight="1" x14ac:dyDescent="0.25">
      <c r="A163" s="5">
        <f>+COEFyDISTR_FET!A168</f>
        <v>8207</v>
      </c>
      <c r="B163" s="5">
        <f>+COEFyDISTR_FET!B168</f>
        <v>8307</v>
      </c>
      <c r="C163" t="str">
        <f>+COEFyDISTR_FET!C168</f>
        <v>TIRÚA</v>
      </c>
      <c r="D163" s="31">
        <f>+COEFyDISTR_FET!D168</f>
        <v>524180</v>
      </c>
      <c r="E163" s="31">
        <f>+COEFyDISTR_FET!E168</f>
        <v>4799012.7539999997</v>
      </c>
      <c r="F163" s="403">
        <f>+COEFyDISTR_FET!G168</f>
        <v>0.32400000000000001</v>
      </c>
      <c r="G163" s="403">
        <f>+COEFyDISTR_FET!H168</f>
        <v>0.90149999999999997</v>
      </c>
      <c r="H163" s="402" t="str">
        <f>IF(D163=0,$A$2,VLOOKUP(COUNTIF(F163,$F$1&amp;$F$2)&amp;COUNTIF(G163,$G$1&amp;$G$2),PARAMETROS!$K$26:$L$30,2,0))</f>
        <v>Entra por Criterio de Dependencia y Percentil</v>
      </c>
      <c r="I163" s="96">
        <f>+COEFyDISTR_FET!AA168</f>
        <v>2.7392855850499999E-3</v>
      </c>
      <c r="J163" s="97">
        <f t="shared" si="16"/>
        <v>8207</v>
      </c>
      <c r="K163" s="97">
        <f t="shared" si="17"/>
        <v>8307</v>
      </c>
      <c r="L163" t="str">
        <f t="shared" si="18"/>
        <v>TIRÚA</v>
      </c>
      <c r="M163" t="str">
        <f t="shared" si="19"/>
        <v>Entra por Criterio de Dependencia y Percentil</v>
      </c>
      <c r="N163" s="97">
        <f t="shared" si="20"/>
        <v>8207</v>
      </c>
      <c r="O163" s="97">
        <f t="shared" si="21"/>
        <v>8307</v>
      </c>
      <c r="P163" t="str">
        <f t="shared" si="22"/>
        <v>TIRÚA</v>
      </c>
      <c r="Q163" s="96">
        <f t="shared" si="23"/>
        <v>2.7392855850499999E-3</v>
      </c>
      <c r="R163" s="96"/>
      <c r="S163">
        <f>+COEFyDISTR_MINERO!A168</f>
        <v>8207</v>
      </c>
      <c r="T163">
        <f>+COEFyDISTR_MINERO!B168</f>
        <v>8307</v>
      </c>
      <c r="U163" t="str">
        <f>+COEFyDISTR_MINERO!C168</f>
        <v>TIRÚA</v>
      </c>
      <c r="V163" s="96">
        <f>+COEFyDISTR_MINERO!X168</f>
        <v>0</v>
      </c>
      <c r="W163" s="6" t="str">
        <f>+COEFyDISTR_MINERO!D168</f>
        <v>No</v>
      </c>
      <c r="X163" s="96"/>
      <c r="Y163" s="96"/>
      <c r="Z163" s="1">
        <v>8314</v>
      </c>
      <c r="AA163" s="1">
        <v>8414</v>
      </c>
      <c r="AB163" s="1" t="str">
        <v>ALTO BIOBÍO</v>
      </c>
      <c r="AC163" s="1" t="str">
        <v>Entra por Criterio de Dependencia y Percentil</v>
      </c>
      <c r="AF163" s="1">
        <v>8314</v>
      </c>
      <c r="AG163" s="1">
        <v>8414</v>
      </c>
      <c r="AH163" s="1" t="str">
        <v>ALTO BIOBÍO</v>
      </c>
      <c r="AI163" s="405">
        <v>1.9635760685500002E-3</v>
      </c>
    </row>
    <row r="164" spans="1:35" ht="3" customHeight="1" x14ac:dyDescent="0.25">
      <c r="A164" s="5">
        <f>+COEFyDISTR_FET!A169</f>
        <v>8301</v>
      </c>
      <c r="B164" s="5">
        <f>+COEFyDISTR_FET!B169</f>
        <v>8401</v>
      </c>
      <c r="C164" t="str">
        <f>+COEFyDISTR_FET!C169</f>
        <v>LOS ÁNGELES</v>
      </c>
      <c r="D164" s="31">
        <f>+COEFyDISTR_FET!D169</f>
        <v>23319793</v>
      </c>
      <c r="E164" s="31">
        <f>+COEFyDISTR_FET!E169</f>
        <v>27293486.070999999</v>
      </c>
      <c r="F164" s="403">
        <f>+COEFyDISTR_FET!G169</f>
        <v>0.92400000000000004</v>
      </c>
      <c r="G164" s="403">
        <f>+COEFyDISTR_FET!H169</f>
        <v>0.5393</v>
      </c>
      <c r="H164" s="402" t="str">
        <f>IF(D164=0,$A$2,VLOOKUP(COUNTIF(F164,$F$1&amp;$F$2)&amp;COUNTIF(G164,$G$1&amp;$G$2),PARAMETROS!$K$26:$L$30,2,0))</f>
        <v>Entra por Criterio de Dependencia</v>
      </c>
      <c r="I164" s="96">
        <f>+COEFyDISTR_FET!AA169</f>
        <v>8.4511123339499981E-3</v>
      </c>
      <c r="J164" s="97">
        <f t="shared" si="16"/>
        <v>8301</v>
      </c>
      <c r="K164" s="97">
        <f t="shared" si="17"/>
        <v>8401</v>
      </c>
      <c r="L164" t="str">
        <f t="shared" si="18"/>
        <v>LOS ÁNGELES</v>
      </c>
      <c r="M164" t="str">
        <f t="shared" si="19"/>
        <v>Entra por Criterio de Dependencia</v>
      </c>
      <c r="N164" s="97">
        <f t="shared" si="20"/>
        <v>8301</v>
      </c>
      <c r="O164" s="97">
        <f t="shared" si="21"/>
        <v>8401</v>
      </c>
      <c r="P164" t="str">
        <f t="shared" si="22"/>
        <v>LOS ÁNGELES</v>
      </c>
      <c r="Q164" s="96">
        <f t="shared" si="23"/>
        <v>8.4511123339499981E-3</v>
      </c>
      <c r="R164" s="96"/>
      <c r="S164">
        <f>+COEFyDISTR_MINERO!A169</f>
        <v>8301</v>
      </c>
      <c r="T164">
        <f>+COEFyDISTR_MINERO!B169</f>
        <v>8401</v>
      </c>
      <c r="U164" t="str">
        <f>+COEFyDISTR_MINERO!C169</f>
        <v>LOS ÁNGELES</v>
      </c>
      <c r="V164" s="96">
        <f>+COEFyDISTR_MINERO!X169</f>
        <v>0</v>
      </c>
      <c r="W164" s="6" t="str">
        <f>+COEFyDISTR_MINERO!D169</f>
        <v>No</v>
      </c>
      <c r="X164" s="96"/>
      <c r="Y164" s="96"/>
      <c r="Z164" s="1">
        <v>9102</v>
      </c>
      <c r="AA164" s="1">
        <v>9209</v>
      </c>
      <c r="AB164" s="1" t="str">
        <v>CARAHUE</v>
      </c>
      <c r="AC164" s="1" t="str">
        <v>Entra por Criterio de Dependencia y Percentil</v>
      </c>
      <c r="AF164" s="1">
        <v>9102</v>
      </c>
      <c r="AG164" s="1">
        <v>9209</v>
      </c>
      <c r="AH164" s="1" t="str">
        <v>CARAHUE</v>
      </c>
      <c r="AI164" s="405">
        <v>4.5512779830500002E-3</v>
      </c>
    </row>
    <row r="165" spans="1:35" ht="3" customHeight="1" x14ac:dyDescent="0.25">
      <c r="A165" s="5">
        <f>+COEFyDISTR_FET!A170</f>
        <v>8302</v>
      </c>
      <c r="B165" s="5">
        <f>+COEFyDISTR_FET!B170</f>
        <v>8413</v>
      </c>
      <c r="C165" t="str">
        <f>+COEFyDISTR_FET!C170</f>
        <v>ANTUCO</v>
      </c>
      <c r="D165" s="31">
        <f>+COEFyDISTR_FET!D170</f>
        <v>612549</v>
      </c>
      <c r="E165" s="31">
        <f>+COEFyDISTR_FET!E170</f>
        <v>4519326.0999999996</v>
      </c>
      <c r="F165" s="403">
        <f>+COEFyDISTR_FET!G170</f>
        <v>0.30099999999999999</v>
      </c>
      <c r="G165" s="403">
        <f>+COEFyDISTR_FET!H170</f>
        <v>0.88060000000000005</v>
      </c>
      <c r="H165" s="402" t="str">
        <f>IF(D165=0,$A$2,VLOOKUP(COUNTIF(F165,$F$1&amp;$F$2)&amp;COUNTIF(G165,$G$1&amp;$G$2),PARAMETROS!$K$26:$L$30,2,0))</f>
        <v>Entra por Criterio de Dependencia y Percentil</v>
      </c>
      <c r="I165" s="96">
        <f>+COEFyDISTR_FET!AA170</f>
        <v>1.8724404772500001E-3</v>
      </c>
      <c r="J165" s="97">
        <f t="shared" si="16"/>
        <v>8302</v>
      </c>
      <c r="K165" s="97">
        <f t="shared" si="17"/>
        <v>8413</v>
      </c>
      <c r="L165" t="str">
        <f t="shared" si="18"/>
        <v>ANTUCO</v>
      </c>
      <c r="M165" t="str">
        <f t="shared" si="19"/>
        <v>Entra por Criterio de Dependencia y Percentil</v>
      </c>
      <c r="N165" s="97">
        <f t="shared" si="20"/>
        <v>8302</v>
      </c>
      <c r="O165" s="97">
        <f t="shared" si="21"/>
        <v>8413</v>
      </c>
      <c r="P165" t="str">
        <f t="shared" si="22"/>
        <v>ANTUCO</v>
      </c>
      <c r="Q165" s="96">
        <f t="shared" si="23"/>
        <v>1.8724404772500001E-3</v>
      </c>
      <c r="R165" s="96"/>
      <c r="S165">
        <f>+COEFyDISTR_MINERO!A170</f>
        <v>8302</v>
      </c>
      <c r="T165">
        <f>+COEFyDISTR_MINERO!B170</f>
        <v>8413</v>
      </c>
      <c r="U165" t="str">
        <f>+COEFyDISTR_MINERO!C170</f>
        <v>ANTUCO</v>
      </c>
      <c r="V165" s="96">
        <f>+COEFyDISTR_MINERO!X170</f>
        <v>0</v>
      </c>
      <c r="W165" s="6" t="str">
        <f>+COEFyDISTR_MINERO!D170</f>
        <v>No</v>
      </c>
      <c r="X165" s="96"/>
      <c r="Y165" s="96"/>
      <c r="Z165" s="1">
        <v>9103</v>
      </c>
      <c r="AA165" s="1">
        <v>9204</v>
      </c>
      <c r="AB165" s="1" t="str">
        <v>CUNCO</v>
      </c>
      <c r="AC165" s="1" t="str">
        <v>Entra por Criterio de Dependencia y Percentil</v>
      </c>
      <c r="AF165" s="1">
        <v>9103</v>
      </c>
      <c r="AG165" s="1">
        <v>9204</v>
      </c>
      <c r="AH165" s="1" t="str">
        <v>CUNCO</v>
      </c>
      <c r="AI165" s="405">
        <v>2.50463138495E-3</v>
      </c>
    </row>
    <row r="166" spans="1:35" ht="3" customHeight="1" x14ac:dyDescent="0.25">
      <c r="A166" s="5">
        <f>+COEFyDISTR_FET!A171</f>
        <v>8303</v>
      </c>
      <c r="B166" s="5">
        <f>+COEFyDISTR_FET!B171</f>
        <v>8410</v>
      </c>
      <c r="C166" t="str">
        <f>+COEFyDISTR_FET!C171</f>
        <v>CABRERO</v>
      </c>
      <c r="D166" s="31">
        <f>+COEFyDISTR_FET!D171</f>
        <v>2862167</v>
      </c>
      <c r="E166" s="31">
        <f>+COEFyDISTR_FET!E171</f>
        <v>9903470.9649999999</v>
      </c>
      <c r="F166" s="403">
        <f>+COEFyDISTR_FET!G171</f>
        <v>0.66300000000000003</v>
      </c>
      <c r="G166" s="403">
        <f>+COEFyDISTR_FET!H171</f>
        <v>0.77580000000000005</v>
      </c>
      <c r="H166" s="402" t="str">
        <f>IF(D166=0,$A$2,VLOOKUP(COUNTIF(F166,$F$1&amp;$F$2)&amp;COUNTIF(G166,$G$1&amp;$G$2),PARAMETROS!$K$26:$L$30,2,0))</f>
        <v>Entra por Criterio de Dependencia y Percentil</v>
      </c>
      <c r="I166" s="96">
        <f>+COEFyDISTR_FET!AA171</f>
        <v>3.1109639683499996E-3</v>
      </c>
      <c r="J166" s="97">
        <f t="shared" si="16"/>
        <v>8303</v>
      </c>
      <c r="K166" s="97">
        <f t="shared" si="17"/>
        <v>8410</v>
      </c>
      <c r="L166" t="str">
        <f t="shared" si="18"/>
        <v>CABRERO</v>
      </c>
      <c r="M166" t="str">
        <f t="shared" si="19"/>
        <v>Entra por Criterio de Dependencia y Percentil</v>
      </c>
      <c r="N166" s="97">
        <f t="shared" si="20"/>
        <v>8303</v>
      </c>
      <c r="O166" s="97">
        <f t="shared" si="21"/>
        <v>8410</v>
      </c>
      <c r="P166" t="str">
        <f t="shared" si="22"/>
        <v>CABRERO</v>
      </c>
      <c r="Q166" s="96">
        <f t="shared" si="23"/>
        <v>3.1109639683499996E-3</v>
      </c>
      <c r="R166" s="96"/>
      <c r="S166">
        <f>+COEFyDISTR_MINERO!A171</f>
        <v>8303</v>
      </c>
      <c r="T166">
        <f>+COEFyDISTR_MINERO!B171</f>
        <v>8410</v>
      </c>
      <c r="U166" t="str">
        <f>+COEFyDISTR_MINERO!C171</f>
        <v>CABRERO</v>
      </c>
      <c r="V166" s="96">
        <f>+COEFyDISTR_MINERO!X171</f>
        <v>0</v>
      </c>
      <c r="W166" s="6" t="str">
        <f>+COEFyDISTR_MINERO!D171</f>
        <v>No</v>
      </c>
      <c r="X166" s="96"/>
      <c r="Y166" s="96"/>
      <c r="Z166" s="1">
        <v>9104</v>
      </c>
      <c r="AA166" s="1">
        <v>9218</v>
      </c>
      <c r="AB166" s="1" t="str">
        <v>CURARREHUE</v>
      </c>
      <c r="AC166" s="1" t="str">
        <v>Entra por Criterio de Dependencia y Percentil</v>
      </c>
      <c r="AF166" s="1">
        <v>9104</v>
      </c>
      <c r="AG166" s="1">
        <v>9218</v>
      </c>
      <c r="AH166" s="1" t="str">
        <v>CURARREHUE</v>
      </c>
      <c r="AI166" s="405">
        <v>2.3047290274499999E-3</v>
      </c>
    </row>
    <row r="167" spans="1:35" ht="3" customHeight="1" x14ac:dyDescent="0.25">
      <c r="A167" s="5">
        <f>+COEFyDISTR_FET!A172</f>
        <v>8304</v>
      </c>
      <c r="B167" s="5">
        <f>+COEFyDISTR_FET!B172</f>
        <v>8403</v>
      </c>
      <c r="C167" t="str">
        <f>+COEFyDISTR_FET!C172</f>
        <v>LAJA</v>
      </c>
      <c r="D167" s="31">
        <f>+COEFyDISTR_FET!D172</f>
        <v>2410550</v>
      </c>
      <c r="E167" s="31">
        <f>+COEFyDISTR_FET!E172</f>
        <v>6186522.2850000001</v>
      </c>
      <c r="F167" s="403">
        <f>+COEFyDISTR_FET!G172</f>
        <v>0.53600000000000003</v>
      </c>
      <c r="G167" s="403">
        <f>+COEFyDISTR_FET!H172</f>
        <v>0.71960000000000002</v>
      </c>
      <c r="H167" s="402" t="str">
        <f>IF(D167=0,$A$2,VLOOKUP(COUNTIF(F167,$F$1&amp;$F$2)&amp;COUNTIF(G167,$G$1&amp;$G$2),PARAMETROS!$K$26:$L$30,2,0))</f>
        <v>Entra por Criterio de Dependencia y Percentil</v>
      </c>
      <c r="I167" s="96">
        <f>+COEFyDISTR_FET!AA172</f>
        <v>2.8021155425500001E-3</v>
      </c>
      <c r="J167" s="97">
        <f t="shared" si="16"/>
        <v>8304</v>
      </c>
      <c r="K167" s="97">
        <f t="shared" si="17"/>
        <v>8403</v>
      </c>
      <c r="L167" t="str">
        <f t="shared" si="18"/>
        <v>LAJA</v>
      </c>
      <c r="M167" t="str">
        <f t="shared" si="19"/>
        <v>Entra por Criterio de Dependencia y Percentil</v>
      </c>
      <c r="N167" s="97">
        <f t="shared" si="20"/>
        <v>8304</v>
      </c>
      <c r="O167" s="97">
        <f t="shared" si="21"/>
        <v>8403</v>
      </c>
      <c r="P167" t="str">
        <f t="shared" si="22"/>
        <v>LAJA</v>
      </c>
      <c r="Q167" s="96">
        <f t="shared" si="23"/>
        <v>2.8021155425500001E-3</v>
      </c>
      <c r="R167" s="96"/>
      <c r="S167">
        <f>+COEFyDISTR_MINERO!A172</f>
        <v>8304</v>
      </c>
      <c r="T167">
        <f>+COEFyDISTR_MINERO!B172</f>
        <v>8403</v>
      </c>
      <c r="U167" t="str">
        <f>+COEFyDISTR_MINERO!C172</f>
        <v>LAJA</v>
      </c>
      <c r="V167" s="96">
        <f>+COEFyDISTR_MINERO!X172</f>
        <v>0</v>
      </c>
      <c r="W167" s="6" t="str">
        <f>+COEFyDISTR_MINERO!D172</f>
        <v>No</v>
      </c>
      <c r="X167" s="96"/>
      <c r="Y167" s="96"/>
      <c r="Z167" s="1">
        <v>9105</v>
      </c>
      <c r="AA167" s="1">
        <v>9203</v>
      </c>
      <c r="AB167" s="1" t="str">
        <v>FREIRE</v>
      </c>
      <c r="AC167" s="1" t="str">
        <v>Entra por Criterio de Dependencia y Percentil</v>
      </c>
      <c r="AF167" s="1">
        <v>9105</v>
      </c>
      <c r="AG167" s="1">
        <v>9203</v>
      </c>
      <c r="AH167" s="1" t="str">
        <v>FREIRE</v>
      </c>
      <c r="AI167" s="405">
        <v>3.4133053087500001E-3</v>
      </c>
    </row>
    <row r="168" spans="1:35" ht="3" customHeight="1" x14ac:dyDescent="0.25">
      <c r="A168" s="5">
        <f>+COEFyDISTR_FET!A173</f>
        <v>8305</v>
      </c>
      <c r="B168" s="5">
        <f>+COEFyDISTR_FET!B173</f>
        <v>8407</v>
      </c>
      <c r="C168" t="str">
        <f>+COEFyDISTR_FET!C173</f>
        <v>MULCHÉN</v>
      </c>
      <c r="D168" s="31">
        <f>+COEFyDISTR_FET!D173</f>
        <v>2526858</v>
      </c>
      <c r="E168" s="31">
        <f>+COEFyDISTR_FET!E173</f>
        <v>5440942.4040000001</v>
      </c>
      <c r="F168" s="403">
        <f>+COEFyDISTR_FET!G173</f>
        <v>0.49199999999999999</v>
      </c>
      <c r="G168" s="403">
        <f>+COEFyDISTR_FET!H173</f>
        <v>0.68289999999999995</v>
      </c>
      <c r="H168" s="402" t="str">
        <f>IF(D168=0,$A$2,VLOOKUP(COUNTIF(F168,$F$1&amp;$F$2)&amp;COUNTIF(G168,$G$1&amp;$G$2),PARAMETROS!$K$26:$L$30,2,0))</f>
        <v>Entra por Criterio de Dependencia y Percentil</v>
      </c>
      <c r="I168" s="96">
        <f>+COEFyDISTR_FET!AA173</f>
        <v>3.3306812789500001E-3</v>
      </c>
      <c r="J168" s="97">
        <f t="shared" si="16"/>
        <v>8305</v>
      </c>
      <c r="K168" s="97">
        <f t="shared" si="17"/>
        <v>8407</v>
      </c>
      <c r="L168" t="str">
        <f t="shared" si="18"/>
        <v>MULCHÉN</v>
      </c>
      <c r="M168" t="str">
        <f t="shared" si="19"/>
        <v>Entra por Criterio de Dependencia y Percentil</v>
      </c>
      <c r="N168" s="97">
        <f t="shared" si="20"/>
        <v>8305</v>
      </c>
      <c r="O168" s="97">
        <f t="shared" si="21"/>
        <v>8407</v>
      </c>
      <c r="P168" t="str">
        <f t="shared" si="22"/>
        <v>MULCHÉN</v>
      </c>
      <c r="Q168" s="96">
        <f t="shared" si="23"/>
        <v>3.3306812789500001E-3</v>
      </c>
      <c r="R168" s="96"/>
      <c r="S168">
        <f>+COEFyDISTR_MINERO!A173</f>
        <v>8305</v>
      </c>
      <c r="T168">
        <f>+COEFyDISTR_MINERO!B173</f>
        <v>8407</v>
      </c>
      <c r="U168" t="str">
        <f>+COEFyDISTR_MINERO!C173</f>
        <v>MULCHÉN</v>
      </c>
      <c r="V168" s="96">
        <f>+COEFyDISTR_MINERO!X173</f>
        <v>0</v>
      </c>
      <c r="W168" s="6" t="str">
        <f>+COEFyDISTR_MINERO!D173</f>
        <v>No</v>
      </c>
      <c r="X168" s="96"/>
      <c r="Y168" s="96"/>
      <c r="Z168" s="1">
        <v>9106</v>
      </c>
      <c r="AA168" s="1">
        <v>9207</v>
      </c>
      <c r="AB168" s="1" t="str">
        <v>GALVARINO</v>
      </c>
      <c r="AC168" s="1" t="str">
        <v>Entra por Criterio de Dependencia y Percentil</v>
      </c>
      <c r="AF168" s="1">
        <v>9106</v>
      </c>
      <c r="AG168" s="1">
        <v>9207</v>
      </c>
      <c r="AH168" s="1" t="str">
        <v>GALVARINO</v>
      </c>
      <c r="AI168" s="405">
        <v>2.9846405400499997E-3</v>
      </c>
    </row>
    <row r="169" spans="1:35" ht="3" customHeight="1" x14ac:dyDescent="0.25">
      <c r="A169" s="5">
        <f>+COEFyDISTR_FET!A174</f>
        <v>8306</v>
      </c>
      <c r="B169" s="5">
        <f>+COEFyDISTR_FET!B174</f>
        <v>8405</v>
      </c>
      <c r="C169" t="str">
        <f>+COEFyDISTR_FET!C174</f>
        <v>NACIMIENTO</v>
      </c>
      <c r="D169" s="31">
        <f>+COEFyDISTR_FET!D174</f>
        <v>2880602</v>
      </c>
      <c r="E169" s="31">
        <f>+COEFyDISTR_FET!E174</f>
        <v>5340493.1629999997</v>
      </c>
      <c r="F169" s="403">
        <f>+COEFyDISTR_FET!G174</f>
        <v>0.52100000000000002</v>
      </c>
      <c r="G169" s="403">
        <f>+COEFyDISTR_FET!H174</f>
        <v>0.64959999999999996</v>
      </c>
      <c r="H169" s="402" t="str">
        <f>IF(D169=0,$A$2,VLOOKUP(COUNTIF(F169,$F$1&amp;$F$2)&amp;COUNTIF(G169,$G$1&amp;$G$2),PARAMETROS!$K$26:$L$30,2,0))</f>
        <v>Entra por Criterio de Dependencia y Percentil</v>
      </c>
      <c r="I169" s="96">
        <f>+COEFyDISTR_FET!AA174</f>
        <v>2.8790691702499996E-3</v>
      </c>
      <c r="J169" s="97">
        <f t="shared" si="16"/>
        <v>8306</v>
      </c>
      <c r="K169" s="97">
        <f t="shared" si="17"/>
        <v>8405</v>
      </c>
      <c r="L169" t="str">
        <f t="shared" si="18"/>
        <v>NACIMIENTO</v>
      </c>
      <c r="M169" t="str">
        <f t="shared" si="19"/>
        <v>Entra por Criterio de Dependencia y Percentil</v>
      </c>
      <c r="N169" s="97">
        <f t="shared" si="20"/>
        <v>8306</v>
      </c>
      <c r="O169" s="97">
        <f t="shared" si="21"/>
        <v>8405</v>
      </c>
      <c r="P169" t="str">
        <f t="shared" si="22"/>
        <v>NACIMIENTO</v>
      </c>
      <c r="Q169" s="96">
        <f t="shared" si="23"/>
        <v>2.8790691702499996E-3</v>
      </c>
      <c r="R169" s="96"/>
      <c r="S169">
        <f>+COEFyDISTR_MINERO!A174</f>
        <v>8306</v>
      </c>
      <c r="T169">
        <f>+COEFyDISTR_MINERO!B174</f>
        <v>8405</v>
      </c>
      <c r="U169" t="str">
        <f>+COEFyDISTR_MINERO!C174</f>
        <v>NACIMIENTO</v>
      </c>
      <c r="V169" s="96">
        <f>+COEFyDISTR_MINERO!X174</f>
        <v>0</v>
      </c>
      <c r="W169" s="6" t="str">
        <f>+COEFyDISTR_MINERO!D174</f>
        <v>No</v>
      </c>
      <c r="X169" s="96"/>
      <c r="Y169" s="96"/>
      <c r="Z169" s="1">
        <v>9107</v>
      </c>
      <c r="AA169" s="1">
        <v>9212</v>
      </c>
      <c r="AB169" s="1" t="str">
        <v>GORBEA</v>
      </c>
      <c r="AC169" s="1" t="str">
        <v>Entra por Criterio de Dependencia y Percentil</v>
      </c>
      <c r="AF169" s="1">
        <v>9107</v>
      </c>
      <c r="AG169" s="1">
        <v>9212</v>
      </c>
      <c r="AH169" s="1" t="str">
        <v>GORBEA</v>
      </c>
      <c r="AI169" s="405">
        <v>2.7303021954500004E-3</v>
      </c>
    </row>
    <row r="170" spans="1:35" ht="3" customHeight="1" x14ac:dyDescent="0.25">
      <c r="A170" s="5">
        <f>+COEFyDISTR_FET!A175</f>
        <v>8307</v>
      </c>
      <c r="B170" s="5">
        <f>+COEFyDISTR_FET!B175</f>
        <v>8406</v>
      </c>
      <c r="C170" t="str">
        <f>+COEFyDISTR_FET!C175</f>
        <v>NEGRETE</v>
      </c>
      <c r="D170" s="31">
        <f>+COEFyDISTR_FET!D175</f>
        <v>941402</v>
      </c>
      <c r="E170" s="31">
        <f>+COEFyDISTR_FET!E175</f>
        <v>3069321.588</v>
      </c>
      <c r="F170" s="403">
        <f>+COEFyDISTR_FET!G175</f>
        <v>0.159</v>
      </c>
      <c r="G170" s="403">
        <f>+COEFyDISTR_FET!H175</f>
        <v>0.76529999999999998</v>
      </c>
      <c r="H170" s="402" t="str">
        <f>IF(D170=0,$A$2,VLOOKUP(COUNTIF(F170,$F$1&amp;$F$2)&amp;COUNTIF(G170,$G$1&amp;$G$2),PARAMETROS!$K$26:$L$30,2,0))</f>
        <v>Entra por Criterio de Dependencia y Percentil</v>
      </c>
      <c r="I170" s="96">
        <f>+COEFyDISTR_FET!AA175</f>
        <v>2.1557378466500001E-3</v>
      </c>
      <c r="J170" s="97">
        <f t="shared" si="16"/>
        <v>8307</v>
      </c>
      <c r="K170" s="97">
        <f t="shared" si="17"/>
        <v>8406</v>
      </c>
      <c r="L170" t="str">
        <f t="shared" si="18"/>
        <v>NEGRETE</v>
      </c>
      <c r="M170" t="str">
        <f t="shared" si="19"/>
        <v>Entra por Criterio de Dependencia y Percentil</v>
      </c>
      <c r="N170" s="97">
        <f t="shared" si="20"/>
        <v>8307</v>
      </c>
      <c r="O170" s="97">
        <f t="shared" si="21"/>
        <v>8406</v>
      </c>
      <c r="P170" t="str">
        <f t="shared" si="22"/>
        <v>NEGRETE</v>
      </c>
      <c r="Q170" s="96">
        <f t="shared" si="23"/>
        <v>2.1557378466500001E-3</v>
      </c>
      <c r="R170" s="96"/>
      <c r="S170">
        <f>+COEFyDISTR_MINERO!A175</f>
        <v>8307</v>
      </c>
      <c r="T170">
        <f>+COEFyDISTR_MINERO!B175</f>
        <v>8406</v>
      </c>
      <c r="U170" t="str">
        <f>+COEFyDISTR_MINERO!C175</f>
        <v>NEGRETE</v>
      </c>
      <c r="V170" s="96">
        <f>+COEFyDISTR_MINERO!X175</f>
        <v>0</v>
      </c>
      <c r="W170" s="6" t="str">
        <f>+COEFyDISTR_MINERO!D175</f>
        <v>No</v>
      </c>
      <c r="X170" s="96"/>
      <c r="Y170" s="96"/>
      <c r="Z170" s="1">
        <v>9108</v>
      </c>
      <c r="AA170" s="1">
        <v>9205</v>
      </c>
      <c r="AB170" s="1" t="str">
        <v>LAUTARO</v>
      </c>
      <c r="AC170" s="1" t="str">
        <v>Entra por Criterio de Dependencia y Percentil</v>
      </c>
      <c r="AF170" s="1">
        <v>9108</v>
      </c>
      <c r="AG170" s="1">
        <v>9205</v>
      </c>
      <c r="AH170" s="1" t="str">
        <v>LAUTARO</v>
      </c>
      <c r="AI170" s="405">
        <v>3.2021658730500002E-3</v>
      </c>
    </row>
    <row r="171" spans="1:35" ht="3" customHeight="1" x14ac:dyDescent="0.25">
      <c r="A171" s="5">
        <f>+COEFyDISTR_FET!A176</f>
        <v>8308</v>
      </c>
      <c r="B171" s="5">
        <f>+COEFyDISTR_FET!B176</f>
        <v>8408</v>
      </c>
      <c r="C171" t="str">
        <f>+COEFyDISTR_FET!C176</f>
        <v>QUILACO</v>
      </c>
      <c r="D171" s="31">
        <f>+COEFyDISTR_FET!D176</f>
        <v>715738</v>
      </c>
      <c r="E171" s="31">
        <f>+COEFyDISTR_FET!E176</f>
        <v>2259662.0520000001</v>
      </c>
      <c r="F171" s="403">
        <f>+COEFyDISTR_FET!G176</f>
        <v>6.6000000000000003E-2</v>
      </c>
      <c r="G171" s="403">
        <f>+COEFyDISTR_FET!H176</f>
        <v>0.75939999999999996</v>
      </c>
      <c r="H171" s="402" t="str">
        <f>IF(D171=0,$A$2,VLOOKUP(COUNTIF(F171,$F$1&amp;$F$2)&amp;COUNTIF(G171,$G$1&amp;$G$2),PARAMETROS!$K$26:$L$30,2,0))</f>
        <v>Entra por Criterio de Dependencia y Percentil</v>
      </c>
      <c r="I171" s="96">
        <f>+COEFyDISTR_FET!AA176</f>
        <v>1.8588347099500002E-3</v>
      </c>
      <c r="J171" s="97">
        <f t="shared" si="16"/>
        <v>8308</v>
      </c>
      <c r="K171" s="97">
        <f t="shared" si="17"/>
        <v>8408</v>
      </c>
      <c r="L171" t="str">
        <f t="shared" si="18"/>
        <v>QUILACO</v>
      </c>
      <c r="M171" t="str">
        <f t="shared" si="19"/>
        <v>Entra por Criterio de Dependencia y Percentil</v>
      </c>
      <c r="N171" s="97">
        <f t="shared" si="20"/>
        <v>8308</v>
      </c>
      <c r="O171" s="97">
        <f t="shared" si="21"/>
        <v>8408</v>
      </c>
      <c r="P171" t="str">
        <f t="shared" si="22"/>
        <v>QUILACO</v>
      </c>
      <c r="Q171" s="96">
        <f t="shared" si="23"/>
        <v>1.8588347099500002E-3</v>
      </c>
      <c r="R171" s="96"/>
      <c r="S171">
        <f>+COEFyDISTR_MINERO!A176</f>
        <v>8308</v>
      </c>
      <c r="T171">
        <f>+COEFyDISTR_MINERO!B176</f>
        <v>8408</v>
      </c>
      <c r="U171" t="str">
        <f>+COEFyDISTR_MINERO!C176</f>
        <v>QUILACO</v>
      </c>
      <c r="V171" s="96">
        <f>+COEFyDISTR_MINERO!X176</f>
        <v>0</v>
      </c>
      <c r="W171" s="6" t="str">
        <f>+COEFyDISTR_MINERO!D176</f>
        <v>No</v>
      </c>
      <c r="X171" s="96"/>
      <c r="Y171" s="96"/>
      <c r="Z171" s="1">
        <v>9109</v>
      </c>
      <c r="AA171" s="1">
        <v>9214</v>
      </c>
      <c r="AB171" s="1" t="str">
        <v>LONCOCHE</v>
      </c>
      <c r="AC171" s="1" t="str">
        <v>Entra por Criterio de Dependencia y Percentil</v>
      </c>
      <c r="AF171" s="1">
        <v>9109</v>
      </c>
      <c r="AG171" s="1">
        <v>9214</v>
      </c>
      <c r="AH171" s="1" t="str">
        <v>LONCOCHE</v>
      </c>
      <c r="AI171" s="405">
        <v>3.2317298102500004E-3</v>
      </c>
    </row>
    <row r="172" spans="1:35" ht="3" customHeight="1" x14ac:dyDescent="0.25">
      <c r="A172" s="5">
        <f>+COEFyDISTR_FET!A177</f>
        <v>8309</v>
      </c>
      <c r="B172" s="5">
        <f>+COEFyDISTR_FET!B177</f>
        <v>8404</v>
      </c>
      <c r="C172" t="str">
        <f>+COEFyDISTR_FET!C177</f>
        <v>QUILLECO</v>
      </c>
      <c r="D172" s="31">
        <f>+COEFyDISTR_FET!D177</f>
        <v>882639</v>
      </c>
      <c r="E172" s="31">
        <f>+COEFyDISTR_FET!E177</f>
        <v>3209085.9380000001</v>
      </c>
      <c r="F172" s="403">
        <f>+COEFyDISTR_FET!G177</f>
        <v>0.17299999999999999</v>
      </c>
      <c r="G172" s="403">
        <f>+COEFyDISTR_FET!H177</f>
        <v>0.7843</v>
      </c>
      <c r="H172" s="402" t="str">
        <f>IF(D172=0,$A$2,VLOOKUP(COUNTIF(F172,$F$1&amp;$F$2)&amp;COUNTIF(G172,$G$1&amp;$G$2),PARAMETROS!$K$26:$L$30,2,0))</f>
        <v>Entra por Criterio de Dependencia y Percentil</v>
      </c>
      <c r="I172" s="96">
        <f>+COEFyDISTR_FET!AA177</f>
        <v>2.26209259605E-3</v>
      </c>
      <c r="J172" s="97">
        <f t="shared" si="16"/>
        <v>8309</v>
      </c>
      <c r="K172" s="97">
        <f t="shared" si="17"/>
        <v>8404</v>
      </c>
      <c r="L172" t="str">
        <f t="shared" si="18"/>
        <v>QUILLECO</v>
      </c>
      <c r="M172" t="str">
        <f t="shared" si="19"/>
        <v>Entra por Criterio de Dependencia y Percentil</v>
      </c>
      <c r="N172" s="97">
        <f t="shared" si="20"/>
        <v>8309</v>
      </c>
      <c r="O172" s="97">
        <f t="shared" si="21"/>
        <v>8404</v>
      </c>
      <c r="P172" t="str">
        <f t="shared" si="22"/>
        <v>QUILLECO</v>
      </c>
      <c r="Q172" s="96">
        <f t="shared" si="23"/>
        <v>2.26209259605E-3</v>
      </c>
      <c r="R172" s="96"/>
      <c r="S172">
        <f>+COEFyDISTR_MINERO!A177</f>
        <v>8309</v>
      </c>
      <c r="T172">
        <f>+COEFyDISTR_MINERO!B177</f>
        <v>8404</v>
      </c>
      <c r="U172" t="str">
        <f>+COEFyDISTR_MINERO!C177</f>
        <v>QUILLECO</v>
      </c>
      <c r="V172" s="96">
        <f>+COEFyDISTR_MINERO!X177</f>
        <v>0</v>
      </c>
      <c r="W172" s="6" t="str">
        <f>+COEFyDISTR_MINERO!D177</f>
        <v>No</v>
      </c>
      <c r="X172" s="96"/>
      <c r="Y172" s="96"/>
      <c r="Z172" s="1">
        <v>9110</v>
      </c>
      <c r="AA172" s="1">
        <v>9217</v>
      </c>
      <c r="AB172" s="1" t="str">
        <v>MELIPEUCO</v>
      </c>
      <c r="AC172" s="1" t="str">
        <v>Entra por Criterio de Dependencia y Percentil</v>
      </c>
      <c r="AF172" s="1">
        <v>9110</v>
      </c>
      <c r="AG172" s="1">
        <v>9217</v>
      </c>
      <c r="AH172" s="1" t="str">
        <v>MELIPEUCO</v>
      </c>
      <c r="AI172" s="405">
        <v>2.1429095614499999E-3</v>
      </c>
    </row>
    <row r="173" spans="1:35" ht="3" customHeight="1" x14ac:dyDescent="0.25">
      <c r="A173" s="5">
        <f>+COEFyDISTR_FET!A178</f>
        <v>8310</v>
      </c>
      <c r="B173" s="5">
        <f>+COEFyDISTR_FET!B178</f>
        <v>8411</v>
      </c>
      <c r="C173" t="str">
        <f>+COEFyDISTR_FET!C178</f>
        <v>SAN ROSENDO</v>
      </c>
      <c r="D173" s="31">
        <f>+COEFyDISTR_FET!D178</f>
        <v>274307</v>
      </c>
      <c r="E173" s="31">
        <f>+COEFyDISTR_FET!E178</f>
        <v>2927465.3220000002</v>
      </c>
      <c r="F173" s="403">
        <f>+COEFyDISTR_FET!G178</f>
        <v>7.4999999999999997E-2</v>
      </c>
      <c r="G173" s="403">
        <f>+COEFyDISTR_FET!H178</f>
        <v>0.9143</v>
      </c>
      <c r="H173" s="402" t="str">
        <f>IF(D173=0,$A$2,VLOOKUP(COUNTIF(F173,$F$1&amp;$F$2)&amp;COUNTIF(G173,$G$1&amp;$G$2),PARAMETROS!$K$26:$L$30,2,0))</f>
        <v>Entra por Criterio de Dependencia y Percentil</v>
      </c>
      <c r="I173" s="96">
        <f>+COEFyDISTR_FET!AA178</f>
        <v>1.9223401323500001E-3</v>
      </c>
      <c r="J173" s="97">
        <f t="shared" si="16"/>
        <v>8310</v>
      </c>
      <c r="K173" s="97">
        <f t="shared" si="17"/>
        <v>8411</v>
      </c>
      <c r="L173" t="str">
        <f t="shared" si="18"/>
        <v>SAN ROSENDO</v>
      </c>
      <c r="M173" t="str">
        <f t="shared" si="19"/>
        <v>Entra por Criterio de Dependencia y Percentil</v>
      </c>
      <c r="N173" s="97">
        <f t="shared" si="20"/>
        <v>8310</v>
      </c>
      <c r="O173" s="97">
        <f t="shared" si="21"/>
        <v>8411</v>
      </c>
      <c r="P173" t="str">
        <f t="shared" si="22"/>
        <v>SAN ROSENDO</v>
      </c>
      <c r="Q173" s="96">
        <f t="shared" si="23"/>
        <v>1.9223401323500001E-3</v>
      </c>
      <c r="R173" s="96"/>
      <c r="S173">
        <f>+COEFyDISTR_MINERO!A178</f>
        <v>8310</v>
      </c>
      <c r="T173">
        <f>+COEFyDISTR_MINERO!B178</f>
        <v>8411</v>
      </c>
      <c r="U173" t="str">
        <f>+COEFyDISTR_MINERO!C178</f>
        <v>SAN ROSENDO</v>
      </c>
      <c r="V173" s="96">
        <f>+COEFyDISTR_MINERO!X178</f>
        <v>0</v>
      </c>
      <c r="W173" s="6" t="str">
        <f>+COEFyDISTR_MINERO!D178</f>
        <v>No</v>
      </c>
      <c r="X173" s="96"/>
      <c r="Y173" s="96"/>
      <c r="Z173" s="1">
        <v>9111</v>
      </c>
      <c r="AA173" s="1">
        <v>9208</v>
      </c>
      <c r="AB173" s="1" t="str">
        <v>NUEVA IMPERIAL</v>
      </c>
      <c r="AC173" s="1" t="str">
        <v>Entra por Criterio de Dependencia y Percentil</v>
      </c>
      <c r="AF173" s="1">
        <v>9111</v>
      </c>
      <c r="AG173" s="1">
        <v>9208</v>
      </c>
      <c r="AH173" s="1" t="str">
        <v>NUEVA IMPERIAL</v>
      </c>
      <c r="AI173" s="405">
        <v>4.9835402791499998E-3</v>
      </c>
    </row>
    <row r="174" spans="1:35" ht="3" customHeight="1" x14ac:dyDescent="0.25">
      <c r="A174" s="5">
        <f>+COEFyDISTR_FET!A179</f>
        <v>8311</v>
      </c>
      <c r="B174" s="5">
        <f>+COEFyDISTR_FET!B179</f>
        <v>8402</v>
      </c>
      <c r="C174" t="str">
        <f>+COEFyDISTR_FET!C179</f>
        <v>SANTA BÁRBARA</v>
      </c>
      <c r="D174" s="31">
        <f>+COEFyDISTR_FET!D179</f>
        <v>1333815</v>
      </c>
      <c r="E174" s="31">
        <f>+COEFyDISTR_FET!E179</f>
        <v>3479306.7949999999</v>
      </c>
      <c r="F174" s="403">
        <f>+COEFyDISTR_FET!G179</f>
        <v>0.26</v>
      </c>
      <c r="G174" s="403">
        <f>+COEFyDISTR_FET!H179</f>
        <v>0.72289999999999999</v>
      </c>
      <c r="H174" s="402" t="str">
        <f>IF(D174=0,$A$2,VLOOKUP(COUNTIF(F174,$F$1&amp;$F$2)&amp;COUNTIF(G174,$G$1&amp;$G$2),PARAMETROS!$K$26:$L$30,2,0))</f>
        <v>Entra por Criterio de Dependencia y Percentil</v>
      </c>
      <c r="I174" s="96">
        <f>+COEFyDISTR_FET!AA179</f>
        <v>2.4587361808500003E-3</v>
      </c>
      <c r="J174" s="97">
        <f t="shared" si="16"/>
        <v>8311</v>
      </c>
      <c r="K174" s="97">
        <f t="shared" si="17"/>
        <v>8402</v>
      </c>
      <c r="L174" t="str">
        <f t="shared" si="18"/>
        <v>SANTA BÁRBARA</v>
      </c>
      <c r="M174" t="str">
        <f t="shared" si="19"/>
        <v>Entra por Criterio de Dependencia y Percentil</v>
      </c>
      <c r="N174" s="97">
        <f t="shared" si="20"/>
        <v>8311</v>
      </c>
      <c r="O174" s="97">
        <f t="shared" si="21"/>
        <v>8402</v>
      </c>
      <c r="P174" t="str">
        <f t="shared" si="22"/>
        <v>SANTA BÁRBARA</v>
      </c>
      <c r="Q174" s="96">
        <f t="shared" si="23"/>
        <v>2.4587361808500003E-3</v>
      </c>
      <c r="R174" s="96"/>
      <c r="S174">
        <f>+COEFyDISTR_MINERO!A179</f>
        <v>8311</v>
      </c>
      <c r="T174">
        <f>+COEFyDISTR_MINERO!B179</f>
        <v>8402</v>
      </c>
      <c r="U174" t="str">
        <f>+COEFyDISTR_MINERO!C179</f>
        <v>SANTA BÁRBARA</v>
      </c>
      <c r="V174" s="96">
        <f>+COEFyDISTR_MINERO!X179</f>
        <v>0</v>
      </c>
      <c r="W174" s="6" t="str">
        <f>+COEFyDISTR_MINERO!D179</f>
        <v>No</v>
      </c>
      <c r="X174" s="96"/>
      <c r="Y174" s="96"/>
      <c r="Z174" s="1">
        <v>9112</v>
      </c>
      <c r="AA174" s="1">
        <v>9220</v>
      </c>
      <c r="AB174" s="1" t="str">
        <v>PADRE LAS CASAS</v>
      </c>
      <c r="AC174" s="1" t="str">
        <v>Entra por Criterio de Dependencia y Percentil</v>
      </c>
      <c r="AF174" s="1">
        <v>9112</v>
      </c>
      <c r="AG174" s="1">
        <v>9220</v>
      </c>
      <c r="AH174" s="1" t="str">
        <v>PADRE LAS CASAS</v>
      </c>
      <c r="AI174" s="405">
        <v>8.2702219730499994E-3</v>
      </c>
    </row>
    <row r="175" spans="1:35" ht="3" customHeight="1" x14ac:dyDescent="0.25">
      <c r="A175" s="5">
        <f>+COEFyDISTR_FET!A180</f>
        <v>8312</v>
      </c>
      <c r="B175" s="5">
        <f>+COEFyDISTR_FET!B180</f>
        <v>8412</v>
      </c>
      <c r="C175" t="str">
        <f>+COEFyDISTR_FET!C180</f>
        <v>TUCAPEL</v>
      </c>
      <c r="D175" s="31">
        <f>+COEFyDISTR_FET!D180</f>
        <v>1537728</v>
      </c>
      <c r="E175" s="31">
        <f>+COEFyDISTR_FET!E180</f>
        <v>3926504.1669999999</v>
      </c>
      <c r="F175" s="403">
        <f>+COEFyDISTR_FET!G180</f>
        <v>0.33300000000000002</v>
      </c>
      <c r="G175" s="403">
        <f>+COEFyDISTR_FET!H180</f>
        <v>0.71860000000000002</v>
      </c>
      <c r="H175" s="402" t="str">
        <f>IF(D175=0,$A$2,VLOOKUP(COUNTIF(F175,$F$1&amp;$F$2)&amp;COUNTIF(G175,$G$1&amp;$G$2),PARAMETROS!$K$26:$L$30,2,0))</f>
        <v>Entra por Criterio de Dependencia y Percentil</v>
      </c>
      <c r="I175" s="96">
        <f>+COEFyDISTR_FET!AA180</f>
        <v>2.4380308417500003E-3</v>
      </c>
      <c r="J175" s="97">
        <f t="shared" si="16"/>
        <v>8312</v>
      </c>
      <c r="K175" s="97">
        <f t="shared" si="17"/>
        <v>8412</v>
      </c>
      <c r="L175" t="str">
        <f t="shared" si="18"/>
        <v>TUCAPEL</v>
      </c>
      <c r="M175" t="str">
        <f t="shared" si="19"/>
        <v>Entra por Criterio de Dependencia y Percentil</v>
      </c>
      <c r="N175" s="97">
        <f t="shared" si="20"/>
        <v>8312</v>
      </c>
      <c r="O175" s="97">
        <f t="shared" si="21"/>
        <v>8412</v>
      </c>
      <c r="P175" t="str">
        <f t="shared" si="22"/>
        <v>TUCAPEL</v>
      </c>
      <c r="Q175" s="96">
        <f t="shared" si="23"/>
        <v>2.4380308417500003E-3</v>
      </c>
      <c r="R175" s="96"/>
      <c r="S175">
        <f>+COEFyDISTR_MINERO!A180</f>
        <v>8312</v>
      </c>
      <c r="T175">
        <f>+COEFyDISTR_MINERO!B180</f>
        <v>8412</v>
      </c>
      <c r="U175" t="str">
        <f>+COEFyDISTR_MINERO!C180</f>
        <v>TUCAPEL</v>
      </c>
      <c r="V175" s="96">
        <f>+COEFyDISTR_MINERO!X180</f>
        <v>0</v>
      </c>
      <c r="W175" s="6" t="str">
        <f>+COEFyDISTR_MINERO!D180</f>
        <v>No</v>
      </c>
      <c r="X175" s="96"/>
      <c r="Y175" s="96"/>
      <c r="Z175" s="1">
        <v>9113</v>
      </c>
      <c r="AA175" s="1">
        <v>9206</v>
      </c>
      <c r="AB175" s="1" t="str">
        <v>PERQUENCO</v>
      </c>
      <c r="AC175" s="1" t="str">
        <v>Entra por Criterio de Dependencia y Percentil</v>
      </c>
      <c r="AF175" s="1">
        <v>9113</v>
      </c>
      <c r="AG175" s="1">
        <v>9206</v>
      </c>
      <c r="AH175" s="1" t="str">
        <v>PERQUENCO</v>
      </c>
      <c r="AI175" s="405">
        <v>2.0391856307500002E-3</v>
      </c>
    </row>
    <row r="176" spans="1:35" ht="3" customHeight="1" x14ac:dyDescent="0.25">
      <c r="A176" s="5">
        <f>+COEFyDISTR_FET!A181</f>
        <v>8313</v>
      </c>
      <c r="B176" s="5">
        <f>+COEFyDISTR_FET!B181</f>
        <v>8409</v>
      </c>
      <c r="C176" t="str">
        <f>+COEFyDISTR_FET!C181</f>
        <v>YUMBEL</v>
      </c>
      <c r="D176" s="31">
        <f>+COEFyDISTR_FET!D181</f>
        <v>1872520</v>
      </c>
      <c r="E176" s="31">
        <f>+COEFyDISTR_FET!E181</f>
        <v>8092827.4589999998</v>
      </c>
      <c r="F176" s="403">
        <f>+COEFyDISTR_FET!G181</f>
        <v>0.59399999999999997</v>
      </c>
      <c r="G176" s="403">
        <f>+COEFyDISTR_FET!H181</f>
        <v>0.81210000000000004</v>
      </c>
      <c r="H176" s="402" t="str">
        <f>IF(D176=0,$A$2,VLOOKUP(COUNTIF(F176,$F$1&amp;$F$2)&amp;COUNTIF(G176,$G$1&amp;$G$2),PARAMETROS!$K$26:$L$30,2,0))</f>
        <v>Entra por Criterio de Dependencia y Percentil</v>
      </c>
      <c r="I176" s="96">
        <f>+COEFyDISTR_FET!AA181</f>
        <v>3.3712242788499999E-3</v>
      </c>
      <c r="J176" s="97">
        <f t="shared" si="16"/>
        <v>8313</v>
      </c>
      <c r="K176" s="97">
        <f t="shared" si="17"/>
        <v>8409</v>
      </c>
      <c r="L176" t="str">
        <f t="shared" si="18"/>
        <v>YUMBEL</v>
      </c>
      <c r="M176" t="str">
        <f t="shared" si="19"/>
        <v>Entra por Criterio de Dependencia y Percentil</v>
      </c>
      <c r="N176" s="97">
        <f t="shared" si="20"/>
        <v>8313</v>
      </c>
      <c r="O176" s="97">
        <f t="shared" si="21"/>
        <v>8409</v>
      </c>
      <c r="P176" t="str">
        <f t="shared" si="22"/>
        <v>YUMBEL</v>
      </c>
      <c r="Q176" s="96">
        <f t="shared" si="23"/>
        <v>3.3712242788499999E-3</v>
      </c>
      <c r="R176" s="96"/>
      <c r="S176">
        <f>+COEFyDISTR_MINERO!A181</f>
        <v>8313</v>
      </c>
      <c r="T176">
        <f>+COEFyDISTR_MINERO!B181</f>
        <v>8409</v>
      </c>
      <c r="U176" t="str">
        <f>+COEFyDISTR_MINERO!C181</f>
        <v>YUMBEL</v>
      </c>
      <c r="V176" s="96">
        <f>+COEFyDISTR_MINERO!X181</f>
        <v>0</v>
      </c>
      <c r="W176" s="6" t="str">
        <f>+COEFyDISTR_MINERO!D181</f>
        <v>No</v>
      </c>
      <c r="X176" s="96"/>
      <c r="Y176" s="96"/>
      <c r="Z176" s="1">
        <v>9114</v>
      </c>
      <c r="AA176" s="1">
        <v>9211</v>
      </c>
      <c r="AB176" s="1" t="str">
        <v>PITRUFQUÉN</v>
      </c>
      <c r="AC176" s="1" t="str">
        <v>Entra por Criterio de Dependencia y Percentil</v>
      </c>
      <c r="AF176" s="1">
        <v>9114</v>
      </c>
      <c r="AG176" s="1">
        <v>9211</v>
      </c>
      <c r="AH176" s="1" t="str">
        <v>PITRUFQUÉN</v>
      </c>
      <c r="AI176" s="405">
        <v>3.66754672265E-3</v>
      </c>
    </row>
    <row r="177" spans="1:35" ht="3" customHeight="1" x14ac:dyDescent="0.25">
      <c r="A177" s="5">
        <f>+COEFyDISTR_FET!A182</f>
        <v>8314</v>
      </c>
      <c r="B177" s="5">
        <f>+COEFyDISTR_FET!B182</f>
        <v>8414</v>
      </c>
      <c r="C177" t="str">
        <f>+COEFyDISTR_FET!C182</f>
        <v>ALTO BIOBÍO</v>
      </c>
      <c r="D177" s="31">
        <f>+COEFyDISTR_FET!D182</f>
        <v>671450</v>
      </c>
      <c r="E177" s="31">
        <f>+COEFyDISTR_FET!E182</f>
        <v>2959172.767</v>
      </c>
      <c r="F177" s="403">
        <f>+COEFyDISTR_FET!G182</f>
        <v>0.124</v>
      </c>
      <c r="G177" s="403">
        <f>+COEFyDISTR_FET!H182</f>
        <v>0.81510000000000005</v>
      </c>
      <c r="H177" s="402" t="str">
        <f>IF(D177=0,$A$2,VLOOKUP(COUNTIF(F177,$F$1&amp;$F$2)&amp;COUNTIF(G177,$G$1&amp;$G$2),PARAMETROS!$K$26:$L$30,2,0))</f>
        <v>Entra por Criterio de Dependencia y Percentil</v>
      </c>
      <c r="I177" s="96">
        <f>+COEFyDISTR_FET!AA182</f>
        <v>1.9635760685500002E-3</v>
      </c>
      <c r="J177" s="97">
        <f t="shared" si="16"/>
        <v>8314</v>
      </c>
      <c r="K177" s="97">
        <f t="shared" si="17"/>
        <v>8414</v>
      </c>
      <c r="L177" t="str">
        <f t="shared" si="18"/>
        <v>ALTO BIOBÍO</v>
      </c>
      <c r="M177" t="str">
        <f t="shared" si="19"/>
        <v>Entra por Criterio de Dependencia y Percentil</v>
      </c>
      <c r="N177" s="97">
        <f t="shared" si="20"/>
        <v>8314</v>
      </c>
      <c r="O177" s="97">
        <f t="shared" si="21"/>
        <v>8414</v>
      </c>
      <c r="P177" t="str">
        <f t="shared" si="22"/>
        <v>ALTO BIOBÍO</v>
      </c>
      <c r="Q177" s="96">
        <f t="shared" si="23"/>
        <v>1.9635760685500002E-3</v>
      </c>
      <c r="R177" s="96"/>
      <c r="S177">
        <f>+COEFyDISTR_MINERO!A182</f>
        <v>8314</v>
      </c>
      <c r="T177">
        <f>+COEFyDISTR_MINERO!B182</f>
        <v>8414</v>
      </c>
      <c r="U177" t="str">
        <f>+COEFyDISTR_MINERO!C182</f>
        <v>ALTO BIOBÍO</v>
      </c>
      <c r="V177" s="96">
        <f>+COEFyDISTR_MINERO!X182</f>
        <v>0</v>
      </c>
      <c r="W177" s="6" t="str">
        <f>+COEFyDISTR_MINERO!D182</f>
        <v>No</v>
      </c>
      <c r="X177" s="96"/>
      <c r="Y177" s="96"/>
      <c r="Z177" s="1">
        <v>9115</v>
      </c>
      <c r="AA177" s="1">
        <v>9216</v>
      </c>
      <c r="AB177" s="1" t="str">
        <v>PUCÓN</v>
      </c>
      <c r="AC177" s="1" t="str">
        <v>Entra por Criterio de Percentil</v>
      </c>
      <c r="AF177" s="1">
        <v>9115</v>
      </c>
      <c r="AG177" s="1">
        <v>9216</v>
      </c>
      <c r="AH177" s="1" t="str">
        <v>PUCÓN</v>
      </c>
      <c r="AI177" s="405">
        <v>2.2564099591499999E-3</v>
      </c>
    </row>
    <row r="178" spans="1:35" ht="3" customHeight="1" x14ac:dyDescent="0.25">
      <c r="A178" s="5">
        <f>+COEFyDISTR_FET!A183</f>
        <v>9101</v>
      </c>
      <c r="B178" s="5">
        <f>+COEFyDISTR_FET!B183</f>
        <v>9201</v>
      </c>
      <c r="C178" t="str">
        <f>+COEFyDISTR_FET!C183</f>
        <v>TEMUCO</v>
      </c>
      <c r="D178" s="31">
        <f>+COEFyDISTR_FET!D183</f>
        <v>40728594</v>
      </c>
      <c r="E178" s="31">
        <f>+COEFyDISTR_FET!E183</f>
        <v>34715395.973999999</v>
      </c>
      <c r="F178" s="403">
        <f>+COEFyDISTR_FET!G183</f>
        <v>0.96799999999999997</v>
      </c>
      <c r="G178" s="403">
        <f>+COEFyDISTR_FET!H183</f>
        <v>0.46010000000000001</v>
      </c>
      <c r="H178" s="402" t="str">
        <f>IF(D178=0,$A$2,VLOOKUP(COUNTIF(F178,$F$1&amp;$F$2)&amp;COUNTIF(G178,$G$1&amp;$G$2),PARAMETROS!$K$26:$L$30,2,0))</f>
        <v>Sin Acceso</v>
      </c>
      <c r="I178" s="96">
        <f>+COEFyDISTR_FET!AA183</f>
        <v>0</v>
      </c>
      <c r="J178" s="97">
        <f t="shared" si="16"/>
        <v>9101</v>
      </c>
      <c r="K178" s="97">
        <f t="shared" si="17"/>
        <v>9201</v>
      </c>
      <c r="L178" t="str">
        <f t="shared" si="18"/>
        <v>TEMUCO</v>
      </c>
      <c r="M178" t="str">
        <f t="shared" si="19"/>
        <v>Sin Acceso</v>
      </c>
      <c r="N178" s="97">
        <f t="shared" si="20"/>
        <v>9101</v>
      </c>
      <c r="O178" s="97">
        <f t="shared" si="21"/>
        <v>9201</v>
      </c>
      <c r="P178" t="str">
        <f t="shared" si="22"/>
        <v>TEMUCO</v>
      </c>
      <c r="Q178" s="96">
        <f t="shared" si="23"/>
        <v>0</v>
      </c>
      <c r="R178" s="96"/>
      <c r="S178">
        <f>+COEFyDISTR_MINERO!A183</f>
        <v>9101</v>
      </c>
      <c r="T178">
        <f>+COEFyDISTR_MINERO!B183</f>
        <v>9201</v>
      </c>
      <c r="U178" t="str">
        <f>+COEFyDISTR_MINERO!C183</f>
        <v>TEMUCO</v>
      </c>
      <c r="V178" s="96">
        <f>+COEFyDISTR_MINERO!X183</f>
        <v>0</v>
      </c>
      <c r="W178" s="6" t="str">
        <f>+COEFyDISTR_MINERO!D183</f>
        <v>No</v>
      </c>
      <c r="X178" s="96"/>
      <c r="Y178" s="96"/>
      <c r="Z178" s="1">
        <v>9116</v>
      </c>
      <c r="AA178" s="1">
        <v>9210</v>
      </c>
      <c r="AB178" s="1" t="str">
        <v>SAAVEDRA</v>
      </c>
      <c r="AC178" s="1" t="str">
        <v>Entra por Criterio de Dependencia y Percentil</v>
      </c>
      <c r="AF178" s="1">
        <v>9116</v>
      </c>
      <c r="AG178" s="1">
        <v>9210</v>
      </c>
      <c r="AH178" s="1" t="str">
        <v>SAAVEDRA</v>
      </c>
      <c r="AI178" s="405">
        <v>3.1707835873500002E-3</v>
      </c>
    </row>
    <row r="179" spans="1:35" ht="3" customHeight="1" x14ac:dyDescent="0.25">
      <c r="A179" s="5">
        <f>+COEFyDISTR_FET!A184</f>
        <v>9102</v>
      </c>
      <c r="B179" s="5">
        <f>+COEFyDISTR_FET!B184</f>
        <v>9209</v>
      </c>
      <c r="C179" t="str">
        <f>+COEFyDISTR_FET!C184</f>
        <v>CARAHUE</v>
      </c>
      <c r="D179" s="31">
        <f>+COEFyDISTR_FET!D184</f>
        <v>853469</v>
      </c>
      <c r="E179" s="31">
        <f>+COEFyDISTR_FET!E184</f>
        <v>8475223.8450000007</v>
      </c>
      <c r="F179" s="403">
        <f>+COEFyDISTR_FET!G184</f>
        <v>0.55900000000000005</v>
      </c>
      <c r="G179" s="403">
        <f>+COEFyDISTR_FET!H184</f>
        <v>0.90849999999999997</v>
      </c>
      <c r="H179" s="402" t="str">
        <f>IF(D179=0,$A$2,VLOOKUP(COUNTIF(F179,$F$1&amp;$F$2)&amp;COUNTIF(G179,$G$1&amp;$G$2),PARAMETROS!$K$26:$L$30,2,0))</f>
        <v>Entra por Criterio de Dependencia y Percentil</v>
      </c>
      <c r="I179" s="96">
        <f>+COEFyDISTR_FET!AA184</f>
        <v>4.5512779830500002E-3</v>
      </c>
      <c r="J179" s="97">
        <f t="shared" si="16"/>
        <v>9102</v>
      </c>
      <c r="K179" s="97">
        <f t="shared" si="17"/>
        <v>9209</v>
      </c>
      <c r="L179" t="str">
        <f t="shared" si="18"/>
        <v>CARAHUE</v>
      </c>
      <c r="M179" t="str">
        <f t="shared" si="19"/>
        <v>Entra por Criterio de Dependencia y Percentil</v>
      </c>
      <c r="N179" s="97">
        <f t="shared" si="20"/>
        <v>9102</v>
      </c>
      <c r="O179" s="97">
        <f t="shared" si="21"/>
        <v>9209</v>
      </c>
      <c r="P179" t="str">
        <f t="shared" si="22"/>
        <v>CARAHUE</v>
      </c>
      <c r="Q179" s="96">
        <f t="shared" si="23"/>
        <v>4.5512779830500002E-3</v>
      </c>
      <c r="R179" s="96"/>
      <c r="S179">
        <f>+COEFyDISTR_MINERO!A184</f>
        <v>9102</v>
      </c>
      <c r="T179">
        <f>+COEFyDISTR_MINERO!B184</f>
        <v>9209</v>
      </c>
      <c r="U179" t="str">
        <f>+COEFyDISTR_MINERO!C184</f>
        <v>CARAHUE</v>
      </c>
      <c r="V179" s="96">
        <f>+COEFyDISTR_MINERO!X184</f>
        <v>0</v>
      </c>
      <c r="W179" s="6" t="str">
        <f>+COEFyDISTR_MINERO!D184</f>
        <v>No</v>
      </c>
      <c r="X179" s="96"/>
      <c r="Y179" s="96"/>
      <c r="Z179" s="1">
        <v>9117</v>
      </c>
      <c r="AA179" s="1">
        <v>9219</v>
      </c>
      <c r="AB179" s="1" t="str">
        <v>TEODORO SCHMIDT</v>
      </c>
      <c r="AC179" s="1" t="str">
        <v>Entra por Criterio de Dependencia y Percentil</v>
      </c>
      <c r="AF179" s="1">
        <v>9117</v>
      </c>
      <c r="AG179" s="1">
        <v>9219</v>
      </c>
      <c r="AH179" s="1" t="str">
        <v>TEODORO SCHMIDT</v>
      </c>
      <c r="AI179" s="405">
        <v>3.4719788316500003E-3</v>
      </c>
    </row>
    <row r="180" spans="1:35" ht="3" customHeight="1" x14ac:dyDescent="0.25">
      <c r="A180" s="5">
        <f>+COEFyDISTR_FET!A185</f>
        <v>9103</v>
      </c>
      <c r="B180" s="5">
        <f>+COEFyDISTR_FET!B185</f>
        <v>9204</v>
      </c>
      <c r="C180" t="str">
        <f>+COEFyDISTR_FET!C185</f>
        <v>CUNCO</v>
      </c>
      <c r="D180" s="31">
        <f>+COEFyDISTR_FET!D185</f>
        <v>2016417</v>
      </c>
      <c r="E180" s="31">
        <f>+COEFyDISTR_FET!E185</f>
        <v>4886561.432</v>
      </c>
      <c r="F180" s="403">
        <f>+COEFyDISTR_FET!G185</f>
        <v>0.45700000000000002</v>
      </c>
      <c r="G180" s="403">
        <f>+COEFyDISTR_FET!H185</f>
        <v>0.70789999999999997</v>
      </c>
      <c r="H180" s="402" t="str">
        <f>IF(D180=0,$A$2,VLOOKUP(COUNTIF(F180,$F$1&amp;$F$2)&amp;COUNTIF(G180,$G$1&amp;$G$2),PARAMETROS!$K$26:$L$30,2,0))</f>
        <v>Entra por Criterio de Dependencia y Percentil</v>
      </c>
      <c r="I180" s="96">
        <f>+COEFyDISTR_FET!AA185</f>
        <v>2.50463138495E-3</v>
      </c>
      <c r="J180" s="97">
        <f t="shared" si="16"/>
        <v>9103</v>
      </c>
      <c r="K180" s="97">
        <f t="shared" si="17"/>
        <v>9204</v>
      </c>
      <c r="L180" t="str">
        <f t="shared" si="18"/>
        <v>CUNCO</v>
      </c>
      <c r="M180" t="str">
        <f t="shared" si="19"/>
        <v>Entra por Criterio de Dependencia y Percentil</v>
      </c>
      <c r="N180" s="97">
        <f t="shared" si="20"/>
        <v>9103</v>
      </c>
      <c r="O180" s="97">
        <f t="shared" si="21"/>
        <v>9204</v>
      </c>
      <c r="P180" t="str">
        <f t="shared" si="22"/>
        <v>CUNCO</v>
      </c>
      <c r="Q180" s="96">
        <f t="shared" si="23"/>
        <v>2.50463138495E-3</v>
      </c>
      <c r="R180" s="96"/>
      <c r="S180">
        <f>+COEFyDISTR_MINERO!A185</f>
        <v>9103</v>
      </c>
      <c r="T180">
        <f>+COEFyDISTR_MINERO!B185</f>
        <v>9204</v>
      </c>
      <c r="U180" t="str">
        <f>+COEFyDISTR_MINERO!C185</f>
        <v>CUNCO</v>
      </c>
      <c r="V180" s="96">
        <f>+COEFyDISTR_MINERO!X185</f>
        <v>0</v>
      </c>
      <c r="W180" s="6" t="str">
        <f>+COEFyDISTR_MINERO!D185</f>
        <v>No</v>
      </c>
      <c r="X180" s="96"/>
      <c r="Y180" s="96"/>
      <c r="Z180" s="1">
        <v>9118</v>
      </c>
      <c r="AA180" s="1">
        <v>9213</v>
      </c>
      <c r="AB180" s="1" t="str">
        <v>TOLTÉN</v>
      </c>
      <c r="AC180" s="1" t="str">
        <v>Entra por Criterio de Dependencia y Percentil</v>
      </c>
      <c r="AF180" s="1">
        <v>9118</v>
      </c>
      <c r="AG180" s="1">
        <v>9213</v>
      </c>
      <c r="AH180" s="1" t="str">
        <v>TOLTÉN</v>
      </c>
      <c r="AI180" s="405">
        <v>2.6502024662499999E-3</v>
      </c>
    </row>
    <row r="181" spans="1:35" ht="3" customHeight="1" x14ac:dyDescent="0.25">
      <c r="A181" s="5">
        <f>+COEFyDISTR_FET!A186</f>
        <v>9104</v>
      </c>
      <c r="B181" s="5">
        <f>+COEFyDISTR_FET!B186</f>
        <v>9218</v>
      </c>
      <c r="C181" t="str">
        <f>+COEFyDISTR_FET!C186</f>
        <v>CURARREHUE</v>
      </c>
      <c r="D181" s="31">
        <f>+COEFyDISTR_FET!D186</f>
        <v>363356</v>
      </c>
      <c r="E181" s="31">
        <f>+COEFyDISTR_FET!E186</f>
        <v>3144135.6150000002</v>
      </c>
      <c r="F181" s="403">
        <f>+COEFyDISTR_FET!G186</f>
        <v>0.113</v>
      </c>
      <c r="G181" s="403">
        <f>+COEFyDISTR_FET!H186</f>
        <v>0.89639999999999997</v>
      </c>
      <c r="H181" s="402" t="str">
        <f>IF(D181=0,$A$2,VLOOKUP(COUNTIF(F181,$F$1&amp;$F$2)&amp;COUNTIF(G181,$G$1&amp;$G$2),PARAMETROS!$K$26:$L$30,2,0))</f>
        <v>Entra por Criterio de Dependencia y Percentil</v>
      </c>
      <c r="I181" s="96">
        <f>+COEFyDISTR_FET!AA186</f>
        <v>2.3047290274499999E-3</v>
      </c>
      <c r="J181" s="97">
        <f t="shared" si="16"/>
        <v>9104</v>
      </c>
      <c r="K181" s="97">
        <f t="shared" si="17"/>
        <v>9218</v>
      </c>
      <c r="L181" t="str">
        <f t="shared" si="18"/>
        <v>CURARREHUE</v>
      </c>
      <c r="M181" t="str">
        <f t="shared" si="19"/>
        <v>Entra por Criterio de Dependencia y Percentil</v>
      </c>
      <c r="N181" s="97">
        <f t="shared" si="20"/>
        <v>9104</v>
      </c>
      <c r="O181" s="97">
        <f t="shared" si="21"/>
        <v>9218</v>
      </c>
      <c r="P181" t="str">
        <f t="shared" si="22"/>
        <v>CURARREHUE</v>
      </c>
      <c r="Q181" s="96">
        <f t="shared" si="23"/>
        <v>2.3047290274499999E-3</v>
      </c>
      <c r="R181" s="96"/>
      <c r="S181">
        <f>+COEFyDISTR_MINERO!A186</f>
        <v>9104</v>
      </c>
      <c r="T181">
        <f>+COEFyDISTR_MINERO!B186</f>
        <v>9218</v>
      </c>
      <c r="U181" t="str">
        <f>+COEFyDISTR_MINERO!C186</f>
        <v>CURARREHUE</v>
      </c>
      <c r="V181" s="96">
        <f>+COEFyDISTR_MINERO!X186</f>
        <v>0</v>
      </c>
      <c r="W181" s="6" t="str">
        <f>+COEFyDISTR_MINERO!D186</f>
        <v>No</v>
      </c>
      <c r="X181" s="96"/>
      <c r="Y181" s="96"/>
      <c r="Z181" s="1">
        <v>9119</v>
      </c>
      <c r="AA181" s="1">
        <v>9202</v>
      </c>
      <c r="AB181" s="1" t="str">
        <v>VILCÚN</v>
      </c>
      <c r="AC181" s="1" t="str">
        <v>Entra por Criterio de Dependencia y Percentil</v>
      </c>
      <c r="AF181" s="1">
        <v>9119</v>
      </c>
      <c r="AG181" s="1">
        <v>9202</v>
      </c>
      <c r="AH181" s="1" t="str">
        <v>VILCÚN</v>
      </c>
      <c r="AI181" s="405">
        <v>3.7754120159500001E-3</v>
      </c>
    </row>
    <row r="182" spans="1:35" ht="3" customHeight="1" x14ac:dyDescent="0.25">
      <c r="A182" s="5">
        <f>+COEFyDISTR_FET!A187</f>
        <v>9105</v>
      </c>
      <c r="B182" s="5">
        <f>+COEFyDISTR_FET!B187</f>
        <v>9203</v>
      </c>
      <c r="C182" t="str">
        <f>+COEFyDISTR_FET!C187</f>
        <v>FREIRE</v>
      </c>
      <c r="D182" s="31">
        <f>+COEFyDISTR_FET!D187</f>
        <v>1924617</v>
      </c>
      <c r="E182" s="31">
        <f>+COEFyDISTR_FET!E187</f>
        <v>6319236.2570000002</v>
      </c>
      <c r="F182" s="403">
        <f>+COEFyDISTR_FET!G187</f>
        <v>0.52400000000000002</v>
      </c>
      <c r="G182" s="403">
        <f>+COEFyDISTR_FET!H187</f>
        <v>0.76649999999999996</v>
      </c>
      <c r="H182" s="402" t="str">
        <f>IF(D182=0,$A$2,VLOOKUP(COUNTIF(F182,$F$1&amp;$F$2)&amp;COUNTIF(G182,$G$1&amp;$G$2),PARAMETROS!$K$26:$L$30,2,0))</f>
        <v>Entra por Criterio de Dependencia y Percentil</v>
      </c>
      <c r="I182" s="96">
        <f>+COEFyDISTR_FET!AA187</f>
        <v>3.4133053087500001E-3</v>
      </c>
      <c r="J182" s="97">
        <f t="shared" si="16"/>
        <v>9105</v>
      </c>
      <c r="K182" s="97">
        <f t="shared" si="17"/>
        <v>9203</v>
      </c>
      <c r="L182" t="str">
        <f t="shared" si="18"/>
        <v>FREIRE</v>
      </c>
      <c r="M182" t="str">
        <f t="shared" si="19"/>
        <v>Entra por Criterio de Dependencia y Percentil</v>
      </c>
      <c r="N182" s="97">
        <f t="shared" si="20"/>
        <v>9105</v>
      </c>
      <c r="O182" s="97">
        <f t="shared" si="21"/>
        <v>9203</v>
      </c>
      <c r="P182" t="str">
        <f t="shared" si="22"/>
        <v>FREIRE</v>
      </c>
      <c r="Q182" s="96">
        <f t="shared" si="23"/>
        <v>3.4133053087500001E-3</v>
      </c>
      <c r="R182" s="96"/>
      <c r="S182">
        <f>+COEFyDISTR_MINERO!A187</f>
        <v>9105</v>
      </c>
      <c r="T182">
        <f>+COEFyDISTR_MINERO!B187</f>
        <v>9203</v>
      </c>
      <c r="U182" t="str">
        <f>+COEFyDISTR_MINERO!C187</f>
        <v>FREIRE</v>
      </c>
      <c r="V182" s="96">
        <f>+COEFyDISTR_MINERO!X187</f>
        <v>0</v>
      </c>
      <c r="W182" s="6" t="str">
        <f>+COEFyDISTR_MINERO!D187</f>
        <v>No</v>
      </c>
      <c r="X182" s="96"/>
      <c r="Y182" s="96"/>
      <c r="Z182" s="1">
        <v>9120</v>
      </c>
      <c r="AA182" s="1">
        <v>9215</v>
      </c>
      <c r="AB182" s="1" t="str">
        <v>VILLARRICA</v>
      </c>
      <c r="AC182" s="1" t="str">
        <v>Entra por Criterio de Percentil</v>
      </c>
      <c r="AF182" s="1">
        <v>9120</v>
      </c>
      <c r="AG182" s="1">
        <v>9215</v>
      </c>
      <c r="AH182" s="1" t="str">
        <v>VILLARRICA</v>
      </c>
      <c r="AI182" s="405">
        <v>3.1969996251500002E-3</v>
      </c>
    </row>
    <row r="183" spans="1:35" ht="3" customHeight="1" x14ac:dyDescent="0.25">
      <c r="A183" s="5">
        <f>+COEFyDISTR_FET!A188</f>
        <v>9106</v>
      </c>
      <c r="B183" s="5">
        <f>+COEFyDISTR_FET!B188</f>
        <v>9207</v>
      </c>
      <c r="C183" t="str">
        <f>+COEFyDISTR_FET!C188</f>
        <v>GALVARINO</v>
      </c>
      <c r="D183" s="31">
        <f>+COEFyDISTR_FET!D188</f>
        <v>600698</v>
      </c>
      <c r="E183" s="31">
        <f>+COEFyDISTR_FET!E188</f>
        <v>4501405.5650000004</v>
      </c>
      <c r="F183" s="403">
        <f>+COEFyDISTR_FET!G188</f>
        <v>0.29799999999999999</v>
      </c>
      <c r="G183" s="403">
        <f>+COEFyDISTR_FET!H188</f>
        <v>0.88229999999999997</v>
      </c>
      <c r="H183" s="402" t="str">
        <f>IF(D183=0,$A$2,VLOOKUP(COUNTIF(F183,$F$1&amp;$F$2)&amp;COUNTIF(G183,$G$1&amp;$G$2),PARAMETROS!$K$26:$L$30,2,0))</f>
        <v>Entra por Criterio de Dependencia y Percentil</v>
      </c>
      <c r="I183" s="96">
        <f>+COEFyDISTR_FET!AA188</f>
        <v>2.9846405400499997E-3</v>
      </c>
      <c r="J183" s="97">
        <f t="shared" si="16"/>
        <v>9106</v>
      </c>
      <c r="K183" s="97">
        <f t="shared" si="17"/>
        <v>9207</v>
      </c>
      <c r="L183" t="str">
        <f t="shared" si="18"/>
        <v>GALVARINO</v>
      </c>
      <c r="M183" t="str">
        <f t="shared" si="19"/>
        <v>Entra por Criterio de Dependencia y Percentil</v>
      </c>
      <c r="N183" s="97">
        <f t="shared" si="20"/>
        <v>9106</v>
      </c>
      <c r="O183" s="97">
        <f t="shared" si="21"/>
        <v>9207</v>
      </c>
      <c r="P183" t="str">
        <f t="shared" si="22"/>
        <v>GALVARINO</v>
      </c>
      <c r="Q183" s="96">
        <f t="shared" si="23"/>
        <v>2.9846405400499997E-3</v>
      </c>
      <c r="R183" s="96"/>
      <c r="S183">
        <f>+COEFyDISTR_MINERO!A188</f>
        <v>9106</v>
      </c>
      <c r="T183">
        <f>+COEFyDISTR_MINERO!B188</f>
        <v>9207</v>
      </c>
      <c r="U183" t="str">
        <f>+COEFyDISTR_MINERO!C188</f>
        <v>GALVARINO</v>
      </c>
      <c r="V183" s="96">
        <f>+COEFyDISTR_MINERO!X188</f>
        <v>0</v>
      </c>
      <c r="W183" s="6" t="str">
        <f>+COEFyDISTR_MINERO!D188</f>
        <v>No</v>
      </c>
      <c r="X183" s="96"/>
      <c r="Y183" s="96"/>
      <c r="Z183" s="1">
        <v>9121</v>
      </c>
      <c r="AA183" s="1">
        <v>9221</v>
      </c>
      <c r="AB183" s="1" t="str">
        <v>CHOLCHOL</v>
      </c>
      <c r="AC183" s="1" t="str">
        <v>Entra por Criterio de Dependencia y Percentil</v>
      </c>
      <c r="AF183" s="1">
        <v>9121</v>
      </c>
      <c r="AG183" s="1">
        <v>9221</v>
      </c>
      <c r="AH183" s="1" t="str">
        <v>CHOLCHOL</v>
      </c>
      <c r="AI183" s="405">
        <v>3.0070874601500004E-3</v>
      </c>
    </row>
    <row r="184" spans="1:35" ht="3" customHeight="1" x14ac:dyDescent="0.25">
      <c r="A184" s="5">
        <f>+COEFyDISTR_FET!A189</f>
        <v>9107</v>
      </c>
      <c r="B184" s="5">
        <f>+COEFyDISTR_FET!B189</f>
        <v>9212</v>
      </c>
      <c r="C184" t="str">
        <f>+COEFyDISTR_FET!C189</f>
        <v>GORBEA</v>
      </c>
      <c r="D184" s="31">
        <f>+COEFyDISTR_FET!D189</f>
        <v>1060795</v>
      </c>
      <c r="E184" s="31">
        <f>+COEFyDISTR_FET!E189</f>
        <v>4790820.5520000001</v>
      </c>
      <c r="F184" s="403">
        <f>+COEFyDISTR_FET!G189</f>
        <v>0.38500000000000001</v>
      </c>
      <c r="G184" s="403">
        <f>+COEFyDISTR_FET!H189</f>
        <v>0.81869999999999998</v>
      </c>
      <c r="H184" s="402" t="str">
        <f>IF(D184=0,$A$2,VLOOKUP(COUNTIF(F184,$F$1&amp;$F$2)&amp;COUNTIF(G184,$G$1&amp;$G$2),PARAMETROS!$K$26:$L$30,2,0))</f>
        <v>Entra por Criterio de Dependencia y Percentil</v>
      </c>
      <c r="I184" s="96">
        <f>+COEFyDISTR_FET!AA189</f>
        <v>2.7303021954500004E-3</v>
      </c>
      <c r="J184" s="97">
        <f t="shared" si="16"/>
        <v>9107</v>
      </c>
      <c r="K184" s="97">
        <f t="shared" si="17"/>
        <v>9212</v>
      </c>
      <c r="L184" t="str">
        <f t="shared" si="18"/>
        <v>GORBEA</v>
      </c>
      <c r="M184" t="str">
        <f t="shared" si="19"/>
        <v>Entra por Criterio de Dependencia y Percentil</v>
      </c>
      <c r="N184" s="97">
        <f t="shared" si="20"/>
        <v>9107</v>
      </c>
      <c r="O184" s="97">
        <f t="shared" si="21"/>
        <v>9212</v>
      </c>
      <c r="P184" t="str">
        <f t="shared" si="22"/>
        <v>GORBEA</v>
      </c>
      <c r="Q184" s="96">
        <f t="shared" si="23"/>
        <v>2.7303021954500004E-3</v>
      </c>
      <c r="R184" s="96"/>
      <c r="S184">
        <f>+COEFyDISTR_MINERO!A189</f>
        <v>9107</v>
      </c>
      <c r="T184">
        <f>+COEFyDISTR_MINERO!B189</f>
        <v>9212</v>
      </c>
      <c r="U184" t="str">
        <f>+COEFyDISTR_MINERO!C189</f>
        <v>GORBEA</v>
      </c>
      <c r="V184" s="96">
        <f>+COEFyDISTR_MINERO!X189</f>
        <v>0</v>
      </c>
      <c r="W184" s="6" t="str">
        <f>+COEFyDISTR_MINERO!D189</f>
        <v>No</v>
      </c>
      <c r="X184" s="96"/>
      <c r="Y184" s="96"/>
      <c r="Z184" s="1">
        <v>9201</v>
      </c>
      <c r="AA184" s="1">
        <v>9101</v>
      </c>
      <c r="AB184" s="1" t="str">
        <v>ANGOL</v>
      </c>
      <c r="AC184" s="1" t="str">
        <v>Entra por Criterio de Dependencia y Percentil</v>
      </c>
      <c r="AF184" s="1">
        <v>9201</v>
      </c>
      <c r="AG184" s="1">
        <v>9101</v>
      </c>
      <c r="AH184" s="1" t="str">
        <v>ANGOL</v>
      </c>
      <c r="AI184" s="405">
        <v>5.25602889945E-3</v>
      </c>
    </row>
    <row r="185" spans="1:35" ht="3" customHeight="1" x14ac:dyDescent="0.25">
      <c r="A185" s="5">
        <f>+COEFyDISTR_FET!A190</f>
        <v>9108</v>
      </c>
      <c r="B185" s="5">
        <f>+COEFyDISTR_FET!B190</f>
        <v>9205</v>
      </c>
      <c r="C185" t="str">
        <f>+COEFyDISTR_FET!C190</f>
        <v>LAUTARO</v>
      </c>
      <c r="D185" s="31">
        <f>+COEFyDISTR_FET!D190</f>
        <v>5171342</v>
      </c>
      <c r="E185" s="31">
        <f>+COEFyDISTR_FET!E190</f>
        <v>6070880.1679999996</v>
      </c>
      <c r="F185" s="403">
        <f>+COEFyDISTR_FET!G190</f>
        <v>0.626</v>
      </c>
      <c r="G185" s="403">
        <f>+COEFyDISTR_FET!H190</f>
        <v>0.54</v>
      </c>
      <c r="H185" s="402" t="str">
        <f>IF(D185=0,$A$2,VLOOKUP(COUNTIF(F185,$F$1&amp;$F$2)&amp;COUNTIF(G185,$G$1&amp;$G$2),PARAMETROS!$K$26:$L$30,2,0))</f>
        <v>Entra por Criterio de Dependencia y Percentil</v>
      </c>
      <c r="I185" s="96">
        <f>+COEFyDISTR_FET!AA190</f>
        <v>3.2021658730500002E-3</v>
      </c>
      <c r="J185" s="97">
        <f t="shared" si="16"/>
        <v>9108</v>
      </c>
      <c r="K185" s="97">
        <f t="shared" si="17"/>
        <v>9205</v>
      </c>
      <c r="L185" t="str">
        <f t="shared" si="18"/>
        <v>LAUTARO</v>
      </c>
      <c r="M185" t="str">
        <f t="shared" si="19"/>
        <v>Entra por Criterio de Dependencia y Percentil</v>
      </c>
      <c r="N185" s="97">
        <f t="shared" si="20"/>
        <v>9108</v>
      </c>
      <c r="O185" s="97">
        <f t="shared" si="21"/>
        <v>9205</v>
      </c>
      <c r="P185" t="str">
        <f t="shared" si="22"/>
        <v>LAUTARO</v>
      </c>
      <c r="Q185" s="96">
        <f t="shared" si="23"/>
        <v>3.2021658730500002E-3</v>
      </c>
      <c r="R185" s="96"/>
      <c r="S185">
        <f>+COEFyDISTR_MINERO!A190</f>
        <v>9108</v>
      </c>
      <c r="T185">
        <f>+COEFyDISTR_MINERO!B190</f>
        <v>9205</v>
      </c>
      <c r="U185" t="str">
        <f>+COEFyDISTR_MINERO!C190</f>
        <v>LAUTARO</v>
      </c>
      <c r="V185" s="96">
        <f>+COEFyDISTR_MINERO!X190</f>
        <v>0</v>
      </c>
      <c r="W185" s="6" t="str">
        <f>+COEFyDISTR_MINERO!D190</f>
        <v>No</v>
      </c>
      <c r="X185" s="96"/>
      <c r="Y185" s="96"/>
      <c r="Z185" s="1">
        <v>9202</v>
      </c>
      <c r="AA185" s="1">
        <v>9105</v>
      </c>
      <c r="AB185" s="1" t="str">
        <v>COLLIPULLI</v>
      </c>
      <c r="AC185" s="1" t="str">
        <v>Entra por Criterio de Dependencia y Percentil</v>
      </c>
      <c r="AF185" s="1">
        <v>9202</v>
      </c>
      <c r="AG185" s="1">
        <v>9105</v>
      </c>
      <c r="AH185" s="1" t="str">
        <v>COLLIPULLI</v>
      </c>
      <c r="AI185" s="405">
        <v>2.7108829468500003E-3</v>
      </c>
    </row>
    <row r="186" spans="1:35" ht="3" customHeight="1" x14ac:dyDescent="0.25">
      <c r="A186" s="5">
        <f>+COEFyDISTR_FET!A191</f>
        <v>9109</v>
      </c>
      <c r="B186" s="5">
        <f>+COEFyDISTR_FET!B191</f>
        <v>9214</v>
      </c>
      <c r="C186" t="str">
        <f>+COEFyDISTR_FET!C191</f>
        <v>LONCOCHE</v>
      </c>
      <c r="D186" s="31">
        <f>+COEFyDISTR_FET!D191</f>
        <v>1903986</v>
      </c>
      <c r="E186" s="31">
        <f>+COEFyDISTR_FET!E191</f>
        <v>5862330.7240000004</v>
      </c>
      <c r="F186" s="403">
        <f>+COEFyDISTR_FET!G191</f>
        <v>0.48399999999999999</v>
      </c>
      <c r="G186" s="403">
        <f>+COEFyDISTR_FET!H191</f>
        <v>0.75480000000000003</v>
      </c>
      <c r="H186" s="402" t="str">
        <f>IF(D186=0,$A$2,VLOOKUP(COUNTIF(F186,$F$1&amp;$F$2)&amp;COUNTIF(G186,$G$1&amp;$G$2),PARAMETROS!$K$26:$L$30,2,0))</f>
        <v>Entra por Criterio de Dependencia y Percentil</v>
      </c>
      <c r="I186" s="96">
        <f>+COEFyDISTR_FET!AA191</f>
        <v>3.2317298102500004E-3</v>
      </c>
      <c r="J186" s="97">
        <f t="shared" si="16"/>
        <v>9109</v>
      </c>
      <c r="K186" s="97">
        <f t="shared" si="17"/>
        <v>9214</v>
      </c>
      <c r="L186" t="str">
        <f t="shared" si="18"/>
        <v>LONCOCHE</v>
      </c>
      <c r="M186" t="str">
        <f t="shared" si="19"/>
        <v>Entra por Criterio de Dependencia y Percentil</v>
      </c>
      <c r="N186" s="97">
        <f t="shared" si="20"/>
        <v>9109</v>
      </c>
      <c r="O186" s="97">
        <f t="shared" si="21"/>
        <v>9214</v>
      </c>
      <c r="P186" t="str">
        <f t="shared" si="22"/>
        <v>LONCOCHE</v>
      </c>
      <c r="Q186" s="96">
        <f t="shared" si="23"/>
        <v>3.2317298102500004E-3</v>
      </c>
      <c r="R186" s="96"/>
      <c r="S186">
        <f>+COEFyDISTR_MINERO!A191</f>
        <v>9109</v>
      </c>
      <c r="T186">
        <f>+COEFyDISTR_MINERO!B191</f>
        <v>9214</v>
      </c>
      <c r="U186" t="str">
        <f>+COEFyDISTR_MINERO!C191</f>
        <v>LONCOCHE</v>
      </c>
      <c r="V186" s="96">
        <f>+COEFyDISTR_MINERO!X191</f>
        <v>0</v>
      </c>
      <c r="W186" s="6" t="str">
        <f>+COEFyDISTR_MINERO!D191</f>
        <v>No</v>
      </c>
      <c r="X186" s="96"/>
      <c r="Y186" s="96"/>
      <c r="Z186" s="1">
        <v>9203</v>
      </c>
      <c r="AA186" s="1">
        <v>9110</v>
      </c>
      <c r="AB186" s="1" t="str">
        <v>CURACAUTÍN</v>
      </c>
      <c r="AC186" s="1" t="str">
        <v>Entra por Criterio de Dependencia y Percentil</v>
      </c>
      <c r="AF186" s="1">
        <v>9203</v>
      </c>
      <c r="AG186" s="1">
        <v>9110</v>
      </c>
      <c r="AH186" s="1" t="str">
        <v>CURACAUTÍN</v>
      </c>
      <c r="AI186" s="405">
        <v>2.7244910654499999E-3</v>
      </c>
    </row>
    <row r="187" spans="1:35" ht="3" customHeight="1" x14ac:dyDescent="0.25">
      <c r="A187" s="5">
        <f>+COEFyDISTR_FET!A192</f>
        <v>9110</v>
      </c>
      <c r="B187" s="5">
        <f>+COEFyDISTR_FET!B192</f>
        <v>9217</v>
      </c>
      <c r="C187" t="str">
        <f>+COEFyDISTR_FET!C192</f>
        <v>MELIPEUCO</v>
      </c>
      <c r="D187" s="31">
        <f>+COEFyDISTR_FET!D192</f>
        <v>455765</v>
      </c>
      <c r="E187" s="31">
        <f>+COEFyDISTR_FET!E192</f>
        <v>4338389.9400000004</v>
      </c>
      <c r="F187" s="403">
        <f>+COEFyDISTR_FET!G192</f>
        <v>0.255</v>
      </c>
      <c r="G187" s="403">
        <f>+COEFyDISTR_FET!H192</f>
        <v>0.90490000000000004</v>
      </c>
      <c r="H187" s="402" t="str">
        <f>IF(D187=0,$A$2,VLOOKUP(COUNTIF(F187,$F$1&amp;$F$2)&amp;COUNTIF(G187,$G$1&amp;$G$2),PARAMETROS!$K$26:$L$30,2,0))</f>
        <v>Entra por Criterio de Dependencia y Percentil</v>
      </c>
      <c r="I187" s="96">
        <f>+COEFyDISTR_FET!AA192</f>
        <v>2.1429095614499999E-3</v>
      </c>
      <c r="J187" s="97">
        <f t="shared" si="16"/>
        <v>9110</v>
      </c>
      <c r="K187" s="97">
        <f t="shared" si="17"/>
        <v>9217</v>
      </c>
      <c r="L187" t="str">
        <f t="shared" si="18"/>
        <v>MELIPEUCO</v>
      </c>
      <c r="M187" t="str">
        <f t="shared" si="19"/>
        <v>Entra por Criterio de Dependencia y Percentil</v>
      </c>
      <c r="N187" s="97">
        <f t="shared" si="20"/>
        <v>9110</v>
      </c>
      <c r="O187" s="97">
        <f t="shared" si="21"/>
        <v>9217</v>
      </c>
      <c r="P187" t="str">
        <f t="shared" si="22"/>
        <v>MELIPEUCO</v>
      </c>
      <c r="Q187" s="96">
        <f t="shared" si="23"/>
        <v>2.1429095614499999E-3</v>
      </c>
      <c r="R187" s="96"/>
      <c r="S187">
        <f>+COEFyDISTR_MINERO!A192</f>
        <v>9110</v>
      </c>
      <c r="T187">
        <f>+COEFyDISTR_MINERO!B192</f>
        <v>9217</v>
      </c>
      <c r="U187" t="str">
        <f>+COEFyDISTR_MINERO!C192</f>
        <v>MELIPEUCO</v>
      </c>
      <c r="V187" s="96">
        <f>+COEFyDISTR_MINERO!X192</f>
        <v>0</v>
      </c>
      <c r="W187" s="6" t="str">
        <f>+COEFyDISTR_MINERO!D192</f>
        <v>No</v>
      </c>
      <c r="X187" s="96"/>
      <c r="Y187" s="96"/>
      <c r="Z187" s="1">
        <v>9204</v>
      </c>
      <c r="AA187" s="1">
        <v>9106</v>
      </c>
      <c r="AB187" s="1" t="str">
        <v>ERCILLA</v>
      </c>
      <c r="AC187" s="1" t="str">
        <v>Entra por Criterio de Dependencia y Percentil</v>
      </c>
      <c r="AF187" s="1">
        <v>9204</v>
      </c>
      <c r="AG187" s="1">
        <v>9106</v>
      </c>
      <c r="AH187" s="1" t="str">
        <v>ERCILLA</v>
      </c>
      <c r="AI187" s="405">
        <v>2.4194902737499999E-3</v>
      </c>
    </row>
    <row r="188" spans="1:35" ht="3" customHeight="1" x14ac:dyDescent="0.25">
      <c r="A188" s="5">
        <f>+COEFyDISTR_FET!A193</f>
        <v>9111</v>
      </c>
      <c r="B188" s="5">
        <f>+COEFyDISTR_FET!B193</f>
        <v>9208</v>
      </c>
      <c r="C188" t="str">
        <f>+COEFyDISTR_FET!C193</f>
        <v>NUEVA IMPERIAL</v>
      </c>
      <c r="D188" s="31">
        <f>+COEFyDISTR_FET!D193</f>
        <v>1509322</v>
      </c>
      <c r="E188" s="31">
        <f>+COEFyDISTR_FET!E193</f>
        <v>8669946.0439999998</v>
      </c>
      <c r="F188" s="403">
        <f>+COEFyDISTR_FET!G193</f>
        <v>0.60199999999999998</v>
      </c>
      <c r="G188" s="403">
        <f>+COEFyDISTR_FET!H193</f>
        <v>0.85170000000000001</v>
      </c>
      <c r="H188" s="402" t="str">
        <f>IF(D188=0,$A$2,VLOOKUP(COUNTIF(F188,$F$1&amp;$F$2)&amp;COUNTIF(G188,$G$1&amp;$G$2),PARAMETROS!$K$26:$L$30,2,0))</f>
        <v>Entra por Criterio de Dependencia y Percentil</v>
      </c>
      <c r="I188" s="96">
        <f>+COEFyDISTR_FET!AA193</f>
        <v>4.9835402791499998E-3</v>
      </c>
      <c r="J188" s="97">
        <f t="shared" si="16"/>
        <v>9111</v>
      </c>
      <c r="K188" s="97">
        <f t="shared" si="17"/>
        <v>9208</v>
      </c>
      <c r="L188" t="str">
        <f t="shared" si="18"/>
        <v>NUEVA IMPERIAL</v>
      </c>
      <c r="M188" t="str">
        <f t="shared" si="19"/>
        <v>Entra por Criterio de Dependencia y Percentil</v>
      </c>
      <c r="N188" s="97">
        <f t="shared" si="20"/>
        <v>9111</v>
      </c>
      <c r="O188" s="97">
        <f t="shared" si="21"/>
        <v>9208</v>
      </c>
      <c r="P188" t="str">
        <f t="shared" si="22"/>
        <v>NUEVA IMPERIAL</v>
      </c>
      <c r="Q188" s="96">
        <f t="shared" si="23"/>
        <v>4.9835402791499998E-3</v>
      </c>
      <c r="R188" s="96"/>
      <c r="S188">
        <f>+COEFyDISTR_MINERO!A193</f>
        <v>9111</v>
      </c>
      <c r="T188">
        <f>+COEFyDISTR_MINERO!B193</f>
        <v>9208</v>
      </c>
      <c r="U188" t="str">
        <f>+COEFyDISTR_MINERO!C193</f>
        <v>NUEVA IMPERIAL</v>
      </c>
      <c r="V188" s="96">
        <f>+COEFyDISTR_MINERO!X193</f>
        <v>0</v>
      </c>
      <c r="W188" s="6" t="str">
        <f>+COEFyDISTR_MINERO!D193</f>
        <v>No</v>
      </c>
      <c r="X188" s="96"/>
      <c r="Y188" s="96"/>
      <c r="Z188" s="1">
        <v>9205</v>
      </c>
      <c r="AA188" s="1">
        <v>9111</v>
      </c>
      <c r="AB188" s="1" t="str">
        <v>LONQUIMAY</v>
      </c>
      <c r="AC188" s="1" t="str">
        <v>Entra por Criterio de Dependencia y Percentil</v>
      </c>
      <c r="AF188" s="1">
        <v>9205</v>
      </c>
      <c r="AG188" s="1">
        <v>9111</v>
      </c>
      <c r="AH188" s="1" t="str">
        <v>LONQUIMAY</v>
      </c>
      <c r="AI188" s="405">
        <v>2.6051795977500001E-3</v>
      </c>
    </row>
    <row r="189" spans="1:35" ht="3" customHeight="1" x14ac:dyDescent="0.25">
      <c r="A189" s="5">
        <f>+COEFyDISTR_FET!A194</f>
        <v>9112</v>
      </c>
      <c r="B189" s="5">
        <f>+COEFyDISTR_FET!B194</f>
        <v>9220</v>
      </c>
      <c r="C189" t="str">
        <f>+COEFyDISTR_FET!C194</f>
        <v>PADRE LAS CASAS</v>
      </c>
      <c r="D189" s="31">
        <f>+COEFyDISTR_FET!D194</f>
        <v>4826076</v>
      </c>
      <c r="E189" s="31">
        <f>+COEFyDISTR_FET!E194</f>
        <v>14351633</v>
      </c>
      <c r="F189" s="403">
        <f>+COEFyDISTR_FET!G194</f>
        <v>0.77600000000000002</v>
      </c>
      <c r="G189" s="403">
        <f>+COEFyDISTR_FET!H194</f>
        <v>0.74829999999999997</v>
      </c>
      <c r="H189" s="402" t="str">
        <f>IF(D189=0,$A$2,VLOOKUP(COUNTIF(F189,$F$1&amp;$F$2)&amp;COUNTIF(G189,$G$1&amp;$G$2),PARAMETROS!$K$26:$L$30,2,0))</f>
        <v>Entra por Criterio de Dependencia y Percentil</v>
      </c>
      <c r="I189" s="96">
        <f>+COEFyDISTR_FET!AA194</f>
        <v>8.2702219730499994E-3</v>
      </c>
      <c r="J189" s="97">
        <f t="shared" si="16"/>
        <v>9112</v>
      </c>
      <c r="K189" s="97">
        <f t="shared" si="17"/>
        <v>9220</v>
      </c>
      <c r="L189" t="str">
        <f t="shared" si="18"/>
        <v>PADRE LAS CASAS</v>
      </c>
      <c r="M189" t="str">
        <f t="shared" si="19"/>
        <v>Entra por Criterio de Dependencia y Percentil</v>
      </c>
      <c r="N189" s="97">
        <f t="shared" si="20"/>
        <v>9112</v>
      </c>
      <c r="O189" s="97">
        <f t="shared" si="21"/>
        <v>9220</v>
      </c>
      <c r="P189" t="str">
        <f t="shared" si="22"/>
        <v>PADRE LAS CASAS</v>
      </c>
      <c r="Q189" s="96">
        <f t="shared" si="23"/>
        <v>8.2702219730499994E-3</v>
      </c>
      <c r="R189" s="96"/>
      <c r="S189">
        <f>+COEFyDISTR_MINERO!A194</f>
        <v>9112</v>
      </c>
      <c r="T189">
        <f>+COEFyDISTR_MINERO!B194</f>
        <v>9220</v>
      </c>
      <c r="U189" t="str">
        <f>+COEFyDISTR_MINERO!C194</f>
        <v>PADRE LAS CASAS</v>
      </c>
      <c r="V189" s="96">
        <f>+COEFyDISTR_MINERO!X194</f>
        <v>0</v>
      </c>
      <c r="W189" s="6" t="str">
        <f>+COEFyDISTR_MINERO!D194</f>
        <v>No</v>
      </c>
      <c r="X189" s="96"/>
      <c r="Y189" s="96"/>
      <c r="Z189" s="1">
        <v>9206</v>
      </c>
      <c r="AA189" s="1">
        <v>9103</v>
      </c>
      <c r="AB189" s="1" t="str">
        <v>LOS SAUCES</v>
      </c>
      <c r="AC189" s="1" t="str">
        <v>Entra por Criterio de Dependencia y Percentil</v>
      </c>
      <c r="AF189" s="1">
        <v>9206</v>
      </c>
      <c r="AG189" s="1">
        <v>9103</v>
      </c>
      <c r="AH189" s="1" t="str">
        <v>LOS SAUCES</v>
      </c>
      <c r="AI189" s="405">
        <v>2.2082659204500001E-3</v>
      </c>
    </row>
    <row r="190" spans="1:35" ht="3" customHeight="1" x14ac:dyDescent="0.25">
      <c r="A190" s="5">
        <f>+COEFyDISTR_FET!A195</f>
        <v>9113</v>
      </c>
      <c r="B190" s="5">
        <f>+COEFyDISTR_FET!B195</f>
        <v>9206</v>
      </c>
      <c r="C190" t="str">
        <f>+COEFyDISTR_FET!C195</f>
        <v>PERQUENCO</v>
      </c>
      <c r="D190" s="31">
        <f>+COEFyDISTR_FET!D195</f>
        <v>755343</v>
      </c>
      <c r="E190" s="31">
        <f>+COEFyDISTR_FET!E195</f>
        <v>3210021.8390000002</v>
      </c>
      <c r="F190" s="403">
        <f>+COEFyDISTR_FET!G195</f>
        <v>0.15</v>
      </c>
      <c r="G190" s="403">
        <f>+COEFyDISTR_FET!H195</f>
        <v>0.8095</v>
      </c>
      <c r="H190" s="402" t="str">
        <f>IF(D190=0,$A$2,VLOOKUP(COUNTIF(F190,$F$1&amp;$F$2)&amp;COUNTIF(G190,$G$1&amp;$G$2),PARAMETROS!$K$26:$L$30,2,0))</f>
        <v>Entra por Criterio de Dependencia y Percentil</v>
      </c>
      <c r="I190" s="96">
        <f>+COEFyDISTR_FET!AA195</f>
        <v>2.0391856307500002E-3</v>
      </c>
      <c r="J190" s="97">
        <f t="shared" si="16"/>
        <v>9113</v>
      </c>
      <c r="K190" s="97">
        <f t="shared" si="17"/>
        <v>9206</v>
      </c>
      <c r="L190" t="str">
        <f t="shared" si="18"/>
        <v>PERQUENCO</v>
      </c>
      <c r="M190" t="str">
        <f t="shared" si="19"/>
        <v>Entra por Criterio de Dependencia y Percentil</v>
      </c>
      <c r="N190" s="97">
        <f t="shared" si="20"/>
        <v>9113</v>
      </c>
      <c r="O190" s="97">
        <f t="shared" si="21"/>
        <v>9206</v>
      </c>
      <c r="P190" t="str">
        <f t="shared" si="22"/>
        <v>PERQUENCO</v>
      </c>
      <c r="Q190" s="96">
        <f t="shared" si="23"/>
        <v>2.0391856307500002E-3</v>
      </c>
      <c r="R190" s="96"/>
      <c r="S190">
        <f>+COEFyDISTR_MINERO!A195</f>
        <v>9113</v>
      </c>
      <c r="T190">
        <f>+COEFyDISTR_MINERO!B195</f>
        <v>9206</v>
      </c>
      <c r="U190" t="str">
        <f>+COEFyDISTR_MINERO!C195</f>
        <v>PERQUENCO</v>
      </c>
      <c r="V190" s="96">
        <f>+COEFyDISTR_MINERO!X195</f>
        <v>0</v>
      </c>
      <c r="W190" s="6" t="str">
        <f>+COEFyDISTR_MINERO!D195</f>
        <v>No</v>
      </c>
      <c r="X190" s="96"/>
      <c r="Y190" s="96"/>
      <c r="Z190" s="1">
        <v>9207</v>
      </c>
      <c r="AA190" s="1">
        <v>9108</v>
      </c>
      <c r="AB190" s="1" t="str">
        <v>LUMACO</v>
      </c>
      <c r="AC190" s="1" t="str">
        <v>Entra por Criterio de Dependencia y Percentil</v>
      </c>
      <c r="AF190" s="1">
        <v>9207</v>
      </c>
      <c r="AG190" s="1">
        <v>9108</v>
      </c>
      <c r="AH190" s="1" t="str">
        <v>LUMACO</v>
      </c>
      <c r="AI190" s="405">
        <v>2.6963329237500002E-3</v>
      </c>
    </row>
    <row r="191" spans="1:35" ht="3" customHeight="1" x14ac:dyDescent="0.25">
      <c r="A191" s="5">
        <f>+COEFyDISTR_FET!A196</f>
        <v>9114</v>
      </c>
      <c r="B191" s="5">
        <f>+COEFyDISTR_FET!B196</f>
        <v>9211</v>
      </c>
      <c r="C191" t="str">
        <f>+COEFyDISTR_FET!C196</f>
        <v>PITRUFQUÉN</v>
      </c>
      <c r="D191" s="31">
        <f>+COEFyDISTR_FET!D196</f>
        <v>1586090</v>
      </c>
      <c r="E191" s="31">
        <f>+COEFyDISTR_FET!E196</f>
        <v>7185198.142</v>
      </c>
      <c r="F191" s="403">
        <f>+COEFyDISTR_FET!G196</f>
        <v>0.54400000000000004</v>
      </c>
      <c r="G191" s="403">
        <f>+COEFyDISTR_FET!H196</f>
        <v>0.81920000000000004</v>
      </c>
      <c r="H191" s="402" t="str">
        <f>IF(D191=0,$A$2,VLOOKUP(COUNTIF(F191,$F$1&amp;$F$2)&amp;COUNTIF(G191,$G$1&amp;$G$2),PARAMETROS!$K$26:$L$30,2,0))</f>
        <v>Entra por Criterio de Dependencia y Percentil</v>
      </c>
      <c r="I191" s="96">
        <f>+COEFyDISTR_FET!AA196</f>
        <v>3.66754672265E-3</v>
      </c>
      <c r="J191" s="97">
        <f t="shared" si="16"/>
        <v>9114</v>
      </c>
      <c r="K191" s="97">
        <f t="shared" si="17"/>
        <v>9211</v>
      </c>
      <c r="L191" t="str">
        <f t="shared" si="18"/>
        <v>PITRUFQUÉN</v>
      </c>
      <c r="M191" t="str">
        <f t="shared" si="19"/>
        <v>Entra por Criterio de Dependencia y Percentil</v>
      </c>
      <c r="N191" s="97">
        <f t="shared" si="20"/>
        <v>9114</v>
      </c>
      <c r="O191" s="97">
        <f t="shared" si="21"/>
        <v>9211</v>
      </c>
      <c r="P191" t="str">
        <f t="shared" si="22"/>
        <v>PITRUFQUÉN</v>
      </c>
      <c r="Q191" s="96">
        <f t="shared" si="23"/>
        <v>3.66754672265E-3</v>
      </c>
      <c r="R191" s="96"/>
      <c r="S191">
        <f>+COEFyDISTR_MINERO!A196</f>
        <v>9114</v>
      </c>
      <c r="T191">
        <f>+COEFyDISTR_MINERO!B196</f>
        <v>9211</v>
      </c>
      <c r="U191" t="str">
        <f>+COEFyDISTR_MINERO!C196</f>
        <v>PITRUFQUÉN</v>
      </c>
      <c r="V191" s="96">
        <f>+COEFyDISTR_MINERO!X196</f>
        <v>0</v>
      </c>
      <c r="W191" s="6" t="str">
        <f>+COEFyDISTR_MINERO!D196</f>
        <v>No</v>
      </c>
      <c r="X191" s="96"/>
      <c r="Y191" s="96"/>
      <c r="Z191" s="1">
        <v>9208</v>
      </c>
      <c r="AA191" s="1">
        <v>9102</v>
      </c>
      <c r="AB191" s="1" t="str">
        <v>PURÉN</v>
      </c>
      <c r="AC191" s="1" t="str">
        <v>Entra por Criterio de Dependencia y Percentil</v>
      </c>
      <c r="AF191" s="1">
        <v>9208</v>
      </c>
      <c r="AG191" s="1">
        <v>9102</v>
      </c>
      <c r="AH191" s="1" t="str">
        <v>PURÉN</v>
      </c>
      <c r="AI191" s="405">
        <v>2.8167700141499999E-3</v>
      </c>
    </row>
    <row r="192" spans="1:35" ht="3" customHeight="1" x14ac:dyDescent="0.25">
      <c r="A192" s="5">
        <f>+COEFyDISTR_FET!A197</f>
        <v>9115</v>
      </c>
      <c r="B192" s="5">
        <f>+COEFyDISTR_FET!B197</f>
        <v>9216</v>
      </c>
      <c r="C192" t="str">
        <f>+COEFyDISTR_FET!C197</f>
        <v>PUCÓN</v>
      </c>
      <c r="D192" s="31">
        <f>+COEFyDISTR_FET!D197</f>
        <v>14113540</v>
      </c>
      <c r="E192" s="31">
        <f>+COEFyDISTR_FET!E197</f>
        <v>3031366.585</v>
      </c>
      <c r="F192" s="403">
        <f>+COEFyDISTR_FET!G197</f>
        <v>0.75</v>
      </c>
      <c r="G192" s="403">
        <f>+COEFyDISTR_FET!H197</f>
        <v>0.17680000000000001</v>
      </c>
      <c r="H192" s="402" t="str">
        <f>IF(D192=0,$A$2,VLOOKUP(COUNTIF(F192,$F$1&amp;$F$2)&amp;COUNTIF(G192,$G$1&amp;$G$2),PARAMETROS!$K$26:$L$30,2,0))</f>
        <v>Entra por Criterio de Percentil</v>
      </c>
      <c r="I192" s="96">
        <f>+COEFyDISTR_FET!AA197</f>
        <v>2.2564099591499999E-3</v>
      </c>
      <c r="J192" s="97">
        <f t="shared" si="16"/>
        <v>9115</v>
      </c>
      <c r="K192" s="97">
        <f t="shared" si="17"/>
        <v>9216</v>
      </c>
      <c r="L192" t="str">
        <f t="shared" si="18"/>
        <v>PUCÓN</v>
      </c>
      <c r="M192" t="str">
        <f t="shared" si="19"/>
        <v>Entra por Criterio de Percentil</v>
      </c>
      <c r="N192" s="97">
        <f t="shared" si="20"/>
        <v>9115</v>
      </c>
      <c r="O192" s="97">
        <f t="shared" si="21"/>
        <v>9216</v>
      </c>
      <c r="P192" t="str">
        <f t="shared" si="22"/>
        <v>PUCÓN</v>
      </c>
      <c r="Q192" s="96">
        <f t="shared" si="23"/>
        <v>2.2564099591499999E-3</v>
      </c>
      <c r="R192" s="96"/>
      <c r="S192">
        <f>+COEFyDISTR_MINERO!A197</f>
        <v>9115</v>
      </c>
      <c r="T192">
        <f>+COEFyDISTR_MINERO!B197</f>
        <v>9216</v>
      </c>
      <c r="U192" t="str">
        <f>+COEFyDISTR_MINERO!C197</f>
        <v>PUCÓN</v>
      </c>
      <c r="V192" s="96">
        <f>+COEFyDISTR_MINERO!X197</f>
        <v>0</v>
      </c>
      <c r="W192" s="6" t="str">
        <f>+COEFyDISTR_MINERO!D197</f>
        <v>No</v>
      </c>
      <c r="X192" s="96"/>
      <c r="Y192" s="96"/>
      <c r="Z192" s="1">
        <v>9209</v>
      </c>
      <c r="AA192" s="1">
        <v>9104</v>
      </c>
      <c r="AB192" s="1" t="str">
        <v>RENAICO</v>
      </c>
      <c r="AC192" s="1" t="str">
        <v>Entra por Criterio de Dependencia y Percentil</v>
      </c>
      <c r="AF192" s="1">
        <v>9209</v>
      </c>
      <c r="AG192" s="1">
        <v>9104</v>
      </c>
      <c r="AH192" s="1" t="str">
        <v>RENAICO</v>
      </c>
      <c r="AI192" s="405">
        <v>2.1258205181500004E-3</v>
      </c>
    </row>
    <row r="193" spans="1:35" ht="3" customHeight="1" x14ac:dyDescent="0.25">
      <c r="A193" s="5">
        <f>+COEFyDISTR_FET!A198</f>
        <v>9116</v>
      </c>
      <c r="B193" s="5">
        <f>+COEFyDISTR_FET!B198</f>
        <v>9210</v>
      </c>
      <c r="C193" t="str">
        <f>+COEFyDISTR_FET!C198</f>
        <v>SAAVEDRA</v>
      </c>
      <c r="D193" s="31">
        <f>+COEFyDISTR_FET!D198</f>
        <v>452772</v>
      </c>
      <c r="E193" s="31">
        <f>+COEFyDISTR_FET!E198</f>
        <v>5498051.7220000001</v>
      </c>
      <c r="F193" s="403">
        <f>+COEFyDISTR_FET!G198</f>
        <v>0.40200000000000002</v>
      </c>
      <c r="G193" s="403">
        <f>+COEFyDISTR_FET!H198</f>
        <v>0.92390000000000005</v>
      </c>
      <c r="H193" s="402" t="str">
        <f>IF(D193=0,$A$2,VLOOKUP(COUNTIF(F193,$F$1&amp;$F$2)&amp;COUNTIF(G193,$G$1&amp;$G$2),PARAMETROS!$K$26:$L$30,2,0))</f>
        <v>Entra por Criterio de Dependencia y Percentil</v>
      </c>
      <c r="I193" s="96">
        <f>+COEFyDISTR_FET!AA198</f>
        <v>3.1707835873500002E-3</v>
      </c>
      <c r="J193" s="97">
        <f t="shared" si="16"/>
        <v>9116</v>
      </c>
      <c r="K193" s="97">
        <f t="shared" si="17"/>
        <v>9210</v>
      </c>
      <c r="L193" t="str">
        <f t="shared" si="18"/>
        <v>SAAVEDRA</v>
      </c>
      <c r="M193" t="str">
        <f t="shared" si="19"/>
        <v>Entra por Criterio de Dependencia y Percentil</v>
      </c>
      <c r="N193" s="97">
        <f t="shared" si="20"/>
        <v>9116</v>
      </c>
      <c r="O193" s="97">
        <f t="shared" si="21"/>
        <v>9210</v>
      </c>
      <c r="P193" t="str">
        <f t="shared" si="22"/>
        <v>SAAVEDRA</v>
      </c>
      <c r="Q193" s="96">
        <f t="shared" si="23"/>
        <v>3.1707835873500002E-3</v>
      </c>
      <c r="R193" s="96"/>
      <c r="S193">
        <f>+COEFyDISTR_MINERO!A198</f>
        <v>9116</v>
      </c>
      <c r="T193">
        <f>+COEFyDISTR_MINERO!B198</f>
        <v>9210</v>
      </c>
      <c r="U193" t="str">
        <f>+COEFyDISTR_MINERO!C198</f>
        <v>SAAVEDRA</v>
      </c>
      <c r="V193" s="96">
        <f>+COEFyDISTR_MINERO!X198</f>
        <v>0</v>
      </c>
      <c r="W193" s="6" t="str">
        <f>+COEFyDISTR_MINERO!D198</f>
        <v>No</v>
      </c>
      <c r="X193" s="96"/>
      <c r="Y193" s="96"/>
      <c r="Z193" s="1">
        <v>9210</v>
      </c>
      <c r="AA193" s="1">
        <v>9107</v>
      </c>
      <c r="AB193" s="1" t="str">
        <v>TRAIGUÉN</v>
      </c>
      <c r="AC193" s="1" t="str">
        <v>Entra por Criterio de Dependencia y Percentil</v>
      </c>
      <c r="AF193" s="1">
        <v>9210</v>
      </c>
      <c r="AG193" s="1">
        <v>9107</v>
      </c>
      <c r="AH193" s="1" t="str">
        <v>TRAIGUÉN</v>
      </c>
      <c r="AI193" s="405">
        <v>2.9219340977499997E-3</v>
      </c>
    </row>
    <row r="194" spans="1:35" ht="3" customHeight="1" x14ac:dyDescent="0.25">
      <c r="A194" s="5">
        <f>+COEFyDISTR_FET!A199</f>
        <v>9117</v>
      </c>
      <c r="B194" s="5">
        <f>+COEFyDISTR_FET!B199</f>
        <v>9219</v>
      </c>
      <c r="C194" t="str">
        <f>+COEFyDISTR_FET!C199</f>
        <v>TEODORO SCHMIDT</v>
      </c>
      <c r="D194" s="31">
        <f>+COEFyDISTR_FET!D199</f>
        <v>554507</v>
      </c>
      <c r="E194" s="31">
        <f>+COEFyDISTR_FET!E199</f>
        <v>5252017.68</v>
      </c>
      <c r="F194" s="403">
        <f>+COEFyDISTR_FET!G199</f>
        <v>0.379</v>
      </c>
      <c r="G194" s="403">
        <f>+COEFyDISTR_FET!H199</f>
        <v>0.90449999999999997</v>
      </c>
      <c r="H194" s="402" t="str">
        <f>IF(D194=0,$A$2,VLOOKUP(COUNTIF(F194,$F$1&amp;$F$2)&amp;COUNTIF(G194,$G$1&amp;$G$2),PARAMETROS!$K$26:$L$30,2,0))</f>
        <v>Entra por Criterio de Dependencia y Percentil</v>
      </c>
      <c r="I194" s="96">
        <f>+COEFyDISTR_FET!AA199</f>
        <v>3.4719788316500003E-3</v>
      </c>
      <c r="J194" s="97">
        <f t="shared" si="16"/>
        <v>9117</v>
      </c>
      <c r="K194" s="97">
        <f t="shared" si="17"/>
        <v>9219</v>
      </c>
      <c r="L194" t="str">
        <f t="shared" si="18"/>
        <v>TEODORO SCHMIDT</v>
      </c>
      <c r="M194" t="str">
        <f t="shared" si="19"/>
        <v>Entra por Criterio de Dependencia y Percentil</v>
      </c>
      <c r="N194" s="97">
        <f t="shared" si="20"/>
        <v>9117</v>
      </c>
      <c r="O194" s="97">
        <f t="shared" si="21"/>
        <v>9219</v>
      </c>
      <c r="P194" t="str">
        <f t="shared" si="22"/>
        <v>TEODORO SCHMIDT</v>
      </c>
      <c r="Q194" s="96">
        <f t="shared" si="23"/>
        <v>3.4719788316500003E-3</v>
      </c>
      <c r="R194" s="96"/>
      <c r="S194">
        <f>+COEFyDISTR_MINERO!A199</f>
        <v>9117</v>
      </c>
      <c r="T194">
        <f>+COEFyDISTR_MINERO!B199</f>
        <v>9219</v>
      </c>
      <c r="U194" t="str">
        <f>+COEFyDISTR_MINERO!C199</f>
        <v>TEODORO SCHMIDT</v>
      </c>
      <c r="V194" s="96">
        <f>+COEFyDISTR_MINERO!X199</f>
        <v>0</v>
      </c>
      <c r="W194" s="6" t="str">
        <f>+COEFyDISTR_MINERO!D199</f>
        <v>No</v>
      </c>
      <c r="X194" s="96"/>
      <c r="Y194" s="96"/>
      <c r="Z194" s="1">
        <v>9211</v>
      </c>
      <c r="AA194" s="1">
        <v>9109</v>
      </c>
      <c r="AB194" s="1" t="str">
        <v>VICTORIA</v>
      </c>
      <c r="AC194" s="1" t="str">
        <v>Entra por Criterio de Dependencia y Percentil</v>
      </c>
      <c r="AF194" s="1">
        <v>9211</v>
      </c>
      <c r="AG194" s="1">
        <v>9109</v>
      </c>
      <c r="AH194" s="1" t="str">
        <v>VICTORIA</v>
      </c>
      <c r="AI194" s="405">
        <v>3.7765369616499997E-3</v>
      </c>
    </row>
    <row r="195" spans="1:35" ht="3" customHeight="1" x14ac:dyDescent="0.25">
      <c r="A195" s="5">
        <f>+COEFyDISTR_FET!A200</f>
        <v>9118</v>
      </c>
      <c r="B195" s="5">
        <f>+COEFyDISTR_FET!B200</f>
        <v>9213</v>
      </c>
      <c r="C195" t="str">
        <f>+COEFyDISTR_FET!C200</f>
        <v>TOLTÉN</v>
      </c>
      <c r="D195" s="31">
        <f>+COEFyDISTR_FET!D200</f>
        <v>446405</v>
      </c>
      <c r="E195" s="31">
        <f>+COEFyDISTR_FET!E200</f>
        <v>4778553.6279999996</v>
      </c>
      <c r="F195" s="403">
        <f>+COEFyDISTR_FET!G200</f>
        <v>0.315</v>
      </c>
      <c r="G195" s="403">
        <f>+COEFyDISTR_FET!H200</f>
        <v>0.91459999999999997</v>
      </c>
      <c r="H195" s="402" t="str">
        <f>IF(D195=0,$A$2,VLOOKUP(COUNTIF(F195,$F$1&amp;$F$2)&amp;COUNTIF(G195,$G$1&amp;$G$2),PARAMETROS!$K$26:$L$30,2,0))</f>
        <v>Entra por Criterio de Dependencia y Percentil</v>
      </c>
      <c r="I195" s="96">
        <f>+COEFyDISTR_FET!AA200</f>
        <v>2.6502024662499999E-3</v>
      </c>
      <c r="J195" s="97">
        <f t="shared" si="16"/>
        <v>9118</v>
      </c>
      <c r="K195" s="97">
        <f t="shared" si="17"/>
        <v>9213</v>
      </c>
      <c r="L195" t="str">
        <f t="shared" si="18"/>
        <v>TOLTÉN</v>
      </c>
      <c r="M195" t="str">
        <f t="shared" si="19"/>
        <v>Entra por Criterio de Dependencia y Percentil</v>
      </c>
      <c r="N195" s="97">
        <f t="shared" si="20"/>
        <v>9118</v>
      </c>
      <c r="O195" s="97">
        <f t="shared" si="21"/>
        <v>9213</v>
      </c>
      <c r="P195" t="str">
        <f t="shared" si="22"/>
        <v>TOLTÉN</v>
      </c>
      <c r="Q195" s="96">
        <f t="shared" si="23"/>
        <v>2.6502024662499999E-3</v>
      </c>
      <c r="R195" s="96"/>
      <c r="S195">
        <f>+COEFyDISTR_MINERO!A200</f>
        <v>9118</v>
      </c>
      <c r="T195">
        <f>+COEFyDISTR_MINERO!B200</f>
        <v>9213</v>
      </c>
      <c r="U195" t="str">
        <f>+COEFyDISTR_MINERO!C200</f>
        <v>TOLTÉN</v>
      </c>
      <c r="V195" s="96">
        <f>+COEFyDISTR_MINERO!X200</f>
        <v>0</v>
      </c>
      <c r="W195" s="6" t="str">
        <f>+COEFyDISTR_MINERO!D200</f>
        <v>No</v>
      </c>
      <c r="X195" s="96"/>
      <c r="Y195" s="96"/>
      <c r="Z195" s="1">
        <v>10102</v>
      </c>
      <c r="AA195" s="1">
        <v>10309</v>
      </c>
      <c r="AB195" s="1" t="str">
        <v>CALBUCO</v>
      </c>
      <c r="AC195" s="1" t="str">
        <v>Entra por Criterio de Dependencia y Percentil</v>
      </c>
      <c r="AF195" s="1">
        <v>10102</v>
      </c>
      <c r="AG195" s="1">
        <v>10309</v>
      </c>
      <c r="AH195" s="1" t="str">
        <v>CALBUCO</v>
      </c>
      <c r="AI195" s="405">
        <v>2.7438149516499999E-3</v>
      </c>
    </row>
    <row r="196" spans="1:35" ht="3" customHeight="1" x14ac:dyDescent="0.25">
      <c r="A196" s="5">
        <f>+COEFyDISTR_FET!A201</f>
        <v>9119</v>
      </c>
      <c r="B196" s="5">
        <f>+COEFyDISTR_FET!B201</f>
        <v>9202</v>
      </c>
      <c r="C196" t="str">
        <f>+COEFyDISTR_FET!C201</f>
        <v>VILCÚN</v>
      </c>
      <c r="D196" s="31">
        <f>+COEFyDISTR_FET!D201</f>
        <v>2377327</v>
      </c>
      <c r="E196" s="31">
        <f>+COEFyDISTR_FET!E201</f>
        <v>6955318.1849999996</v>
      </c>
      <c r="F196" s="403">
        <f>+COEFyDISTR_FET!G201</f>
        <v>0.56200000000000006</v>
      </c>
      <c r="G196" s="403">
        <f>+COEFyDISTR_FET!H201</f>
        <v>0.74529999999999996</v>
      </c>
      <c r="H196" s="402" t="str">
        <f>IF(D196=0,$A$2,VLOOKUP(COUNTIF(F196,$F$1&amp;$F$2)&amp;COUNTIF(G196,$G$1&amp;$G$2),PARAMETROS!$K$26:$L$30,2,0))</f>
        <v>Entra por Criterio de Dependencia y Percentil</v>
      </c>
      <c r="I196" s="96">
        <f>+COEFyDISTR_FET!AA201</f>
        <v>3.7754120159500001E-3</v>
      </c>
      <c r="J196" s="97">
        <f t="shared" ref="J196:J259" si="24">+A196</f>
        <v>9119</v>
      </c>
      <c r="K196" s="97">
        <f t="shared" ref="K196:K259" si="25">+B196</f>
        <v>9202</v>
      </c>
      <c r="L196" t="str">
        <f t="shared" ref="L196:L259" si="26">+C196</f>
        <v>VILCÚN</v>
      </c>
      <c r="M196" t="str">
        <f t="shared" ref="M196:M259" si="27">+H196</f>
        <v>Entra por Criterio de Dependencia y Percentil</v>
      </c>
      <c r="N196" s="97">
        <f t="shared" ref="N196:N259" si="28">+J196</f>
        <v>9119</v>
      </c>
      <c r="O196" s="97">
        <f t="shared" ref="O196:O259" si="29">+K196</f>
        <v>9202</v>
      </c>
      <c r="P196" t="str">
        <f t="shared" ref="P196:P259" si="30">+L196</f>
        <v>VILCÚN</v>
      </c>
      <c r="Q196" s="96">
        <f t="shared" ref="Q196:Q259" si="31">+I196</f>
        <v>3.7754120159500001E-3</v>
      </c>
      <c r="R196" s="96"/>
      <c r="S196">
        <f>+COEFyDISTR_MINERO!A201</f>
        <v>9119</v>
      </c>
      <c r="T196">
        <f>+COEFyDISTR_MINERO!B201</f>
        <v>9202</v>
      </c>
      <c r="U196" t="str">
        <f>+COEFyDISTR_MINERO!C201</f>
        <v>VILCÚN</v>
      </c>
      <c r="V196" s="96">
        <f>+COEFyDISTR_MINERO!X201</f>
        <v>0</v>
      </c>
      <c r="W196" s="6" t="str">
        <f>+COEFyDISTR_MINERO!D201</f>
        <v>No</v>
      </c>
      <c r="X196" s="96"/>
      <c r="Y196" s="96"/>
      <c r="Z196" s="1">
        <v>10103</v>
      </c>
      <c r="AA196" s="1">
        <v>10302</v>
      </c>
      <c r="AB196" s="1" t="str">
        <v>COCHAMÓ</v>
      </c>
      <c r="AC196" s="1" t="str">
        <v>Entra por Criterio de Dependencia y Percentil</v>
      </c>
      <c r="AF196" s="1">
        <v>10103</v>
      </c>
      <c r="AG196" s="1">
        <v>10302</v>
      </c>
      <c r="AH196" s="1" t="str">
        <v>COCHAMÓ</v>
      </c>
      <c r="AI196" s="405">
        <v>1.7955474760500002E-3</v>
      </c>
    </row>
    <row r="197" spans="1:35" ht="3" customHeight="1" x14ac:dyDescent="0.25">
      <c r="A197" s="5">
        <f>+COEFyDISTR_FET!A202</f>
        <v>9120</v>
      </c>
      <c r="B197" s="5">
        <f>+COEFyDISTR_FET!B202</f>
        <v>9215</v>
      </c>
      <c r="C197" t="str">
        <f>+COEFyDISTR_FET!C202</f>
        <v>VILLARRICA</v>
      </c>
      <c r="D197" s="31">
        <f>+COEFyDISTR_FET!D202</f>
        <v>9862887</v>
      </c>
      <c r="E197" s="31">
        <f>+COEFyDISTR_FET!E202</f>
        <v>6199043.8190000001</v>
      </c>
      <c r="F197" s="403">
        <f>+COEFyDISTR_FET!G202</f>
        <v>0.73</v>
      </c>
      <c r="G197" s="403">
        <f>+COEFyDISTR_FET!H202</f>
        <v>0.38590000000000002</v>
      </c>
      <c r="H197" s="402" t="str">
        <f>IF(D197=0,$A$2,VLOOKUP(COUNTIF(F197,$F$1&amp;$F$2)&amp;COUNTIF(G197,$G$1&amp;$G$2),PARAMETROS!$K$26:$L$30,2,0))</f>
        <v>Entra por Criterio de Percentil</v>
      </c>
      <c r="I197" s="96">
        <f>+COEFyDISTR_FET!AA202</f>
        <v>3.1969996251500002E-3</v>
      </c>
      <c r="J197" s="97">
        <f t="shared" si="24"/>
        <v>9120</v>
      </c>
      <c r="K197" s="97">
        <f t="shared" si="25"/>
        <v>9215</v>
      </c>
      <c r="L197" t="str">
        <f t="shared" si="26"/>
        <v>VILLARRICA</v>
      </c>
      <c r="M197" t="str">
        <f t="shared" si="27"/>
        <v>Entra por Criterio de Percentil</v>
      </c>
      <c r="N197" s="97">
        <f t="shared" si="28"/>
        <v>9120</v>
      </c>
      <c r="O197" s="97">
        <f t="shared" si="29"/>
        <v>9215</v>
      </c>
      <c r="P197" t="str">
        <f t="shared" si="30"/>
        <v>VILLARRICA</v>
      </c>
      <c r="Q197" s="96">
        <f t="shared" si="31"/>
        <v>3.1969996251500002E-3</v>
      </c>
      <c r="R197" s="96"/>
      <c r="S197">
        <f>+COEFyDISTR_MINERO!A202</f>
        <v>9120</v>
      </c>
      <c r="T197">
        <f>+COEFyDISTR_MINERO!B202</f>
        <v>9215</v>
      </c>
      <c r="U197" t="str">
        <f>+COEFyDISTR_MINERO!C202</f>
        <v>VILLARRICA</v>
      </c>
      <c r="V197" s="96">
        <f>+COEFyDISTR_MINERO!X202</f>
        <v>0</v>
      </c>
      <c r="W197" s="6" t="str">
        <f>+COEFyDISTR_MINERO!D202</f>
        <v>No</v>
      </c>
      <c r="X197" s="96"/>
      <c r="Y197" s="96"/>
      <c r="Z197" s="1">
        <v>10104</v>
      </c>
      <c r="AA197" s="1">
        <v>10304</v>
      </c>
      <c r="AB197" s="1" t="str">
        <v>FRESIA</v>
      </c>
      <c r="AC197" s="1" t="str">
        <v>Entra por Criterio de Dependencia y Percentil</v>
      </c>
      <c r="AF197" s="1">
        <v>10104</v>
      </c>
      <c r="AG197" s="1">
        <v>10304</v>
      </c>
      <c r="AH197" s="1" t="str">
        <v>FRESIA</v>
      </c>
      <c r="AI197" s="405">
        <v>2.40995259015E-3</v>
      </c>
    </row>
    <row r="198" spans="1:35" ht="3" customHeight="1" x14ac:dyDescent="0.25">
      <c r="A198" s="5">
        <f>+COEFyDISTR_FET!A203</f>
        <v>9121</v>
      </c>
      <c r="B198" s="5">
        <f>+COEFyDISTR_FET!B203</f>
        <v>9221</v>
      </c>
      <c r="C198" t="str">
        <f>+COEFyDISTR_FET!C203</f>
        <v>CHOLCHOL</v>
      </c>
      <c r="D198" s="31">
        <f>+COEFyDISTR_FET!D203</f>
        <v>592200</v>
      </c>
      <c r="E198" s="31">
        <f>+COEFyDISTR_FET!E203</f>
        <v>4272819.62</v>
      </c>
      <c r="F198" s="403">
        <f>+COEFyDISTR_FET!G203</f>
        <v>0.26600000000000001</v>
      </c>
      <c r="G198" s="403">
        <f>+COEFyDISTR_FET!H203</f>
        <v>0.87829999999999997</v>
      </c>
      <c r="H198" s="402" t="str">
        <f>IF(D198=0,$A$2,VLOOKUP(COUNTIF(F198,$F$1&amp;$F$2)&amp;COUNTIF(G198,$G$1&amp;$G$2),PARAMETROS!$K$26:$L$30,2,0))</f>
        <v>Entra por Criterio de Dependencia y Percentil</v>
      </c>
      <c r="I198" s="96">
        <f>+COEFyDISTR_FET!AA203</f>
        <v>3.0070874601500004E-3</v>
      </c>
      <c r="J198" s="97">
        <f t="shared" si="24"/>
        <v>9121</v>
      </c>
      <c r="K198" s="97">
        <f t="shared" si="25"/>
        <v>9221</v>
      </c>
      <c r="L198" t="str">
        <f t="shared" si="26"/>
        <v>CHOLCHOL</v>
      </c>
      <c r="M198" t="str">
        <f t="shared" si="27"/>
        <v>Entra por Criterio de Dependencia y Percentil</v>
      </c>
      <c r="N198" s="97">
        <f t="shared" si="28"/>
        <v>9121</v>
      </c>
      <c r="O198" s="97">
        <f t="shared" si="29"/>
        <v>9221</v>
      </c>
      <c r="P198" t="str">
        <f t="shared" si="30"/>
        <v>CHOLCHOL</v>
      </c>
      <c r="Q198" s="96">
        <f t="shared" si="31"/>
        <v>3.0070874601500004E-3</v>
      </c>
      <c r="R198" s="96"/>
      <c r="S198">
        <f>+COEFyDISTR_MINERO!A203</f>
        <v>9121</v>
      </c>
      <c r="T198">
        <f>+COEFyDISTR_MINERO!B203</f>
        <v>9221</v>
      </c>
      <c r="U198" t="str">
        <f>+COEFyDISTR_MINERO!C203</f>
        <v>CHOLCHOL</v>
      </c>
      <c r="V198" s="96">
        <f>+COEFyDISTR_MINERO!X203</f>
        <v>0</v>
      </c>
      <c r="W198" s="6" t="str">
        <f>+COEFyDISTR_MINERO!D203</f>
        <v>No</v>
      </c>
      <c r="X198" s="96"/>
      <c r="Y198" s="96"/>
      <c r="Z198" s="1">
        <v>10105</v>
      </c>
      <c r="AA198" s="1">
        <v>10305</v>
      </c>
      <c r="AB198" s="1" t="str">
        <v>FRUTILLAR</v>
      </c>
      <c r="AC198" s="1" t="str">
        <v>Entra por Criterio de Percentil</v>
      </c>
      <c r="AF198" s="1">
        <v>10105</v>
      </c>
      <c r="AG198" s="1">
        <v>10305</v>
      </c>
      <c r="AH198" s="1" t="str">
        <v>FRUTILLAR</v>
      </c>
      <c r="AI198" s="405">
        <v>2.0196777476500002E-3</v>
      </c>
    </row>
    <row r="199" spans="1:35" ht="3" customHeight="1" x14ac:dyDescent="0.25">
      <c r="A199" s="5">
        <f>+COEFyDISTR_FET!A204</f>
        <v>9201</v>
      </c>
      <c r="B199" s="5">
        <f>+COEFyDISTR_FET!B204</f>
        <v>9101</v>
      </c>
      <c r="C199" t="str">
        <f>+COEFyDISTR_FET!C204</f>
        <v>ANGOL</v>
      </c>
      <c r="D199" s="31">
        <f>+COEFyDISTR_FET!D204</f>
        <v>3823960</v>
      </c>
      <c r="E199" s="31">
        <f>+COEFyDISTR_FET!E204</f>
        <v>12029534.273</v>
      </c>
      <c r="F199" s="403">
        <f>+COEFyDISTR_FET!G204</f>
        <v>0.72399999999999998</v>
      </c>
      <c r="G199" s="403">
        <f>+COEFyDISTR_FET!H204</f>
        <v>0.75880000000000003</v>
      </c>
      <c r="H199" s="402" t="str">
        <f>IF(D199=0,$A$2,VLOOKUP(COUNTIF(F199,$F$1&amp;$F$2)&amp;COUNTIF(G199,$G$1&amp;$G$2),PARAMETROS!$K$26:$L$30,2,0))</f>
        <v>Entra por Criterio de Dependencia y Percentil</v>
      </c>
      <c r="I199" s="96">
        <f>+COEFyDISTR_FET!AA204</f>
        <v>5.25602889945E-3</v>
      </c>
      <c r="J199" s="97">
        <f t="shared" si="24"/>
        <v>9201</v>
      </c>
      <c r="K199" s="97">
        <f t="shared" si="25"/>
        <v>9101</v>
      </c>
      <c r="L199" t="str">
        <f t="shared" si="26"/>
        <v>ANGOL</v>
      </c>
      <c r="M199" t="str">
        <f t="shared" si="27"/>
        <v>Entra por Criterio de Dependencia y Percentil</v>
      </c>
      <c r="N199" s="97">
        <f t="shared" si="28"/>
        <v>9201</v>
      </c>
      <c r="O199" s="97">
        <f t="shared" si="29"/>
        <v>9101</v>
      </c>
      <c r="P199" t="str">
        <f t="shared" si="30"/>
        <v>ANGOL</v>
      </c>
      <c r="Q199" s="96">
        <f t="shared" si="31"/>
        <v>5.25602889945E-3</v>
      </c>
      <c r="R199" s="96"/>
      <c r="S199">
        <f>+COEFyDISTR_MINERO!A204</f>
        <v>9201</v>
      </c>
      <c r="T199">
        <f>+COEFyDISTR_MINERO!B204</f>
        <v>9101</v>
      </c>
      <c r="U199" t="str">
        <f>+COEFyDISTR_MINERO!C204</f>
        <v>ANGOL</v>
      </c>
      <c r="V199" s="96">
        <f>+COEFyDISTR_MINERO!X204</f>
        <v>0</v>
      </c>
      <c r="W199" s="6" t="str">
        <f>+COEFyDISTR_MINERO!D204</f>
        <v>No</v>
      </c>
      <c r="X199" s="96"/>
      <c r="Y199" s="96"/>
      <c r="Z199" s="1">
        <v>10106</v>
      </c>
      <c r="AA199" s="1">
        <v>10308</v>
      </c>
      <c r="AB199" s="1" t="str">
        <v>LOS MUERMOS</v>
      </c>
      <c r="AC199" s="1" t="str">
        <v>Entra por Criterio de Dependencia y Percentil</v>
      </c>
      <c r="AF199" s="1">
        <v>10106</v>
      </c>
      <c r="AG199" s="1">
        <v>10308</v>
      </c>
      <c r="AH199" s="1" t="str">
        <v>LOS MUERMOS</v>
      </c>
      <c r="AI199" s="405">
        <v>2.5681493576500004E-3</v>
      </c>
    </row>
    <row r="200" spans="1:35" ht="3" customHeight="1" x14ac:dyDescent="0.25">
      <c r="A200" s="5">
        <f>+COEFyDISTR_FET!A205</f>
        <v>9202</v>
      </c>
      <c r="B200" s="5">
        <f>+COEFyDISTR_FET!B205</f>
        <v>9105</v>
      </c>
      <c r="C200" t="str">
        <f>+COEFyDISTR_FET!C205</f>
        <v>COLLIPULLI</v>
      </c>
      <c r="D200" s="31">
        <f>+COEFyDISTR_FET!D205</f>
        <v>2836299</v>
      </c>
      <c r="E200" s="31">
        <f>+COEFyDISTR_FET!E205</f>
        <v>5354068.0520000001</v>
      </c>
      <c r="F200" s="403">
        <f>+COEFyDISTR_FET!G205</f>
        <v>0.51800000000000002</v>
      </c>
      <c r="G200" s="403">
        <f>+COEFyDISTR_FET!H205</f>
        <v>0.65369999999999995</v>
      </c>
      <c r="H200" s="402" t="str">
        <f>IF(D200=0,$A$2,VLOOKUP(COUNTIF(F200,$F$1&amp;$F$2)&amp;COUNTIF(G200,$G$1&amp;$G$2),PARAMETROS!$K$26:$L$30,2,0))</f>
        <v>Entra por Criterio de Dependencia y Percentil</v>
      </c>
      <c r="I200" s="96">
        <f>+COEFyDISTR_FET!AA205</f>
        <v>2.7108829468500003E-3</v>
      </c>
      <c r="J200" s="97">
        <f t="shared" si="24"/>
        <v>9202</v>
      </c>
      <c r="K200" s="97">
        <f t="shared" si="25"/>
        <v>9105</v>
      </c>
      <c r="L200" t="str">
        <f t="shared" si="26"/>
        <v>COLLIPULLI</v>
      </c>
      <c r="M200" t="str">
        <f t="shared" si="27"/>
        <v>Entra por Criterio de Dependencia y Percentil</v>
      </c>
      <c r="N200" s="97">
        <f t="shared" si="28"/>
        <v>9202</v>
      </c>
      <c r="O200" s="97">
        <f t="shared" si="29"/>
        <v>9105</v>
      </c>
      <c r="P200" t="str">
        <f t="shared" si="30"/>
        <v>COLLIPULLI</v>
      </c>
      <c r="Q200" s="96">
        <f t="shared" si="31"/>
        <v>2.7108829468500003E-3</v>
      </c>
      <c r="R200" s="96"/>
      <c r="S200">
        <f>+COEFyDISTR_MINERO!A205</f>
        <v>9202</v>
      </c>
      <c r="T200">
        <f>+COEFyDISTR_MINERO!B205</f>
        <v>9105</v>
      </c>
      <c r="U200" t="str">
        <f>+COEFyDISTR_MINERO!C205</f>
        <v>COLLIPULLI</v>
      </c>
      <c r="V200" s="96">
        <f>+COEFyDISTR_MINERO!X205</f>
        <v>0</v>
      </c>
      <c r="W200" s="6" t="str">
        <f>+COEFyDISTR_MINERO!D205</f>
        <v>No</v>
      </c>
      <c r="X200" s="96"/>
      <c r="Y200" s="96"/>
      <c r="Z200" s="1">
        <v>10107</v>
      </c>
      <c r="AA200" s="1">
        <v>10306</v>
      </c>
      <c r="AB200" s="1" t="str">
        <v>LLANQUIHUE</v>
      </c>
      <c r="AC200" s="1" t="str">
        <v>Entra por Criterio de Dependencia y Percentil</v>
      </c>
      <c r="AF200" s="1">
        <v>10107</v>
      </c>
      <c r="AG200" s="1">
        <v>10306</v>
      </c>
      <c r="AH200" s="1" t="str">
        <v>LLANQUIHUE</v>
      </c>
      <c r="AI200" s="405">
        <v>2.00698599075E-3</v>
      </c>
    </row>
    <row r="201" spans="1:35" ht="3" customHeight="1" x14ac:dyDescent="0.25">
      <c r="A201" s="5">
        <f>+COEFyDISTR_FET!A206</f>
        <v>9203</v>
      </c>
      <c r="B201" s="5">
        <f>+COEFyDISTR_FET!B206</f>
        <v>9110</v>
      </c>
      <c r="C201" t="str">
        <f>+COEFyDISTR_FET!C206</f>
        <v>CURACAUTÍN</v>
      </c>
      <c r="D201" s="31">
        <f>+COEFyDISTR_FET!D206</f>
        <v>1474600</v>
      </c>
      <c r="E201" s="31">
        <f>+COEFyDISTR_FET!E206</f>
        <v>6602246.1670000004</v>
      </c>
      <c r="F201" s="403">
        <f>+COEFyDISTR_FET!G206</f>
        <v>0.51300000000000001</v>
      </c>
      <c r="G201" s="403">
        <f>+COEFyDISTR_FET!H206</f>
        <v>0.81740000000000002</v>
      </c>
      <c r="H201" s="402" t="str">
        <f>IF(D201=0,$A$2,VLOOKUP(COUNTIF(F201,$F$1&amp;$F$2)&amp;COUNTIF(G201,$G$1&amp;$G$2),PARAMETROS!$K$26:$L$30,2,0))</f>
        <v>Entra por Criterio de Dependencia y Percentil</v>
      </c>
      <c r="I201" s="96">
        <f>+COEFyDISTR_FET!AA206</f>
        <v>2.7244910654499999E-3</v>
      </c>
      <c r="J201" s="97">
        <f t="shared" si="24"/>
        <v>9203</v>
      </c>
      <c r="K201" s="97">
        <f t="shared" si="25"/>
        <v>9110</v>
      </c>
      <c r="L201" t="str">
        <f t="shared" si="26"/>
        <v>CURACAUTÍN</v>
      </c>
      <c r="M201" t="str">
        <f t="shared" si="27"/>
        <v>Entra por Criterio de Dependencia y Percentil</v>
      </c>
      <c r="N201" s="97">
        <f t="shared" si="28"/>
        <v>9203</v>
      </c>
      <c r="O201" s="97">
        <f t="shared" si="29"/>
        <v>9110</v>
      </c>
      <c r="P201" t="str">
        <f t="shared" si="30"/>
        <v>CURACAUTÍN</v>
      </c>
      <c r="Q201" s="96">
        <f t="shared" si="31"/>
        <v>2.7244910654499999E-3</v>
      </c>
      <c r="R201" s="96"/>
      <c r="S201">
        <f>+COEFyDISTR_MINERO!A206</f>
        <v>9203</v>
      </c>
      <c r="T201">
        <f>+COEFyDISTR_MINERO!B206</f>
        <v>9110</v>
      </c>
      <c r="U201" t="str">
        <f>+COEFyDISTR_MINERO!C206</f>
        <v>CURACAUTÍN</v>
      </c>
      <c r="V201" s="96">
        <f>+COEFyDISTR_MINERO!X206</f>
        <v>0</v>
      </c>
      <c r="W201" s="6" t="str">
        <f>+COEFyDISTR_MINERO!D206</f>
        <v>No</v>
      </c>
      <c r="X201" s="96"/>
      <c r="Y201" s="96"/>
      <c r="Z201" s="1">
        <v>10108</v>
      </c>
      <c r="AA201" s="1">
        <v>10307</v>
      </c>
      <c r="AB201" s="1" t="str">
        <v>MAULLÍN</v>
      </c>
      <c r="AC201" s="1" t="str">
        <v>Entra por Criterio de Dependencia y Percentil</v>
      </c>
      <c r="AF201" s="1">
        <v>10108</v>
      </c>
      <c r="AG201" s="1">
        <v>10307</v>
      </c>
      <c r="AH201" s="1" t="str">
        <v>MAULLÍN</v>
      </c>
      <c r="AI201" s="405">
        <v>2.3113091720500002E-3</v>
      </c>
    </row>
    <row r="202" spans="1:35" ht="3" customHeight="1" x14ac:dyDescent="0.25">
      <c r="A202" s="5">
        <f>+COEFyDISTR_FET!A207</f>
        <v>9204</v>
      </c>
      <c r="B202" s="5">
        <f>+COEFyDISTR_FET!B207</f>
        <v>9106</v>
      </c>
      <c r="C202" t="str">
        <f>+COEFyDISTR_FET!C207</f>
        <v>ERCILLA</v>
      </c>
      <c r="D202" s="31">
        <f>+COEFyDISTR_FET!D207</f>
        <v>439285</v>
      </c>
      <c r="E202" s="31">
        <f>+COEFyDISTR_FET!E207</f>
        <v>3509255.9750000001</v>
      </c>
      <c r="F202" s="403">
        <f>+COEFyDISTR_FET!G207</f>
        <v>0.14399999999999999</v>
      </c>
      <c r="G202" s="403">
        <f>+COEFyDISTR_FET!H207</f>
        <v>0.88870000000000005</v>
      </c>
      <c r="H202" s="402" t="str">
        <f>IF(D202=0,$A$2,VLOOKUP(COUNTIF(F202,$F$1&amp;$F$2)&amp;COUNTIF(G202,$G$1&amp;$G$2),PARAMETROS!$K$26:$L$30,2,0))</f>
        <v>Entra por Criterio de Dependencia y Percentil</v>
      </c>
      <c r="I202" s="96">
        <f>+COEFyDISTR_FET!AA207</f>
        <v>2.4194902737499999E-3</v>
      </c>
      <c r="J202" s="97">
        <f t="shared" si="24"/>
        <v>9204</v>
      </c>
      <c r="K202" s="97">
        <f t="shared" si="25"/>
        <v>9106</v>
      </c>
      <c r="L202" t="str">
        <f t="shared" si="26"/>
        <v>ERCILLA</v>
      </c>
      <c r="M202" t="str">
        <f t="shared" si="27"/>
        <v>Entra por Criterio de Dependencia y Percentil</v>
      </c>
      <c r="N202" s="97">
        <f t="shared" si="28"/>
        <v>9204</v>
      </c>
      <c r="O202" s="97">
        <f t="shared" si="29"/>
        <v>9106</v>
      </c>
      <c r="P202" t="str">
        <f t="shared" si="30"/>
        <v>ERCILLA</v>
      </c>
      <c r="Q202" s="96">
        <f t="shared" si="31"/>
        <v>2.4194902737499999E-3</v>
      </c>
      <c r="R202" s="96"/>
      <c r="S202">
        <f>+COEFyDISTR_MINERO!A207</f>
        <v>9204</v>
      </c>
      <c r="T202">
        <f>+COEFyDISTR_MINERO!B207</f>
        <v>9106</v>
      </c>
      <c r="U202" t="str">
        <f>+COEFyDISTR_MINERO!C207</f>
        <v>ERCILLA</v>
      </c>
      <c r="V202" s="96">
        <f>+COEFyDISTR_MINERO!X207</f>
        <v>0</v>
      </c>
      <c r="W202" s="6" t="str">
        <f>+COEFyDISTR_MINERO!D207</f>
        <v>No</v>
      </c>
      <c r="X202" s="96"/>
      <c r="Y202" s="96"/>
      <c r="Z202" s="1">
        <v>10109</v>
      </c>
      <c r="AA202" s="1">
        <v>10303</v>
      </c>
      <c r="AB202" s="1" t="str">
        <v>PUERTO VARAS</v>
      </c>
      <c r="AC202" s="1" t="str">
        <v>Entra por Criterio de Percentil</v>
      </c>
      <c r="AF202" s="1">
        <v>10109</v>
      </c>
      <c r="AG202" s="1">
        <v>10303</v>
      </c>
      <c r="AH202" s="1" t="str">
        <v>PUERTO VARAS</v>
      </c>
      <c r="AI202" s="405">
        <v>2.0124857875500001E-3</v>
      </c>
    </row>
    <row r="203" spans="1:35" ht="3" customHeight="1" x14ac:dyDescent="0.25">
      <c r="A203" s="5">
        <f>+COEFyDISTR_FET!A208</f>
        <v>9205</v>
      </c>
      <c r="B203" s="5">
        <f>+COEFyDISTR_FET!B208</f>
        <v>9111</v>
      </c>
      <c r="C203" t="str">
        <f>+COEFyDISTR_FET!C208</f>
        <v>LONQUIMAY</v>
      </c>
      <c r="D203" s="31">
        <f>+COEFyDISTR_FET!D208</f>
        <v>557544</v>
      </c>
      <c r="E203" s="31">
        <f>+COEFyDISTR_FET!E208</f>
        <v>4951773.5140000004</v>
      </c>
      <c r="F203" s="403">
        <f>+COEFyDISTR_FET!G208</f>
        <v>0.34699999999999998</v>
      </c>
      <c r="G203" s="403">
        <f>+COEFyDISTR_FET!H208</f>
        <v>0.89880000000000004</v>
      </c>
      <c r="H203" s="402" t="str">
        <f>IF(D203=0,$A$2,VLOOKUP(COUNTIF(F203,$F$1&amp;$F$2)&amp;COUNTIF(G203,$G$1&amp;$G$2),PARAMETROS!$K$26:$L$30,2,0))</f>
        <v>Entra por Criterio de Dependencia y Percentil</v>
      </c>
      <c r="I203" s="96">
        <f>+COEFyDISTR_FET!AA208</f>
        <v>2.6051795977500001E-3</v>
      </c>
      <c r="J203" s="97">
        <f t="shared" si="24"/>
        <v>9205</v>
      </c>
      <c r="K203" s="97">
        <f t="shared" si="25"/>
        <v>9111</v>
      </c>
      <c r="L203" t="str">
        <f t="shared" si="26"/>
        <v>LONQUIMAY</v>
      </c>
      <c r="M203" t="str">
        <f t="shared" si="27"/>
        <v>Entra por Criterio de Dependencia y Percentil</v>
      </c>
      <c r="N203" s="97">
        <f t="shared" si="28"/>
        <v>9205</v>
      </c>
      <c r="O203" s="97">
        <f t="shared" si="29"/>
        <v>9111</v>
      </c>
      <c r="P203" t="str">
        <f t="shared" si="30"/>
        <v>LONQUIMAY</v>
      </c>
      <c r="Q203" s="96">
        <f t="shared" si="31"/>
        <v>2.6051795977500001E-3</v>
      </c>
      <c r="R203" s="96"/>
      <c r="S203">
        <f>+COEFyDISTR_MINERO!A208</f>
        <v>9205</v>
      </c>
      <c r="T203">
        <f>+COEFyDISTR_MINERO!B208</f>
        <v>9111</v>
      </c>
      <c r="U203" t="str">
        <f>+COEFyDISTR_MINERO!C208</f>
        <v>LONQUIMAY</v>
      </c>
      <c r="V203" s="96">
        <f>+COEFyDISTR_MINERO!X208</f>
        <v>0</v>
      </c>
      <c r="W203" s="6" t="str">
        <f>+COEFyDISTR_MINERO!D208</f>
        <v>No</v>
      </c>
      <c r="X203" s="96"/>
      <c r="Y203" s="96"/>
      <c r="Z203" s="1">
        <v>10201</v>
      </c>
      <c r="AA203" s="1">
        <v>10401</v>
      </c>
      <c r="AB203" s="1" t="str">
        <v>CASTRO</v>
      </c>
      <c r="AC203" s="1" t="str">
        <v>Entra por Criterio de Dependencia</v>
      </c>
      <c r="AF203" s="1">
        <v>10201</v>
      </c>
      <c r="AG203" s="1">
        <v>10401</v>
      </c>
      <c r="AH203" s="1" t="str">
        <v>CASTRO</v>
      </c>
      <c r="AI203" s="405">
        <v>2.85176710655E-3</v>
      </c>
    </row>
    <row r="204" spans="1:35" ht="3" customHeight="1" x14ac:dyDescent="0.25">
      <c r="A204" s="5">
        <f>+COEFyDISTR_FET!A209</f>
        <v>9206</v>
      </c>
      <c r="B204" s="5">
        <f>+COEFyDISTR_FET!B209</f>
        <v>9103</v>
      </c>
      <c r="C204" t="str">
        <f>+COEFyDISTR_FET!C209</f>
        <v>LOS SAUCES</v>
      </c>
      <c r="D204" s="31">
        <f>+COEFyDISTR_FET!D209</f>
        <v>663893</v>
      </c>
      <c r="E204" s="31">
        <f>+COEFyDISTR_FET!E209</f>
        <v>3301663.824</v>
      </c>
      <c r="F204" s="403">
        <f>+COEFyDISTR_FET!G209</f>
        <v>0.153</v>
      </c>
      <c r="G204" s="403">
        <f>+COEFyDISTR_FET!H209</f>
        <v>0.83260000000000001</v>
      </c>
      <c r="H204" s="402" t="str">
        <f>IF(D204=0,$A$2,VLOOKUP(COUNTIF(F204,$F$1&amp;$F$2)&amp;COUNTIF(G204,$G$1&amp;$G$2),PARAMETROS!$K$26:$L$30,2,0))</f>
        <v>Entra por Criterio de Dependencia y Percentil</v>
      </c>
      <c r="I204" s="96">
        <f>+COEFyDISTR_FET!AA209</f>
        <v>2.2082659204500001E-3</v>
      </c>
      <c r="J204" s="97">
        <f t="shared" si="24"/>
        <v>9206</v>
      </c>
      <c r="K204" s="97">
        <f t="shared" si="25"/>
        <v>9103</v>
      </c>
      <c r="L204" t="str">
        <f t="shared" si="26"/>
        <v>LOS SAUCES</v>
      </c>
      <c r="M204" t="str">
        <f t="shared" si="27"/>
        <v>Entra por Criterio de Dependencia y Percentil</v>
      </c>
      <c r="N204" s="97">
        <f t="shared" si="28"/>
        <v>9206</v>
      </c>
      <c r="O204" s="97">
        <f t="shared" si="29"/>
        <v>9103</v>
      </c>
      <c r="P204" t="str">
        <f t="shared" si="30"/>
        <v>LOS SAUCES</v>
      </c>
      <c r="Q204" s="96">
        <f t="shared" si="31"/>
        <v>2.2082659204500001E-3</v>
      </c>
      <c r="R204" s="96"/>
      <c r="S204">
        <f>+COEFyDISTR_MINERO!A209</f>
        <v>9206</v>
      </c>
      <c r="T204">
        <f>+COEFyDISTR_MINERO!B209</f>
        <v>9103</v>
      </c>
      <c r="U204" t="str">
        <f>+COEFyDISTR_MINERO!C209</f>
        <v>LOS SAUCES</v>
      </c>
      <c r="V204" s="96">
        <f>+COEFyDISTR_MINERO!X209</f>
        <v>0</v>
      </c>
      <c r="W204" s="6" t="str">
        <f>+COEFyDISTR_MINERO!D209</f>
        <v>No</v>
      </c>
      <c r="X204" s="96"/>
      <c r="Y204" s="96"/>
      <c r="Z204" s="1">
        <v>10202</v>
      </c>
      <c r="AA204" s="1">
        <v>10406</v>
      </c>
      <c r="AB204" s="1" t="str">
        <v>ANCUD</v>
      </c>
      <c r="AC204" s="1" t="str">
        <v>Entra por Criterio de Dependencia y Percentil</v>
      </c>
      <c r="AF204" s="1">
        <v>10202</v>
      </c>
      <c r="AG204" s="1">
        <v>10406</v>
      </c>
      <c r="AH204" s="1" t="str">
        <v>ANCUD</v>
      </c>
      <c r="AI204" s="405">
        <v>3.3851130477500001E-3</v>
      </c>
    </row>
    <row r="205" spans="1:35" ht="3" customHeight="1" x14ac:dyDescent="0.25">
      <c r="A205" s="5">
        <f>+COEFyDISTR_FET!A210</f>
        <v>9207</v>
      </c>
      <c r="B205" s="5">
        <f>+COEFyDISTR_FET!B210</f>
        <v>9108</v>
      </c>
      <c r="C205" t="str">
        <f>+COEFyDISTR_FET!C210</f>
        <v>LUMACO</v>
      </c>
      <c r="D205" s="31">
        <f>+COEFyDISTR_FET!D210</f>
        <v>473032</v>
      </c>
      <c r="E205" s="31">
        <f>+COEFyDISTR_FET!E210</f>
        <v>3811424.1880000001</v>
      </c>
      <c r="F205" s="403">
        <f>+COEFyDISTR_FET!G210</f>
        <v>0.19400000000000001</v>
      </c>
      <c r="G205" s="403">
        <f>+COEFyDISTR_FET!H210</f>
        <v>0.88959999999999995</v>
      </c>
      <c r="H205" s="402" t="str">
        <f>IF(D205=0,$A$2,VLOOKUP(COUNTIF(F205,$F$1&amp;$F$2)&amp;COUNTIF(G205,$G$1&amp;$G$2),PARAMETROS!$K$26:$L$30,2,0))</f>
        <v>Entra por Criterio de Dependencia y Percentil</v>
      </c>
      <c r="I205" s="96">
        <f>+COEFyDISTR_FET!AA210</f>
        <v>2.6963329237500002E-3</v>
      </c>
      <c r="J205" s="97">
        <f t="shared" si="24"/>
        <v>9207</v>
      </c>
      <c r="K205" s="97">
        <f t="shared" si="25"/>
        <v>9108</v>
      </c>
      <c r="L205" t="str">
        <f t="shared" si="26"/>
        <v>LUMACO</v>
      </c>
      <c r="M205" t="str">
        <f t="shared" si="27"/>
        <v>Entra por Criterio de Dependencia y Percentil</v>
      </c>
      <c r="N205" s="97">
        <f t="shared" si="28"/>
        <v>9207</v>
      </c>
      <c r="O205" s="97">
        <f t="shared" si="29"/>
        <v>9108</v>
      </c>
      <c r="P205" t="str">
        <f t="shared" si="30"/>
        <v>LUMACO</v>
      </c>
      <c r="Q205" s="96">
        <f t="shared" si="31"/>
        <v>2.6963329237500002E-3</v>
      </c>
      <c r="R205" s="96"/>
      <c r="S205">
        <f>+COEFyDISTR_MINERO!A210</f>
        <v>9207</v>
      </c>
      <c r="T205">
        <f>+COEFyDISTR_MINERO!B210</f>
        <v>9108</v>
      </c>
      <c r="U205" t="str">
        <f>+COEFyDISTR_MINERO!C210</f>
        <v>LUMACO</v>
      </c>
      <c r="V205" s="96">
        <f>+COEFyDISTR_MINERO!X210</f>
        <v>0</v>
      </c>
      <c r="W205" s="6" t="str">
        <f>+COEFyDISTR_MINERO!D210</f>
        <v>No</v>
      </c>
      <c r="X205" s="96"/>
      <c r="Y205" s="96"/>
      <c r="Z205" s="1">
        <v>10203</v>
      </c>
      <c r="AA205" s="1">
        <v>10402</v>
      </c>
      <c r="AB205" s="1" t="str">
        <v>CHONCHI</v>
      </c>
      <c r="AC205" s="1" t="str">
        <v>Entra por Criterio de Dependencia y Percentil</v>
      </c>
      <c r="AF205" s="1">
        <v>10203</v>
      </c>
      <c r="AG205" s="1">
        <v>10402</v>
      </c>
      <c r="AH205" s="1" t="str">
        <v>CHONCHI</v>
      </c>
      <c r="AI205" s="405">
        <v>2.2533334253500002E-3</v>
      </c>
    </row>
    <row r="206" spans="1:35" ht="3" customHeight="1" x14ac:dyDescent="0.25">
      <c r="A206" s="5">
        <f>+COEFyDISTR_FET!A211</f>
        <v>9208</v>
      </c>
      <c r="B206" s="5">
        <f>+COEFyDISTR_FET!B211</f>
        <v>9102</v>
      </c>
      <c r="C206" t="str">
        <f>+COEFyDISTR_FET!C211</f>
        <v>PURÉN</v>
      </c>
      <c r="D206" s="31">
        <f>+COEFyDISTR_FET!D211</f>
        <v>571836</v>
      </c>
      <c r="E206" s="31">
        <f>+COEFyDISTR_FET!E211</f>
        <v>4360310.5489999996</v>
      </c>
      <c r="F206" s="403">
        <f>+COEFyDISTR_FET!G211</f>
        <v>0.26900000000000002</v>
      </c>
      <c r="G206" s="403">
        <f>+COEFyDISTR_FET!H211</f>
        <v>0.8841</v>
      </c>
      <c r="H206" s="402" t="str">
        <f>IF(D206=0,$A$2,VLOOKUP(COUNTIF(F206,$F$1&amp;$F$2)&amp;COUNTIF(G206,$G$1&amp;$G$2),PARAMETROS!$K$26:$L$30,2,0))</f>
        <v>Entra por Criterio de Dependencia y Percentil</v>
      </c>
      <c r="I206" s="96">
        <f>+COEFyDISTR_FET!AA211</f>
        <v>2.8167700141499999E-3</v>
      </c>
      <c r="J206" s="97">
        <f t="shared" si="24"/>
        <v>9208</v>
      </c>
      <c r="K206" s="97">
        <f t="shared" si="25"/>
        <v>9102</v>
      </c>
      <c r="L206" t="str">
        <f t="shared" si="26"/>
        <v>PURÉN</v>
      </c>
      <c r="M206" t="str">
        <f t="shared" si="27"/>
        <v>Entra por Criterio de Dependencia y Percentil</v>
      </c>
      <c r="N206" s="97">
        <f t="shared" si="28"/>
        <v>9208</v>
      </c>
      <c r="O206" s="97">
        <f t="shared" si="29"/>
        <v>9102</v>
      </c>
      <c r="P206" t="str">
        <f t="shared" si="30"/>
        <v>PURÉN</v>
      </c>
      <c r="Q206" s="96">
        <f t="shared" si="31"/>
        <v>2.8167700141499999E-3</v>
      </c>
      <c r="R206" s="96"/>
      <c r="S206">
        <f>+COEFyDISTR_MINERO!A211</f>
        <v>9208</v>
      </c>
      <c r="T206">
        <f>+COEFyDISTR_MINERO!B211</f>
        <v>9102</v>
      </c>
      <c r="U206" t="str">
        <f>+COEFyDISTR_MINERO!C211</f>
        <v>PURÉN</v>
      </c>
      <c r="V206" s="96">
        <f>+COEFyDISTR_MINERO!X211</f>
        <v>0</v>
      </c>
      <c r="W206" s="6" t="str">
        <f>+COEFyDISTR_MINERO!D211</f>
        <v>No</v>
      </c>
      <c r="X206" s="96"/>
      <c r="Y206" s="96"/>
      <c r="Z206" s="1">
        <v>10204</v>
      </c>
      <c r="AA206" s="1">
        <v>10410</v>
      </c>
      <c r="AB206" s="1" t="str">
        <v>CURACO DE VÉLEZ</v>
      </c>
      <c r="AC206" s="1" t="str">
        <v>Entra por Criterio de Dependencia y Percentil</v>
      </c>
      <c r="AF206" s="1">
        <v>10204</v>
      </c>
      <c r="AG206" s="1">
        <v>10410</v>
      </c>
      <c r="AH206" s="1" t="str">
        <v>CURACO DE VÉLEZ</v>
      </c>
      <c r="AI206" s="405">
        <v>1.9799367925499999E-3</v>
      </c>
    </row>
    <row r="207" spans="1:35" ht="3" customHeight="1" x14ac:dyDescent="0.25">
      <c r="A207" s="5">
        <f>+COEFyDISTR_FET!A212</f>
        <v>9209</v>
      </c>
      <c r="B207" s="5">
        <f>+COEFyDISTR_FET!B212</f>
        <v>9104</v>
      </c>
      <c r="C207" t="str">
        <f>+COEFyDISTR_FET!C212</f>
        <v>RENAICO</v>
      </c>
      <c r="D207" s="31">
        <f>+COEFyDISTR_FET!D212</f>
        <v>1171376</v>
      </c>
      <c r="E207" s="31">
        <f>+COEFyDISTR_FET!E212</f>
        <v>3241527.2629999998</v>
      </c>
      <c r="F207" s="403">
        <f>+COEFyDISTR_FET!G212</f>
        <v>0.20799999999999999</v>
      </c>
      <c r="G207" s="403">
        <f>+COEFyDISTR_FET!H212</f>
        <v>0.73460000000000003</v>
      </c>
      <c r="H207" s="402" t="str">
        <f>IF(D207=0,$A$2,VLOOKUP(COUNTIF(F207,$F$1&amp;$F$2)&amp;COUNTIF(G207,$G$1&amp;$G$2),PARAMETROS!$K$26:$L$30,2,0))</f>
        <v>Entra por Criterio de Dependencia y Percentil</v>
      </c>
      <c r="I207" s="96">
        <f>+COEFyDISTR_FET!AA212</f>
        <v>2.1258205181500004E-3</v>
      </c>
      <c r="J207" s="97">
        <f t="shared" si="24"/>
        <v>9209</v>
      </c>
      <c r="K207" s="97">
        <f t="shared" si="25"/>
        <v>9104</v>
      </c>
      <c r="L207" t="str">
        <f t="shared" si="26"/>
        <v>RENAICO</v>
      </c>
      <c r="M207" t="str">
        <f t="shared" si="27"/>
        <v>Entra por Criterio de Dependencia y Percentil</v>
      </c>
      <c r="N207" s="97">
        <f t="shared" si="28"/>
        <v>9209</v>
      </c>
      <c r="O207" s="97">
        <f t="shared" si="29"/>
        <v>9104</v>
      </c>
      <c r="P207" t="str">
        <f t="shared" si="30"/>
        <v>RENAICO</v>
      </c>
      <c r="Q207" s="96">
        <f t="shared" si="31"/>
        <v>2.1258205181500004E-3</v>
      </c>
      <c r="R207" s="96"/>
      <c r="S207">
        <f>+COEFyDISTR_MINERO!A212</f>
        <v>9209</v>
      </c>
      <c r="T207">
        <f>+COEFyDISTR_MINERO!B212</f>
        <v>9104</v>
      </c>
      <c r="U207" t="str">
        <f>+COEFyDISTR_MINERO!C212</f>
        <v>RENAICO</v>
      </c>
      <c r="V207" s="96">
        <f>+COEFyDISTR_MINERO!X212</f>
        <v>0</v>
      </c>
      <c r="W207" s="6" t="str">
        <f>+COEFyDISTR_MINERO!D212</f>
        <v>No</v>
      </c>
      <c r="X207" s="96"/>
      <c r="Y207" s="96"/>
      <c r="Z207" s="1">
        <v>10205</v>
      </c>
      <c r="AA207" s="1">
        <v>10408</v>
      </c>
      <c r="AB207" s="1" t="str">
        <v>DALCAHUE</v>
      </c>
      <c r="AC207" s="1" t="str">
        <v>Entra por Criterio de Dependencia y Percentil</v>
      </c>
      <c r="AF207" s="1">
        <v>10205</v>
      </c>
      <c r="AG207" s="1">
        <v>10408</v>
      </c>
      <c r="AH207" s="1" t="str">
        <v>DALCAHUE</v>
      </c>
      <c r="AI207" s="405">
        <v>2.2927350445499997E-3</v>
      </c>
    </row>
    <row r="208" spans="1:35" ht="3" customHeight="1" x14ac:dyDescent="0.25">
      <c r="A208" s="5">
        <f>+COEFyDISTR_FET!A213</f>
        <v>9210</v>
      </c>
      <c r="B208" s="5">
        <f>+COEFyDISTR_FET!B213</f>
        <v>9107</v>
      </c>
      <c r="C208" t="str">
        <f>+COEFyDISTR_FET!C213</f>
        <v>TRAIGUÉN</v>
      </c>
      <c r="D208" s="31">
        <f>+COEFyDISTR_FET!D213</f>
        <v>1451764</v>
      </c>
      <c r="E208" s="31">
        <f>+COEFyDISTR_FET!E213</f>
        <v>6158062.7800000003</v>
      </c>
      <c r="F208" s="403">
        <f>+COEFyDISTR_FET!G213</f>
        <v>0.47799999999999998</v>
      </c>
      <c r="G208" s="403">
        <f>+COEFyDISTR_FET!H213</f>
        <v>0.80920000000000003</v>
      </c>
      <c r="H208" s="402" t="str">
        <f>IF(D208=0,$A$2,VLOOKUP(COUNTIF(F208,$F$1&amp;$F$2)&amp;COUNTIF(G208,$G$1&amp;$G$2),PARAMETROS!$K$26:$L$30,2,0))</f>
        <v>Entra por Criterio de Dependencia y Percentil</v>
      </c>
      <c r="I208" s="96">
        <f>+COEFyDISTR_FET!AA213</f>
        <v>2.9219340977499997E-3</v>
      </c>
      <c r="J208" s="97">
        <f t="shared" si="24"/>
        <v>9210</v>
      </c>
      <c r="K208" s="97">
        <f t="shared" si="25"/>
        <v>9107</v>
      </c>
      <c r="L208" t="str">
        <f t="shared" si="26"/>
        <v>TRAIGUÉN</v>
      </c>
      <c r="M208" t="str">
        <f t="shared" si="27"/>
        <v>Entra por Criterio de Dependencia y Percentil</v>
      </c>
      <c r="N208" s="97">
        <f t="shared" si="28"/>
        <v>9210</v>
      </c>
      <c r="O208" s="97">
        <f t="shared" si="29"/>
        <v>9107</v>
      </c>
      <c r="P208" t="str">
        <f t="shared" si="30"/>
        <v>TRAIGUÉN</v>
      </c>
      <c r="Q208" s="96">
        <f t="shared" si="31"/>
        <v>2.9219340977499997E-3</v>
      </c>
      <c r="R208" s="96"/>
      <c r="S208">
        <f>+COEFyDISTR_MINERO!A213</f>
        <v>9210</v>
      </c>
      <c r="T208">
        <f>+COEFyDISTR_MINERO!B213</f>
        <v>9107</v>
      </c>
      <c r="U208" t="str">
        <f>+COEFyDISTR_MINERO!C213</f>
        <v>TRAIGUÉN</v>
      </c>
      <c r="V208" s="96">
        <f>+COEFyDISTR_MINERO!X213</f>
        <v>0</v>
      </c>
      <c r="W208" s="6" t="str">
        <f>+COEFyDISTR_MINERO!D213</f>
        <v>No</v>
      </c>
      <c r="X208" s="96"/>
      <c r="Y208" s="96"/>
      <c r="Z208" s="1">
        <v>10206</v>
      </c>
      <c r="AA208" s="1">
        <v>10405</v>
      </c>
      <c r="AB208" s="1" t="str">
        <v>PUQUELDÓN</v>
      </c>
      <c r="AC208" s="1" t="str">
        <v>Entra por Criterio de Dependencia y Percentil</v>
      </c>
      <c r="AF208" s="1">
        <v>10206</v>
      </c>
      <c r="AG208" s="1">
        <v>10405</v>
      </c>
      <c r="AH208" s="1" t="str">
        <v>PUQUELDÓN</v>
      </c>
      <c r="AI208" s="405">
        <v>1.93063921985E-3</v>
      </c>
    </row>
    <row r="209" spans="1:35" ht="3" customHeight="1" x14ac:dyDescent="0.25">
      <c r="A209" s="5">
        <f>+COEFyDISTR_FET!A214</f>
        <v>9211</v>
      </c>
      <c r="B209" s="5">
        <f>+COEFyDISTR_FET!B214</f>
        <v>9109</v>
      </c>
      <c r="C209" t="str">
        <f>+COEFyDISTR_FET!C214</f>
        <v>VICTORIA</v>
      </c>
      <c r="D209" s="31">
        <f>+COEFyDISTR_FET!D214</f>
        <v>2872742</v>
      </c>
      <c r="E209" s="31">
        <f>+COEFyDISTR_FET!E214</f>
        <v>7927288.7719999999</v>
      </c>
      <c r="F209" s="403">
        <f>+COEFyDISTR_FET!G214</f>
        <v>0.61699999999999999</v>
      </c>
      <c r="G209" s="403">
        <f>+COEFyDISTR_FET!H214</f>
        <v>0.73399999999999999</v>
      </c>
      <c r="H209" s="402" t="str">
        <f>IF(D209=0,$A$2,VLOOKUP(COUNTIF(F209,$F$1&amp;$F$2)&amp;COUNTIF(G209,$G$1&amp;$G$2),PARAMETROS!$K$26:$L$30,2,0))</f>
        <v>Entra por Criterio de Dependencia y Percentil</v>
      </c>
      <c r="I209" s="96">
        <f>+COEFyDISTR_FET!AA214</f>
        <v>3.7765369616499997E-3</v>
      </c>
      <c r="J209" s="97">
        <f t="shared" si="24"/>
        <v>9211</v>
      </c>
      <c r="K209" s="97">
        <f t="shared" si="25"/>
        <v>9109</v>
      </c>
      <c r="L209" t="str">
        <f t="shared" si="26"/>
        <v>VICTORIA</v>
      </c>
      <c r="M209" t="str">
        <f t="shared" si="27"/>
        <v>Entra por Criterio de Dependencia y Percentil</v>
      </c>
      <c r="N209" s="97">
        <f t="shared" si="28"/>
        <v>9211</v>
      </c>
      <c r="O209" s="97">
        <f t="shared" si="29"/>
        <v>9109</v>
      </c>
      <c r="P209" t="str">
        <f t="shared" si="30"/>
        <v>VICTORIA</v>
      </c>
      <c r="Q209" s="96">
        <f t="shared" si="31"/>
        <v>3.7765369616499997E-3</v>
      </c>
      <c r="R209" s="96"/>
      <c r="S209">
        <f>+COEFyDISTR_MINERO!A214</f>
        <v>9211</v>
      </c>
      <c r="T209">
        <f>+COEFyDISTR_MINERO!B214</f>
        <v>9109</v>
      </c>
      <c r="U209" t="str">
        <f>+COEFyDISTR_MINERO!C214</f>
        <v>VICTORIA</v>
      </c>
      <c r="V209" s="96">
        <f>+COEFyDISTR_MINERO!X214</f>
        <v>0</v>
      </c>
      <c r="W209" s="6" t="str">
        <f>+COEFyDISTR_MINERO!D214</f>
        <v>No</v>
      </c>
      <c r="X209" s="96"/>
      <c r="Y209" s="96"/>
      <c r="Z209" s="1">
        <v>10207</v>
      </c>
      <c r="AA209" s="1">
        <v>10403</v>
      </c>
      <c r="AB209" s="1" t="str">
        <v>QUEILÉN</v>
      </c>
      <c r="AC209" s="1" t="str">
        <v>Entra por Criterio de Dependencia y Percentil</v>
      </c>
      <c r="AF209" s="1">
        <v>10207</v>
      </c>
      <c r="AG209" s="1">
        <v>10403</v>
      </c>
      <c r="AH209" s="1" t="str">
        <v>QUEILÉN</v>
      </c>
      <c r="AI209" s="405">
        <v>1.99100378685E-3</v>
      </c>
    </row>
    <row r="210" spans="1:35" ht="3" customHeight="1" x14ac:dyDescent="0.25">
      <c r="A210" s="5">
        <f>+COEFyDISTR_FET!A215</f>
        <v>10101</v>
      </c>
      <c r="B210" s="5">
        <f>+COEFyDISTR_FET!B215</f>
        <v>10301</v>
      </c>
      <c r="C210" t="str">
        <f>+COEFyDISTR_FET!C215</f>
        <v>PUERTO MONTT</v>
      </c>
      <c r="D210" s="31">
        <f>+COEFyDISTR_FET!D215</f>
        <v>42835968</v>
      </c>
      <c r="E210" s="31">
        <f>+COEFyDISTR_FET!E215</f>
        <v>26159468.263999999</v>
      </c>
      <c r="F210" s="403">
        <f>+COEFyDISTR_FET!G215</f>
        <v>0.95599999999999996</v>
      </c>
      <c r="G210" s="403">
        <f>+COEFyDISTR_FET!H215</f>
        <v>0.37909999999999999</v>
      </c>
      <c r="H210" s="402" t="str">
        <f>IF(D210=0,$A$2,VLOOKUP(COUNTIF(F210,$F$1&amp;$F$2)&amp;COUNTIF(G210,$G$1&amp;$G$2),PARAMETROS!$K$26:$L$30,2,0))</f>
        <v>Sin Acceso</v>
      </c>
      <c r="I210" s="96">
        <f>+COEFyDISTR_FET!AA215</f>
        <v>0</v>
      </c>
      <c r="J210" s="97">
        <f t="shared" si="24"/>
        <v>10101</v>
      </c>
      <c r="K210" s="97">
        <f t="shared" si="25"/>
        <v>10301</v>
      </c>
      <c r="L210" t="str">
        <f t="shared" si="26"/>
        <v>PUERTO MONTT</v>
      </c>
      <c r="M210" t="str">
        <f t="shared" si="27"/>
        <v>Sin Acceso</v>
      </c>
      <c r="N210" s="97">
        <f t="shared" si="28"/>
        <v>10101</v>
      </c>
      <c r="O210" s="97">
        <f t="shared" si="29"/>
        <v>10301</v>
      </c>
      <c r="P210" t="str">
        <f t="shared" si="30"/>
        <v>PUERTO MONTT</v>
      </c>
      <c r="Q210" s="96">
        <f t="shared" si="31"/>
        <v>0</v>
      </c>
      <c r="R210" s="96"/>
      <c r="S210">
        <f>+COEFyDISTR_MINERO!A215</f>
        <v>10101</v>
      </c>
      <c r="T210">
        <f>+COEFyDISTR_MINERO!B215</f>
        <v>10301</v>
      </c>
      <c r="U210" t="str">
        <f>+COEFyDISTR_MINERO!C215</f>
        <v>PUERTO MONTT</v>
      </c>
      <c r="V210" s="96">
        <f>+COEFyDISTR_MINERO!X215</f>
        <v>0</v>
      </c>
      <c r="W210" s="6" t="str">
        <f>+COEFyDISTR_MINERO!D215</f>
        <v>No</v>
      </c>
      <c r="X210" s="96"/>
      <c r="Y210" s="96"/>
      <c r="Z210" s="1">
        <v>10208</v>
      </c>
      <c r="AA210" s="1">
        <v>10404</v>
      </c>
      <c r="AB210" s="1" t="str">
        <v>QUELLÓN</v>
      </c>
      <c r="AC210" s="1" t="str">
        <v>Entra por Criterio de Dependencia y Percentil</v>
      </c>
      <c r="AF210" s="1">
        <v>10208</v>
      </c>
      <c r="AG210" s="1">
        <v>10404</v>
      </c>
      <c r="AH210" s="1" t="str">
        <v>QUELLÓN</v>
      </c>
      <c r="AI210" s="405">
        <v>3.0272202907500002E-3</v>
      </c>
    </row>
    <row r="211" spans="1:35" ht="3" customHeight="1" x14ac:dyDescent="0.25">
      <c r="A211" s="5">
        <f>+COEFyDISTR_FET!A216</f>
        <v>10102</v>
      </c>
      <c r="B211" s="5">
        <f>+COEFyDISTR_FET!B216</f>
        <v>10309</v>
      </c>
      <c r="C211" t="str">
        <f>+COEFyDISTR_FET!C216</f>
        <v>CALBUCO</v>
      </c>
      <c r="D211" s="31">
        <f>+COEFyDISTR_FET!D216</f>
        <v>3939064</v>
      </c>
      <c r="E211" s="31">
        <f>+COEFyDISTR_FET!E216</f>
        <v>6453590.0300000003</v>
      </c>
      <c r="F211" s="403">
        <f>+COEFyDISTR_FET!G216</f>
        <v>0.60799999999999998</v>
      </c>
      <c r="G211" s="403">
        <f>+COEFyDISTR_FET!H216</f>
        <v>0.621</v>
      </c>
      <c r="H211" s="402" t="str">
        <f>IF(D211=0,$A$2,VLOOKUP(COUNTIF(F211,$F$1&amp;$F$2)&amp;COUNTIF(G211,$G$1&amp;$G$2),PARAMETROS!$K$26:$L$30,2,0))</f>
        <v>Entra por Criterio de Dependencia y Percentil</v>
      </c>
      <c r="I211" s="96">
        <f>+COEFyDISTR_FET!AA216</f>
        <v>2.7438149516499999E-3</v>
      </c>
      <c r="J211" s="97">
        <f t="shared" si="24"/>
        <v>10102</v>
      </c>
      <c r="K211" s="97">
        <f t="shared" si="25"/>
        <v>10309</v>
      </c>
      <c r="L211" t="str">
        <f t="shared" si="26"/>
        <v>CALBUCO</v>
      </c>
      <c r="M211" t="str">
        <f t="shared" si="27"/>
        <v>Entra por Criterio de Dependencia y Percentil</v>
      </c>
      <c r="N211" s="97">
        <f t="shared" si="28"/>
        <v>10102</v>
      </c>
      <c r="O211" s="97">
        <f t="shared" si="29"/>
        <v>10309</v>
      </c>
      <c r="P211" t="str">
        <f t="shared" si="30"/>
        <v>CALBUCO</v>
      </c>
      <c r="Q211" s="96">
        <f t="shared" si="31"/>
        <v>2.7438149516499999E-3</v>
      </c>
      <c r="R211" s="96"/>
      <c r="S211">
        <f>+COEFyDISTR_MINERO!A216</f>
        <v>10102</v>
      </c>
      <c r="T211">
        <f>+COEFyDISTR_MINERO!B216</f>
        <v>10309</v>
      </c>
      <c r="U211" t="str">
        <f>+COEFyDISTR_MINERO!C216</f>
        <v>CALBUCO</v>
      </c>
      <c r="V211" s="96">
        <f>+COEFyDISTR_MINERO!X216</f>
        <v>0</v>
      </c>
      <c r="W211" s="6" t="str">
        <f>+COEFyDISTR_MINERO!D216</f>
        <v>No</v>
      </c>
      <c r="X211" s="96"/>
      <c r="Y211" s="96"/>
      <c r="Z211" s="1">
        <v>10209</v>
      </c>
      <c r="AA211" s="1">
        <v>10407</v>
      </c>
      <c r="AB211" s="1" t="str">
        <v>QUEMCHI</v>
      </c>
      <c r="AC211" s="1" t="str">
        <v>Entra por Criterio de Dependencia y Percentil</v>
      </c>
      <c r="AF211" s="1">
        <v>10209</v>
      </c>
      <c r="AG211" s="1">
        <v>10407</v>
      </c>
      <c r="AH211" s="1" t="str">
        <v>QUEMCHI</v>
      </c>
      <c r="AI211" s="405">
        <v>2.06771554495E-3</v>
      </c>
    </row>
    <row r="212" spans="1:35" ht="3" customHeight="1" x14ac:dyDescent="0.25">
      <c r="A212" s="5">
        <f>+COEFyDISTR_FET!A217</f>
        <v>10103</v>
      </c>
      <c r="B212" s="5">
        <f>+COEFyDISTR_FET!B217</f>
        <v>10302</v>
      </c>
      <c r="C212" t="str">
        <f>+COEFyDISTR_FET!C217</f>
        <v>COCHAMÓ</v>
      </c>
      <c r="D212" s="31">
        <f>+COEFyDISTR_FET!D217</f>
        <v>621582</v>
      </c>
      <c r="E212" s="31">
        <f>+COEFyDISTR_FET!E217</f>
        <v>2119212.1460000002</v>
      </c>
      <c r="F212" s="403">
        <f>+COEFyDISTR_FET!G217</f>
        <v>4.5999999999999999E-2</v>
      </c>
      <c r="G212" s="403">
        <f>+COEFyDISTR_FET!H217</f>
        <v>0.7732</v>
      </c>
      <c r="H212" s="402" t="str">
        <f>IF(D212=0,$A$2,VLOOKUP(COUNTIF(F212,$F$1&amp;$F$2)&amp;COUNTIF(G212,$G$1&amp;$G$2),PARAMETROS!$K$26:$L$30,2,0))</f>
        <v>Entra por Criterio de Dependencia y Percentil</v>
      </c>
      <c r="I212" s="96">
        <f>+COEFyDISTR_FET!AA217</f>
        <v>1.7955474760500002E-3</v>
      </c>
      <c r="J212" s="97">
        <f t="shared" si="24"/>
        <v>10103</v>
      </c>
      <c r="K212" s="97">
        <f t="shared" si="25"/>
        <v>10302</v>
      </c>
      <c r="L212" t="str">
        <f t="shared" si="26"/>
        <v>COCHAMÓ</v>
      </c>
      <c r="M212" t="str">
        <f t="shared" si="27"/>
        <v>Entra por Criterio de Dependencia y Percentil</v>
      </c>
      <c r="N212" s="97">
        <f t="shared" si="28"/>
        <v>10103</v>
      </c>
      <c r="O212" s="97">
        <f t="shared" si="29"/>
        <v>10302</v>
      </c>
      <c r="P212" t="str">
        <f t="shared" si="30"/>
        <v>COCHAMÓ</v>
      </c>
      <c r="Q212" s="96">
        <f t="shared" si="31"/>
        <v>1.7955474760500002E-3</v>
      </c>
      <c r="R212" s="96"/>
      <c r="S212">
        <f>+COEFyDISTR_MINERO!A217</f>
        <v>10103</v>
      </c>
      <c r="T212">
        <f>+COEFyDISTR_MINERO!B217</f>
        <v>10302</v>
      </c>
      <c r="U212" t="str">
        <f>+COEFyDISTR_MINERO!C217</f>
        <v>COCHAMÓ</v>
      </c>
      <c r="V212" s="96">
        <f>+COEFyDISTR_MINERO!X217</f>
        <v>0</v>
      </c>
      <c r="W212" s="6" t="str">
        <f>+COEFyDISTR_MINERO!D217</f>
        <v>No</v>
      </c>
      <c r="X212" s="96"/>
      <c r="Y212" s="96"/>
      <c r="Z212" s="1">
        <v>10210</v>
      </c>
      <c r="AA212" s="1">
        <v>10415</v>
      </c>
      <c r="AB212" s="1" t="str">
        <v>QUINCHAO</v>
      </c>
      <c r="AC212" s="1" t="str">
        <v>Entra por Criterio de Dependencia y Percentil</v>
      </c>
      <c r="AF212" s="1">
        <v>10210</v>
      </c>
      <c r="AG212" s="1">
        <v>10415</v>
      </c>
      <c r="AH212" s="1" t="str">
        <v>QUINCHAO</v>
      </c>
      <c r="AI212" s="405">
        <v>2.1368130163499999E-3</v>
      </c>
    </row>
    <row r="213" spans="1:35" ht="3" customHeight="1" x14ac:dyDescent="0.25">
      <c r="A213" s="5">
        <f>+COEFyDISTR_FET!A218</f>
        <v>10104</v>
      </c>
      <c r="B213" s="5">
        <f>+COEFyDISTR_FET!B218</f>
        <v>10304</v>
      </c>
      <c r="C213" t="str">
        <f>+COEFyDISTR_FET!C218</f>
        <v>FRESIA</v>
      </c>
      <c r="D213" s="31">
        <f>+COEFyDISTR_FET!D218</f>
        <v>875323</v>
      </c>
      <c r="E213" s="31">
        <f>+COEFyDISTR_FET!E218</f>
        <v>3247297.2059999998</v>
      </c>
      <c r="F213" s="403">
        <f>+COEFyDISTR_FET!G218</f>
        <v>0.17899999999999999</v>
      </c>
      <c r="G213" s="403">
        <f>+COEFyDISTR_FET!H218</f>
        <v>0.78769999999999996</v>
      </c>
      <c r="H213" s="402" t="str">
        <f>IF(D213=0,$A$2,VLOOKUP(COUNTIF(F213,$F$1&amp;$F$2)&amp;COUNTIF(G213,$G$1&amp;$G$2),PARAMETROS!$K$26:$L$30,2,0))</f>
        <v>Entra por Criterio de Dependencia y Percentil</v>
      </c>
      <c r="I213" s="96">
        <f>+COEFyDISTR_FET!AA218</f>
        <v>2.40995259015E-3</v>
      </c>
      <c r="J213" s="97">
        <f t="shared" si="24"/>
        <v>10104</v>
      </c>
      <c r="K213" s="97">
        <f t="shared" si="25"/>
        <v>10304</v>
      </c>
      <c r="L213" t="str">
        <f t="shared" si="26"/>
        <v>FRESIA</v>
      </c>
      <c r="M213" t="str">
        <f t="shared" si="27"/>
        <v>Entra por Criterio de Dependencia y Percentil</v>
      </c>
      <c r="N213" s="97">
        <f t="shared" si="28"/>
        <v>10104</v>
      </c>
      <c r="O213" s="97">
        <f t="shared" si="29"/>
        <v>10304</v>
      </c>
      <c r="P213" t="str">
        <f t="shared" si="30"/>
        <v>FRESIA</v>
      </c>
      <c r="Q213" s="96">
        <f t="shared" si="31"/>
        <v>2.40995259015E-3</v>
      </c>
      <c r="R213" s="96"/>
      <c r="S213">
        <f>+COEFyDISTR_MINERO!A218</f>
        <v>10104</v>
      </c>
      <c r="T213">
        <f>+COEFyDISTR_MINERO!B218</f>
        <v>10304</v>
      </c>
      <c r="U213" t="str">
        <f>+COEFyDISTR_MINERO!C218</f>
        <v>FRESIA</v>
      </c>
      <c r="V213" s="96">
        <f>+COEFyDISTR_MINERO!X218</f>
        <v>0</v>
      </c>
      <c r="W213" s="6" t="str">
        <f>+COEFyDISTR_MINERO!D218</f>
        <v>No</v>
      </c>
      <c r="X213" s="96"/>
      <c r="Y213" s="96"/>
      <c r="Z213" s="1">
        <v>10302</v>
      </c>
      <c r="AA213" s="1">
        <v>10203</v>
      </c>
      <c r="AB213" s="1" t="str">
        <v>PUERTO OCTAY</v>
      </c>
      <c r="AC213" s="1" t="str">
        <v>Entra por Criterio de Dependencia y Percentil</v>
      </c>
      <c r="AF213" s="1">
        <v>10302</v>
      </c>
      <c r="AG213" s="1">
        <v>10203</v>
      </c>
      <c r="AH213" s="1" t="str">
        <v>PUERTO OCTAY</v>
      </c>
      <c r="AI213" s="405">
        <v>1.8333482413500002E-3</v>
      </c>
    </row>
    <row r="214" spans="1:35" ht="3" customHeight="1" x14ac:dyDescent="0.25">
      <c r="A214" s="5">
        <f>+COEFyDISTR_FET!A219</f>
        <v>10105</v>
      </c>
      <c r="B214" s="5">
        <f>+COEFyDISTR_FET!B219</f>
        <v>10305</v>
      </c>
      <c r="C214" t="str">
        <f>+COEFyDISTR_FET!C219</f>
        <v>FRUTILLAR</v>
      </c>
      <c r="D214" s="31">
        <f>+COEFyDISTR_FET!D219</f>
        <v>4305065</v>
      </c>
      <c r="E214" s="31">
        <f>+COEFyDISTR_FET!E219</f>
        <v>2718470.5019999999</v>
      </c>
      <c r="F214" s="403">
        <f>+COEFyDISTR_FET!G219</f>
        <v>0.46899999999999997</v>
      </c>
      <c r="G214" s="403">
        <f>+COEFyDISTR_FET!H219</f>
        <v>0.3871</v>
      </c>
      <c r="H214" s="402" t="str">
        <f>IF(D214=0,$A$2,VLOOKUP(COUNTIF(F214,$F$1&amp;$F$2)&amp;COUNTIF(G214,$G$1&amp;$G$2),PARAMETROS!$K$26:$L$30,2,0))</f>
        <v>Entra por Criterio de Percentil</v>
      </c>
      <c r="I214" s="96">
        <f>+COEFyDISTR_FET!AA219</f>
        <v>2.0196777476500002E-3</v>
      </c>
      <c r="J214" s="97">
        <f t="shared" si="24"/>
        <v>10105</v>
      </c>
      <c r="K214" s="97">
        <f t="shared" si="25"/>
        <v>10305</v>
      </c>
      <c r="L214" t="str">
        <f t="shared" si="26"/>
        <v>FRUTILLAR</v>
      </c>
      <c r="M214" t="str">
        <f t="shared" si="27"/>
        <v>Entra por Criterio de Percentil</v>
      </c>
      <c r="N214" s="97">
        <f t="shared" si="28"/>
        <v>10105</v>
      </c>
      <c r="O214" s="97">
        <f t="shared" si="29"/>
        <v>10305</v>
      </c>
      <c r="P214" t="str">
        <f t="shared" si="30"/>
        <v>FRUTILLAR</v>
      </c>
      <c r="Q214" s="96">
        <f t="shared" si="31"/>
        <v>2.0196777476500002E-3</v>
      </c>
      <c r="R214" s="96"/>
      <c r="S214">
        <f>+COEFyDISTR_MINERO!A219</f>
        <v>10105</v>
      </c>
      <c r="T214">
        <f>+COEFyDISTR_MINERO!B219</f>
        <v>10305</v>
      </c>
      <c r="U214" t="str">
        <f>+COEFyDISTR_MINERO!C219</f>
        <v>FRUTILLAR</v>
      </c>
      <c r="V214" s="96">
        <f>+COEFyDISTR_MINERO!X219</f>
        <v>0</v>
      </c>
      <c r="W214" s="6" t="str">
        <f>+COEFyDISTR_MINERO!D219</f>
        <v>No</v>
      </c>
      <c r="X214" s="96"/>
      <c r="Y214" s="96"/>
      <c r="Z214" s="1">
        <v>10303</v>
      </c>
      <c r="AA214" s="1">
        <v>10206</v>
      </c>
      <c r="AB214" s="1" t="str">
        <v>PURRANQUE</v>
      </c>
      <c r="AC214" s="1" t="str">
        <v>Entra por Criterio de Dependencia y Percentil</v>
      </c>
      <c r="AF214" s="1">
        <v>10303</v>
      </c>
      <c r="AG214" s="1">
        <v>10206</v>
      </c>
      <c r="AH214" s="1" t="str">
        <v>PURRANQUE</v>
      </c>
      <c r="AI214" s="405">
        <v>2.2403834923500001E-3</v>
      </c>
    </row>
    <row r="215" spans="1:35" ht="3" customHeight="1" x14ac:dyDescent="0.25">
      <c r="A215" s="5">
        <f>+COEFyDISTR_FET!A220</f>
        <v>10106</v>
      </c>
      <c r="B215" s="5">
        <f>+COEFyDISTR_FET!B220</f>
        <v>10308</v>
      </c>
      <c r="C215" t="str">
        <f>+COEFyDISTR_FET!C220</f>
        <v>LOS MUERMOS</v>
      </c>
      <c r="D215" s="31">
        <f>+COEFyDISTR_FET!D220</f>
        <v>1398260</v>
      </c>
      <c r="E215" s="31">
        <f>+COEFyDISTR_FET!E220</f>
        <v>3883070.5159999998</v>
      </c>
      <c r="F215" s="403">
        <f>+COEFyDISTR_FET!G220</f>
        <v>0.318</v>
      </c>
      <c r="G215" s="403">
        <f>+COEFyDISTR_FET!H220</f>
        <v>0.73519999999999996</v>
      </c>
      <c r="H215" s="402" t="str">
        <f>IF(D215=0,$A$2,VLOOKUP(COUNTIF(F215,$F$1&amp;$F$2)&amp;COUNTIF(G215,$G$1&amp;$G$2),PARAMETROS!$K$26:$L$30,2,0))</f>
        <v>Entra por Criterio de Dependencia y Percentil</v>
      </c>
      <c r="I215" s="96">
        <f>+COEFyDISTR_FET!AA220</f>
        <v>2.5681493576500004E-3</v>
      </c>
      <c r="J215" s="97">
        <f t="shared" si="24"/>
        <v>10106</v>
      </c>
      <c r="K215" s="97">
        <f t="shared" si="25"/>
        <v>10308</v>
      </c>
      <c r="L215" t="str">
        <f t="shared" si="26"/>
        <v>LOS MUERMOS</v>
      </c>
      <c r="M215" t="str">
        <f t="shared" si="27"/>
        <v>Entra por Criterio de Dependencia y Percentil</v>
      </c>
      <c r="N215" s="97">
        <f t="shared" si="28"/>
        <v>10106</v>
      </c>
      <c r="O215" s="97">
        <f t="shared" si="29"/>
        <v>10308</v>
      </c>
      <c r="P215" t="str">
        <f t="shared" si="30"/>
        <v>LOS MUERMOS</v>
      </c>
      <c r="Q215" s="96">
        <f t="shared" si="31"/>
        <v>2.5681493576500004E-3</v>
      </c>
      <c r="R215" s="96"/>
      <c r="S215">
        <f>+COEFyDISTR_MINERO!A220</f>
        <v>10106</v>
      </c>
      <c r="T215">
        <f>+COEFyDISTR_MINERO!B220</f>
        <v>10308</v>
      </c>
      <c r="U215" t="str">
        <f>+COEFyDISTR_MINERO!C220</f>
        <v>LOS MUERMOS</v>
      </c>
      <c r="V215" s="96">
        <f>+COEFyDISTR_MINERO!X220</f>
        <v>0</v>
      </c>
      <c r="W215" s="6" t="str">
        <f>+COEFyDISTR_MINERO!D220</f>
        <v>No</v>
      </c>
      <c r="X215" s="96"/>
      <c r="Y215" s="96"/>
      <c r="Z215" s="1">
        <v>10304</v>
      </c>
      <c r="AA215" s="1">
        <v>10204</v>
      </c>
      <c r="AB215" s="1" t="str">
        <v>PUYEHUE</v>
      </c>
      <c r="AC215" s="1" t="str">
        <v>Entra por Criterio de Dependencia y Percentil</v>
      </c>
      <c r="AF215" s="1">
        <v>10304</v>
      </c>
      <c r="AG215" s="1">
        <v>10204</v>
      </c>
      <c r="AH215" s="1" t="str">
        <v>PUYEHUE</v>
      </c>
      <c r="AI215" s="405">
        <v>1.9724173689500001E-3</v>
      </c>
    </row>
    <row r="216" spans="1:35" ht="3" customHeight="1" x14ac:dyDescent="0.25">
      <c r="A216" s="5">
        <f>+COEFyDISTR_FET!A221</f>
        <v>10107</v>
      </c>
      <c r="B216" s="5">
        <f>+COEFyDISTR_FET!B221</f>
        <v>10306</v>
      </c>
      <c r="C216" t="str">
        <f>+COEFyDISTR_FET!C221</f>
        <v>LLANQUIHUE</v>
      </c>
      <c r="D216" s="31">
        <f>+COEFyDISTR_FET!D221</f>
        <v>2450461</v>
      </c>
      <c r="E216" s="31">
        <f>+COEFyDISTR_FET!E221</f>
        <v>2855034.4410000001</v>
      </c>
      <c r="F216" s="403">
        <f>+COEFyDISTR_FET!G221</f>
        <v>0.32100000000000001</v>
      </c>
      <c r="G216" s="403">
        <f>+COEFyDISTR_FET!H221</f>
        <v>0.53810000000000002</v>
      </c>
      <c r="H216" s="402" t="str">
        <f>IF(D216=0,$A$2,VLOOKUP(COUNTIF(F216,$F$1&amp;$F$2)&amp;COUNTIF(G216,$G$1&amp;$G$2),PARAMETROS!$K$26:$L$30,2,0))</f>
        <v>Entra por Criterio de Dependencia y Percentil</v>
      </c>
      <c r="I216" s="96">
        <f>+COEFyDISTR_FET!AA221</f>
        <v>2.00698599075E-3</v>
      </c>
      <c r="J216" s="97">
        <f t="shared" si="24"/>
        <v>10107</v>
      </c>
      <c r="K216" s="97">
        <f t="shared" si="25"/>
        <v>10306</v>
      </c>
      <c r="L216" t="str">
        <f t="shared" si="26"/>
        <v>LLANQUIHUE</v>
      </c>
      <c r="M216" t="str">
        <f t="shared" si="27"/>
        <v>Entra por Criterio de Dependencia y Percentil</v>
      </c>
      <c r="N216" s="97">
        <f t="shared" si="28"/>
        <v>10107</v>
      </c>
      <c r="O216" s="97">
        <f t="shared" si="29"/>
        <v>10306</v>
      </c>
      <c r="P216" t="str">
        <f t="shared" si="30"/>
        <v>LLANQUIHUE</v>
      </c>
      <c r="Q216" s="96">
        <f t="shared" si="31"/>
        <v>2.00698599075E-3</v>
      </c>
      <c r="R216" s="96"/>
      <c r="S216">
        <f>+COEFyDISTR_MINERO!A221</f>
        <v>10107</v>
      </c>
      <c r="T216">
        <f>+COEFyDISTR_MINERO!B221</f>
        <v>10306</v>
      </c>
      <c r="U216" t="str">
        <f>+COEFyDISTR_MINERO!C221</f>
        <v>LLANQUIHUE</v>
      </c>
      <c r="V216" s="96">
        <f>+COEFyDISTR_MINERO!X221</f>
        <v>0</v>
      </c>
      <c r="W216" s="6" t="str">
        <f>+COEFyDISTR_MINERO!D221</f>
        <v>No</v>
      </c>
      <c r="X216" s="96"/>
      <c r="Y216" s="96"/>
      <c r="Z216" s="1">
        <v>10305</v>
      </c>
      <c r="AA216" s="1">
        <v>10205</v>
      </c>
      <c r="AB216" s="1" t="str">
        <v>RÍO NEGRO</v>
      </c>
      <c r="AC216" s="1" t="str">
        <v>Entra por Criterio de Dependencia y Percentil</v>
      </c>
      <c r="AF216" s="1">
        <v>10305</v>
      </c>
      <c r="AG216" s="1">
        <v>10205</v>
      </c>
      <c r="AH216" s="1" t="str">
        <v>RÍO NEGRO</v>
      </c>
      <c r="AI216" s="405">
        <v>2.1694919308499999E-3</v>
      </c>
    </row>
    <row r="217" spans="1:35" ht="3" customHeight="1" x14ac:dyDescent="0.25">
      <c r="A217" s="5">
        <f>+COEFyDISTR_FET!A222</f>
        <v>10108</v>
      </c>
      <c r="B217" s="5">
        <f>+COEFyDISTR_FET!B222</f>
        <v>10307</v>
      </c>
      <c r="C217" t="str">
        <f>+COEFyDISTR_FET!C222</f>
        <v>MAULLÍN</v>
      </c>
      <c r="D217" s="31">
        <f>+COEFyDISTR_FET!D222</f>
        <v>1361435</v>
      </c>
      <c r="E217" s="31">
        <f>+COEFyDISTR_FET!E222</f>
        <v>3998926.59</v>
      </c>
      <c r="F217" s="403">
        <f>+COEFyDISTR_FET!G222</f>
        <v>0.32700000000000001</v>
      </c>
      <c r="G217" s="403">
        <f>+COEFyDISTR_FET!H222</f>
        <v>0.746</v>
      </c>
      <c r="H217" s="402" t="str">
        <f>IF(D217=0,$A$2,VLOOKUP(COUNTIF(F217,$F$1&amp;$F$2)&amp;COUNTIF(G217,$G$1&amp;$G$2),PARAMETROS!$K$26:$L$30,2,0))</f>
        <v>Entra por Criterio de Dependencia y Percentil</v>
      </c>
      <c r="I217" s="96">
        <f>+COEFyDISTR_FET!AA222</f>
        <v>2.3113091720500002E-3</v>
      </c>
      <c r="J217" s="97">
        <f t="shared" si="24"/>
        <v>10108</v>
      </c>
      <c r="K217" s="97">
        <f t="shared" si="25"/>
        <v>10307</v>
      </c>
      <c r="L217" t="str">
        <f t="shared" si="26"/>
        <v>MAULLÍN</v>
      </c>
      <c r="M217" t="str">
        <f t="shared" si="27"/>
        <v>Entra por Criterio de Dependencia y Percentil</v>
      </c>
      <c r="N217" s="97">
        <f t="shared" si="28"/>
        <v>10108</v>
      </c>
      <c r="O217" s="97">
        <f t="shared" si="29"/>
        <v>10307</v>
      </c>
      <c r="P217" t="str">
        <f t="shared" si="30"/>
        <v>MAULLÍN</v>
      </c>
      <c r="Q217" s="96">
        <f t="shared" si="31"/>
        <v>2.3113091720500002E-3</v>
      </c>
      <c r="R217" s="96"/>
      <c r="S217">
        <f>+COEFyDISTR_MINERO!A222</f>
        <v>10108</v>
      </c>
      <c r="T217">
        <f>+COEFyDISTR_MINERO!B222</f>
        <v>10307</v>
      </c>
      <c r="U217" t="str">
        <f>+COEFyDISTR_MINERO!C222</f>
        <v>MAULLÍN</v>
      </c>
      <c r="V217" s="96">
        <f>+COEFyDISTR_MINERO!X222</f>
        <v>0</v>
      </c>
      <c r="W217" s="6" t="str">
        <f>+COEFyDISTR_MINERO!D222</f>
        <v>No</v>
      </c>
      <c r="X217" s="96"/>
      <c r="Y217" s="96"/>
      <c r="Z217" s="1">
        <v>10306</v>
      </c>
      <c r="AA217" s="1">
        <v>10207</v>
      </c>
      <c r="AB217" s="1" t="str">
        <v>SAN JUAN DE LA COSTA</v>
      </c>
      <c r="AC217" s="1" t="str">
        <v>Entra por Criterio de Dependencia y Percentil</v>
      </c>
      <c r="AF217" s="1">
        <v>10306</v>
      </c>
      <c r="AG217" s="1">
        <v>10207</v>
      </c>
      <c r="AH217" s="1" t="str">
        <v>SAN JUAN DE LA COSTA</v>
      </c>
      <c r="AI217" s="405">
        <v>2.3758221206500005E-3</v>
      </c>
    </row>
    <row r="218" spans="1:35" ht="3" customHeight="1" x14ac:dyDescent="0.25">
      <c r="A218" s="5">
        <f>+COEFyDISTR_FET!A223</f>
        <v>10109</v>
      </c>
      <c r="B218" s="5">
        <f>+COEFyDISTR_FET!B223</f>
        <v>10303</v>
      </c>
      <c r="C218" t="str">
        <f>+COEFyDISTR_FET!C223</f>
        <v>PUERTO VARAS</v>
      </c>
      <c r="D218" s="31">
        <f>+COEFyDISTR_FET!D223</f>
        <v>14729012</v>
      </c>
      <c r="E218" s="31">
        <f>+COEFyDISTR_FET!E223</f>
        <v>2883311.0129999998</v>
      </c>
      <c r="F218" s="403">
        <f>+COEFyDISTR_FET!G223</f>
        <v>0.76200000000000001</v>
      </c>
      <c r="G218" s="403">
        <f>+COEFyDISTR_FET!H223</f>
        <v>0.16370000000000001</v>
      </c>
      <c r="H218" s="402" t="str">
        <f>IF(D218=0,$A$2,VLOOKUP(COUNTIF(F218,$F$1&amp;$F$2)&amp;COUNTIF(G218,$G$1&amp;$G$2),PARAMETROS!$K$26:$L$30,2,0))</f>
        <v>Entra por Criterio de Percentil</v>
      </c>
      <c r="I218" s="96">
        <f>+COEFyDISTR_FET!AA223</f>
        <v>2.0124857875500001E-3</v>
      </c>
      <c r="J218" s="97">
        <f t="shared" si="24"/>
        <v>10109</v>
      </c>
      <c r="K218" s="97">
        <f t="shared" si="25"/>
        <v>10303</v>
      </c>
      <c r="L218" t="str">
        <f t="shared" si="26"/>
        <v>PUERTO VARAS</v>
      </c>
      <c r="M218" t="str">
        <f t="shared" si="27"/>
        <v>Entra por Criterio de Percentil</v>
      </c>
      <c r="N218" s="97">
        <f t="shared" si="28"/>
        <v>10109</v>
      </c>
      <c r="O218" s="97">
        <f t="shared" si="29"/>
        <v>10303</v>
      </c>
      <c r="P218" t="str">
        <f t="shared" si="30"/>
        <v>PUERTO VARAS</v>
      </c>
      <c r="Q218" s="96">
        <f t="shared" si="31"/>
        <v>2.0124857875500001E-3</v>
      </c>
      <c r="R218" s="96"/>
      <c r="S218">
        <f>+COEFyDISTR_MINERO!A223</f>
        <v>10109</v>
      </c>
      <c r="T218">
        <f>+COEFyDISTR_MINERO!B223</f>
        <v>10303</v>
      </c>
      <c r="U218" t="str">
        <f>+COEFyDISTR_MINERO!C223</f>
        <v>PUERTO VARAS</v>
      </c>
      <c r="V218" s="96">
        <f>+COEFyDISTR_MINERO!X223</f>
        <v>0</v>
      </c>
      <c r="W218" s="6" t="str">
        <f>+COEFyDISTR_MINERO!D223</f>
        <v>No</v>
      </c>
      <c r="X218" s="96"/>
      <c r="Y218" s="96"/>
      <c r="Z218" s="1">
        <v>10307</v>
      </c>
      <c r="AA218" s="1">
        <v>10202</v>
      </c>
      <c r="AB218" s="1" t="str">
        <v>SAN PABLO</v>
      </c>
      <c r="AC218" s="1" t="str">
        <v>Entra por Criterio de Dependencia y Percentil</v>
      </c>
      <c r="AF218" s="1">
        <v>10307</v>
      </c>
      <c r="AG218" s="1">
        <v>10202</v>
      </c>
      <c r="AH218" s="1" t="str">
        <v>SAN PABLO</v>
      </c>
      <c r="AI218" s="405">
        <v>2.04666254525E-3</v>
      </c>
    </row>
    <row r="219" spans="1:35" ht="3" customHeight="1" x14ac:dyDescent="0.25">
      <c r="A219" s="5">
        <f>+COEFyDISTR_FET!A224</f>
        <v>10201</v>
      </c>
      <c r="B219" s="5">
        <f>+COEFyDISTR_FET!B224</f>
        <v>10401</v>
      </c>
      <c r="C219" t="str">
        <f>+COEFyDISTR_FET!C224</f>
        <v>CASTRO</v>
      </c>
      <c r="D219" s="31">
        <f>+COEFyDISTR_FET!D224</f>
        <v>5900581</v>
      </c>
      <c r="E219" s="31">
        <f>+COEFyDISTR_FET!E224</f>
        <v>15319781.793</v>
      </c>
      <c r="F219" s="403">
        <f>+COEFyDISTR_FET!G224</f>
        <v>0.80800000000000005</v>
      </c>
      <c r="G219" s="403">
        <f>+COEFyDISTR_FET!H224</f>
        <v>0.72189999999999999</v>
      </c>
      <c r="H219" s="402" t="str">
        <f>IF(D219=0,$A$2,VLOOKUP(COUNTIF(F219,$F$1&amp;$F$2)&amp;COUNTIF(G219,$G$1&amp;$G$2),PARAMETROS!$K$26:$L$30,2,0))</f>
        <v>Entra por Criterio de Dependencia</v>
      </c>
      <c r="I219" s="96">
        <f>+COEFyDISTR_FET!AA224</f>
        <v>2.85176710655E-3</v>
      </c>
      <c r="J219" s="97">
        <f t="shared" si="24"/>
        <v>10201</v>
      </c>
      <c r="K219" s="97">
        <f t="shared" si="25"/>
        <v>10401</v>
      </c>
      <c r="L219" t="str">
        <f t="shared" si="26"/>
        <v>CASTRO</v>
      </c>
      <c r="M219" t="str">
        <f t="shared" si="27"/>
        <v>Entra por Criterio de Dependencia</v>
      </c>
      <c r="N219" s="97">
        <f t="shared" si="28"/>
        <v>10201</v>
      </c>
      <c r="O219" s="97">
        <f t="shared" si="29"/>
        <v>10401</v>
      </c>
      <c r="P219" t="str">
        <f t="shared" si="30"/>
        <v>CASTRO</v>
      </c>
      <c r="Q219" s="96">
        <f t="shared" si="31"/>
        <v>2.85176710655E-3</v>
      </c>
      <c r="R219" s="96"/>
      <c r="S219">
        <f>+COEFyDISTR_MINERO!A224</f>
        <v>10201</v>
      </c>
      <c r="T219">
        <f>+COEFyDISTR_MINERO!B224</f>
        <v>10401</v>
      </c>
      <c r="U219" t="str">
        <f>+COEFyDISTR_MINERO!C224</f>
        <v>CASTRO</v>
      </c>
      <c r="V219" s="96">
        <f>+COEFyDISTR_MINERO!X224</f>
        <v>0</v>
      </c>
      <c r="W219" s="6" t="str">
        <f>+COEFyDISTR_MINERO!D224</f>
        <v>No</v>
      </c>
      <c r="X219" s="96"/>
      <c r="Y219" s="96"/>
      <c r="Z219" s="1">
        <v>10401</v>
      </c>
      <c r="AA219" s="1">
        <v>10501</v>
      </c>
      <c r="AB219" s="1" t="str">
        <v>CHAITÉN</v>
      </c>
      <c r="AC219" s="1" t="str">
        <v>Entra por Criterio de Dependencia y Percentil</v>
      </c>
      <c r="AF219" s="1">
        <v>10401</v>
      </c>
      <c r="AG219" s="1">
        <v>10501</v>
      </c>
      <c r="AH219" s="1" t="str">
        <v>CHAITÉN</v>
      </c>
      <c r="AI219" s="405">
        <v>1.9318681179500002E-3</v>
      </c>
    </row>
    <row r="220" spans="1:35" ht="3" customHeight="1" x14ac:dyDescent="0.25">
      <c r="A220" s="5">
        <f>+COEFyDISTR_FET!A225</f>
        <v>10202</v>
      </c>
      <c r="B220" s="5">
        <f>+COEFyDISTR_FET!B225</f>
        <v>10406</v>
      </c>
      <c r="C220" t="str">
        <f>+COEFyDISTR_FET!C225</f>
        <v>ANCUD</v>
      </c>
      <c r="D220" s="31">
        <f>+COEFyDISTR_FET!D225</f>
        <v>3835690</v>
      </c>
      <c r="E220" s="31">
        <f>+COEFyDISTR_FET!E225</f>
        <v>9161424.1620000005</v>
      </c>
      <c r="F220" s="403">
        <f>+COEFyDISTR_FET!G225</f>
        <v>0.66900000000000004</v>
      </c>
      <c r="G220" s="403">
        <f>+COEFyDISTR_FET!H225</f>
        <v>0.70489999999999997</v>
      </c>
      <c r="H220" s="402" t="str">
        <f>IF(D220=0,$A$2,VLOOKUP(COUNTIF(F220,$F$1&amp;$F$2)&amp;COUNTIF(G220,$G$1&amp;$G$2),PARAMETROS!$K$26:$L$30,2,0))</f>
        <v>Entra por Criterio de Dependencia y Percentil</v>
      </c>
      <c r="I220" s="96">
        <f>+COEFyDISTR_FET!AA225</f>
        <v>3.3851130477500001E-3</v>
      </c>
      <c r="J220" s="97">
        <f t="shared" si="24"/>
        <v>10202</v>
      </c>
      <c r="K220" s="97">
        <f t="shared" si="25"/>
        <v>10406</v>
      </c>
      <c r="L220" t="str">
        <f t="shared" si="26"/>
        <v>ANCUD</v>
      </c>
      <c r="M220" t="str">
        <f t="shared" si="27"/>
        <v>Entra por Criterio de Dependencia y Percentil</v>
      </c>
      <c r="N220" s="97">
        <f t="shared" si="28"/>
        <v>10202</v>
      </c>
      <c r="O220" s="97">
        <f t="shared" si="29"/>
        <v>10406</v>
      </c>
      <c r="P220" t="str">
        <f t="shared" si="30"/>
        <v>ANCUD</v>
      </c>
      <c r="Q220" s="96">
        <f t="shared" si="31"/>
        <v>3.3851130477500001E-3</v>
      </c>
      <c r="R220" s="96"/>
      <c r="S220">
        <f>+COEFyDISTR_MINERO!A225</f>
        <v>10202</v>
      </c>
      <c r="T220">
        <f>+COEFyDISTR_MINERO!B225</f>
        <v>10406</v>
      </c>
      <c r="U220" t="str">
        <f>+COEFyDISTR_MINERO!C225</f>
        <v>ANCUD</v>
      </c>
      <c r="V220" s="96">
        <f>+COEFyDISTR_MINERO!X225</f>
        <v>0</v>
      </c>
      <c r="W220" s="6" t="str">
        <f>+COEFyDISTR_MINERO!D225</f>
        <v>No</v>
      </c>
      <c r="X220" s="96"/>
      <c r="Y220" s="96"/>
      <c r="Z220" s="1">
        <v>10402</v>
      </c>
      <c r="AA220" s="1">
        <v>10503</v>
      </c>
      <c r="AB220" s="1" t="str">
        <v>FUTALEUFÚ</v>
      </c>
      <c r="AC220" s="1" t="str">
        <v>Entra por Criterio de Dependencia y Percentil</v>
      </c>
      <c r="AF220" s="1">
        <v>10402</v>
      </c>
      <c r="AG220" s="1">
        <v>10503</v>
      </c>
      <c r="AH220" s="1" t="str">
        <v>FUTALEUFÚ</v>
      </c>
      <c r="AI220" s="405">
        <v>1.72953468155E-3</v>
      </c>
    </row>
    <row r="221" spans="1:35" ht="3" customHeight="1" x14ac:dyDescent="0.25">
      <c r="A221" s="5">
        <f>+COEFyDISTR_FET!A226</f>
        <v>10203</v>
      </c>
      <c r="B221" s="5">
        <f>+COEFyDISTR_FET!B226</f>
        <v>10402</v>
      </c>
      <c r="C221" t="str">
        <f>+COEFyDISTR_FET!C226</f>
        <v>CHONCHI</v>
      </c>
      <c r="D221" s="31">
        <f>+COEFyDISTR_FET!D226</f>
        <v>2554206</v>
      </c>
      <c r="E221" s="31">
        <f>+COEFyDISTR_FET!E226</f>
        <v>3630038.92</v>
      </c>
      <c r="F221" s="403">
        <f>+COEFyDISTR_FET!G226</f>
        <v>0.41699999999999998</v>
      </c>
      <c r="G221" s="403">
        <f>+COEFyDISTR_FET!H226</f>
        <v>0.58699999999999997</v>
      </c>
      <c r="H221" s="402" t="str">
        <f>IF(D221=0,$A$2,VLOOKUP(COUNTIF(F221,$F$1&amp;$F$2)&amp;COUNTIF(G221,$G$1&amp;$G$2),PARAMETROS!$K$26:$L$30,2,0))</f>
        <v>Entra por Criterio de Dependencia y Percentil</v>
      </c>
      <c r="I221" s="96">
        <f>+COEFyDISTR_FET!AA226</f>
        <v>2.2533334253500002E-3</v>
      </c>
      <c r="J221" s="97">
        <f t="shared" si="24"/>
        <v>10203</v>
      </c>
      <c r="K221" s="97">
        <f t="shared" si="25"/>
        <v>10402</v>
      </c>
      <c r="L221" t="str">
        <f t="shared" si="26"/>
        <v>CHONCHI</v>
      </c>
      <c r="M221" t="str">
        <f t="shared" si="27"/>
        <v>Entra por Criterio de Dependencia y Percentil</v>
      </c>
      <c r="N221" s="97">
        <f t="shared" si="28"/>
        <v>10203</v>
      </c>
      <c r="O221" s="97">
        <f t="shared" si="29"/>
        <v>10402</v>
      </c>
      <c r="P221" t="str">
        <f t="shared" si="30"/>
        <v>CHONCHI</v>
      </c>
      <c r="Q221" s="96">
        <f t="shared" si="31"/>
        <v>2.2533334253500002E-3</v>
      </c>
      <c r="R221" s="96"/>
      <c r="S221">
        <f>+COEFyDISTR_MINERO!A226</f>
        <v>10203</v>
      </c>
      <c r="T221">
        <f>+COEFyDISTR_MINERO!B226</f>
        <v>10402</v>
      </c>
      <c r="U221" t="str">
        <f>+COEFyDISTR_MINERO!C226</f>
        <v>CHONCHI</v>
      </c>
      <c r="V221" s="96">
        <f>+COEFyDISTR_MINERO!X226</f>
        <v>0</v>
      </c>
      <c r="W221" s="6" t="str">
        <f>+COEFyDISTR_MINERO!D226</f>
        <v>No</v>
      </c>
      <c r="X221" s="96"/>
      <c r="Y221" s="96"/>
      <c r="Z221" s="1">
        <v>10403</v>
      </c>
      <c r="AA221" s="1">
        <v>10502</v>
      </c>
      <c r="AB221" s="1" t="str">
        <v>HUALAIHUÉ</v>
      </c>
      <c r="AC221" s="1" t="str">
        <v>Entra por Criterio de Dependencia y Percentil</v>
      </c>
      <c r="AF221" s="1">
        <v>10403</v>
      </c>
      <c r="AG221" s="1">
        <v>10502</v>
      </c>
      <c r="AH221" s="1" t="str">
        <v>HUALAIHUÉ</v>
      </c>
      <c r="AI221" s="405">
        <v>1.9639251603499998E-3</v>
      </c>
    </row>
    <row r="222" spans="1:35" ht="3" customHeight="1" x14ac:dyDescent="0.25">
      <c r="A222" s="5">
        <f>+COEFyDISTR_FET!A227</f>
        <v>10204</v>
      </c>
      <c r="B222" s="5">
        <f>+COEFyDISTR_FET!B227</f>
        <v>10410</v>
      </c>
      <c r="C222" t="str">
        <f>+COEFyDISTR_FET!C227</f>
        <v>CURACO DE VÉLEZ</v>
      </c>
      <c r="D222" s="31">
        <f>+COEFyDISTR_FET!D227</f>
        <v>341540</v>
      </c>
      <c r="E222" s="31">
        <f>+COEFyDISTR_FET!E227</f>
        <v>2685551.9019999998</v>
      </c>
      <c r="F222" s="403">
        <f>+COEFyDISTR_FET!G227</f>
        <v>6.9000000000000006E-2</v>
      </c>
      <c r="G222" s="403">
        <f>+COEFyDISTR_FET!H227</f>
        <v>0.88719999999999999</v>
      </c>
      <c r="H222" s="402" t="str">
        <f>IF(D222=0,$A$2,VLOOKUP(COUNTIF(F222,$F$1&amp;$F$2)&amp;COUNTIF(G222,$G$1&amp;$G$2),PARAMETROS!$K$26:$L$30,2,0))</f>
        <v>Entra por Criterio de Dependencia y Percentil</v>
      </c>
      <c r="I222" s="96">
        <f>+COEFyDISTR_FET!AA227</f>
        <v>1.9799367925499999E-3</v>
      </c>
      <c r="J222" s="97">
        <f t="shared" si="24"/>
        <v>10204</v>
      </c>
      <c r="K222" s="97">
        <f t="shared" si="25"/>
        <v>10410</v>
      </c>
      <c r="L222" t="str">
        <f t="shared" si="26"/>
        <v>CURACO DE VÉLEZ</v>
      </c>
      <c r="M222" t="str">
        <f t="shared" si="27"/>
        <v>Entra por Criterio de Dependencia y Percentil</v>
      </c>
      <c r="N222" s="97">
        <f t="shared" si="28"/>
        <v>10204</v>
      </c>
      <c r="O222" s="97">
        <f t="shared" si="29"/>
        <v>10410</v>
      </c>
      <c r="P222" t="str">
        <f t="shared" si="30"/>
        <v>CURACO DE VÉLEZ</v>
      </c>
      <c r="Q222" s="96">
        <f t="shared" si="31"/>
        <v>1.9799367925499999E-3</v>
      </c>
      <c r="R222" s="96"/>
      <c r="S222">
        <f>+COEFyDISTR_MINERO!A227</f>
        <v>10204</v>
      </c>
      <c r="T222">
        <f>+COEFyDISTR_MINERO!B227</f>
        <v>10410</v>
      </c>
      <c r="U222" t="str">
        <f>+COEFyDISTR_MINERO!C227</f>
        <v>CURACO DE VÉLEZ</v>
      </c>
      <c r="V222" s="96">
        <f>+COEFyDISTR_MINERO!X227</f>
        <v>0</v>
      </c>
      <c r="W222" s="6" t="str">
        <f>+COEFyDISTR_MINERO!D227</f>
        <v>No</v>
      </c>
      <c r="X222" s="96"/>
      <c r="Y222" s="96"/>
      <c r="Z222" s="1">
        <v>10404</v>
      </c>
      <c r="AA222" s="1">
        <v>10504</v>
      </c>
      <c r="AB222" s="1" t="str">
        <v>PALENA</v>
      </c>
      <c r="AC222" s="1" t="str">
        <v>Entra por Criterio de Dependencia y Percentil</v>
      </c>
      <c r="AF222" s="1">
        <v>10404</v>
      </c>
      <c r="AG222" s="1">
        <v>10504</v>
      </c>
      <c r="AH222" s="1" t="str">
        <v>PALENA</v>
      </c>
      <c r="AI222" s="405">
        <v>1.74375131765E-3</v>
      </c>
    </row>
    <row r="223" spans="1:35" ht="3" customHeight="1" x14ac:dyDescent="0.25">
      <c r="A223" s="5">
        <f>+COEFyDISTR_FET!A228</f>
        <v>10205</v>
      </c>
      <c r="B223" s="5">
        <f>+COEFyDISTR_FET!B228</f>
        <v>10408</v>
      </c>
      <c r="C223" t="str">
        <f>+COEFyDISTR_FET!C228</f>
        <v>DALCAHUE</v>
      </c>
      <c r="D223" s="31">
        <f>+COEFyDISTR_FET!D228</f>
        <v>1548028</v>
      </c>
      <c r="E223" s="31">
        <f>+COEFyDISTR_FET!E228</f>
        <v>4200146.4390000002</v>
      </c>
      <c r="F223" s="403">
        <f>+COEFyDISTR_FET!G228</f>
        <v>0.36799999999999999</v>
      </c>
      <c r="G223" s="403">
        <f>+COEFyDISTR_FET!H228</f>
        <v>0.73070000000000002</v>
      </c>
      <c r="H223" s="402" t="str">
        <f>IF(D223=0,$A$2,VLOOKUP(COUNTIF(F223,$F$1&amp;$F$2)&amp;COUNTIF(G223,$G$1&amp;$G$2),PARAMETROS!$K$26:$L$30,2,0))</f>
        <v>Entra por Criterio de Dependencia y Percentil</v>
      </c>
      <c r="I223" s="96">
        <f>+COEFyDISTR_FET!AA228</f>
        <v>2.2927350445499997E-3</v>
      </c>
      <c r="J223" s="97">
        <f t="shared" si="24"/>
        <v>10205</v>
      </c>
      <c r="K223" s="97">
        <f t="shared" si="25"/>
        <v>10408</v>
      </c>
      <c r="L223" t="str">
        <f t="shared" si="26"/>
        <v>DALCAHUE</v>
      </c>
      <c r="M223" t="str">
        <f t="shared" si="27"/>
        <v>Entra por Criterio de Dependencia y Percentil</v>
      </c>
      <c r="N223" s="97">
        <f t="shared" si="28"/>
        <v>10205</v>
      </c>
      <c r="O223" s="97">
        <f t="shared" si="29"/>
        <v>10408</v>
      </c>
      <c r="P223" t="str">
        <f t="shared" si="30"/>
        <v>DALCAHUE</v>
      </c>
      <c r="Q223" s="96">
        <f t="shared" si="31"/>
        <v>2.2927350445499997E-3</v>
      </c>
      <c r="R223" s="96"/>
      <c r="S223">
        <f>+COEFyDISTR_MINERO!A228</f>
        <v>10205</v>
      </c>
      <c r="T223">
        <f>+COEFyDISTR_MINERO!B228</f>
        <v>10408</v>
      </c>
      <c r="U223" t="str">
        <f>+COEFyDISTR_MINERO!C228</f>
        <v>DALCAHUE</v>
      </c>
      <c r="V223" s="96">
        <f>+COEFyDISTR_MINERO!X228</f>
        <v>0</v>
      </c>
      <c r="W223" s="6" t="str">
        <f>+COEFyDISTR_MINERO!D228</f>
        <v>No</v>
      </c>
      <c r="X223" s="96"/>
      <c r="Y223" s="96"/>
      <c r="Z223" s="1">
        <v>11101</v>
      </c>
      <c r="AA223" s="1">
        <v>11401</v>
      </c>
      <c r="AB223" s="1" t="str">
        <v>COYHAIQUE</v>
      </c>
      <c r="AC223" s="1" t="str">
        <v>Entra por Criterio de Dependencia y Percentil</v>
      </c>
      <c r="AF223" s="1">
        <v>11101</v>
      </c>
      <c r="AG223" s="1">
        <v>11401</v>
      </c>
      <c r="AH223" s="1" t="str">
        <v>COYHAIQUE</v>
      </c>
      <c r="AI223" s="405">
        <v>2.8321542497500001E-3</v>
      </c>
    </row>
    <row r="224" spans="1:35" ht="3" customHeight="1" x14ac:dyDescent="0.25">
      <c r="A224" s="5">
        <f>+COEFyDISTR_FET!A229</f>
        <v>10206</v>
      </c>
      <c r="B224" s="5">
        <f>+COEFyDISTR_FET!B229</f>
        <v>10405</v>
      </c>
      <c r="C224" t="str">
        <f>+COEFyDISTR_FET!C229</f>
        <v>PUQUELDÓN</v>
      </c>
      <c r="D224" s="31">
        <f>+COEFyDISTR_FET!D229</f>
        <v>539891</v>
      </c>
      <c r="E224" s="31">
        <f>+COEFyDISTR_FET!E229</f>
        <v>2335043.6370000001</v>
      </c>
      <c r="F224" s="403">
        <f>+COEFyDISTR_FET!G229</f>
        <v>5.5E-2</v>
      </c>
      <c r="G224" s="403">
        <f>+COEFyDISTR_FET!H229</f>
        <v>0.81220000000000003</v>
      </c>
      <c r="H224" s="402" t="str">
        <f>IF(D224=0,$A$2,VLOOKUP(COUNTIF(F224,$F$1&amp;$F$2)&amp;COUNTIF(G224,$G$1&amp;$G$2),PARAMETROS!$K$26:$L$30,2,0))</f>
        <v>Entra por Criterio de Dependencia y Percentil</v>
      </c>
      <c r="I224" s="96">
        <f>+COEFyDISTR_FET!AA229</f>
        <v>1.93063921985E-3</v>
      </c>
      <c r="J224" s="97">
        <f t="shared" si="24"/>
        <v>10206</v>
      </c>
      <c r="K224" s="97">
        <f t="shared" si="25"/>
        <v>10405</v>
      </c>
      <c r="L224" t="str">
        <f t="shared" si="26"/>
        <v>PUQUELDÓN</v>
      </c>
      <c r="M224" t="str">
        <f t="shared" si="27"/>
        <v>Entra por Criterio de Dependencia y Percentil</v>
      </c>
      <c r="N224" s="97">
        <f t="shared" si="28"/>
        <v>10206</v>
      </c>
      <c r="O224" s="97">
        <f t="shared" si="29"/>
        <v>10405</v>
      </c>
      <c r="P224" t="str">
        <f t="shared" si="30"/>
        <v>PUQUELDÓN</v>
      </c>
      <c r="Q224" s="96">
        <f t="shared" si="31"/>
        <v>1.93063921985E-3</v>
      </c>
      <c r="R224" s="96"/>
      <c r="S224">
        <f>+COEFyDISTR_MINERO!A229</f>
        <v>10206</v>
      </c>
      <c r="T224">
        <f>+COEFyDISTR_MINERO!B229</f>
        <v>10405</v>
      </c>
      <c r="U224" t="str">
        <f>+COEFyDISTR_MINERO!C229</f>
        <v>PUQUELDÓN</v>
      </c>
      <c r="V224" s="96">
        <f>+COEFyDISTR_MINERO!X229</f>
        <v>0</v>
      </c>
      <c r="W224" s="6" t="str">
        <f>+COEFyDISTR_MINERO!D229</f>
        <v>No</v>
      </c>
      <c r="X224" s="96"/>
      <c r="Y224" s="96"/>
      <c r="Z224" s="1">
        <v>11102</v>
      </c>
      <c r="AA224" s="1">
        <v>11402</v>
      </c>
      <c r="AB224" s="1" t="str">
        <v>LAGO VERDE</v>
      </c>
      <c r="AC224" s="1" t="str">
        <v>Entra por Criterio de Dependencia y Percentil</v>
      </c>
      <c r="AF224" s="1">
        <v>11102</v>
      </c>
      <c r="AG224" s="1">
        <v>11402</v>
      </c>
      <c r="AH224" s="1" t="str">
        <v>LAGO VERDE</v>
      </c>
      <c r="AI224" s="405">
        <v>1.6984520212500001E-3</v>
      </c>
    </row>
    <row r="225" spans="1:35" ht="3" customHeight="1" x14ac:dyDescent="0.25">
      <c r="A225" s="5">
        <f>+COEFyDISTR_FET!A230</f>
        <v>10207</v>
      </c>
      <c r="B225" s="5">
        <f>+COEFyDISTR_FET!B230</f>
        <v>10403</v>
      </c>
      <c r="C225" t="str">
        <f>+COEFyDISTR_FET!C230</f>
        <v>QUEILÉN</v>
      </c>
      <c r="D225" s="31">
        <f>+COEFyDISTR_FET!D230</f>
        <v>547024</v>
      </c>
      <c r="E225" s="31">
        <f>+COEFyDISTR_FET!E230</f>
        <v>2698798.7319999998</v>
      </c>
      <c r="F225" s="403">
        <f>+COEFyDISTR_FET!G230</f>
        <v>7.8E-2</v>
      </c>
      <c r="G225" s="403">
        <f>+COEFyDISTR_FET!H230</f>
        <v>0.83150000000000002</v>
      </c>
      <c r="H225" s="402" t="str">
        <f>IF(D225=0,$A$2,VLOOKUP(COUNTIF(F225,$F$1&amp;$F$2)&amp;COUNTIF(G225,$G$1&amp;$G$2),PARAMETROS!$K$26:$L$30,2,0))</f>
        <v>Entra por Criterio de Dependencia y Percentil</v>
      </c>
      <c r="I225" s="96">
        <f>+COEFyDISTR_FET!AA230</f>
        <v>1.99100378685E-3</v>
      </c>
      <c r="J225" s="97">
        <f t="shared" si="24"/>
        <v>10207</v>
      </c>
      <c r="K225" s="97">
        <f t="shared" si="25"/>
        <v>10403</v>
      </c>
      <c r="L225" t="str">
        <f t="shared" si="26"/>
        <v>QUEILÉN</v>
      </c>
      <c r="M225" t="str">
        <f t="shared" si="27"/>
        <v>Entra por Criterio de Dependencia y Percentil</v>
      </c>
      <c r="N225" s="97">
        <f t="shared" si="28"/>
        <v>10207</v>
      </c>
      <c r="O225" s="97">
        <f t="shared" si="29"/>
        <v>10403</v>
      </c>
      <c r="P225" t="str">
        <f t="shared" si="30"/>
        <v>QUEILÉN</v>
      </c>
      <c r="Q225" s="96">
        <f t="shared" si="31"/>
        <v>1.99100378685E-3</v>
      </c>
      <c r="R225" s="96"/>
      <c r="S225">
        <f>+COEFyDISTR_MINERO!A230</f>
        <v>10207</v>
      </c>
      <c r="T225">
        <f>+COEFyDISTR_MINERO!B230</f>
        <v>10403</v>
      </c>
      <c r="U225" t="str">
        <f>+COEFyDISTR_MINERO!C230</f>
        <v>QUEILÉN</v>
      </c>
      <c r="V225" s="96">
        <f>+COEFyDISTR_MINERO!X230</f>
        <v>0</v>
      </c>
      <c r="W225" s="6" t="str">
        <f>+COEFyDISTR_MINERO!D230</f>
        <v>No</v>
      </c>
      <c r="X225" s="96"/>
      <c r="Y225" s="96"/>
      <c r="Z225" s="1">
        <v>11201</v>
      </c>
      <c r="AA225" s="1">
        <v>11101</v>
      </c>
      <c r="AB225" s="1" t="str">
        <v>AYSÉN</v>
      </c>
      <c r="AC225" s="1" t="str">
        <v>Entra por Criterio de Dependencia y Percentil</v>
      </c>
      <c r="AF225" s="1">
        <v>11201</v>
      </c>
      <c r="AG225" s="1">
        <v>11101</v>
      </c>
      <c r="AH225" s="1" t="str">
        <v>AYSÉN</v>
      </c>
      <c r="AI225" s="405">
        <v>2.3898369867500001E-3</v>
      </c>
    </row>
    <row r="226" spans="1:35" ht="3" customHeight="1" x14ac:dyDescent="0.25">
      <c r="A226" s="5">
        <f>+COEFyDISTR_FET!A231</f>
        <v>10208</v>
      </c>
      <c r="B226" s="5">
        <f>+COEFyDISTR_FET!B231</f>
        <v>10404</v>
      </c>
      <c r="C226" t="str">
        <f>+COEFyDISTR_FET!C231</f>
        <v>QUELLÓN</v>
      </c>
      <c r="D226" s="31">
        <f>+COEFyDISTR_FET!D231</f>
        <v>2530930</v>
      </c>
      <c r="E226" s="31">
        <f>+COEFyDISTR_FET!E231</f>
        <v>4913489.5199999996</v>
      </c>
      <c r="F226" s="403">
        <f>+COEFyDISTR_FET!G231</f>
        <v>0.47199999999999998</v>
      </c>
      <c r="G226" s="403">
        <f>+COEFyDISTR_FET!H231</f>
        <v>0.66</v>
      </c>
      <c r="H226" s="402" t="str">
        <f>IF(D226=0,$A$2,VLOOKUP(COUNTIF(F226,$F$1&amp;$F$2)&amp;COUNTIF(G226,$G$1&amp;$G$2),PARAMETROS!$K$26:$L$30,2,0))</f>
        <v>Entra por Criterio de Dependencia y Percentil</v>
      </c>
      <c r="I226" s="96">
        <f>+COEFyDISTR_FET!AA231</f>
        <v>3.0272202907500002E-3</v>
      </c>
      <c r="J226" s="97">
        <f t="shared" si="24"/>
        <v>10208</v>
      </c>
      <c r="K226" s="97">
        <f t="shared" si="25"/>
        <v>10404</v>
      </c>
      <c r="L226" t="str">
        <f t="shared" si="26"/>
        <v>QUELLÓN</v>
      </c>
      <c r="M226" t="str">
        <f t="shared" si="27"/>
        <v>Entra por Criterio de Dependencia y Percentil</v>
      </c>
      <c r="N226" s="97">
        <f t="shared" si="28"/>
        <v>10208</v>
      </c>
      <c r="O226" s="97">
        <f t="shared" si="29"/>
        <v>10404</v>
      </c>
      <c r="P226" t="str">
        <f t="shared" si="30"/>
        <v>QUELLÓN</v>
      </c>
      <c r="Q226" s="96">
        <f t="shared" si="31"/>
        <v>3.0272202907500002E-3</v>
      </c>
      <c r="R226" s="96"/>
      <c r="S226">
        <f>+COEFyDISTR_MINERO!A231</f>
        <v>10208</v>
      </c>
      <c r="T226">
        <f>+COEFyDISTR_MINERO!B231</f>
        <v>10404</v>
      </c>
      <c r="U226" t="str">
        <f>+COEFyDISTR_MINERO!C231</f>
        <v>QUELLÓN</v>
      </c>
      <c r="V226" s="96">
        <f>+COEFyDISTR_MINERO!X231</f>
        <v>0</v>
      </c>
      <c r="W226" s="6" t="str">
        <f>+COEFyDISTR_MINERO!D231</f>
        <v>No</v>
      </c>
      <c r="X226" s="96"/>
      <c r="Y226" s="96"/>
      <c r="Z226" s="1">
        <v>11202</v>
      </c>
      <c r="AA226" s="1">
        <v>11102</v>
      </c>
      <c r="AB226" s="1" t="str">
        <v>CISNES</v>
      </c>
      <c r="AC226" s="1" t="str">
        <v>Entra por Criterio de Percentil</v>
      </c>
      <c r="AF226" s="1">
        <v>11202</v>
      </c>
      <c r="AG226" s="1">
        <v>11102</v>
      </c>
      <c r="AH226" s="1" t="str">
        <v>CISNES</v>
      </c>
      <c r="AI226" s="405">
        <v>1.88233599525E-3</v>
      </c>
    </row>
    <row r="227" spans="1:35" ht="3" customHeight="1" x14ac:dyDescent="0.25">
      <c r="A227" s="5">
        <f>+COEFyDISTR_FET!A232</f>
        <v>10209</v>
      </c>
      <c r="B227" s="5">
        <f>+COEFyDISTR_FET!B232</f>
        <v>10407</v>
      </c>
      <c r="C227" t="str">
        <f>+COEFyDISTR_FET!C232</f>
        <v>QUEMCHI</v>
      </c>
      <c r="D227" s="31">
        <f>+COEFyDISTR_FET!D232</f>
        <v>1177637</v>
      </c>
      <c r="E227" s="31">
        <f>+COEFyDISTR_FET!E232</f>
        <v>3356810.9679999999</v>
      </c>
      <c r="F227" s="403">
        <f>+COEFyDISTR_FET!G232</f>
        <v>0.22600000000000001</v>
      </c>
      <c r="G227" s="403">
        <f>+COEFyDISTR_FET!H232</f>
        <v>0.74029999999999996</v>
      </c>
      <c r="H227" s="402" t="str">
        <f>IF(D227=0,$A$2,VLOOKUP(COUNTIF(F227,$F$1&amp;$F$2)&amp;COUNTIF(G227,$G$1&amp;$G$2),PARAMETROS!$K$26:$L$30,2,0))</f>
        <v>Entra por Criterio de Dependencia y Percentil</v>
      </c>
      <c r="I227" s="96">
        <f>+COEFyDISTR_FET!AA232</f>
        <v>2.06771554495E-3</v>
      </c>
      <c r="J227" s="97">
        <f t="shared" si="24"/>
        <v>10209</v>
      </c>
      <c r="K227" s="97">
        <f t="shared" si="25"/>
        <v>10407</v>
      </c>
      <c r="L227" t="str">
        <f t="shared" si="26"/>
        <v>QUEMCHI</v>
      </c>
      <c r="M227" t="str">
        <f t="shared" si="27"/>
        <v>Entra por Criterio de Dependencia y Percentil</v>
      </c>
      <c r="N227" s="97">
        <f t="shared" si="28"/>
        <v>10209</v>
      </c>
      <c r="O227" s="97">
        <f t="shared" si="29"/>
        <v>10407</v>
      </c>
      <c r="P227" t="str">
        <f t="shared" si="30"/>
        <v>QUEMCHI</v>
      </c>
      <c r="Q227" s="96">
        <f t="shared" si="31"/>
        <v>2.06771554495E-3</v>
      </c>
      <c r="R227" s="96"/>
      <c r="S227">
        <f>+COEFyDISTR_MINERO!A232</f>
        <v>10209</v>
      </c>
      <c r="T227">
        <f>+COEFyDISTR_MINERO!B232</f>
        <v>10407</v>
      </c>
      <c r="U227" t="str">
        <f>+COEFyDISTR_MINERO!C232</f>
        <v>QUEMCHI</v>
      </c>
      <c r="V227" s="96">
        <f>+COEFyDISTR_MINERO!X232</f>
        <v>0</v>
      </c>
      <c r="W227" s="6" t="str">
        <f>+COEFyDISTR_MINERO!D232</f>
        <v>No</v>
      </c>
      <c r="X227" s="96"/>
      <c r="Y227" s="96"/>
      <c r="Z227" s="1">
        <v>11203</v>
      </c>
      <c r="AA227" s="1">
        <v>11104</v>
      </c>
      <c r="AB227" s="1" t="str">
        <v>GUAITECAS</v>
      </c>
      <c r="AC227" s="1" t="str">
        <v>Entra por Criterio de Dependencia y Percentil</v>
      </c>
      <c r="AF227" s="1">
        <v>11203</v>
      </c>
      <c r="AG227" s="1">
        <v>11104</v>
      </c>
      <c r="AH227" s="1" t="str">
        <v>GUAITECAS</v>
      </c>
      <c r="AI227" s="405">
        <v>1.70559925745E-3</v>
      </c>
    </row>
    <row r="228" spans="1:35" ht="3" customHeight="1" x14ac:dyDescent="0.25">
      <c r="A228" s="5">
        <f>+COEFyDISTR_FET!A233</f>
        <v>10210</v>
      </c>
      <c r="B228" s="5">
        <f>+COEFyDISTR_FET!B233</f>
        <v>10415</v>
      </c>
      <c r="C228" t="str">
        <f>+COEFyDISTR_FET!C233</f>
        <v>QUINCHAO</v>
      </c>
      <c r="D228" s="31">
        <f>+COEFyDISTR_FET!D233</f>
        <v>1020152</v>
      </c>
      <c r="E228" s="31">
        <f>+COEFyDISTR_FET!E233</f>
        <v>3284617.872</v>
      </c>
      <c r="F228" s="403">
        <f>+COEFyDISTR_FET!G233</f>
        <v>0.2</v>
      </c>
      <c r="G228" s="403">
        <f>+COEFyDISTR_FET!H233</f>
        <v>0.76300000000000001</v>
      </c>
      <c r="H228" s="402" t="str">
        <f>IF(D228=0,$A$2,VLOOKUP(COUNTIF(F228,$F$1&amp;$F$2)&amp;COUNTIF(G228,$G$1&amp;$G$2),PARAMETROS!$K$26:$L$30,2,0))</f>
        <v>Entra por Criterio de Dependencia y Percentil</v>
      </c>
      <c r="I228" s="96">
        <f>+COEFyDISTR_FET!AA233</f>
        <v>2.1368130163499999E-3</v>
      </c>
      <c r="J228" s="97">
        <f t="shared" si="24"/>
        <v>10210</v>
      </c>
      <c r="K228" s="97">
        <f t="shared" si="25"/>
        <v>10415</v>
      </c>
      <c r="L228" t="str">
        <f t="shared" si="26"/>
        <v>QUINCHAO</v>
      </c>
      <c r="M228" t="str">
        <f t="shared" si="27"/>
        <v>Entra por Criterio de Dependencia y Percentil</v>
      </c>
      <c r="N228" s="97">
        <f t="shared" si="28"/>
        <v>10210</v>
      </c>
      <c r="O228" s="97">
        <f t="shared" si="29"/>
        <v>10415</v>
      </c>
      <c r="P228" t="str">
        <f t="shared" si="30"/>
        <v>QUINCHAO</v>
      </c>
      <c r="Q228" s="96">
        <f t="shared" si="31"/>
        <v>2.1368130163499999E-3</v>
      </c>
      <c r="R228" s="96"/>
      <c r="S228">
        <f>+COEFyDISTR_MINERO!A233</f>
        <v>10210</v>
      </c>
      <c r="T228">
        <f>+COEFyDISTR_MINERO!B233</f>
        <v>10415</v>
      </c>
      <c r="U228" t="str">
        <f>+COEFyDISTR_MINERO!C233</f>
        <v>QUINCHAO</v>
      </c>
      <c r="V228" s="96">
        <f>+COEFyDISTR_MINERO!X233</f>
        <v>0</v>
      </c>
      <c r="W228" s="6" t="str">
        <f>+COEFyDISTR_MINERO!D233</f>
        <v>No</v>
      </c>
      <c r="X228" s="96"/>
      <c r="Y228" s="96"/>
      <c r="Z228" s="1">
        <v>11301</v>
      </c>
      <c r="AA228" s="1">
        <v>11301</v>
      </c>
      <c r="AB228" s="1" t="str">
        <v>COCHRANE</v>
      </c>
      <c r="AC228" s="1" t="str">
        <v>Entra por Criterio de Dependencia y Percentil</v>
      </c>
      <c r="AF228" s="1">
        <v>11301</v>
      </c>
      <c r="AG228" s="1">
        <v>11301</v>
      </c>
      <c r="AH228" s="1" t="str">
        <v>COCHRANE</v>
      </c>
      <c r="AI228" s="405">
        <v>1.7697950382500002E-3</v>
      </c>
    </row>
    <row r="229" spans="1:35" ht="3" customHeight="1" x14ac:dyDescent="0.25">
      <c r="A229" s="5">
        <f>+COEFyDISTR_FET!A234</f>
        <v>10301</v>
      </c>
      <c r="B229" s="5">
        <f>+COEFyDISTR_FET!B234</f>
        <v>10201</v>
      </c>
      <c r="C229" t="str">
        <f>+COEFyDISTR_FET!C234</f>
        <v>OSORNO</v>
      </c>
      <c r="D229" s="31">
        <f>+COEFyDISTR_FET!D234</f>
        <v>24577846</v>
      </c>
      <c r="E229" s="31">
        <f>+COEFyDISTR_FET!E234</f>
        <v>15109015.566</v>
      </c>
      <c r="F229" s="403">
        <f>+COEFyDISTR_FET!G234</f>
        <v>0.90700000000000003</v>
      </c>
      <c r="G229" s="403">
        <f>+COEFyDISTR_FET!H234</f>
        <v>0.38069999999999998</v>
      </c>
      <c r="H229" s="402" t="str">
        <f>IF(D229=0,$A$2,VLOOKUP(COUNTIF(F229,$F$1&amp;$F$2)&amp;COUNTIF(G229,$G$1&amp;$G$2),PARAMETROS!$K$26:$L$30,2,0))</f>
        <v>Sin Acceso</v>
      </c>
      <c r="I229" s="96">
        <f>+COEFyDISTR_FET!AA234</f>
        <v>0</v>
      </c>
      <c r="J229" s="97">
        <f t="shared" si="24"/>
        <v>10301</v>
      </c>
      <c r="K229" s="97">
        <f t="shared" si="25"/>
        <v>10201</v>
      </c>
      <c r="L229" t="str">
        <f t="shared" si="26"/>
        <v>OSORNO</v>
      </c>
      <c r="M229" t="str">
        <f t="shared" si="27"/>
        <v>Sin Acceso</v>
      </c>
      <c r="N229" s="97">
        <f t="shared" si="28"/>
        <v>10301</v>
      </c>
      <c r="O229" s="97">
        <f t="shared" si="29"/>
        <v>10201</v>
      </c>
      <c r="P229" t="str">
        <f t="shared" si="30"/>
        <v>OSORNO</v>
      </c>
      <c r="Q229" s="96">
        <f t="shared" si="31"/>
        <v>0</v>
      </c>
      <c r="R229" s="96"/>
      <c r="S229">
        <f>+COEFyDISTR_MINERO!A234</f>
        <v>10301</v>
      </c>
      <c r="T229">
        <f>+COEFyDISTR_MINERO!B234</f>
        <v>10201</v>
      </c>
      <c r="U229" t="str">
        <f>+COEFyDISTR_MINERO!C234</f>
        <v>OSORNO</v>
      </c>
      <c r="V229" s="96">
        <f>+COEFyDISTR_MINERO!X234</f>
        <v>0</v>
      </c>
      <c r="W229" s="6" t="str">
        <f>+COEFyDISTR_MINERO!D234</f>
        <v>No</v>
      </c>
      <c r="X229" s="96"/>
      <c r="Y229" s="96"/>
      <c r="Z229" s="1">
        <v>11302</v>
      </c>
      <c r="AA229" s="1">
        <v>11302</v>
      </c>
      <c r="AB229" s="1" t="str">
        <v>O’HIGGINS</v>
      </c>
      <c r="AC229" s="1" t="str">
        <v>Entra por Criterio de Dependencia y Percentil</v>
      </c>
      <c r="AF229" s="1">
        <v>11302</v>
      </c>
      <c r="AG229" s="1">
        <v>11302</v>
      </c>
      <c r="AH229" s="1" t="str">
        <v>O’HIGGINS</v>
      </c>
      <c r="AI229" s="405">
        <v>1.6810559540500001E-3</v>
      </c>
    </row>
    <row r="230" spans="1:35" ht="3" customHeight="1" x14ac:dyDescent="0.25">
      <c r="A230" s="5">
        <f>+COEFyDISTR_FET!A235</f>
        <v>10302</v>
      </c>
      <c r="B230" s="5">
        <f>+COEFyDISTR_FET!B235</f>
        <v>10203</v>
      </c>
      <c r="C230" t="str">
        <f>+COEFyDISTR_FET!C235</f>
        <v>PUERTO OCTAY</v>
      </c>
      <c r="D230" s="31">
        <f>+COEFyDISTR_FET!D235</f>
        <v>1560277</v>
      </c>
      <c r="E230" s="31">
        <f>+COEFyDISTR_FET!E235</f>
        <v>2178283.8739999998</v>
      </c>
      <c r="F230" s="403">
        <f>+COEFyDISTR_FET!G235</f>
        <v>0.127</v>
      </c>
      <c r="G230" s="403">
        <f>+COEFyDISTR_FET!H235</f>
        <v>0.5827</v>
      </c>
      <c r="H230" s="402" t="str">
        <f>IF(D230=0,$A$2,VLOOKUP(COUNTIF(F230,$F$1&amp;$F$2)&amp;COUNTIF(G230,$G$1&amp;$G$2),PARAMETROS!$K$26:$L$30,2,0))</f>
        <v>Entra por Criterio de Dependencia y Percentil</v>
      </c>
      <c r="I230" s="96">
        <f>+COEFyDISTR_FET!AA235</f>
        <v>1.8333482413500002E-3</v>
      </c>
      <c r="J230" s="97">
        <f t="shared" si="24"/>
        <v>10302</v>
      </c>
      <c r="K230" s="97">
        <f t="shared" si="25"/>
        <v>10203</v>
      </c>
      <c r="L230" t="str">
        <f t="shared" si="26"/>
        <v>PUERTO OCTAY</v>
      </c>
      <c r="M230" t="str">
        <f t="shared" si="27"/>
        <v>Entra por Criterio de Dependencia y Percentil</v>
      </c>
      <c r="N230" s="97">
        <f t="shared" si="28"/>
        <v>10302</v>
      </c>
      <c r="O230" s="97">
        <f t="shared" si="29"/>
        <v>10203</v>
      </c>
      <c r="P230" t="str">
        <f t="shared" si="30"/>
        <v>PUERTO OCTAY</v>
      </c>
      <c r="Q230" s="96">
        <f t="shared" si="31"/>
        <v>1.8333482413500002E-3</v>
      </c>
      <c r="R230" s="96"/>
      <c r="S230">
        <f>+COEFyDISTR_MINERO!A235</f>
        <v>10302</v>
      </c>
      <c r="T230">
        <f>+COEFyDISTR_MINERO!B235</f>
        <v>10203</v>
      </c>
      <c r="U230" t="str">
        <f>+COEFyDISTR_MINERO!C235</f>
        <v>PUERTO OCTAY</v>
      </c>
      <c r="V230" s="96">
        <f>+COEFyDISTR_MINERO!X235</f>
        <v>0</v>
      </c>
      <c r="W230" s="6" t="str">
        <f>+COEFyDISTR_MINERO!D235</f>
        <v>No</v>
      </c>
      <c r="X230" s="96"/>
      <c r="Y230" s="96"/>
      <c r="Z230" s="1">
        <v>11303</v>
      </c>
      <c r="AA230" s="1">
        <v>11303</v>
      </c>
      <c r="AB230" s="1" t="str">
        <v>TORTEL</v>
      </c>
      <c r="AC230" s="1" t="str">
        <v>Entra por Criterio de Dependencia y Percentil</v>
      </c>
      <c r="AF230" s="1">
        <v>11303</v>
      </c>
      <c r="AG230" s="1">
        <v>11303</v>
      </c>
      <c r="AH230" s="1" t="str">
        <v>TORTEL</v>
      </c>
      <c r="AI230" s="405">
        <v>1.67789256065E-3</v>
      </c>
    </row>
    <row r="231" spans="1:35" ht="3" customHeight="1" x14ac:dyDescent="0.25">
      <c r="A231" s="5">
        <f>+COEFyDISTR_FET!A236</f>
        <v>10303</v>
      </c>
      <c r="B231" s="5">
        <f>+COEFyDISTR_FET!B236</f>
        <v>10206</v>
      </c>
      <c r="C231" t="str">
        <f>+COEFyDISTR_FET!C236</f>
        <v>PURRANQUE</v>
      </c>
      <c r="D231" s="31">
        <f>+COEFyDISTR_FET!D236</f>
        <v>2511572</v>
      </c>
      <c r="E231" s="31">
        <f>+COEFyDISTR_FET!E236</f>
        <v>3737107.45</v>
      </c>
      <c r="F231" s="403">
        <f>+COEFyDISTR_FET!G236</f>
        <v>0.42299999999999999</v>
      </c>
      <c r="G231" s="403">
        <f>+COEFyDISTR_FET!H236</f>
        <v>0.59809999999999997</v>
      </c>
      <c r="H231" s="402" t="str">
        <f>IF(D231=0,$A$2,VLOOKUP(COUNTIF(F231,$F$1&amp;$F$2)&amp;COUNTIF(G231,$G$1&amp;$G$2),PARAMETROS!$K$26:$L$30,2,0))</f>
        <v>Entra por Criterio de Dependencia y Percentil</v>
      </c>
      <c r="I231" s="96">
        <f>+COEFyDISTR_FET!AA236</f>
        <v>2.2403834923500001E-3</v>
      </c>
      <c r="J231" s="97">
        <f t="shared" si="24"/>
        <v>10303</v>
      </c>
      <c r="K231" s="97">
        <f t="shared" si="25"/>
        <v>10206</v>
      </c>
      <c r="L231" t="str">
        <f t="shared" si="26"/>
        <v>PURRANQUE</v>
      </c>
      <c r="M231" t="str">
        <f t="shared" si="27"/>
        <v>Entra por Criterio de Dependencia y Percentil</v>
      </c>
      <c r="N231" s="97">
        <f t="shared" si="28"/>
        <v>10303</v>
      </c>
      <c r="O231" s="97">
        <f t="shared" si="29"/>
        <v>10206</v>
      </c>
      <c r="P231" t="str">
        <f t="shared" si="30"/>
        <v>PURRANQUE</v>
      </c>
      <c r="Q231" s="96">
        <f t="shared" si="31"/>
        <v>2.2403834923500001E-3</v>
      </c>
      <c r="R231" s="96"/>
      <c r="S231">
        <f>+COEFyDISTR_MINERO!A236</f>
        <v>10303</v>
      </c>
      <c r="T231">
        <f>+COEFyDISTR_MINERO!B236</f>
        <v>10206</v>
      </c>
      <c r="U231" t="str">
        <f>+COEFyDISTR_MINERO!C236</f>
        <v>PURRANQUE</v>
      </c>
      <c r="V231" s="96">
        <f>+COEFyDISTR_MINERO!X236</f>
        <v>0</v>
      </c>
      <c r="W231" s="6" t="str">
        <f>+COEFyDISTR_MINERO!D236</f>
        <v>No</v>
      </c>
      <c r="X231" s="96"/>
      <c r="Y231" s="96"/>
      <c r="Z231" s="1">
        <v>11401</v>
      </c>
      <c r="AA231" s="1">
        <v>11201</v>
      </c>
      <c r="AB231" s="1" t="str">
        <v>CHILE CHICO</v>
      </c>
      <c r="AC231" s="1" t="str">
        <v>Entra por Criterio de Dependencia y Percentil</v>
      </c>
      <c r="AF231" s="1">
        <v>11401</v>
      </c>
      <c r="AG231" s="1">
        <v>11201</v>
      </c>
      <c r="AH231" s="1" t="str">
        <v>CHILE CHICO</v>
      </c>
      <c r="AI231" s="405">
        <v>1.8242827503500002E-3</v>
      </c>
    </row>
    <row r="232" spans="1:35" ht="3" customHeight="1" x14ac:dyDescent="0.25">
      <c r="A232" s="5">
        <f>+COEFyDISTR_FET!A237</f>
        <v>10304</v>
      </c>
      <c r="B232" s="5">
        <f>+COEFyDISTR_FET!B237</f>
        <v>10204</v>
      </c>
      <c r="C232" t="str">
        <f>+COEFyDISTR_FET!C237</f>
        <v>PUYEHUE</v>
      </c>
      <c r="D232" s="31">
        <f>+COEFyDISTR_FET!D237</f>
        <v>1840300</v>
      </c>
      <c r="E232" s="31">
        <f>+COEFyDISTR_FET!E237</f>
        <v>2410976.3859999999</v>
      </c>
      <c r="F232" s="403">
        <f>+COEFyDISTR_FET!G237</f>
        <v>0.191</v>
      </c>
      <c r="G232" s="403">
        <f>+COEFyDISTR_FET!H237</f>
        <v>0.56710000000000005</v>
      </c>
      <c r="H232" s="402" t="str">
        <f>IF(D232=0,$A$2,VLOOKUP(COUNTIF(F232,$F$1&amp;$F$2)&amp;COUNTIF(G232,$G$1&amp;$G$2),PARAMETROS!$K$26:$L$30,2,0))</f>
        <v>Entra por Criterio de Dependencia y Percentil</v>
      </c>
      <c r="I232" s="96">
        <f>+COEFyDISTR_FET!AA237</f>
        <v>1.9724173689500001E-3</v>
      </c>
      <c r="J232" s="97">
        <f t="shared" si="24"/>
        <v>10304</v>
      </c>
      <c r="K232" s="97">
        <f t="shared" si="25"/>
        <v>10204</v>
      </c>
      <c r="L232" t="str">
        <f t="shared" si="26"/>
        <v>PUYEHUE</v>
      </c>
      <c r="M232" t="str">
        <f t="shared" si="27"/>
        <v>Entra por Criterio de Dependencia y Percentil</v>
      </c>
      <c r="N232" s="97">
        <f t="shared" si="28"/>
        <v>10304</v>
      </c>
      <c r="O232" s="97">
        <f t="shared" si="29"/>
        <v>10204</v>
      </c>
      <c r="P232" t="str">
        <f t="shared" si="30"/>
        <v>PUYEHUE</v>
      </c>
      <c r="Q232" s="96">
        <f t="shared" si="31"/>
        <v>1.9724173689500001E-3</v>
      </c>
      <c r="R232" s="96"/>
      <c r="S232">
        <f>+COEFyDISTR_MINERO!A237</f>
        <v>10304</v>
      </c>
      <c r="T232">
        <f>+COEFyDISTR_MINERO!B237</f>
        <v>10204</v>
      </c>
      <c r="U232" t="str">
        <f>+COEFyDISTR_MINERO!C237</f>
        <v>PUYEHUE</v>
      </c>
      <c r="V232" s="96">
        <f>+COEFyDISTR_MINERO!X237</f>
        <v>0</v>
      </c>
      <c r="W232" s="6" t="str">
        <f>+COEFyDISTR_MINERO!D237</f>
        <v>No</v>
      </c>
      <c r="X232" s="96"/>
      <c r="Y232" s="96"/>
      <c r="Z232" s="1">
        <v>11402</v>
      </c>
      <c r="AA232" s="1">
        <v>11203</v>
      </c>
      <c r="AB232" s="1" t="str">
        <v>RÍO IBÁÑEZ</v>
      </c>
      <c r="AC232" s="1" t="str">
        <v>Entra por Criterio de Dependencia y Percentil</v>
      </c>
      <c r="AF232" s="1">
        <v>11402</v>
      </c>
      <c r="AG232" s="1">
        <v>11203</v>
      </c>
      <c r="AH232" s="1" t="str">
        <v>RÍO IBÁÑEZ</v>
      </c>
      <c r="AI232" s="405">
        <v>1.7945440940500001E-3</v>
      </c>
    </row>
    <row r="233" spans="1:35" ht="3" customHeight="1" x14ac:dyDescent="0.25">
      <c r="A233" s="5">
        <f>+COEFyDISTR_FET!A238</f>
        <v>10305</v>
      </c>
      <c r="B233" s="5">
        <f>+COEFyDISTR_FET!B238</f>
        <v>10205</v>
      </c>
      <c r="C233" t="str">
        <f>+COEFyDISTR_FET!C238</f>
        <v>RÍO NEGRO</v>
      </c>
      <c r="D233" s="31">
        <f>+COEFyDISTR_FET!D238</f>
        <v>1366004</v>
      </c>
      <c r="E233" s="31">
        <f>+COEFyDISTR_FET!E238</f>
        <v>3155268.9559999998</v>
      </c>
      <c r="F233" s="403">
        <f>+COEFyDISTR_FET!G238</f>
        <v>0.22</v>
      </c>
      <c r="G233" s="403">
        <f>+COEFyDISTR_FET!H238</f>
        <v>0.69789999999999996</v>
      </c>
      <c r="H233" s="402" t="str">
        <f>IF(D233=0,$A$2,VLOOKUP(COUNTIF(F233,$F$1&amp;$F$2)&amp;COUNTIF(G233,$G$1&amp;$G$2),PARAMETROS!$K$26:$L$30,2,0))</f>
        <v>Entra por Criterio de Dependencia y Percentil</v>
      </c>
      <c r="I233" s="96">
        <f>+COEFyDISTR_FET!AA238</f>
        <v>2.1694919308499999E-3</v>
      </c>
      <c r="J233" s="97">
        <f t="shared" si="24"/>
        <v>10305</v>
      </c>
      <c r="K233" s="97">
        <f t="shared" si="25"/>
        <v>10205</v>
      </c>
      <c r="L233" t="str">
        <f t="shared" si="26"/>
        <v>RÍO NEGRO</v>
      </c>
      <c r="M233" t="str">
        <f t="shared" si="27"/>
        <v>Entra por Criterio de Dependencia y Percentil</v>
      </c>
      <c r="N233" s="97">
        <f t="shared" si="28"/>
        <v>10305</v>
      </c>
      <c r="O233" s="97">
        <f t="shared" si="29"/>
        <v>10205</v>
      </c>
      <c r="P233" t="str">
        <f t="shared" si="30"/>
        <v>RÍO NEGRO</v>
      </c>
      <c r="Q233" s="96">
        <f t="shared" si="31"/>
        <v>2.1694919308499999E-3</v>
      </c>
      <c r="R233" s="96"/>
      <c r="S233">
        <f>+COEFyDISTR_MINERO!A238</f>
        <v>10305</v>
      </c>
      <c r="T233">
        <f>+COEFyDISTR_MINERO!B238</f>
        <v>10205</v>
      </c>
      <c r="U233" t="str">
        <f>+COEFyDISTR_MINERO!C238</f>
        <v>RÍO NEGRO</v>
      </c>
      <c r="V233" s="96">
        <f>+COEFyDISTR_MINERO!X238</f>
        <v>0</v>
      </c>
      <c r="W233" s="6" t="str">
        <f>+COEFyDISTR_MINERO!D238</f>
        <v>No</v>
      </c>
      <c r="X233" s="96"/>
      <c r="Y233" s="96"/>
      <c r="Z233" s="1">
        <v>12102</v>
      </c>
      <c r="AA233" s="1">
        <v>12206</v>
      </c>
      <c r="AB233" s="1" t="str">
        <v>LAGUNA BLANCA</v>
      </c>
      <c r="AC233" s="1" t="str">
        <v>Entra por Criterio de Dependencia y Percentil</v>
      </c>
      <c r="AF233" s="1">
        <v>12102</v>
      </c>
      <c r="AG233" s="1">
        <v>12206</v>
      </c>
      <c r="AH233" s="1" t="str">
        <v>LAGUNA BLANCA</v>
      </c>
      <c r="AI233" s="405">
        <v>1.6593555388500002E-3</v>
      </c>
    </row>
    <row r="234" spans="1:35" ht="3" customHeight="1" x14ac:dyDescent="0.25">
      <c r="A234" s="5">
        <f>+COEFyDISTR_FET!A239</f>
        <v>10306</v>
      </c>
      <c r="B234" s="5">
        <f>+COEFyDISTR_FET!B239</f>
        <v>10207</v>
      </c>
      <c r="C234" t="str">
        <f>+COEFyDISTR_FET!C239</f>
        <v>SAN JUAN DE LA COSTA</v>
      </c>
      <c r="D234" s="31">
        <f>+COEFyDISTR_FET!D239</f>
        <v>432192</v>
      </c>
      <c r="E234" s="31">
        <f>+COEFyDISTR_FET!E239</f>
        <v>4595491.26</v>
      </c>
      <c r="F234" s="403">
        <f>+COEFyDISTR_FET!G239</f>
        <v>0.28100000000000003</v>
      </c>
      <c r="G234" s="403">
        <f>+COEFyDISTR_FET!H239</f>
        <v>0.91400000000000003</v>
      </c>
      <c r="H234" s="402" t="str">
        <f>IF(D234=0,$A$2,VLOOKUP(COUNTIF(F234,$F$1&amp;$F$2)&amp;COUNTIF(G234,$G$1&amp;$G$2),PARAMETROS!$K$26:$L$30,2,0))</f>
        <v>Entra por Criterio de Dependencia y Percentil</v>
      </c>
      <c r="I234" s="96">
        <f>+COEFyDISTR_FET!AA239</f>
        <v>2.3758221206500005E-3</v>
      </c>
      <c r="J234" s="97">
        <f t="shared" si="24"/>
        <v>10306</v>
      </c>
      <c r="K234" s="97">
        <f t="shared" si="25"/>
        <v>10207</v>
      </c>
      <c r="L234" t="str">
        <f t="shared" si="26"/>
        <v>SAN JUAN DE LA COSTA</v>
      </c>
      <c r="M234" t="str">
        <f t="shared" si="27"/>
        <v>Entra por Criterio de Dependencia y Percentil</v>
      </c>
      <c r="N234" s="97">
        <f t="shared" si="28"/>
        <v>10306</v>
      </c>
      <c r="O234" s="97">
        <f t="shared" si="29"/>
        <v>10207</v>
      </c>
      <c r="P234" t="str">
        <f t="shared" si="30"/>
        <v>SAN JUAN DE LA COSTA</v>
      </c>
      <c r="Q234" s="96">
        <f t="shared" si="31"/>
        <v>2.3758221206500005E-3</v>
      </c>
      <c r="R234" s="96"/>
      <c r="S234">
        <f>+COEFyDISTR_MINERO!A239</f>
        <v>10306</v>
      </c>
      <c r="T234">
        <f>+COEFyDISTR_MINERO!B239</f>
        <v>10207</v>
      </c>
      <c r="U234" t="str">
        <f>+COEFyDISTR_MINERO!C239</f>
        <v>SAN JUAN DE LA COSTA</v>
      </c>
      <c r="V234" s="96">
        <f>+COEFyDISTR_MINERO!X239</f>
        <v>0</v>
      </c>
      <c r="W234" s="6" t="str">
        <f>+COEFyDISTR_MINERO!D239</f>
        <v>No</v>
      </c>
      <c r="X234" s="96"/>
      <c r="Y234" s="96"/>
      <c r="Z234" s="1">
        <v>12103</v>
      </c>
      <c r="AA234" s="1">
        <v>12202</v>
      </c>
      <c r="AB234" s="1" t="str">
        <v>RÍO VERDE</v>
      </c>
      <c r="AC234" s="1" t="str">
        <v>Entra por Criterio de Dependencia y Percentil</v>
      </c>
      <c r="AF234" s="1">
        <v>12103</v>
      </c>
      <c r="AG234" s="1">
        <v>12202</v>
      </c>
      <c r="AH234" s="1" t="str">
        <v>RÍO VERDE</v>
      </c>
      <c r="AI234" s="405">
        <v>1.6586605302500001E-3</v>
      </c>
    </row>
    <row r="235" spans="1:35" ht="3" customHeight="1" x14ac:dyDescent="0.25">
      <c r="A235" s="5">
        <f>+COEFyDISTR_FET!A240</f>
        <v>10307</v>
      </c>
      <c r="B235" s="5">
        <f>+COEFyDISTR_FET!B240</f>
        <v>10202</v>
      </c>
      <c r="C235" t="str">
        <f>+COEFyDISTR_FET!C240</f>
        <v>SAN PABLO</v>
      </c>
      <c r="D235" s="31">
        <f>+COEFyDISTR_FET!D240</f>
        <v>1188153</v>
      </c>
      <c r="E235" s="31">
        <f>+COEFyDISTR_FET!E240</f>
        <v>2635668.6439999999</v>
      </c>
      <c r="F235" s="403">
        <f>+COEFyDISTR_FET!G240</f>
        <v>0.13300000000000001</v>
      </c>
      <c r="G235" s="403">
        <f>+COEFyDISTR_FET!H240</f>
        <v>0.68930000000000002</v>
      </c>
      <c r="H235" s="402" t="str">
        <f>IF(D235=0,$A$2,VLOOKUP(COUNTIF(F235,$F$1&amp;$F$2)&amp;COUNTIF(G235,$G$1&amp;$G$2),PARAMETROS!$K$26:$L$30,2,0))</f>
        <v>Entra por Criterio de Dependencia y Percentil</v>
      </c>
      <c r="I235" s="96">
        <f>+COEFyDISTR_FET!AA240</f>
        <v>2.04666254525E-3</v>
      </c>
      <c r="J235" s="97">
        <f t="shared" si="24"/>
        <v>10307</v>
      </c>
      <c r="K235" s="97">
        <f t="shared" si="25"/>
        <v>10202</v>
      </c>
      <c r="L235" t="str">
        <f t="shared" si="26"/>
        <v>SAN PABLO</v>
      </c>
      <c r="M235" t="str">
        <f t="shared" si="27"/>
        <v>Entra por Criterio de Dependencia y Percentil</v>
      </c>
      <c r="N235" s="97">
        <f t="shared" si="28"/>
        <v>10307</v>
      </c>
      <c r="O235" s="97">
        <f t="shared" si="29"/>
        <v>10202</v>
      </c>
      <c r="P235" t="str">
        <f t="shared" si="30"/>
        <v>SAN PABLO</v>
      </c>
      <c r="Q235" s="96">
        <f t="shared" si="31"/>
        <v>2.04666254525E-3</v>
      </c>
      <c r="R235" s="96"/>
      <c r="S235">
        <f>+COEFyDISTR_MINERO!A240</f>
        <v>10307</v>
      </c>
      <c r="T235">
        <f>+COEFyDISTR_MINERO!B240</f>
        <v>10202</v>
      </c>
      <c r="U235" t="str">
        <f>+COEFyDISTR_MINERO!C240</f>
        <v>SAN PABLO</v>
      </c>
      <c r="V235" s="96">
        <f>+COEFyDISTR_MINERO!X240</f>
        <v>0</v>
      </c>
      <c r="W235" s="6" t="str">
        <f>+COEFyDISTR_MINERO!D240</f>
        <v>No</v>
      </c>
      <c r="X235" s="96"/>
      <c r="Y235" s="96"/>
      <c r="Z235" s="1">
        <v>12104</v>
      </c>
      <c r="AA235" s="1">
        <v>12204</v>
      </c>
      <c r="AB235" s="1" t="str">
        <v>SAN GREGORIO</v>
      </c>
      <c r="AC235" s="1" t="str">
        <v>Entra por Criterio de Dependencia y Percentil</v>
      </c>
      <c r="AF235" s="1">
        <v>12104</v>
      </c>
      <c r="AG235" s="1">
        <v>12204</v>
      </c>
      <c r="AH235" s="1" t="str">
        <v>SAN GREGORIO</v>
      </c>
      <c r="AI235" s="405">
        <v>1.66876669245E-3</v>
      </c>
    </row>
    <row r="236" spans="1:35" ht="3" customHeight="1" x14ac:dyDescent="0.25">
      <c r="A236" s="5">
        <f>+COEFyDISTR_FET!A241</f>
        <v>10401</v>
      </c>
      <c r="B236" s="5">
        <f>+COEFyDISTR_FET!B241</f>
        <v>10501</v>
      </c>
      <c r="C236" t="str">
        <f>+COEFyDISTR_FET!C241</f>
        <v>CHAITÉN</v>
      </c>
      <c r="D236" s="31">
        <f>+COEFyDISTR_FET!D241</f>
        <v>1295486</v>
      </c>
      <c r="E236" s="31">
        <f>+COEFyDISTR_FET!E241</f>
        <v>2770094.97</v>
      </c>
      <c r="F236" s="403">
        <f>+COEFyDISTR_FET!G241</f>
        <v>0.16800000000000001</v>
      </c>
      <c r="G236" s="403">
        <f>+COEFyDISTR_FET!H241</f>
        <v>0.68140000000000001</v>
      </c>
      <c r="H236" s="402" t="str">
        <f>IF(D236=0,$A$2,VLOOKUP(COUNTIF(F236,$F$1&amp;$F$2)&amp;COUNTIF(G236,$G$1&amp;$G$2),PARAMETROS!$K$26:$L$30,2,0))</f>
        <v>Entra por Criterio de Dependencia y Percentil</v>
      </c>
      <c r="I236" s="96">
        <f>+COEFyDISTR_FET!AA241</f>
        <v>1.9318681179500002E-3</v>
      </c>
      <c r="J236" s="97">
        <f t="shared" si="24"/>
        <v>10401</v>
      </c>
      <c r="K236" s="97">
        <f t="shared" si="25"/>
        <v>10501</v>
      </c>
      <c r="L236" t="str">
        <f t="shared" si="26"/>
        <v>CHAITÉN</v>
      </c>
      <c r="M236" t="str">
        <f t="shared" si="27"/>
        <v>Entra por Criterio de Dependencia y Percentil</v>
      </c>
      <c r="N236" s="97">
        <f t="shared" si="28"/>
        <v>10401</v>
      </c>
      <c r="O236" s="97">
        <f t="shared" si="29"/>
        <v>10501</v>
      </c>
      <c r="P236" t="str">
        <f t="shared" si="30"/>
        <v>CHAITÉN</v>
      </c>
      <c r="Q236" s="96">
        <f t="shared" si="31"/>
        <v>1.9318681179500002E-3</v>
      </c>
      <c r="R236" s="96"/>
      <c r="S236">
        <f>+COEFyDISTR_MINERO!A241</f>
        <v>10401</v>
      </c>
      <c r="T236">
        <f>+COEFyDISTR_MINERO!B241</f>
        <v>10501</v>
      </c>
      <c r="U236" t="str">
        <f>+COEFyDISTR_MINERO!C241</f>
        <v>CHAITÉN</v>
      </c>
      <c r="V236" s="96">
        <f>+COEFyDISTR_MINERO!X241</f>
        <v>0</v>
      </c>
      <c r="W236" s="6" t="str">
        <f>+COEFyDISTR_MINERO!D241</f>
        <v>No</v>
      </c>
      <c r="X236" s="96"/>
      <c r="Y236" s="96"/>
      <c r="Z236" s="1">
        <v>12201</v>
      </c>
      <c r="AA236" s="1">
        <v>12401</v>
      </c>
      <c r="AB236" s="1" t="str">
        <v>CABO DE HORNOS</v>
      </c>
      <c r="AC236" s="1" t="str">
        <v>Entra por Criterio de Dependencia y Percentil</v>
      </c>
      <c r="AF236" s="1">
        <v>12201</v>
      </c>
      <c r="AG236" s="1">
        <v>12401</v>
      </c>
      <c r="AH236" s="1" t="str">
        <v>CABO DE HORNOS</v>
      </c>
      <c r="AI236" s="405">
        <v>1.7340096964500002E-3</v>
      </c>
    </row>
    <row r="237" spans="1:35" ht="3" customHeight="1" x14ac:dyDescent="0.25">
      <c r="A237" s="5">
        <f>+COEFyDISTR_FET!A242</f>
        <v>10402</v>
      </c>
      <c r="B237" s="5">
        <f>+COEFyDISTR_FET!B242</f>
        <v>10503</v>
      </c>
      <c r="C237" t="str">
        <f>+COEFyDISTR_FET!C242</f>
        <v>FUTALEUFÚ</v>
      </c>
      <c r="D237" s="31">
        <f>+COEFyDISTR_FET!D242</f>
        <v>421202</v>
      </c>
      <c r="E237" s="31">
        <f>+COEFyDISTR_FET!E242</f>
        <v>2738341.429</v>
      </c>
      <c r="F237" s="403">
        <f>+COEFyDISTR_FET!G242</f>
        <v>7.1999999999999995E-2</v>
      </c>
      <c r="G237" s="403">
        <f>+COEFyDISTR_FET!H242</f>
        <v>0.86670000000000003</v>
      </c>
      <c r="H237" s="402" t="str">
        <f>IF(D237=0,$A$2,VLOOKUP(COUNTIF(F237,$F$1&amp;$F$2)&amp;COUNTIF(G237,$G$1&amp;$G$2),PARAMETROS!$K$26:$L$30,2,0))</f>
        <v>Entra por Criterio de Dependencia y Percentil</v>
      </c>
      <c r="I237" s="96">
        <f>+COEFyDISTR_FET!AA242</f>
        <v>1.72953468155E-3</v>
      </c>
      <c r="J237" s="97">
        <f t="shared" si="24"/>
        <v>10402</v>
      </c>
      <c r="K237" s="97">
        <f t="shared" si="25"/>
        <v>10503</v>
      </c>
      <c r="L237" t="str">
        <f t="shared" si="26"/>
        <v>FUTALEUFÚ</v>
      </c>
      <c r="M237" t="str">
        <f t="shared" si="27"/>
        <v>Entra por Criterio de Dependencia y Percentil</v>
      </c>
      <c r="N237" s="97">
        <f t="shared" si="28"/>
        <v>10402</v>
      </c>
      <c r="O237" s="97">
        <f t="shared" si="29"/>
        <v>10503</v>
      </c>
      <c r="P237" t="str">
        <f t="shared" si="30"/>
        <v>FUTALEUFÚ</v>
      </c>
      <c r="Q237" s="96">
        <f t="shared" si="31"/>
        <v>1.72953468155E-3</v>
      </c>
      <c r="R237" s="96"/>
      <c r="S237">
        <f>+COEFyDISTR_MINERO!A242</f>
        <v>10402</v>
      </c>
      <c r="T237">
        <f>+COEFyDISTR_MINERO!B242</f>
        <v>10503</v>
      </c>
      <c r="U237" t="str">
        <f>+COEFyDISTR_MINERO!C242</f>
        <v>FUTALEUFÚ</v>
      </c>
      <c r="V237" s="96">
        <f>+COEFyDISTR_MINERO!X242</f>
        <v>0</v>
      </c>
      <c r="W237" s="6" t="str">
        <f>+COEFyDISTR_MINERO!D242</f>
        <v>No</v>
      </c>
      <c r="X237" s="96"/>
      <c r="Y237" s="96"/>
      <c r="Z237" s="1">
        <v>12301</v>
      </c>
      <c r="AA237" s="1">
        <v>12301</v>
      </c>
      <c r="AB237" s="1" t="str">
        <v>PORVENIR</v>
      </c>
      <c r="AC237" s="1" t="str">
        <v>Entra por Criterio de Dependencia y Percentil</v>
      </c>
      <c r="AF237" s="1">
        <v>12301</v>
      </c>
      <c r="AG237" s="1">
        <v>12301</v>
      </c>
      <c r="AH237" s="1" t="str">
        <v>PORVENIR</v>
      </c>
      <c r="AI237" s="405">
        <v>1.94687937775E-3</v>
      </c>
    </row>
    <row r="238" spans="1:35" ht="3" customHeight="1" x14ac:dyDescent="0.25">
      <c r="A238" s="5">
        <f>+COEFyDISTR_FET!A243</f>
        <v>10403</v>
      </c>
      <c r="B238" s="5">
        <f>+COEFyDISTR_FET!B243</f>
        <v>10502</v>
      </c>
      <c r="C238" t="str">
        <f>+COEFyDISTR_FET!C243</f>
        <v>HUALAIHUÉ</v>
      </c>
      <c r="D238" s="31">
        <f>+COEFyDISTR_FET!D243</f>
        <v>1210178</v>
      </c>
      <c r="E238" s="31">
        <f>+COEFyDISTR_FET!E243</f>
        <v>3445817.4920000001</v>
      </c>
      <c r="F238" s="403">
        <f>+COEFyDISTR_FET!G243</f>
        <v>0.23400000000000001</v>
      </c>
      <c r="G238" s="403">
        <f>+COEFyDISTR_FET!H243</f>
        <v>0.74009999999999998</v>
      </c>
      <c r="H238" s="402" t="str">
        <f>IF(D238=0,$A$2,VLOOKUP(COUNTIF(F238,$F$1&amp;$F$2)&amp;COUNTIF(G238,$G$1&amp;$G$2),PARAMETROS!$K$26:$L$30,2,0))</f>
        <v>Entra por Criterio de Dependencia y Percentil</v>
      </c>
      <c r="I238" s="96">
        <f>+COEFyDISTR_FET!AA243</f>
        <v>1.9639251603499998E-3</v>
      </c>
      <c r="J238" s="97">
        <f t="shared" si="24"/>
        <v>10403</v>
      </c>
      <c r="K238" s="97">
        <f t="shared" si="25"/>
        <v>10502</v>
      </c>
      <c r="L238" t="str">
        <f t="shared" si="26"/>
        <v>HUALAIHUÉ</v>
      </c>
      <c r="M238" t="str">
        <f t="shared" si="27"/>
        <v>Entra por Criterio de Dependencia y Percentil</v>
      </c>
      <c r="N238" s="97">
        <f t="shared" si="28"/>
        <v>10403</v>
      </c>
      <c r="O238" s="97">
        <f t="shared" si="29"/>
        <v>10502</v>
      </c>
      <c r="P238" t="str">
        <f t="shared" si="30"/>
        <v>HUALAIHUÉ</v>
      </c>
      <c r="Q238" s="96">
        <f t="shared" si="31"/>
        <v>1.9639251603499998E-3</v>
      </c>
      <c r="R238" s="96"/>
      <c r="S238">
        <f>+COEFyDISTR_MINERO!A243</f>
        <v>10403</v>
      </c>
      <c r="T238">
        <f>+COEFyDISTR_MINERO!B243</f>
        <v>10502</v>
      </c>
      <c r="U238" t="str">
        <f>+COEFyDISTR_MINERO!C243</f>
        <v>HUALAIHUÉ</v>
      </c>
      <c r="V238" s="96">
        <f>+COEFyDISTR_MINERO!X243</f>
        <v>0</v>
      </c>
      <c r="W238" s="6" t="str">
        <f>+COEFyDISTR_MINERO!D243</f>
        <v>No</v>
      </c>
      <c r="X238" s="96"/>
      <c r="Y238" s="96"/>
      <c r="Z238" s="1">
        <v>12302</v>
      </c>
      <c r="AA238" s="1">
        <v>12302</v>
      </c>
      <c r="AB238" s="1" t="str">
        <v>PRIMAVERA</v>
      </c>
      <c r="AC238" s="1" t="str">
        <v>Entra por Criterio de Dependencia y Percentil</v>
      </c>
      <c r="AF238" s="1">
        <v>12302</v>
      </c>
      <c r="AG238" s="1">
        <v>12302</v>
      </c>
      <c r="AH238" s="1" t="str">
        <v>PRIMAVERA</v>
      </c>
      <c r="AI238" s="405">
        <v>1.6849718006500002E-3</v>
      </c>
    </row>
    <row r="239" spans="1:35" ht="3" customHeight="1" x14ac:dyDescent="0.25">
      <c r="A239" s="5">
        <f>+COEFyDISTR_FET!A244</f>
        <v>10404</v>
      </c>
      <c r="B239" s="5">
        <f>+COEFyDISTR_FET!B244</f>
        <v>10504</v>
      </c>
      <c r="C239" t="str">
        <f>+COEFyDISTR_FET!C244</f>
        <v>PALENA</v>
      </c>
      <c r="D239" s="31">
        <f>+COEFyDISTR_FET!D244</f>
        <v>233444</v>
      </c>
      <c r="E239" s="31">
        <f>+COEFyDISTR_FET!E244</f>
        <v>2163685.9789999998</v>
      </c>
      <c r="F239" s="403">
        <f>+COEFyDISTR_FET!G244</f>
        <v>3.1E-2</v>
      </c>
      <c r="G239" s="403">
        <f>+COEFyDISTR_FET!H244</f>
        <v>0.90259999999999996</v>
      </c>
      <c r="H239" s="402" t="str">
        <f>IF(D239=0,$A$2,VLOOKUP(COUNTIF(F239,$F$1&amp;$F$2)&amp;COUNTIF(G239,$G$1&amp;$G$2),PARAMETROS!$K$26:$L$30,2,0))</f>
        <v>Entra por Criterio de Dependencia y Percentil</v>
      </c>
      <c r="I239" s="96">
        <f>+COEFyDISTR_FET!AA244</f>
        <v>1.74375131765E-3</v>
      </c>
      <c r="J239" s="97">
        <f t="shared" si="24"/>
        <v>10404</v>
      </c>
      <c r="K239" s="97">
        <f t="shared" si="25"/>
        <v>10504</v>
      </c>
      <c r="L239" t="str">
        <f t="shared" si="26"/>
        <v>PALENA</v>
      </c>
      <c r="M239" t="str">
        <f t="shared" si="27"/>
        <v>Entra por Criterio de Dependencia y Percentil</v>
      </c>
      <c r="N239" s="97">
        <f t="shared" si="28"/>
        <v>10404</v>
      </c>
      <c r="O239" s="97">
        <f t="shared" si="29"/>
        <v>10504</v>
      </c>
      <c r="P239" t="str">
        <f t="shared" si="30"/>
        <v>PALENA</v>
      </c>
      <c r="Q239" s="96">
        <f t="shared" si="31"/>
        <v>1.74375131765E-3</v>
      </c>
      <c r="R239" s="96"/>
      <c r="S239">
        <f>+COEFyDISTR_MINERO!A244</f>
        <v>10404</v>
      </c>
      <c r="T239">
        <f>+COEFyDISTR_MINERO!B244</f>
        <v>10504</v>
      </c>
      <c r="U239" t="str">
        <f>+COEFyDISTR_MINERO!C244</f>
        <v>PALENA</v>
      </c>
      <c r="V239" s="96">
        <f>+COEFyDISTR_MINERO!X244</f>
        <v>0</v>
      </c>
      <c r="W239" s="6" t="str">
        <f>+COEFyDISTR_MINERO!D244</f>
        <v>No</v>
      </c>
      <c r="X239" s="96"/>
      <c r="Y239" s="96"/>
      <c r="Z239" s="1">
        <v>12303</v>
      </c>
      <c r="AA239" s="1">
        <v>12304</v>
      </c>
      <c r="AB239" s="1" t="str">
        <v>TIMAUKEL</v>
      </c>
      <c r="AC239" s="1" t="str">
        <v>Entra por Criterio de Dependencia y Percentil</v>
      </c>
      <c r="AF239" s="1">
        <v>12303</v>
      </c>
      <c r="AG239" s="1">
        <v>12304</v>
      </c>
      <c r="AH239" s="1" t="str">
        <v>TIMAUKEL</v>
      </c>
      <c r="AI239" s="405">
        <v>1.68216711415E-3</v>
      </c>
    </row>
    <row r="240" spans="1:35" ht="3" customHeight="1" x14ac:dyDescent="0.25">
      <c r="A240" s="5">
        <f>+COEFyDISTR_FET!A245</f>
        <v>11101</v>
      </c>
      <c r="B240" s="5">
        <f>+COEFyDISTR_FET!B245</f>
        <v>11401</v>
      </c>
      <c r="C240" t="str">
        <f>+COEFyDISTR_FET!C245</f>
        <v>COYHAIQUE</v>
      </c>
      <c r="D240" s="31">
        <f>+COEFyDISTR_FET!D245</f>
        <v>8091063</v>
      </c>
      <c r="E240" s="31">
        <f>+COEFyDISTR_FET!E245</f>
        <v>11543826.995999999</v>
      </c>
      <c r="F240" s="403">
        <f>+COEFyDISTR_FET!G245</f>
        <v>0.78500000000000003</v>
      </c>
      <c r="G240" s="403">
        <f>+COEFyDISTR_FET!H245</f>
        <v>0.58789999999999998</v>
      </c>
      <c r="H240" s="402" t="str">
        <f>IF(D240=0,$A$2,VLOOKUP(COUNTIF(F240,$F$1&amp;$F$2)&amp;COUNTIF(G240,$G$1&amp;$G$2),PARAMETROS!$K$26:$L$30,2,0))</f>
        <v>Entra por Criterio de Dependencia y Percentil</v>
      </c>
      <c r="I240" s="96">
        <f>+COEFyDISTR_FET!AA245</f>
        <v>2.8321542497500001E-3</v>
      </c>
      <c r="J240" s="97">
        <f t="shared" si="24"/>
        <v>11101</v>
      </c>
      <c r="K240" s="97">
        <f t="shared" si="25"/>
        <v>11401</v>
      </c>
      <c r="L240" t="str">
        <f t="shared" si="26"/>
        <v>COYHAIQUE</v>
      </c>
      <c r="M240" t="str">
        <f t="shared" si="27"/>
        <v>Entra por Criterio de Dependencia y Percentil</v>
      </c>
      <c r="N240" s="97">
        <f t="shared" si="28"/>
        <v>11101</v>
      </c>
      <c r="O240" s="97">
        <f t="shared" si="29"/>
        <v>11401</v>
      </c>
      <c r="P240" t="str">
        <f t="shared" si="30"/>
        <v>COYHAIQUE</v>
      </c>
      <c r="Q240" s="96">
        <f t="shared" si="31"/>
        <v>2.8321542497500001E-3</v>
      </c>
      <c r="R240" s="96"/>
      <c r="S240">
        <f>+COEFyDISTR_MINERO!A245</f>
        <v>11101</v>
      </c>
      <c r="T240">
        <f>+COEFyDISTR_MINERO!B245</f>
        <v>11401</v>
      </c>
      <c r="U240" t="str">
        <f>+COEFyDISTR_MINERO!C245</f>
        <v>COYHAIQUE</v>
      </c>
      <c r="V240" s="96">
        <f>+COEFyDISTR_MINERO!X245</f>
        <v>0</v>
      </c>
      <c r="W240" s="6" t="str">
        <f>+COEFyDISTR_MINERO!D245</f>
        <v>No</v>
      </c>
      <c r="X240" s="96"/>
      <c r="Y240" s="96"/>
      <c r="Z240" s="1">
        <v>12401</v>
      </c>
      <c r="AA240" s="1">
        <v>12101</v>
      </c>
      <c r="AB240" s="1" t="str">
        <v>NATALES</v>
      </c>
      <c r="AC240" s="1" t="str">
        <v>Entra por Criterio de Dependencia y Percentil</v>
      </c>
      <c r="AF240" s="1">
        <v>12401</v>
      </c>
      <c r="AG240" s="1">
        <v>12101</v>
      </c>
      <c r="AH240" s="1" t="str">
        <v>NATALES</v>
      </c>
      <c r="AI240" s="405">
        <v>2.22831168075E-3</v>
      </c>
    </row>
    <row r="241" spans="1:35" ht="3" customHeight="1" x14ac:dyDescent="0.25">
      <c r="A241" s="5">
        <f>+COEFyDISTR_FET!A246</f>
        <v>11102</v>
      </c>
      <c r="B241" s="5">
        <f>+COEFyDISTR_FET!B246</f>
        <v>11402</v>
      </c>
      <c r="C241" t="str">
        <f>+COEFyDISTR_FET!C246</f>
        <v>LAGO VERDE</v>
      </c>
      <c r="D241" s="31">
        <f>+COEFyDISTR_FET!D246</f>
        <v>344017</v>
      </c>
      <c r="E241" s="31">
        <f>+COEFyDISTR_FET!E246</f>
        <v>1929848.3119999999</v>
      </c>
      <c r="F241" s="403">
        <f>+COEFyDISTR_FET!G246</f>
        <v>2.3E-2</v>
      </c>
      <c r="G241" s="403">
        <f>+COEFyDISTR_FET!H246</f>
        <v>0.84870000000000001</v>
      </c>
      <c r="H241" s="402" t="str">
        <f>IF(D241=0,$A$2,VLOOKUP(COUNTIF(F241,$F$1&amp;$F$2)&amp;COUNTIF(G241,$G$1&amp;$G$2),PARAMETROS!$K$26:$L$30,2,0))</f>
        <v>Entra por Criterio de Dependencia y Percentil</v>
      </c>
      <c r="I241" s="96">
        <f>+COEFyDISTR_FET!AA246</f>
        <v>1.6984520212500001E-3</v>
      </c>
      <c r="J241" s="97">
        <f t="shared" si="24"/>
        <v>11102</v>
      </c>
      <c r="K241" s="97">
        <f t="shared" si="25"/>
        <v>11402</v>
      </c>
      <c r="L241" t="str">
        <f t="shared" si="26"/>
        <v>LAGO VERDE</v>
      </c>
      <c r="M241" t="str">
        <f t="shared" si="27"/>
        <v>Entra por Criterio de Dependencia y Percentil</v>
      </c>
      <c r="N241" s="97">
        <f t="shared" si="28"/>
        <v>11102</v>
      </c>
      <c r="O241" s="97">
        <f t="shared" si="29"/>
        <v>11402</v>
      </c>
      <c r="P241" t="str">
        <f t="shared" si="30"/>
        <v>LAGO VERDE</v>
      </c>
      <c r="Q241" s="96">
        <f t="shared" si="31"/>
        <v>1.6984520212500001E-3</v>
      </c>
      <c r="R241" s="96"/>
      <c r="S241">
        <f>+COEFyDISTR_MINERO!A246</f>
        <v>11102</v>
      </c>
      <c r="T241">
        <f>+COEFyDISTR_MINERO!B246</f>
        <v>11402</v>
      </c>
      <c r="U241" t="str">
        <f>+COEFyDISTR_MINERO!C246</f>
        <v>LAGO VERDE</v>
      </c>
      <c r="V241" s="96">
        <f>+COEFyDISTR_MINERO!X246</f>
        <v>0</v>
      </c>
      <c r="W241" s="6" t="str">
        <f>+COEFyDISTR_MINERO!D246</f>
        <v>No</v>
      </c>
      <c r="X241" s="96"/>
      <c r="Y241" s="96"/>
      <c r="Z241" s="1">
        <v>12402</v>
      </c>
      <c r="AA241" s="1">
        <v>12103</v>
      </c>
      <c r="AB241" s="1" t="str">
        <v>TORRES DEL PAINE</v>
      </c>
      <c r="AC241" s="1" t="str">
        <v>Entra por Criterio de Dependencia y Percentil</v>
      </c>
      <c r="AF241" s="1">
        <v>12402</v>
      </c>
      <c r="AG241" s="1">
        <v>12103</v>
      </c>
      <c r="AH241" s="1" t="str">
        <v>TORRES DEL PAINE</v>
      </c>
      <c r="AI241" s="405">
        <v>1.6676845074500002E-3</v>
      </c>
    </row>
    <row r="242" spans="1:35" ht="3" customHeight="1" x14ac:dyDescent="0.25">
      <c r="A242" s="5">
        <f>+COEFyDISTR_FET!A247</f>
        <v>11201</v>
      </c>
      <c r="B242" s="5">
        <f>+COEFyDISTR_FET!B247</f>
        <v>11101</v>
      </c>
      <c r="C242" t="str">
        <f>+COEFyDISTR_FET!C247</f>
        <v>AYSÉN</v>
      </c>
      <c r="D242" s="31">
        <f>+COEFyDISTR_FET!D247</f>
        <v>4084764</v>
      </c>
      <c r="E242" s="31">
        <f>+COEFyDISTR_FET!E247</f>
        <v>6634967.71</v>
      </c>
      <c r="F242" s="403">
        <f>+COEFyDISTR_FET!G247</f>
        <v>0.61399999999999999</v>
      </c>
      <c r="G242" s="403">
        <f>+COEFyDISTR_FET!H247</f>
        <v>0.61890000000000001</v>
      </c>
      <c r="H242" s="402" t="str">
        <f>IF(D242=0,$A$2,VLOOKUP(COUNTIF(F242,$F$1&amp;$F$2)&amp;COUNTIF(G242,$G$1&amp;$G$2),PARAMETROS!$K$26:$L$30,2,0))</f>
        <v>Entra por Criterio de Dependencia y Percentil</v>
      </c>
      <c r="I242" s="96">
        <f>+COEFyDISTR_FET!AA247</f>
        <v>2.3898369867500001E-3</v>
      </c>
      <c r="J242" s="97">
        <f t="shared" si="24"/>
        <v>11201</v>
      </c>
      <c r="K242" s="97">
        <f t="shared" si="25"/>
        <v>11101</v>
      </c>
      <c r="L242" t="str">
        <f t="shared" si="26"/>
        <v>AYSÉN</v>
      </c>
      <c r="M242" t="str">
        <f t="shared" si="27"/>
        <v>Entra por Criterio de Dependencia y Percentil</v>
      </c>
      <c r="N242" s="97">
        <f t="shared" si="28"/>
        <v>11201</v>
      </c>
      <c r="O242" s="97">
        <f t="shared" si="29"/>
        <v>11101</v>
      </c>
      <c r="P242" t="str">
        <f t="shared" si="30"/>
        <v>AYSÉN</v>
      </c>
      <c r="Q242" s="96">
        <f t="shared" si="31"/>
        <v>2.3898369867500001E-3</v>
      </c>
      <c r="R242" s="96"/>
      <c r="S242">
        <f>+COEFyDISTR_MINERO!A247</f>
        <v>11201</v>
      </c>
      <c r="T242">
        <f>+COEFyDISTR_MINERO!B247</f>
        <v>11101</v>
      </c>
      <c r="U242" t="str">
        <f>+COEFyDISTR_MINERO!C247</f>
        <v>AYSÉN</v>
      </c>
      <c r="V242" s="96">
        <f>+COEFyDISTR_MINERO!X247</f>
        <v>0</v>
      </c>
      <c r="W242" s="6" t="str">
        <f>+COEFyDISTR_MINERO!D247</f>
        <v>No</v>
      </c>
      <c r="X242" s="96"/>
      <c r="Y242" s="96"/>
      <c r="Z242" s="1">
        <v>13103</v>
      </c>
      <c r="AA242" s="1">
        <v>13156</v>
      </c>
      <c r="AB242" s="1" t="str">
        <v>CERRO NAVIA</v>
      </c>
      <c r="AC242" s="1" t="str">
        <v>Entra por Criterio de Dependencia</v>
      </c>
      <c r="AF242" s="1">
        <v>13103</v>
      </c>
      <c r="AG242" s="1">
        <v>13156</v>
      </c>
      <c r="AH242" s="1" t="str">
        <v>CERRO NAVIA</v>
      </c>
      <c r="AI242" s="405">
        <v>1.322406989035E-2</v>
      </c>
    </row>
    <row r="243" spans="1:35" ht="3" customHeight="1" x14ac:dyDescent="0.25">
      <c r="A243" s="5">
        <f>+COEFyDISTR_FET!A248</f>
        <v>11202</v>
      </c>
      <c r="B243" s="5">
        <f>+COEFyDISTR_FET!B248</f>
        <v>11102</v>
      </c>
      <c r="C243" t="str">
        <f>+COEFyDISTR_FET!C248</f>
        <v>CISNES</v>
      </c>
      <c r="D243" s="31">
        <f>+COEFyDISTR_FET!D248</f>
        <v>2698290</v>
      </c>
      <c r="E243" s="31">
        <f>+COEFyDISTR_FET!E248</f>
        <v>2469934.3730000001</v>
      </c>
      <c r="F243" s="403">
        <f>+COEFyDISTR_FET!G248</f>
        <v>0.307</v>
      </c>
      <c r="G243" s="403">
        <f>+COEFyDISTR_FET!H248</f>
        <v>0.47789999999999999</v>
      </c>
      <c r="H243" s="402" t="str">
        <f>IF(D243=0,$A$2,VLOOKUP(COUNTIF(F243,$F$1&amp;$F$2)&amp;COUNTIF(G243,$G$1&amp;$G$2),PARAMETROS!$K$26:$L$30,2,0))</f>
        <v>Entra por Criterio de Percentil</v>
      </c>
      <c r="I243" s="96">
        <f>+COEFyDISTR_FET!AA248</f>
        <v>1.88233599525E-3</v>
      </c>
      <c r="J243" s="97">
        <f t="shared" si="24"/>
        <v>11202</v>
      </c>
      <c r="K243" s="97">
        <f t="shared" si="25"/>
        <v>11102</v>
      </c>
      <c r="L243" t="str">
        <f t="shared" si="26"/>
        <v>CISNES</v>
      </c>
      <c r="M243" t="str">
        <f t="shared" si="27"/>
        <v>Entra por Criterio de Percentil</v>
      </c>
      <c r="N243" s="97">
        <f t="shared" si="28"/>
        <v>11202</v>
      </c>
      <c r="O243" s="97">
        <f t="shared" si="29"/>
        <v>11102</v>
      </c>
      <c r="P243" t="str">
        <f t="shared" si="30"/>
        <v>CISNES</v>
      </c>
      <c r="Q243" s="96">
        <f t="shared" si="31"/>
        <v>1.88233599525E-3</v>
      </c>
      <c r="R243" s="96"/>
      <c r="S243">
        <f>+COEFyDISTR_MINERO!A248</f>
        <v>11202</v>
      </c>
      <c r="T243">
        <f>+COEFyDISTR_MINERO!B248</f>
        <v>11102</v>
      </c>
      <c r="U243" t="str">
        <f>+COEFyDISTR_MINERO!C248</f>
        <v>CISNES</v>
      </c>
      <c r="V243" s="96">
        <f>+COEFyDISTR_MINERO!X248</f>
        <v>0</v>
      </c>
      <c r="W243" s="6" t="str">
        <f>+COEFyDISTR_MINERO!D248</f>
        <v>No</v>
      </c>
      <c r="X243" s="96"/>
      <c r="Y243" s="96"/>
      <c r="Z243" s="1">
        <v>13104</v>
      </c>
      <c r="AA243" s="1">
        <v>13127</v>
      </c>
      <c r="AB243" s="1" t="str">
        <v>CONCHALÍ</v>
      </c>
      <c r="AC243" s="1" t="str">
        <v>Entra por Criterio de Dependencia</v>
      </c>
      <c r="AF243" s="1">
        <v>13104</v>
      </c>
      <c r="AG243" s="1">
        <v>13127</v>
      </c>
      <c r="AH243" s="1" t="str">
        <v>CONCHALÍ</v>
      </c>
      <c r="AI243" s="405">
        <v>7.5327701872500005E-3</v>
      </c>
    </row>
    <row r="244" spans="1:35" ht="3" customHeight="1" x14ac:dyDescent="0.25">
      <c r="A244" s="5">
        <f>+COEFyDISTR_FET!A249</f>
        <v>11203</v>
      </c>
      <c r="B244" s="5">
        <f>+COEFyDISTR_FET!B249</f>
        <v>11104</v>
      </c>
      <c r="C244" t="str">
        <f>+COEFyDISTR_FET!C249</f>
        <v>GUAITECAS</v>
      </c>
      <c r="D244" s="31">
        <f>+COEFyDISTR_FET!D249</f>
        <v>855553</v>
      </c>
      <c r="E244" s="31">
        <f>+COEFyDISTR_FET!E249</f>
        <v>1907437.372</v>
      </c>
      <c r="F244" s="403">
        <f>+COEFyDISTR_FET!G249</f>
        <v>4.9000000000000002E-2</v>
      </c>
      <c r="G244" s="403">
        <f>+COEFyDISTR_FET!H249</f>
        <v>0.69040000000000001</v>
      </c>
      <c r="H244" s="402" t="str">
        <f>IF(D244=0,$A$2,VLOOKUP(COUNTIF(F244,$F$1&amp;$F$2)&amp;COUNTIF(G244,$G$1&amp;$G$2),PARAMETROS!$K$26:$L$30,2,0))</f>
        <v>Entra por Criterio de Dependencia y Percentil</v>
      </c>
      <c r="I244" s="96">
        <f>+COEFyDISTR_FET!AA249</f>
        <v>1.70559925745E-3</v>
      </c>
      <c r="J244" s="97">
        <f t="shared" si="24"/>
        <v>11203</v>
      </c>
      <c r="K244" s="97">
        <f t="shared" si="25"/>
        <v>11104</v>
      </c>
      <c r="L244" t="str">
        <f t="shared" si="26"/>
        <v>GUAITECAS</v>
      </c>
      <c r="M244" t="str">
        <f t="shared" si="27"/>
        <v>Entra por Criterio de Dependencia y Percentil</v>
      </c>
      <c r="N244" s="97">
        <f t="shared" si="28"/>
        <v>11203</v>
      </c>
      <c r="O244" s="97">
        <f t="shared" si="29"/>
        <v>11104</v>
      </c>
      <c r="P244" t="str">
        <f t="shared" si="30"/>
        <v>GUAITECAS</v>
      </c>
      <c r="Q244" s="96">
        <f t="shared" si="31"/>
        <v>1.70559925745E-3</v>
      </c>
      <c r="R244" s="96"/>
      <c r="S244">
        <f>+COEFyDISTR_MINERO!A249</f>
        <v>11203</v>
      </c>
      <c r="T244">
        <f>+COEFyDISTR_MINERO!B249</f>
        <v>11104</v>
      </c>
      <c r="U244" t="str">
        <f>+COEFyDISTR_MINERO!C249</f>
        <v>GUAITECAS</v>
      </c>
      <c r="V244" s="96">
        <f>+COEFyDISTR_MINERO!X249</f>
        <v>0</v>
      </c>
      <c r="W244" s="6" t="str">
        <f>+COEFyDISTR_MINERO!D249</f>
        <v>No</v>
      </c>
      <c r="X244" s="96"/>
      <c r="Y244" s="96"/>
      <c r="Z244" s="1">
        <v>13105</v>
      </c>
      <c r="AA244" s="1">
        <v>13165</v>
      </c>
      <c r="AB244" s="1" t="str">
        <v>EL BOSQUE</v>
      </c>
      <c r="AC244" s="1" t="str">
        <v>Entra por Criterio de Dependencia</v>
      </c>
      <c r="AF244" s="1">
        <v>13105</v>
      </c>
      <c r="AG244" s="1">
        <v>13165</v>
      </c>
      <c r="AH244" s="1" t="str">
        <v>EL BOSQUE</v>
      </c>
      <c r="AI244" s="405">
        <v>1.397504018425E-2</v>
      </c>
    </row>
    <row r="245" spans="1:35" ht="3" customHeight="1" x14ac:dyDescent="0.25">
      <c r="A245" s="5">
        <f>+COEFyDISTR_FET!A250</f>
        <v>11301</v>
      </c>
      <c r="B245" s="5">
        <f>+COEFyDISTR_FET!B250</f>
        <v>11301</v>
      </c>
      <c r="C245" t="str">
        <f>+COEFyDISTR_FET!C250</f>
        <v>COCHRANE</v>
      </c>
      <c r="D245" s="31">
        <f>+COEFyDISTR_FET!D250</f>
        <v>428956</v>
      </c>
      <c r="E245" s="31">
        <f>+COEFyDISTR_FET!E250</f>
        <v>2434592.8670000001</v>
      </c>
      <c r="F245" s="403">
        <f>+COEFyDISTR_FET!G250</f>
        <v>5.1999999999999998E-2</v>
      </c>
      <c r="G245" s="403">
        <f>+COEFyDISTR_FET!H250</f>
        <v>0.85019999999999996</v>
      </c>
      <c r="H245" s="402" t="str">
        <f>IF(D245=0,$A$2,VLOOKUP(COUNTIF(F245,$F$1&amp;$F$2)&amp;COUNTIF(G245,$G$1&amp;$G$2),PARAMETROS!$K$26:$L$30,2,0))</f>
        <v>Entra por Criterio de Dependencia y Percentil</v>
      </c>
      <c r="I245" s="96">
        <f>+COEFyDISTR_FET!AA250</f>
        <v>1.7697950382500002E-3</v>
      </c>
      <c r="J245" s="97">
        <f t="shared" si="24"/>
        <v>11301</v>
      </c>
      <c r="K245" s="97">
        <f t="shared" si="25"/>
        <v>11301</v>
      </c>
      <c r="L245" t="str">
        <f t="shared" si="26"/>
        <v>COCHRANE</v>
      </c>
      <c r="M245" t="str">
        <f t="shared" si="27"/>
        <v>Entra por Criterio de Dependencia y Percentil</v>
      </c>
      <c r="N245" s="97">
        <f t="shared" si="28"/>
        <v>11301</v>
      </c>
      <c r="O245" s="97">
        <f t="shared" si="29"/>
        <v>11301</v>
      </c>
      <c r="P245" t="str">
        <f t="shared" si="30"/>
        <v>COCHRANE</v>
      </c>
      <c r="Q245" s="96">
        <f t="shared" si="31"/>
        <v>1.7697950382500002E-3</v>
      </c>
      <c r="R245" s="96"/>
      <c r="S245">
        <f>+COEFyDISTR_MINERO!A250</f>
        <v>11301</v>
      </c>
      <c r="T245">
        <f>+COEFyDISTR_MINERO!B250</f>
        <v>11301</v>
      </c>
      <c r="U245" t="str">
        <f>+COEFyDISTR_MINERO!C250</f>
        <v>COCHRANE</v>
      </c>
      <c r="V245" s="96">
        <f>+COEFyDISTR_MINERO!X250</f>
        <v>0</v>
      </c>
      <c r="W245" s="6" t="str">
        <f>+COEFyDISTR_MINERO!D250</f>
        <v>No</v>
      </c>
      <c r="X245" s="96"/>
      <c r="Y245" s="96"/>
      <c r="Z245" s="1">
        <v>13109</v>
      </c>
      <c r="AA245" s="1">
        <v>13110</v>
      </c>
      <c r="AB245" s="1" t="str">
        <v>LA CISTERNA</v>
      </c>
      <c r="AC245" s="1" t="str">
        <v>Entra por Criterio de Percentil</v>
      </c>
      <c r="AF245" s="1">
        <v>13109</v>
      </c>
      <c r="AG245" s="1">
        <v>13110</v>
      </c>
      <c r="AH245" s="1" t="str">
        <v>LA CISTERNA</v>
      </c>
      <c r="AI245" s="405">
        <v>3.6222925775500001E-3</v>
      </c>
    </row>
    <row r="246" spans="1:35" ht="3" customHeight="1" x14ac:dyDescent="0.25">
      <c r="A246" s="5">
        <f>+COEFyDISTR_FET!A251</f>
        <v>11302</v>
      </c>
      <c r="B246" s="5">
        <f>+COEFyDISTR_FET!B251</f>
        <v>11302</v>
      </c>
      <c r="C246" t="str">
        <f>+COEFyDISTR_FET!C251</f>
        <v>O’HIGGINS</v>
      </c>
      <c r="D246" s="31">
        <f>+COEFyDISTR_FET!D251</f>
        <v>154154</v>
      </c>
      <c r="E246" s="31">
        <f>+COEFyDISTR_FET!E251</f>
        <v>2082657.365</v>
      </c>
      <c r="F246" s="403">
        <f>+COEFyDISTR_FET!G251</f>
        <v>0.02</v>
      </c>
      <c r="G246" s="403">
        <f>+COEFyDISTR_FET!H251</f>
        <v>0.93110000000000004</v>
      </c>
      <c r="H246" s="402" t="str">
        <f>IF(D246=0,$A$2,VLOOKUP(COUNTIF(F246,$F$1&amp;$F$2)&amp;COUNTIF(G246,$G$1&amp;$G$2),PARAMETROS!$K$26:$L$30,2,0))</f>
        <v>Entra por Criterio de Dependencia y Percentil</v>
      </c>
      <c r="I246" s="96">
        <f>+COEFyDISTR_FET!AA251</f>
        <v>1.6810559540500001E-3</v>
      </c>
      <c r="J246" s="97">
        <f t="shared" si="24"/>
        <v>11302</v>
      </c>
      <c r="K246" s="97">
        <f t="shared" si="25"/>
        <v>11302</v>
      </c>
      <c r="L246" t="str">
        <f t="shared" si="26"/>
        <v>O’HIGGINS</v>
      </c>
      <c r="M246" t="str">
        <f t="shared" si="27"/>
        <v>Entra por Criterio de Dependencia y Percentil</v>
      </c>
      <c r="N246" s="97">
        <f t="shared" si="28"/>
        <v>11302</v>
      </c>
      <c r="O246" s="97">
        <f t="shared" si="29"/>
        <v>11302</v>
      </c>
      <c r="P246" t="str">
        <f t="shared" si="30"/>
        <v>O’HIGGINS</v>
      </c>
      <c r="Q246" s="96">
        <f t="shared" si="31"/>
        <v>1.6810559540500001E-3</v>
      </c>
      <c r="R246" s="96"/>
      <c r="S246">
        <f>+COEFyDISTR_MINERO!A251</f>
        <v>11302</v>
      </c>
      <c r="T246">
        <f>+COEFyDISTR_MINERO!B251</f>
        <v>11302</v>
      </c>
      <c r="U246" t="str">
        <f>+COEFyDISTR_MINERO!C251</f>
        <v>O’HIGGINS</v>
      </c>
      <c r="V246" s="96">
        <f>+COEFyDISTR_MINERO!X251</f>
        <v>0</v>
      </c>
      <c r="W246" s="6" t="str">
        <f>+COEFyDISTR_MINERO!D251</f>
        <v>No</v>
      </c>
      <c r="X246" s="96"/>
      <c r="Y246" s="96"/>
      <c r="Z246" s="1">
        <v>13111</v>
      </c>
      <c r="AA246" s="1">
        <v>13131</v>
      </c>
      <c r="AB246" s="1" t="str">
        <v>LA GRANJA</v>
      </c>
      <c r="AC246" s="1" t="str">
        <v>Entra por Criterio de Dependencia</v>
      </c>
      <c r="AF246" s="1">
        <v>13111</v>
      </c>
      <c r="AG246" s="1">
        <v>13131</v>
      </c>
      <c r="AH246" s="1" t="str">
        <v>LA GRANJA</v>
      </c>
      <c r="AI246" s="405">
        <v>1.0025860470449999E-2</v>
      </c>
    </row>
    <row r="247" spans="1:35" ht="3" customHeight="1" x14ac:dyDescent="0.25">
      <c r="A247" s="5">
        <f>+COEFyDISTR_FET!A252</f>
        <v>11303</v>
      </c>
      <c r="B247" s="5">
        <f>+COEFyDISTR_FET!B252</f>
        <v>11303</v>
      </c>
      <c r="C247" t="str">
        <f>+COEFyDISTR_FET!C252</f>
        <v>TORTEL</v>
      </c>
      <c r="D247" s="31">
        <f>+COEFyDISTR_FET!D252</f>
        <v>87384</v>
      </c>
      <c r="E247" s="31">
        <f>+COEFyDISTR_FET!E252</f>
        <v>1956703.2180000001</v>
      </c>
      <c r="F247" s="403">
        <f>+COEFyDISTR_FET!G252</f>
        <v>5.0000000000000001E-3</v>
      </c>
      <c r="G247" s="403">
        <f>+COEFyDISTR_FET!H252</f>
        <v>0.95730000000000004</v>
      </c>
      <c r="H247" s="402" t="str">
        <f>IF(D247=0,$A$2,VLOOKUP(COUNTIF(F247,$F$1&amp;$F$2)&amp;COUNTIF(G247,$G$1&amp;$G$2),PARAMETROS!$K$26:$L$30,2,0))</f>
        <v>Entra por Criterio de Dependencia y Percentil</v>
      </c>
      <c r="I247" s="96">
        <f>+COEFyDISTR_FET!AA252</f>
        <v>1.67789256065E-3</v>
      </c>
      <c r="J247" s="97">
        <f t="shared" si="24"/>
        <v>11303</v>
      </c>
      <c r="K247" s="97">
        <f t="shared" si="25"/>
        <v>11303</v>
      </c>
      <c r="L247" t="str">
        <f t="shared" si="26"/>
        <v>TORTEL</v>
      </c>
      <c r="M247" t="str">
        <f t="shared" si="27"/>
        <v>Entra por Criterio de Dependencia y Percentil</v>
      </c>
      <c r="N247" s="97">
        <f t="shared" si="28"/>
        <v>11303</v>
      </c>
      <c r="O247" s="97">
        <f t="shared" si="29"/>
        <v>11303</v>
      </c>
      <c r="P247" t="str">
        <f t="shared" si="30"/>
        <v>TORTEL</v>
      </c>
      <c r="Q247" s="96">
        <f t="shared" si="31"/>
        <v>1.67789256065E-3</v>
      </c>
      <c r="R247" s="96"/>
      <c r="S247">
        <f>+COEFyDISTR_MINERO!A252</f>
        <v>11303</v>
      </c>
      <c r="T247">
        <f>+COEFyDISTR_MINERO!B252</f>
        <v>11303</v>
      </c>
      <c r="U247" t="str">
        <f>+COEFyDISTR_MINERO!C252</f>
        <v>TORTEL</v>
      </c>
      <c r="V247" s="96">
        <f>+COEFyDISTR_MINERO!X252</f>
        <v>0</v>
      </c>
      <c r="W247" s="6" t="str">
        <f>+COEFyDISTR_MINERO!D252</f>
        <v>No</v>
      </c>
      <c r="X247" s="96"/>
      <c r="Y247" s="96"/>
      <c r="Z247" s="1">
        <v>13112</v>
      </c>
      <c r="AA247" s="1">
        <v>13154</v>
      </c>
      <c r="AB247" s="1" t="str">
        <v>LA PINTANA</v>
      </c>
      <c r="AC247" s="1" t="str">
        <v>Entra por Criterio de Dependencia</v>
      </c>
      <c r="AF247" s="1">
        <v>13112</v>
      </c>
      <c r="AG247" s="1">
        <v>13154</v>
      </c>
      <c r="AH247" s="1" t="str">
        <v>LA PINTANA</v>
      </c>
      <c r="AI247" s="405">
        <v>1.7302020337949999E-2</v>
      </c>
    </row>
    <row r="248" spans="1:35" ht="3" customHeight="1" x14ac:dyDescent="0.25">
      <c r="A248" s="5">
        <f>+COEFyDISTR_FET!A253</f>
        <v>11401</v>
      </c>
      <c r="B248" s="5">
        <f>+COEFyDISTR_FET!B253</f>
        <v>11201</v>
      </c>
      <c r="C248" t="str">
        <f>+COEFyDISTR_FET!C253</f>
        <v>CHILE CHICO</v>
      </c>
      <c r="D248" s="31">
        <f>+COEFyDISTR_FET!D253</f>
        <v>791163</v>
      </c>
      <c r="E248" s="31">
        <f>+COEFyDISTR_FET!E253</f>
        <v>3908539.5079999999</v>
      </c>
      <c r="F248" s="403">
        <f>+COEFyDISTR_FET!G253</f>
        <v>0.24</v>
      </c>
      <c r="G248" s="403">
        <f>+COEFyDISTR_FET!H253</f>
        <v>0.83169999999999999</v>
      </c>
      <c r="H248" s="402" t="str">
        <f>IF(D248=0,$A$2,VLOOKUP(COUNTIF(F248,$F$1&amp;$F$2)&amp;COUNTIF(G248,$G$1&amp;$G$2),PARAMETROS!$K$26:$L$30,2,0))</f>
        <v>Entra por Criterio de Dependencia y Percentil</v>
      </c>
      <c r="I248" s="96">
        <f>+COEFyDISTR_FET!AA253</f>
        <v>1.8242827503500002E-3</v>
      </c>
      <c r="J248" s="97">
        <f t="shared" si="24"/>
        <v>11401</v>
      </c>
      <c r="K248" s="97">
        <f t="shared" si="25"/>
        <v>11201</v>
      </c>
      <c r="L248" t="str">
        <f t="shared" si="26"/>
        <v>CHILE CHICO</v>
      </c>
      <c r="M248" t="str">
        <f t="shared" si="27"/>
        <v>Entra por Criterio de Dependencia y Percentil</v>
      </c>
      <c r="N248" s="97">
        <f t="shared" si="28"/>
        <v>11401</v>
      </c>
      <c r="O248" s="97">
        <f t="shared" si="29"/>
        <v>11201</v>
      </c>
      <c r="P248" t="str">
        <f t="shared" si="30"/>
        <v>CHILE CHICO</v>
      </c>
      <c r="Q248" s="96">
        <f t="shared" si="31"/>
        <v>1.8242827503500002E-3</v>
      </c>
      <c r="R248" s="96"/>
      <c r="S248">
        <f>+COEFyDISTR_MINERO!A253</f>
        <v>11401</v>
      </c>
      <c r="T248">
        <f>+COEFyDISTR_MINERO!B253</f>
        <v>11201</v>
      </c>
      <c r="U248" t="str">
        <f>+COEFyDISTR_MINERO!C253</f>
        <v>CHILE CHICO</v>
      </c>
      <c r="V248" s="96">
        <f>+COEFyDISTR_MINERO!X253</f>
        <v>0</v>
      </c>
      <c r="W248" s="6" t="str">
        <f>+COEFyDISTR_MINERO!D253</f>
        <v>No</v>
      </c>
      <c r="X248" s="96"/>
      <c r="Y248" s="96"/>
      <c r="Z248" s="1">
        <v>13116</v>
      </c>
      <c r="AA248" s="1">
        <v>13164</v>
      </c>
      <c r="AB248" s="1" t="str">
        <v>LO ESPEJO</v>
      </c>
      <c r="AC248" s="1" t="str">
        <v>Entra por Criterio de Dependencia y Percentil</v>
      </c>
      <c r="AF248" s="1">
        <v>13116</v>
      </c>
      <c r="AG248" s="1">
        <v>13164</v>
      </c>
      <c r="AH248" s="1" t="str">
        <v>LO ESPEJO</v>
      </c>
      <c r="AI248" s="405">
        <v>8.9594290307500012E-3</v>
      </c>
    </row>
    <row r="249" spans="1:35" ht="3" customHeight="1" x14ac:dyDescent="0.25">
      <c r="A249" s="5">
        <f>+COEFyDISTR_FET!A254</f>
        <v>11402</v>
      </c>
      <c r="B249" s="5">
        <f>+COEFyDISTR_FET!B254</f>
        <v>11203</v>
      </c>
      <c r="C249" t="str">
        <f>+COEFyDISTR_FET!C254</f>
        <v>RÍO IBÁÑEZ</v>
      </c>
      <c r="D249" s="31">
        <f>+COEFyDISTR_FET!D254</f>
        <v>422198</v>
      </c>
      <c r="E249" s="31">
        <f>+COEFyDISTR_FET!E254</f>
        <v>2501559.9500000002</v>
      </c>
      <c r="F249" s="403">
        <f>+COEFyDISTR_FET!G254</f>
        <v>6.3E-2</v>
      </c>
      <c r="G249" s="403">
        <f>+COEFyDISTR_FET!H254</f>
        <v>0.85560000000000003</v>
      </c>
      <c r="H249" s="402" t="str">
        <f>IF(D249=0,$A$2,VLOOKUP(COUNTIF(F249,$F$1&amp;$F$2)&amp;COUNTIF(G249,$G$1&amp;$G$2),PARAMETROS!$K$26:$L$30,2,0))</f>
        <v>Entra por Criterio de Dependencia y Percentil</v>
      </c>
      <c r="I249" s="96">
        <f>+COEFyDISTR_FET!AA254</f>
        <v>1.7945440940500001E-3</v>
      </c>
      <c r="J249" s="97">
        <f t="shared" si="24"/>
        <v>11402</v>
      </c>
      <c r="K249" s="97">
        <f t="shared" si="25"/>
        <v>11203</v>
      </c>
      <c r="L249" t="str">
        <f t="shared" si="26"/>
        <v>RÍO IBÁÑEZ</v>
      </c>
      <c r="M249" t="str">
        <f t="shared" si="27"/>
        <v>Entra por Criterio de Dependencia y Percentil</v>
      </c>
      <c r="N249" s="97">
        <f t="shared" si="28"/>
        <v>11402</v>
      </c>
      <c r="O249" s="97">
        <f t="shared" si="29"/>
        <v>11203</v>
      </c>
      <c r="P249" t="str">
        <f t="shared" si="30"/>
        <v>RÍO IBÁÑEZ</v>
      </c>
      <c r="Q249" s="96">
        <f t="shared" si="31"/>
        <v>1.7945440940500001E-3</v>
      </c>
      <c r="R249" s="96"/>
      <c r="S249">
        <f>+COEFyDISTR_MINERO!A254</f>
        <v>11402</v>
      </c>
      <c r="T249">
        <f>+COEFyDISTR_MINERO!B254</f>
        <v>11203</v>
      </c>
      <c r="U249" t="str">
        <f>+COEFyDISTR_MINERO!C254</f>
        <v>RÍO IBÁÑEZ</v>
      </c>
      <c r="V249" s="96">
        <f>+COEFyDISTR_MINERO!X254</f>
        <v>0</v>
      </c>
      <c r="W249" s="6" t="str">
        <f>+COEFyDISTR_MINERO!D254</f>
        <v>No</v>
      </c>
      <c r="X249" s="96"/>
      <c r="Y249" s="96"/>
      <c r="Z249" s="1">
        <v>13117</v>
      </c>
      <c r="AA249" s="1">
        <v>13155</v>
      </c>
      <c r="AB249" s="1" t="str">
        <v>LO PRADO</v>
      </c>
      <c r="AC249" s="1" t="str">
        <v>Entra por Criterio de Dependencia y Percentil</v>
      </c>
      <c r="AF249" s="1">
        <v>13117</v>
      </c>
      <c r="AG249" s="1">
        <v>13155</v>
      </c>
      <c r="AH249" s="1" t="str">
        <v>LO PRADO</v>
      </c>
      <c r="AI249" s="405">
        <v>9.4365959655500001E-3</v>
      </c>
    </row>
    <row r="250" spans="1:35" ht="3" customHeight="1" x14ac:dyDescent="0.25">
      <c r="A250" s="5">
        <f>+COEFyDISTR_FET!A255</f>
        <v>12101</v>
      </c>
      <c r="B250" s="5">
        <f>+COEFyDISTR_FET!B255</f>
        <v>12205</v>
      </c>
      <c r="C250" t="str">
        <f>+COEFyDISTR_FET!C255</f>
        <v>PUNTA ARENAS</v>
      </c>
      <c r="D250" s="31">
        <f>+COEFyDISTR_FET!D255</f>
        <v>24758659</v>
      </c>
      <c r="E250" s="31">
        <f>+COEFyDISTR_FET!E255</f>
        <v>11081574.266000001</v>
      </c>
      <c r="F250" s="403">
        <f>+COEFyDISTR_FET!G255</f>
        <v>0.88600000000000001</v>
      </c>
      <c r="G250" s="403">
        <f>+COEFyDISTR_FET!H255</f>
        <v>0.30919999999999997</v>
      </c>
      <c r="H250" s="402" t="str">
        <f>IF(D250=0,$A$2,VLOOKUP(COUNTIF(F250,$F$1&amp;$F$2)&amp;COUNTIF(G250,$G$1&amp;$G$2),PARAMETROS!$K$26:$L$30,2,0))</f>
        <v>Sin Acceso</v>
      </c>
      <c r="I250" s="96">
        <f>+COEFyDISTR_FET!AA255</f>
        <v>0</v>
      </c>
      <c r="J250" s="97">
        <f t="shared" si="24"/>
        <v>12101</v>
      </c>
      <c r="K250" s="97">
        <f t="shared" si="25"/>
        <v>12205</v>
      </c>
      <c r="L250" t="str">
        <f t="shared" si="26"/>
        <v>PUNTA ARENAS</v>
      </c>
      <c r="M250" t="str">
        <f t="shared" si="27"/>
        <v>Sin Acceso</v>
      </c>
      <c r="N250" s="97">
        <f t="shared" si="28"/>
        <v>12101</v>
      </c>
      <c r="O250" s="97">
        <f t="shared" si="29"/>
        <v>12205</v>
      </c>
      <c r="P250" t="str">
        <f t="shared" si="30"/>
        <v>PUNTA ARENAS</v>
      </c>
      <c r="Q250" s="96">
        <f t="shared" si="31"/>
        <v>0</v>
      </c>
      <c r="R250" s="96"/>
      <c r="S250">
        <f>+COEFyDISTR_MINERO!A255</f>
        <v>12101</v>
      </c>
      <c r="T250">
        <f>+COEFyDISTR_MINERO!B255</f>
        <v>12205</v>
      </c>
      <c r="U250" t="str">
        <f>+COEFyDISTR_MINERO!C255</f>
        <v>PUNTA ARENAS</v>
      </c>
      <c r="V250" s="96">
        <f>+COEFyDISTR_MINERO!X255</f>
        <v>0</v>
      </c>
      <c r="W250" s="6" t="str">
        <f>+COEFyDISTR_MINERO!D255</f>
        <v>No</v>
      </c>
      <c r="X250" s="96"/>
      <c r="Y250" s="96"/>
      <c r="Z250" s="1">
        <v>13119</v>
      </c>
      <c r="AA250" s="1">
        <v>13109</v>
      </c>
      <c r="AB250" s="1" t="str">
        <v>MAIPÚ</v>
      </c>
      <c r="AC250" s="1" t="str">
        <v>Entra por Criterio de Dependencia</v>
      </c>
      <c r="AF250" s="1">
        <v>13119</v>
      </c>
      <c r="AG250" s="1">
        <v>13109</v>
      </c>
      <c r="AH250" s="1" t="str">
        <v>MAIPÚ</v>
      </c>
      <c r="AI250" s="405">
        <v>2.271192483455E-2</v>
      </c>
    </row>
    <row r="251" spans="1:35" ht="3" customHeight="1" x14ac:dyDescent="0.25">
      <c r="A251" s="5">
        <f>+COEFyDISTR_FET!A256</f>
        <v>12102</v>
      </c>
      <c r="B251" s="5">
        <f>+COEFyDISTR_FET!B256</f>
        <v>12206</v>
      </c>
      <c r="C251" t="str">
        <f>+COEFyDISTR_FET!C256</f>
        <v>LAGUNA BLANCA</v>
      </c>
      <c r="D251" s="31">
        <f>+COEFyDISTR_FET!D256</f>
        <v>260967</v>
      </c>
      <c r="E251" s="31">
        <f>+COEFyDISTR_FET!E256</f>
        <v>1784575.5889999999</v>
      </c>
      <c r="F251" s="403">
        <f>+COEFyDISTR_FET!G256</f>
        <v>8.0000000000000002E-3</v>
      </c>
      <c r="G251" s="403">
        <f>+COEFyDISTR_FET!H256</f>
        <v>0.87239999999999995</v>
      </c>
      <c r="H251" s="402" t="str">
        <f>IF(D251=0,$A$2,VLOOKUP(COUNTIF(F251,$F$1&amp;$F$2)&amp;COUNTIF(G251,$G$1&amp;$G$2),PARAMETROS!$K$26:$L$30,2,0))</f>
        <v>Entra por Criterio de Dependencia y Percentil</v>
      </c>
      <c r="I251" s="96">
        <f>+COEFyDISTR_FET!AA256</f>
        <v>1.6593555388500002E-3</v>
      </c>
      <c r="J251" s="97">
        <f t="shared" si="24"/>
        <v>12102</v>
      </c>
      <c r="K251" s="97">
        <f t="shared" si="25"/>
        <v>12206</v>
      </c>
      <c r="L251" t="str">
        <f t="shared" si="26"/>
        <v>LAGUNA BLANCA</v>
      </c>
      <c r="M251" t="str">
        <f t="shared" si="27"/>
        <v>Entra por Criterio de Dependencia y Percentil</v>
      </c>
      <c r="N251" s="97">
        <f t="shared" si="28"/>
        <v>12102</v>
      </c>
      <c r="O251" s="97">
        <f t="shared" si="29"/>
        <v>12206</v>
      </c>
      <c r="P251" t="str">
        <f t="shared" si="30"/>
        <v>LAGUNA BLANCA</v>
      </c>
      <c r="Q251" s="96">
        <f t="shared" si="31"/>
        <v>1.6593555388500002E-3</v>
      </c>
      <c r="R251" s="96"/>
      <c r="S251">
        <f>+COEFyDISTR_MINERO!A256</f>
        <v>12102</v>
      </c>
      <c r="T251">
        <f>+COEFyDISTR_MINERO!B256</f>
        <v>12206</v>
      </c>
      <c r="U251" t="str">
        <f>+COEFyDISTR_MINERO!C256</f>
        <v>LAGUNA BLANCA</v>
      </c>
      <c r="V251" s="96">
        <f>+COEFyDISTR_MINERO!X256</f>
        <v>0</v>
      </c>
      <c r="W251" s="6" t="str">
        <f>+COEFyDISTR_MINERO!D256</f>
        <v>No</v>
      </c>
      <c r="X251" s="96"/>
      <c r="Y251" s="96"/>
      <c r="Z251" s="1">
        <v>13121</v>
      </c>
      <c r="AA251" s="1">
        <v>13162</v>
      </c>
      <c r="AB251" s="1" t="str">
        <v>PEDRO AGUIRRE CERDA</v>
      </c>
      <c r="AC251" s="1" t="str">
        <v>Entra por Criterio de Dependencia y Percentil</v>
      </c>
      <c r="AF251" s="1">
        <v>13121</v>
      </c>
      <c r="AG251" s="1">
        <v>13162</v>
      </c>
      <c r="AH251" s="1" t="str">
        <v>PEDRO AGUIRRE CERDA</v>
      </c>
      <c r="AI251" s="405">
        <v>7.3786727100499999E-3</v>
      </c>
    </row>
    <row r="252" spans="1:35" ht="3" customHeight="1" x14ac:dyDescent="0.25">
      <c r="A252" s="5">
        <f>+COEFyDISTR_FET!A257</f>
        <v>12103</v>
      </c>
      <c r="B252" s="5">
        <f>+COEFyDISTR_FET!B257</f>
        <v>12202</v>
      </c>
      <c r="C252" t="str">
        <f>+COEFyDISTR_FET!C257</f>
        <v>RÍO VERDE</v>
      </c>
      <c r="D252" s="31">
        <f>+COEFyDISTR_FET!D257</f>
        <v>1108508</v>
      </c>
      <c r="E252" s="31">
        <f>+COEFyDISTR_FET!E257</f>
        <v>1775937.7279999999</v>
      </c>
      <c r="F252" s="403">
        <f>+COEFyDISTR_FET!G257</f>
        <v>5.7000000000000002E-2</v>
      </c>
      <c r="G252" s="403">
        <f>+COEFyDISTR_FET!H257</f>
        <v>0.61570000000000003</v>
      </c>
      <c r="H252" s="402" t="str">
        <f>IF(D252=0,$A$2,VLOOKUP(COUNTIF(F252,$F$1&amp;$F$2)&amp;COUNTIF(G252,$G$1&amp;$G$2),PARAMETROS!$K$26:$L$30,2,0))</f>
        <v>Entra por Criterio de Dependencia y Percentil</v>
      </c>
      <c r="I252" s="96">
        <f>+COEFyDISTR_FET!AA257</f>
        <v>1.6586605302500001E-3</v>
      </c>
      <c r="J252" s="97">
        <f t="shared" si="24"/>
        <v>12103</v>
      </c>
      <c r="K252" s="97">
        <f t="shared" si="25"/>
        <v>12202</v>
      </c>
      <c r="L252" t="str">
        <f t="shared" si="26"/>
        <v>RÍO VERDE</v>
      </c>
      <c r="M252" t="str">
        <f t="shared" si="27"/>
        <v>Entra por Criterio de Dependencia y Percentil</v>
      </c>
      <c r="N252" s="97">
        <f t="shared" si="28"/>
        <v>12103</v>
      </c>
      <c r="O252" s="97">
        <f t="shared" si="29"/>
        <v>12202</v>
      </c>
      <c r="P252" t="str">
        <f t="shared" si="30"/>
        <v>RÍO VERDE</v>
      </c>
      <c r="Q252" s="96">
        <f t="shared" si="31"/>
        <v>1.6586605302500001E-3</v>
      </c>
      <c r="R252" s="96"/>
      <c r="S252">
        <f>+COEFyDISTR_MINERO!A257</f>
        <v>12103</v>
      </c>
      <c r="T252">
        <f>+COEFyDISTR_MINERO!B257</f>
        <v>12202</v>
      </c>
      <c r="U252" t="str">
        <f>+COEFyDISTR_MINERO!C257</f>
        <v>RÍO VERDE</v>
      </c>
      <c r="V252" s="96">
        <f>+COEFyDISTR_MINERO!X257</f>
        <v>0</v>
      </c>
      <c r="W252" s="6" t="str">
        <f>+COEFyDISTR_MINERO!D257</f>
        <v>No</v>
      </c>
      <c r="X252" s="96"/>
      <c r="Y252" s="96"/>
      <c r="Z252" s="1">
        <v>13131</v>
      </c>
      <c r="AA252" s="1">
        <v>13153</v>
      </c>
      <c r="AB252" s="1" t="str">
        <v>SAN RAMÓN</v>
      </c>
      <c r="AC252" s="1" t="str">
        <v>Entra por Criterio de Dependencia y Percentil</v>
      </c>
      <c r="AF252" s="1">
        <v>13131</v>
      </c>
      <c r="AG252" s="1">
        <v>13153</v>
      </c>
      <c r="AH252" s="1" t="str">
        <v>SAN RAMÓN</v>
      </c>
      <c r="AI252" s="405">
        <v>7.27407568625E-3</v>
      </c>
    </row>
    <row r="253" spans="1:35" ht="3" customHeight="1" x14ac:dyDescent="0.25">
      <c r="A253" s="5">
        <f>+COEFyDISTR_FET!A258</f>
        <v>12104</v>
      </c>
      <c r="B253" s="5">
        <f>+COEFyDISTR_FET!B258</f>
        <v>12204</v>
      </c>
      <c r="C253" t="str">
        <f>+COEFyDISTR_FET!C258</f>
        <v>SAN GREGORIO</v>
      </c>
      <c r="D253" s="31">
        <f>+COEFyDISTR_FET!D258</f>
        <v>582772</v>
      </c>
      <c r="E253" s="31">
        <f>+COEFyDISTR_FET!E258</f>
        <v>1789227.686</v>
      </c>
      <c r="F253" s="403">
        <f>+COEFyDISTR_FET!G258</f>
        <v>2.8000000000000001E-2</v>
      </c>
      <c r="G253" s="403">
        <f>+COEFyDISTR_FET!H258</f>
        <v>0.75429999999999997</v>
      </c>
      <c r="H253" s="402" t="str">
        <f>IF(D253=0,$A$2,VLOOKUP(COUNTIF(F253,$F$1&amp;$F$2)&amp;COUNTIF(G253,$G$1&amp;$G$2),PARAMETROS!$K$26:$L$30,2,0))</f>
        <v>Entra por Criterio de Dependencia y Percentil</v>
      </c>
      <c r="I253" s="96">
        <f>+COEFyDISTR_FET!AA258</f>
        <v>1.66876669245E-3</v>
      </c>
      <c r="J253" s="97">
        <f t="shared" si="24"/>
        <v>12104</v>
      </c>
      <c r="K253" s="97">
        <f t="shared" si="25"/>
        <v>12204</v>
      </c>
      <c r="L253" t="str">
        <f t="shared" si="26"/>
        <v>SAN GREGORIO</v>
      </c>
      <c r="M253" t="str">
        <f t="shared" si="27"/>
        <v>Entra por Criterio de Dependencia y Percentil</v>
      </c>
      <c r="N253" s="97">
        <f t="shared" si="28"/>
        <v>12104</v>
      </c>
      <c r="O253" s="97">
        <f t="shared" si="29"/>
        <v>12204</v>
      </c>
      <c r="P253" t="str">
        <f t="shared" si="30"/>
        <v>SAN GREGORIO</v>
      </c>
      <c r="Q253" s="96">
        <f t="shared" si="31"/>
        <v>1.66876669245E-3</v>
      </c>
      <c r="R253" s="96"/>
      <c r="S253">
        <f>+COEFyDISTR_MINERO!A258</f>
        <v>12104</v>
      </c>
      <c r="T253">
        <f>+COEFyDISTR_MINERO!B258</f>
        <v>12204</v>
      </c>
      <c r="U253" t="str">
        <f>+COEFyDISTR_MINERO!C258</f>
        <v>SAN GREGORIO</v>
      </c>
      <c r="V253" s="96">
        <f>+COEFyDISTR_MINERO!X258</f>
        <v>0</v>
      </c>
      <c r="W253" s="6" t="str">
        <f>+COEFyDISTR_MINERO!D258</f>
        <v>No</v>
      </c>
      <c r="X253" s="96"/>
      <c r="Y253" s="96"/>
      <c r="Z253" s="1">
        <v>13201</v>
      </c>
      <c r="AA253" s="1">
        <v>13301</v>
      </c>
      <c r="AB253" s="1" t="str">
        <v>PUENTE ALTO</v>
      </c>
      <c r="AC253" s="1" t="str">
        <v>Entra por Criterio de Dependencia</v>
      </c>
      <c r="AF253" s="1">
        <v>13201</v>
      </c>
      <c r="AG253" s="1">
        <v>13301</v>
      </c>
      <c r="AH253" s="1" t="str">
        <v>PUENTE ALTO</v>
      </c>
      <c r="AI253" s="405">
        <v>4.3943326023850003E-2</v>
      </c>
    </row>
    <row r="254" spans="1:35" ht="3" customHeight="1" x14ac:dyDescent="0.25">
      <c r="A254" s="5">
        <f>+COEFyDISTR_FET!A259</f>
        <v>12201</v>
      </c>
      <c r="B254" s="5">
        <f>+COEFyDISTR_FET!B259</f>
        <v>12401</v>
      </c>
      <c r="C254" t="str">
        <f>+COEFyDISTR_FET!C259</f>
        <v>CABO DE HORNOS</v>
      </c>
      <c r="D254" s="31">
        <f>+COEFyDISTR_FET!D259</f>
        <v>405763</v>
      </c>
      <c r="E254" s="31">
        <f>+COEFyDISTR_FET!E259</f>
        <v>2036339.21</v>
      </c>
      <c r="F254" s="403">
        <f>+COEFyDISTR_FET!G259</f>
        <v>3.4000000000000002E-2</v>
      </c>
      <c r="G254" s="403">
        <f>+COEFyDISTR_FET!H259</f>
        <v>0.83379999999999999</v>
      </c>
      <c r="H254" s="402" t="str">
        <f>IF(D254=0,$A$2,VLOOKUP(COUNTIF(F254,$F$1&amp;$F$2)&amp;COUNTIF(G254,$G$1&amp;$G$2),PARAMETROS!$K$26:$L$30,2,0))</f>
        <v>Entra por Criterio de Dependencia y Percentil</v>
      </c>
      <c r="I254" s="96">
        <f>+COEFyDISTR_FET!AA259</f>
        <v>1.7340096964500002E-3</v>
      </c>
      <c r="J254" s="97">
        <f t="shared" si="24"/>
        <v>12201</v>
      </c>
      <c r="K254" s="97">
        <f t="shared" si="25"/>
        <v>12401</v>
      </c>
      <c r="L254" t="str">
        <f t="shared" si="26"/>
        <v>CABO DE HORNOS</v>
      </c>
      <c r="M254" t="str">
        <f t="shared" si="27"/>
        <v>Entra por Criterio de Dependencia y Percentil</v>
      </c>
      <c r="N254" s="97">
        <f t="shared" si="28"/>
        <v>12201</v>
      </c>
      <c r="O254" s="97">
        <f t="shared" si="29"/>
        <v>12401</v>
      </c>
      <c r="P254" t="str">
        <f t="shared" si="30"/>
        <v>CABO DE HORNOS</v>
      </c>
      <c r="Q254" s="96">
        <f t="shared" si="31"/>
        <v>1.7340096964500002E-3</v>
      </c>
      <c r="R254" s="96"/>
      <c r="S254">
        <f>+COEFyDISTR_MINERO!A259</f>
        <v>12201</v>
      </c>
      <c r="T254">
        <f>+COEFyDISTR_MINERO!B259</f>
        <v>12401</v>
      </c>
      <c r="U254" t="str">
        <f>+COEFyDISTR_MINERO!C259</f>
        <v>CABO DE HORNOS</v>
      </c>
      <c r="V254" s="96">
        <f>+COEFyDISTR_MINERO!X259</f>
        <v>0</v>
      </c>
      <c r="W254" s="6" t="str">
        <f>+COEFyDISTR_MINERO!D259</f>
        <v>No</v>
      </c>
      <c r="X254" s="96"/>
      <c r="Y254" s="96"/>
      <c r="Z254" s="1">
        <v>13202</v>
      </c>
      <c r="AA254" s="1">
        <v>13302</v>
      </c>
      <c r="AB254" s="1" t="str">
        <v>PIRQUE</v>
      </c>
      <c r="AC254" s="1" t="str">
        <v>Entra por Criterio de Percentil</v>
      </c>
      <c r="AF254" s="1">
        <v>13202</v>
      </c>
      <c r="AG254" s="1">
        <v>13302</v>
      </c>
      <c r="AH254" s="1" t="str">
        <v>PIRQUE</v>
      </c>
      <c r="AI254" s="405">
        <v>1.8752693313500001E-3</v>
      </c>
    </row>
    <row r="255" spans="1:35" ht="3" customHeight="1" x14ac:dyDescent="0.25">
      <c r="A255" s="5">
        <f>+COEFyDISTR_FET!A260</f>
        <v>12202</v>
      </c>
      <c r="B255" s="5">
        <f>+COEFyDISTR_FET!B260</f>
        <v>12402</v>
      </c>
      <c r="C255" t="str">
        <f>+COEFyDISTR_FET!C260</f>
        <v>ANTÁRTICA</v>
      </c>
      <c r="D255" s="31">
        <f>+COEFyDISTR_FET!D260</f>
        <v>0</v>
      </c>
      <c r="E255" s="31">
        <f>+COEFyDISTR_FET!E260</f>
        <v>1763076.0419999999</v>
      </c>
      <c r="F255" s="403">
        <f>+COEFyDISTR_FET!G260</f>
        <v>0</v>
      </c>
      <c r="G255" s="403">
        <f>+COEFyDISTR_FET!H260</f>
        <v>1</v>
      </c>
      <c r="H255" s="402" t="str">
        <f>IF(D255=0,$A$2,VLOOKUP(COUNTIF(F255,$F$1&amp;$F$2)&amp;COUNTIF(G255,$G$1&amp;$G$2),PARAMETROS!$K$26:$L$30,2,0))</f>
        <v>Sin Acceso</v>
      </c>
      <c r="I255" s="96">
        <f>+COEFyDISTR_FET!AA260</f>
        <v>0</v>
      </c>
      <c r="J255" s="97">
        <f t="shared" si="24"/>
        <v>12202</v>
      </c>
      <c r="K255" s="97">
        <f t="shared" si="25"/>
        <v>12402</v>
      </c>
      <c r="L255" t="str">
        <f t="shared" si="26"/>
        <v>ANTÁRTICA</v>
      </c>
      <c r="M255" t="str">
        <f t="shared" si="27"/>
        <v>Sin Acceso</v>
      </c>
      <c r="N255" s="97">
        <f t="shared" si="28"/>
        <v>12202</v>
      </c>
      <c r="O255" s="97">
        <f t="shared" si="29"/>
        <v>12402</v>
      </c>
      <c r="P255" t="str">
        <f t="shared" si="30"/>
        <v>ANTÁRTICA</v>
      </c>
      <c r="Q255" s="96">
        <f t="shared" si="31"/>
        <v>0</v>
      </c>
      <c r="R255" s="96"/>
      <c r="S255">
        <f>+COEFyDISTR_MINERO!A260</f>
        <v>12202</v>
      </c>
      <c r="T255">
        <f>+COEFyDISTR_MINERO!B260</f>
        <v>12402</v>
      </c>
      <c r="U255" t="str">
        <f>+COEFyDISTR_MINERO!C260</f>
        <v>ANTÁRTICA</v>
      </c>
      <c r="V255" s="96">
        <f>+COEFyDISTR_MINERO!X260</f>
        <v>0</v>
      </c>
      <c r="W255" s="6" t="str">
        <f>+COEFyDISTR_MINERO!D260</f>
        <v>No</v>
      </c>
      <c r="X255" s="96"/>
      <c r="Y255" s="96"/>
      <c r="Z255" s="1">
        <v>13203</v>
      </c>
      <c r="AA255" s="1">
        <v>13303</v>
      </c>
      <c r="AB255" s="1" t="str">
        <v>SAN JOSÉ DE MAIPO</v>
      </c>
      <c r="AC255" s="1" t="str">
        <v>Entra por Criterio de Percentil</v>
      </c>
      <c r="AF255" s="1">
        <v>13203</v>
      </c>
      <c r="AG255" s="1">
        <v>13303</v>
      </c>
      <c r="AH255" s="1" t="str">
        <v>SAN JOSÉ DE MAIPO</v>
      </c>
      <c r="AI255" s="405">
        <v>1.8680207688500001E-3</v>
      </c>
    </row>
    <row r="256" spans="1:35" ht="3" customHeight="1" x14ac:dyDescent="0.25">
      <c r="A256" s="5">
        <f>+COEFyDISTR_FET!A261</f>
        <v>12301</v>
      </c>
      <c r="B256" s="5">
        <f>+COEFyDISTR_FET!B261</f>
        <v>12301</v>
      </c>
      <c r="C256" t="str">
        <f>+COEFyDISTR_FET!C261</f>
        <v>PORVENIR</v>
      </c>
      <c r="D256" s="31">
        <f>+COEFyDISTR_FET!D261</f>
        <v>1751515</v>
      </c>
      <c r="E256" s="31">
        <f>+COEFyDISTR_FET!E261</f>
        <v>2560597.375</v>
      </c>
      <c r="F256" s="403">
        <f>+COEFyDISTR_FET!G261</f>
        <v>0.20200000000000001</v>
      </c>
      <c r="G256" s="403">
        <f>+COEFyDISTR_FET!H261</f>
        <v>0.59379999999999999</v>
      </c>
      <c r="H256" s="402" t="str">
        <f>IF(D256=0,$A$2,VLOOKUP(COUNTIF(F256,$F$1&amp;$F$2)&amp;COUNTIF(G256,$G$1&amp;$G$2),PARAMETROS!$K$26:$L$30,2,0))</f>
        <v>Entra por Criterio de Dependencia y Percentil</v>
      </c>
      <c r="I256" s="96">
        <f>+COEFyDISTR_FET!AA261</f>
        <v>1.94687937775E-3</v>
      </c>
      <c r="J256" s="97">
        <f t="shared" si="24"/>
        <v>12301</v>
      </c>
      <c r="K256" s="97">
        <f t="shared" si="25"/>
        <v>12301</v>
      </c>
      <c r="L256" t="str">
        <f t="shared" si="26"/>
        <v>PORVENIR</v>
      </c>
      <c r="M256" t="str">
        <f t="shared" si="27"/>
        <v>Entra por Criterio de Dependencia y Percentil</v>
      </c>
      <c r="N256" s="97">
        <f t="shared" si="28"/>
        <v>12301</v>
      </c>
      <c r="O256" s="97">
        <f t="shared" si="29"/>
        <v>12301</v>
      </c>
      <c r="P256" t="str">
        <f t="shared" si="30"/>
        <v>PORVENIR</v>
      </c>
      <c r="Q256" s="96">
        <f t="shared" si="31"/>
        <v>1.94687937775E-3</v>
      </c>
      <c r="R256" s="96"/>
      <c r="S256">
        <f>+COEFyDISTR_MINERO!A261</f>
        <v>12301</v>
      </c>
      <c r="T256">
        <f>+COEFyDISTR_MINERO!B261</f>
        <v>12301</v>
      </c>
      <c r="U256" t="str">
        <f>+COEFyDISTR_MINERO!C261</f>
        <v>PORVENIR</v>
      </c>
      <c r="V256" s="96">
        <f>+COEFyDISTR_MINERO!X261</f>
        <v>0</v>
      </c>
      <c r="W256" s="6" t="str">
        <f>+COEFyDISTR_MINERO!D261</f>
        <v>No</v>
      </c>
      <c r="X256" s="96"/>
      <c r="Y256" s="96"/>
      <c r="Z256" s="1">
        <v>13303</v>
      </c>
      <c r="AA256" s="1">
        <v>13203</v>
      </c>
      <c r="AB256" s="1" t="str">
        <v>TILTIL</v>
      </c>
      <c r="AC256" s="1" t="str">
        <v>Entra por Criterio de Percentil</v>
      </c>
      <c r="AF256" s="1">
        <v>13303</v>
      </c>
      <c r="AG256" s="1">
        <v>13203</v>
      </c>
      <c r="AH256" s="1" t="str">
        <v>TILTIL</v>
      </c>
      <c r="AI256" s="405">
        <v>2.0239005165500002E-3</v>
      </c>
    </row>
    <row r="257" spans="1:35" ht="3" customHeight="1" x14ac:dyDescent="0.25">
      <c r="A257" s="5">
        <f>+COEFyDISTR_FET!A262</f>
        <v>12302</v>
      </c>
      <c r="B257" s="5">
        <f>+COEFyDISTR_FET!B262</f>
        <v>12302</v>
      </c>
      <c r="C257" t="str">
        <f>+COEFyDISTR_FET!C262</f>
        <v>PRIMAVERA</v>
      </c>
      <c r="D257" s="31">
        <f>+COEFyDISTR_FET!D262</f>
        <v>224666</v>
      </c>
      <c r="E257" s="31">
        <f>+COEFyDISTR_FET!E262</f>
        <v>1844267.0689999999</v>
      </c>
      <c r="F257" s="403">
        <f>+COEFyDISTR_FET!G262</f>
        <v>1.0999999999999999E-2</v>
      </c>
      <c r="G257" s="403">
        <f>+COEFyDISTR_FET!H262</f>
        <v>0.89139999999999997</v>
      </c>
      <c r="H257" s="402" t="str">
        <f>IF(D257=0,$A$2,VLOOKUP(COUNTIF(F257,$F$1&amp;$F$2)&amp;COUNTIF(G257,$G$1&amp;$G$2),PARAMETROS!$K$26:$L$30,2,0))</f>
        <v>Entra por Criterio de Dependencia y Percentil</v>
      </c>
      <c r="I257" s="96">
        <f>+COEFyDISTR_FET!AA262</f>
        <v>1.6849718006500002E-3</v>
      </c>
      <c r="J257" s="97">
        <f t="shared" si="24"/>
        <v>12302</v>
      </c>
      <c r="K257" s="97">
        <f t="shared" si="25"/>
        <v>12302</v>
      </c>
      <c r="L257" t="str">
        <f t="shared" si="26"/>
        <v>PRIMAVERA</v>
      </c>
      <c r="M257" t="str">
        <f t="shared" si="27"/>
        <v>Entra por Criterio de Dependencia y Percentil</v>
      </c>
      <c r="N257" s="97">
        <f t="shared" si="28"/>
        <v>12302</v>
      </c>
      <c r="O257" s="97">
        <f t="shared" si="29"/>
        <v>12302</v>
      </c>
      <c r="P257" t="str">
        <f t="shared" si="30"/>
        <v>PRIMAVERA</v>
      </c>
      <c r="Q257" s="96">
        <f t="shared" si="31"/>
        <v>1.6849718006500002E-3</v>
      </c>
      <c r="R257" s="96"/>
      <c r="S257">
        <f>+COEFyDISTR_MINERO!A262</f>
        <v>12302</v>
      </c>
      <c r="T257">
        <f>+COEFyDISTR_MINERO!B262</f>
        <v>12302</v>
      </c>
      <c r="U257" t="str">
        <f>+COEFyDISTR_MINERO!C262</f>
        <v>PRIMAVERA</v>
      </c>
      <c r="V257" s="96">
        <f>+COEFyDISTR_MINERO!X262</f>
        <v>0</v>
      </c>
      <c r="W257" s="6" t="str">
        <f>+COEFyDISTR_MINERO!D262</f>
        <v>No</v>
      </c>
      <c r="X257" s="96"/>
      <c r="Y257" s="96"/>
      <c r="Z257" s="1">
        <v>13402</v>
      </c>
      <c r="AA257" s="1">
        <v>13403</v>
      </c>
      <c r="AB257" s="1" t="str">
        <v>BUIN</v>
      </c>
      <c r="AC257" s="1" t="str">
        <v>Entra por Criterio de Percentil</v>
      </c>
      <c r="AF257" s="1">
        <v>13402</v>
      </c>
      <c r="AG257" s="1">
        <v>13403</v>
      </c>
      <c r="AH257" s="1" t="str">
        <v>BUIN</v>
      </c>
      <c r="AI257" s="405">
        <v>3.4523596536499999E-3</v>
      </c>
    </row>
    <row r="258" spans="1:35" ht="3" customHeight="1" x14ac:dyDescent="0.25">
      <c r="A258" s="5">
        <f>+COEFyDISTR_FET!A263</f>
        <v>12303</v>
      </c>
      <c r="B258" s="5">
        <f>+COEFyDISTR_FET!B263</f>
        <v>12304</v>
      </c>
      <c r="C258" t="str">
        <f>+COEFyDISTR_FET!C263</f>
        <v>TIMAUKEL</v>
      </c>
      <c r="D258" s="31">
        <f>+COEFyDISTR_FET!D263</f>
        <v>123098</v>
      </c>
      <c r="E258" s="31">
        <f>+COEFyDISTR_FET!E263</f>
        <v>1890109.459</v>
      </c>
      <c r="F258" s="403">
        <f>+COEFyDISTR_FET!G263</f>
        <v>2E-3</v>
      </c>
      <c r="G258" s="403">
        <f>+COEFyDISTR_FET!H263</f>
        <v>0.93889999999999996</v>
      </c>
      <c r="H258" s="402" t="str">
        <f>IF(D258=0,$A$2,VLOOKUP(COUNTIF(F258,$F$1&amp;$F$2)&amp;COUNTIF(G258,$G$1&amp;$G$2),PARAMETROS!$K$26:$L$30,2,0))</f>
        <v>Entra por Criterio de Dependencia y Percentil</v>
      </c>
      <c r="I258" s="96">
        <f>+COEFyDISTR_FET!AA263</f>
        <v>1.68216711415E-3</v>
      </c>
      <c r="J258" s="97">
        <f t="shared" si="24"/>
        <v>12303</v>
      </c>
      <c r="K258" s="97">
        <f t="shared" si="25"/>
        <v>12304</v>
      </c>
      <c r="L258" t="str">
        <f t="shared" si="26"/>
        <v>TIMAUKEL</v>
      </c>
      <c r="M258" t="str">
        <f t="shared" si="27"/>
        <v>Entra por Criterio de Dependencia y Percentil</v>
      </c>
      <c r="N258" s="97">
        <f t="shared" si="28"/>
        <v>12303</v>
      </c>
      <c r="O258" s="97">
        <f t="shared" si="29"/>
        <v>12304</v>
      </c>
      <c r="P258" t="str">
        <f t="shared" si="30"/>
        <v>TIMAUKEL</v>
      </c>
      <c r="Q258" s="96">
        <f t="shared" si="31"/>
        <v>1.68216711415E-3</v>
      </c>
      <c r="R258" s="96"/>
      <c r="S258">
        <f>+COEFyDISTR_MINERO!A263</f>
        <v>12303</v>
      </c>
      <c r="T258">
        <f>+COEFyDISTR_MINERO!B263</f>
        <v>12304</v>
      </c>
      <c r="U258" t="str">
        <f>+COEFyDISTR_MINERO!C263</f>
        <v>TIMAUKEL</v>
      </c>
      <c r="V258" s="96">
        <f>+COEFyDISTR_MINERO!X263</f>
        <v>0</v>
      </c>
      <c r="W258" s="6" t="str">
        <f>+COEFyDISTR_MINERO!D263</f>
        <v>No</v>
      </c>
      <c r="X258" s="96"/>
      <c r="Y258" s="96"/>
      <c r="Z258" s="1">
        <v>13403</v>
      </c>
      <c r="AA258" s="1">
        <v>13402</v>
      </c>
      <c r="AB258" s="1" t="str">
        <v>CALERA DE TANGO</v>
      </c>
      <c r="AC258" s="1" t="str">
        <v>Entra por Criterio de Percentil</v>
      </c>
      <c r="AF258" s="1">
        <v>13403</v>
      </c>
      <c r="AG258" s="1">
        <v>13402</v>
      </c>
      <c r="AH258" s="1" t="str">
        <v>CALERA DE TANGO</v>
      </c>
      <c r="AI258" s="405">
        <v>1.9086228535500002E-3</v>
      </c>
    </row>
    <row r="259" spans="1:35" ht="3" customHeight="1" x14ac:dyDescent="0.25">
      <c r="A259" s="5">
        <f>+COEFyDISTR_FET!A264</f>
        <v>12401</v>
      </c>
      <c r="B259" s="5">
        <f>+COEFyDISTR_FET!B264</f>
        <v>12101</v>
      </c>
      <c r="C259" t="str">
        <f>+COEFyDISTR_FET!C264</f>
        <v>NATALES</v>
      </c>
      <c r="D259" s="31">
        <f>+COEFyDISTR_FET!D264</f>
        <v>5355782</v>
      </c>
      <c r="E259" s="31">
        <f>+COEFyDISTR_FET!E264</f>
        <v>5677577.3760000002</v>
      </c>
      <c r="F259" s="403">
        <f>+COEFyDISTR_FET!G264</f>
        <v>0.62</v>
      </c>
      <c r="G259" s="403">
        <f>+COEFyDISTR_FET!H264</f>
        <v>0.51459999999999995</v>
      </c>
      <c r="H259" s="402" t="str">
        <f>IF(D259=0,$A$2,VLOOKUP(COUNTIF(F259,$F$1&amp;$F$2)&amp;COUNTIF(G259,$G$1&amp;$G$2),PARAMETROS!$K$26:$L$30,2,0))</f>
        <v>Entra por Criterio de Dependencia y Percentil</v>
      </c>
      <c r="I259" s="96">
        <f>+COEFyDISTR_FET!AA264</f>
        <v>2.22831168075E-3</v>
      </c>
      <c r="J259" s="97">
        <f t="shared" si="24"/>
        <v>12401</v>
      </c>
      <c r="K259" s="97">
        <f t="shared" si="25"/>
        <v>12101</v>
      </c>
      <c r="L259" t="str">
        <f t="shared" si="26"/>
        <v>NATALES</v>
      </c>
      <c r="M259" t="str">
        <f t="shared" si="27"/>
        <v>Entra por Criterio de Dependencia y Percentil</v>
      </c>
      <c r="N259" s="97">
        <f t="shared" si="28"/>
        <v>12401</v>
      </c>
      <c r="O259" s="97">
        <f t="shared" si="29"/>
        <v>12101</v>
      </c>
      <c r="P259" t="str">
        <f t="shared" si="30"/>
        <v>NATALES</v>
      </c>
      <c r="Q259" s="96">
        <f t="shared" si="31"/>
        <v>2.22831168075E-3</v>
      </c>
      <c r="R259" s="96"/>
      <c r="S259">
        <f>+COEFyDISTR_MINERO!A264</f>
        <v>12401</v>
      </c>
      <c r="T259">
        <f>+COEFyDISTR_MINERO!B264</f>
        <v>12101</v>
      </c>
      <c r="U259" t="str">
        <f>+COEFyDISTR_MINERO!C264</f>
        <v>NATALES</v>
      </c>
      <c r="V259" s="96">
        <f>+COEFyDISTR_MINERO!X264</f>
        <v>0</v>
      </c>
      <c r="W259" s="6" t="str">
        <f>+COEFyDISTR_MINERO!D264</f>
        <v>No</v>
      </c>
      <c r="X259" s="96"/>
      <c r="Y259" s="96"/>
      <c r="Z259" s="1">
        <v>13404</v>
      </c>
      <c r="AA259" s="1">
        <v>13404</v>
      </c>
      <c r="AB259" s="1" t="str">
        <v>PAINE</v>
      </c>
      <c r="AC259" s="1" t="str">
        <v>Entra por Criterio de Percentil</v>
      </c>
      <c r="AF259" s="1">
        <v>13404</v>
      </c>
      <c r="AG259" s="1">
        <v>13404</v>
      </c>
      <c r="AH259" s="1" t="str">
        <v>PAINE</v>
      </c>
      <c r="AI259" s="405">
        <v>3.0590750394499998E-3</v>
      </c>
    </row>
    <row r="260" spans="1:35" ht="3" customHeight="1" x14ac:dyDescent="0.25">
      <c r="A260" s="5">
        <f>+COEFyDISTR_FET!A265</f>
        <v>12402</v>
      </c>
      <c r="B260" s="5">
        <f>+COEFyDISTR_FET!B265</f>
        <v>12103</v>
      </c>
      <c r="C260" t="str">
        <f>+COEFyDISTR_FET!C265</f>
        <v>TORRES DEL PAINE</v>
      </c>
      <c r="D260" s="31">
        <f>+COEFyDISTR_FET!D265</f>
        <v>539323</v>
      </c>
      <c r="E260" s="31">
        <f>+COEFyDISTR_FET!E265</f>
        <v>1796414.9040000001</v>
      </c>
      <c r="F260" s="403">
        <f>+COEFyDISTR_FET!G265</f>
        <v>2.5999999999999999E-2</v>
      </c>
      <c r="G260" s="403">
        <f>+COEFyDISTR_FET!H265</f>
        <v>0.76910000000000001</v>
      </c>
      <c r="H260" s="402" t="str">
        <f>IF(D260=0,$A$2,VLOOKUP(COUNTIF(F260,$F$1&amp;$F$2)&amp;COUNTIF(G260,$G$1&amp;$G$2),PARAMETROS!$K$26:$L$30,2,0))</f>
        <v>Entra por Criterio de Dependencia y Percentil</v>
      </c>
      <c r="I260" s="96">
        <f>+COEFyDISTR_FET!AA265</f>
        <v>1.6676845074500002E-3</v>
      </c>
      <c r="J260" s="97">
        <f t="shared" ref="J260:J323" si="32">+A260</f>
        <v>12402</v>
      </c>
      <c r="K260" s="97">
        <f t="shared" ref="K260:K323" si="33">+B260</f>
        <v>12103</v>
      </c>
      <c r="L260" t="str">
        <f t="shared" ref="L260:L323" si="34">+C260</f>
        <v>TORRES DEL PAINE</v>
      </c>
      <c r="M260" t="str">
        <f t="shared" ref="M260:M323" si="35">+H260</f>
        <v>Entra por Criterio de Dependencia y Percentil</v>
      </c>
      <c r="N260" s="97">
        <f t="shared" ref="N260:N323" si="36">+J260</f>
        <v>12402</v>
      </c>
      <c r="O260" s="97">
        <f t="shared" ref="O260:O323" si="37">+K260</f>
        <v>12103</v>
      </c>
      <c r="P260" t="str">
        <f t="shared" ref="P260:P323" si="38">+L260</f>
        <v>TORRES DEL PAINE</v>
      </c>
      <c r="Q260" s="96">
        <f t="shared" ref="Q260:Q323" si="39">+I260</f>
        <v>1.6676845074500002E-3</v>
      </c>
      <c r="R260" s="96"/>
      <c r="S260">
        <f>+COEFyDISTR_MINERO!A265</f>
        <v>12402</v>
      </c>
      <c r="T260">
        <f>+COEFyDISTR_MINERO!B265</f>
        <v>12103</v>
      </c>
      <c r="U260" t="str">
        <f>+COEFyDISTR_MINERO!C265</f>
        <v>TORRES DEL PAINE</v>
      </c>
      <c r="V260" s="96">
        <f>+COEFyDISTR_MINERO!X265</f>
        <v>0</v>
      </c>
      <c r="W260" s="6" t="str">
        <f>+COEFyDISTR_MINERO!D265</f>
        <v>No</v>
      </c>
      <c r="X260" s="96"/>
      <c r="Y260" s="96"/>
      <c r="Z260" s="1">
        <v>13501</v>
      </c>
      <c r="AA260" s="1">
        <v>13601</v>
      </c>
      <c r="AB260" s="1" t="str">
        <v>MELIPILLA</v>
      </c>
      <c r="AC260" s="1" t="str">
        <v>Entra por Criterio de Dependencia</v>
      </c>
      <c r="AF260" s="1">
        <v>13501</v>
      </c>
      <c r="AG260" s="1">
        <v>13601</v>
      </c>
      <c r="AH260" s="1" t="str">
        <v>MELIPILLA</v>
      </c>
      <c r="AI260" s="405">
        <v>1.014095064955E-2</v>
      </c>
    </row>
    <row r="261" spans="1:35" ht="3" customHeight="1" x14ac:dyDescent="0.25">
      <c r="A261" s="5">
        <f>+COEFyDISTR_FET!A266</f>
        <v>13101</v>
      </c>
      <c r="B261" s="5">
        <f>+COEFyDISTR_FET!B266</f>
        <v>13101</v>
      </c>
      <c r="C261" t="str">
        <f>+COEFyDISTR_FET!C266</f>
        <v>SANTIAGO</v>
      </c>
      <c r="D261" s="31">
        <f>+COEFyDISTR_FET!D266</f>
        <v>123162816</v>
      </c>
      <c r="E261" s="31">
        <f>+COEFyDISTR_FET!E266</f>
        <v>14431124.450999999</v>
      </c>
      <c r="F261" s="403">
        <f>+COEFyDISTR_FET!G266</f>
        <v>0.997</v>
      </c>
      <c r="G261" s="403">
        <f>+COEFyDISTR_FET!H266</f>
        <v>0.10489999999999999</v>
      </c>
      <c r="H261" s="402" t="str">
        <f>IF(D261=0,$A$2,VLOOKUP(COUNTIF(F261,$F$1&amp;$F$2)&amp;COUNTIF(G261,$G$1&amp;$G$2),PARAMETROS!$K$26:$L$30,2,0))</f>
        <v>Sin Acceso</v>
      </c>
      <c r="I261" s="96">
        <f>+COEFyDISTR_FET!AA266</f>
        <v>0</v>
      </c>
      <c r="J261" s="97">
        <f t="shared" si="32"/>
        <v>13101</v>
      </c>
      <c r="K261" s="97">
        <f t="shared" si="33"/>
        <v>13101</v>
      </c>
      <c r="L261" t="str">
        <f t="shared" si="34"/>
        <v>SANTIAGO</v>
      </c>
      <c r="M261" t="str">
        <f t="shared" si="35"/>
        <v>Sin Acceso</v>
      </c>
      <c r="N261" s="97">
        <f t="shared" si="36"/>
        <v>13101</v>
      </c>
      <c r="O261" s="97">
        <f t="shared" si="37"/>
        <v>13101</v>
      </c>
      <c r="P261" t="str">
        <f t="shared" si="38"/>
        <v>SANTIAGO</v>
      </c>
      <c r="Q261" s="96">
        <f t="shared" si="39"/>
        <v>0</v>
      </c>
      <c r="R261" s="96"/>
      <c r="S261">
        <f>+COEFyDISTR_MINERO!A266</f>
        <v>13101</v>
      </c>
      <c r="T261">
        <f>+COEFyDISTR_MINERO!B266</f>
        <v>13101</v>
      </c>
      <c r="U261" t="str">
        <f>+COEFyDISTR_MINERO!C266</f>
        <v>SANTIAGO</v>
      </c>
      <c r="V261" s="96">
        <f>+COEFyDISTR_MINERO!X266</f>
        <v>0</v>
      </c>
      <c r="W261" s="6" t="str">
        <f>+COEFyDISTR_MINERO!D266</f>
        <v>No</v>
      </c>
      <c r="X261" s="96"/>
      <c r="Y261" s="96"/>
      <c r="Z261" s="1">
        <v>13502</v>
      </c>
      <c r="AA261" s="1">
        <v>13605</v>
      </c>
      <c r="AB261" s="1" t="str">
        <v>ALHUÉ</v>
      </c>
      <c r="AC261" s="1" t="str">
        <v>Entra por Criterio de Percentil</v>
      </c>
      <c r="AF261" s="1">
        <v>13502</v>
      </c>
      <c r="AG261" s="1">
        <v>13605</v>
      </c>
      <c r="AH261" s="1" t="str">
        <v>ALHUÉ</v>
      </c>
      <c r="AI261" s="405">
        <v>1.86357326675E-3</v>
      </c>
    </row>
    <row r="262" spans="1:35" ht="3" customHeight="1" x14ac:dyDescent="0.25">
      <c r="A262" s="5">
        <f>+COEFyDISTR_FET!A267</f>
        <v>13102</v>
      </c>
      <c r="B262" s="5">
        <f>+COEFyDISTR_FET!B267</f>
        <v>13166</v>
      </c>
      <c r="C262" t="str">
        <f>+COEFyDISTR_FET!C267</f>
        <v>CERRILLOS</v>
      </c>
      <c r="D262" s="31">
        <f>+COEFyDISTR_FET!D267</f>
        <v>19206241</v>
      </c>
      <c r="E262" s="31">
        <f>+COEFyDISTR_FET!E267</f>
        <v>5678382.8770000003</v>
      </c>
      <c r="F262" s="403">
        <f>+COEFyDISTR_FET!G267</f>
        <v>0.84</v>
      </c>
      <c r="G262" s="403">
        <f>+COEFyDISTR_FET!H267</f>
        <v>0.22819999999999999</v>
      </c>
      <c r="H262" s="402" t="str">
        <f>IF(D262=0,$A$2,VLOOKUP(COUNTIF(F262,$F$1&amp;$F$2)&amp;COUNTIF(G262,$G$1&amp;$G$2),PARAMETROS!$K$26:$L$30,2,0))</f>
        <v>Sin Acceso</v>
      </c>
      <c r="I262" s="96">
        <f>+COEFyDISTR_FET!AA267</f>
        <v>0</v>
      </c>
      <c r="J262" s="97">
        <f t="shared" si="32"/>
        <v>13102</v>
      </c>
      <c r="K262" s="97">
        <f t="shared" si="33"/>
        <v>13166</v>
      </c>
      <c r="L262" t="str">
        <f t="shared" si="34"/>
        <v>CERRILLOS</v>
      </c>
      <c r="M262" t="str">
        <f t="shared" si="35"/>
        <v>Sin Acceso</v>
      </c>
      <c r="N262" s="97">
        <f t="shared" si="36"/>
        <v>13102</v>
      </c>
      <c r="O262" s="97">
        <f t="shared" si="37"/>
        <v>13166</v>
      </c>
      <c r="P262" t="str">
        <f t="shared" si="38"/>
        <v>CERRILLOS</v>
      </c>
      <c r="Q262" s="96">
        <f t="shared" si="39"/>
        <v>0</v>
      </c>
      <c r="R262" s="96"/>
      <c r="S262">
        <f>+COEFyDISTR_MINERO!A267</f>
        <v>13102</v>
      </c>
      <c r="T262">
        <f>+COEFyDISTR_MINERO!B267</f>
        <v>13166</v>
      </c>
      <c r="U262" t="str">
        <f>+COEFyDISTR_MINERO!C267</f>
        <v>CERRILLOS</v>
      </c>
      <c r="V262" s="96">
        <f>+COEFyDISTR_MINERO!X267</f>
        <v>0</v>
      </c>
      <c r="W262" s="6" t="str">
        <f>+COEFyDISTR_MINERO!D267</f>
        <v>No</v>
      </c>
      <c r="X262" s="96"/>
      <c r="Y262" s="96"/>
      <c r="Z262" s="1">
        <v>13503</v>
      </c>
      <c r="AA262" s="1">
        <v>13603</v>
      </c>
      <c r="AB262" s="1" t="str">
        <v>CURACAVÍ</v>
      </c>
      <c r="AC262" s="1" t="str">
        <v>Entra por Criterio de Percentil</v>
      </c>
      <c r="AF262" s="1">
        <v>13503</v>
      </c>
      <c r="AG262" s="1">
        <v>13603</v>
      </c>
      <c r="AH262" s="1" t="str">
        <v>CURACAVÍ</v>
      </c>
      <c r="AI262" s="405">
        <v>2.3528057412500001E-3</v>
      </c>
    </row>
    <row r="263" spans="1:35" ht="3" customHeight="1" x14ac:dyDescent="0.25">
      <c r="A263" s="5">
        <f>+COEFyDISTR_FET!A268</f>
        <v>13103</v>
      </c>
      <c r="B263" s="5">
        <f>+COEFyDISTR_FET!B268</f>
        <v>13156</v>
      </c>
      <c r="C263" t="str">
        <f>+COEFyDISTR_FET!C268</f>
        <v>CERRO NAVIA</v>
      </c>
      <c r="D263" s="31">
        <f>+COEFyDISTR_FET!D268</f>
        <v>3525077</v>
      </c>
      <c r="E263" s="31">
        <f>+COEFyDISTR_FET!E268</f>
        <v>22522704.532000002</v>
      </c>
      <c r="F263" s="403">
        <f>+COEFyDISTR_FET!G268</f>
        <v>0.85499999999999998</v>
      </c>
      <c r="G263" s="403">
        <f>+COEFyDISTR_FET!H268</f>
        <v>0.86470000000000002</v>
      </c>
      <c r="H263" s="402" t="str">
        <f>IF(D263=0,$A$2,VLOOKUP(COUNTIF(F263,$F$1&amp;$F$2)&amp;COUNTIF(G263,$G$1&amp;$G$2),PARAMETROS!$K$26:$L$30,2,0))</f>
        <v>Entra por Criterio de Dependencia</v>
      </c>
      <c r="I263" s="96">
        <f>+COEFyDISTR_FET!AA268</f>
        <v>1.322406989035E-2</v>
      </c>
      <c r="J263" s="97">
        <f t="shared" si="32"/>
        <v>13103</v>
      </c>
      <c r="K263" s="97">
        <f t="shared" si="33"/>
        <v>13156</v>
      </c>
      <c r="L263" t="str">
        <f t="shared" si="34"/>
        <v>CERRO NAVIA</v>
      </c>
      <c r="M263" t="str">
        <f t="shared" si="35"/>
        <v>Entra por Criterio de Dependencia</v>
      </c>
      <c r="N263" s="97">
        <f t="shared" si="36"/>
        <v>13103</v>
      </c>
      <c r="O263" s="97">
        <f t="shared" si="37"/>
        <v>13156</v>
      </c>
      <c r="P263" t="str">
        <f t="shared" si="38"/>
        <v>CERRO NAVIA</v>
      </c>
      <c r="Q263" s="96">
        <f t="shared" si="39"/>
        <v>1.322406989035E-2</v>
      </c>
      <c r="R263" s="96"/>
      <c r="S263">
        <f>+COEFyDISTR_MINERO!A268</f>
        <v>13103</v>
      </c>
      <c r="T263">
        <f>+COEFyDISTR_MINERO!B268</f>
        <v>13156</v>
      </c>
      <c r="U263" t="str">
        <f>+COEFyDISTR_MINERO!C268</f>
        <v>CERRO NAVIA</v>
      </c>
      <c r="V263" s="96">
        <f>+COEFyDISTR_MINERO!X268</f>
        <v>0</v>
      </c>
      <c r="W263" s="6" t="str">
        <f>+COEFyDISTR_MINERO!D268</f>
        <v>No</v>
      </c>
      <c r="X263" s="96"/>
      <c r="Y263" s="96"/>
      <c r="Z263" s="1">
        <v>13504</v>
      </c>
      <c r="AA263" s="1">
        <v>13602</v>
      </c>
      <c r="AB263" s="1" t="str">
        <v>MARÍA PINTO</v>
      </c>
      <c r="AC263" s="1" t="str">
        <v>Entra por Criterio de Percentil</v>
      </c>
      <c r="AF263" s="1">
        <v>13504</v>
      </c>
      <c r="AG263" s="1">
        <v>13602</v>
      </c>
      <c r="AH263" s="1" t="str">
        <v>MARÍA PINTO</v>
      </c>
      <c r="AI263" s="405">
        <v>1.98422437095E-3</v>
      </c>
    </row>
    <row r="264" spans="1:35" ht="3" customHeight="1" x14ac:dyDescent="0.25">
      <c r="A264" s="5">
        <f>+COEFyDISTR_FET!A269</f>
        <v>13104</v>
      </c>
      <c r="B264" s="5">
        <f>+COEFyDISTR_FET!B269</f>
        <v>13127</v>
      </c>
      <c r="C264" t="str">
        <f>+COEFyDISTR_FET!C269</f>
        <v>CONCHALÍ</v>
      </c>
      <c r="D264" s="31">
        <f>+COEFyDISTR_FET!D269</f>
        <v>10751595</v>
      </c>
      <c r="E264" s="31">
        <f>+COEFyDISTR_FET!E269</f>
        <v>14581575.199999999</v>
      </c>
      <c r="F264" s="403">
        <f>+COEFyDISTR_FET!G269</f>
        <v>0.84899999999999998</v>
      </c>
      <c r="G264" s="403">
        <f>+COEFyDISTR_FET!H269</f>
        <v>0.5756</v>
      </c>
      <c r="H264" s="402" t="str">
        <f>IF(D264=0,$A$2,VLOOKUP(COUNTIF(F264,$F$1&amp;$F$2)&amp;COUNTIF(G264,$G$1&amp;$G$2),PARAMETROS!$K$26:$L$30,2,0))</f>
        <v>Entra por Criterio de Dependencia</v>
      </c>
      <c r="I264" s="96">
        <f>+COEFyDISTR_FET!AA269</f>
        <v>7.5327701872500005E-3</v>
      </c>
      <c r="J264" s="97">
        <f t="shared" si="32"/>
        <v>13104</v>
      </c>
      <c r="K264" s="97">
        <f t="shared" si="33"/>
        <v>13127</v>
      </c>
      <c r="L264" t="str">
        <f t="shared" si="34"/>
        <v>CONCHALÍ</v>
      </c>
      <c r="M264" t="str">
        <f t="shared" si="35"/>
        <v>Entra por Criterio de Dependencia</v>
      </c>
      <c r="N264" s="97">
        <f t="shared" si="36"/>
        <v>13104</v>
      </c>
      <c r="O264" s="97">
        <f t="shared" si="37"/>
        <v>13127</v>
      </c>
      <c r="P264" t="str">
        <f t="shared" si="38"/>
        <v>CONCHALÍ</v>
      </c>
      <c r="Q264" s="96">
        <f t="shared" si="39"/>
        <v>7.5327701872500005E-3</v>
      </c>
      <c r="R264" s="96"/>
      <c r="S264">
        <f>+COEFyDISTR_MINERO!A269</f>
        <v>13104</v>
      </c>
      <c r="T264">
        <f>+COEFyDISTR_MINERO!B269</f>
        <v>13127</v>
      </c>
      <c r="U264" t="str">
        <f>+COEFyDISTR_MINERO!C269</f>
        <v>CONCHALÍ</v>
      </c>
      <c r="V264" s="96">
        <f>+COEFyDISTR_MINERO!X269</f>
        <v>0</v>
      </c>
      <c r="W264" s="6" t="str">
        <f>+COEFyDISTR_MINERO!D269</f>
        <v>No</v>
      </c>
      <c r="X264" s="96"/>
      <c r="Y264" s="96"/>
      <c r="Z264" s="1">
        <v>13505</v>
      </c>
      <c r="AA264" s="1">
        <v>13604</v>
      </c>
      <c r="AB264" s="1" t="str">
        <v>SAN PEDRO</v>
      </c>
      <c r="AC264" s="1" t="str">
        <v>Entra por Criterio de Dependencia y Percentil</v>
      </c>
      <c r="AF264" s="1">
        <v>13505</v>
      </c>
      <c r="AG264" s="1">
        <v>13604</v>
      </c>
      <c r="AH264" s="1" t="str">
        <v>SAN PEDRO</v>
      </c>
      <c r="AI264" s="405">
        <v>2.0740536198500001E-3</v>
      </c>
    </row>
    <row r="265" spans="1:35" ht="3" customHeight="1" x14ac:dyDescent="0.25">
      <c r="A265" s="5">
        <f>+COEFyDISTR_FET!A270</f>
        <v>13105</v>
      </c>
      <c r="B265" s="5">
        <f>+COEFyDISTR_FET!B270</f>
        <v>13165</v>
      </c>
      <c r="C265" t="str">
        <f>+COEFyDISTR_FET!C270</f>
        <v>EL BOSQUE</v>
      </c>
      <c r="D265" s="31">
        <f>+COEFyDISTR_FET!D270</f>
        <v>7132758</v>
      </c>
      <c r="E265" s="31">
        <f>+COEFyDISTR_FET!E270</f>
        <v>25107357.07</v>
      </c>
      <c r="F265" s="403">
        <f>+COEFyDISTR_FET!G270</f>
        <v>0.872</v>
      </c>
      <c r="G265" s="403">
        <f>+COEFyDISTR_FET!H270</f>
        <v>0.77880000000000005</v>
      </c>
      <c r="H265" s="402" t="str">
        <f>IF(D265=0,$A$2,VLOOKUP(COUNTIF(F265,$F$1&amp;$F$2)&amp;COUNTIF(G265,$G$1&amp;$G$2),PARAMETROS!$K$26:$L$30,2,0))</f>
        <v>Entra por Criterio de Dependencia</v>
      </c>
      <c r="I265" s="96">
        <f>+COEFyDISTR_FET!AA270</f>
        <v>1.397504018425E-2</v>
      </c>
      <c r="J265" s="97">
        <f t="shared" si="32"/>
        <v>13105</v>
      </c>
      <c r="K265" s="97">
        <f t="shared" si="33"/>
        <v>13165</v>
      </c>
      <c r="L265" t="str">
        <f t="shared" si="34"/>
        <v>EL BOSQUE</v>
      </c>
      <c r="M265" t="str">
        <f t="shared" si="35"/>
        <v>Entra por Criterio de Dependencia</v>
      </c>
      <c r="N265" s="97">
        <f t="shared" si="36"/>
        <v>13105</v>
      </c>
      <c r="O265" s="97">
        <f t="shared" si="37"/>
        <v>13165</v>
      </c>
      <c r="P265" t="str">
        <f t="shared" si="38"/>
        <v>EL BOSQUE</v>
      </c>
      <c r="Q265" s="96">
        <f t="shared" si="39"/>
        <v>1.397504018425E-2</v>
      </c>
      <c r="R265" s="96"/>
      <c r="S265">
        <f>+COEFyDISTR_MINERO!A270</f>
        <v>13105</v>
      </c>
      <c r="T265">
        <f>+COEFyDISTR_MINERO!B270</f>
        <v>13165</v>
      </c>
      <c r="U265" t="str">
        <f>+COEFyDISTR_MINERO!C270</f>
        <v>EL BOSQUE</v>
      </c>
      <c r="V265" s="96">
        <f>+COEFyDISTR_MINERO!X270</f>
        <v>0</v>
      </c>
      <c r="W265" s="6" t="str">
        <f>+COEFyDISTR_MINERO!D270</f>
        <v>No</v>
      </c>
      <c r="X265" s="96"/>
      <c r="Y265" s="96"/>
      <c r="Z265" s="1">
        <v>13601</v>
      </c>
      <c r="AA265" s="1">
        <v>13501</v>
      </c>
      <c r="AB265" s="1" t="str">
        <v>TALAGANTE</v>
      </c>
      <c r="AC265" s="1" t="str">
        <v>Entra por Criterio de Dependencia y Percentil</v>
      </c>
      <c r="AF265" s="1">
        <v>13601</v>
      </c>
      <c r="AG265" s="1">
        <v>13501</v>
      </c>
      <c r="AH265" s="1" t="str">
        <v>TALAGANTE</v>
      </c>
      <c r="AI265" s="405">
        <v>4.5542280821499999E-3</v>
      </c>
    </row>
    <row r="266" spans="1:35" ht="3" customHeight="1" x14ac:dyDescent="0.25">
      <c r="A266" s="5">
        <f>+COEFyDISTR_FET!A271</f>
        <v>13106</v>
      </c>
      <c r="B266" s="5">
        <f>+COEFyDISTR_FET!B271</f>
        <v>13157</v>
      </c>
      <c r="C266" t="str">
        <f>+COEFyDISTR_FET!C271</f>
        <v>ESTACIÓN CENTRAL</v>
      </c>
      <c r="D266" s="31">
        <f>+COEFyDISTR_FET!D271</f>
        <v>24368743</v>
      </c>
      <c r="E266" s="31">
        <f>+COEFyDISTR_FET!E271</f>
        <v>13094568.564999999</v>
      </c>
      <c r="F266" s="403">
        <f>+COEFyDISTR_FET!G271</f>
        <v>0.89800000000000002</v>
      </c>
      <c r="G266" s="403">
        <f>+COEFyDISTR_FET!H271</f>
        <v>0.34949999999999998</v>
      </c>
      <c r="H266" s="402" t="str">
        <f>IF(D266=0,$A$2,VLOOKUP(COUNTIF(F266,$F$1&amp;$F$2)&amp;COUNTIF(G266,$G$1&amp;$G$2),PARAMETROS!$K$26:$L$30,2,0))</f>
        <v>Sin Acceso</v>
      </c>
      <c r="I266" s="96">
        <f>+COEFyDISTR_FET!AA271</f>
        <v>0</v>
      </c>
      <c r="J266" s="97">
        <f t="shared" si="32"/>
        <v>13106</v>
      </c>
      <c r="K266" s="97">
        <f t="shared" si="33"/>
        <v>13157</v>
      </c>
      <c r="L266" t="str">
        <f t="shared" si="34"/>
        <v>ESTACIÓN CENTRAL</v>
      </c>
      <c r="M266" t="str">
        <f t="shared" si="35"/>
        <v>Sin Acceso</v>
      </c>
      <c r="N266" s="97">
        <f t="shared" si="36"/>
        <v>13106</v>
      </c>
      <c r="O266" s="97">
        <f t="shared" si="37"/>
        <v>13157</v>
      </c>
      <c r="P266" t="str">
        <f t="shared" si="38"/>
        <v>ESTACIÓN CENTRAL</v>
      </c>
      <c r="Q266" s="96">
        <f t="shared" si="39"/>
        <v>0</v>
      </c>
      <c r="R266" s="96"/>
      <c r="S266">
        <f>+COEFyDISTR_MINERO!A271</f>
        <v>13106</v>
      </c>
      <c r="T266">
        <f>+COEFyDISTR_MINERO!B271</f>
        <v>13157</v>
      </c>
      <c r="U266" t="str">
        <f>+COEFyDISTR_MINERO!C271</f>
        <v>ESTACIÓN CENTRAL</v>
      </c>
      <c r="V266" s="96">
        <f>+COEFyDISTR_MINERO!X271</f>
        <v>0</v>
      </c>
      <c r="W266" s="6" t="str">
        <f>+COEFyDISTR_MINERO!D271</f>
        <v>No</v>
      </c>
      <c r="X266" s="96"/>
      <c r="Y266" s="96"/>
      <c r="Z266" s="1">
        <v>13602</v>
      </c>
      <c r="AA266" s="1">
        <v>13503</v>
      </c>
      <c r="AB266" s="1" t="str">
        <v>EL MONTE</v>
      </c>
      <c r="AC266" s="1" t="str">
        <v>Entra por Criterio de Dependencia y Percentil</v>
      </c>
      <c r="AF266" s="1">
        <v>13602</v>
      </c>
      <c r="AG266" s="1">
        <v>13503</v>
      </c>
      <c r="AH266" s="1" t="str">
        <v>EL MONTE</v>
      </c>
      <c r="AI266" s="405">
        <v>3.3491161136500001E-3</v>
      </c>
    </row>
    <row r="267" spans="1:35" ht="3" customHeight="1" x14ac:dyDescent="0.25">
      <c r="A267" s="5">
        <f>+COEFyDISTR_FET!A272</f>
        <v>13107</v>
      </c>
      <c r="B267" s="5">
        <f>+COEFyDISTR_FET!B272</f>
        <v>13158</v>
      </c>
      <c r="C267" t="str">
        <f>+COEFyDISTR_FET!C272</f>
        <v>HUECHURABA</v>
      </c>
      <c r="D267" s="31">
        <f>+COEFyDISTR_FET!D272</f>
        <v>43248367</v>
      </c>
      <c r="E267" s="31">
        <f>+COEFyDISTR_FET!E272</f>
        <v>4158652.588</v>
      </c>
      <c r="F267" s="403">
        <f>+COEFyDISTR_FET!G272</f>
        <v>0.91500000000000004</v>
      </c>
      <c r="G267" s="403">
        <f>+COEFyDISTR_FET!H272</f>
        <v>8.77E-2</v>
      </c>
      <c r="H267" s="402" t="str">
        <f>IF(D267=0,$A$2,VLOOKUP(COUNTIF(F267,$F$1&amp;$F$2)&amp;COUNTIF(G267,$G$1&amp;$G$2),PARAMETROS!$K$26:$L$30,2,0))</f>
        <v>Sin Acceso</v>
      </c>
      <c r="I267" s="96">
        <f>+COEFyDISTR_FET!AA272</f>
        <v>0</v>
      </c>
      <c r="J267" s="97">
        <f t="shared" si="32"/>
        <v>13107</v>
      </c>
      <c r="K267" s="97">
        <f t="shared" si="33"/>
        <v>13158</v>
      </c>
      <c r="L267" t="str">
        <f t="shared" si="34"/>
        <v>HUECHURABA</v>
      </c>
      <c r="M267" t="str">
        <f t="shared" si="35"/>
        <v>Sin Acceso</v>
      </c>
      <c r="N267" s="97">
        <f t="shared" si="36"/>
        <v>13107</v>
      </c>
      <c r="O267" s="97">
        <f t="shared" si="37"/>
        <v>13158</v>
      </c>
      <c r="P267" t="str">
        <f t="shared" si="38"/>
        <v>HUECHURABA</v>
      </c>
      <c r="Q267" s="96">
        <f t="shared" si="39"/>
        <v>0</v>
      </c>
      <c r="R267" s="96"/>
      <c r="S267">
        <f>+COEFyDISTR_MINERO!A272</f>
        <v>13107</v>
      </c>
      <c r="T267">
        <f>+COEFyDISTR_MINERO!B272</f>
        <v>13158</v>
      </c>
      <c r="U267" t="str">
        <f>+COEFyDISTR_MINERO!C272</f>
        <v>HUECHURABA</v>
      </c>
      <c r="V267" s="96">
        <f>+COEFyDISTR_MINERO!X272</f>
        <v>0</v>
      </c>
      <c r="W267" s="6" t="str">
        <f>+COEFyDISTR_MINERO!D272</f>
        <v>No</v>
      </c>
      <c r="X267" s="96"/>
      <c r="Y267" s="96"/>
      <c r="Z267" s="1">
        <v>13603</v>
      </c>
      <c r="AA267" s="1">
        <v>13502</v>
      </c>
      <c r="AB267" s="1" t="str">
        <v>ISLA DE MAIPO</v>
      </c>
      <c r="AC267" s="1" t="str">
        <v>Entra por Criterio de Percentil</v>
      </c>
      <c r="AF267" s="1">
        <v>13603</v>
      </c>
      <c r="AG267" s="1">
        <v>13502</v>
      </c>
      <c r="AH267" s="1" t="str">
        <v>ISLA DE MAIPO</v>
      </c>
      <c r="AI267" s="405">
        <v>2.4225919320500001E-3</v>
      </c>
    </row>
    <row r="268" spans="1:35" ht="3" customHeight="1" x14ac:dyDescent="0.25">
      <c r="A268" s="5">
        <f>+COEFyDISTR_FET!A273</f>
        <v>13108</v>
      </c>
      <c r="B268" s="5">
        <f>+COEFyDISTR_FET!B273</f>
        <v>13167</v>
      </c>
      <c r="C268" t="str">
        <f>+COEFyDISTR_FET!C273</f>
        <v>INDEPENDENCIA</v>
      </c>
      <c r="D268" s="31">
        <f>+COEFyDISTR_FET!D273</f>
        <v>13577166</v>
      </c>
      <c r="E268" s="31">
        <f>+COEFyDISTR_FET!E273</f>
        <v>11479421.459000001</v>
      </c>
      <c r="F268" s="403">
        <f>+COEFyDISTR_FET!G273</f>
        <v>0.84599999999999997</v>
      </c>
      <c r="G268" s="403">
        <f>+COEFyDISTR_FET!H273</f>
        <v>0.45810000000000001</v>
      </c>
      <c r="H268" s="402" t="str">
        <f>IF(D268=0,$A$2,VLOOKUP(COUNTIF(F268,$F$1&amp;$F$2)&amp;COUNTIF(G268,$G$1&amp;$G$2),PARAMETROS!$K$26:$L$30,2,0))</f>
        <v>Sin Acceso</v>
      </c>
      <c r="I268" s="96">
        <f>+COEFyDISTR_FET!AA273</f>
        <v>0</v>
      </c>
      <c r="J268" s="97">
        <f t="shared" si="32"/>
        <v>13108</v>
      </c>
      <c r="K268" s="97">
        <f t="shared" si="33"/>
        <v>13167</v>
      </c>
      <c r="L268" t="str">
        <f t="shared" si="34"/>
        <v>INDEPENDENCIA</v>
      </c>
      <c r="M268" t="str">
        <f t="shared" si="35"/>
        <v>Sin Acceso</v>
      </c>
      <c r="N268" s="97">
        <f t="shared" si="36"/>
        <v>13108</v>
      </c>
      <c r="O268" s="97">
        <f t="shared" si="37"/>
        <v>13167</v>
      </c>
      <c r="P268" t="str">
        <f t="shared" si="38"/>
        <v>INDEPENDENCIA</v>
      </c>
      <c r="Q268" s="96">
        <f t="shared" si="39"/>
        <v>0</v>
      </c>
      <c r="R268" s="96"/>
      <c r="S268">
        <f>+COEFyDISTR_MINERO!A273</f>
        <v>13108</v>
      </c>
      <c r="T268">
        <f>+COEFyDISTR_MINERO!B273</f>
        <v>13167</v>
      </c>
      <c r="U268" t="str">
        <f>+COEFyDISTR_MINERO!C273</f>
        <v>INDEPENDENCIA</v>
      </c>
      <c r="V268" s="96">
        <f>+COEFyDISTR_MINERO!X273</f>
        <v>0</v>
      </c>
      <c r="W268" s="6" t="str">
        <f>+COEFyDISTR_MINERO!D273</f>
        <v>No</v>
      </c>
      <c r="X268" s="96"/>
      <c r="Y268" s="96"/>
      <c r="Z268" s="1">
        <v>13604</v>
      </c>
      <c r="AA268" s="1">
        <v>13505</v>
      </c>
      <c r="AB268" s="1" t="str">
        <v>PADRE HURTADO</v>
      </c>
      <c r="AC268" s="1" t="str">
        <v>Entra por Criterio de Percentil</v>
      </c>
      <c r="AF268" s="1">
        <v>13604</v>
      </c>
      <c r="AG268" s="1">
        <v>13505</v>
      </c>
      <c r="AH268" s="1" t="str">
        <v>PADRE HURTADO</v>
      </c>
      <c r="AI268" s="405">
        <v>2.9157218330500001E-3</v>
      </c>
    </row>
    <row r="269" spans="1:35" ht="3" customHeight="1" x14ac:dyDescent="0.25">
      <c r="A269" s="5">
        <f>+COEFyDISTR_FET!A274</f>
        <v>13109</v>
      </c>
      <c r="B269" s="5">
        <f>+COEFyDISTR_FET!B274</f>
        <v>13110</v>
      </c>
      <c r="C269" t="str">
        <f>+COEFyDISTR_FET!C274</f>
        <v>LA CISTERNA</v>
      </c>
      <c r="D269" s="31">
        <f>+COEFyDISTR_FET!D274</f>
        <v>11324057</v>
      </c>
      <c r="E269" s="31">
        <f>+COEFyDISTR_FET!E274</f>
        <v>7076496.3609999996</v>
      </c>
      <c r="F269" s="403">
        <f>+COEFyDISTR_FET!G274</f>
        <v>0.76500000000000001</v>
      </c>
      <c r="G269" s="403">
        <f>+COEFyDISTR_FET!H274</f>
        <v>0.3846</v>
      </c>
      <c r="H269" s="402" t="str">
        <f>IF(D269=0,$A$2,VLOOKUP(COUNTIF(F269,$F$1&amp;$F$2)&amp;COUNTIF(G269,$G$1&amp;$G$2),PARAMETROS!$K$26:$L$30,2,0))</f>
        <v>Entra por Criterio de Percentil</v>
      </c>
      <c r="I269" s="96">
        <f>+COEFyDISTR_FET!AA274</f>
        <v>3.6222925775500001E-3</v>
      </c>
      <c r="J269" s="97">
        <f t="shared" si="32"/>
        <v>13109</v>
      </c>
      <c r="K269" s="97">
        <f t="shared" si="33"/>
        <v>13110</v>
      </c>
      <c r="L269" t="str">
        <f t="shared" si="34"/>
        <v>LA CISTERNA</v>
      </c>
      <c r="M269" t="str">
        <f t="shared" si="35"/>
        <v>Entra por Criterio de Percentil</v>
      </c>
      <c r="N269" s="97">
        <f t="shared" si="36"/>
        <v>13109</v>
      </c>
      <c r="O269" s="97">
        <f t="shared" si="37"/>
        <v>13110</v>
      </c>
      <c r="P269" t="str">
        <f t="shared" si="38"/>
        <v>LA CISTERNA</v>
      </c>
      <c r="Q269" s="96">
        <f t="shared" si="39"/>
        <v>3.6222925775500001E-3</v>
      </c>
      <c r="R269" s="96"/>
      <c r="S269">
        <f>+COEFyDISTR_MINERO!A274</f>
        <v>13109</v>
      </c>
      <c r="T269">
        <f>+COEFyDISTR_MINERO!B274</f>
        <v>13110</v>
      </c>
      <c r="U269" t="str">
        <f>+COEFyDISTR_MINERO!C274</f>
        <v>LA CISTERNA</v>
      </c>
      <c r="V269" s="96">
        <f>+COEFyDISTR_MINERO!X274</f>
        <v>0</v>
      </c>
      <c r="W269" s="6" t="str">
        <f>+COEFyDISTR_MINERO!D274</f>
        <v>No</v>
      </c>
      <c r="X269" s="96"/>
      <c r="Y269" s="96"/>
      <c r="Z269" s="1">
        <v>13605</v>
      </c>
      <c r="AA269" s="1">
        <v>13504</v>
      </c>
      <c r="AB269" s="1" t="str">
        <v>PEÑAFLOR</v>
      </c>
      <c r="AC269" s="1" t="str">
        <v>Entra por Criterio de Dependencia y Percentil</v>
      </c>
      <c r="AF269" s="1">
        <v>13605</v>
      </c>
      <c r="AG269" s="1">
        <v>13504</v>
      </c>
      <c r="AH269" s="1" t="str">
        <v>PEÑAFLOR</v>
      </c>
      <c r="AI269" s="405">
        <v>6.4534733238500001E-3</v>
      </c>
    </row>
    <row r="270" spans="1:35" ht="3" customHeight="1" x14ac:dyDescent="0.25">
      <c r="A270" s="5">
        <f>+COEFyDISTR_FET!A275</f>
        <v>13110</v>
      </c>
      <c r="B270" s="5">
        <f>+COEFyDISTR_FET!B275</f>
        <v>13128</v>
      </c>
      <c r="C270" t="str">
        <f>+COEFyDISTR_FET!C275</f>
        <v>LA FLORIDA</v>
      </c>
      <c r="D270" s="31">
        <f>+COEFyDISTR_FET!D275</f>
        <v>47231246</v>
      </c>
      <c r="E270" s="31">
        <f>+COEFyDISTR_FET!E275</f>
        <v>39278763.813000001</v>
      </c>
      <c r="F270" s="403">
        <f>+COEFyDISTR_FET!G275</f>
        <v>0.97299999999999998</v>
      </c>
      <c r="G270" s="403">
        <f>+COEFyDISTR_FET!H275</f>
        <v>0.45400000000000001</v>
      </c>
      <c r="H270" s="402" t="str">
        <f>IF(D270=0,$A$2,VLOOKUP(COUNTIF(F270,$F$1&amp;$F$2)&amp;COUNTIF(G270,$G$1&amp;$G$2),PARAMETROS!$K$26:$L$30,2,0))</f>
        <v>Sin Acceso</v>
      </c>
      <c r="I270" s="96">
        <f>+COEFyDISTR_FET!AA275</f>
        <v>0</v>
      </c>
      <c r="J270" s="97">
        <f t="shared" si="32"/>
        <v>13110</v>
      </c>
      <c r="K270" s="97">
        <f t="shared" si="33"/>
        <v>13128</v>
      </c>
      <c r="L270" t="str">
        <f t="shared" si="34"/>
        <v>LA FLORIDA</v>
      </c>
      <c r="M270" t="str">
        <f t="shared" si="35"/>
        <v>Sin Acceso</v>
      </c>
      <c r="N270" s="97">
        <f t="shared" si="36"/>
        <v>13110</v>
      </c>
      <c r="O270" s="97">
        <f t="shared" si="37"/>
        <v>13128</v>
      </c>
      <c r="P270" t="str">
        <f t="shared" si="38"/>
        <v>LA FLORIDA</v>
      </c>
      <c r="Q270" s="96">
        <f t="shared" si="39"/>
        <v>0</v>
      </c>
      <c r="R270" s="96"/>
      <c r="S270">
        <f>+COEFyDISTR_MINERO!A275</f>
        <v>13110</v>
      </c>
      <c r="T270">
        <f>+COEFyDISTR_MINERO!B275</f>
        <v>13128</v>
      </c>
      <c r="U270" t="str">
        <f>+COEFyDISTR_MINERO!C275</f>
        <v>LA FLORIDA</v>
      </c>
      <c r="V270" s="96">
        <f>+COEFyDISTR_MINERO!X275</f>
        <v>0</v>
      </c>
      <c r="W270" s="6" t="str">
        <f>+COEFyDISTR_MINERO!D275</f>
        <v>No</v>
      </c>
      <c r="X270" s="96"/>
      <c r="Y270" s="96"/>
      <c r="Z270" s="1">
        <v>14101</v>
      </c>
      <c r="AA270" s="1">
        <v>10101</v>
      </c>
      <c r="AB270" s="1" t="str">
        <v>VALDIVIA</v>
      </c>
      <c r="AC270" s="1" t="str">
        <v>Entra por Criterio de Dependencia</v>
      </c>
      <c r="AF270" s="1">
        <v>14101</v>
      </c>
      <c r="AG270" s="1">
        <v>10101</v>
      </c>
      <c r="AH270" s="1" t="str">
        <v>VALDIVIA</v>
      </c>
      <c r="AI270" s="405">
        <v>4.35693228515E-3</v>
      </c>
    </row>
    <row r="271" spans="1:35" ht="3" customHeight="1" x14ac:dyDescent="0.25">
      <c r="A271" s="5">
        <f>+COEFyDISTR_FET!A276</f>
        <v>13111</v>
      </c>
      <c r="B271" s="5">
        <f>+COEFyDISTR_FET!B276</f>
        <v>13131</v>
      </c>
      <c r="C271" t="str">
        <f>+COEFyDISTR_FET!C276</f>
        <v>LA GRANJA</v>
      </c>
      <c r="D271" s="31">
        <f>+COEFyDISTR_FET!D276</f>
        <v>5272131</v>
      </c>
      <c r="E271" s="31">
        <f>+COEFyDISTR_FET!E276</f>
        <v>18406572.169</v>
      </c>
      <c r="F271" s="403">
        <f>+COEFyDISTR_FET!G276</f>
        <v>0.82799999999999996</v>
      </c>
      <c r="G271" s="403">
        <f>+COEFyDISTR_FET!H276</f>
        <v>0.77729999999999999</v>
      </c>
      <c r="H271" s="402" t="str">
        <f>IF(D271=0,$A$2,VLOOKUP(COUNTIF(F271,$F$1&amp;$F$2)&amp;COUNTIF(G271,$G$1&amp;$G$2),PARAMETROS!$K$26:$L$30,2,0))</f>
        <v>Entra por Criterio de Dependencia</v>
      </c>
      <c r="I271" s="96">
        <f>+COEFyDISTR_FET!AA276</f>
        <v>1.0025860470449999E-2</v>
      </c>
      <c r="J271" s="97">
        <f t="shared" si="32"/>
        <v>13111</v>
      </c>
      <c r="K271" s="97">
        <f t="shared" si="33"/>
        <v>13131</v>
      </c>
      <c r="L271" t="str">
        <f t="shared" si="34"/>
        <v>LA GRANJA</v>
      </c>
      <c r="M271" t="str">
        <f t="shared" si="35"/>
        <v>Entra por Criterio de Dependencia</v>
      </c>
      <c r="N271" s="97">
        <f t="shared" si="36"/>
        <v>13111</v>
      </c>
      <c r="O271" s="97">
        <f t="shared" si="37"/>
        <v>13131</v>
      </c>
      <c r="P271" t="str">
        <f t="shared" si="38"/>
        <v>LA GRANJA</v>
      </c>
      <c r="Q271" s="96">
        <f t="shared" si="39"/>
        <v>1.0025860470449999E-2</v>
      </c>
      <c r="R271" s="96"/>
      <c r="S271">
        <f>+COEFyDISTR_MINERO!A276</f>
        <v>13111</v>
      </c>
      <c r="T271">
        <f>+COEFyDISTR_MINERO!B276</f>
        <v>13131</v>
      </c>
      <c r="U271" t="str">
        <f>+COEFyDISTR_MINERO!C276</f>
        <v>LA GRANJA</v>
      </c>
      <c r="V271" s="96">
        <f>+COEFyDISTR_MINERO!X276</f>
        <v>0</v>
      </c>
      <c r="W271" s="6" t="str">
        <f>+COEFyDISTR_MINERO!D276</f>
        <v>No</v>
      </c>
      <c r="X271" s="96"/>
      <c r="Y271" s="96"/>
      <c r="Z271" s="1">
        <v>14102</v>
      </c>
      <c r="AA271" s="1">
        <v>10106</v>
      </c>
      <c r="AB271" s="1" t="str">
        <v>CORRAL</v>
      </c>
      <c r="AC271" s="1" t="str">
        <v>Entra por Criterio de Dependencia y Percentil</v>
      </c>
      <c r="AF271" s="1">
        <v>14102</v>
      </c>
      <c r="AG271" s="1">
        <v>10106</v>
      </c>
      <c r="AH271" s="1" t="str">
        <v>CORRAL</v>
      </c>
      <c r="AI271" s="405">
        <v>1.9686362652500001E-3</v>
      </c>
    </row>
    <row r="272" spans="1:35" ht="3" customHeight="1" x14ac:dyDescent="0.25">
      <c r="A272" s="5">
        <f>+COEFyDISTR_FET!A277</f>
        <v>13112</v>
      </c>
      <c r="B272" s="5">
        <f>+COEFyDISTR_FET!B277</f>
        <v>13154</v>
      </c>
      <c r="C272" t="str">
        <f>+COEFyDISTR_FET!C277</f>
        <v>LA PINTANA</v>
      </c>
      <c r="D272" s="31">
        <f>+COEFyDISTR_FET!D277</f>
        <v>6715421</v>
      </c>
      <c r="E272" s="31">
        <f>+COEFyDISTR_FET!E277</f>
        <v>31398211.717</v>
      </c>
      <c r="F272" s="403">
        <f>+COEFyDISTR_FET!G277</f>
        <v>0.90400000000000003</v>
      </c>
      <c r="G272" s="403">
        <f>+COEFyDISTR_FET!H277</f>
        <v>0.82379999999999998</v>
      </c>
      <c r="H272" s="402" t="str">
        <f>IF(D272=0,$A$2,VLOOKUP(COUNTIF(F272,$F$1&amp;$F$2)&amp;COUNTIF(G272,$G$1&amp;$G$2),PARAMETROS!$K$26:$L$30,2,0))</f>
        <v>Entra por Criterio de Dependencia</v>
      </c>
      <c r="I272" s="96">
        <f>+COEFyDISTR_FET!AA277</f>
        <v>1.7302020337949999E-2</v>
      </c>
      <c r="J272" s="97">
        <f t="shared" si="32"/>
        <v>13112</v>
      </c>
      <c r="K272" s="97">
        <f t="shared" si="33"/>
        <v>13154</v>
      </c>
      <c r="L272" t="str">
        <f t="shared" si="34"/>
        <v>LA PINTANA</v>
      </c>
      <c r="M272" t="str">
        <f t="shared" si="35"/>
        <v>Entra por Criterio de Dependencia</v>
      </c>
      <c r="N272" s="97">
        <f t="shared" si="36"/>
        <v>13112</v>
      </c>
      <c r="O272" s="97">
        <f t="shared" si="37"/>
        <v>13154</v>
      </c>
      <c r="P272" t="str">
        <f t="shared" si="38"/>
        <v>LA PINTANA</v>
      </c>
      <c r="Q272" s="96">
        <f t="shared" si="39"/>
        <v>1.7302020337949999E-2</v>
      </c>
      <c r="R272" s="96"/>
      <c r="S272">
        <f>+COEFyDISTR_MINERO!A277</f>
        <v>13112</v>
      </c>
      <c r="T272">
        <f>+COEFyDISTR_MINERO!B277</f>
        <v>13154</v>
      </c>
      <c r="U272" t="str">
        <f>+COEFyDISTR_MINERO!C277</f>
        <v>LA PINTANA</v>
      </c>
      <c r="V272" s="96">
        <f>+COEFyDISTR_MINERO!X277</f>
        <v>0</v>
      </c>
      <c r="W272" s="6" t="str">
        <f>+COEFyDISTR_MINERO!D277</f>
        <v>No</v>
      </c>
      <c r="X272" s="96"/>
      <c r="Y272" s="96"/>
      <c r="Z272" s="1">
        <v>14103</v>
      </c>
      <c r="AA272" s="1">
        <v>10103</v>
      </c>
      <c r="AB272" s="1" t="str">
        <v>LANCO</v>
      </c>
      <c r="AC272" s="1" t="str">
        <v>Entra por Criterio de Dependencia y Percentil</v>
      </c>
      <c r="AF272" s="1">
        <v>14103</v>
      </c>
      <c r="AG272" s="1">
        <v>10103</v>
      </c>
      <c r="AH272" s="1" t="str">
        <v>LANCO</v>
      </c>
      <c r="AI272" s="405">
        <v>2.7480223066500002E-3</v>
      </c>
    </row>
    <row r="273" spans="1:35" ht="3" customHeight="1" x14ac:dyDescent="0.25">
      <c r="A273" s="5">
        <f>+COEFyDISTR_FET!A278</f>
        <v>13113</v>
      </c>
      <c r="B273" s="5">
        <f>+COEFyDISTR_FET!B278</f>
        <v>13132</v>
      </c>
      <c r="C273" t="str">
        <f>+COEFyDISTR_FET!C278</f>
        <v>LA REINA</v>
      </c>
      <c r="D273" s="31">
        <f>+COEFyDISTR_FET!D278</f>
        <v>31019315</v>
      </c>
      <c r="E273" s="31">
        <f>+COEFyDISTR_FET!E278</f>
        <v>2637977.568</v>
      </c>
      <c r="F273" s="403">
        <f>+COEFyDISTR_FET!G278</f>
        <v>0.878</v>
      </c>
      <c r="G273" s="403">
        <f>+COEFyDISTR_FET!H278</f>
        <v>7.8399999999999997E-2</v>
      </c>
      <c r="H273" s="402" t="str">
        <f>IF(D273=0,$A$2,VLOOKUP(COUNTIF(F273,$F$1&amp;$F$2)&amp;COUNTIF(G273,$G$1&amp;$G$2),PARAMETROS!$K$26:$L$30,2,0))</f>
        <v>Sin Acceso</v>
      </c>
      <c r="I273" s="96">
        <f>+COEFyDISTR_FET!AA278</f>
        <v>0</v>
      </c>
      <c r="J273" s="97">
        <f t="shared" si="32"/>
        <v>13113</v>
      </c>
      <c r="K273" s="97">
        <f t="shared" si="33"/>
        <v>13132</v>
      </c>
      <c r="L273" t="str">
        <f t="shared" si="34"/>
        <v>LA REINA</v>
      </c>
      <c r="M273" t="str">
        <f t="shared" si="35"/>
        <v>Sin Acceso</v>
      </c>
      <c r="N273" s="97">
        <f t="shared" si="36"/>
        <v>13113</v>
      </c>
      <c r="O273" s="97">
        <f t="shared" si="37"/>
        <v>13132</v>
      </c>
      <c r="P273" t="str">
        <f t="shared" si="38"/>
        <v>LA REINA</v>
      </c>
      <c r="Q273" s="96">
        <f t="shared" si="39"/>
        <v>0</v>
      </c>
      <c r="R273" s="96"/>
      <c r="S273">
        <f>+COEFyDISTR_MINERO!A278</f>
        <v>13113</v>
      </c>
      <c r="T273">
        <f>+COEFyDISTR_MINERO!B278</f>
        <v>13132</v>
      </c>
      <c r="U273" t="str">
        <f>+COEFyDISTR_MINERO!C278</f>
        <v>LA REINA</v>
      </c>
      <c r="V273" s="96">
        <f>+COEFyDISTR_MINERO!X278</f>
        <v>0</v>
      </c>
      <c r="W273" s="6" t="str">
        <f>+COEFyDISTR_MINERO!D278</f>
        <v>No</v>
      </c>
      <c r="X273" s="96"/>
      <c r="Y273" s="96"/>
      <c r="Z273" s="1">
        <v>14104</v>
      </c>
      <c r="AA273" s="1">
        <v>10104</v>
      </c>
      <c r="AB273" s="1" t="str">
        <v>LOS LAGOS</v>
      </c>
      <c r="AC273" s="1" t="str">
        <v>Entra por Criterio de Dependencia y Percentil</v>
      </c>
      <c r="AF273" s="1">
        <v>14104</v>
      </c>
      <c r="AG273" s="1">
        <v>10104</v>
      </c>
      <c r="AH273" s="1" t="str">
        <v>LOS LAGOS</v>
      </c>
      <c r="AI273" s="405">
        <v>2.3846142271499999E-3</v>
      </c>
    </row>
    <row r="274" spans="1:35" ht="3" customHeight="1" x14ac:dyDescent="0.25">
      <c r="A274" s="5">
        <f>+COEFyDISTR_FET!A279</f>
        <v>13114</v>
      </c>
      <c r="B274" s="5">
        <f>+COEFyDISTR_FET!B279</f>
        <v>13108</v>
      </c>
      <c r="C274" t="str">
        <f>+COEFyDISTR_FET!C279</f>
        <v>LAS CONDES</v>
      </c>
      <c r="D274" s="31">
        <f>+COEFyDISTR_FET!D279</f>
        <v>220242010</v>
      </c>
      <c r="E274" s="31">
        <f>+COEFyDISTR_FET!E279</f>
        <v>5283672.3990000002</v>
      </c>
      <c r="F274" s="403">
        <f>+COEFyDISTR_FET!G279</f>
        <v>1</v>
      </c>
      <c r="G274" s="403">
        <f>+COEFyDISTR_FET!H279</f>
        <v>2.3400000000000001E-2</v>
      </c>
      <c r="H274" s="402" t="str">
        <f>IF(D274=0,$A$2,VLOOKUP(COUNTIF(F274,$F$1&amp;$F$2)&amp;COUNTIF(G274,$G$1&amp;$G$2),PARAMETROS!$K$26:$L$30,2,0))</f>
        <v>Sin Acceso</v>
      </c>
      <c r="I274" s="96">
        <f>+COEFyDISTR_FET!AA279</f>
        <v>0</v>
      </c>
      <c r="J274" s="97">
        <f t="shared" si="32"/>
        <v>13114</v>
      </c>
      <c r="K274" s="97">
        <f t="shared" si="33"/>
        <v>13108</v>
      </c>
      <c r="L274" t="str">
        <f t="shared" si="34"/>
        <v>LAS CONDES</v>
      </c>
      <c r="M274" t="str">
        <f t="shared" si="35"/>
        <v>Sin Acceso</v>
      </c>
      <c r="N274" s="97">
        <f t="shared" si="36"/>
        <v>13114</v>
      </c>
      <c r="O274" s="97">
        <f t="shared" si="37"/>
        <v>13108</v>
      </c>
      <c r="P274" t="str">
        <f t="shared" si="38"/>
        <v>LAS CONDES</v>
      </c>
      <c r="Q274" s="96">
        <f t="shared" si="39"/>
        <v>0</v>
      </c>
      <c r="R274" s="96"/>
      <c r="S274">
        <f>+COEFyDISTR_MINERO!A279</f>
        <v>13114</v>
      </c>
      <c r="T274">
        <f>+COEFyDISTR_MINERO!B279</f>
        <v>13108</v>
      </c>
      <c r="U274" t="str">
        <f>+COEFyDISTR_MINERO!C279</f>
        <v>LAS CONDES</v>
      </c>
      <c r="V274" s="96">
        <f>+COEFyDISTR_MINERO!X279</f>
        <v>0</v>
      </c>
      <c r="W274" s="6" t="str">
        <f>+COEFyDISTR_MINERO!D279</f>
        <v>No</v>
      </c>
      <c r="X274" s="96"/>
      <c r="Y274" s="96"/>
      <c r="Z274" s="1">
        <v>14105</v>
      </c>
      <c r="AA274" s="1">
        <v>10107</v>
      </c>
      <c r="AB274" s="1" t="str">
        <v>MÁFIL</v>
      </c>
      <c r="AC274" s="1" t="str">
        <v>Entra por Criterio de Dependencia y Percentil</v>
      </c>
      <c r="AF274" s="1">
        <v>14105</v>
      </c>
      <c r="AG274" s="1">
        <v>10107</v>
      </c>
      <c r="AH274" s="1" t="str">
        <v>MÁFIL</v>
      </c>
      <c r="AI274" s="405">
        <v>1.8496800398500001E-3</v>
      </c>
    </row>
    <row r="275" spans="1:35" ht="3" customHeight="1" x14ac:dyDescent="0.25">
      <c r="A275" s="5">
        <f>+COEFyDISTR_FET!A280</f>
        <v>13115</v>
      </c>
      <c r="B275" s="5">
        <f>+COEFyDISTR_FET!B280</f>
        <v>13161</v>
      </c>
      <c r="C275" t="str">
        <f>+COEFyDISTR_FET!C280</f>
        <v>LO BARNECHEA</v>
      </c>
      <c r="D275" s="31">
        <f>+COEFyDISTR_FET!D280</f>
        <v>118138043</v>
      </c>
      <c r="E275" s="31">
        <f>+COEFyDISTR_FET!E280</f>
        <v>2704102.4939999999</v>
      </c>
      <c r="F275" s="403">
        <f>+COEFyDISTR_FET!G280</f>
        <v>0.99399999999999999</v>
      </c>
      <c r="G275" s="403">
        <f>+COEFyDISTR_FET!H280</f>
        <v>2.24E-2</v>
      </c>
      <c r="H275" s="402" t="str">
        <f>IF(D275=0,$A$2,VLOOKUP(COUNTIF(F275,$F$1&amp;$F$2)&amp;COUNTIF(G275,$G$1&amp;$G$2),PARAMETROS!$K$26:$L$30,2,0))</f>
        <v>Sin Acceso</v>
      </c>
      <c r="I275" s="96">
        <f>+COEFyDISTR_FET!AA280</f>
        <v>0</v>
      </c>
      <c r="J275" s="97">
        <f t="shared" si="32"/>
        <v>13115</v>
      </c>
      <c r="K275" s="97">
        <f t="shared" si="33"/>
        <v>13161</v>
      </c>
      <c r="L275" t="str">
        <f t="shared" si="34"/>
        <v>LO BARNECHEA</v>
      </c>
      <c r="M275" t="str">
        <f t="shared" si="35"/>
        <v>Sin Acceso</v>
      </c>
      <c r="N275" s="97">
        <f t="shared" si="36"/>
        <v>13115</v>
      </c>
      <c r="O275" s="97">
        <f t="shared" si="37"/>
        <v>13161</v>
      </c>
      <c r="P275" t="str">
        <f t="shared" si="38"/>
        <v>LO BARNECHEA</v>
      </c>
      <c r="Q275" s="96">
        <f t="shared" si="39"/>
        <v>0</v>
      </c>
      <c r="R275" s="96"/>
      <c r="S275">
        <f>+COEFyDISTR_MINERO!A280</f>
        <v>13115</v>
      </c>
      <c r="T275">
        <f>+COEFyDISTR_MINERO!B280</f>
        <v>13161</v>
      </c>
      <c r="U275" t="str">
        <f>+COEFyDISTR_MINERO!C280</f>
        <v>LO BARNECHEA</v>
      </c>
      <c r="V275" s="96">
        <f>+COEFyDISTR_MINERO!X280</f>
        <v>0</v>
      </c>
      <c r="W275" s="6" t="str">
        <f>+COEFyDISTR_MINERO!D280</f>
        <v>No</v>
      </c>
      <c r="X275" s="96"/>
      <c r="Y275" s="96"/>
      <c r="Z275" s="1">
        <v>14106</v>
      </c>
      <c r="AA275" s="1">
        <v>10102</v>
      </c>
      <c r="AB275" s="1" t="str">
        <v>MARIQUINA</v>
      </c>
      <c r="AC275" s="1" t="str">
        <v>Entra por Criterio de Dependencia y Percentil</v>
      </c>
      <c r="AF275" s="1">
        <v>14106</v>
      </c>
      <c r="AG275" s="1">
        <v>10102</v>
      </c>
      <c r="AH275" s="1" t="str">
        <v>MARIQUINA</v>
      </c>
      <c r="AI275" s="405">
        <v>2.8269174680499998E-3</v>
      </c>
    </row>
    <row r="276" spans="1:35" ht="3" customHeight="1" x14ac:dyDescent="0.25">
      <c r="A276" s="5">
        <f>+COEFyDISTR_FET!A281</f>
        <v>13116</v>
      </c>
      <c r="B276" s="5">
        <f>+COEFyDISTR_FET!B281</f>
        <v>13164</v>
      </c>
      <c r="C276" t="str">
        <f>+COEFyDISTR_FET!C281</f>
        <v>LO ESPEJO</v>
      </c>
      <c r="D276" s="31">
        <f>+COEFyDISTR_FET!D281</f>
        <v>4269491</v>
      </c>
      <c r="E276" s="31">
        <f>+COEFyDISTR_FET!E281</f>
        <v>15236332.535</v>
      </c>
      <c r="F276" s="403">
        <f>+COEFyDISTR_FET!G281</f>
        <v>0.77900000000000003</v>
      </c>
      <c r="G276" s="403">
        <f>+COEFyDISTR_FET!H281</f>
        <v>0.78110000000000002</v>
      </c>
      <c r="H276" s="402" t="str">
        <f>IF(D276=0,$A$2,VLOOKUP(COUNTIF(F276,$F$1&amp;$F$2)&amp;COUNTIF(G276,$G$1&amp;$G$2),PARAMETROS!$K$26:$L$30,2,0))</f>
        <v>Entra por Criterio de Dependencia y Percentil</v>
      </c>
      <c r="I276" s="96">
        <f>+COEFyDISTR_FET!AA281</f>
        <v>8.9594290307500012E-3</v>
      </c>
      <c r="J276" s="97">
        <f t="shared" si="32"/>
        <v>13116</v>
      </c>
      <c r="K276" s="97">
        <f t="shared" si="33"/>
        <v>13164</v>
      </c>
      <c r="L276" t="str">
        <f t="shared" si="34"/>
        <v>LO ESPEJO</v>
      </c>
      <c r="M276" t="str">
        <f t="shared" si="35"/>
        <v>Entra por Criterio de Dependencia y Percentil</v>
      </c>
      <c r="N276" s="97">
        <f t="shared" si="36"/>
        <v>13116</v>
      </c>
      <c r="O276" s="97">
        <f t="shared" si="37"/>
        <v>13164</v>
      </c>
      <c r="P276" t="str">
        <f t="shared" si="38"/>
        <v>LO ESPEJO</v>
      </c>
      <c r="Q276" s="96">
        <f t="shared" si="39"/>
        <v>8.9594290307500012E-3</v>
      </c>
      <c r="R276" s="96"/>
      <c r="S276">
        <f>+COEFyDISTR_MINERO!A281</f>
        <v>13116</v>
      </c>
      <c r="T276">
        <f>+COEFyDISTR_MINERO!B281</f>
        <v>13164</v>
      </c>
      <c r="U276" t="str">
        <f>+COEFyDISTR_MINERO!C281</f>
        <v>LO ESPEJO</v>
      </c>
      <c r="V276" s="96">
        <f>+COEFyDISTR_MINERO!X281</f>
        <v>0</v>
      </c>
      <c r="W276" s="6" t="str">
        <f>+COEFyDISTR_MINERO!D281</f>
        <v>No</v>
      </c>
      <c r="X276" s="96"/>
      <c r="Y276" s="96"/>
      <c r="Z276" s="1">
        <v>14107</v>
      </c>
      <c r="AA276" s="1">
        <v>10110</v>
      </c>
      <c r="AB276" s="1" t="str">
        <v>PAILLACO</v>
      </c>
      <c r="AC276" s="1" t="str">
        <v>Entra por Criterio de Dependencia y Percentil</v>
      </c>
      <c r="AF276" s="1">
        <v>14107</v>
      </c>
      <c r="AG276" s="1">
        <v>10110</v>
      </c>
      <c r="AH276" s="1" t="str">
        <v>PAILLACO</v>
      </c>
      <c r="AI276" s="405">
        <v>2.3926090864500003E-3</v>
      </c>
    </row>
    <row r="277" spans="1:35" ht="3" customHeight="1" x14ac:dyDescent="0.25">
      <c r="A277" s="5">
        <f>+COEFyDISTR_FET!A282</f>
        <v>13117</v>
      </c>
      <c r="B277" s="5">
        <f>+COEFyDISTR_FET!B282</f>
        <v>13155</v>
      </c>
      <c r="C277" t="str">
        <f>+COEFyDISTR_FET!C282</f>
        <v>LO PRADO</v>
      </c>
      <c r="D277" s="31">
        <f>+COEFyDISTR_FET!D282</f>
        <v>3588866</v>
      </c>
      <c r="E277" s="31">
        <f>+COEFyDISTR_FET!E282</f>
        <v>16649135.627</v>
      </c>
      <c r="F277" s="403">
        <f>+COEFyDISTR_FET!G282</f>
        <v>0.79400000000000004</v>
      </c>
      <c r="G277" s="403">
        <f>+COEFyDISTR_FET!H282</f>
        <v>0.82269999999999999</v>
      </c>
      <c r="H277" s="402" t="str">
        <f>IF(D277=0,$A$2,VLOOKUP(COUNTIF(F277,$F$1&amp;$F$2)&amp;COUNTIF(G277,$G$1&amp;$G$2),PARAMETROS!$K$26:$L$30,2,0))</f>
        <v>Entra por Criterio de Dependencia y Percentil</v>
      </c>
      <c r="I277" s="96">
        <f>+COEFyDISTR_FET!AA282</f>
        <v>9.4365959655500001E-3</v>
      </c>
      <c r="J277" s="97">
        <f t="shared" si="32"/>
        <v>13117</v>
      </c>
      <c r="K277" s="97">
        <f t="shared" si="33"/>
        <v>13155</v>
      </c>
      <c r="L277" t="str">
        <f t="shared" si="34"/>
        <v>LO PRADO</v>
      </c>
      <c r="M277" t="str">
        <f t="shared" si="35"/>
        <v>Entra por Criterio de Dependencia y Percentil</v>
      </c>
      <c r="N277" s="97">
        <f t="shared" si="36"/>
        <v>13117</v>
      </c>
      <c r="O277" s="97">
        <f t="shared" si="37"/>
        <v>13155</v>
      </c>
      <c r="P277" t="str">
        <f t="shared" si="38"/>
        <v>LO PRADO</v>
      </c>
      <c r="Q277" s="96">
        <f t="shared" si="39"/>
        <v>9.4365959655500001E-3</v>
      </c>
      <c r="R277" s="96"/>
      <c r="S277">
        <f>+COEFyDISTR_MINERO!A282</f>
        <v>13117</v>
      </c>
      <c r="T277">
        <f>+COEFyDISTR_MINERO!B282</f>
        <v>13155</v>
      </c>
      <c r="U277" t="str">
        <f>+COEFyDISTR_MINERO!C282</f>
        <v>LO PRADO</v>
      </c>
      <c r="V277" s="96">
        <f>+COEFyDISTR_MINERO!X282</f>
        <v>0</v>
      </c>
      <c r="W277" s="6" t="str">
        <f>+COEFyDISTR_MINERO!D282</f>
        <v>No</v>
      </c>
      <c r="X277" s="96"/>
      <c r="Y277" s="96"/>
      <c r="Z277" s="1">
        <v>14108</v>
      </c>
      <c r="AA277" s="1">
        <v>10108</v>
      </c>
      <c r="AB277" s="1" t="str">
        <v>PANGUIPULLI</v>
      </c>
      <c r="AC277" s="1" t="str">
        <v>Entra por Criterio de Dependencia y Percentil</v>
      </c>
      <c r="AF277" s="1">
        <v>14108</v>
      </c>
      <c r="AG277" s="1">
        <v>10108</v>
      </c>
      <c r="AH277" s="1" t="str">
        <v>PANGUIPULLI</v>
      </c>
      <c r="AI277" s="405">
        <v>2.7409077215500002E-3</v>
      </c>
    </row>
    <row r="278" spans="1:35" ht="3" customHeight="1" x14ac:dyDescent="0.25">
      <c r="A278" s="5">
        <f>+COEFyDISTR_FET!A283</f>
        <v>13118</v>
      </c>
      <c r="B278" s="5">
        <f>+COEFyDISTR_FET!B283</f>
        <v>13151</v>
      </c>
      <c r="C278" t="str">
        <f>+COEFyDISTR_FET!C283</f>
        <v>MACUL</v>
      </c>
      <c r="D278" s="31">
        <f>+COEFyDISTR_FET!D283</f>
        <v>19664379</v>
      </c>
      <c r="E278" s="31">
        <f>+COEFyDISTR_FET!E283</f>
        <v>5822268.892</v>
      </c>
      <c r="F278" s="403">
        <f>+COEFyDISTR_FET!G283</f>
        <v>0.85199999999999998</v>
      </c>
      <c r="G278" s="403">
        <f>+COEFyDISTR_FET!H283</f>
        <v>0.22839999999999999</v>
      </c>
      <c r="H278" s="402" t="str">
        <f>IF(D278=0,$A$2,VLOOKUP(COUNTIF(F278,$F$1&amp;$F$2)&amp;COUNTIF(G278,$G$1&amp;$G$2),PARAMETROS!$K$26:$L$30,2,0))</f>
        <v>Sin Acceso</v>
      </c>
      <c r="I278" s="96">
        <f>+COEFyDISTR_FET!AA283</f>
        <v>0</v>
      </c>
      <c r="J278" s="97">
        <f t="shared" si="32"/>
        <v>13118</v>
      </c>
      <c r="K278" s="97">
        <f t="shared" si="33"/>
        <v>13151</v>
      </c>
      <c r="L278" t="str">
        <f t="shared" si="34"/>
        <v>MACUL</v>
      </c>
      <c r="M278" t="str">
        <f t="shared" si="35"/>
        <v>Sin Acceso</v>
      </c>
      <c r="N278" s="97">
        <f t="shared" si="36"/>
        <v>13118</v>
      </c>
      <c r="O278" s="97">
        <f t="shared" si="37"/>
        <v>13151</v>
      </c>
      <c r="P278" t="str">
        <f t="shared" si="38"/>
        <v>MACUL</v>
      </c>
      <c r="Q278" s="96">
        <f t="shared" si="39"/>
        <v>0</v>
      </c>
      <c r="R278" s="96"/>
      <c r="S278">
        <f>+COEFyDISTR_MINERO!A283</f>
        <v>13118</v>
      </c>
      <c r="T278">
        <f>+COEFyDISTR_MINERO!B283</f>
        <v>13151</v>
      </c>
      <c r="U278" t="str">
        <f>+COEFyDISTR_MINERO!C283</f>
        <v>MACUL</v>
      </c>
      <c r="V278" s="96">
        <f>+COEFyDISTR_MINERO!X283</f>
        <v>0</v>
      </c>
      <c r="W278" s="6" t="str">
        <f>+COEFyDISTR_MINERO!D283</f>
        <v>No</v>
      </c>
      <c r="X278" s="96"/>
      <c r="Y278" s="96"/>
      <c r="Z278" s="1">
        <v>14201</v>
      </c>
      <c r="AA278" s="1">
        <v>10109</v>
      </c>
      <c r="AB278" s="1" t="str">
        <v>LA UNIÓN</v>
      </c>
      <c r="AC278" s="1" t="str">
        <v>Entra por Criterio de Dependencia y Percentil</v>
      </c>
      <c r="AF278" s="1">
        <v>14201</v>
      </c>
      <c r="AG278" s="1">
        <v>10109</v>
      </c>
      <c r="AH278" s="1" t="str">
        <v>LA UNIÓN</v>
      </c>
      <c r="AI278" s="405">
        <v>2.9866222571500001E-3</v>
      </c>
    </row>
    <row r="279" spans="1:35" ht="3" customHeight="1" x14ac:dyDescent="0.25">
      <c r="A279" s="5">
        <f>+COEFyDISTR_FET!A284</f>
        <v>13119</v>
      </c>
      <c r="B279" s="5">
        <f>+COEFyDISTR_FET!B284</f>
        <v>13109</v>
      </c>
      <c r="C279" t="str">
        <f>+COEFyDISTR_FET!C284</f>
        <v>MAIPÚ</v>
      </c>
      <c r="D279" s="31">
        <f>+COEFyDISTR_FET!D284</f>
        <v>46214701</v>
      </c>
      <c r="E279" s="31">
        <f>+COEFyDISTR_FET!E284</f>
        <v>70095143.068000004</v>
      </c>
      <c r="F279" s="403">
        <f>+COEFyDISTR_FET!G284</f>
        <v>0.99099999999999999</v>
      </c>
      <c r="G279" s="403">
        <f>+COEFyDISTR_FET!H284</f>
        <v>0.60270000000000001</v>
      </c>
      <c r="H279" s="402" t="str">
        <f>IF(D279=0,$A$2,VLOOKUP(COUNTIF(F279,$F$1&amp;$F$2)&amp;COUNTIF(G279,$G$1&amp;$G$2),PARAMETROS!$K$26:$L$30,2,0))</f>
        <v>Entra por Criterio de Dependencia</v>
      </c>
      <c r="I279" s="96">
        <f>+COEFyDISTR_FET!AA284</f>
        <v>2.271192483455E-2</v>
      </c>
      <c r="J279" s="97">
        <f t="shared" si="32"/>
        <v>13119</v>
      </c>
      <c r="K279" s="97">
        <f t="shared" si="33"/>
        <v>13109</v>
      </c>
      <c r="L279" t="str">
        <f t="shared" si="34"/>
        <v>MAIPÚ</v>
      </c>
      <c r="M279" t="str">
        <f t="shared" si="35"/>
        <v>Entra por Criterio de Dependencia</v>
      </c>
      <c r="N279" s="97">
        <f t="shared" si="36"/>
        <v>13119</v>
      </c>
      <c r="O279" s="97">
        <f t="shared" si="37"/>
        <v>13109</v>
      </c>
      <c r="P279" t="str">
        <f t="shared" si="38"/>
        <v>MAIPÚ</v>
      </c>
      <c r="Q279" s="96">
        <f t="shared" si="39"/>
        <v>2.271192483455E-2</v>
      </c>
      <c r="R279" s="96"/>
      <c r="S279">
        <f>+COEFyDISTR_MINERO!A284</f>
        <v>13119</v>
      </c>
      <c r="T279">
        <f>+COEFyDISTR_MINERO!B284</f>
        <v>13109</v>
      </c>
      <c r="U279" t="str">
        <f>+COEFyDISTR_MINERO!C284</f>
        <v>MAIPÚ</v>
      </c>
      <c r="V279" s="96">
        <f>+COEFyDISTR_MINERO!X284</f>
        <v>0</v>
      </c>
      <c r="W279" s="6" t="str">
        <f>+COEFyDISTR_MINERO!D284</f>
        <v>No</v>
      </c>
      <c r="X279" s="96"/>
      <c r="Y279" s="96"/>
      <c r="Z279" s="1">
        <v>14202</v>
      </c>
      <c r="AA279" s="1">
        <v>10105</v>
      </c>
      <c r="AB279" s="1" t="str">
        <v>FUTRONO</v>
      </c>
      <c r="AC279" s="1" t="str">
        <v>Entra por Criterio de Dependencia y Percentil</v>
      </c>
      <c r="AF279" s="1">
        <v>14202</v>
      </c>
      <c r="AG279" s="1">
        <v>10105</v>
      </c>
      <c r="AH279" s="1" t="str">
        <v>FUTRONO</v>
      </c>
      <c r="AI279" s="405">
        <v>2.0673912088500002E-3</v>
      </c>
    </row>
    <row r="280" spans="1:35" ht="3" customHeight="1" x14ac:dyDescent="0.25">
      <c r="A280" s="5">
        <f>+COEFyDISTR_FET!A285</f>
        <v>13120</v>
      </c>
      <c r="B280" s="5">
        <f>+COEFyDISTR_FET!B285</f>
        <v>13105</v>
      </c>
      <c r="C280" t="str">
        <f>+COEFyDISTR_FET!C285</f>
        <v>ÑUÑOA</v>
      </c>
      <c r="D280" s="31">
        <f>+COEFyDISTR_FET!D285</f>
        <v>46387912</v>
      </c>
      <c r="E280" s="31">
        <f>+COEFyDISTR_FET!E285</f>
        <v>4485343.8320000004</v>
      </c>
      <c r="F280" s="403">
        <f>+COEFyDISTR_FET!G285</f>
        <v>0.92700000000000005</v>
      </c>
      <c r="G280" s="403">
        <f>+COEFyDISTR_FET!H285</f>
        <v>8.8200000000000001E-2</v>
      </c>
      <c r="H280" s="402" t="str">
        <f>IF(D280=0,$A$2,VLOOKUP(COUNTIF(F280,$F$1&amp;$F$2)&amp;COUNTIF(G280,$G$1&amp;$G$2),PARAMETROS!$K$26:$L$30,2,0))</f>
        <v>Sin Acceso</v>
      </c>
      <c r="I280" s="96">
        <f>+COEFyDISTR_FET!AA285</f>
        <v>0</v>
      </c>
      <c r="J280" s="97">
        <f t="shared" si="32"/>
        <v>13120</v>
      </c>
      <c r="K280" s="97">
        <f t="shared" si="33"/>
        <v>13105</v>
      </c>
      <c r="L280" t="str">
        <f t="shared" si="34"/>
        <v>ÑUÑOA</v>
      </c>
      <c r="M280" t="str">
        <f t="shared" si="35"/>
        <v>Sin Acceso</v>
      </c>
      <c r="N280" s="97">
        <f t="shared" si="36"/>
        <v>13120</v>
      </c>
      <c r="O280" s="97">
        <f t="shared" si="37"/>
        <v>13105</v>
      </c>
      <c r="P280" t="str">
        <f t="shared" si="38"/>
        <v>ÑUÑOA</v>
      </c>
      <c r="Q280" s="96">
        <f t="shared" si="39"/>
        <v>0</v>
      </c>
      <c r="R280" s="96"/>
      <c r="S280">
        <f>+COEFyDISTR_MINERO!A285</f>
        <v>13120</v>
      </c>
      <c r="T280">
        <f>+COEFyDISTR_MINERO!B285</f>
        <v>13105</v>
      </c>
      <c r="U280" t="str">
        <f>+COEFyDISTR_MINERO!C285</f>
        <v>ÑUÑOA</v>
      </c>
      <c r="V280" s="96">
        <f>+COEFyDISTR_MINERO!X285</f>
        <v>0</v>
      </c>
      <c r="W280" s="6" t="str">
        <f>+COEFyDISTR_MINERO!D285</f>
        <v>No</v>
      </c>
      <c r="X280" s="96"/>
      <c r="Y280" s="96"/>
      <c r="Z280" s="1">
        <v>14203</v>
      </c>
      <c r="AA280" s="1">
        <v>10112</v>
      </c>
      <c r="AB280" s="1" t="str">
        <v>LAGO RANCO</v>
      </c>
      <c r="AC280" s="1" t="str">
        <v>Entra por Criterio de Percentil</v>
      </c>
      <c r="AF280" s="1">
        <v>14203</v>
      </c>
      <c r="AG280" s="1">
        <v>10112</v>
      </c>
      <c r="AH280" s="1" t="str">
        <v>LAGO RANCO</v>
      </c>
      <c r="AI280" s="405">
        <v>1.9887966910500003E-3</v>
      </c>
    </row>
    <row r="281" spans="1:35" ht="3" customHeight="1" x14ac:dyDescent="0.25">
      <c r="A281" s="5">
        <f>+COEFyDISTR_FET!A286</f>
        <v>13121</v>
      </c>
      <c r="B281" s="5">
        <f>+COEFyDISTR_FET!B286</f>
        <v>13162</v>
      </c>
      <c r="C281" t="str">
        <f>+COEFyDISTR_FET!C286</f>
        <v>PEDRO AGUIRRE CERDA</v>
      </c>
      <c r="D281" s="31">
        <f>+COEFyDISTR_FET!D286</f>
        <v>6659302</v>
      </c>
      <c r="E281" s="31">
        <f>+COEFyDISTR_FET!E286</f>
        <v>13986558.49</v>
      </c>
      <c r="F281" s="403">
        <f>+COEFyDISTR_FET!G286</f>
        <v>0.8</v>
      </c>
      <c r="G281" s="403">
        <f>+COEFyDISTR_FET!H286</f>
        <v>0.67749999999999999</v>
      </c>
      <c r="H281" s="402" t="str">
        <f>IF(D281=0,$A$2,VLOOKUP(COUNTIF(F281,$F$1&amp;$F$2)&amp;COUNTIF(G281,$G$1&amp;$G$2),PARAMETROS!$K$26:$L$30,2,0))</f>
        <v>Entra por Criterio de Dependencia y Percentil</v>
      </c>
      <c r="I281" s="96">
        <f>+COEFyDISTR_FET!AA286</f>
        <v>7.3786727100499999E-3</v>
      </c>
      <c r="J281" s="97">
        <f t="shared" si="32"/>
        <v>13121</v>
      </c>
      <c r="K281" s="97">
        <f t="shared" si="33"/>
        <v>13162</v>
      </c>
      <c r="L281" t="str">
        <f t="shared" si="34"/>
        <v>PEDRO AGUIRRE CERDA</v>
      </c>
      <c r="M281" t="str">
        <f t="shared" si="35"/>
        <v>Entra por Criterio de Dependencia y Percentil</v>
      </c>
      <c r="N281" s="97">
        <f t="shared" si="36"/>
        <v>13121</v>
      </c>
      <c r="O281" s="97">
        <f t="shared" si="37"/>
        <v>13162</v>
      </c>
      <c r="P281" t="str">
        <f t="shared" si="38"/>
        <v>PEDRO AGUIRRE CERDA</v>
      </c>
      <c r="Q281" s="96">
        <f t="shared" si="39"/>
        <v>7.3786727100499999E-3</v>
      </c>
      <c r="R281" s="96"/>
      <c r="S281">
        <f>+COEFyDISTR_MINERO!A286</f>
        <v>13121</v>
      </c>
      <c r="T281">
        <f>+COEFyDISTR_MINERO!B286</f>
        <v>13162</v>
      </c>
      <c r="U281" t="str">
        <f>+COEFyDISTR_MINERO!C286</f>
        <v>PEDRO AGUIRRE CERDA</v>
      </c>
      <c r="V281" s="96">
        <f>+COEFyDISTR_MINERO!X286</f>
        <v>0</v>
      </c>
      <c r="W281" s="6" t="str">
        <f>+COEFyDISTR_MINERO!D286</f>
        <v>No</v>
      </c>
      <c r="X281" s="96"/>
      <c r="Y281" s="96"/>
      <c r="Z281" s="1">
        <v>14204</v>
      </c>
      <c r="AA281" s="1">
        <v>10111</v>
      </c>
      <c r="AB281" s="1" t="str">
        <v>RÍO BUENO</v>
      </c>
      <c r="AC281" s="1" t="str">
        <v>Entra por Criterio de Dependencia y Percentil</v>
      </c>
      <c r="AF281" s="1">
        <v>14204</v>
      </c>
      <c r="AG281" s="1">
        <v>10111</v>
      </c>
      <c r="AH281" s="1" t="str">
        <v>RÍO BUENO</v>
      </c>
      <c r="AI281" s="405">
        <v>2.83616284455E-3</v>
      </c>
    </row>
    <row r="282" spans="1:35" ht="3" customHeight="1" x14ac:dyDescent="0.25">
      <c r="A282" s="5">
        <f>+COEFyDISTR_FET!A287</f>
        <v>13122</v>
      </c>
      <c r="B282" s="5">
        <f>+COEFyDISTR_FET!B287</f>
        <v>13152</v>
      </c>
      <c r="C282" t="str">
        <f>+COEFyDISTR_FET!C287</f>
        <v>PEÑALOLÉN</v>
      </c>
      <c r="D282" s="31">
        <f>+COEFyDISTR_FET!D287</f>
        <v>36622463</v>
      </c>
      <c r="E282" s="31">
        <f>+COEFyDISTR_FET!E287</f>
        <v>19686774.609999999</v>
      </c>
      <c r="F282" s="403">
        <f>+COEFyDISTR_FET!G287</f>
        <v>0.95</v>
      </c>
      <c r="G282" s="403">
        <f>+COEFyDISTR_FET!H287</f>
        <v>0.34960000000000002</v>
      </c>
      <c r="H282" s="402" t="str">
        <f>IF(D282=0,$A$2,VLOOKUP(COUNTIF(F282,$F$1&amp;$F$2)&amp;COUNTIF(G282,$G$1&amp;$G$2),PARAMETROS!$K$26:$L$30,2,0))</f>
        <v>Sin Acceso</v>
      </c>
      <c r="I282" s="96">
        <f>+COEFyDISTR_FET!AA287</f>
        <v>0</v>
      </c>
      <c r="J282" s="97">
        <f t="shared" si="32"/>
        <v>13122</v>
      </c>
      <c r="K282" s="97">
        <f t="shared" si="33"/>
        <v>13152</v>
      </c>
      <c r="L282" t="str">
        <f t="shared" si="34"/>
        <v>PEÑALOLÉN</v>
      </c>
      <c r="M282" t="str">
        <f t="shared" si="35"/>
        <v>Sin Acceso</v>
      </c>
      <c r="N282" s="97">
        <f t="shared" si="36"/>
        <v>13122</v>
      </c>
      <c r="O282" s="97">
        <f t="shared" si="37"/>
        <v>13152</v>
      </c>
      <c r="P282" t="str">
        <f t="shared" si="38"/>
        <v>PEÑALOLÉN</v>
      </c>
      <c r="Q282" s="96">
        <f t="shared" si="39"/>
        <v>0</v>
      </c>
      <c r="R282" s="96"/>
      <c r="S282">
        <f>+COEFyDISTR_MINERO!A287</f>
        <v>13122</v>
      </c>
      <c r="T282">
        <f>+COEFyDISTR_MINERO!B287</f>
        <v>13152</v>
      </c>
      <c r="U282" t="str">
        <f>+COEFyDISTR_MINERO!C287</f>
        <v>PEÑALOLÉN</v>
      </c>
      <c r="V282" s="96">
        <f>+COEFyDISTR_MINERO!X287</f>
        <v>0</v>
      </c>
      <c r="W282" s="6" t="str">
        <f>+COEFyDISTR_MINERO!D287</f>
        <v>No</v>
      </c>
      <c r="X282" s="96"/>
      <c r="Y282" s="96"/>
      <c r="Z282" s="1">
        <v>15101</v>
      </c>
      <c r="AA282" s="1">
        <v>1101</v>
      </c>
      <c r="AB282" s="1" t="str">
        <v>ARICA</v>
      </c>
      <c r="AC282" s="1" t="str">
        <v>Entra por Criterio de Dependencia</v>
      </c>
      <c r="AF282" s="1">
        <v>15101</v>
      </c>
      <c r="AG282" s="1">
        <v>1101</v>
      </c>
      <c r="AH282" s="1" t="str">
        <v>ARICA</v>
      </c>
      <c r="AI282" s="405">
        <v>1.090040878965E-2</v>
      </c>
    </row>
    <row r="283" spans="1:35" ht="3" customHeight="1" x14ac:dyDescent="0.25">
      <c r="A283" s="5">
        <f>+COEFyDISTR_FET!A288</f>
        <v>13123</v>
      </c>
      <c r="B283" s="5">
        <f>+COEFyDISTR_FET!B288</f>
        <v>13103</v>
      </c>
      <c r="C283" t="str">
        <f>+COEFyDISTR_FET!C288</f>
        <v>PROVIDENCIA</v>
      </c>
      <c r="D283" s="31">
        <f>+COEFyDISTR_FET!D288</f>
        <v>100441974</v>
      </c>
      <c r="E283" s="31">
        <f>+COEFyDISTR_FET!E288</f>
        <v>3509230.6269999999</v>
      </c>
      <c r="F283" s="403">
        <f>+COEFyDISTR_FET!G288</f>
        <v>0.98199999999999998</v>
      </c>
      <c r="G283" s="403">
        <f>+COEFyDISTR_FET!H288</f>
        <v>3.3799999999999997E-2</v>
      </c>
      <c r="H283" s="402" t="str">
        <f>IF(D283=0,$A$2,VLOOKUP(COUNTIF(F283,$F$1&amp;$F$2)&amp;COUNTIF(G283,$G$1&amp;$G$2),PARAMETROS!$K$26:$L$30,2,0))</f>
        <v>Sin Acceso</v>
      </c>
      <c r="I283" s="96">
        <f>+COEFyDISTR_FET!AA288</f>
        <v>0</v>
      </c>
      <c r="J283" s="97">
        <f t="shared" si="32"/>
        <v>13123</v>
      </c>
      <c r="K283" s="97">
        <f t="shared" si="33"/>
        <v>13103</v>
      </c>
      <c r="L283" t="str">
        <f t="shared" si="34"/>
        <v>PROVIDENCIA</v>
      </c>
      <c r="M283" t="str">
        <f t="shared" si="35"/>
        <v>Sin Acceso</v>
      </c>
      <c r="N283" s="97">
        <f t="shared" si="36"/>
        <v>13123</v>
      </c>
      <c r="O283" s="97">
        <f t="shared" si="37"/>
        <v>13103</v>
      </c>
      <c r="P283" t="str">
        <f t="shared" si="38"/>
        <v>PROVIDENCIA</v>
      </c>
      <c r="Q283" s="96">
        <f t="shared" si="39"/>
        <v>0</v>
      </c>
      <c r="R283" s="96"/>
      <c r="S283">
        <f>+COEFyDISTR_MINERO!A288</f>
        <v>13123</v>
      </c>
      <c r="T283">
        <f>+COEFyDISTR_MINERO!B288</f>
        <v>13103</v>
      </c>
      <c r="U283" t="str">
        <f>+COEFyDISTR_MINERO!C288</f>
        <v>PROVIDENCIA</v>
      </c>
      <c r="V283" s="96">
        <f>+COEFyDISTR_MINERO!X288</f>
        <v>0</v>
      </c>
      <c r="W283" s="6" t="str">
        <f>+COEFyDISTR_MINERO!D288</f>
        <v>No</v>
      </c>
      <c r="X283" s="96"/>
      <c r="Y283" s="96"/>
      <c r="Z283" s="1">
        <v>15102</v>
      </c>
      <c r="AA283" s="1">
        <v>1106</v>
      </c>
      <c r="AB283" s="1" t="str">
        <v>CAMARONES</v>
      </c>
      <c r="AC283" s="1" t="str">
        <v>Entra por Criterio de Dependencia y Percentil</v>
      </c>
      <c r="AF283" s="1">
        <v>15102</v>
      </c>
      <c r="AG283" s="1">
        <v>1106</v>
      </c>
      <c r="AH283" s="1" t="str">
        <v>CAMARONES</v>
      </c>
      <c r="AI283" s="405">
        <v>1.8336727025500001E-3</v>
      </c>
    </row>
    <row r="284" spans="1:35" ht="3" customHeight="1" x14ac:dyDescent="0.25">
      <c r="A284" s="5">
        <f>+COEFyDISTR_FET!A289</f>
        <v>13124</v>
      </c>
      <c r="B284" s="5">
        <f>+COEFyDISTR_FET!B289</f>
        <v>13111</v>
      </c>
      <c r="C284" t="str">
        <f>+COEFyDISTR_FET!C289</f>
        <v>PUDAHUEL</v>
      </c>
      <c r="D284" s="31">
        <f>+COEFyDISTR_FET!D289</f>
        <v>53826090</v>
      </c>
      <c r="E284" s="31">
        <f>+COEFyDISTR_FET!E289</f>
        <v>21121902.045000002</v>
      </c>
      <c r="F284" s="403">
        <f>+COEFyDISTR_FET!G289</f>
        <v>0.96499999999999997</v>
      </c>
      <c r="G284" s="403">
        <f>+COEFyDISTR_FET!H289</f>
        <v>0.28179999999999999</v>
      </c>
      <c r="H284" s="402" t="str">
        <f>IF(D284=0,$A$2,VLOOKUP(COUNTIF(F284,$F$1&amp;$F$2)&amp;COUNTIF(G284,$G$1&amp;$G$2),PARAMETROS!$K$26:$L$30,2,0))</f>
        <v>Sin Acceso</v>
      </c>
      <c r="I284" s="96">
        <f>+COEFyDISTR_FET!AA289</f>
        <v>0</v>
      </c>
      <c r="J284" s="97">
        <f t="shared" si="32"/>
        <v>13124</v>
      </c>
      <c r="K284" s="97">
        <f t="shared" si="33"/>
        <v>13111</v>
      </c>
      <c r="L284" t="str">
        <f t="shared" si="34"/>
        <v>PUDAHUEL</v>
      </c>
      <c r="M284" t="str">
        <f t="shared" si="35"/>
        <v>Sin Acceso</v>
      </c>
      <c r="N284" s="97">
        <f t="shared" si="36"/>
        <v>13124</v>
      </c>
      <c r="O284" s="97">
        <f t="shared" si="37"/>
        <v>13111</v>
      </c>
      <c r="P284" t="str">
        <f t="shared" si="38"/>
        <v>PUDAHUEL</v>
      </c>
      <c r="Q284" s="96">
        <f t="shared" si="39"/>
        <v>0</v>
      </c>
      <c r="R284" s="96"/>
      <c r="S284">
        <f>+COEFyDISTR_MINERO!A289</f>
        <v>13124</v>
      </c>
      <c r="T284">
        <f>+COEFyDISTR_MINERO!B289</f>
        <v>13111</v>
      </c>
      <c r="U284" t="str">
        <f>+COEFyDISTR_MINERO!C289</f>
        <v>PUDAHUEL</v>
      </c>
      <c r="V284" s="96">
        <f>+COEFyDISTR_MINERO!X289</f>
        <v>0</v>
      </c>
      <c r="W284" s="6" t="str">
        <f>+COEFyDISTR_MINERO!D289</f>
        <v>No</v>
      </c>
      <c r="X284" s="96"/>
      <c r="Y284" s="96"/>
      <c r="Z284" s="1">
        <v>15201</v>
      </c>
      <c r="AA284" s="1">
        <v>1301</v>
      </c>
      <c r="AB284" s="1" t="str">
        <v>PUTRE</v>
      </c>
      <c r="AC284" s="1" t="str">
        <v>Entra por Criterio de Dependencia y Percentil</v>
      </c>
      <c r="AF284" s="1">
        <v>15201</v>
      </c>
      <c r="AG284" s="1">
        <v>1301</v>
      </c>
      <c r="AH284" s="1" t="str">
        <v>PUTRE</v>
      </c>
      <c r="AI284" s="405">
        <v>2.0618675980499999E-3</v>
      </c>
    </row>
    <row r="285" spans="1:35" ht="3" customHeight="1" x14ac:dyDescent="0.25">
      <c r="A285" s="5">
        <f>+COEFyDISTR_FET!A290</f>
        <v>13125</v>
      </c>
      <c r="B285" s="5">
        <f>+COEFyDISTR_FET!B290</f>
        <v>13114</v>
      </c>
      <c r="C285" t="str">
        <f>+COEFyDISTR_FET!C290</f>
        <v>QUILICURA</v>
      </c>
      <c r="D285" s="31">
        <f>+COEFyDISTR_FET!D290</f>
        <v>50033693</v>
      </c>
      <c r="E285" s="31">
        <f>+COEFyDISTR_FET!E290</f>
        <v>12685272.377</v>
      </c>
      <c r="F285" s="403">
        <f>+COEFyDISTR_FET!G290</f>
        <v>0.95299999999999996</v>
      </c>
      <c r="G285" s="403">
        <f>+COEFyDISTR_FET!H290</f>
        <v>0.20230000000000001</v>
      </c>
      <c r="H285" s="402" t="str">
        <f>IF(D285=0,$A$2,VLOOKUP(COUNTIF(F285,$F$1&amp;$F$2)&amp;COUNTIF(G285,$G$1&amp;$G$2),PARAMETROS!$K$26:$L$30,2,0))</f>
        <v>Sin Acceso</v>
      </c>
      <c r="I285" s="96">
        <f>+COEFyDISTR_FET!AA290</f>
        <v>0</v>
      </c>
      <c r="J285" s="97">
        <f t="shared" si="32"/>
        <v>13125</v>
      </c>
      <c r="K285" s="97">
        <f t="shared" si="33"/>
        <v>13114</v>
      </c>
      <c r="L285" t="str">
        <f t="shared" si="34"/>
        <v>QUILICURA</v>
      </c>
      <c r="M285" t="str">
        <f t="shared" si="35"/>
        <v>Sin Acceso</v>
      </c>
      <c r="N285" s="97">
        <f t="shared" si="36"/>
        <v>13125</v>
      </c>
      <c r="O285" s="97">
        <f t="shared" si="37"/>
        <v>13114</v>
      </c>
      <c r="P285" t="str">
        <f t="shared" si="38"/>
        <v>QUILICURA</v>
      </c>
      <c r="Q285" s="96">
        <f t="shared" si="39"/>
        <v>0</v>
      </c>
      <c r="R285" s="96"/>
      <c r="S285">
        <f>+COEFyDISTR_MINERO!A290</f>
        <v>13125</v>
      </c>
      <c r="T285">
        <f>+COEFyDISTR_MINERO!B290</f>
        <v>13114</v>
      </c>
      <c r="U285" t="str">
        <f>+COEFyDISTR_MINERO!C290</f>
        <v>QUILICURA</v>
      </c>
      <c r="V285" s="96">
        <f>+COEFyDISTR_MINERO!X290</f>
        <v>0</v>
      </c>
      <c r="W285" s="6" t="str">
        <f>+COEFyDISTR_MINERO!D290</f>
        <v>No</v>
      </c>
      <c r="X285" s="96"/>
      <c r="Y285" s="96"/>
      <c r="Z285" s="1">
        <v>15202</v>
      </c>
      <c r="AA285" s="1">
        <v>1302</v>
      </c>
      <c r="AB285" s="1" t="str">
        <v>GENERAL LAGOS</v>
      </c>
      <c r="AC285" s="1" t="str">
        <v>Entra por Criterio de Dependencia y Percentil</v>
      </c>
      <c r="AF285" s="1">
        <v>15202</v>
      </c>
      <c r="AG285" s="1">
        <v>1302</v>
      </c>
      <c r="AH285" s="1" t="str">
        <v>GENERAL LAGOS</v>
      </c>
      <c r="AI285" s="405">
        <v>1.69799770725E-3</v>
      </c>
    </row>
    <row r="286" spans="1:35" ht="3" customHeight="1" x14ac:dyDescent="0.25">
      <c r="A286" s="5">
        <f>+COEFyDISTR_FET!A291</f>
        <v>13126</v>
      </c>
      <c r="B286" s="5">
        <f>+COEFyDISTR_FET!B291</f>
        <v>13107</v>
      </c>
      <c r="C286" t="str">
        <f>+COEFyDISTR_FET!C291</f>
        <v>QUINTA NORMAL</v>
      </c>
      <c r="D286" s="31">
        <f>+COEFyDISTR_FET!D291</f>
        <v>12800718</v>
      </c>
      <c r="E286" s="31">
        <f>+COEFyDISTR_FET!E291</f>
        <v>12105674.775</v>
      </c>
      <c r="F286" s="403">
        <f>+COEFyDISTR_FET!G291</f>
        <v>0.84299999999999997</v>
      </c>
      <c r="G286" s="403">
        <f>+COEFyDISTR_FET!H291</f>
        <v>0.48599999999999999</v>
      </c>
      <c r="H286" s="402" t="str">
        <f>IF(D286=0,$A$2,VLOOKUP(COUNTIF(F286,$F$1&amp;$F$2)&amp;COUNTIF(G286,$G$1&amp;$G$2),PARAMETROS!$K$26:$L$30,2,0))</f>
        <v>Sin Acceso</v>
      </c>
      <c r="I286" s="96">
        <f>+COEFyDISTR_FET!AA291</f>
        <v>0</v>
      </c>
      <c r="J286" s="97">
        <f t="shared" si="32"/>
        <v>13126</v>
      </c>
      <c r="K286" s="97">
        <f t="shared" si="33"/>
        <v>13107</v>
      </c>
      <c r="L286" t="str">
        <f t="shared" si="34"/>
        <v>QUINTA NORMAL</v>
      </c>
      <c r="M286" t="str">
        <f t="shared" si="35"/>
        <v>Sin Acceso</v>
      </c>
      <c r="N286" s="97">
        <f t="shared" si="36"/>
        <v>13126</v>
      </c>
      <c r="O286" s="97">
        <f t="shared" si="37"/>
        <v>13107</v>
      </c>
      <c r="P286" t="str">
        <f t="shared" si="38"/>
        <v>QUINTA NORMAL</v>
      </c>
      <c r="Q286" s="96">
        <f t="shared" si="39"/>
        <v>0</v>
      </c>
      <c r="R286" s="96"/>
      <c r="S286">
        <f>+COEFyDISTR_MINERO!A291</f>
        <v>13126</v>
      </c>
      <c r="T286">
        <f>+COEFyDISTR_MINERO!B291</f>
        <v>13107</v>
      </c>
      <c r="U286" t="str">
        <f>+COEFyDISTR_MINERO!C291</f>
        <v>QUINTA NORMAL</v>
      </c>
      <c r="V286" s="96">
        <f>+COEFyDISTR_MINERO!X291</f>
        <v>0</v>
      </c>
      <c r="W286" s="6" t="str">
        <f>+COEFyDISTR_MINERO!D291</f>
        <v>No</v>
      </c>
      <c r="X286" s="96"/>
      <c r="Y286" s="96"/>
      <c r="Z286" s="1">
        <v>16102</v>
      </c>
      <c r="AA286" s="1">
        <v>8113</v>
      </c>
      <c r="AB286" s="1" t="str">
        <v>BULNES</v>
      </c>
      <c r="AC286" s="1" t="str">
        <v>Entra por Criterio de Dependencia y Percentil</v>
      </c>
      <c r="AF286" s="1">
        <v>16102</v>
      </c>
      <c r="AG286" s="1">
        <v>8113</v>
      </c>
      <c r="AH286" s="1" t="str">
        <v>BULNES</v>
      </c>
      <c r="AI286" s="405">
        <v>3.0299487609499998E-3</v>
      </c>
    </row>
    <row r="287" spans="1:35" ht="3" customHeight="1" x14ac:dyDescent="0.25">
      <c r="A287" s="5">
        <f>+COEFyDISTR_FET!A292</f>
        <v>13127</v>
      </c>
      <c r="B287" s="5">
        <f>+COEFyDISTR_FET!B292</f>
        <v>13159</v>
      </c>
      <c r="C287" t="str">
        <f>+COEFyDISTR_FET!C292</f>
        <v>RECOLETA</v>
      </c>
      <c r="D287" s="31">
        <f>+COEFyDISTR_FET!D292</f>
        <v>29174871</v>
      </c>
      <c r="E287" s="31">
        <f>+COEFyDISTR_FET!E292</f>
        <v>8700321.4969999995</v>
      </c>
      <c r="F287" s="403">
        <f>+COEFyDISTR_FET!G292</f>
        <v>0.90100000000000002</v>
      </c>
      <c r="G287" s="403">
        <f>+COEFyDISTR_FET!H292</f>
        <v>0.22969999999999999</v>
      </c>
      <c r="H287" s="402" t="str">
        <f>IF(D287=0,$A$2,VLOOKUP(COUNTIF(F287,$F$1&amp;$F$2)&amp;COUNTIF(G287,$G$1&amp;$G$2),PARAMETROS!$K$26:$L$30,2,0))</f>
        <v>Sin Acceso</v>
      </c>
      <c r="I287" s="96">
        <f>+COEFyDISTR_FET!AA292</f>
        <v>0</v>
      </c>
      <c r="J287" s="97">
        <f t="shared" si="32"/>
        <v>13127</v>
      </c>
      <c r="K287" s="97">
        <f t="shared" si="33"/>
        <v>13159</v>
      </c>
      <c r="L287" t="str">
        <f t="shared" si="34"/>
        <v>RECOLETA</v>
      </c>
      <c r="M287" t="str">
        <f t="shared" si="35"/>
        <v>Sin Acceso</v>
      </c>
      <c r="N287" s="97">
        <f t="shared" si="36"/>
        <v>13127</v>
      </c>
      <c r="O287" s="97">
        <f t="shared" si="37"/>
        <v>13159</v>
      </c>
      <c r="P287" t="str">
        <f t="shared" si="38"/>
        <v>RECOLETA</v>
      </c>
      <c r="Q287" s="96">
        <f t="shared" si="39"/>
        <v>0</v>
      </c>
      <c r="R287" s="96"/>
      <c r="S287">
        <f>+COEFyDISTR_MINERO!A292</f>
        <v>13127</v>
      </c>
      <c r="T287">
        <f>+COEFyDISTR_MINERO!B292</f>
        <v>13159</v>
      </c>
      <c r="U287" t="str">
        <f>+COEFyDISTR_MINERO!C292</f>
        <v>RECOLETA</v>
      </c>
      <c r="V287" s="96">
        <f>+COEFyDISTR_MINERO!X292</f>
        <v>0</v>
      </c>
      <c r="W287" s="6" t="str">
        <f>+COEFyDISTR_MINERO!D292</f>
        <v>No</v>
      </c>
      <c r="X287" s="96"/>
      <c r="Y287" s="96"/>
      <c r="Z287" s="1">
        <v>16103</v>
      </c>
      <c r="AA287" s="1">
        <v>8121</v>
      </c>
      <c r="AB287" s="1" t="str">
        <v>CHILLÁN VIEJO</v>
      </c>
      <c r="AC287" s="1" t="str">
        <v>Entra por Criterio de Dependencia y Percentil</v>
      </c>
      <c r="AF287" s="1">
        <v>16103</v>
      </c>
      <c r="AG287" s="1">
        <v>8121</v>
      </c>
      <c r="AH287" s="1" t="str">
        <v>CHILLÁN VIEJO</v>
      </c>
      <c r="AI287" s="405">
        <v>3.3060574057500003E-3</v>
      </c>
    </row>
    <row r="288" spans="1:35" ht="3" customHeight="1" x14ac:dyDescent="0.25">
      <c r="A288" s="5">
        <f>+COEFyDISTR_FET!A293</f>
        <v>13128</v>
      </c>
      <c r="B288" s="5">
        <f>+COEFyDISTR_FET!B293</f>
        <v>13113</v>
      </c>
      <c r="C288" t="str">
        <f>+COEFyDISTR_FET!C293</f>
        <v>RENCA</v>
      </c>
      <c r="D288" s="31">
        <f>+COEFyDISTR_FET!D293</f>
        <v>26066880</v>
      </c>
      <c r="E288" s="31">
        <f>+COEFyDISTR_FET!E293</f>
        <v>10827871.556</v>
      </c>
      <c r="F288" s="403">
        <f>+COEFyDISTR_FET!G293</f>
        <v>0.88900000000000001</v>
      </c>
      <c r="G288" s="403">
        <f>+COEFyDISTR_FET!H293</f>
        <v>0.29349999999999998</v>
      </c>
      <c r="H288" s="402" t="str">
        <f>IF(D288=0,$A$2,VLOOKUP(COUNTIF(F288,$F$1&amp;$F$2)&amp;COUNTIF(G288,$G$1&amp;$G$2),PARAMETROS!$K$26:$L$30,2,0))</f>
        <v>Sin Acceso</v>
      </c>
      <c r="I288" s="96">
        <f>+COEFyDISTR_FET!AA293</f>
        <v>0</v>
      </c>
      <c r="J288" s="97">
        <f t="shared" si="32"/>
        <v>13128</v>
      </c>
      <c r="K288" s="97">
        <f t="shared" si="33"/>
        <v>13113</v>
      </c>
      <c r="L288" t="str">
        <f t="shared" si="34"/>
        <v>RENCA</v>
      </c>
      <c r="M288" t="str">
        <f t="shared" si="35"/>
        <v>Sin Acceso</v>
      </c>
      <c r="N288" s="97">
        <f t="shared" si="36"/>
        <v>13128</v>
      </c>
      <c r="O288" s="97">
        <f t="shared" si="37"/>
        <v>13113</v>
      </c>
      <c r="P288" t="str">
        <f t="shared" si="38"/>
        <v>RENCA</v>
      </c>
      <c r="Q288" s="96">
        <f t="shared" si="39"/>
        <v>0</v>
      </c>
      <c r="R288" s="96"/>
      <c r="S288">
        <f>+COEFyDISTR_MINERO!A293</f>
        <v>13128</v>
      </c>
      <c r="T288">
        <f>+COEFyDISTR_MINERO!B293</f>
        <v>13113</v>
      </c>
      <c r="U288" t="str">
        <f>+COEFyDISTR_MINERO!C293</f>
        <v>RENCA</v>
      </c>
      <c r="V288" s="96">
        <f>+COEFyDISTR_MINERO!X293</f>
        <v>0</v>
      </c>
      <c r="W288" s="6" t="str">
        <f>+COEFyDISTR_MINERO!D293</f>
        <v>No</v>
      </c>
      <c r="X288" s="96"/>
      <c r="Y288" s="96"/>
      <c r="Z288" s="1">
        <v>16104</v>
      </c>
      <c r="AA288" s="1">
        <v>8118</v>
      </c>
      <c r="AB288" s="1" t="str">
        <v>EL CARMEN</v>
      </c>
      <c r="AC288" s="1" t="str">
        <v>Entra por Criterio de Dependencia y Percentil</v>
      </c>
      <c r="AF288" s="1">
        <v>16104</v>
      </c>
      <c r="AG288" s="1">
        <v>8118</v>
      </c>
      <c r="AH288" s="1" t="str">
        <v>EL CARMEN</v>
      </c>
      <c r="AI288" s="405">
        <v>2.5196726570500001E-3</v>
      </c>
    </row>
    <row r="289" spans="1:35" ht="3" customHeight="1" x14ac:dyDescent="0.25">
      <c r="A289" s="5">
        <f>+COEFyDISTR_FET!A294</f>
        <v>13129</v>
      </c>
      <c r="B289" s="5">
        <f>+COEFyDISTR_FET!B294</f>
        <v>13163</v>
      </c>
      <c r="C289" t="str">
        <f>+COEFyDISTR_FET!C294</f>
        <v>SAN JOAQUÍN</v>
      </c>
      <c r="D289" s="31">
        <f>+COEFyDISTR_FET!D294</f>
        <v>18342646</v>
      </c>
      <c r="E289" s="31">
        <f>+COEFyDISTR_FET!E294</f>
        <v>6407238.9759999998</v>
      </c>
      <c r="F289" s="403">
        <f>+COEFyDISTR_FET!G294</f>
        <v>0.83699999999999997</v>
      </c>
      <c r="G289" s="403">
        <f>+COEFyDISTR_FET!H294</f>
        <v>0.25890000000000002</v>
      </c>
      <c r="H289" s="402" t="str">
        <f>IF(D289=0,$A$2,VLOOKUP(COUNTIF(F289,$F$1&amp;$F$2)&amp;COUNTIF(G289,$G$1&amp;$G$2),PARAMETROS!$K$26:$L$30,2,0))</f>
        <v>Sin Acceso</v>
      </c>
      <c r="I289" s="96">
        <f>+COEFyDISTR_FET!AA294</f>
        <v>0</v>
      </c>
      <c r="J289" s="97">
        <f t="shared" si="32"/>
        <v>13129</v>
      </c>
      <c r="K289" s="97">
        <f t="shared" si="33"/>
        <v>13163</v>
      </c>
      <c r="L289" t="str">
        <f t="shared" si="34"/>
        <v>SAN JOAQUÍN</v>
      </c>
      <c r="M289" t="str">
        <f t="shared" si="35"/>
        <v>Sin Acceso</v>
      </c>
      <c r="N289" s="97">
        <f t="shared" si="36"/>
        <v>13129</v>
      </c>
      <c r="O289" s="97">
        <f t="shared" si="37"/>
        <v>13163</v>
      </c>
      <c r="P289" t="str">
        <f t="shared" si="38"/>
        <v>SAN JOAQUÍN</v>
      </c>
      <c r="Q289" s="96">
        <f t="shared" si="39"/>
        <v>0</v>
      </c>
      <c r="R289" s="96"/>
      <c r="S289">
        <f>+COEFyDISTR_MINERO!A294</f>
        <v>13129</v>
      </c>
      <c r="T289">
        <f>+COEFyDISTR_MINERO!B294</f>
        <v>13163</v>
      </c>
      <c r="U289" t="str">
        <f>+COEFyDISTR_MINERO!C294</f>
        <v>SAN JOAQUÍN</v>
      </c>
      <c r="V289" s="96">
        <f>+COEFyDISTR_MINERO!X294</f>
        <v>0</v>
      </c>
      <c r="W289" s="6" t="str">
        <f>+COEFyDISTR_MINERO!D294</f>
        <v>No</v>
      </c>
      <c r="X289" s="96"/>
      <c r="Y289" s="96"/>
      <c r="Z289" s="1">
        <v>16105</v>
      </c>
      <c r="AA289" s="1">
        <v>8117</v>
      </c>
      <c r="AB289" s="1" t="str">
        <v>PEMUCO</v>
      </c>
      <c r="AC289" s="1" t="str">
        <v>Entra por Criterio de Dependencia y Percentil</v>
      </c>
      <c r="AF289" s="1">
        <v>16105</v>
      </c>
      <c r="AG289" s="1">
        <v>8117</v>
      </c>
      <c r="AH289" s="1" t="str">
        <v>PEMUCO</v>
      </c>
      <c r="AI289" s="405">
        <v>2.08451450475E-3</v>
      </c>
    </row>
    <row r="290" spans="1:35" ht="3" customHeight="1" x14ac:dyDescent="0.25">
      <c r="A290" s="5">
        <f>+COEFyDISTR_FET!A295</f>
        <v>13130</v>
      </c>
      <c r="B290" s="5">
        <f>+COEFyDISTR_FET!B295</f>
        <v>13106</v>
      </c>
      <c r="C290" t="str">
        <f>+COEFyDISTR_FET!C295</f>
        <v>SAN MIGUEL</v>
      </c>
      <c r="D290" s="31">
        <f>+COEFyDISTR_FET!D295</f>
        <v>17321541</v>
      </c>
      <c r="E290" s="31">
        <f>+COEFyDISTR_FET!E295</f>
        <v>4069968.4139999999</v>
      </c>
      <c r="F290" s="403">
        <f>+COEFyDISTR_FET!G295</f>
        <v>0.81100000000000005</v>
      </c>
      <c r="G290" s="403">
        <f>+COEFyDISTR_FET!H295</f>
        <v>0.1903</v>
      </c>
      <c r="H290" s="402" t="str">
        <f>IF(D290=0,$A$2,VLOOKUP(COUNTIF(F290,$F$1&amp;$F$2)&amp;COUNTIF(G290,$G$1&amp;$G$2),PARAMETROS!$K$26:$L$30,2,0))</f>
        <v>Sin Acceso</v>
      </c>
      <c r="I290" s="96">
        <f>+COEFyDISTR_FET!AA295</f>
        <v>0</v>
      </c>
      <c r="J290" s="97">
        <f t="shared" si="32"/>
        <v>13130</v>
      </c>
      <c r="K290" s="97">
        <f t="shared" si="33"/>
        <v>13106</v>
      </c>
      <c r="L290" t="str">
        <f t="shared" si="34"/>
        <v>SAN MIGUEL</v>
      </c>
      <c r="M290" t="str">
        <f t="shared" si="35"/>
        <v>Sin Acceso</v>
      </c>
      <c r="N290" s="97">
        <f t="shared" si="36"/>
        <v>13130</v>
      </c>
      <c r="O290" s="97">
        <f t="shared" si="37"/>
        <v>13106</v>
      </c>
      <c r="P290" t="str">
        <f t="shared" si="38"/>
        <v>SAN MIGUEL</v>
      </c>
      <c r="Q290" s="96">
        <f t="shared" si="39"/>
        <v>0</v>
      </c>
      <c r="R290" s="96"/>
      <c r="S290">
        <f>+COEFyDISTR_MINERO!A295</f>
        <v>13130</v>
      </c>
      <c r="T290">
        <f>+COEFyDISTR_MINERO!B295</f>
        <v>13106</v>
      </c>
      <c r="U290" t="str">
        <f>+COEFyDISTR_MINERO!C295</f>
        <v>SAN MIGUEL</v>
      </c>
      <c r="V290" s="96">
        <f>+COEFyDISTR_MINERO!X295</f>
        <v>0</v>
      </c>
      <c r="W290" s="6" t="str">
        <f>+COEFyDISTR_MINERO!D295</f>
        <v>No</v>
      </c>
      <c r="X290" s="96"/>
      <c r="Y290" s="96"/>
      <c r="Z290" s="1">
        <v>16106</v>
      </c>
      <c r="AA290" s="1">
        <v>8102</v>
      </c>
      <c r="AB290" s="1" t="str">
        <v>PINTO</v>
      </c>
      <c r="AC290" s="1" t="str">
        <v>Entra por Criterio de Dependencia y Percentil</v>
      </c>
      <c r="AF290" s="1">
        <v>16106</v>
      </c>
      <c r="AG290" s="1">
        <v>8102</v>
      </c>
      <c r="AH290" s="1" t="str">
        <v>PINTO</v>
      </c>
      <c r="AI290" s="405">
        <v>2.1223561704500002E-3</v>
      </c>
    </row>
    <row r="291" spans="1:35" ht="3" customHeight="1" x14ac:dyDescent="0.25">
      <c r="A291" s="5">
        <f>+COEFyDISTR_FET!A296</f>
        <v>13131</v>
      </c>
      <c r="B291" s="5">
        <f>+COEFyDISTR_FET!B296</f>
        <v>13153</v>
      </c>
      <c r="C291" t="str">
        <f>+COEFyDISTR_FET!C296</f>
        <v>SAN RAMÓN</v>
      </c>
      <c r="D291" s="31">
        <f>+COEFyDISTR_FET!D296</f>
        <v>4106548</v>
      </c>
      <c r="E291" s="31">
        <f>+COEFyDISTR_FET!E296</f>
        <v>13374283.902000001</v>
      </c>
      <c r="F291" s="403">
        <f>+COEFyDISTR_FET!G296</f>
        <v>0.75900000000000001</v>
      </c>
      <c r="G291" s="403">
        <f>+COEFyDISTR_FET!H296</f>
        <v>0.7651</v>
      </c>
      <c r="H291" s="402" t="str">
        <f>IF(D291=0,$A$2,VLOOKUP(COUNTIF(F291,$F$1&amp;$F$2)&amp;COUNTIF(G291,$G$1&amp;$G$2),PARAMETROS!$K$26:$L$30,2,0))</f>
        <v>Entra por Criterio de Dependencia y Percentil</v>
      </c>
      <c r="I291" s="96">
        <f>+COEFyDISTR_FET!AA296</f>
        <v>7.27407568625E-3</v>
      </c>
      <c r="J291" s="97">
        <f t="shared" si="32"/>
        <v>13131</v>
      </c>
      <c r="K291" s="97">
        <f t="shared" si="33"/>
        <v>13153</v>
      </c>
      <c r="L291" t="str">
        <f t="shared" si="34"/>
        <v>SAN RAMÓN</v>
      </c>
      <c r="M291" t="str">
        <f t="shared" si="35"/>
        <v>Entra por Criterio de Dependencia y Percentil</v>
      </c>
      <c r="N291" s="97">
        <f t="shared" si="36"/>
        <v>13131</v>
      </c>
      <c r="O291" s="97">
        <f t="shared" si="37"/>
        <v>13153</v>
      </c>
      <c r="P291" t="str">
        <f t="shared" si="38"/>
        <v>SAN RAMÓN</v>
      </c>
      <c r="Q291" s="96">
        <f t="shared" si="39"/>
        <v>7.27407568625E-3</v>
      </c>
      <c r="R291" s="96"/>
      <c r="S291">
        <f>+COEFyDISTR_MINERO!A296</f>
        <v>13131</v>
      </c>
      <c r="T291">
        <f>+COEFyDISTR_MINERO!B296</f>
        <v>13153</v>
      </c>
      <c r="U291" t="str">
        <f>+COEFyDISTR_MINERO!C296</f>
        <v>SAN RAMÓN</v>
      </c>
      <c r="V291" s="96">
        <f>+COEFyDISTR_MINERO!X296</f>
        <v>0</v>
      </c>
      <c r="W291" s="6" t="str">
        <f>+COEFyDISTR_MINERO!D296</f>
        <v>No</v>
      </c>
      <c r="X291" s="96"/>
      <c r="Y291" s="96"/>
      <c r="Z291" s="1">
        <v>16107</v>
      </c>
      <c r="AA291" s="1">
        <v>8115</v>
      </c>
      <c r="AB291" s="1" t="str">
        <v>QUILLÓN</v>
      </c>
      <c r="AC291" s="1" t="str">
        <v>Entra por Criterio de Dependencia y Percentil</v>
      </c>
      <c r="AF291" s="1">
        <v>16107</v>
      </c>
      <c r="AG291" s="1">
        <v>8115</v>
      </c>
      <c r="AH291" s="1" t="str">
        <v>QUILLÓN</v>
      </c>
      <c r="AI291" s="405">
        <v>3.1989201747500006E-3</v>
      </c>
    </row>
    <row r="292" spans="1:35" ht="3" customHeight="1" x14ac:dyDescent="0.25">
      <c r="A292" s="5">
        <f>+COEFyDISTR_FET!A297</f>
        <v>13132</v>
      </c>
      <c r="B292" s="5">
        <f>+COEFyDISTR_FET!B297</f>
        <v>13160</v>
      </c>
      <c r="C292" t="str">
        <f>+COEFyDISTR_FET!C297</f>
        <v>VITACURA</v>
      </c>
      <c r="D292" s="31">
        <f>+COEFyDISTR_FET!D297</f>
        <v>86514257</v>
      </c>
      <c r="E292" s="31">
        <f>+COEFyDISTR_FET!E297</f>
        <v>2506503.4700000002</v>
      </c>
      <c r="F292" s="403">
        <f>+COEFyDISTR_FET!G297</f>
        <v>0.97599999999999998</v>
      </c>
      <c r="G292" s="403">
        <f>+COEFyDISTR_FET!H297</f>
        <v>2.8199999999999999E-2</v>
      </c>
      <c r="H292" s="402" t="str">
        <f>IF(D292=0,$A$2,VLOOKUP(COUNTIF(F292,$F$1&amp;$F$2)&amp;COUNTIF(G292,$G$1&amp;$G$2),PARAMETROS!$K$26:$L$30,2,0))</f>
        <v>Sin Acceso</v>
      </c>
      <c r="I292" s="96">
        <f>+COEFyDISTR_FET!AA297</f>
        <v>0</v>
      </c>
      <c r="J292" s="97">
        <f t="shared" si="32"/>
        <v>13132</v>
      </c>
      <c r="K292" s="97">
        <f t="shared" si="33"/>
        <v>13160</v>
      </c>
      <c r="L292" t="str">
        <f t="shared" si="34"/>
        <v>VITACURA</v>
      </c>
      <c r="M292" t="str">
        <f t="shared" si="35"/>
        <v>Sin Acceso</v>
      </c>
      <c r="N292" s="97">
        <f t="shared" si="36"/>
        <v>13132</v>
      </c>
      <c r="O292" s="97">
        <f t="shared" si="37"/>
        <v>13160</v>
      </c>
      <c r="P292" t="str">
        <f t="shared" si="38"/>
        <v>VITACURA</v>
      </c>
      <c r="Q292" s="96">
        <f t="shared" si="39"/>
        <v>0</v>
      </c>
      <c r="R292" s="96"/>
      <c r="S292">
        <f>+COEFyDISTR_MINERO!A297</f>
        <v>13132</v>
      </c>
      <c r="T292">
        <f>+COEFyDISTR_MINERO!B297</f>
        <v>13160</v>
      </c>
      <c r="U292" t="str">
        <f>+COEFyDISTR_MINERO!C297</f>
        <v>VITACURA</v>
      </c>
      <c r="V292" s="96">
        <f>+COEFyDISTR_MINERO!X297</f>
        <v>0</v>
      </c>
      <c r="W292" s="6" t="str">
        <f>+COEFyDISTR_MINERO!D297</f>
        <v>No</v>
      </c>
      <c r="X292" s="96"/>
      <c r="Y292" s="96"/>
      <c r="Z292" s="1">
        <v>16108</v>
      </c>
      <c r="AA292" s="1">
        <v>8114</v>
      </c>
      <c r="AB292" s="1" t="str">
        <v>SAN IGNACIO</v>
      </c>
      <c r="AC292" s="1" t="str">
        <v>Entra por Criterio de Dependencia y Percentil</v>
      </c>
      <c r="AF292" s="1">
        <v>16108</v>
      </c>
      <c r="AG292" s="1">
        <v>8114</v>
      </c>
      <c r="AH292" s="1" t="str">
        <v>SAN IGNACIO</v>
      </c>
      <c r="AI292" s="405">
        <v>3.3045421782500004E-3</v>
      </c>
    </row>
    <row r="293" spans="1:35" ht="3" customHeight="1" x14ac:dyDescent="0.25">
      <c r="A293" s="5">
        <f>+COEFyDISTR_FET!A298</f>
        <v>13201</v>
      </c>
      <c r="B293" s="5">
        <f>+COEFyDISTR_FET!B298</f>
        <v>13301</v>
      </c>
      <c r="C293" t="str">
        <f>+COEFyDISTR_FET!C298</f>
        <v>PUENTE ALTO</v>
      </c>
      <c r="D293" s="31">
        <f>+COEFyDISTR_FET!D298</f>
        <v>30874242</v>
      </c>
      <c r="E293" s="31">
        <f>+COEFyDISTR_FET!E298</f>
        <v>85270627.679000005</v>
      </c>
      <c r="F293" s="403">
        <f>+COEFyDISTR_FET!G298</f>
        <v>0.98499999999999999</v>
      </c>
      <c r="G293" s="403">
        <f>+COEFyDISTR_FET!H298</f>
        <v>0.73419999999999996</v>
      </c>
      <c r="H293" s="402" t="str">
        <f>IF(D293=0,$A$2,VLOOKUP(COUNTIF(F293,$F$1&amp;$F$2)&amp;COUNTIF(G293,$G$1&amp;$G$2),PARAMETROS!$K$26:$L$30,2,0))</f>
        <v>Entra por Criterio de Dependencia</v>
      </c>
      <c r="I293" s="96">
        <f>+COEFyDISTR_FET!AA298</f>
        <v>4.3943326023850003E-2</v>
      </c>
      <c r="J293" s="97">
        <f t="shared" si="32"/>
        <v>13201</v>
      </c>
      <c r="K293" s="97">
        <f t="shared" si="33"/>
        <v>13301</v>
      </c>
      <c r="L293" t="str">
        <f t="shared" si="34"/>
        <v>PUENTE ALTO</v>
      </c>
      <c r="M293" t="str">
        <f t="shared" si="35"/>
        <v>Entra por Criterio de Dependencia</v>
      </c>
      <c r="N293" s="97">
        <f t="shared" si="36"/>
        <v>13201</v>
      </c>
      <c r="O293" s="97">
        <f t="shared" si="37"/>
        <v>13301</v>
      </c>
      <c r="P293" t="str">
        <f t="shared" si="38"/>
        <v>PUENTE ALTO</v>
      </c>
      <c r="Q293" s="96">
        <f t="shared" si="39"/>
        <v>4.3943326023850003E-2</v>
      </c>
      <c r="R293" s="96"/>
      <c r="S293">
        <f>+COEFyDISTR_MINERO!A298</f>
        <v>13201</v>
      </c>
      <c r="T293">
        <f>+COEFyDISTR_MINERO!B298</f>
        <v>13301</v>
      </c>
      <c r="U293" t="str">
        <f>+COEFyDISTR_MINERO!C298</f>
        <v>PUENTE ALTO</v>
      </c>
      <c r="V293" s="96">
        <f>+COEFyDISTR_MINERO!X298</f>
        <v>0</v>
      </c>
      <c r="W293" s="6" t="str">
        <f>+COEFyDISTR_MINERO!D298</f>
        <v>No</v>
      </c>
      <c r="X293" s="96"/>
      <c r="Y293" s="96"/>
      <c r="Z293" s="1">
        <v>16109</v>
      </c>
      <c r="AA293" s="1">
        <v>8116</v>
      </c>
      <c r="AB293" s="1" t="str">
        <v>YUNGAY</v>
      </c>
      <c r="AC293" s="1" t="str">
        <v>Entra por Criterio de Dependencia y Percentil</v>
      </c>
      <c r="AF293" s="1">
        <v>16109</v>
      </c>
      <c r="AG293" s="1">
        <v>8116</v>
      </c>
      <c r="AH293" s="1" t="str">
        <v>YUNGAY</v>
      </c>
      <c r="AI293" s="405">
        <v>2.6176409302499999E-3</v>
      </c>
    </row>
    <row r="294" spans="1:35" ht="3" customHeight="1" x14ac:dyDescent="0.25">
      <c r="A294" s="5">
        <f>+COEFyDISTR_FET!A299</f>
        <v>13202</v>
      </c>
      <c r="B294" s="5">
        <f>+COEFyDISTR_FET!B299</f>
        <v>13302</v>
      </c>
      <c r="C294" t="str">
        <f>+COEFyDISTR_FET!C299</f>
        <v>PIRQUE</v>
      </c>
      <c r="D294" s="31">
        <f>+COEFyDISTR_FET!D299</f>
        <v>7273144</v>
      </c>
      <c r="E294" s="31">
        <f>+COEFyDISTR_FET!E299</f>
        <v>2330487.3870000001</v>
      </c>
      <c r="F294" s="403">
        <f>+COEFyDISTR_FET!G299</f>
        <v>0.57599999999999996</v>
      </c>
      <c r="G294" s="403">
        <f>+COEFyDISTR_FET!H299</f>
        <v>0.2427</v>
      </c>
      <c r="H294" s="402" t="str">
        <f>IF(D294=0,$A$2,VLOOKUP(COUNTIF(F294,$F$1&amp;$F$2)&amp;COUNTIF(G294,$G$1&amp;$G$2),PARAMETROS!$K$26:$L$30,2,0))</f>
        <v>Entra por Criterio de Percentil</v>
      </c>
      <c r="I294" s="96">
        <f>+COEFyDISTR_FET!AA299</f>
        <v>1.8752693313500001E-3</v>
      </c>
      <c r="J294" s="97">
        <f t="shared" si="32"/>
        <v>13202</v>
      </c>
      <c r="K294" s="97">
        <f t="shared" si="33"/>
        <v>13302</v>
      </c>
      <c r="L294" t="str">
        <f t="shared" si="34"/>
        <v>PIRQUE</v>
      </c>
      <c r="M294" t="str">
        <f t="shared" si="35"/>
        <v>Entra por Criterio de Percentil</v>
      </c>
      <c r="N294" s="97">
        <f t="shared" si="36"/>
        <v>13202</v>
      </c>
      <c r="O294" s="97">
        <f t="shared" si="37"/>
        <v>13302</v>
      </c>
      <c r="P294" t="str">
        <f t="shared" si="38"/>
        <v>PIRQUE</v>
      </c>
      <c r="Q294" s="96">
        <f t="shared" si="39"/>
        <v>1.8752693313500001E-3</v>
      </c>
      <c r="R294" s="96"/>
      <c r="S294">
        <f>+COEFyDISTR_MINERO!A299</f>
        <v>13202</v>
      </c>
      <c r="T294">
        <f>+COEFyDISTR_MINERO!B299</f>
        <v>13302</v>
      </c>
      <c r="U294" t="str">
        <f>+COEFyDISTR_MINERO!C299</f>
        <v>PIRQUE</v>
      </c>
      <c r="V294" s="96">
        <f>+COEFyDISTR_MINERO!X299</f>
        <v>0</v>
      </c>
      <c r="W294" s="6" t="str">
        <f>+COEFyDISTR_MINERO!D299</f>
        <v>No</v>
      </c>
      <c r="X294" s="96"/>
      <c r="Y294" s="96"/>
      <c r="Z294" s="1">
        <v>16201</v>
      </c>
      <c r="AA294" s="1">
        <v>8104</v>
      </c>
      <c r="AB294" s="1" t="str">
        <v>QUIRIHUE</v>
      </c>
      <c r="AC294" s="1" t="str">
        <v>Entra por Criterio de Dependencia y Percentil</v>
      </c>
      <c r="AF294" s="1">
        <v>16201</v>
      </c>
      <c r="AG294" s="1">
        <v>8104</v>
      </c>
      <c r="AH294" s="1" t="str">
        <v>QUIRIHUE</v>
      </c>
      <c r="AI294" s="405">
        <v>2.6980350659500003E-3</v>
      </c>
    </row>
    <row r="295" spans="1:35" ht="3" customHeight="1" x14ac:dyDescent="0.25">
      <c r="A295" s="5">
        <f>+COEFyDISTR_FET!A300</f>
        <v>13203</v>
      </c>
      <c r="B295" s="5">
        <f>+COEFyDISTR_FET!B300</f>
        <v>13303</v>
      </c>
      <c r="C295" t="str">
        <f>+COEFyDISTR_FET!C300</f>
        <v>SAN JOSÉ DE MAIPO</v>
      </c>
      <c r="D295" s="31">
        <f>+COEFyDISTR_FET!D300</f>
        <v>3929391</v>
      </c>
      <c r="E295" s="31">
        <f>+COEFyDISTR_FET!E300</f>
        <v>2333162.5180000002</v>
      </c>
      <c r="F295" s="403">
        <f>+COEFyDISTR_FET!G300</f>
        <v>0.42599999999999999</v>
      </c>
      <c r="G295" s="403">
        <f>+COEFyDISTR_FET!H300</f>
        <v>0.37259999999999999</v>
      </c>
      <c r="H295" s="402" t="str">
        <f>IF(D295=0,$A$2,VLOOKUP(COUNTIF(F295,$F$1&amp;$F$2)&amp;COUNTIF(G295,$G$1&amp;$G$2),PARAMETROS!$K$26:$L$30,2,0))</f>
        <v>Entra por Criterio de Percentil</v>
      </c>
      <c r="I295" s="96">
        <f>+COEFyDISTR_FET!AA300</f>
        <v>1.8680207688500001E-3</v>
      </c>
      <c r="J295" s="97">
        <f t="shared" si="32"/>
        <v>13203</v>
      </c>
      <c r="K295" s="97">
        <f t="shared" si="33"/>
        <v>13303</v>
      </c>
      <c r="L295" t="str">
        <f t="shared" si="34"/>
        <v>SAN JOSÉ DE MAIPO</v>
      </c>
      <c r="M295" t="str">
        <f t="shared" si="35"/>
        <v>Entra por Criterio de Percentil</v>
      </c>
      <c r="N295" s="97">
        <f t="shared" si="36"/>
        <v>13203</v>
      </c>
      <c r="O295" s="97">
        <f t="shared" si="37"/>
        <v>13303</v>
      </c>
      <c r="P295" t="str">
        <f t="shared" si="38"/>
        <v>SAN JOSÉ DE MAIPO</v>
      </c>
      <c r="Q295" s="96">
        <f t="shared" si="39"/>
        <v>1.8680207688500001E-3</v>
      </c>
      <c r="R295" s="96"/>
      <c r="S295">
        <f>+COEFyDISTR_MINERO!A300</f>
        <v>13203</v>
      </c>
      <c r="T295">
        <f>+COEFyDISTR_MINERO!B300</f>
        <v>13303</v>
      </c>
      <c r="U295" t="str">
        <f>+COEFyDISTR_MINERO!C300</f>
        <v>SAN JOSÉ DE MAIPO</v>
      </c>
      <c r="V295" s="96">
        <f>+COEFyDISTR_MINERO!X300</f>
        <v>0</v>
      </c>
      <c r="W295" s="6" t="str">
        <f>+COEFyDISTR_MINERO!D300</f>
        <v>No</v>
      </c>
      <c r="X295" s="96"/>
      <c r="Y295" s="96"/>
      <c r="Z295" s="1">
        <v>16202</v>
      </c>
      <c r="AA295" s="1">
        <v>8107</v>
      </c>
      <c r="AB295" s="1" t="str">
        <v>COBQUECURA</v>
      </c>
      <c r="AC295" s="1" t="str">
        <v>Entra por Criterio de Dependencia y Percentil</v>
      </c>
      <c r="AF295" s="1">
        <v>16202</v>
      </c>
      <c r="AG295" s="1">
        <v>8107</v>
      </c>
      <c r="AH295" s="1" t="str">
        <v>COBQUECURA</v>
      </c>
      <c r="AI295" s="405">
        <v>2.1248890667500001E-3</v>
      </c>
    </row>
    <row r="296" spans="1:35" ht="3" customHeight="1" x14ac:dyDescent="0.25">
      <c r="A296" s="5">
        <f>+COEFyDISTR_FET!A301</f>
        <v>13301</v>
      </c>
      <c r="B296" s="5">
        <f>+COEFyDISTR_FET!B301</f>
        <v>13201</v>
      </c>
      <c r="C296" t="str">
        <f>+COEFyDISTR_FET!C301</f>
        <v>COLINA</v>
      </c>
      <c r="D296" s="31">
        <f>+COEFyDISTR_FET!D301</f>
        <v>48819997</v>
      </c>
      <c r="E296" s="31">
        <f>+COEFyDISTR_FET!E301</f>
        <v>6740647.5659999996</v>
      </c>
      <c r="F296" s="403">
        <f>+COEFyDISTR_FET!G301</f>
        <v>0.94699999999999995</v>
      </c>
      <c r="G296" s="403">
        <f>+COEFyDISTR_FET!H301</f>
        <v>0.12130000000000001</v>
      </c>
      <c r="H296" s="402" t="str">
        <f>IF(D296=0,$A$2,VLOOKUP(COUNTIF(F296,$F$1&amp;$F$2)&amp;COUNTIF(G296,$G$1&amp;$G$2),PARAMETROS!$K$26:$L$30,2,0))</f>
        <v>Sin Acceso</v>
      </c>
      <c r="I296" s="96">
        <f>+COEFyDISTR_FET!AA301</f>
        <v>0</v>
      </c>
      <c r="J296" s="97">
        <f t="shared" si="32"/>
        <v>13301</v>
      </c>
      <c r="K296" s="97">
        <f t="shared" si="33"/>
        <v>13201</v>
      </c>
      <c r="L296" t="str">
        <f t="shared" si="34"/>
        <v>COLINA</v>
      </c>
      <c r="M296" t="str">
        <f t="shared" si="35"/>
        <v>Sin Acceso</v>
      </c>
      <c r="N296" s="97">
        <f t="shared" si="36"/>
        <v>13301</v>
      </c>
      <c r="O296" s="97">
        <f t="shared" si="37"/>
        <v>13201</v>
      </c>
      <c r="P296" t="str">
        <f t="shared" si="38"/>
        <v>COLINA</v>
      </c>
      <c r="Q296" s="96">
        <f t="shared" si="39"/>
        <v>0</v>
      </c>
      <c r="R296" s="96"/>
      <c r="S296">
        <f>+COEFyDISTR_MINERO!A301</f>
        <v>13301</v>
      </c>
      <c r="T296">
        <f>+COEFyDISTR_MINERO!B301</f>
        <v>13201</v>
      </c>
      <c r="U296" t="str">
        <f>+COEFyDISTR_MINERO!C301</f>
        <v>COLINA</v>
      </c>
      <c r="V296" s="96">
        <f>+COEFyDISTR_MINERO!X301</f>
        <v>0</v>
      </c>
      <c r="W296" s="6" t="str">
        <f>+COEFyDISTR_MINERO!D301</f>
        <v>No</v>
      </c>
      <c r="X296" s="96"/>
      <c r="Y296" s="96"/>
      <c r="Z296" s="1">
        <v>16203</v>
      </c>
      <c r="AA296" s="1">
        <v>8120</v>
      </c>
      <c r="AB296" s="1" t="str">
        <v>COELEMU</v>
      </c>
      <c r="AC296" s="1" t="str">
        <v>Entra por Criterio de Dependencia y Percentil</v>
      </c>
      <c r="AF296" s="1">
        <v>16203</v>
      </c>
      <c r="AG296" s="1">
        <v>8120</v>
      </c>
      <c r="AH296" s="1" t="str">
        <v>COELEMU</v>
      </c>
      <c r="AI296" s="405">
        <v>2.8197188327499997E-3</v>
      </c>
    </row>
    <row r="297" spans="1:35" ht="3" customHeight="1" x14ac:dyDescent="0.25">
      <c r="A297" s="5">
        <f>+COEFyDISTR_FET!A302</f>
        <v>13302</v>
      </c>
      <c r="B297" s="5">
        <f>+COEFyDISTR_FET!B302</f>
        <v>13202</v>
      </c>
      <c r="C297" t="str">
        <f>+COEFyDISTR_FET!C302</f>
        <v>LAMPA</v>
      </c>
      <c r="D297" s="31">
        <f>+COEFyDISTR_FET!D302</f>
        <v>28387159</v>
      </c>
      <c r="E297" s="31">
        <f>+COEFyDISTR_FET!E302</f>
        <v>6029270.3930000002</v>
      </c>
      <c r="F297" s="403">
        <f>+COEFyDISTR_FET!G302</f>
        <v>0.88400000000000001</v>
      </c>
      <c r="G297" s="403">
        <f>+COEFyDISTR_FET!H302</f>
        <v>0.17519999999999999</v>
      </c>
      <c r="H297" s="402" t="str">
        <f>IF(D297=0,$A$2,VLOOKUP(COUNTIF(F297,$F$1&amp;$F$2)&amp;COUNTIF(G297,$G$1&amp;$G$2),PARAMETROS!$K$26:$L$30,2,0))</f>
        <v>Sin Acceso</v>
      </c>
      <c r="I297" s="96">
        <f>+COEFyDISTR_FET!AA302</f>
        <v>0</v>
      </c>
      <c r="J297" s="97">
        <f t="shared" si="32"/>
        <v>13302</v>
      </c>
      <c r="K297" s="97">
        <f t="shared" si="33"/>
        <v>13202</v>
      </c>
      <c r="L297" t="str">
        <f t="shared" si="34"/>
        <v>LAMPA</v>
      </c>
      <c r="M297" t="str">
        <f t="shared" si="35"/>
        <v>Sin Acceso</v>
      </c>
      <c r="N297" s="97">
        <f t="shared" si="36"/>
        <v>13302</v>
      </c>
      <c r="O297" s="97">
        <f t="shared" si="37"/>
        <v>13202</v>
      </c>
      <c r="P297" t="str">
        <f t="shared" si="38"/>
        <v>LAMPA</v>
      </c>
      <c r="Q297" s="96">
        <f t="shared" si="39"/>
        <v>0</v>
      </c>
      <c r="R297" s="96"/>
      <c r="S297">
        <f>+COEFyDISTR_MINERO!A302</f>
        <v>13302</v>
      </c>
      <c r="T297">
        <f>+COEFyDISTR_MINERO!B302</f>
        <v>13202</v>
      </c>
      <c r="U297" t="str">
        <f>+COEFyDISTR_MINERO!C302</f>
        <v>LAMPA</v>
      </c>
      <c r="V297" s="96">
        <f>+COEFyDISTR_MINERO!X302</f>
        <v>0</v>
      </c>
      <c r="W297" s="6" t="str">
        <f>+COEFyDISTR_MINERO!D302</f>
        <v>No</v>
      </c>
      <c r="X297" s="96"/>
      <c r="Y297" s="96"/>
      <c r="Z297" s="1">
        <v>16204</v>
      </c>
      <c r="AA297" s="1">
        <v>8105</v>
      </c>
      <c r="AB297" s="1" t="str">
        <v>NINHUE</v>
      </c>
      <c r="AC297" s="1" t="str">
        <v>Entra por Criterio de Dependencia y Percentil</v>
      </c>
      <c r="AF297" s="1">
        <v>16204</v>
      </c>
      <c r="AG297" s="1">
        <v>8105</v>
      </c>
      <c r="AH297" s="1" t="str">
        <v>NINHUE</v>
      </c>
      <c r="AI297" s="405">
        <v>2.2510704874500005E-3</v>
      </c>
    </row>
    <row r="298" spans="1:35" ht="3" customHeight="1" x14ac:dyDescent="0.25">
      <c r="A298" s="5">
        <f>+COEFyDISTR_FET!A303</f>
        <v>13303</v>
      </c>
      <c r="B298" s="5">
        <f>+COEFyDISTR_FET!B303</f>
        <v>13203</v>
      </c>
      <c r="C298" t="str">
        <f>+COEFyDISTR_FET!C303</f>
        <v>TILTIL</v>
      </c>
      <c r="D298" s="31">
        <f>+COEFyDISTR_FET!D303</f>
        <v>2949424</v>
      </c>
      <c r="E298" s="31">
        <f>+COEFyDISTR_FET!E303</f>
        <v>2520369.4309999999</v>
      </c>
      <c r="F298" s="403">
        <f>+COEFyDISTR_FET!G303</f>
        <v>0.33600000000000002</v>
      </c>
      <c r="G298" s="403">
        <f>+COEFyDISTR_FET!H303</f>
        <v>0.46079999999999999</v>
      </c>
      <c r="H298" s="402" t="str">
        <f>IF(D298=0,$A$2,VLOOKUP(COUNTIF(F298,$F$1&amp;$F$2)&amp;COUNTIF(G298,$G$1&amp;$G$2),PARAMETROS!$K$26:$L$30,2,0))</f>
        <v>Entra por Criterio de Percentil</v>
      </c>
      <c r="I298" s="96">
        <f>+COEFyDISTR_FET!AA303</f>
        <v>2.0239005165500002E-3</v>
      </c>
      <c r="J298" s="97">
        <f t="shared" si="32"/>
        <v>13303</v>
      </c>
      <c r="K298" s="97">
        <f t="shared" si="33"/>
        <v>13203</v>
      </c>
      <c r="L298" t="str">
        <f t="shared" si="34"/>
        <v>TILTIL</v>
      </c>
      <c r="M298" t="str">
        <f t="shared" si="35"/>
        <v>Entra por Criterio de Percentil</v>
      </c>
      <c r="N298" s="97">
        <f t="shared" si="36"/>
        <v>13303</v>
      </c>
      <c r="O298" s="97">
        <f t="shared" si="37"/>
        <v>13203</v>
      </c>
      <c r="P298" t="str">
        <f t="shared" si="38"/>
        <v>TILTIL</v>
      </c>
      <c r="Q298" s="96">
        <f t="shared" si="39"/>
        <v>2.0239005165500002E-3</v>
      </c>
      <c r="R298" s="96"/>
      <c r="S298">
        <f>+COEFyDISTR_MINERO!A303</f>
        <v>13303</v>
      </c>
      <c r="T298">
        <f>+COEFyDISTR_MINERO!B303</f>
        <v>13203</v>
      </c>
      <c r="U298" t="str">
        <f>+COEFyDISTR_MINERO!C303</f>
        <v>TILTIL</v>
      </c>
      <c r="V298" s="96">
        <f>+COEFyDISTR_MINERO!X303</f>
        <v>0</v>
      </c>
      <c r="W298" s="6" t="str">
        <f>+COEFyDISTR_MINERO!D303</f>
        <v>No</v>
      </c>
      <c r="X298" s="96"/>
      <c r="Y298" s="96"/>
      <c r="Z298" s="1">
        <v>16205</v>
      </c>
      <c r="AA298" s="1">
        <v>8106</v>
      </c>
      <c r="AB298" s="1" t="str">
        <v>PORTEZUELO</v>
      </c>
      <c r="AC298" s="1" t="str">
        <v>Entra por Criterio de Dependencia y Percentil</v>
      </c>
      <c r="AF298" s="1">
        <v>16205</v>
      </c>
      <c r="AG298" s="1">
        <v>8106</v>
      </c>
      <c r="AH298" s="1" t="str">
        <v>PORTEZUELO</v>
      </c>
      <c r="AI298" s="405">
        <v>2.0786472573500001E-3</v>
      </c>
    </row>
    <row r="299" spans="1:35" ht="3" customHeight="1" x14ac:dyDescent="0.25">
      <c r="A299" s="5">
        <f>+COEFyDISTR_FET!A304</f>
        <v>13401</v>
      </c>
      <c r="B299" s="5">
        <f>+COEFyDISTR_FET!B304</f>
        <v>13401</v>
      </c>
      <c r="C299" t="str">
        <f>+COEFyDISTR_FET!C304</f>
        <v>SAN BERNARDO</v>
      </c>
      <c r="D299" s="31">
        <f>+COEFyDISTR_FET!D304</f>
        <v>45042850</v>
      </c>
      <c r="E299" s="31">
        <f>+COEFyDISTR_FET!E304</f>
        <v>25616831.004999999</v>
      </c>
      <c r="F299" s="403">
        <f>+COEFyDISTR_FET!G304</f>
        <v>0.95899999999999996</v>
      </c>
      <c r="G299" s="403">
        <f>+COEFyDISTR_FET!H304</f>
        <v>0.36249999999999999</v>
      </c>
      <c r="H299" s="402" t="str">
        <f>IF(D299=0,$A$2,VLOOKUP(COUNTIF(F299,$F$1&amp;$F$2)&amp;COUNTIF(G299,$G$1&amp;$G$2),PARAMETROS!$K$26:$L$30,2,0))</f>
        <v>Sin Acceso</v>
      </c>
      <c r="I299" s="96">
        <f>+COEFyDISTR_FET!AA304</f>
        <v>0</v>
      </c>
      <c r="J299" s="97">
        <f t="shared" si="32"/>
        <v>13401</v>
      </c>
      <c r="K299" s="97">
        <f t="shared" si="33"/>
        <v>13401</v>
      </c>
      <c r="L299" t="str">
        <f t="shared" si="34"/>
        <v>SAN BERNARDO</v>
      </c>
      <c r="M299" t="str">
        <f t="shared" si="35"/>
        <v>Sin Acceso</v>
      </c>
      <c r="N299" s="97">
        <f t="shared" si="36"/>
        <v>13401</v>
      </c>
      <c r="O299" s="97">
        <f t="shared" si="37"/>
        <v>13401</v>
      </c>
      <c r="P299" t="str">
        <f t="shared" si="38"/>
        <v>SAN BERNARDO</v>
      </c>
      <c r="Q299" s="96">
        <f t="shared" si="39"/>
        <v>0</v>
      </c>
      <c r="R299" s="96"/>
      <c r="S299">
        <f>+COEFyDISTR_MINERO!A304</f>
        <v>13401</v>
      </c>
      <c r="T299">
        <f>+COEFyDISTR_MINERO!B304</f>
        <v>13401</v>
      </c>
      <c r="U299" t="str">
        <f>+COEFyDISTR_MINERO!C304</f>
        <v>SAN BERNARDO</v>
      </c>
      <c r="V299" s="96">
        <f>+COEFyDISTR_MINERO!X304</f>
        <v>0</v>
      </c>
      <c r="W299" s="6" t="str">
        <f>+COEFyDISTR_MINERO!D304</f>
        <v>No</v>
      </c>
      <c r="X299" s="96"/>
      <c r="Y299" s="96"/>
      <c r="Z299" s="1">
        <v>16206</v>
      </c>
      <c r="AA299" s="1">
        <v>8119</v>
      </c>
      <c r="AB299" s="1" t="str">
        <v>RÁNQUIL</v>
      </c>
      <c r="AC299" s="1" t="str">
        <v>Entra por Criterio de Dependencia y Percentil</v>
      </c>
      <c r="AF299" s="1">
        <v>16206</v>
      </c>
      <c r="AG299" s="1">
        <v>8119</v>
      </c>
      <c r="AH299" s="1" t="str">
        <v>RÁNQUIL</v>
      </c>
      <c r="AI299" s="405">
        <v>2.1103271872500002E-3</v>
      </c>
    </row>
    <row r="300" spans="1:35" ht="3" customHeight="1" x14ac:dyDescent="0.25">
      <c r="A300" s="5">
        <f>+COEFyDISTR_FET!A305</f>
        <v>13402</v>
      </c>
      <c r="B300" s="5">
        <f>+COEFyDISTR_FET!B305</f>
        <v>13403</v>
      </c>
      <c r="C300" t="str">
        <f>+COEFyDISTR_FET!C305</f>
        <v>BUIN</v>
      </c>
      <c r="D300" s="31">
        <f>+COEFyDISTR_FET!D305</f>
        <v>13618373</v>
      </c>
      <c r="E300" s="31">
        <f>+COEFyDISTR_FET!E305</f>
        <v>5967308.2989999996</v>
      </c>
      <c r="F300" s="403">
        <f>+COEFyDISTR_FET!G305</f>
        <v>0.78200000000000003</v>
      </c>
      <c r="G300" s="403">
        <f>+COEFyDISTR_FET!H305</f>
        <v>0.30470000000000003</v>
      </c>
      <c r="H300" s="402" t="str">
        <f>IF(D300=0,$A$2,VLOOKUP(COUNTIF(F300,$F$1&amp;$F$2)&amp;COUNTIF(G300,$G$1&amp;$G$2),PARAMETROS!$K$26:$L$30,2,0))</f>
        <v>Entra por Criterio de Percentil</v>
      </c>
      <c r="I300" s="96">
        <f>+COEFyDISTR_FET!AA305</f>
        <v>3.4523596536499999E-3</v>
      </c>
      <c r="J300" s="97">
        <f t="shared" si="32"/>
        <v>13402</v>
      </c>
      <c r="K300" s="97">
        <f t="shared" si="33"/>
        <v>13403</v>
      </c>
      <c r="L300" t="str">
        <f t="shared" si="34"/>
        <v>BUIN</v>
      </c>
      <c r="M300" t="str">
        <f t="shared" si="35"/>
        <v>Entra por Criterio de Percentil</v>
      </c>
      <c r="N300" s="97">
        <f t="shared" si="36"/>
        <v>13402</v>
      </c>
      <c r="O300" s="97">
        <f t="shared" si="37"/>
        <v>13403</v>
      </c>
      <c r="P300" t="str">
        <f t="shared" si="38"/>
        <v>BUIN</v>
      </c>
      <c r="Q300" s="96">
        <f t="shared" si="39"/>
        <v>3.4523596536499999E-3</v>
      </c>
      <c r="R300" s="96"/>
      <c r="S300">
        <f>+COEFyDISTR_MINERO!A305</f>
        <v>13402</v>
      </c>
      <c r="T300">
        <f>+COEFyDISTR_MINERO!B305</f>
        <v>13403</v>
      </c>
      <c r="U300" t="str">
        <f>+COEFyDISTR_MINERO!C305</f>
        <v>BUIN</v>
      </c>
      <c r="V300" s="96">
        <f>+COEFyDISTR_MINERO!X305</f>
        <v>0</v>
      </c>
      <c r="W300" s="6" t="str">
        <f>+COEFyDISTR_MINERO!D305</f>
        <v>No</v>
      </c>
      <c r="X300" s="96"/>
      <c r="Y300" s="96"/>
      <c r="Z300" s="1">
        <v>16207</v>
      </c>
      <c r="AA300" s="1">
        <v>8108</v>
      </c>
      <c r="AB300" s="1" t="str">
        <v>TREHUACO</v>
      </c>
      <c r="AC300" s="1" t="str">
        <v>Entra por Criterio de Dependencia y Percentil</v>
      </c>
      <c r="AF300" s="1">
        <v>16207</v>
      </c>
      <c r="AG300" s="1">
        <v>8108</v>
      </c>
      <c r="AH300" s="1" t="str">
        <v>TREHUACO</v>
      </c>
      <c r="AI300" s="405">
        <v>2.23738265795E-3</v>
      </c>
    </row>
    <row r="301" spans="1:35" ht="3" customHeight="1" x14ac:dyDescent="0.25">
      <c r="A301" s="5">
        <f>+COEFyDISTR_FET!A306</f>
        <v>13403</v>
      </c>
      <c r="B301" s="5">
        <f>+COEFyDISTR_FET!B306</f>
        <v>13402</v>
      </c>
      <c r="C301" t="str">
        <f>+COEFyDISTR_FET!C306</f>
        <v>CALERA DE TANGO</v>
      </c>
      <c r="D301" s="31">
        <f>+COEFyDISTR_FET!D306</f>
        <v>5512385</v>
      </c>
      <c r="E301" s="31">
        <f>+COEFyDISTR_FET!E306</f>
        <v>2313375.182</v>
      </c>
      <c r="F301" s="403">
        <f>+COEFyDISTR_FET!G306</f>
        <v>0.48899999999999999</v>
      </c>
      <c r="G301" s="403">
        <f>+COEFyDISTR_FET!H306</f>
        <v>0.29559999999999997</v>
      </c>
      <c r="H301" s="402" t="str">
        <f>IF(D301=0,$A$2,VLOOKUP(COUNTIF(F301,$F$1&amp;$F$2)&amp;COUNTIF(G301,$G$1&amp;$G$2),PARAMETROS!$K$26:$L$30,2,0))</f>
        <v>Entra por Criterio de Percentil</v>
      </c>
      <c r="I301" s="96">
        <f>+COEFyDISTR_FET!AA306</f>
        <v>1.9086228535500002E-3</v>
      </c>
      <c r="J301" s="97">
        <f t="shared" si="32"/>
        <v>13403</v>
      </c>
      <c r="K301" s="97">
        <f t="shared" si="33"/>
        <v>13402</v>
      </c>
      <c r="L301" t="str">
        <f t="shared" si="34"/>
        <v>CALERA DE TANGO</v>
      </c>
      <c r="M301" t="str">
        <f t="shared" si="35"/>
        <v>Entra por Criterio de Percentil</v>
      </c>
      <c r="N301" s="97">
        <f t="shared" si="36"/>
        <v>13403</v>
      </c>
      <c r="O301" s="97">
        <f t="shared" si="37"/>
        <v>13402</v>
      </c>
      <c r="P301" t="str">
        <f t="shared" si="38"/>
        <v>CALERA DE TANGO</v>
      </c>
      <c r="Q301" s="96">
        <f t="shared" si="39"/>
        <v>1.9086228535500002E-3</v>
      </c>
      <c r="R301" s="96"/>
      <c r="S301">
        <f>+COEFyDISTR_MINERO!A306</f>
        <v>13403</v>
      </c>
      <c r="T301">
        <f>+COEFyDISTR_MINERO!B306</f>
        <v>13402</v>
      </c>
      <c r="U301" t="str">
        <f>+COEFyDISTR_MINERO!C306</f>
        <v>CALERA DE TANGO</v>
      </c>
      <c r="V301" s="96">
        <f>+COEFyDISTR_MINERO!X306</f>
        <v>0</v>
      </c>
      <c r="W301" s="6" t="str">
        <f>+COEFyDISTR_MINERO!D306</f>
        <v>No</v>
      </c>
      <c r="X301" s="96"/>
      <c r="Y301" s="96"/>
      <c r="Z301" s="1">
        <v>16301</v>
      </c>
      <c r="AA301" s="1">
        <v>8109</v>
      </c>
      <c r="AB301" s="1" t="str">
        <v>SAN CARLOS</v>
      </c>
      <c r="AC301" s="1" t="str">
        <v>Entra por Criterio de Dependencia y Percentil</v>
      </c>
      <c r="AF301" s="1">
        <v>16301</v>
      </c>
      <c r="AG301" s="1">
        <v>8109</v>
      </c>
      <c r="AH301" s="1" t="str">
        <v>SAN CARLOS</v>
      </c>
      <c r="AI301" s="405">
        <v>5.5333770658499998E-3</v>
      </c>
    </row>
    <row r="302" spans="1:35" ht="3" customHeight="1" x14ac:dyDescent="0.25">
      <c r="A302" s="5">
        <f>+COEFyDISTR_FET!A307</f>
        <v>13404</v>
      </c>
      <c r="B302" s="5">
        <f>+COEFyDISTR_FET!B307</f>
        <v>13404</v>
      </c>
      <c r="C302" t="str">
        <f>+COEFyDISTR_FET!C307</f>
        <v>PAINE</v>
      </c>
      <c r="D302" s="31">
        <f>+COEFyDISTR_FET!D307</f>
        <v>11063523</v>
      </c>
      <c r="E302" s="31">
        <f>+COEFyDISTR_FET!E307</f>
        <v>5453724.1780000003</v>
      </c>
      <c r="F302" s="403">
        <f>+COEFyDISTR_FET!G307</f>
        <v>0.73899999999999999</v>
      </c>
      <c r="G302" s="403">
        <f>+COEFyDISTR_FET!H307</f>
        <v>0.33019999999999999</v>
      </c>
      <c r="H302" s="402" t="str">
        <f>IF(D302=0,$A$2,VLOOKUP(COUNTIF(F302,$F$1&amp;$F$2)&amp;COUNTIF(G302,$G$1&amp;$G$2),PARAMETROS!$K$26:$L$30,2,0))</f>
        <v>Entra por Criterio de Percentil</v>
      </c>
      <c r="I302" s="96">
        <f>+COEFyDISTR_FET!AA307</f>
        <v>3.0590750394499998E-3</v>
      </c>
      <c r="J302" s="97">
        <f t="shared" si="32"/>
        <v>13404</v>
      </c>
      <c r="K302" s="97">
        <f t="shared" si="33"/>
        <v>13404</v>
      </c>
      <c r="L302" t="str">
        <f t="shared" si="34"/>
        <v>PAINE</v>
      </c>
      <c r="M302" t="str">
        <f t="shared" si="35"/>
        <v>Entra por Criterio de Percentil</v>
      </c>
      <c r="N302" s="97">
        <f t="shared" si="36"/>
        <v>13404</v>
      </c>
      <c r="O302" s="97">
        <f t="shared" si="37"/>
        <v>13404</v>
      </c>
      <c r="P302" t="str">
        <f t="shared" si="38"/>
        <v>PAINE</v>
      </c>
      <c r="Q302" s="96">
        <f t="shared" si="39"/>
        <v>3.0590750394499998E-3</v>
      </c>
      <c r="R302" s="96"/>
      <c r="S302">
        <f>+COEFyDISTR_MINERO!A307</f>
        <v>13404</v>
      </c>
      <c r="T302">
        <f>+COEFyDISTR_MINERO!B307</f>
        <v>13404</v>
      </c>
      <c r="U302" t="str">
        <f>+COEFyDISTR_MINERO!C307</f>
        <v>PAINE</v>
      </c>
      <c r="V302" s="96">
        <f>+COEFyDISTR_MINERO!X307</f>
        <v>0</v>
      </c>
      <c r="W302" s="6" t="str">
        <f>+COEFyDISTR_MINERO!D307</f>
        <v>No</v>
      </c>
      <c r="X302" s="96"/>
      <c r="Y302" s="96"/>
      <c r="Z302" s="1">
        <v>16302</v>
      </c>
      <c r="AA302" s="1">
        <v>8103</v>
      </c>
      <c r="AB302" s="1" t="str">
        <v>COIHUECO</v>
      </c>
      <c r="AC302" s="1" t="str">
        <v>Entra por Criterio de Dependencia y Percentil</v>
      </c>
      <c r="AF302" s="1">
        <v>16302</v>
      </c>
      <c r="AG302" s="1">
        <v>8103</v>
      </c>
      <c r="AH302" s="1" t="str">
        <v>COIHUECO</v>
      </c>
      <c r="AI302" s="405">
        <v>3.6561938538499997E-3</v>
      </c>
    </row>
    <row r="303" spans="1:35" ht="3" customHeight="1" x14ac:dyDescent="0.25">
      <c r="A303" s="5">
        <f>+COEFyDISTR_FET!A308</f>
        <v>13501</v>
      </c>
      <c r="B303" s="5">
        <f>+COEFyDISTR_FET!B308</f>
        <v>13601</v>
      </c>
      <c r="C303" t="str">
        <f>+COEFyDISTR_FET!C308</f>
        <v>MELIPILLA</v>
      </c>
      <c r="D303" s="31">
        <f>+COEFyDISTR_FET!D308</f>
        <v>9435514</v>
      </c>
      <c r="E303" s="31">
        <f>+COEFyDISTR_FET!E308</f>
        <v>19578027.181000002</v>
      </c>
      <c r="F303" s="403">
        <f>+COEFyDISTR_FET!G308</f>
        <v>0.86599999999999999</v>
      </c>
      <c r="G303" s="403">
        <f>+COEFyDISTR_FET!H308</f>
        <v>0.67479999999999996</v>
      </c>
      <c r="H303" s="402" t="str">
        <f>IF(D303=0,$A$2,VLOOKUP(COUNTIF(F303,$F$1&amp;$F$2)&amp;COUNTIF(G303,$G$1&amp;$G$2),PARAMETROS!$K$26:$L$30,2,0))</f>
        <v>Entra por Criterio de Dependencia</v>
      </c>
      <c r="I303" s="96">
        <f>+COEFyDISTR_FET!AA308</f>
        <v>1.014095064955E-2</v>
      </c>
      <c r="J303" s="97">
        <f t="shared" si="32"/>
        <v>13501</v>
      </c>
      <c r="K303" s="97">
        <f t="shared" si="33"/>
        <v>13601</v>
      </c>
      <c r="L303" t="str">
        <f t="shared" si="34"/>
        <v>MELIPILLA</v>
      </c>
      <c r="M303" t="str">
        <f t="shared" si="35"/>
        <v>Entra por Criterio de Dependencia</v>
      </c>
      <c r="N303" s="97">
        <f t="shared" si="36"/>
        <v>13501</v>
      </c>
      <c r="O303" s="97">
        <f t="shared" si="37"/>
        <v>13601</v>
      </c>
      <c r="P303" t="str">
        <f t="shared" si="38"/>
        <v>MELIPILLA</v>
      </c>
      <c r="Q303" s="96">
        <f t="shared" si="39"/>
        <v>1.014095064955E-2</v>
      </c>
      <c r="R303" s="96"/>
      <c r="S303">
        <f>+COEFyDISTR_MINERO!A308</f>
        <v>13501</v>
      </c>
      <c r="T303">
        <f>+COEFyDISTR_MINERO!B308</f>
        <v>13601</v>
      </c>
      <c r="U303" t="str">
        <f>+COEFyDISTR_MINERO!C308</f>
        <v>MELIPILLA</v>
      </c>
      <c r="V303" s="96">
        <f>+COEFyDISTR_MINERO!X308</f>
        <v>0</v>
      </c>
      <c r="W303" s="6" t="str">
        <f>+COEFyDISTR_MINERO!D308</f>
        <v>No</v>
      </c>
      <c r="X303" s="96"/>
      <c r="Y303" s="96"/>
      <c r="Z303" s="1">
        <v>16303</v>
      </c>
      <c r="AA303" s="1">
        <v>8110</v>
      </c>
      <c r="AB303" s="1" t="str">
        <v>ÑIQUÉN</v>
      </c>
      <c r="AC303" s="1" t="str">
        <v>Entra por Criterio de Dependencia y Percentil</v>
      </c>
      <c r="AF303" s="1">
        <v>16303</v>
      </c>
      <c r="AG303" s="1">
        <v>8110</v>
      </c>
      <c r="AH303" s="1" t="str">
        <v>ÑIQUÉN</v>
      </c>
      <c r="AI303" s="405">
        <v>2.4954297449500001E-3</v>
      </c>
    </row>
    <row r="304" spans="1:35" ht="3" customHeight="1" x14ac:dyDescent="0.25">
      <c r="A304" s="5">
        <f>+COEFyDISTR_FET!A309</f>
        <v>13502</v>
      </c>
      <c r="B304" s="5">
        <f>+COEFyDISTR_FET!B309</f>
        <v>13605</v>
      </c>
      <c r="C304" t="str">
        <f>+COEFyDISTR_FET!C309</f>
        <v>ALHUÉ</v>
      </c>
      <c r="D304" s="31">
        <f>+COEFyDISTR_FET!D309</f>
        <v>10612560</v>
      </c>
      <c r="E304" s="31">
        <f>+COEFyDISTR_FET!E309</f>
        <v>2130568.5049999999</v>
      </c>
      <c r="F304" s="403">
        <f>+COEFyDISTR_FET!G309</f>
        <v>0.66</v>
      </c>
      <c r="G304" s="403">
        <f>+COEFyDISTR_FET!H309</f>
        <v>0.16719999999999999</v>
      </c>
      <c r="H304" s="402" t="str">
        <f>IF(D304=0,$A$2,VLOOKUP(COUNTIF(F304,$F$1&amp;$F$2)&amp;COUNTIF(G304,$G$1&amp;$G$2),PARAMETROS!$K$26:$L$30,2,0))</f>
        <v>Entra por Criterio de Percentil</v>
      </c>
      <c r="I304" s="96">
        <f>+COEFyDISTR_FET!AA309</f>
        <v>1.86357326675E-3</v>
      </c>
      <c r="J304" s="97">
        <f t="shared" si="32"/>
        <v>13502</v>
      </c>
      <c r="K304" s="97">
        <f t="shared" si="33"/>
        <v>13605</v>
      </c>
      <c r="L304" t="str">
        <f t="shared" si="34"/>
        <v>ALHUÉ</v>
      </c>
      <c r="M304" t="str">
        <f t="shared" si="35"/>
        <v>Entra por Criterio de Percentil</v>
      </c>
      <c r="N304" s="97">
        <f t="shared" si="36"/>
        <v>13502</v>
      </c>
      <c r="O304" s="97">
        <f t="shared" si="37"/>
        <v>13605</v>
      </c>
      <c r="P304" t="str">
        <f t="shared" si="38"/>
        <v>ALHUÉ</v>
      </c>
      <c r="Q304" s="96">
        <f t="shared" si="39"/>
        <v>1.86357326675E-3</v>
      </c>
      <c r="R304" s="96"/>
      <c r="S304">
        <f>+COEFyDISTR_MINERO!A309</f>
        <v>13502</v>
      </c>
      <c r="T304">
        <f>+COEFyDISTR_MINERO!B309</f>
        <v>13605</v>
      </c>
      <c r="U304" t="str">
        <f>+COEFyDISTR_MINERO!C309</f>
        <v>ALHUÉ</v>
      </c>
      <c r="V304" s="96">
        <f>+COEFyDISTR_MINERO!X309</f>
        <v>0</v>
      </c>
      <c r="W304" s="6" t="str">
        <f>+COEFyDISTR_MINERO!D309</f>
        <v>No</v>
      </c>
      <c r="X304" s="96"/>
      <c r="Y304" s="96"/>
      <c r="Z304" s="1">
        <v>16304</v>
      </c>
      <c r="AA304" s="1">
        <v>8111</v>
      </c>
      <c r="AB304" s="1" t="str">
        <v>SAN FABIÁN</v>
      </c>
      <c r="AC304" s="1" t="str">
        <v>Entra por Criterio de Dependencia y Percentil</v>
      </c>
      <c r="AF304" s="1">
        <v>16304</v>
      </c>
      <c r="AG304" s="1">
        <v>8111</v>
      </c>
      <c r="AH304" s="1" t="str">
        <v>SAN FABIÁN</v>
      </c>
      <c r="AI304" s="405">
        <v>1.8828559507500001E-3</v>
      </c>
    </row>
    <row r="305" spans="1:35" ht="3" customHeight="1" x14ac:dyDescent="0.25">
      <c r="A305" s="5">
        <f>+COEFyDISTR_FET!A310</f>
        <v>13503</v>
      </c>
      <c r="B305" s="5">
        <f>+COEFyDISTR_FET!B310</f>
        <v>13603</v>
      </c>
      <c r="C305" t="str">
        <f>+COEFyDISTR_FET!C310</f>
        <v>CURACAVÍ</v>
      </c>
      <c r="D305" s="31">
        <f>+COEFyDISTR_FET!D310</f>
        <v>5669196</v>
      </c>
      <c r="E305" s="31">
        <f>+COEFyDISTR_FET!E310</f>
        <v>3717656.801</v>
      </c>
      <c r="F305" s="403">
        <f>+COEFyDISTR_FET!G310</f>
        <v>0.56499999999999995</v>
      </c>
      <c r="G305" s="403">
        <f>+COEFyDISTR_FET!H310</f>
        <v>0.39600000000000002</v>
      </c>
      <c r="H305" s="402" t="str">
        <f>IF(D305=0,$A$2,VLOOKUP(COUNTIF(F305,$F$1&amp;$F$2)&amp;COUNTIF(G305,$G$1&amp;$G$2),PARAMETROS!$K$26:$L$30,2,0))</f>
        <v>Entra por Criterio de Percentil</v>
      </c>
      <c r="I305" s="96">
        <f>+COEFyDISTR_FET!AA310</f>
        <v>2.3528057412500001E-3</v>
      </c>
      <c r="J305" s="97">
        <f t="shared" si="32"/>
        <v>13503</v>
      </c>
      <c r="K305" s="97">
        <f t="shared" si="33"/>
        <v>13603</v>
      </c>
      <c r="L305" t="str">
        <f t="shared" si="34"/>
        <v>CURACAVÍ</v>
      </c>
      <c r="M305" t="str">
        <f t="shared" si="35"/>
        <v>Entra por Criterio de Percentil</v>
      </c>
      <c r="N305" s="97">
        <f t="shared" si="36"/>
        <v>13503</v>
      </c>
      <c r="O305" s="97">
        <f t="shared" si="37"/>
        <v>13603</v>
      </c>
      <c r="P305" t="str">
        <f t="shared" si="38"/>
        <v>CURACAVÍ</v>
      </c>
      <c r="Q305" s="96">
        <f t="shared" si="39"/>
        <v>2.3528057412500001E-3</v>
      </c>
      <c r="R305" s="96"/>
      <c r="S305">
        <f>+COEFyDISTR_MINERO!A310</f>
        <v>13503</v>
      </c>
      <c r="T305">
        <f>+COEFyDISTR_MINERO!B310</f>
        <v>13603</v>
      </c>
      <c r="U305" t="str">
        <f>+COEFyDISTR_MINERO!C310</f>
        <v>CURACAVÍ</v>
      </c>
      <c r="V305" s="96">
        <f>+COEFyDISTR_MINERO!X310</f>
        <v>0</v>
      </c>
      <c r="W305" s="6" t="str">
        <f>+COEFyDISTR_MINERO!D310</f>
        <v>No</v>
      </c>
      <c r="X305" s="96"/>
      <c r="Y305" s="96"/>
      <c r="Z305" s="1">
        <v>16305</v>
      </c>
      <c r="AA305" s="1">
        <v>8112</v>
      </c>
      <c r="AB305" s="1" t="str">
        <v>SAN NICOLÁS</v>
      </c>
      <c r="AC305" s="1" t="str">
        <v>Entra por Criterio de Dependencia y Percentil</v>
      </c>
      <c r="AF305" s="1">
        <v>16305</v>
      </c>
      <c r="AG305" s="1">
        <v>8112</v>
      </c>
      <c r="AH305" s="1" t="str">
        <v>SAN NICOLÁS</v>
      </c>
      <c r="AI305" s="405">
        <v>2.2271554790499999E-3</v>
      </c>
    </row>
    <row r="306" spans="1:35" ht="3" customHeight="1" x14ac:dyDescent="0.25">
      <c r="A306" s="5">
        <f>+COEFyDISTR_FET!A311</f>
        <v>13504</v>
      </c>
      <c r="B306" s="5">
        <f>+COEFyDISTR_FET!B311</f>
        <v>13602</v>
      </c>
      <c r="C306" t="str">
        <f>+COEFyDISTR_FET!C311</f>
        <v>MARÍA PINTO</v>
      </c>
      <c r="D306" s="31">
        <f>+COEFyDISTR_FET!D311</f>
        <v>2994899</v>
      </c>
      <c r="E306" s="31">
        <f>+COEFyDISTR_FET!E311</f>
        <v>2461163.3870000001</v>
      </c>
      <c r="F306" s="403">
        <f>+COEFyDISTR_FET!G311</f>
        <v>0.33</v>
      </c>
      <c r="G306" s="403">
        <f>+COEFyDISTR_FET!H311</f>
        <v>0.4511</v>
      </c>
      <c r="H306" s="402" t="str">
        <f>IF(D306=0,$A$2,VLOOKUP(COUNTIF(F306,$F$1&amp;$F$2)&amp;COUNTIF(G306,$G$1&amp;$G$2),PARAMETROS!$K$26:$L$30,2,0))</f>
        <v>Entra por Criterio de Percentil</v>
      </c>
      <c r="I306" s="96">
        <f>+COEFyDISTR_FET!AA311</f>
        <v>1.98422437095E-3</v>
      </c>
      <c r="J306" s="97">
        <f t="shared" si="32"/>
        <v>13504</v>
      </c>
      <c r="K306" s="97">
        <f t="shared" si="33"/>
        <v>13602</v>
      </c>
      <c r="L306" t="str">
        <f t="shared" si="34"/>
        <v>MARÍA PINTO</v>
      </c>
      <c r="M306" t="str">
        <f t="shared" si="35"/>
        <v>Entra por Criterio de Percentil</v>
      </c>
      <c r="N306" s="97">
        <f t="shared" si="36"/>
        <v>13504</v>
      </c>
      <c r="O306" s="97">
        <f t="shared" si="37"/>
        <v>13602</v>
      </c>
      <c r="P306" t="str">
        <f t="shared" si="38"/>
        <v>MARÍA PINTO</v>
      </c>
      <c r="Q306" s="96">
        <f t="shared" si="39"/>
        <v>1.98422437095E-3</v>
      </c>
      <c r="R306" s="96"/>
      <c r="S306">
        <f>+COEFyDISTR_MINERO!A311</f>
        <v>13504</v>
      </c>
      <c r="T306">
        <f>+COEFyDISTR_MINERO!B311</f>
        <v>13602</v>
      </c>
      <c r="U306" t="str">
        <f>+COEFyDISTR_MINERO!C311</f>
        <v>MARÍA PINTO</v>
      </c>
      <c r="V306" s="96">
        <f>+COEFyDISTR_MINERO!X311</f>
        <v>0</v>
      </c>
      <c r="W306" s="6" t="str">
        <f>+COEFyDISTR_MINERO!D311</f>
        <v>No</v>
      </c>
      <c r="X306" s="96"/>
      <c r="Y306" s="96"/>
      <c r="AI306" s="96"/>
    </row>
    <row r="307" spans="1:35" ht="3" customHeight="1" x14ac:dyDescent="0.25">
      <c r="A307" s="5">
        <f>+COEFyDISTR_FET!A312</f>
        <v>13505</v>
      </c>
      <c r="B307" s="5">
        <f>+COEFyDISTR_FET!B312</f>
        <v>13604</v>
      </c>
      <c r="C307" t="str">
        <f>+COEFyDISTR_FET!C312</f>
        <v>SAN PEDRO</v>
      </c>
      <c r="D307" s="31">
        <f>+COEFyDISTR_FET!D312</f>
        <v>1396884</v>
      </c>
      <c r="E307" s="31">
        <f>+COEFyDISTR_FET!E312</f>
        <v>2831266.7450000001</v>
      </c>
      <c r="F307" s="403">
        <f>+COEFyDISTR_FET!G312</f>
        <v>0.188</v>
      </c>
      <c r="G307" s="403">
        <f>+COEFyDISTR_FET!H312</f>
        <v>0.66959999999999997</v>
      </c>
      <c r="H307" s="402" t="str">
        <f>IF(D307=0,$A$2,VLOOKUP(COUNTIF(F307,$F$1&amp;$F$2)&amp;COUNTIF(G307,$G$1&amp;$G$2),PARAMETROS!$K$26:$L$30,2,0))</f>
        <v>Entra por Criterio de Dependencia y Percentil</v>
      </c>
      <c r="I307" s="96">
        <f>+COEFyDISTR_FET!AA312</f>
        <v>2.0740536198500001E-3</v>
      </c>
      <c r="J307" s="97">
        <f t="shared" si="32"/>
        <v>13505</v>
      </c>
      <c r="K307" s="97">
        <f t="shared" si="33"/>
        <v>13604</v>
      </c>
      <c r="L307" t="str">
        <f t="shared" si="34"/>
        <v>SAN PEDRO</v>
      </c>
      <c r="M307" t="str">
        <f t="shared" si="35"/>
        <v>Entra por Criterio de Dependencia y Percentil</v>
      </c>
      <c r="N307" s="97">
        <f t="shared" si="36"/>
        <v>13505</v>
      </c>
      <c r="O307" s="97">
        <f t="shared" si="37"/>
        <v>13604</v>
      </c>
      <c r="P307" t="str">
        <f t="shared" si="38"/>
        <v>SAN PEDRO</v>
      </c>
      <c r="Q307" s="96">
        <f t="shared" si="39"/>
        <v>2.0740536198500001E-3</v>
      </c>
      <c r="R307" s="96"/>
      <c r="S307">
        <f>+COEFyDISTR_MINERO!A312</f>
        <v>13505</v>
      </c>
      <c r="T307">
        <f>+COEFyDISTR_MINERO!B312</f>
        <v>13604</v>
      </c>
      <c r="U307" t="str">
        <f>+COEFyDISTR_MINERO!C312</f>
        <v>SAN PEDRO</v>
      </c>
      <c r="V307" s="96">
        <f>+COEFyDISTR_MINERO!X312</f>
        <v>0</v>
      </c>
      <c r="W307" s="6" t="str">
        <f>+COEFyDISTR_MINERO!D312</f>
        <v>No</v>
      </c>
      <c r="X307" s="96"/>
      <c r="Y307" s="96"/>
      <c r="AI307" s="96"/>
    </row>
    <row r="308" spans="1:35" ht="3" customHeight="1" x14ac:dyDescent="0.25">
      <c r="A308" s="5">
        <f>+COEFyDISTR_FET!A313</f>
        <v>13601</v>
      </c>
      <c r="B308" s="5">
        <f>+COEFyDISTR_FET!B313</f>
        <v>13501</v>
      </c>
      <c r="C308" t="str">
        <f>+COEFyDISTR_FET!C313</f>
        <v>TALAGANTE</v>
      </c>
      <c r="D308" s="31">
        <f>+COEFyDISTR_FET!D313</f>
        <v>7350692</v>
      </c>
      <c r="E308" s="31">
        <f>+COEFyDISTR_FET!E313</f>
        <v>8644659.8220000006</v>
      </c>
      <c r="F308" s="403">
        <f>+COEFyDISTR_FET!G313</f>
        <v>0.72699999999999998</v>
      </c>
      <c r="G308" s="403">
        <f>+COEFyDISTR_FET!H313</f>
        <v>0.54039999999999999</v>
      </c>
      <c r="H308" s="402" t="str">
        <f>IF(D308=0,$A$2,VLOOKUP(COUNTIF(F308,$F$1&amp;$F$2)&amp;COUNTIF(G308,$G$1&amp;$G$2),PARAMETROS!$K$26:$L$30,2,0))</f>
        <v>Entra por Criterio de Dependencia y Percentil</v>
      </c>
      <c r="I308" s="96">
        <f>+COEFyDISTR_FET!AA313</f>
        <v>4.5542280821499999E-3</v>
      </c>
      <c r="J308" s="97">
        <f t="shared" si="32"/>
        <v>13601</v>
      </c>
      <c r="K308" s="97">
        <f t="shared" si="33"/>
        <v>13501</v>
      </c>
      <c r="L308" t="str">
        <f t="shared" si="34"/>
        <v>TALAGANTE</v>
      </c>
      <c r="M308" t="str">
        <f t="shared" si="35"/>
        <v>Entra por Criterio de Dependencia y Percentil</v>
      </c>
      <c r="N308" s="97">
        <f t="shared" si="36"/>
        <v>13601</v>
      </c>
      <c r="O308" s="97">
        <f t="shared" si="37"/>
        <v>13501</v>
      </c>
      <c r="P308" t="str">
        <f t="shared" si="38"/>
        <v>TALAGANTE</v>
      </c>
      <c r="Q308" s="96">
        <f t="shared" si="39"/>
        <v>4.5542280821499999E-3</v>
      </c>
      <c r="R308" s="96"/>
      <c r="S308">
        <f>+COEFyDISTR_MINERO!A313</f>
        <v>13601</v>
      </c>
      <c r="T308">
        <f>+COEFyDISTR_MINERO!B313</f>
        <v>13501</v>
      </c>
      <c r="U308" t="str">
        <f>+COEFyDISTR_MINERO!C313</f>
        <v>TALAGANTE</v>
      </c>
      <c r="V308" s="96">
        <f>+COEFyDISTR_MINERO!X313</f>
        <v>0</v>
      </c>
      <c r="W308" s="6" t="str">
        <f>+COEFyDISTR_MINERO!D313</f>
        <v>No</v>
      </c>
      <c r="X308" s="96"/>
      <c r="Y308" s="96"/>
      <c r="AI308" s="96"/>
    </row>
    <row r="309" spans="1:35" ht="3" customHeight="1" x14ac:dyDescent="0.25">
      <c r="A309" s="5">
        <f>+COEFyDISTR_FET!A314</f>
        <v>13602</v>
      </c>
      <c r="B309" s="5">
        <f>+COEFyDISTR_FET!B314</f>
        <v>13503</v>
      </c>
      <c r="C309" t="str">
        <f>+COEFyDISTR_FET!C314</f>
        <v>EL MONTE</v>
      </c>
      <c r="D309" s="31">
        <f>+COEFyDISTR_FET!D314</f>
        <v>3520317</v>
      </c>
      <c r="E309" s="31">
        <f>+COEFyDISTR_FET!E314</f>
        <v>5031425.8</v>
      </c>
      <c r="F309" s="403">
        <f>+COEFyDISTR_FET!G314</f>
        <v>0.52700000000000002</v>
      </c>
      <c r="G309" s="403">
        <f>+COEFyDISTR_FET!H314</f>
        <v>0.58840000000000003</v>
      </c>
      <c r="H309" s="402" t="str">
        <f>IF(D309=0,$A$2,VLOOKUP(COUNTIF(F309,$F$1&amp;$F$2)&amp;COUNTIF(G309,$G$1&amp;$G$2),PARAMETROS!$K$26:$L$30,2,0))</f>
        <v>Entra por Criterio de Dependencia y Percentil</v>
      </c>
      <c r="I309" s="96">
        <f>+COEFyDISTR_FET!AA314</f>
        <v>3.3491161136500001E-3</v>
      </c>
      <c r="J309" s="97">
        <f t="shared" si="32"/>
        <v>13602</v>
      </c>
      <c r="K309" s="97">
        <f t="shared" si="33"/>
        <v>13503</v>
      </c>
      <c r="L309" t="str">
        <f t="shared" si="34"/>
        <v>EL MONTE</v>
      </c>
      <c r="M309" t="str">
        <f t="shared" si="35"/>
        <v>Entra por Criterio de Dependencia y Percentil</v>
      </c>
      <c r="N309" s="97">
        <f t="shared" si="36"/>
        <v>13602</v>
      </c>
      <c r="O309" s="97">
        <f t="shared" si="37"/>
        <v>13503</v>
      </c>
      <c r="P309" t="str">
        <f t="shared" si="38"/>
        <v>EL MONTE</v>
      </c>
      <c r="Q309" s="96">
        <f t="shared" si="39"/>
        <v>3.3491161136500001E-3</v>
      </c>
      <c r="R309" s="96"/>
      <c r="S309">
        <f>+COEFyDISTR_MINERO!A314</f>
        <v>13602</v>
      </c>
      <c r="T309">
        <f>+COEFyDISTR_MINERO!B314</f>
        <v>13503</v>
      </c>
      <c r="U309" t="str">
        <f>+COEFyDISTR_MINERO!C314</f>
        <v>EL MONTE</v>
      </c>
      <c r="V309" s="96">
        <f>+COEFyDISTR_MINERO!X314</f>
        <v>0</v>
      </c>
      <c r="W309" s="6" t="str">
        <f>+COEFyDISTR_MINERO!D314</f>
        <v>No</v>
      </c>
      <c r="X309" s="96"/>
      <c r="Y309" s="96"/>
      <c r="AI309" s="96"/>
    </row>
    <row r="310" spans="1:35" ht="3" customHeight="1" x14ac:dyDescent="0.25">
      <c r="A310" s="5">
        <f>+COEFyDISTR_FET!A315</f>
        <v>13603</v>
      </c>
      <c r="B310" s="5">
        <f>+COEFyDISTR_FET!B315</f>
        <v>13502</v>
      </c>
      <c r="C310" t="str">
        <f>+COEFyDISTR_FET!C315</f>
        <v>ISLA DE MAIPO</v>
      </c>
      <c r="D310" s="31">
        <f>+COEFyDISTR_FET!D315</f>
        <v>4603424</v>
      </c>
      <c r="E310" s="31">
        <f>+COEFyDISTR_FET!E315</f>
        <v>4166504.7790000001</v>
      </c>
      <c r="F310" s="403">
        <f>+COEFyDISTR_FET!G315</f>
        <v>0.54200000000000004</v>
      </c>
      <c r="G310" s="403">
        <f>+COEFyDISTR_FET!H315</f>
        <v>0.47510000000000002</v>
      </c>
      <c r="H310" s="402" t="str">
        <f>IF(D310=0,$A$2,VLOOKUP(COUNTIF(F310,$F$1&amp;$F$2)&amp;COUNTIF(G310,$G$1&amp;$G$2),PARAMETROS!$K$26:$L$30,2,0))</f>
        <v>Entra por Criterio de Percentil</v>
      </c>
      <c r="I310" s="96">
        <f>+COEFyDISTR_FET!AA315</f>
        <v>2.4225919320500001E-3</v>
      </c>
      <c r="J310" s="97">
        <f t="shared" si="32"/>
        <v>13603</v>
      </c>
      <c r="K310" s="97">
        <f t="shared" si="33"/>
        <v>13502</v>
      </c>
      <c r="L310" t="str">
        <f t="shared" si="34"/>
        <v>ISLA DE MAIPO</v>
      </c>
      <c r="M310" t="str">
        <f t="shared" si="35"/>
        <v>Entra por Criterio de Percentil</v>
      </c>
      <c r="N310" s="97">
        <f t="shared" si="36"/>
        <v>13603</v>
      </c>
      <c r="O310" s="97">
        <f t="shared" si="37"/>
        <v>13502</v>
      </c>
      <c r="P310" t="str">
        <f t="shared" si="38"/>
        <v>ISLA DE MAIPO</v>
      </c>
      <c r="Q310" s="96">
        <f t="shared" si="39"/>
        <v>2.4225919320500001E-3</v>
      </c>
      <c r="R310" s="96"/>
      <c r="S310">
        <f>+COEFyDISTR_MINERO!A315</f>
        <v>13603</v>
      </c>
      <c r="T310">
        <f>+COEFyDISTR_MINERO!B315</f>
        <v>13502</v>
      </c>
      <c r="U310" t="str">
        <f>+COEFyDISTR_MINERO!C315</f>
        <v>ISLA DE MAIPO</v>
      </c>
      <c r="V310" s="96">
        <f>+COEFyDISTR_MINERO!X315</f>
        <v>0</v>
      </c>
      <c r="W310" s="6" t="str">
        <f>+COEFyDISTR_MINERO!D315</f>
        <v>No</v>
      </c>
      <c r="X310" s="96"/>
      <c r="Y310" s="96"/>
      <c r="AI310" s="96"/>
    </row>
    <row r="311" spans="1:35" ht="3" customHeight="1" x14ac:dyDescent="0.25">
      <c r="A311" s="5">
        <f>+COEFyDISTR_FET!A316</f>
        <v>13604</v>
      </c>
      <c r="B311" s="5">
        <f>+COEFyDISTR_FET!B316</f>
        <v>13505</v>
      </c>
      <c r="C311" t="str">
        <f>+COEFyDISTR_FET!C316</f>
        <v>PADRE HURTADO</v>
      </c>
      <c r="D311" s="31">
        <f>+COEFyDISTR_FET!D316</f>
        <v>9604438</v>
      </c>
      <c r="E311" s="31">
        <f>+COEFyDISTR_FET!E316</f>
        <v>7349791.9900000002</v>
      </c>
      <c r="F311" s="403">
        <f>+COEFyDISTR_FET!G316</f>
        <v>0.74399999999999999</v>
      </c>
      <c r="G311" s="403">
        <f>+COEFyDISTR_FET!H316</f>
        <v>0.4335</v>
      </c>
      <c r="H311" s="402" t="str">
        <f>IF(D311=0,$A$2,VLOOKUP(COUNTIF(F311,$F$1&amp;$F$2)&amp;COUNTIF(G311,$G$1&amp;$G$2),PARAMETROS!$K$26:$L$30,2,0))</f>
        <v>Entra por Criterio de Percentil</v>
      </c>
      <c r="I311" s="96">
        <f>+COEFyDISTR_FET!AA316</f>
        <v>2.9157218330500001E-3</v>
      </c>
      <c r="J311" s="97">
        <f t="shared" si="32"/>
        <v>13604</v>
      </c>
      <c r="K311" s="97">
        <f t="shared" si="33"/>
        <v>13505</v>
      </c>
      <c r="L311" t="str">
        <f t="shared" si="34"/>
        <v>PADRE HURTADO</v>
      </c>
      <c r="M311" t="str">
        <f t="shared" si="35"/>
        <v>Entra por Criterio de Percentil</v>
      </c>
      <c r="N311" s="97">
        <f t="shared" si="36"/>
        <v>13604</v>
      </c>
      <c r="O311" s="97">
        <f t="shared" si="37"/>
        <v>13505</v>
      </c>
      <c r="P311" t="str">
        <f t="shared" si="38"/>
        <v>PADRE HURTADO</v>
      </c>
      <c r="Q311" s="96">
        <f t="shared" si="39"/>
        <v>2.9157218330500001E-3</v>
      </c>
      <c r="R311" s="96"/>
      <c r="S311">
        <f>+COEFyDISTR_MINERO!A316</f>
        <v>13604</v>
      </c>
      <c r="T311">
        <f>+COEFyDISTR_MINERO!B316</f>
        <v>13505</v>
      </c>
      <c r="U311" t="str">
        <f>+COEFyDISTR_MINERO!C316</f>
        <v>PADRE HURTADO</v>
      </c>
      <c r="V311" s="96">
        <f>+COEFyDISTR_MINERO!X316</f>
        <v>0</v>
      </c>
      <c r="W311" s="6" t="str">
        <f>+COEFyDISTR_MINERO!D316</f>
        <v>No</v>
      </c>
      <c r="X311" s="96"/>
      <c r="Y311" s="96"/>
      <c r="AI311" s="96"/>
    </row>
    <row r="312" spans="1:35" ht="3" customHeight="1" x14ac:dyDescent="0.25">
      <c r="A312" s="5">
        <f>+COEFyDISTR_FET!A317</f>
        <v>13605</v>
      </c>
      <c r="B312" s="5">
        <f>+COEFyDISTR_FET!B317</f>
        <v>13504</v>
      </c>
      <c r="C312" t="str">
        <f>+COEFyDISTR_FET!C317</f>
        <v>PEÑAFLOR</v>
      </c>
      <c r="D312" s="31">
        <f>+COEFyDISTR_FET!D317</f>
        <v>7820854</v>
      </c>
      <c r="E312" s="31">
        <f>+COEFyDISTR_FET!E317</f>
        <v>11209957.912</v>
      </c>
      <c r="F312" s="403">
        <f>+COEFyDISTR_FET!G317</f>
        <v>0.77300000000000002</v>
      </c>
      <c r="G312" s="403">
        <f>+COEFyDISTR_FET!H317</f>
        <v>0.58899999999999997</v>
      </c>
      <c r="H312" s="402" t="str">
        <f>IF(D312=0,$A$2,VLOOKUP(COUNTIF(F312,$F$1&amp;$F$2)&amp;COUNTIF(G312,$G$1&amp;$G$2),PARAMETROS!$K$26:$L$30,2,0))</f>
        <v>Entra por Criterio de Dependencia y Percentil</v>
      </c>
      <c r="I312" s="96">
        <f>+COEFyDISTR_FET!AA317</f>
        <v>6.4534733238500001E-3</v>
      </c>
      <c r="J312" s="97">
        <f t="shared" si="32"/>
        <v>13605</v>
      </c>
      <c r="K312" s="97">
        <f t="shared" si="33"/>
        <v>13504</v>
      </c>
      <c r="L312" t="str">
        <f t="shared" si="34"/>
        <v>PEÑAFLOR</v>
      </c>
      <c r="M312" t="str">
        <f t="shared" si="35"/>
        <v>Entra por Criterio de Dependencia y Percentil</v>
      </c>
      <c r="N312" s="97">
        <f t="shared" si="36"/>
        <v>13605</v>
      </c>
      <c r="O312" s="97">
        <f t="shared" si="37"/>
        <v>13504</v>
      </c>
      <c r="P312" t="str">
        <f t="shared" si="38"/>
        <v>PEÑAFLOR</v>
      </c>
      <c r="Q312" s="96">
        <f t="shared" si="39"/>
        <v>6.4534733238500001E-3</v>
      </c>
      <c r="R312" s="96"/>
      <c r="S312">
        <f>+COEFyDISTR_MINERO!A317</f>
        <v>13605</v>
      </c>
      <c r="T312">
        <f>+COEFyDISTR_MINERO!B317</f>
        <v>13504</v>
      </c>
      <c r="U312" t="str">
        <f>+COEFyDISTR_MINERO!C317</f>
        <v>PEÑAFLOR</v>
      </c>
      <c r="V312" s="96">
        <f>+COEFyDISTR_MINERO!X317</f>
        <v>0</v>
      </c>
      <c r="W312" s="6" t="str">
        <f>+COEFyDISTR_MINERO!D317</f>
        <v>No</v>
      </c>
      <c r="X312" s="96"/>
      <c r="Y312" s="96"/>
      <c r="AI312" s="96"/>
    </row>
    <row r="313" spans="1:35" ht="3" customHeight="1" x14ac:dyDescent="0.25">
      <c r="A313" s="5">
        <f>+COEFyDISTR_FET!A318</f>
        <v>14101</v>
      </c>
      <c r="B313" s="5">
        <f>+COEFyDISTR_FET!B318</f>
        <v>10101</v>
      </c>
      <c r="C313" t="str">
        <f>+COEFyDISTR_FET!C318</f>
        <v>VALDIVIA</v>
      </c>
      <c r="D313" s="31">
        <f>+COEFyDISTR_FET!D318</f>
        <v>20507538</v>
      </c>
      <c r="E313" s="31">
        <f>+COEFyDISTR_FET!E318</f>
        <v>29188027.833999999</v>
      </c>
      <c r="F313" s="403">
        <f>+COEFyDISTR_FET!G318</f>
        <v>0.92100000000000004</v>
      </c>
      <c r="G313" s="403">
        <f>+COEFyDISTR_FET!H318</f>
        <v>0.58730000000000004</v>
      </c>
      <c r="H313" s="402" t="str">
        <f>IF(D313=0,$A$2,VLOOKUP(COUNTIF(F313,$F$1&amp;$F$2)&amp;COUNTIF(G313,$G$1&amp;$G$2),PARAMETROS!$K$26:$L$30,2,0))</f>
        <v>Entra por Criterio de Dependencia</v>
      </c>
      <c r="I313" s="96">
        <f>+COEFyDISTR_FET!AA318</f>
        <v>4.35693228515E-3</v>
      </c>
      <c r="J313" s="97">
        <f t="shared" si="32"/>
        <v>14101</v>
      </c>
      <c r="K313" s="97">
        <f t="shared" si="33"/>
        <v>10101</v>
      </c>
      <c r="L313" t="str">
        <f t="shared" si="34"/>
        <v>VALDIVIA</v>
      </c>
      <c r="M313" t="str">
        <f t="shared" si="35"/>
        <v>Entra por Criterio de Dependencia</v>
      </c>
      <c r="N313" s="97">
        <f t="shared" si="36"/>
        <v>14101</v>
      </c>
      <c r="O313" s="97">
        <f t="shared" si="37"/>
        <v>10101</v>
      </c>
      <c r="P313" t="str">
        <f t="shared" si="38"/>
        <v>VALDIVIA</v>
      </c>
      <c r="Q313" s="96">
        <f t="shared" si="39"/>
        <v>4.35693228515E-3</v>
      </c>
      <c r="R313" s="96"/>
      <c r="S313">
        <f>+COEFyDISTR_MINERO!A318</f>
        <v>14101</v>
      </c>
      <c r="T313">
        <f>+COEFyDISTR_MINERO!B318</f>
        <v>10101</v>
      </c>
      <c r="U313" t="str">
        <f>+COEFyDISTR_MINERO!C318</f>
        <v>VALDIVIA</v>
      </c>
      <c r="V313" s="96">
        <f>+COEFyDISTR_MINERO!X318</f>
        <v>0</v>
      </c>
      <c r="W313" s="6" t="str">
        <f>+COEFyDISTR_MINERO!D318</f>
        <v>No</v>
      </c>
      <c r="X313" s="96"/>
      <c r="Y313" s="96"/>
      <c r="AI313" s="96"/>
    </row>
    <row r="314" spans="1:35" ht="3" customHeight="1" x14ac:dyDescent="0.25">
      <c r="A314" s="5">
        <f>+COEFyDISTR_FET!A319</f>
        <v>14102</v>
      </c>
      <c r="B314" s="5">
        <f>+COEFyDISTR_FET!B319</f>
        <v>10106</v>
      </c>
      <c r="C314" t="str">
        <f>+COEFyDISTR_FET!C319</f>
        <v>CORRAL</v>
      </c>
      <c r="D314" s="31">
        <f>+COEFyDISTR_FET!D319</f>
        <v>402706</v>
      </c>
      <c r="E314" s="31">
        <f>+COEFyDISTR_FET!E319</f>
        <v>2868327.0219999999</v>
      </c>
      <c r="F314" s="403">
        <f>+COEFyDISTR_FET!G319</f>
        <v>8.4000000000000005E-2</v>
      </c>
      <c r="G314" s="403">
        <f>+COEFyDISTR_FET!H319</f>
        <v>0.87690000000000001</v>
      </c>
      <c r="H314" s="402" t="str">
        <f>IF(D314=0,$A$2,VLOOKUP(COUNTIF(F314,$F$1&amp;$F$2)&amp;COUNTIF(G314,$G$1&amp;$G$2),PARAMETROS!$K$26:$L$30,2,0))</f>
        <v>Entra por Criterio de Dependencia y Percentil</v>
      </c>
      <c r="I314" s="96">
        <f>+COEFyDISTR_FET!AA319</f>
        <v>1.9686362652500001E-3</v>
      </c>
      <c r="J314" s="97">
        <f t="shared" si="32"/>
        <v>14102</v>
      </c>
      <c r="K314" s="97">
        <f t="shared" si="33"/>
        <v>10106</v>
      </c>
      <c r="L314" t="str">
        <f t="shared" si="34"/>
        <v>CORRAL</v>
      </c>
      <c r="M314" t="str">
        <f t="shared" si="35"/>
        <v>Entra por Criterio de Dependencia y Percentil</v>
      </c>
      <c r="N314" s="97">
        <f t="shared" si="36"/>
        <v>14102</v>
      </c>
      <c r="O314" s="97">
        <f t="shared" si="37"/>
        <v>10106</v>
      </c>
      <c r="P314" t="str">
        <f t="shared" si="38"/>
        <v>CORRAL</v>
      </c>
      <c r="Q314" s="96">
        <f t="shared" si="39"/>
        <v>1.9686362652500001E-3</v>
      </c>
      <c r="R314" s="96"/>
      <c r="S314">
        <f>+COEFyDISTR_MINERO!A319</f>
        <v>14102</v>
      </c>
      <c r="T314">
        <f>+COEFyDISTR_MINERO!B319</f>
        <v>10106</v>
      </c>
      <c r="U314" t="str">
        <f>+COEFyDISTR_MINERO!C319</f>
        <v>CORRAL</v>
      </c>
      <c r="V314" s="96">
        <f>+COEFyDISTR_MINERO!X319</f>
        <v>0</v>
      </c>
      <c r="W314" s="6" t="str">
        <f>+COEFyDISTR_MINERO!D319</f>
        <v>No</v>
      </c>
      <c r="X314" s="96"/>
      <c r="Y314" s="96"/>
      <c r="AI314" s="96"/>
    </row>
    <row r="315" spans="1:35" ht="3" customHeight="1" x14ac:dyDescent="0.25">
      <c r="A315" s="5">
        <f>+COEFyDISTR_FET!A320</f>
        <v>14103</v>
      </c>
      <c r="B315" s="5">
        <f>+COEFyDISTR_FET!B320</f>
        <v>10103</v>
      </c>
      <c r="C315" t="str">
        <f>+COEFyDISTR_FET!C320</f>
        <v>LANCO</v>
      </c>
      <c r="D315" s="31">
        <f>+COEFyDISTR_FET!D320</f>
        <v>1114278</v>
      </c>
      <c r="E315" s="31">
        <f>+COEFyDISTR_FET!E320</f>
        <v>4389694.2110000001</v>
      </c>
      <c r="F315" s="403">
        <f>+COEFyDISTR_FET!G320</f>
        <v>0.34399999999999997</v>
      </c>
      <c r="G315" s="403">
        <f>+COEFyDISTR_FET!H320</f>
        <v>0.79759999999999998</v>
      </c>
      <c r="H315" s="402" t="str">
        <f>IF(D315=0,$A$2,VLOOKUP(COUNTIF(F315,$F$1&amp;$F$2)&amp;COUNTIF(G315,$G$1&amp;$G$2),PARAMETROS!$K$26:$L$30,2,0))</f>
        <v>Entra por Criterio de Dependencia y Percentil</v>
      </c>
      <c r="I315" s="96">
        <f>+COEFyDISTR_FET!AA320</f>
        <v>2.7480223066500002E-3</v>
      </c>
      <c r="J315" s="97">
        <f t="shared" si="32"/>
        <v>14103</v>
      </c>
      <c r="K315" s="97">
        <f t="shared" si="33"/>
        <v>10103</v>
      </c>
      <c r="L315" t="str">
        <f t="shared" si="34"/>
        <v>LANCO</v>
      </c>
      <c r="M315" t="str">
        <f t="shared" si="35"/>
        <v>Entra por Criterio de Dependencia y Percentil</v>
      </c>
      <c r="N315" s="97">
        <f t="shared" si="36"/>
        <v>14103</v>
      </c>
      <c r="O315" s="97">
        <f t="shared" si="37"/>
        <v>10103</v>
      </c>
      <c r="P315" t="str">
        <f t="shared" si="38"/>
        <v>LANCO</v>
      </c>
      <c r="Q315" s="96">
        <f t="shared" si="39"/>
        <v>2.7480223066500002E-3</v>
      </c>
      <c r="R315" s="96"/>
      <c r="S315">
        <f>+COEFyDISTR_MINERO!A320</f>
        <v>14103</v>
      </c>
      <c r="T315">
        <f>+COEFyDISTR_MINERO!B320</f>
        <v>10103</v>
      </c>
      <c r="U315" t="str">
        <f>+COEFyDISTR_MINERO!C320</f>
        <v>LANCO</v>
      </c>
      <c r="V315" s="96">
        <f>+COEFyDISTR_MINERO!X320</f>
        <v>0</v>
      </c>
      <c r="W315" s="6" t="str">
        <f>+COEFyDISTR_MINERO!D320</f>
        <v>No</v>
      </c>
      <c r="X315" s="96"/>
      <c r="Y315" s="96"/>
      <c r="AI315" s="96"/>
    </row>
    <row r="316" spans="1:35" ht="3" customHeight="1" x14ac:dyDescent="0.25">
      <c r="A316" s="5">
        <f>+COEFyDISTR_FET!A321</f>
        <v>14104</v>
      </c>
      <c r="B316" s="5">
        <f>+COEFyDISTR_FET!B321</f>
        <v>10104</v>
      </c>
      <c r="C316" t="str">
        <f>+COEFyDISTR_FET!C321</f>
        <v>LOS LAGOS</v>
      </c>
      <c r="D316" s="31">
        <f>+COEFyDISTR_FET!D321</f>
        <v>1846051</v>
      </c>
      <c r="E316" s="31">
        <f>+COEFyDISTR_FET!E321</f>
        <v>3655376.9169999999</v>
      </c>
      <c r="F316" s="403">
        <f>+COEFyDISTR_FET!G321</f>
        <v>0.34200000000000003</v>
      </c>
      <c r="G316" s="403">
        <f>+COEFyDISTR_FET!H321</f>
        <v>0.66439999999999999</v>
      </c>
      <c r="H316" s="402" t="str">
        <f>IF(D316=0,$A$2,VLOOKUP(COUNTIF(F316,$F$1&amp;$F$2)&amp;COUNTIF(G316,$G$1&amp;$G$2),PARAMETROS!$K$26:$L$30,2,0))</f>
        <v>Entra por Criterio de Dependencia y Percentil</v>
      </c>
      <c r="I316" s="96">
        <f>+COEFyDISTR_FET!AA321</f>
        <v>2.3846142271499999E-3</v>
      </c>
      <c r="J316" s="97">
        <f t="shared" si="32"/>
        <v>14104</v>
      </c>
      <c r="K316" s="97">
        <f t="shared" si="33"/>
        <v>10104</v>
      </c>
      <c r="L316" t="str">
        <f t="shared" si="34"/>
        <v>LOS LAGOS</v>
      </c>
      <c r="M316" t="str">
        <f t="shared" si="35"/>
        <v>Entra por Criterio de Dependencia y Percentil</v>
      </c>
      <c r="N316" s="97">
        <f t="shared" si="36"/>
        <v>14104</v>
      </c>
      <c r="O316" s="97">
        <f t="shared" si="37"/>
        <v>10104</v>
      </c>
      <c r="P316" t="str">
        <f t="shared" si="38"/>
        <v>LOS LAGOS</v>
      </c>
      <c r="Q316" s="96">
        <f t="shared" si="39"/>
        <v>2.3846142271499999E-3</v>
      </c>
      <c r="R316" s="96"/>
      <c r="S316">
        <f>+COEFyDISTR_MINERO!A321</f>
        <v>14104</v>
      </c>
      <c r="T316">
        <f>+COEFyDISTR_MINERO!B321</f>
        <v>10104</v>
      </c>
      <c r="U316" t="str">
        <f>+COEFyDISTR_MINERO!C321</f>
        <v>LOS LAGOS</v>
      </c>
      <c r="V316" s="96">
        <f>+COEFyDISTR_MINERO!X321</f>
        <v>0</v>
      </c>
      <c r="W316" s="6" t="str">
        <f>+COEFyDISTR_MINERO!D321</f>
        <v>No</v>
      </c>
      <c r="X316" s="96"/>
      <c r="Y316" s="96"/>
      <c r="AI316" s="96"/>
    </row>
    <row r="317" spans="1:35" ht="3" customHeight="1" x14ac:dyDescent="0.25">
      <c r="A317" s="5">
        <f>+COEFyDISTR_FET!A322</f>
        <v>14105</v>
      </c>
      <c r="B317" s="5">
        <f>+COEFyDISTR_FET!B322</f>
        <v>10107</v>
      </c>
      <c r="C317" t="str">
        <f>+COEFyDISTR_FET!C322</f>
        <v>MÁFIL</v>
      </c>
      <c r="D317" s="31">
        <f>+COEFyDISTR_FET!D322</f>
        <v>784754</v>
      </c>
      <c r="E317" s="31">
        <f>+COEFyDISTR_FET!E322</f>
        <v>2476501.4909999999</v>
      </c>
      <c r="F317" s="403">
        <f>+COEFyDISTR_FET!G322</f>
        <v>8.1000000000000003E-2</v>
      </c>
      <c r="G317" s="403">
        <f>+COEFyDISTR_FET!H322</f>
        <v>0.75939999999999996</v>
      </c>
      <c r="H317" s="402" t="str">
        <f>IF(D317=0,$A$2,VLOOKUP(COUNTIF(F317,$F$1&amp;$F$2)&amp;COUNTIF(G317,$G$1&amp;$G$2),PARAMETROS!$K$26:$L$30,2,0))</f>
        <v>Entra por Criterio de Dependencia y Percentil</v>
      </c>
      <c r="I317" s="96">
        <f>+COEFyDISTR_FET!AA322</f>
        <v>1.8496800398500001E-3</v>
      </c>
      <c r="J317" s="97">
        <f t="shared" si="32"/>
        <v>14105</v>
      </c>
      <c r="K317" s="97">
        <f t="shared" si="33"/>
        <v>10107</v>
      </c>
      <c r="L317" t="str">
        <f t="shared" si="34"/>
        <v>MÁFIL</v>
      </c>
      <c r="M317" t="str">
        <f t="shared" si="35"/>
        <v>Entra por Criterio de Dependencia y Percentil</v>
      </c>
      <c r="N317" s="97">
        <f t="shared" si="36"/>
        <v>14105</v>
      </c>
      <c r="O317" s="97">
        <f t="shared" si="37"/>
        <v>10107</v>
      </c>
      <c r="P317" t="str">
        <f t="shared" si="38"/>
        <v>MÁFIL</v>
      </c>
      <c r="Q317" s="96">
        <f t="shared" si="39"/>
        <v>1.8496800398500001E-3</v>
      </c>
      <c r="R317" s="96"/>
      <c r="S317">
        <f>+COEFyDISTR_MINERO!A322</f>
        <v>14105</v>
      </c>
      <c r="T317">
        <f>+COEFyDISTR_MINERO!B322</f>
        <v>10107</v>
      </c>
      <c r="U317" t="str">
        <f>+COEFyDISTR_MINERO!C322</f>
        <v>MÁFIL</v>
      </c>
      <c r="V317" s="96">
        <f>+COEFyDISTR_MINERO!X322</f>
        <v>0</v>
      </c>
      <c r="W317" s="6" t="str">
        <f>+COEFyDISTR_MINERO!D322</f>
        <v>No</v>
      </c>
      <c r="X317" s="96"/>
      <c r="Y317" s="96"/>
      <c r="AI317" s="96"/>
    </row>
    <row r="318" spans="1:35" ht="3" customHeight="1" x14ac:dyDescent="0.25">
      <c r="A318" s="5">
        <f>+COEFyDISTR_FET!A323</f>
        <v>14106</v>
      </c>
      <c r="B318" s="5">
        <f>+COEFyDISTR_FET!B323</f>
        <v>10102</v>
      </c>
      <c r="C318" t="str">
        <f>+COEFyDISTR_FET!C323</f>
        <v>MARIQUINA</v>
      </c>
      <c r="D318" s="31">
        <f>+COEFyDISTR_FET!D323</f>
        <v>1958647</v>
      </c>
      <c r="E318" s="31">
        <f>+COEFyDISTR_FET!E323</f>
        <v>5648691.3559999997</v>
      </c>
      <c r="F318" s="403">
        <f>+COEFyDISTR_FET!G323</f>
        <v>0.47499999999999998</v>
      </c>
      <c r="G318" s="403">
        <f>+COEFyDISTR_FET!H323</f>
        <v>0.74250000000000005</v>
      </c>
      <c r="H318" s="402" t="str">
        <f>IF(D318=0,$A$2,VLOOKUP(COUNTIF(F318,$F$1&amp;$F$2)&amp;COUNTIF(G318,$G$1&amp;$G$2),PARAMETROS!$K$26:$L$30,2,0))</f>
        <v>Entra por Criterio de Dependencia y Percentil</v>
      </c>
      <c r="I318" s="96">
        <f>+COEFyDISTR_FET!AA323</f>
        <v>2.8269174680499998E-3</v>
      </c>
      <c r="J318" s="97">
        <f t="shared" si="32"/>
        <v>14106</v>
      </c>
      <c r="K318" s="97">
        <f t="shared" si="33"/>
        <v>10102</v>
      </c>
      <c r="L318" t="str">
        <f t="shared" si="34"/>
        <v>MARIQUINA</v>
      </c>
      <c r="M318" t="str">
        <f t="shared" si="35"/>
        <v>Entra por Criterio de Dependencia y Percentil</v>
      </c>
      <c r="N318" s="97">
        <f t="shared" si="36"/>
        <v>14106</v>
      </c>
      <c r="O318" s="97">
        <f t="shared" si="37"/>
        <v>10102</v>
      </c>
      <c r="P318" t="str">
        <f t="shared" si="38"/>
        <v>MARIQUINA</v>
      </c>
      <c r="Q318" s="96">
        <f t="shared" si="39"/>
        <v>2.8269174680499998E-3</v>
      </c>
      <c r="R318" s="96"/>
      <c r="S318">
        <f>+COEFyDISTR_MINERO!A323</f>
        <v>14106</v>
      </c>
      <c r="T318">
        <f>+COEFyDISTR_MINERO!B323</f>
        <v>10102</v>
      </c>
      <c r="U318" t="str">
        <f>+COEFyDISTR_MINERO!C323</f>
        <v>MARIQUINA</v>
      </c>
      <c r="V318" s="96">
        <f>+COEFyDISTR_MINERO!X323</f>
        <v>0</v>
      </c>
      <c r="W318" s="6" t="str">
        <f>+COEFyDISTR_MINERO!D323</f>
        <v>No</v>
      </c>
      <c r="X318" s="96"/>
      <c r="Y318" s="96"/>
      <c r="AI318" s="96"/>
    </row>
    <row r="319" spans="1:35" ht="3" customHeight="1" x14ac:dyDescent="0.25">
      <c r="A319" s="5">
        <f>+COEFyDISTR_FET!A324</f>
        <v>14107</v>
      </c>
      <c r="B319" s="5">
        <f>+COEFyDISTR_FET!B324</f>
        <v>10110</v>
      </c>
      <c r="C319" t="str">
        <f>+COEFyDISTR_FET!C324</f>
        <v>PAILLACO</v>
      </c>
      <c r="D319" s="31">
        <f>+COEFyDISTR_FET!D324</f>
        <v>1929268</v>
      </c>
      <c r="E319" s="31">
        <f>+COEFyDISTR_FET!E324</f>
        <v>3919044.568</v>
      </c>
      <c r="F319" s="403">
        <f>+COEFyDISTR_FET!G324</f>
        <v>0.38200000000000001</v>
      </c>
      <c r="G319" s="403">
        <f>+COEFyDISTR_FET!H324</f>
        <v>0.67010000000000003</v>
      </c>
      <c r="H319" s="402" t="str">
        <f>IF(D319=0,$A$2,VLOOKUP(COUNTIF(F319,$F$1&amp;$F$2)&amp;COUNTIF(G319,$G$1&amp;$G$2),PARAMETROS!$K$26:$L$30,2,0))</f>
        <v>Entra por Criterio de Dependencia y Percentil</v>
      </c>
      <c r="I319" s="96">
        <f>+COEFyDISTR_FET!AA324</f>
        <v>2.3926090864500003E-3</v>
      </c>
      <c r="J319" s="97">
        <f t="shared" si="32"/>
        <v>14107</v>
      </c>
      <c r="K319" s="97">
        <f t="shared" si="33"/>
        <v>10110</v>
      </c>
      <c r="L319" t="str">
        <f t="shared" si="34"/>
        <v>PAILLACO</v>
      </c>
      <c r="M319" t="str">
        <f t="shared" si="35"/>
        <v>Entra por Criterio de Dependencia y Percentil</v>
      </c>
      <c r="N319" s="97">
        <f t="shared" si="36"/>
        <v>14107</v>
      </c>
      <c r="O319" s="97">
        <f t="shared" si="37"/>
        <v>10110</v>
      </c>
      <c r="P319" t="str">
        <f t="shared" si="38"/>
        <v>PAILLACO</v>
      </c>
      <c r="Q319" s="96">
        <f t="shared" si="39"/>
        <v>2.3926090864500003E-3</v>
      </c>
      <c r="R319" s="96"/>
      <c r="S319">
        <f>+COEFyDISTR_MINERO!A324</f>
        <v>14107</v>
      </c>
      <c r="T319">
        <f>+COEFyDISTR_MINERO!B324</f>
        <v>10110</v>
      </c>
      <c r="U319" t="str">
        <f>+COEFyDISTR_MINERO!C324</f>
        <v>PAILLACO</v>
      </c>
      <c r="V319" s="96">
        <f>+COEFyDISTR_MINERO!X324</f>
        <v>0</v>
      </c>
      <c r="W319" s="6" t="str">
        <f>+COEFyDISTR_MINERO!D324</f>
        <v>No</v>
      </c>
      <c r="X319" s="96"/>
      <c r="Y319" s="96"/>
      <c r="AI319" s="96"/>
    </row>
    <row r="320" spans="1:35" ht="3" customHeight="1" x14ac:dyDescent="0.25">
      <c r="A320" s="5">
        <f>+COEFyDISTR_FET!A325</f>
        <v>14108</v>
      </c>
      <c r="B320" s="5">
        <f>+COEFyDISTR_FET!B325</f>
        <v>10108</v>
      </c>
      <c r="C320" t="str">
        <f>+COEFyDISTR_FET!C325</f>
        <v>PANGUIPULLI</v>
      </c>
      <c r="D320" s="31">
        <f>+COEFyDISTR_FET!D325</f>
        <v>5233095</v>
      </c>
      <c r="E320" s="31">
        <f>+COEFyDISTR_FET!E325</f>
        <v>10085527.040999999</v>
      </c>
      <c r="F320" s="403">
        <f>+COEFyDISTR_FET!G325</f>
        <v>0.71499999999999997</v>
      </c>
      <c r="G320" s="403">
        <f>+COEFyDISTR_FET!H325</f>
        <v>0.65839999999999999</v>
      </c>
      <c r="H320" s="402" t="str">
        <f>IF(D320=0,$A$2,VLOOKUP(COUNTIF(F320,$F$1&amp;$F$2)&amp;COUNTIF(G320,$G$1&amp;$G$2),PARAMETROS!$K$26:$L$30,2,0))</f>
        <v>Entra por Criterio de Dependencia y Percentil</v>
      </c>
      <c r="I320" s="96">
        <f>+COEFyDISTR_FET!AA325</f>
        <v>2.7409077215500002E-3</v>
      </c>
      <c r="J320" s="97">
        <f t="shared" si="32"/>
        <v>14108</v>
      </c>
      <c r="K320" s="97">
        <f t="shared" si="33"/>
        <v>10108</v>
      </c>
      <c r="L320" t="str">
        <f t="shared" si="34"/>
        <v>PANGUIPULLI</v>
      </c>
      <c r="M320" t="str">
        <f t="shared" si="35"/>
        <v>Entra por Criterio de Dependencia y Percentil</v>
      </c>
      <c r="N320" s="97">
        <f t="shared" si="36"/>
        <v>14108</v>
      </c>
      <c r="O320" s="97">
        <f t="shared" si="37"/>
        <v>10108</v>
      </c>
      <c r="P320" t="str">
        <f t="shared" si="38"/>
        <v>PANGUIPULLI</v>
      </c>
      <c r="Q320" s="96">
        <f t="shared" si="39"/>
        <v>2.7409077215500002E-3</v>
      </c>
      <c r="R320" s="96"/>
      <c r="S320">
        <f>+COEFyDISTR_MINERO!A325</f>
        <v>14108</v>
      </c>
      <c r="T320">
        <f>+COEFyDISTR_MINERO!B325</f>
        <v>10108</v>
      </c>
      <c r="U320" t="str">
        <f>+COEFyDISTR_MINERO!C325</f>
        <v>PANGUIPULLI</v>
      </c>
      <c r="V320" s="96">
        <f>+COEFyDISTR_MINERO!X325</f>
        <v>0</v>
      </c>
      <c r="W320" s="6" t="str">
        <f>+COEFyDISTR_MINERO!D325</f>
        <v>No</v>
      </c>
      <c r="X320" s="96"/>
      <c r="Y320" s="96"/>
      <c r="AI320" s="96"/>
    </row>
    <row r="321" spans="1:35" ht="3" customHeight="1" x14ac:dyDescent="0.25">
      <c r="A321" s="5">
        <f>+COEFyDISTR_FET!A326</f>
        <v>14201</v>
      </c>
      <c r="B321" s="5">
        <f>+COEFyDISTR_FET!B326</f>
        <v>10109</v>
      </c>
      <c r="C321" t="str">
        <f>+COEFyDISTR_FET!C326</f>
        <v>LA UNIÓN</v>
      </c>
      <c r="D321" s="31">
        <f>+COEFyDISTR_FET!D326</f>
        <v>4002335</v>
      </c>
      <c r="E321" s="31">
        <f>+COEFyDISTR_FET!E326</f>
        <v>6717124.5120000001</v>
      </c>
      <c r="F321" s="403">
        <f>+COEFyDISTR_FET!G326</f>
        <v>0.61099999999999999</v>
      </c>
      <c r="G321" s="403">
        <f>+COEFyDISTR_FET!H326</f>
        <v>0.62660000000000005</v>
      </c>
      <c r="H321" s="402" t="str">
        <f>IF(D321=0,$A$2,VLOOKUP(COUNTIF(F321,$F$1&amp;$F$2)&amp;COUNTIF(G321,$G$1&amp;$G$2),PARAMETROS!$K$26:$L$30,2,0))</f>
        <v>Entra por Criterio de Dependencia y Percentil</v>
      </c>
      <c r="I321" s="96">
        <f>+COEFyDISTR_FET!AA326</f>
        <v>2.9866222571500001E-3</v>
      </c>
      <c r="J321" s="97">
        <f t="shared" si="32"/>
        <v>14201</v>
      </c>
      <c r="K321" s="97">
        <f t="shared" si="33"/>
        <v>10109</v>
      </c>
      <c r="L321" t="str">
        <f t="shared" si="34"/>
        <v>LA UNIÓN</v>
      </c>
      <c r="M321" t="str">
        <f t="shared" si="35"/>
        <v>Entra por Criterio de Dependencia y Percentil</v>
      </c>
      <c r="N321" s="97">
        <f t="shared" si="36"/>
        <v>14201</v>
      </c>
      <c r="O321" s="97">
        <f t="shared" si="37"/>
        <v>10109</v>
      </c>
      <c r="P321" t="str">
        <f t="shared" si="38"/>
        <v>LA UNIÓN</v>
      </c>
      <c r="Q321" s="96">
        <f t="shared" si="39"/>
        <v>2.9866222571500001E-3</v>
      </c>
      <c r="R321" s="96"/>
      <c r="S321">
        <f>+COEFyDISTR_MINERO!A326</f>
        <v>14201</v>
      </c>
      <c r="T321">
        <f>+COEFyDISTR_MINERO!B326</f>
        <v>10109</v>
      </c>
      <c r="U321" t="str">
        <f>+COEFyDISTR_MINERO!C326</f>
        <v>LA UNIÓN</v>
      </c>
      <c r="V321" s="96">
        <f>+COEFyDISTR_MINERO!X326</f>
        <v>0</v>
      </c>
      <c r="W321" s="6" t="str">
        <f>+COEFyDISTR_MINERO!D326</f>
        <v>No</v>
      </c>
      <c r="X321" s="96"/>
      <c r="Y321" s="96"/>
      <c r="AI321" s="96"/>
    </row>
    <row r="322" spans="1:35" ht="3" customHeight="1" x14ac:dyDescent="0.25">
      <c r="A322" s="5">
        <f>+COEFyDISTR_FET!A327</f>
        <v>14202</v>
      </c>
      <c r="B322" s="5">
        <f>+COEFyDISTR_FET!B327</f>
        <v>10105</v>
      </c>
      <c r="C322" t="str">
        <f>+COEFyDISTR_FET!C327</f>
        <v>FUTRONO</v>
      </c>
      <c r="D322" s="31">
        <f>+COEFyDISTR_FET!D327</f>
        <v>2307406</v>
      </c>
      <c r="E322" s="31">
        <f>+COEFyDISTR_FET!E327</f>
        <v>3409143.594</v>
      </c>
      <c r="F322" s="403">
        <f>+COEFyDISTR_FET!G327</f>
        <v>0.36499999999999999</v>
      </c>
      <c r="G322" s="403">
        <f>+COEFyDISTR_FET!H327</f>
        <v>0.59640000000000004</v>
      </c>
      <c r="H322" s="402" t="str">
        <f>IF(D322=0,$A$2,VLOOKUP(COUNTIF(F322,$F$1&amp;$F$2)&amp;COUNTIF(G322,$G$1&amp;$G$2),PARAMETROS!$K$26:$L$30,2,0))</f>
        <v>Entra por Criterio de Dependencia y Percentil</v>
      </c>
      <c r="I322" s="96">
        <f>+COEFyDISTR_FET!AA327</f>
        <v>2.0673912088500002E-3</v>
      </c>
      <c r="J322" s="97">
        <f t="shared" si="32"/>
        <v>14202</v>
      </c>
      <c r="K322" s="97">
        <f t="shared" si="33"/>
        <v>10105</v>
      </c>
      <c r="L322" t="str">
        <f t="shared" si="34"/>
        <v>FUTRONO</v>
      </c>
      <c r="M322" t="str">
        <f t="shared" si="35"/>
        <v>Entra por Criterio de Dependencia y Percentil</v>
      </c>
      <c r="N322" s="97">
        <f t="shared" si="36"/>
        <v>14202</v>
      </c>
      <c r="O322" s="97">
        <f t="shared" si="37"/>
        <v>10105</v>
      </c>
      <c r="P322" t="str">
        <f t="shared" si="38"/>
        <v>FUTRONO</v>
      </c>
      <c r="Q322" s="96">
        <f t="shared" si="39"/>
        <v>2.0673912088500002E-3</v>
      </c>
      <c r="R322" s="96"/>
      <c r="S322">
        <f>+COEFyDISTR_MINERO!A327</f>
        <v>14202</v>
      </c>
      <c r="T322">
        <f>+COEFyDISTR_MINERO!B327</f>
        <v>10105</v>
      </c>
      <c r="U322" t="str">
        <f>+COEFyDISTR_MINERO!C327</f>
        <v>FUTRONO</v>
      </c>
      <c r="V322" s="96">
        <f>+COEFyDISTR_MINERO!X327</f>
        <v>0</v>
      </c>
      <c r="W322" s="6" t="str">
        <f>+COEFyDISTR_MINERO!D327</f>
        <v>No</v>
      </c>
      <c r="X322" s="96"/>
      <c r="Y322" s="96"/>
      <c r="AI322" s="96"/>
    </row>
    <row r="323" spans="1:35" ht="3" customHeight="1" x14ac:dyDescent="0.25">
      <c r="A323" s="5">
        <f>+COEFyDISTR_FET!A328</f>
        <v>14203</v>
      </c>
      <c r="B323" s="5">
        <f>+COEFyDISTR_FET!B328</f>
        <v>10112</v>
      </c>
      <c r="C323" t="str">
        <f>+COEFyDISTR_FET!C328</f>
        <v>LAGO RANCO</v>
      </c>
      <c r="D323" s="31">
        <f>+COEFyDISTR_FET!D328</f>
        <v>4004619</v>
      </c>
      <c r="E323" s="31">
        <f>+COEFyDISTR_FET!E328</f>
        <v>2947116.9309999999</v>
      </c>
      <c r="F323" s="403">
        <f>+COEFyDISTR_FET!G328</f>
        <v>0.46300000000000002</v>
      </c>
      <c r="G323" s="403">
        <f>+COEFyDISTR_FET!H328</f>
        <v>0.4239</v>
      </c>
      <c r="H323" s="402" t="str">
        <f>IF(D323=0,$A$2,VLOOKUP(COUNTIF(F323,$F$1&amp;$F$2)&amp;COUNTIF(G323,$G$1&amp;$G$2),PARAMETROS!$K$26:$L$30,2,0))</f>
        <v>Entra por Criterio de Percentil</v>
      </c>
      <c r="I323" s="96">
        <f>+COEFyDISTR_FET!AA328</f>
        <v>1.9887966910500003E-3</v>
      </c>
      <c r="J323" s="97">
        <f t="shared" si="32"/>
        <v>14203</v>
      </c>
      <c r="K323" s="97">
        <f t="shared" si="33"/>
        <v>10112</v>
      </c>
      <c r="L323" t="str">
        <f t="shared" si="34"/>
        <v>LAGO RANCO</v>
      </c>
      <c r="M323" t="str">
        <f t="shared" si="35"/>
        <v>Entra por Criterio de Percentil</v>
      </c>
      <c r="N323" s="97">
        <f t="shared" si="36"/>
        <v>14203</v>
      </c>
      <c r="O323" s="97">
        <f t="shared" si="37"/>
        <v>10112</v>
      </c>
      <c r="P323" t="str">
        <f t="shared" si="38"/>
        <v>LAGO RANCO</v>
      </c>
      <c r="Q323" s="96">
        <f t="shared" si="39"/>
        <v>1.9887966910500003E-3</v>
      </c>
      <c r="R323" s="96"/>
      <c r="S323">
        <f>+COEFyDISTR_MINERO!A328</f>
        <v>14203</v>
      </c>
      <c r="T323">
        <f>+COEFyDISTR_MINERO!B328</f>
        <v>10112</v>
      </c>
      <c r="U323" t="str">
        <f>+COEFyDISTR_MINERO!C328</f>
        <v>LAGO RANCO</v>
      </c>
      <c r="V323" s="96">
        <f>+COEFyDISTR_MINERO!X328</f>
        <v>0</v>
      </c>
      <c r="W323" s="6" t="str">
        <f>+COEFyDISTR_MINERO!D328</f>
        <v>No</v>
      </c>
      <c r="X323" s="96"/>
      <c r="Y323" s="96"/>
      <c r="AI323" s="96"/>
    </row>
    <row r="324" spans="1:35" ht="3" customHeight="1" x14ac:dyDescent="0.25">
      <c r="A324" s="5">
        <f>+COEFyDISTR_FET!A329</f>
        <v>14204</v>
      </c>
      <c r="B324" s="5">
        <f>+COEFyDISTR_FET!B329</f>
        <v>10111</v>
      </c>
      <c r="C324" t="str">
        <f>+COEFyDISTR_FET!C329</f>
        <v>RÍO BUENO</v>
      </c>
      <c r="D324" s="31">
        <f>+COEFyDISTR_FET!D329</f>
        <v>3197875</v>
      </c>
      <c r="E324" s="31">
        <f>+COEFyDISTR_FET!E329</f>
        <v>6234059.9009999996</v>
      </c>
      <c r="F324" s="403">
        <f>+COEFyDISTR_FET!G329</f>
        <v>0.56799999999999995</v>
      </c>
      <c r="G324" s="403">
        <f>+COEFyDISTR_FET!H329</f>
        <v>0.66100000000000003</v>
      </c>
      <c r="H324" s="402" t="str">
        <f>IF(D324=0,$A$2,VLOOKUP(COUNTIF(F324,$F$1&amp;$F$2)&amp;COUNTIF(G324,$G$1&amp;$G$2),PARAMETROS!$K$26:$L$30,2,0))</f>
        <v>Entra por Criterio de Dependencia y Percentil</v>
      </c>
      <c r="I324" s="96">
        <f>+COEFyDISTR_FET!AA329</f>
        <v>2.83616284455E-3</v>
      </c>
      <c r="J324" s="97">
        <f t="shared" ref="J324:J349" si="40">+A324</f>
        <v>14204</v>
      </c>
      <c r="K324" s="97">
        <f t="shared" ref="K324:K349" si="41">+B324</f>
        <v>10111</v>
      </c>
      <c r="L324" t="str">
        <f t="shared" ref="L324:L349" si="42">+C324</f>
        <v>RÍO BUENO</v>
      </c>
      <c r="M324" t="str">
        <f t="shared" ref="M324:M349" si="43">+H324</f>
        <v>Entra por Criterio de Dependencia y Percentil</v>
      </c>
      <c r="N324" s="97">
        <f t="shared" ref="N324:N349" si="44">+J324</f>
        <v>14204</v>
      </c>
      <c r="O324" s="97">
        <f t="shared" ref="O324:O349" si="45">+K324</f>
        <v>10111</v>
      </c>
      <c r="P324" t="str">
        <f t="shared" ref="P324:P349" si="46">+L324</f>
        <v>RÍO BUENO</v>
      </c>
      <c r="Q324" s="96">
        <f t="shared" ref="Q324:Q349" si="47">+I324</f>
        <v>2.83616284455E-3</v>
      </c>
      <c r="R324" s="96"/>
      <c r="S324">
        <f>+COEFyDISTR_MINERO!A329</f>
        <v>14204</v>
      </c>
      <c r="T324">
        <f>+COEFyDISTR_MINERO!B329</f>
        <v>10111</v>
      </c>
      <c r="U324" t="str">
        <f>+COEFyDISTR_MINERO!C329</f>
        <v>RÍO BUENO</v>
      </c>
      <c r="V324" s="96">
        <f>+COEFyDISTR_MINERO!X329</f>
        <v>0</v>
      </c>
      <c r="W324" s="6" t="str">
        <f>+COEFyDISTR_MINERO!D329</f>
        <v>No</v>
      </c>
      <c r="X324" s="96"/>
      <c r="Y324" s="96"/>
      <c r="AI324" s="96"/>
    </row>
    <row r="325" spans="1:35" ht="3" customHeight="1" x14ac:dyDescent="0.25">
      <c r="A325" s="5">
        <f>+COEFyDISTR_FET!A330</f>
        <v>15101</v>
      </c>
      <c r="B325" s="5">
        <f>+COEFyDISTR_FET!B330</f>
        <v>1101</v>
      </c>
      <c r="C325" t="str">
        <f>+COEFyDISTR_FET!C330</f>
        <v>ARICA</v>
      </c>
      <c r="D325" s="31">
        <f>+COEFyDISTR_FET!D330</f>
        <v>23613770</v>
      </c>
      <c r="E325" s="31">
        <f>+COEFyDISTR_FET!E330</f>
        <v>30787949.909000002</v>
      </c>
      <c r="F325" s="403">
        <f>+COEFyDISTR_FET!G330</f>
        <v>0.93899999999999995</v>
      </c>
      <c r="G325" s="403">
        <f>+COEFyDISTR_FET!H330</f>
        <v>0.56589999999999996</v>
      </c>
      <c r="H325" s="402" t="str">
        <f>IF(D325=0,$A$2,VLOOKUP(COUNTIF(F325,$F$1&amp;$F$2)&amp;COUNTIF(G325,$G$1&amp;$G$2),PARAMETROS!$K$26:$L$30,2,0))</f>
        <v>Entra por Criterio de Dependencia</v>
      </c>
      <c r="I325" s="96">
        <f>+COEFyDISTR_FET!AA330</f>
        <v>1.090040878965E-2</v>
      </c>
      <c r="J325" s="97">
        <f t="shared" si="40"/>
        <v>15101</v>
      </c>
      <c r="K325" s="97">
        <f t="shared" si="41"/>
        <v>1101</v>
      </c>
      <c r="L325" t="str">
        <f t="shared" si="42"/>
        <v>ARICA</v>
      </c>
      <c r="M325" t="str">
        <f t="shared" si="43"/>
        <v>Entra por Criterio de Dependencia</v>
      </c>
      <c r="N325" s="97">
        <f t="shared" si="44"/>
        <v>15101</v>
      </c>
      <c r="O325" s="97">
        <f t="shared" si="45"/>
        <v>1101</v>
      </c>
      <c r="P325" t="str">
        <f t="shared" si="46"/>
        <v>ARICA</v>
      </c>
      <c r="Q325" s="96">
        <f t="shared" si="47"/>
        <v>1.090040878965E-2</v>
      </c>
      <c r="R325" s="96"/>
      <c r="S325">
        <f>+COEFyDISTR_MINERO!A330</f>
        <v>15101</v>
      </c>
      <c r="T325">
        <f>+COEFyDISTR_MINERO!B330</f>
        <v>1101</v>
      </c>
      <c r="U325" t="str">
        <f>+COEFyDISTR_MINERO!C330</f>
        <v>ARICA</v>
      </c>
      <c r="V325" s="96">
        <f>+COEFyDISTR_MINERO!X330</f>
        <v>0</v>
      </c>
      <c r="W325" s="6" t="str">
        <f>+COEFyDISTR_MINERO!D330</f>
        <v>No</v>
      </c>
      <c r="X325" s="96"/>
      <c r="Y325" s="96"/>
      <c r="AI325" s="96"/>
    </row>
    <row r="326" spans="1:35" ht="3" customHeight="1" x14ac:dyDescent="0.25">
      <c r="A326" s="5">
        <f>+COEFyDISTR_FET!A331</f>
        <v>15102</v>
      </c>
      <c r="B326" s="5">
        <f>+COEFyDISTR_FET!B331</f>
        <v>1106</v>
      </c>
      <c r="C326" t="str">
        <f>+COEFyDISTR_FET!C331</f>
        <v>CAMARONES</v>
      </c>
      <c r="D326" s="31">
        <f>+COEFyDISTR_FET!D331</f>
        <v>1140745</v>
      </c>
      <c r="E326" s="31">
        <f>+COEFyDISTR_FET!E331</f>
        <v>2212077.5290000001</v>
      </c>
      <c r="F326" s="403">
        <f>+COEFyDISTR_FET!G331</f>
        <v>9.1999999999999998E-2</v>
      </c>
      <c r="G326" s="403">
        <f>+COEFyDISTR_FET!H331</f>
        <v>0.65980000000000005</v>
      </c>
      <c r="H326" s="402" t="str">
        <f>IF(D326=0,$A$2,VLOOKUP(COUNTIF(F326,$F$1&amp;$F$2)&amp;COUNTIF(G326,$G$1&amp;$G$2),PARAMETROS!$K$26:$L$30,2,0))</f>
        <v>Entra por Criterio de Dependencia y Percentil</v>
      </c>
      <c r="I326" s="96">
        <f>+COEFyDISTR_FET!AA331</f>
        <v>1.8336727025500001E-3</v>
      </c>
      <c r="J326" s="97">
        <f t="shared" si="40"/>
        <v>15102</v>
      </c>
      <c r="K326" s="97">
        <f t="shared" si="41"/>
        <v>1106</v>
      </c>
      <c r="L326" t="str">
        <f t="shared" si="42"/>
        <v>CAMARONES</v>
      </c>
      <c r="M326" t="str">
        <f t="shared" si="43"/>
        <v>Entra por Criterio de Dependencia y Percentil</v>
      </c>
      <c r="N326" s="97">
        <f t="shared" si="44"/>
        <v>15102</v>
      </c>
      <c r="O326" s="97">
        <f t="shared" si="45"/>
        <v>1106</v>
      </c>
      <c r="P326" t="str">
        <f t="shared" si="46"/>
        <v>CAMARONES</v>
      </c>
      <c r="Q326" s="96">
        <f t="shared" si="47"/>
        <v>1.8336727025500001E-3</v>
      </c>
      <c r="R326" s="96"/>
      <c r="S326">
        <f>+COEFyDISTR_MINERO!A331</f>
        <v>15102</v>
      </c>
      <c r="T326">
        <f>+COEFyDISTR_MINERO!B331</f>
        <v>1106</v>
      </c>
      <c r="U326" t="str">
        <f>+COEFyDISTR_MINERO!C331</f>
        <v>CAMARONES</v>
      </c>
      <c r="V326" s="96">
        <f>+COEFyDISTR_MINERO!X331</f>
        <v>0</v>
      </c>
      <c r="W326" s="6" t="str">
        <f>+COEFyDISTR_MINERO!D331</f>
        <v>No</v>
      </c>
      <c r="X326" s="96"/>
      <c r="Y326" s="96"/>
      <c r="AI326" s="96"/>
    </row>
    <row r="327" spans="1:35" ht="3" customHeight="1" x14ac:dyDescent="0.25">
      <c r="A327" s="5">
        <f>+COEFyDISTR_FET!A332</f>
        <v>15201</v>
      </c>
      <c r="B327" s="5">
        <f>+COEFyDISTR_FET!B332</f>
        <v>1301</v>
      </c>
      <c r="C327" t="str">
        <f>+COEFyDISTR_FET!C332</f>
        <v>PUTRE</v>
      </c>
      <c r="D327" s="31">
        <f>+COEFyDISTR_FET!D332</f>
        <v>507675</v>
      </c>
      <c r="E327" s="31">
        <f>+COEFyDISTR_FET!E332</f>
        <v>3000021.0329999998</v>
      </c>
      <c r="F327" s="403">
        <f>+COEFyDISTR_FET!G332</f>
        <v>0.115</v>
      </c>
      <c r="G327" s="403">
        <f>+COEFyDISTR_FET!H332</f>
        <v>0.85529999999999995</v>
      </c>
      <c r="H327" s="402" t="str">
        <f>IF(D327=0,$A$2,VLOOKUP(COUNTIF(F327,$F$1&amp;$F$2)&amp;COUNTIF(G327,$G$1&amp;$G$2),PARAMETROS!$K$26:$L$30,2,0))</f>
        <v>Entra por Criterio de Dependencia y Percentil</v>
      </c>
      <c r="I327" s="96">
        <f>+COEFyDISTR_FET!AA332</f>
        <v>2.0618675980499999E-3</v>
      </c>
      <c r="J327" s="97">
        <f t="shared" si="40"/>
        <v>15201</v>
      </c>
      <c r="K327" s="97">
        <f t="shared" si="41"/>
        <v>1301</v>
      </c>
      <c r="L327" t="str">
        <f t="shared" si="42"/>
        <v>PUTRE</v>
      </c>
      <c r="M327" t="str">
        <f t="shared" si="43"/>
        <v>Entra por Criterio de Dependencia y Percentil</v>
      </c>
      <c r="N327" s="97">
        <f t="shared" si="44"/>
        <v>15201</v>
      </c>
      <c r="O327" s="97">
        <f t="shared" si="45"/>
        <v>1301</v>
      </c>
      <c r="P327" t="str">
        <f t="shared" si="46"/>
        <v>PUTRE</v>
      </c>
      <c r="Q327" s="96">
        <f t="shared" si="47"/>
        <v>2.0618675980499999E-3</v>
      </c>
      <c r="R327" s="96"/>
      <c r="S327">
        <f>+COEFyDISTR_MINERO!A332</f>
        <v>15201</v>
      </c>
      <c r="T327">
        <f>+COEFyDISTR_MINERO!B332</f>
        <v>1301</v>
      </c>
      <c r="U327" t="str">
        <f>+COEFyDISTR_MINERO!C332</f>
        <v>PUTRE</v>
      </c>
      <c r="V327" s="96">
        <f>+COEFyDISTR_MINERO!X332</f>
        <v>0</v>
      </c>
      <c r="W327" s="6" t="str">
        <f>+COEFyDISTR_MINERO!D332</f>
        <v>No</v>
      </c>
      <c r="X327" s="96"/>
      <c r="Y327" s="96"/>
      <c r="AI327" s="96"/>
    </row>
    <row r="328" spans="1:35" ht="3" customHeight="1" x14ac:dyDescent="0.25">
      <c r="A328" s="5">
        <f>+COEFyDISTR_FET!A333</f>
        <v>15202</v>
      </c>
      <c r="B328" s="5">
        <f>+COEFyDISTR_FET!B333</f>
        <v>1302</v>
      </c>
      <c r="C328" t="str">
        <f>+COEFyDISTR_FET!C333</f>
        <v>GENERAL LAGOS</v>
      </c>
      <c r="D328" s="31">
        <f>+COEFyDISTR_FET!D333</f>
        <v>222842</v>
      </c>
      <c r="E328" s="31">
        <f>+COEFyDISTR_FET!E333</f>
        <v>1867695.62</v>
      </c>
      <c r="F328" s="403">
        <f>+COEFyDISTR_FET!G333</f>
        <v>1.4E-2</v>
      </c>
      <c r="G328" s="403">
        <f>+COEFyDISTR_FET!H333</f>
        <v>0.89339999999999997</v>
      </c>
      <c r="H328" s="402" t="str">
        <f>IF(D328=0,$A$2,VLOOKUP(COUNTIF(F328,$F$1&amp;$F$2)&amp;COUNTIF(G328,$G$1&amp;$G$2),PARAMETROS!$K$26:$L$30,2,0))</f>
        <v>Entra por Criterio de Dependencia y Percentil</v>
      </c>
      <c r="I328" s="96">
        <f>+COEFyDISTR_FET!AA333</f>
        <v>1.69799770725E-3</v>
      </c>
      <c r="J328" s="97">
        <f t="shared" si="40"/>
        <v>15202</v>
      </c>
      <c r="K328" s="97">
        <f t="shared" si="41"/>
        <v>1302</v>
      </c>
      <c r="L328" t="str">
        <f t="shared" si="42"/>
        <v>GENERAL LAGOS</v>
      </c>
      <c r="M328" t="str">
        <f t="shared" si="43"/>
        <v>Entra por Criterio de Dependencia y Percentil</v>
      </c>
      <c r="N328" s="97">
        <f t="shared" si="44"/>
        <v>15202</v>
      </c>
      <c r="O328" s="97">
        <f t="shared" si="45"/>
        <v>1302</v>
      </c>
      <c r="P328" t="str">
        <f t="shared" si="46"/>
        <v>GENERAL LAGOS</v>
      </c>
      <c r="Q328" s="96">
        <f t="shared" si="47"/>
        <v>1.69799770725E-3</v>
      </c>
      <c r="R328" s="96"/>
      <c r="S328">
        <f>+COEFyDISTR_MINERO!A333</f>
        <v>15202</v>
      </c>
      <c r="T328">
        <f>+COEFyDISTR_MINERO!B333</f>
        <v>1302</v>
      </c>
      <c r="U328" t="str">
        <f>+COEFyDISTR_MINERO!C333</f>
        <v>GENERAL LAGOS</v>
      </c>
      <c r="V328" s="96">
        <f>+COEFyDISTR_MINERO!X333</f>
        <v>0</v>
      </c>
      <c r="W328" s="6" t="str">
        <f>+COEFyDISTR_MINERO!D333</f>
        <v>No</v>
      </c>
      <c r="X328" s="96"/>
      <c r="Y328" s="96"/>
      <c r="AI328" s="96"/>
    </row>
    <row r="329" spans="1:35" ht="3" customHeight="1" x14ac:dyDescent="0.25">
      <c r="A329" s="5">
        <f>+COEFyDISTR_FET!A334</f>
        <v>16101</v>
      </c>
      <c r="B329" s="5">
        <f>+COEFyDISTR_FET!B334</f>
        <v>8101</v>
      </c>
      <c r="C329" t="str">
        <f>+COEFyDISTR_FET!C334</f>
        <v>CHILLÁN</v>
      </c>
      <c r="D329" s="31">
        <f>+COEFyDISTR_FET!D334</f>
        <v>24405133</v>
      </c>
      <c r="E329" s="31">
        <f>+COEFyDISTR_FET!E334</f>
        <v>23800836.857000001</v>
      </c>
      <c r="F329" s="403">
        <f>+COEFyDISTR_FET!G334</f>
        <v>0.91800000000000004</v>
      </c>
      <c r="G329" s="403">
        <f>+COEFyDISTR_FET!H334</f>
        <v>0.49370000000000003</v>
      </c>
      <c r="H329" s="402" t="str">
        <f>IF(D329=0,$A$2,VLOOKUP(COUNTIF(F329,$F$1&amp;$F$2)&amp;COUNTIF(G329,$G$1&amp;$G$2),PARAMETROS!$K$26:$L$30,2,0))</f>
        <v>Sin Acceso</v>
      </c>
      <c r="I329" s="96">
        <f>+COEFyDISTR_FET!AA334</f>
        <v>0</v>
      </c>
      <c r="J329" s="97">
        <f t="shared" si="40"/>
        <v>16101</v>
      </c>
      <c r="K329" s="97">
        <f t="shared" si="41"/>
        <v>8101</v>
      </c>
      <c r="L329" t="str">
        <f t="shared" si="42"/>
        <v>CHILLÁN</v>
      </c>
      <c r="M329" t="str">
        <f t="shared" si="43"/>
        <v>Sin Acceso</v>
      </c>
      <c r="N329" s="97">
        <f t="shared" si="44"/>
        <v>16101</v>
      </c>
      <c r="O329" s="97">
        <f t="shared" si="45"/>
        <v>8101</v>
      </c>
      <c r="P329" t="str">
        <f t="shared" si="46"/>
        <v>CHILLÁN</v>
      </c>
      <c r="Q329" s="96">
        <f t="shared" si="47"/>
        <v>0</v>
      </c>
      <c r="R329" s="96"/>
      <c r="S329">
        <f>+COEFyDISTR_MINERO!A334</f>
        <v>16101</v>
      </c>
      <c r="T329">
        <f>+COEFyDISTR_MINERO!B334</f>
        <v>8101</v>
      </c>
      <c r="U329" t="str">
        <f>+COEFyDISTR_MINERO!C334</f>
        <v>CHILLÁN</v>
      </c>
      <c r="V329" s="96">
        <f>+COEFyDISTR_MINERO!X334</f>
        <v>0</v>
      </c>
      <c r="W329" s="6" t="str">
        <f>+COEFyDISTR_MINERO!D334</f>
        <v>No</v>
      </c>
      <c r="X329" s="96"/>
      <c r="Y329" s="96"/>
      <c r="AI329" s="96"/>
    </row>
    <row r="330" spans="1:35" ht="3" customHeight="1" x14ac:dyDescent="0.25">
      <c r="A330" s="5">
        <f>+COEFyDISTR_FET!A335</f>
        <v>16102</v>
      </c>
      <c r="B330" s="5">
        <f>+COEFyDISTR_FET!B335</f>
        <v>8113</v>
      </c>
      <c r="C330" t="str">
        <f>+COEFyDISTR_FET!C335</f>
        <v>BULNES</v>
      </c>
      <c r="D330" s="31">
        <f>+COEFyDISTR_FET!D335</f>
        <v>1863601</v>
      </c>
      <c r="E330" s="31">
        <f>+COEFyDISTR_FET!E335</f>
        <v>4970509.9110000003</v>
      </c>
      <c r="F330" s="403">
        <f>+COEFyDISTR_FET!G335</f>
        <v>0.45500000000000002</v>
      </c>
      <c r="G330" s="403">
        <f>+COEFyDISTR_FET!H335</f>
        <v>0.72729999999999995</v>
      </c>
      <c r="H330" s="402" t="str">
        <f>IF(D330=0,$A$2,VLOOKUP(COUNTIF(F330,$F$1&amp;$F$2)&amp;COUNTIF(G330,$G$1&amp;$G$2),PARAMETROS!$K$26:$L$30,2,0))</f>
        <v>Entra por Criterio de Dependencia y Percentil</v>
      </c>
      <c r="I330" s="96">
        <f>+COEFyDISTR_FET!AA335</f>
        <v>3.0299487609499998E-3</v>
      </c>
      <c r="J330" s="97">
        <f t="shared" si="40"/>
        <v>16102</v>
      </c>
      <c r="K330" s="97">
        <f t="shared" si="41"/>
        <v>8113</v>
      </c>
      <c r="L330" t="str">
        <f t="shared" si="42"/>
        <v>BULNES</v>
      </c>
      <c r="M330" t="str">
        <f t="shared" si="43"/>
        <v>Entra por Criterio de Dependencia y Percentil</v>
      </c>
      <c r="N330" s="97">
        <f t="shared" si="44"/>
        <v>16102</v>
      </c>
      <c r="O330" s="97">
        <f t="shared" si="45"/>
        <v>8113</v>
      </c>
      <c r="P330" t="str">
        <f t="shared" si="46"/>
        <v>BULNES</v>
      </c>
      <c r="Q330" s="96">
        <f t="shared" si="47"/>
        <v>3.0299487609499998E-3</v>
      </c>
      <c r="R330" s="96"/>
      <c r="S330">
        <f>+COEFyDISTR_MINERO!A335</f>
        <v>16102</v>
      </c>
      <c r="T330">
        <f>+COEFyDISTR_MINERO!B335</f>
        <v>8113</v>
      </c>
      <c r="U330" t="str">
        <f>+COEFyDISTR_MINERO!C335</f>
        <v>BULNES</v>
      </c>
      <c r="V330" s="96">
        <f>+COEFyDISTR_MINERO!X335</f>
        <v>0</v>
      </c>
      <c r="W330" s="6" t="str">
        <f>+COEFyDISTR_MINERO!D335</f>
        <v>No</v>
      </c>
      <c r="X330" s="96"/>
      <c r="Y330" s="96"/>
      <c r="AI330" s="96"/>
    </row>
    <row r="331" spans="1:35" ht="3" customHeight="1" x14ac:dyDescent="0.25">
      <c r="A331" s="5">
        <f>+COEFyDISTR_FET!A336</f>
        <v>16103</v>
      </c>
      <c r="B331" s="5">
        <f>+COEFyDISTR_FET!B336</f>
        <v>8121</v>
      </c>
      <c r="C331" t="str">
        <f>+COEFyDISTR_FET!C336</f>
        <v>CHILLÁN VIEJO</v>
      </c>
      <c r="D331" s="31">
        <f>+COEFyDISTR_FET!D336</f>
        <v>3144532</v>
      </c>
      <c r="E331" s="31">
        <f>+COEFyDISTR_FET!E336</f>
        <v>5810995.6909999996</v>
      </c>
      <c r="F331" s="403">
        <f>+COEFyDISTR_FET!G336</f>
        <v>0.55300000000000005</v>
      </c>
      <c r="G331" s="403">
        <f>+COEFyDISTR_FET!H336</f>
        <v>0.64890000000000003</v>
      </c>
      <c r="H331" s="402" t="str">
        <f>IF(D331=0,$A$2,VLOOKUP(COUNTIF(F331,$F$1&amp;$F$2)&amp;COUNTIF(G331,$G$1&amp;$G$2),PARAMETROS!$K$26:$L$30,2,0))</f>
        <v>Entra por Criterio de Dependencia y Percentil</v>
      </c>
      <c r="I331" s="96">
        <f>+COEFyDISTR_FET!AA336</f>
        <v>3.3060574057500003E-3</v>
      </c>
      <c r="J331" s="97">
        <f t="shared" si="40"/>
        <v>16103</v>
      </c>
      <c r="K331" s="97">
        <f t="shared" si="41"/>
        <v>8121</v>
      </c>
      <c r="L331" t="str">
        <f t="shared" si="42"/>
        <v>CHILLÁN VIEJO</v>
      </c>
      <c r="M331" t="str">
        <f t="shared" si="43"/>
        <v>Entra por Criterio de Dependencia y Percentil</v>
      </c>
      <c r="N331" s="97">
        <f t="shared" si="44"/>
        <v>16103</v>
      </c>
      <c r="O331" s="97">
        <f t="shared" si="45"/>
        <v>8121</v>
      </c>
      <c r="P331" t="str">
        <f t="shared" si="46"/>
        <v>CHILLÁN VIEJO</v>
      </c>
      <c r="Q331" s="96">
        <f t="shared" si="47"/>
        <v>3.3060574057500003E-3</v>
      </c>
      <c r="R331" s="96"/>
      <c r="S331">
        <f>+COEFyDISTR_MINERO!A336</f>
        <v>16103</v>
      </c>
      <c r="T331">
        <f>+COEFyDISTR_MINERO!B336</f>
        <v>8121</v>
      </c>
      <c r="U331" t="str">
        <f>+COEFyDISTR_MINERO!C336</f>
        <v>CHILLÁN VIEJO</v>
      </c>
      <c r="V331" s="96">
        <f>+COEFyDISTR_MINERO!X336</f>
        <v>0</v>
      </c>
      <c r="W331" s="6" t="str">
        <f>+COEFyDISTR_MINERO!D336</f>
        <v>No</v>
      </c>
      <c r="X331" s="96"/>
      <c r="Y331" s="96"/>
      <c r="AI331" s="96"/>
    </row>
    <row r="332" spans="1:35" ht="3" customHeight="1" x14ac:dyDescent="0.25">
      <c r="A332" s="5">
        <f>+COEFyDISTR_FET!A337</f>
        <v>16104</v>
      </c>
      <c r="B332" s="5">
        <f>+COEFyDISTR_FET!B337</f>
        <v>8118</v>
      </c>
      <c r="C332" t="str">
        <f>+COEFyDISTR_FET!C337</f>
        <v>EL CARMEN</v>
      </c>
      <c r="D332" s="31">
        <f>+COEFyDISTR_FET!D337</f>
        <v>991982</v>
      </c>
      <c r="E332" s="31">
        <f>+COEFyDISTR_FET!E337</f>
        <v>3751726.5819999999</v>
      </c>
      <c r="F332" s="403">
        <f>+COEFyDISTR_FET!G337</f>
        <v>0.246</v>
      </c>
      <c r="G332" s="403">
        <f>+COEFyDISTR_FET!H337</f>
        <v>0.79090000000000005</v>
      </c>
      <c r="H332" s="402" t="str">
        <f>IF(D332=0,$A$2,VLOOKUP(COUNTIF(F332,$F$1&amp;$F$2)&amp;COUNTIF(G332,$G$1&amp;$G$2),PARAMETROS!$K$26:$L$30,2,0))</f>
        <v>Entra por Criterio de Dependencia y Percentil</v>
      </c>
      <c r="I332" s="96">
        <f>+COEFyDISTR_FET!AA337</f>
        <v>2.5196726570500001E-3</v>
      </c>
      <c r="J332" s="97">
        <f t="shared" si="40"/>
        <v>16104</v>
      </c>
      <c r="K332" s="97">
        <f t="shared" si="41"/>
        <v>8118</v>
      </c>
      <c r="L332" t="str">
        <f t="shared" si="42"/>
        <v>EL CARMEN</v>
      </c>
      <c r="M332" t="str">
        <f t="shared" si="43"/>
        <v>Entra por Criterio de Dependencia y Percentil</v>
      </c>
      <c r="N332" s="97">
        <f t="shared" si="44"/>
        <v>16104</v>
      </c>
      <c r="O332" s="97">
        <f t="shared" si="45"/>
        <v>8118</v>
      </c>
      <c r="P332" t="str">
        <f t="shared" si="46"/>
        <v>EL CARMEN</v>
      </c>
      <c r="Q332" s="96">
        <f t="shared" si="47"/>
        <v>2.5196726570500001E-3</v>
      </c>
      <c r="R332" s="96"/>
      <c r="S332">
        <f>+COEFyDISTR_MINERO!A337</f>
        <v>16104</v>
      </c>
      <c r="T332">
        <f>+COEFyDISTR_MINERO!B337</f>
        <v>8118</v>
      </c>
      <c r="U332" t="str">
        <f>+COEFyDISTR_MINERO!C337</f>
        <v>EL CARMEN</v>
      </c>
      <c r="V332" s="96">
        <f>+COEFyDISTR_MINERO!X337</f>
        <v>0</v>
      </c>
      <c r="W332" s="6" t="str">
        <f>+COEFyDISTR_MINERO!D337</f>
        <v>No</v>
      </c>
      <c r="X332" s="96"/>
      <c r="Y332" s="96"/>
      <c r="AI332" s="96"/>
    </row>
    <row r="333" spans="1:35" ht="3" customHeight="1" x14ac:dyDescent="0.25">
      <c r="A333" s="5">
        <f>+COEFyDISTR_FET!A338</f>
        <v>16105</v>
      </c>
      <c r="B333" s="5">
        <f>+COEFyDISTR_FET!B338</f>
        <v>8117</v>
      </c>
      <c r="C333" t="str">
        <f>+COEFyDISTR_FET!C338</f>
        <v>PEMUCO</v>
      </c>
      <c r="D333" s="31">
        <f>+COEFyDISTR_FET!D338</f>
        <v>1373776</v>
      </c>
      <c r="E333" s="31">
        <f>+COEFyDISTR_FET!E338</f>
        <v>2585098.7489999998</v>
      </c>
      <c r="F333" s="403">
        <f>+COEFyDISTR_FET!G338</f>
        <v>0.14699999999999999</v>
      </c>
      <c r="G333" s="403">
        <f>+COEFyDISTR_FET!H338</f>
        <v>0.65300000000000002</v>
      </c>
      <c r="H333" s="402" t="str">
        <f>IF(D333=0,$A$2,VLOOKUP(COUNTIF(F333,$F$1&amp;$F$2)&amp;COUNTIF(G333,$G$1&amp;$G$2),PARAMETROS!$K$26:$L$30,2,0))</f>
        <v>Entra por Criterio de Dependencia y Percentil</v>
      </c>
      <c r="I333" s="96">
        <f>+COEFyDISTR_FET!AA338</f>
        <v>2.08451450475E-3</v>
      </c>
      <c r="J333" s="97">
        <f t="shared" si="40"/>
        <v>16105</v>
      </c>
      <c r="K333" s="97">
        <f t="shared" si="41"/>
        <v>8117</v>
      </c>
      <c r="L333" t="str">
        <f t="shared" si="42"/>
        <v>PEMUCO</v>
      </c>
      <c r="M333" t="str">
        <f t="shared" si="43"/>
        <v>Entra por Criterio de Dependencia y Percentil</v>
      </c>
      <c r="N333" s="97">
        <f t="shared" si="44"/>
        <v>16105</v>
      </c>
      <c r="O333" s="97">
        <f t="shared" si="45"/>
        <v>8117</v>
      </c>
      <c r="P333" t="str">
        <f t="shared" si="46"/>
        <v>PEMUCO</v>
      </c>
      <c r="Q333" s="96">
        <f t="shared" si="47"/>
        <v>2.08451450475E-3</v>
      </c>
      <c r="R333" s="96"/>
      <c r="S333">
        <f>+COEFyDISTR_MINERO!A338</f>
        <v>16105</v>
      </c>
      <c r="T333">
        <f>+COEFyDISTR_MINERO!B338</f>
        <v>8117</v>
      </c>
      <c r="U333" t="str">
        <f>+COEFyDISTR_MINERO!C338</f>
        <v>PEMUCO</v>
      </c>
      <c r="V333" s="96">
        <f>+COEFyDISTR_MINERO!X338</f>
        <v>0</v>
      </c>
      <c r="W333" s="6" t="str">
        <f>+COEFyDISTR_MINERO!D338</f>
        <v>No</v>
      </c>
      <c r="X333" s="96"/>
      <c r="Y333" s="96"/>
      <c r="AI333" s="96"/>
    </row>
    <row r="334" spans="1:35" ht="3" customHeight="1" x14ac:dyDescent="0.25">
      <c r="A334" s="5">
        <f>+COEFyDISTR_FET!A339</f>
        <v>16106</v>
      </c>
      <c r="B334" s="5">
        <f>+COEFyDISTR_FET!B339</f>
        <v>8102</v>
      </c>
      <c r="C334" t="str">
        <f>+COEFyDISTR_FET!C339</f>
        <v>PINTO</v>
      </c>
      <c r="D334" s="31">
        <f>+COEFyDISTR_FET!D339</f>
        <v>1716556</v>
      </c>
      <c r="E334" s="31">
        <f>+COEFyDISTR_FET!E339</f>
        <v>3014101.5240000002</v>
      </c>
      <c r="F334" s="403">
        <f>+COEFyDISTR_FET!G339</f>
        <v>0.24299999999999999</v>
      </c>
      <c r="G334" s="403">
        <f>+COEFyDISTR_FET!H339</f>
        <v>0.6371</v>
      </c>
      <c r="H334" s="402" t="str">
        <f>IF(D334=0,$A$2,VLOOKUP(COUNTIF(F334,$F$1&amp;$F$2)&amp;COUNTIF(G334,$G$1&amp;$G$2),PARAMETROS!$K$26:$L$30,2,0))</f>
        <v>Entra por Criterio de Dependencia y Percentil</v>
      </c>
      <c r="I334" s="96">
        <f>+COEFyDISTR_FET!AA339</f>
        <v>2.1223561704500002E-3</v>
      </c>
      <c r="J334" s="97">
        <f t="shared" si="40"/>
        <v>16106</v>
      </c>
      <c r="K334" s="97">
        <f t="shared" si="41"/>
        <v>8102</v>
      </c>
      <c r="L334" t="str">
        <f t="shared" si="42"/>
        <v>PINTO</v>
      </c>
      <c r="M334" t="str">
        <f t="shared" si="43"/>
        <v>Entra por Criterio de Dependencia y Percentil</v>
      </c>
      <c r="N334" s="97">
        <f t="shared" si="44"/>
        <v>16106</v>
      </c>
      <c r="O334" s="97">
        <f t="shared" si="45"/>
        <v>8102</v>
      </c>
      <c r="P334" t="str">
        <f t="shared" si="46"/>
        <v>PINTO</v>
      </c>
      <c r="Q334" s="96">
        <f t="shared" si="47"/>
        <v>2.1223561704500002E-3</v>
      </c>
      <c r="R334" s="96"/>
      <c r="S334">
        <f>+COEFyDISTR_MINERO!A339</f>
        <v>16106</v>
      </c>
      <c r="T334">
        <f>+COEFyDISTR_MINERO!B339</f>
        <v>8102</v>
      </c>
      <c r="U334" t="str">
        <f>+COEFyDISTR_MINERO!C339</f>
        <v>PINTO</v>
      </c>
      <c r="V334" s="96">
        <f>+COEFyDISTR_MINERO!X339</f>
        <v>0</v>
      </c>
      <c r="W334" s="6" t="str">
        <f>+COEFyDISTR_MINERO!D339</f>
        <v>No</v>
      </c>
      <c r="X334" s="96"/>
      <c r="Y334" s="96"/>
      <c r="AI334" s="96"/>
    </row>
    <row r="335" spans="1:35" ht="3" customHeight="1" x14ac:dyDescent="0.25">
      <c r="A335" s="5">
        <f>+COEFyDISTR_FET!A340</f>
        <v>16107</v>
      </c>
      <c r="B335" s="5">
        <f>+COEFyDISTR_FET!B340</f>
        <v>8115</v>
      </c>
      <c r="C335" t="str">
        <f>+COEFyDISTR_FET!C340</f>
        <v>QUILLÓN</v>
      </c>
      <c r="D335" s="31">
        <f>+COEFyDISTR_FET!D340</f>
        <v>1523039</v>
      </c>
      <c r="E335" s="31">
        <f>+COEFyDISTR_FET!E340</f>
        <v>11541916.108999999</v>
      </c>
      <c r="F335" s="403">
        <f>+COEFyDISTR_FET!G340</f>
        <v>0.67200000000000004</v>
      </c>
      <c r="G335" s="403">
        <f>+COEFyDISTR_FET!H340</f>
        <v>0.88339999999999996</v>
      </c>
      <c r="H335" s="402" t="str">
        <f>IF(D335=0,$A$2,VLOOKUP(COUNTIF(F335,$F$1&amp;$F$2)&amp;COUNTIF(G335,$G$1&amp;$G$2),PARAMETROS!$K$26:$L$30,2,0))</f>
        <v>Entra por Criterio de Dependencia y Percentil</v>
      </c>
      <c r="I335" s="96">
        <f>+COEFyDISTR_FET!AA340</f>
        <v>3.1989201747500006E-3</v>
      </c>
      <c r="J335" s="97">
        <f t="shared" si="40"/>
        <v>16107</v>
      </c>
      <c r="K335" s="97">
        <f t="shared" si="41"/>
        <v>8115</v>
      </c>
      <c r="L335" t="str">
        <f t="shared" si="42"/>
        <v>QUILLÓN</v>
      </c>
      <c r="M335" t="str">
        <f t="shared" si="43"/>
        <v>Entra por Criterio de Dependencia y Percentil</v>
      </c>
      <c r="N335" s="97">
        <f t="shared" si="44"/>
        <v>16107</v>
      </c>
      <c r="O335" s="97">
        <f t="shared" si="45"/>
        <v>8115</v>
      </c>
      <c r="P335" t="str">
        <f t="shared" si="46"/>
        <v>QUILLÓN</v>
      </c>
      <c r="Q335" s="96">
        <f t="shared" si="47"/>
        <v>3.1989201747500006E-3</v>
      </c>
      <c r="R335" s="96"/>
      <c r="S335">
        <f>+COEFyDISTR_MINERO!A340</f>
        <v>16107</v>
      </c>
      <c r="T335">
        <f>+COEFyDISTR_MINERO!B340</f>
        <v>8115</v>
      </c>
      <c r="U335" t="str">
        <f>+COEFyDISTR_MINERO!C340</f>
        <v>QUILLÓN</v>
      </c>
      <c r="V335" s="96">
        <f>+COEFyDISTR_MINERO!X340</f>
        <v>0</v>
      </c>
      <c r="W335" s="6" t="str">
        <f>+COEFyDISTR_MINERO!D340</f>
        <v>No</v>
      </c>
      <c r="X335" s="96"/>
      <c r="Y335" s="96"/>
      <c r="AI335" s="96"/>
    </row>
    <row r="336" spans="1:35" ht="3" customHeight="1" x14ac:dyDescent="0.25">
      <c r="A336" s="5">
        <f>+COEFyDISTR_FET!A341</f>
        <v>16108</v>
      </c>
      <c r="B336" s="5">
        <f>+COEFyDISTR_FET!B341</f>
        <v>8114</v>
      </c>
      <c r="C336" t="str">
        <f>+COEFyDISTR_FET!C341</f>
        <v>SAN IGNACIO</v>
      </c>
      <c r="D336" s="31">
        <f>+COEFyDISTR_FET!D341</f>
        <v>847816</v>
      </c>
      <c r="E336" s="31">
        <f>+COEFyDISTR_FET!E341</f>
        <v>4937355.5980000002</v>
      </c>
      <c r="F336" s="403">
        <f>+COEFyDISTR_FET!G341</f>
        <v>0.373</v>
      </c>
      <c r="G336" s="403">
        <f>+COEFyDISTR_FET!H341</f>
        <v>0.85350000000000004</v>
      </c>
      <c r="H336" s="402" t="str">
        <f>IF(D336=0,$A$2,VLOOKUP(COUNTIF(F336,$F$1&amp;$F$2)&amp;COUNTIF(G336,$G$1&amp;$G$2),PARAMETROS!$K$26:$L$30,2,0))</f>
        <v>Entra por Criterio de Dependencia y Percentil</v>
      </c>
      <c r="I336" s="96">
        <f>+COEFyDISTR_FET!AA341</f>
        <v>3.3045421782500004E-3</v>
      </c>
      <c r="J336" s="97">
        <f t="shared" si="40"/>
        <v>16108</v>
      </c>
      <c r="K336" s="97">
        <f t="shared" si="41"/>
        <v>8114</v>
      </c>
      <c r="L336" t="str">
        <f t="shared" si="42"/>
        <v>SAN IGNACIO</v>
      </c>
      <c r="M336" t="str">
        <f t="shared" si="43"/>
        <v>Entra por Criterio de Dependencia y Percentil</v>
      </c>
      <c r="N336" s="97">
        <f t="shared" si="44"/>
        <v>16108</v>
      </c>
      <c r="O336" s="97">
        <f t="shared" si="45"/>
        <v>8114</v>
      </c>
      <c r="P336" t="str">
        <f t="shared" si="46"/>
        <v>SAN IGNACIO</v>
      </c>
      <c r="Q336" s="96">
        <f t="shared" si="47"/>
        <v>3.3045421782500004E-3</v>
      </c>
      <c r="R336" s="96"/>
      <c r="S336">
        <f>+COEFyDISTR_MINERO!A341</f>
        <v>16108</v>
      </c>
      <c r="T336">
        <f>+COEFyDISTR_MINERO!B341</f>
        <v>8114</v>
      </c>
      <c r="U336" t="str">
        <f>+COEFyDISTR_MINERO!C341</f>
        <v>SAN IGNACIO</v>
      </c>
      <c r="V336" s="96">
        <f>+COEFyDISTR_MINERO!X341</f>
        <v>0</v>
      </c>
      <c r="W336" s="6" t="str">
        <f>+COEFyDISTR_MINERO!D341</f>
        <v>No</v>
      </c>
      <c r="X336" s="96"/>
      <c r="Y336" s="96"/>
      <c r="AI336" s="96"/>
    </row>
    <row r="337" spans="1:35" ht="3" customHeight="1" x14ac:dyDescent="0.25">
      <c r="A337" s="5">
        <f>+COEFyDISTR_FET!A342</f>
        <v>16109</v>
      </c>
      <c r="B337" s="5">
        <f>+COEFyDISTR_FET!B342</f>
        <v>8116</v>
      </c>
      <c r="C337" t="str">
        <f>+COEFyDISTR_FET!C342</f>
        <v>YUNGAY</v>
      </c>
      <c r="D337" s="31">
        <f>+COEFyDISTR_FET!D342</f>
        <v>1739728</v>
      </c>
      <c r="E337" s="31">
        <f>+COEFyDISTR_FET!E342</f>
        <v>6844041.3789999997</v>
      </c>
      <c r="F337" s="403">
        <f>+COEFyDISTR_FET!G342</f>
        <v>0.53</v>
      </c>
      <c r="G337" s="403">
        <f>+COEFyDISTR_FET!H342</f>
        <v>0.79730000000000001</v>
      </c>
      <c r="H337" s="402" t="str">
        <f>IF(D337=0,$A$2,VLOOKUP(COUNTIF(F337,$F$1&amp;$F$2)&amp;COUNTIF(G337,$G$1&amp;$G$2),PARAMETROS!$K$26:$L$30,2,0))</f>
        <v>Entra por Criterio de Dependencia y Percentil</v>
      </c>
      <c r="I337" s="96">
        <f>+COEFyDISTR_FET!AA342</f>
        <v>2.6176409302499999E-3</v>
      </c>
      <c r="J337" s="97">
        <f t="shared" si="40"/>
        <v>16109</v>
      </c>
      <c r="K337" s="97">
        <f t="shared" si="41"/>
        <v>8116</v>
      </c>
      <c r="L337" t="str">
        <f t="shared" si="42"/>
        <v>YUNGAY</v>
      </c>
      <c r="M337" t="str">
        <f t="shared" si="43"/>
        <v>Entra por Criterio de Dependencia y Percentil</v>
      </c>
      <c r="N337" s="97">
        <f t="shared" si="44"/>
        <v>16109</v>
      </c>
      <c r="O337" s="97">
        <f t="shared" si="45"/>
        <v>8116</v>
      </c>
      <c r="P337" t="str">
        <f t="shared" si="46"/>
        <v>YUNGAY</v>
      </c>
      <c r="Q337" s="96">
        <f t="shared" si="47"/>
        <v>2.6176409302499999E-3</v>
      </c>
      <c r="R337" s="96"/>
      <c r="S337">
        <f>+COEFyDISTR_MINERO!A342</f>
        <v>16109</v>
      </c>
      <c r="T337">
        <f>+COEFyDISTR_MINERO!B342</f>
        <v>8116</v>
      </c>
      <c r="U337" t="str">
        <f>+COEFyDISTR_MINERO!C342</f>
        <v>YUNGAY</v>
      </c>
      <c r="V337" s="96">
        <f>+COEFyDISTR_MINERO!X342</f>
        <v>0</v>
      </c>
      <c r="W337" s="6" t="str">
        <f>+COEFyDISTR_MINERO!D342</f>
        <v>No</v>
      </c>
      <c r="X337" s="96"/>
      <c r="Y337" s="96"/>
      <c r="AI337" s="96"/>
    </row>
    <row r="338" spans="1:35" ht="3" customHeight="1" x14ac:dyDescent="0.25">
      <c r="A338" s="5">
        <f>+COEFyDISTR_FET!A343</f>
        <v>16201</v>
      </c>
      <c r="B338" s="5">
        <f>+COEFyDISTR_FET!B343</f>
        <v>8104</v>
      </c>
      <c r="C338" t="str">
        <f>+COEFyDISTR_FET!C343</f>
        <v>QUIRIHUE</v>
      </c>
      <c r="D338" s="31">
        <f>+COEFyDISTR_FET!D343</f>
        <v>757046</v>
      </c>
      <c r="E338" s="31">
        <f>+COEFyDISTR_FET!E343</f>
        <v>4304588.5449999999</v>
      </c>
      <c r="F338" s="403">
        <f>+COEFyDISTR_FET!G343</f>
        <v>0.29199999999999998</v>
      </c>
      <c r="G338" s="403">
        <f>+COEFyDISTR_FET!H343</f>
        <v>0.85040000000000004</v>
      </c>
      <c r="H338" s="402" t="str">
        <f>IF(D338=0,$A$2,VLOOKUP(COUNTIF(F338,$F$1&amp;$F$2)&amp;COUNTIF(G338,$G$1&amp;$G$2),PARAMETROS!$K$26:$L$30,2,0))</f>
        <v>Entra por Criterio de Dependencia y Percentil</v>
      </c>
      <c r="I338" s="96">
        <f>+COEFyDISTR_FET!AA343</f>
        <v>2.6980350659500003E-3</v>
      </c>
      <c r="J338" s="97">
        <f t="shared" si="40"/>
        <v>16201</v>
      </c>
      <c r="K338" s="97">
        <f t="shared" si="41"/>
        <v>8104</v>
      </c>
      <c r="L338" t="str">
        <f t="shared" si="42"/>
        <v>QUIRIHUE</v>
      </c>
      <c r="M338" t="str">
        <f t="shared" si="43"/>
        <v>Entra por Criterio de Dependencia y Percentil</v>
      </c>
      <c r="N338" s="97">
        <f t="shared" si="44"/>
        <v>16201</v>
      </c>
      <c r="O338" s="97">
        <f t="shared" si="45"/>
        <v>8104</v>
      </c>
      <c r="P338" t="str">
        <f t="shared" si="46"/>
        <v>QUIRIHUE</v>
      </c>
      <c r="Q338" s="96">
        <f t="shared" si="47"/>
        <v>2.6980350659500003E-3</v>
      </c>
      <c r="R338" s="96"/>
      <c r="S338">
        <f>+COEFyDISTR_MINERO!A343</f>
        <v>16201</v>
      </c>
      <c r="T338">
        <f>+COEFyDISTR_MINERO!B343</f>
        <v>8104</v>
      </c>
      <c r="U338" t="str">
        <f>+COEFyDISTR_MINERO!C343</f>
        <v>QUIRIHUE</v>
      </c>
      <c r="V338" s="96">
        <f>+COEFyDISTR_MINERO!X343</f>
        <v>0</v>
      </c>
      <c r="W338" s="6" t="str">
        <f>+COEFyDISTR_MINERO!D343</f>
        <v>No</v>
      </c>
      <c r="X338" s="96"/>
      <c r="Y338" s="96"/>
      <c r="AI338" s="96"/>
    </row>
    <row r="339" spans="1:35" ht="3" customHeight="1" x14ac:dyDescent="0.25">
      <c r="A339" s="5">
        <f>+COEFyDISTR_FET!A344</f>
        <v>16202</v>
      </c>
      <c r="B339" s="5">
        <f>+COEFyDISTR_FET!B344</f>
        <v>8107</v>
      </c>
      <c r="C339" t="str">
        <f>+COEFyDISTR_FET!C344</f>
        <v>COBQUECURA</v>
      </c>
      <c r="D339" s="31">
        <f>+COEFyDISTR_FET!D344</f>
        <v>670591</v>
      </c>
      <c r="E339" s="31">
        <f>+COEFyDISTR_FET!E344</f>
        <v>3813920.159</v>
      </c>
      <c r="F339" s="403">
        <f>+COEFyDISTR_FET!G344</f>
        <v>0.21099999999999999</v>
      </c>
      <c r="G339" s="403">
        <f>+COEFyDISTR_FET!H344</f>
        <v>0.85050000000000003</v>
      </c>
      <c r="H339" s="402" t="str">
        <f>IF(D339=0,$A$2,VLOOKUP(COUNTIF(F339,$F$1&amp;$F$2)&amp;COUNTIF(G339,$G$1&amp;$G$2),PARAMETROS!$K$26:$L$30,2,0))</f>
        <v>Entra por Criterio de Dependencia y Percentil</v>
      </c>
      <c r="I339" s="96">
        <f>+COEFyDISTR_FET!AA344</f>
        <v>2.1248890667500001E-3</v>
      </c>
      <c r="J339" s="97">
        <f t="shared" si="40"/>
        <v>16202</v>
      </c>
      <c r="K339" s="97">
        <f t="shared" si="41"/>
        <v>8107</v>
      </c>
      <c r="L339" t="str">
        <f t="shared" si="42"/>
        <v>COBQUECURA</v>
      </c>
      <c r="M339" t="str">
        <f t="shared" si="43"/>
        <v>Entra por Criterio de Dependencia y Percentil</v>
      </c>
      <c r="N339" s="97">
        <f t="shared" si="44"/>
        <v>16202</v>
      </c>
      <c r="O339" s="97">
        <f t="shared" si="45"/>
        <v>8107</v>
      </c>
      <c r="P339" t="str">
        <f t="shared" si="46"/>
        <v>COBQUECURA</v>
      </c>
      <c r="Q339" s="96">
        <f t="shared" si="47"/>
        <v>2.1248890667500001E-3</v>
      </c>
      <c r="R339" s="96"/>
      <c r="S339">
        <f>+COEFyDISTR_MINERO!A344</f>
        <v>16202</v>
      </c>
      <c r="T339">
        <f>+COEFyDISTR_MINERO!B344</f>
        <v>8107</v>
      </c>
      <c r="U339" t="str">
        <f>+COEFyDISTR_MINERO!C344</f>
        <v>COBQUECURA</v>
      </c>
      <c r="V339" s="96">
        <f>+COEFyDISTR_MINERO!X344</f>
        <v>0</v>
      </c>
      <c r="W339" s="6" t="str">
        <f>+COEFyDISTR_MINERO!D344</f>
        <v>No</v>
      </c>
      <c r="X339" s="96"/>
      <c r="Y339" s="96"/>
      <c r="AI339" s="96"/>
    </row>
    <row r="340" spans="1:35" ht="3" customHeight="1" x14ac:dyDescent="0.25">
      <c r="A340" s="5">
        <f>+COEFyDISTR_FET!A345</f>
        <v>16203</v>
      </c>
      <c r="B340" s="5">
        <f>+COEFyDISTR_FET!B345</f>
        <v>8120</v>
      </c>
      <c r="C340" t="str">
        <f>+COEFyDISTR_FET!C345</f>
        <v>COELEMU</v>
      </c>
      <c r="D340" s="31">
        <f>+COEFyDISTR_FET!D345</f>
        <v>1259186</v>
      </c>
      <c r="E340" s="31">
        <f>+COEFyDISTR_FET!E345</f>
        <v>5131595.5930000003</v>
      </c>
      <c r="F340" s="403">
        <f>+COEFyDISTR_FET!G345</f>
        <v>0.44</v>
      </c>
      <c r="G340" s="403">
        <f>+COEFyDISTR_FET!H345</f>
        <v>0.80300000000000005</v>
      </c>
      <c r="H340" s="402" t="str">
        <f>IF(D340=0,$A$2,VLOOKUP(COUNTIF(F340,$F$1&amp;$F$2)&amp;COUNTIF(G340,$G$1&amp;$G$2),PARAMETROS!$K$26:$L$30,2,0))</f>
        <v>Entra por Criterio de Dependencia y Percentil</v>
      </c>
      <c r="I340" s="96">
        <f>+COEFyDISTR_FET!AA345</f>
        <v>2.8197188327499997E-3</v>
      </c>
      <c r="J340" s="97">
        <f t="shared" si="40"/>
        <v>16203</v>
      </c>
      <c r="K340" s="97">
        <f t="shared" si="41"/>
        <v>8120</v>
      </c>
      <c r="L340" t="str">
        <f t="shared" si="42"/>
        <v>COELEMU</v>
      </c>
      <c r="M340" t="str">
        <f t="shared" si="43"/>
        <v>Entra por Criterio de Dependencia y Percentil</v>
      </c>
      <c r="N340" s="97">
        <f t="shared" si="44"/>
        <v>16203</v>
      </c>
      <c r="O340" s="97">
        <f t="shared" si="45"/>
        <v>8120</v>
      </c>
      <c r="P340" t="str">
        <f t="shared" si="46"/>
        <v>COELEMU</v>
      </c>
      <c r="Q340" s="96">
        <f t="shared" si="47"/>
        <v>2.8197188327499997E-3</v>
      </c>
      <c r="R340" s="96"/>
      <c r="S340">
        <f>+COEFyDISTR_MINERO!A345</f>
        <v>16203</v>
      </c>
      <c r="T340">
        <f>+COEFyDISTR_MINERO!B345</f>
        <v>8120</v>
      </c>
      <c r="U340" t="str">
        <f>+COEFyDISTR_MINERO!C345</f>
        <v>COELEMU</v>
      </c>
      <c r="V340" s="96">
        <f>+COEFyDISTR_MINERO!X345</f>
        <v>0</v>
      </c>
      <c r="W340" s="6" t="str">
        <f>+COEFyDISTR_MINERO!D345</f>
        <v>No</v>
      </c>
      <c r="X340" s="96"/>
      <c r="Y340" s="96"/>
      <c r="AI340" s="96"/>
    </row>
    <row r="341" spans="1:35" ht="3" customHeight="1" x14ac:dyDescent="0.25">
      <c r="A341" s="5">
        <f>+COEFyDISTR_FET!A346</f>
        <v>16204</v>
      </c>
      <c r="B341" s="5">
        <f>+COEFyDISTR_FET!B346</f>
        <v>8105</v>
      </c>
      <c r="C341" t="str">
        <f>+COEFyDISTR_FET!C346</f>
        <v>NINHUE</v>
      </c>
      <c r="D341" s="31">
        <f>+COEFyDISTR_FET!D346</f>
        <v>352787</v>
      </c>
      <c r="E341" s="31">
        <f>+COEFyDISTR_FET!E346</f>
        <v>3088644.8149999999</v>
      </c>
      <c r="F341" s="403">
        <f>+COEFyDISTR_FET!G346</f>
        <v>0.107</v>
      </c>
      <c r="G341" s="403">
        <f>+COEFyDISTR_FET!H346</f>
        <v>0.89749999999999996</v>
      </c>
      <c r="H341" s="402" t="str">
        <f>IF(D341=0,$A$2,VLOOKUP(COUNTIF(F341,$F$1&amp;$F$2)&amp;COUNTIF(G341,$G$1&amp;$G$2),PARAMETROS!$K$26:$L$30,2,0))</f>
        <v>Entra por Criterio de Dependencia y Percentil</v>
      </c>
      <c r="I341" s="96">
        <f>+COEFyDISTR_FET!AA346</f>
        <v>2.2510704874500005E-3</v>
      </c>
      <c r="J341" s="97">
        <f t="shared" si="40"/>
        <v>16204</v>
      </c>
      <c r="K341" s="97">
        <f t="shared" si="41"/>
        <v>8105</v>
      </c>
      <c r="L341" t="str">
        <f t="shared" si="42"/>
        <v>NINHUE</v>
      </c>
      <c r="M341" t="str">
        <f t="shared" si="43"/>
        <v>Entra por Criterio de Dependencia y Percentil</v>
      </c>
      <c r="N341" s="97">
        <f t="shared" si="44"/>
        <v>16204</v>
      </c>
      <c r="O341" s="97">
        <f t="shared" si="45"/>
        <v>8105</v>
      </c>
      <c r="P341" t="str">
        <f t="shared" si="46"/>
        <v>NINHUE</v>
      </c>
      <c r="Q341" s="96">
        <f t="shared" si="47"/>
        <v>2.2510704874500005E-3</v>
      </c>
      <c r="R341" s="96"/>
      <c r="S341">
        <f>+COEFyDISTR_MINERO!A346</f>
        <v>16204</v>
      </c>
      <c r="T341">
        <f>+COEFyDISTR_MINERO!B346</f>
        <v>8105</v>
      </c>
      <c r="U341" t="str">
        <f>+COEFyDISTR_MINERO!C346</f>
        <v>NINHUE</v>
      </c>
      <c r="V341" s="96">
        <f>+COEFyDISTR_MINERO!X346</f>
        <v>0</v>
      </c>
      <c r="W341" s="6" t="str">
        <f>+COEFyDISTR_MINERO!D346</f>
        <v>No</v>
      </c>
      <c r="X341" s="96"/>
      <c r="Y341" s="96"/>
      <c r="AI341" s="96"/>
    </row>
    <row r="342" spans="1:35" ht="3" customHeight="1" x14ac:dyDescent="0.25">
      <c r="A342" s="5">
        <f>+COEFyDISTR_FET!A347</f>
        <v>16205</v>
      </c>
      <c r="B342" s="5">
        <f>+COEFyDISTR_FET!B347</f>
        <v>8106</v>
      </c>
      <c r="C342" t="str">
        <f>+COEFyDISTR_FET!C347</f>
        <v>PORTEZUELO</v>
      </c>
      <c r="D342" s="31">
        <f>+COEFyDISTR_FET!D347</f>
        <v>464731</v>
      </c>
      <c r="E342" s="31">
        <f>+COEFyDISTR_FET!E347</f>
        <v>2960134.014</v>
      </c>
      <c r="F342" s="403">
        <f>+COEFyDISTR_FET!G347</f>
        <v>0.104</v>
      </c>
      <c r="G342" s="403">
        <f>+COEFyDISTR_FET!H347</f>
        <v>0.86429999999999996</v>
      </c>
      <c r="H342" s="402" t="str">
        <f>IF(D342=0,$A$2,VLOOKUP(COUNTIF(F342,$F$1&amp;$F$2)&amp;COUNTIF(G342,$G$1&amp;$G$2),PARAMETROS!$K$26:$L$30,2,0))</f>
        <v>Entra por Criterio de Dependencia y Percentil</v>
      </c>
      <c r="I342" s="96">
        <f>+COEFyDISTR_FET!AA347</f>
        <v>2.0786472573500001E-3</v>
      </c>
      <c r="J342" s="97">
        <f t="shared" si="40"/>
        <v>16205</v>
      </c>
      <c r="K342" s="97">
        <f t="shared" si="41"/>
        <v>8106</v>
      </c>
      <c r="L342" t="str">
        <f t="shared" si="42"/>
        <v>PORTEZUELO</v>
      </c>
      <c r="M342" t="str">
        <f t="shared" si="43"/>
        <v>Entra por Criterio de Dependencia y Percentil</v>
      </c>
      <c r="N342" s="97">
        <f t="shared" si="44"/>
        <v>16205</v>
      </c>
      <c r="O342" s="97">
        <f t="shared" si="45"/>
        <v>8106</v>
      </c>
      <c r="P342" t="str">
        <f t="shared" si="46"/>
        <v>PORTEZUELO</v>
      </c>
      <c r="Q342" s="96">
        <f t="shared" si="47"/>
        <v>2.0786472573500001E-3</v>
      </c>
      <c r="R342" s="96"/>
      <c r="S342">
        <f>+COEFyDISTR_MINERO!A347</f>
        <v>16205</v>
      </c>
      <c r="T342">
        <f>+COEFyDISTR_MINERO!B347</f>
        <v>8106</v>
      </c>
      <c r="U342" t="str">
        <f>+COEFyDISTR_MINERO!C347</f>
        <v>PORTEZUELO</v>
      </c>
      <c r="V342" s="96">
        <f>+COEFyDISTR_MINERO!X347</f>
        <v>0</v>
      </c>
      <c r="W342" s="6" t="str">
        <f>+COEFyDISTR_MINERO!D347</f>
        <v>No</v>
      </c>
      <c r="X342" s="96"/>
      <c r="Y342" s="96"/>
      <c r="AI342" s="96"/>
    </row>
    <row r="343" spans="1:35" ht="3" customHeight="1" x14ac:dyDescent="0.25">
      <c r="A343" s="5">
        <f>+COEFyDISTR_FET!A348</f>
        <v>16206</v>
      </c>
      <c r="B343" s="5">
        <f>+COEFyDISTR_FET!B348</f>
        <v>8119</v>
      </c>
      <c r="C343" t="str">
        <f>+COEFyDISTR_FET!C348</f>
        <v>RÁNQUIL</v>
      </c>
      <c r="D343" s="31">
        <f>+COEFyDISTR_FET!D348</f>
        <v>1089082</v>
      </c>
      <c r="E343" s="31">
        <f>+COEFyDISTR_FET!E348</f>
        <v>2692289.3220000002</v>
      </c>
      <c r="F343" s="403">
        <f>+COEFyDISTR_FET!G348</f>
        <v>0.13</v>
      </c>
      <c r="G343" s="403">
        <f>+COEFyDISTR_FET!H348</f>
        <v>0.71199999999999997</v>
      </c>
      <c r="H343" s="402" t="str">
        <f>IF(D343=0,$A$2,VLOOKUP(COUNTIF(F343,$F$1&amp;$F$2)&amp;COUNTIF(G343,$G$1&amp;$G$2),PARAMETROS!$K$26:$L$30,2,0))</f>
        <v>Entra por Criterio de Dependencia y Percentil</v>
      </c>
      <c r="I343" s="96">
        <f>+COEFyDISTR_FET!AA348</f>
        <v>2.1103271872500002E-3</v>
      </c>
      <c r="J343" s="97">
        <f t="shared" si="40"/>
        <v>16206</v>
      </c>
      <c r="K343" s="97">
        <f t="shared" si="41"/>
        <v>8119</v>
      </c>
      <c r="L343" t="str">
        <f t="shared" si="42"/>
        <v>RÁNQUIL</v>
      </c>
      <c r="M343" t="str">
        <f t="shared" si="43"/>
        <v>Entra por Criterio de Dependencia y Percentil</v>
      </c>
      <c r="N343" s="97">
        <f t="shared" si="44"/>
        <v>16206</v>
      </c>
      <c r="O343" s="97">
        <f t="shared" si="45"/>
        <v>8119</v>
      </c>
      <c r="P343" t="str">
        <f t="shared" si="46"/>
        <v>RÁNQUIL</v>
      </c>
      <c r="Q343" s="96">
        <f t="shared" si="47"/>
        <v>2.1103271872500002E-3</v>
      </c>
      <c r="R343" s="96"/>
      <c r="S343">
        <f>+COEFyDISTR_MINERO!A348</f>
        <v>16206</v>
      </c>
      <c r="T343">
        <f>+COEFyDISTR_MINERO!B348</f>
        <v>8119</v>
      </c>
      <c r="U343" t="str">
        <f>+COEFyDISTR_MINERO!C348</f>
        <v>RÁNQUIL</v>
      </c>
      <c r="V343" s="96">
        <f>+COEFyDISTR_MINERO!X348</f>
        <v>0</v>
      </c>
      <c r="W343" s="6" t="str">
        <f>+COEFyDISTR_MINERO!D348</f>
        <v>No</v>
      </c>
      <c r="X343" s="96"/>
      <c r="Y343" s="96"/>
      <c r="AI343" s="96"/>
    </row>
    <row r="344" spans="1:35" ht="3" customHeight="1" x14ac:dyDescent="0.25">
      <c r="A344" s="5">
        <f>+COEFyDISTR_FET!A349</f>
        <v>16207</v>
      </c>
      <c r="B344" s="5">
        <f>+COEFyDISTR_FET!B349</f>
        <v>8108</v>
      </c>
      <c r="C344" t="str">
        <f>+COEFyDISTR_FET!C349</f>
        <v>TREHUACO</v>
      </c>
      <c r="D344" s="31">
        <f>+COEFyDISTR_FET!D349</f>
        <v>404777</v>
      </c>
      <c r="E344" s="31">
        <f>+COEFyDISTR_FET!E349</f>
        <v>3191111.1669999999</v>
      </c>
      <c r="F344" s="403">
        <f>+COEFyDISTR_FET!G349</f>
        <v>0.11799999999999999</v>
      </c>
      <c r="G344" s="403">
        <f>+COEFyDISTR_FET!H349</f>
        <v>0.88739999999999997</v>
      </c>
      <c r="H344" s="402" t="str">
        <f>IF(D344=0,$A$2,VLOOKUP(COUNTIF(F344,$F$1&amp;$F$2)&amp;COUNTIF(G344,$G$1&amp;$G$2),PARAMETROS!$K$26:$L$30,2,0))</f>
        <v>Entra por Criterio de Dependencia y Percentil</v>
      </c>
      <c r="I344" s="96">
        <f>+COEFyDISTR_FET!AA349</f>
        <v>2.23738265795E-3</v>
      </c>
      <c r="J344" s="97">
        <f t="shared" si="40"/>
        <v>16207</v>
      </c>
      <c r="K344" s="97">
        <f t="shared" si="41"/>
        <v>8108</v>
      </c>
      <c r="L344" t="str">
        <f t="shared" si="42"/>
        <v>TREHUACO</v>
      </c>
      <c r="M344" t="str">
        <f t="shared" si="43"/>
        <v>Entra por Criterio de Dependencia y Percentil</v>
      </c>
      <c r="N344" s="97">
        <f t="shared" si="44"/>
        <v>16207</v>
      </c>
      <c r="O344" s="97">
        <f t="shared" si="45"/>
        <v>8108</v>
      </c>
      <c r="P344" t="str">
        <f t="shared" si="46"/>
        <v>TREHUACO</v>
      </c>
      <c r="Q344" s="96">
        <f t="shared" si="47"/>
        <v>2.23738265795E-3</v>
      </c>
      <c r="R344" s="96"/>
      <c r="S344">
        <f>+COEFyDISTR_MINERO!A349</f>
        <v>16207</v>
      </c>
      <c r="T344">
        <f>+COEFyDISTR_MINERO!B349</f>
        <v>8108</v>
      </c>
      <c r="U344" t="str">
        <f>+COEFyDISTR_MINERO!C349</f>
        <v>TREHUACO</v>
      </c>
      <c r="V344" s="96">
        <f>+COEFyDISTR_MINERO!X349</f>
        <v>0</v>
      </c>
      <c r="W344" s="6" t="str">
        <f>+COEFyDISTR_MINERO!D349</f>
        <v>No</v>
      </c>
      <c r="X344" s="96"/>
      <c r="Y344" s="96"/>
      <c r="AI344" s="96"/>
    </row>
    <row r="345" spans="1:35" ht="3" customHeight="1" x14ac:dyDescent="0.25">
      <c r="A345" s="5">
        <f>+COEFyDISTR_FET!A350</f>
        <v>16301</v>
      </c>
      <c r="B345" s="5">
        <f>+COEFyDISTR_FET!B350</f>
        <v>8109</v>
      </c>
      <c r="C345" t="str">
        <f>+COEFyDISTR_FET!C350</f>
        <v>SAN CARLOS</v>
      </c>
      <c r="D345" s="31">
        <f>+COEFyDISTR_FET!D350</f>
        <v>4143618</v>
      </c>
      <c r="E345" s="31">
        <f>+COEFyDISTR_FET!E350</f>
        <v>12155306.307</v>
      </c>
      <c r="F345" s="403">
        <f>+COEFyDISTR_FET!G350</f>
        <v>0.73299999999999998</v>
      </c>
      <c r="G345" s="403">
        <f>+COEFyDISTR_FET!H350</f>
        <v>0.74580000000000002</v>
      </c>
      <c r="H345" s="402" t="str">
        <f>IF(D345=0,$A$2,VLOOKUP(COUNTIF(F345,$F$1&amp;$F$2)&amp;COUNTIF(G345,$G$1&amp;$G$2),PARAMETROS!$K$26:$L$30,2,0))</f>
        <v>Entra por Criterio de Dependencia y Percentil</v>
      </c>
      <c r="I345" s="96">
        <f>+COEFyDISTR_FET!AA350</f>
        <v>5.5333770658499998E-3</v>
      </c>
      <c r="J345" s="97">
        <f t="shared" si="40"/>
        <v>16301</v>
      </c>
      <c r="K345" s="97">
        <f t="shared" si="41"/>
        <v>8109</v>
      </c>
      <c r="L345" t="str">
        <f t="shared" si="42"/>
        <v>SAN CARLOS</v>
      </c>
      <c r="M345" t="str">
        <f t="shared" si="43"/>
        <v>Entra por Criterio de Dependencia y Percentil</v>
      </c>
      <c r="N345" s="97">
        <f t="shared" si="44"/>
        <v>16301</v>
      </c>
      <c r="O345" s="97">
        <f t="shared" si="45"/>
        <v>8109</v>
      </c>
      <c r="P345" t="str">
        <f t="shared" si="46"/>
        <v>SAN CARLOS</v>
      </c>
      <c r="Q345" s="96">
        <f t="shared" si="47"/>
        <v>5.5333770658499998E-3</v>
      </c>
      <c r="R345" s="96"/>
      <c r="S345">
        <f>+COEFyDISTR_MINERO!A350</f>
        <v>16301</v>
      </c>
      <c r="T345">
        <f>+COEFyDISTR_MINERO!B350</f>
        <v>8109</v>
      </c>
      <c r="U345" t="str">
        <f>+COEFyDISTR_MINERO!C350</f>
        <v>SAN CARLOS</v>
      </c>
      <c r="V345" s="96">
        <f>+COEFyDISTR_MINERO!X350</f>
        <v>0</v>
      </c>
      <c r="W345" s="6" t="str">
        <f>+COEFyDISTR_MINERO!D350</f>
        <v>No</v>
      </c>
      <c r="X345" s="96"/>
      <c r="Y345" s="96"/>
      <c r="AI345" s="96"/>
    </row>
    <row r="346" spans="1:35" ht="3" customHeight="1" x14ac:dyDescent="0.25">
      <c r="A346" s="5">
        <f>+COEFyDISTR_FET!A351</f>
        <v>16302</v>
      </c>
      <c r="B346" s="5">
        <f>+COEFyDISTR_FET!B351</f>
        <v>8103</v>
      </c>
      <c r="C346" t="str">
        <f>+COEFyDISTR_FET!C351</f>
        <v>COIHUECO</v>
      </c>
      <c r="D346" s="31">
        <f>+COEFyDISTR_FET!D351</f>
        <v>1883537</v>
      </c>
      <c r="E346" s="31">
        <f>+COEFyDISTR_FET!E351</f>
        <v>8078587.1509999996</v>
      </c>
      <c r="F346" s="403">
        <f>+COEFyDISTR_FET!G351</f>
        <v>0.59099999999999997</v>
      </c>
      <c r="G346" s="403">
        <f>+COEFyDISTR_FET!H351</f>
        <v>0.81089999999999995</v>
      </c>
      <c r="H346" s="402" t="str">
        <f>IF(D346=0,$A$2,VLOOKUP(COUNTIF(F346,$F$1&amp;$F$2)&amp;COUNTIF(G346,$G$1&amp;$G$2),PARAMETROS!$K$26:$L$30,2,0))</f>
        <v>Entra por Criterio de Dependencia y Percentil</v>
      </c>
      <c r="I346" s="96">
        <f>+COEFyDISTR_FET!AA351</f>
        <v>3.6561938538499997E-3</v>
      </c>
      <c r="J346" s="97">
        <f t="shared" si="40"/>
        <v>16302</v>
      </c>
      <c r="K346" s="97">
        <f t="shared" si="41"/>
        <v>8103</v>
      </c>
      <c r="L346" t="str">
        <f t="shared" si="42"/>
        <v>COIHUECO</v>
      </c>
      <c r="M346" t="str">
        <f t="shared" si="43"/>
        <v>Entra por Criterio de Dependencia y Percentil</v>
      </c>
      <c r="N346" s="97">
        <f t="shared" si="44"/>
        <v>16302</v>
      </c>
      <c r="O346" s="97">
        <f t="shared" si="45"/>
        <v>8103</v>
      </c>
      <c r="P346" t="str">
        <f t="shared" si="46"/>
        <v>COIHUECO</v>
      </c>
      <c r="Q346" s="96">
        <f t="shared" si="47"/>
        <v>3.6561938538499997E-3</v>
      </c>
      <c r="R346" s="96"/>
      <c r="S346">
        <f>+COEFyDISTR_MINERO!A351</f>
        <v>16302</v>
      </c>
      <c r="T346">
        <f>+COEFyDISTR_MINERO!B351</f>
        <v>8103</v>
      </c>
      <c r="U346" t="str">
        <f>+COEFyDISTR_MINERO!C351</f>
        <v>COIHUECO</v>
      </c>
      <c r="V346" s="96">
        <f>+COEFyDISTR_MINERO!X351</f>
        <v>0</v>
      </c>
      <c r="W346" s="6" t="str">
        <f>+COEFyDISTR_MINERO!D351</f>
        <v>No</v>
      </c>
      <c r="X346" s="96"/>
      <c r="Y346" s="96"/>
      <c r="AI346" s="96"/>
    </row>
    <row r="347" spans="1:35" ht="3" customHeight="1" x14ac:dyDescent="0.25">
      <c r="A347" s="5">
        <f>+COEFyDISTR_FET!A352</f>
        <v>16303</v>
      </c>
      <c r="B347" s="5">
        <f>+COEFyDISTR_FET!B352</f>
        <v>8110</v>
      </c>
      <c r="C347" t="str">
        <f>+COEFyDISTR_FET!C352</f>
        <v>ÑIQUÉN</v>
      </c>
      <c r="D347" s="31">
        <f>+COEFyDISTR_FET!D352</f>
        <v>966062</v>
      </c>
      <c r="E347" s="31">
        <f>+COEFyDISTR_FET!E352</f>
        <v>3816781.0419999999</v>
      </c>
      <c r="F347" s="403">
        <f>+COEFyDISTR_FET!G352</f>
        <v>0.249</v>
      </c>
      <c r="G347" s="403">
        <f>+COEFyDISTR_FET!H352</f>
        <v>0.79800000000000004</v>
      </c>
      <c r="H347" s="402" t="str">
        <f>IF(D347=0,$A$2,VLOOKUP(COUNTIF(F347,$F$1&amp;$F$2)&amp;COUNTIF(G347,$G$1&amp;$G$2),PARAMETROS!$K$26:$L$30,2,0))</f>
        <v>Entra por Criterio de Dependencia y Percentil</v>
      </c>
      <c r="I347" s="96">
        <f>+COEFyDISTR_FET!AA352</f>
        <v>2.4954297449500001E-3</v>
      </c>
      <c r="J347" s="97">
        <f t="shared" si="40"/>
        <v>16303</v>
      </c>
      <c r="K347" s="97">
        <f t="shared" si="41"/>
        <v>8110</v>
      </c>
      <c r="L347" t="str">
        <f t="shared" si="42"/>
        <v>ÑIQUÉN</v>
      </c>
      <c r="M347" t="str">
        <f t="shared" si="43"/>
        <v>Entra por Criterio de Dependencia y Percentil</v>
      </c>
      <c r="N347" s="97">
        <f t="shared" si="44"/>
        <v>16303</v>
      </c>
      <c r="O347" s="97">
        <f t="shared" si="45"/>
        <v>8110</v>
      </c>
      <c r="P347" t="str">
        <f t="shared" si="46"/>
        <v>ÑIQUÉN</v>
      </c>
      <c r="Q347" s="96">
        <f t="shared" si="47"/>
        <v>2.4954297449500001E-3</v>
      </c>
      <c r="R347" s="96"/>
      <c r="S347">
        <f>+COEFyDISTR_MINERO!A352</f>
        <v>16303</v>
      </c>
      <c r="T347">
        <f>+COEFyDISTR_MINERO!B352</f>
        <v>8110</v>
      </c>
      <c r="U347" t="str">
        <f>+COEFyDISTR_MINERO!C352</f>
        <v>ÑIQUÉN</v>
      </c>
      <c r="V347" s="96">
        <f>+COEFyDISTR_MINERO!X352</f>
        <v>0</v>
      </c>
      <c r="W347" s="6" t="str">
        <f>+COEFyDISTR_MINERO!D352</f>
        <v>No</v>
      </c>
      <c r="X347" s="96"/>
      <c r="Y347" s="96"/>
      <c r="AI347" s="96"/>
    </row>
    <row r="348" spans="1:35" ht="3" customHeight="1" x14ac:dyDescent="0.25">
      <c r="A348" s="5">
        <f>+COEFyDISTR_FET!A353</f>
        <v>16304</v>
      </c>
      <c r="B348" s="5">
        <f>+COEFyDISTR_FET!B353</f>
        <v>8111</v>
      </c>
      <c r="C348" t="str">
        <f>+COEFyDISTR_FET!C353</f>
        <v>SAN FABIÁN</v>
      </c>
      <c r="D348" s="31">
        <f>+COEFyDISTR_FET!D353</f>
        <v>658249</v>
      </c>
      <c r="E348" s="31">
        <f>+COEFyDISTR_FET!E353</f>
        <v>2233513.3199999998</v>
      </c>
      <c r="F348" s="403">
        <f>+COEFyDISTR_FET!G353</f>
        <v>0.06</v>
      </c>
      <c r="G348" s="403">
        <f>+COEFyDISTR_FET!H353</f>
        <v>0.77239999999999998</v>
      </c>
      <c r="H348" s="402" t="str">
        <f>IF(D348=0,$A$2,VLOOKUP(COUNTIF(F348,$F$1&amp;$F$2)&amp;COUNTIF(G348,$G$1&amp;$G$2),PARAMETROS!$K$26:$L$30,2,0))</f>
        <v>Entra por Criterio de Dependencia y Percentil</v>
      </c>
      <c r="I348" s="96">
        <f>+COEFyDISTR_FET!AA353</f>
        <v>1.8828559507500001E-3</v>
      </c>
      <c r="J348" s="97">
        <f t="shared" si="40"/>
        <v>16304</v>
      </c>
      <c r="K348" s="97">
        <f t="shared" si="41"/>
        <v>8111</v>
      </c>
      <c r="L348" t="str">
        <f t="shared" si="42"/>
        <v>SAN FABIÁN</v>
      </c>
      <c r="M348" t="str">
        <f t="shared" si="43"/>
        <v>Entra por Criterio de Dependencia y Percentil</v>
      </c>
      <c r="N348" s="97">
        <f t="shared" si="44"/>
        <v>16304</v>
      </c>
      <c r="O348" s="97">
        <f t="shared" si="45"/>
        <v>8111</v>
      </c>
      <c r="P348" t="str">
        <f t="shared" si="46"/>
        <v>SAN FABIÁN</v>
      </c>
      <c r="Q348" s="96">
        <f t="shared" si="47"/>
        <v>1.8828559507500001E-3</v>
      </c>
      <c r="R348" s="96"/>
      <c r="S348">
        <f>+COEFyDISTR_MINERO!A353</f>
        <v>16304</v>
      </c>
      <c r="T348">
        <f>+COEFyDISTR_MINERO!B353</f>
        <v>8111</v>
      </c>
      <c r="U348" t="str">
        <f>+COEFyDISTR_MINERO!C353</f>
        <v>SAN FABIÁN</v>
      </c>
      <c r="V348" s="96">
        <f>+COEFyDISTR_MINERO!X353</f>
        <v>0</v>
      </c>
      <c r="W348" s="6" t="str">
        <f>+COEFyDISTR_MINERO!D353</f>
        <v>No</v>
      </c>
      <c r="X348" s="96"/>
      <c r="Y348" s="96"/>
      <c r="AI348" s="96"/>
    </row>
    <row r="349" spans="1:35" ht="3" customHeight="1" x14ac:dyDescent="0.25">
      <c r="A349" s="5">
        <f>+COEFyDISTR_FET!A354</f>
        <v>16305</v>
      </c>
      <c r="B349" s="5">
        <f>+COEFyDISTR_FET!B354</f>
        <v>8112</v>
      </c>
      <c r="C349" t="str">
        <f>+COEFyDISTR_FET!C354</f>
        <v>SAN NICOLÁS</v>
      </c>
      <c r="D349" s="31">
        <f>+COEFyDISTR_FET!D354</f>
        <v>1931345</v>
      </c>
      <c r="E349" s="31">
        <f>+COEFyDISTR_FET!E354</f>
        <v>3099166.7850000001</v>
      </c>
      <c r="F349" s="403">
        <f>+COEFyDISTR_FET!G354</f>
        <v>0.28399999999999997</v>
      </c>
      <c r="G349" s="403">
        <f>+COEFyDISTR_FET!H354</f>
        <v>0.61609999999999998</v>
      </c>
      <c r="H349" s="402" t="str">
        <f>IF(D349=0,$A$2,VLOOKUP(COUNTIF(F349,$F$1&amp;$F$2)&amp;COUNTIF(G349,$G$1&amp;$G$2),PARAMETROS!$K$26:$L$30,2,0))</f>
        <v>Entra por Criterio de Dependencia y Percentil</v>
      </c>
      <c r="I349" s="96">
        <f>+COEFyDISTR_FET!AA354</f>
        <v>2.2271554790499999E-3</v>
      </c>
      <c r="J349" s="97">
        <f t="shared" si="40"/>
        <v>16305</v>
      </c>
      <c r="K349" s="97">
        <f t="shared" si="41"/>
        <v>8112</v>
      </c>
      <c r="L349" t="str">
        <f t="shared" si="42"/>
        <v>SAN NICOLÁS</v>
      </c>
      <c r="M349" t="str">
        <f t="shared" si="43"/>
        <v>Entra por Criterio de Dependencia y Percentil</v>
      </c>
      <c r="N349" s="97">
        <f t="shared" si="44"/>
        <v>16305</v>
      </c>
      <c r="O349" s="97">
        <f t="shared" si="45"/>
        <v>8112</v>
      </c>
      <c r="P349" t="str">
        <f t="shared" si="46"/>
        <v>SAN NICOLÁS</v>
      </c>
      <c r="Q349" s="96">
        <f t="shared" si="47"/>
        <v>2.2271554790499999E-3</v>
      </c>
      <c r="R349" s="96"/>
      <c r="S349">
        <f>+COEFyDISTR_MINERO!A354</f>
        <v>16305</v>
      </c>
      <c r="T349">
        <f>+COEFyDISTR_MINERO!B354</f>
        <v>8112</v>
      </c>
      <c r="U349" t="str">
        <f>+COEFyDISTR_MINERO!C354</f>
        <v>SAN NICOLÁS</v>
      </c>
      <c r="V349" s="96">
        <f>+COEFyDISTR_MINERO!X354</f>
        <v>0</v>
      </c>
      <c r="W349" s="6" t="str">
        <f>+COEFyDISTR_MINERO!D354</f>
        <v>No</v>
      </c>
      <c r="X349" s="96"/>
      <c r="Y349" s="96"/>
      <c r="AI349" s="96"/>
    </row>
    <row r="350" spans="1:35" ht="3" customHeight="1" x14ac:dyDescent="0.25">
      <c r="A350" s="5"/>
      <c r="B350" s="5"/>
      <c r="F350" s="403"/>
      <c r="G350" s="403"/>
    </row>
    <row r="351" spans="1:35" ht="3" customHeight="1" x14ac:dyDescent="0.25">
      <c r="A351" s="5"/>
      <c r="B351" s="5"/>
      <c r="F351" s="403"/>
      <c r="G351" s="403"/>
    </row>
    <row r="352" spans="1:35" ht="3" customHeight="1" x14ac:dyDescent="0.25">
      <c r="A352" s="5"/>
      <c r="B352" s="5"/>
      <c r="F352" s="403"/>
      <c r="G352" s="403"/>
    </row>
    <row r="353" spans="1:7" ht="3" customHeight="1" x14ac:dyDescent="0.25">
      <c r="A353" s="5"/>
      <c r="B353" s="5"/>
      <c r="F353" s="403"/>
      <c r="G353" s="403"/>
    </row>
    <row r="354" spans="1:7" ht="3" customHeight="1" x14ac:dyDescent="0.25">
      <c r="A354" s="5"/>
      <c r="B354" s="5"/>
      <c r="F354" s="403"/>
      <c r="G354" s="403"/>
    </row>
  </sheetData>
  <sheetProtection algorithmName="SHA-512" hashValue="PbfcLym+wtFKkvpLtj84bRtHNxedGqV0o0aVG34Zb1+MoWCMqxcP/KUAcw4Y+yPmVb6IHK1Sbmagg5+jVKiXcw==" saltValue="pt+DOEkho3VNCzqEZf/1tA==" spinCount="100000" sheet="1" objects="1" scenarios="1" selectLockedCells="1" selectUnlockedCells="1"/>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0">
    <tabColor rgb="FFFF0000"/>
  </sheetPr>
  <dimension ref="A1:AF356"/>
  <sheetViews>
    <sheetView showOutlineSymbols="0" showWhiteSpace="0" workbookViewId="0">
      <selection sqref="A1:XFD1048576"/>
    </sheetView>
  </sheetViews>
  <sheetFormatPr baseColWidth="10" defaultColWidth="11.42578125" defaultRowHeight="3" customHeight="1" x14ac:dyDescent="0.25"/>
  <cols>
    <col min="1" max="1" width="11.5703125" style="213"/>
    <col min="2" max="2" width="11.42578125" style="201"/>
    <col min="3" max="3" width="22" style="201" bestFit="1" customWidth="1"/>
    <col min="4" max="4" width="21.5703125" style="201" customWidth="1"/>
    <col min="5" max="5" width="20.42578125" style="201" customWidth="1"/>
    <col min="6" max="6" width="20.140625" style="201" bestFit="1" customWidth="1"/>
    <col min="7" max="8" width="11.42578125" style="201"/>
    <col min="9" max="9" width="14.5703125" style="201" customWidth="1"/>
    <col min="10" max="10" width="12.5703125" style="201" customWidth="1"/>
    <col min="11" max="11" width="8.85546875" style="201" customWidth="1"/>
    <col min="12" max="12" width="23.5703125" style="201" customWidth="1"/>
    <col min="13" max="13" width="11.5703125" style="201" customWidth="1"/>
    <col min="14" max="14" width="14.42578125" style="201" customWidth="1"/>
    <col min="15" max="15" width="9.85546875" style="201" customWidth="1"/>
    <col min="16" max="17" width="11.42578125" style="201" customWidth="1"/>
    <col min="18" max="23" width="11.42578125" style="201"/>
    <col min="24" max="24" width="19.140625" style="201" bestFit="1" customWidth="1"/>
    <col min="25" max="25" width="11.42578125" style="201"/>
    <col min="26" max="26" width="0" style="201" hidden="1" customWidth="1"/>
    <col min="27" max="32" width="11.42578125" style="201"/>
    <col min="33" max="33" width="15.85546875" style="201" customWidth="1"/>
    <col min="34" max="16384" width="11.42578125" style="201"/>
  </cols>
  <sheetData>
    <row r="1" spans="1:32" ht="3" customHeight="1" thickBot="1" x14ac:dyDescent="0.3">
      <c r="D1" s="317"/>
      <c r="E1" s="318"/>
      <c r="J1" s="320"/>
      <c r="K1" s="320"/>
      <c r="L1" s="320">
        <f>VALUE(RIGHT(M1,3))-O1</f>
        <v>0</v>
      </c>
      <c r="M1" s="213" t="str">
        <f>+COEF_FCM!AA7</f>
        <v>"SI" &gt; 0 : 246</v>
      </c>
      <c r="N1" s="321">
        <f>SUM(N3:N348)</f>
        <v>9643303</v>
      </c>
      <c r="O1" s="213">
        <f>SUM(O3:O348)</f>
        <v>246</v>
      </c>
      <c r="R1" s="322" t="s">
        <v>670</v>
      </c>
      <c r="S1" s="210">
        <v>1</v>
      </c>
      <c r="U1" s="201">
        <f>IF(COUNTIF($U$2:$U$251,"SI")&lt;&gt;O1,"# NO COINCIDEN",COUNTIF($U$2:$U$251,"SI"))</f>
        <v>246</v>
      </c>
      <c r="V1" s="211">
        <f>IF(SUM(V3:V251)&lt;&gt;N1,"Suma NO COINCIDE",SUM(V3:V251))</f>
        <v>9643303</v>
      </c>
      <c r="AA1" s="201">
        <f>SUM(LEN(AA2)-LEN(SUBSTITUTE(AA2,",","")))+1</f>
        <v>247</v>
      </c>
    </row>
    <row r="2" spans="1:32" ht="3" customHeight="1" x14ac:dyDescent="0.25">
      <c r="A2" s="323" t="s">
        <v>597</v>
      </c>
      <c r="B2" s="323" t="s">
        <v>598</v>
      </c>
      <c r="C2" s="323" t="s">
        <v>544</v>
      </c>
      <c r="D2" s="323" t="str">
        <f>+'CALC MEC ESTAB Y ESTIM M FINAL'!F6</f>
        <v>COEFICIENTE 100%
FONDO COMUN MUNICIPAL 2026</v>
      </c>
      <c r="E2" s="323" t="s">
        <v>599</v>
      </c>
      <c r="F2" s="324"/>
      <c r="G2" s="319" t="str">
        <f>+'DATA UIM IPASCUA DETCOMP'!A3</f>
        <v>COMUNA ISLA DE PASCUA</v>
      </c>
      <c r="J2" s="326" t="str">
        <f>+COEF_FCM!A8</f>
        <v>Código Único Territorial (CUT)</v>
      </c>
      <c r="K2" s="326" t="str">
        <f>+COEF_FCM!B8</f>
        <v>CONARA</v>
      </c>
      <c r="L2" s="326" t="str">
        <f>+COEF_FCM!C8</f>
        <v>COMUNA</v>
      </c>
      <c r="M2" s="326" t="str">
        <f>+COEF_FCM!P8</f>
        <v>Se asigna proporción 
de la población 
flotante SERNATUR,  
sólo si 
Mi &gt; P</v>
      </c>
      <c r="N2" s="326" t="str">
        <f>+COEF_FCM!AA8</f>
        <v>Ponderación de la Población Flotante si se asigna proporción 
de la población 
flotante SERNATUR,  
sólo si 
Mi &gt; P</v>
      </c>
      <c r="O2" s="326" t="s">
        <v>670</v>
      </c>
      <c r="R2" s="326" t="str">
        <f t="shared" ref="R2:W2" si="0">+J2</f>
        <v>Código Único Territorial (CUT)</v>
      </c>
      <c r="S2" s="326" t="str">
        <f t="shared" si="0"/>
        <v>CONARA</v>
      </c>
      <c r="T2" s="326" t="str">
        <f t="shared" si="0"/>
        <v>COMUNA</v>
      </c>
      <c r="U2" s="326" t="str">
        <f t="shared" si="0"/>
        <v>Se asigna proporción 
de la población 
flotante SERNATUR,  
sólo si 
Mi &gt; P</v>
      </c>
      <c r="V2" s="326" t="str">
        <f t="shared" si="0"/>
        <v>Ponderación de la Población Flotante si se asigna proporción 
de la población 
flotante SERNATUR,  
sólo si 
Mi &gt; P</v>
      </c>
      <c r="W2" s="326" t="str">
        <f t="shared" si="0"/>
        <v>Comuna Turística para fines del FCM</v>
      </c>
      <c r="X2" s="326" t="s">
        <v>721</v>
      </c>
      <c r="AA2" s="561" t="str">
        <f>_xlfn.TEXTJOIN(", ",,X3:X251)</f>
        <v>Alto Hospicio, Pozo Almonte, Camiña, Colchane, Huara, Pica, Antofagasta, Mejillones, Taltal, Calama, Ollagüe, San Pedro de Atacama, Tocopilla, María Elena, Copiapó, Caldera, Tierra Amarilla, Chañaral, Diego de Almagro, Vallenar, Alto del Carmen, Freirina, Huasco, Coquimbo, Andacollo, La Higuera, Paiguano, Vicuña, Illapel, Canela, Los Vilos, Salamanca, Ovalle, Combarbalá, Monte Patria, Punitaqui, Río Hurtado, Valparaíso, Juan Fernández, Quintero, Isla de Pascua, Los Andes, Calle Larga, San Esteban, La Ligua, Cabildo, Petorca, Quillota, Calera, Hijuelas, La Cruz, Nogales, San Antonio, Cartagena, El Quisco, El Tabo, San Felipe, Catemu, Llaillay, Putaendo, Santa María, Quilpué, Limache, Villa Alemana, Rancagua, Coinco, Coltauco, Doñihue, Graneros, Malloa, Peumo, Pichidegua, Quinta de Tilcoco, Rengo, San Vicente, San Fernando, Chépica, Chimbarongo, Nancagua, Placilla, Santa Cruz, Talca, Constitución, Curepto, Empedrado, Maule, San Clemente, San Rafael, Cauquenes, Chanco, Pelluhue, Curicó, Hualañé, Licantén, Molina, Rauco, Linares, Colbún, Longaví, Parral, Retiro, San Javier, Villa Alegre, Yerbas Buenas, Coronel, Chiguayante, Florida, Hualqui, Lota, Penco, San Pedro de la Paz, Santa Juana, Talcahuano, Tomé, Hualpén, Lebu, Arauco, Cañete, Contulmo, Curanilahue, Los Álamos, Tirúa, Los Ángeles, Antuco, Cabrero, Laja, Nacimiento, Negrete, San Rosendo, Tucapel, Yumbel, Alto Biobío, Temuco, Carahue, Cunco, Curarrehue, Freire, Galvarino, Gorbea, Lautaro, Loncoche, Melipeuco, Nueva Imperial, Padre Las Casas, Perquenco, Pitrufquén, Saavedra, Teodoro Schmidt, Toltén, Vilcún, Cholchol, Angol, Collipulli, Curacautín, Ercilla, Lonquimay, Los Sauces, Lumaco, Purén, Renaico, Traiguén, Victoria, Puerto Montt, Calbuco, Maullín, Castro, Ancud, Chonchi, Curaco de Vélez, Dalcahue, Puqueldón, Queilén, Quellón, Quemchi, Quinchao, Osorno, San Juan de la Costa, Chaitén, Hualaihué, Palena, Coyhaique, Aysén, Cisnes, Guaitecas, Cochrane, O’Higgins, Tortel, Chile Chico, Río Ibáñez, Punta Arenas, Cabo de Hornos, Porvenir, Primavera, Timaukel, Natales, Cerrillos, Cerro Navia, Conchalí, El Bosque, Estación Central, Independencia, La Cisterna, La Granja, La Pintana, Lo Espejo, Lo Prado, Maipú, Pedro Aguirre Cerda, Pudahuel, Quilicura, Quinta Normal, Recoleta, Renca, San Joaquín, San Ramón, Puente Alto, San Bernardo, Melipilla, Talagante, El Monte, Padre Hurtado, Peñaflor, Valdivia, Corral, Lanco, Mariquina, Arica, Camarones, Putre, General Lagos, Chillán, Bulnes, Chillán Viejo, El Carmen, Quillón, San Ignacio, Yungay, Quirihue, Cobquecura, Coelemu, Ninhue, Portezuelo, Ránquil, Trehuaco, San Carlos, Ñiquén, .</v>
      </c>
      <c r="AB2" s="561"/>
      <c r="AC2" s="561"/>
      <c r="AD2" s="561"/>
      <c r="AE2" s="561"/>
      <c r="AF2" s="561"/>
    </row>
    <row r="3" spans="1:32" ht="3" customHeight="1" thickBot="1" x14ac:dyDescent="0.3">
      <c r="A3" s="327">
        <f>INT(B3/1000)</f>
        <v>1</v>
      </c>
      <c r="B3" s="328">
        <f>+'CALC MEC ESTAB Y ESTIM M FINAL'!B7</f>
        <v>1101</v>
      </c>
      <c r="C3" s="328" t="str">
        <f>+'CALC MEC ESTAB Y ESTIM M FINAL'!C7</f>
        <v>IQUIQUE</v>
      </c>
      <c r="D3" s="329">
        <f>+'CALC MEC ESTAB Y ESTIM M FINAL'!F7</f>
        <v>3.0338082943999999E-3</v>
      </c>
      <c r="E3" s="330">
        <f>+'CALC MEC ESTAB Y ESTIM M FINAL'!V7</f>
        <v>0</v>
      </c>
      <c r="F3" s="214"/>
      <c r="G3" s="325">
        <f>+'DATA UIM IPASCUA DETCOMP'!D12</f>
        <v>28237700</v>
      </c>
      <c r="J3" s="201">
        <f>+COEF_FCM!A9</f>
        <v>1101</v>
      </c>
      <c r="K3" s="201">
        <f>+COEF_FCM!B9</f>
        <v>1201</v>
      </c>
      <c r="L3" s="201" t="str">
        <f>+COEF_FCM!C9</f>
        <v>IQUIQUE</v>
      </c>
      <c r="M3" s="201" t="str">
        <f>+COEF_FCM!P9</f>
        <v>NO</v>
      </c>
      <c r="N3" s="201">
        <f>+COEF_FCM!AA9</f>
        <v>0</v>
      </c>
      <c r="O3" s="201">
        <f>IF(AND(M3="SI",N3&gt;0),1,0)</f>
        <v>0</v>
      </c>
      <c r="R3" s="201" cm="1">
        <f t="array" ref="R3:W248">_xlfn._xlws.FILTER($J$2:$O$348,$O$2:$O$348=S1)</f>
        <v>1107</v>
      </c>
      <c r="S3" s="201">
        <v>1211</v>
      </c>
      <c r="T3" s="201" t="str">
        <v>ALTO HOSPICIO</v>
      </c>
      <c r="U3" s="201" t="str">
        <v>SI</v>
      </c>
      <c r="V3" s="201">
        <v>21947</v>
      </c>
      <c r="W3" s="201">
        <v>1</v>
      </c>
      <c r="X3" s="201" t="str">
        <f>SUBSTITUTE(SUBSTITUTE(SUBSTITUTE(PROPER(T3)," De "," de ",1)," Del "," del ",1)," La "," la ",1)</f>
        <v>Alto Hospicio</v>
      </c>
      <c r="AA3" s="561"/>
      <c r="AB3" s="561"/>
      <c r="AC3" s="561"/>
      <c r="AD3" s="561"/>
      <c r="AE3" s="561"/>
      <c r="AF3" s="561"/>
    </row>
    <row r="4" spans="1:32" ht="3" customHeight="1" x14ac:dyDescent="0.25">
      <c r="A4" s="327">
        <f t="shared" ref="A4:A67" si="1">INT(B4/1000)</f>
        <v>1</v>
      </c>
      <c r="B4" s="328">
        <f>+'CALC MEC ESTAB Y ESTIM M FINAL'!B8</f>
        <v>1107</v>
      </c>
      <c r="C4" s="328" t="str">
        <f>+'CALC MEC ESTAB Y ESTIM M FINAL'!C8</f>
        <v>ALTO HOSPICIO</v>
      </c>
      <c r="D4" s="329">
        <f>+'CALC MEC ESTAB Y ESTIM M FINAL'!F8</f>
        <v>7.6692195374999999E-3</v>
      </c>
      <c r="E4" s="330">
        <f>+'CALC MEC ESTAB Y ESTIM M FINAL'!V8</f>
        <v>0</v>
      </c>
      <c r="F4" s="214"/>
      <c r="J4" s="201">
        <f>+COEF_FCM!A10</f>
        <v>1107</v>
      </c>
      <c r="K4" s="201">
        <f>+COEF_FCM!B10</f>
        <v>1211</v>
      </c>
      <c r="L4" s="201" t="str">
        <f>+COEF_FCM!C10</f>
        <v>ALTO HOSPICIO</v>
      </c>
      <c r="M4" s="201" t="str">
        <f>+COEF_FCM!P10</f>
        <v>SI</v>
      </c>
      <c r="N4" s="201">
        <f>+COEF_FCM!AA10</f>
        <v>21947</v>
      </c>
      <c r="O4" s="201">
        <f t="shared" ref="O4:O67" si="2">IF(AND(M4="SI",N4&gt;0),1,0)</f>
        <v>1</v>
      </c>
      <c r="R4" s="201">
        <v>1401</v>
      </c>
      <c r="S4" s="201">
        <v>1204</v>
      </c>
      <c r="T4" s="201" t="str">
        <v>POZO ALMONTE</v>
      </c>
      <c r="U4" s="201" t="str">
        <v>SI</v>
      </c>
      <c r="V4" s="201">
        <v>37838</v>
      </c>
      <c r="W4" s="201">
        <v>1</v>
      </c>
      <c r="X4" s="201" t="str">
        <f t="shared" ref="X4:X67" si="3">SUBSTITUTE(SUBSTITUTE(SUBSTITUTE(PROPER(T4)," De "," de ",1)," Del "," del ",1)," La "," la ",1)</f>
        <v>Pozo Almonte</v>
      </c>
      <c r="AA4" s="561"/>
      <c r="AB4" s="561"/>
      <c r="AC4" s="561"/>
      <c r="AD4" s="561"/>
      <c r="AE4" s="561"/>
      <c r="AF4" s="561"/>
    </row>
    <row r="5" spans="1:32" ht="3" customHeight="1" x14ac:dyDescent="0.25">
      <c r="A5" s="327">
        <f t="shared" si="1"/>
        <v>1</v>
      </c>
      <c r="B5" s="328">
        <f>+'CALC MEC ESTAB Y ESTIM M FINAL'!B9</f>
        <v>1401</v>
      </c>
      <c r="C5" s="328" t="str">
        <f>+'CALC MEC ESTAB Y ESTIM M FINAL'!C9</f>
        <v>POZO ALMONTE</v>
      </c>
      <c r="D5" s="329">
        <f>+'CALC MEC ESTAB Y ESTIM M FINAL'!F9</f>
        <v>1.6740580702999999E-3</v>
      </c>
      <c r="E5" s="330">
        <f>+'CALC MEC ESTAB Y ESTIM M FINAL'!V9</f>
        <v>0</v>
      </c>
      <c r="F5" s="214"/>
      <c r="J5" s="201">
        <f>+COEF_FCM!A11</f>
        <v>1401</v>
      </c>
      <c r="K5" s="201">
        <f>+COEF_FCM!B11</f>
        <v>1204</v>
      </c>
      <c r="L5" s="201" t="str">
        <f>+COEF_FCM!C11</f>
        <v>POZO ALMONTE</v>
      </c>
      <c r="M5" s="201" t="str">
        <f>+COEF_FCM!P11</f>
        <v>SI</v>
      </c>
      <c r="N5" s="201">
        <f>+COEF_FCM!AA11</f>
        <v>37838</v>
      </c>
      <c r="O5" s="201">
        <f t="shared" si="2"/>
        <v>1</v>
      </c>
      <c r="R5" s="201">
        <v>1402</v>
      </c>
      <c r="S5" s="201">
        <v>1208</v>
      </c>
      <c r="T5" s="201" t="str">
        <v>CAMIÑA</v>
      </c>
      <c r="U5" s="201" t="str">
        <v>SI</v>
      </c>
      <c r="V5" s="201">
        <v>2394</v>
      </c>
      <c r="W5" s="201">
        <v>1</v>
      </c>
      <c r="X5" s="201" t="str">
        <f t="shared" si="3"/>
        <v>Camiña</v>
      </c>
      <c r="AA5" s="561"/>
      <c r="AB5" s="561"/>
      <c r="AC5" s="561"/>
      <c r="AD5" s="561"/>
      <c r="AE5" s="561"/>
      <c r="AF5" s="561"/>
    </row>
    <row r="6" spans="1:32" ht="3" customHeight="1" x14ac:dyDescent="0.25">
      <c r="A6" s="327">
        <f t="shared" si="1"/>
        <v>1</v>
      </c>
      <c r="B6" s="328">
        <f>+'CALC MEC ESTAB Y ESTIM M FINAL'!B10</f>
        <v>1402</v>
      </c>
      <c r="C6" s="328" t="str">
        <f>+'CALC MEC ESTAB Y ESTIM M FINAL'!C10</f>
        <v>CAMIÑA</v>
      </c>
      <c r="D6" s="329">
        <f>+'CALC MEC ESTAB Y ESTIM M FINAL'!F10</f>
        <v>9.7648616579999997E-4</v>
      </c>
      <c r="E6" s="330">
        <f>+'CALC MEC ESTAB Y ESTIM M FINAL'!V10</f>
        <v>0</v>
      </c>
      <c r="F6" s="214"/>
      <c r="J6" s="201">
        <f>+COEF_FCM!A12</f>
        <v>1402</v>
      </c>
      <c r="K6" s="201">
        <f>+COEF_FCM!B12</f>
        <v>1208</v>
      </c>
      <c r="L6" s="201" t="str">
        <f>+COEF_FCM!C12</f>
        <v>CAMIÑA</v>
      </c>
      <c r="M6" s="201" t="str">
        <f>+COEF_FCM!P12</f>
        <v>SI</v>
      </c>
      <c r="N6" s="201">
        <f>+COEF_FCM!AA12</f>
        <v>2394</v>
      </c>
      <c r="O6" s="201">
        <f t="shared" si="2"/>
        <v>1</v>
      </c>
      <c r="R6" s="201">
        <v>1403</v>
      </c>
      <c r="S6" s="201">
        <v>1210</v>
      </c>
      <c r="T6" s="201" t="str">
        <v>COLCHANE</v>
      </c>
      <c r="U6" s="201" t="str">
        <v>SI</v>
      </c>
      <c r="V6" s="201">
        <v>10685</v>
      </c>
      <c r="W6" s="201">
        <v>1</v>
      </c>
      <c r="X6" s="201" t="str">
        <f t="shared" si="3"/>
        <v>Colchane</v>
      </c>
      <c r="AA6" s="561"/>
      <c r="AB6" s="561"/>
      <c r="AC6" s="561"/>
      <c r="AD6" s="561"/>
      <c r="AE6" s="561"/>
      <c r="AF6" s="561"/>
    </row>
    <row r="7" spans="1:32" ht="3" customHeight="1" x14ac:dyDescent="0.25">
      <c r="A7" s="327">
        <f t="shared" si="1"/>
        <v>1</v>
      </c>
      <c r="B7" s="328">
        <f>+'CALC MEC ESTAB Y ESTIM M FINAL'!B11</f>
        <v>1403</v>
      </c>
      <c r="C7" s="328" t="str">
        <f>+'CALC MEC ESTAB Y ESTIM M FINAL'!C11</f>
        <v>COLCHANE</v>
      </c>
      <c r="D7" s="329">
        <f>+'CALC MEC ESTAB Y ESTIM M FINAL'!F11</f>
        <v>1.0057909118999999E-3</v>
      </c>
      <c r="E7" s="330">
        <f>+'CALC MEC ESTAB Y ESTIM M FINAL'!V11</f>
        <v>0</v>
      </c>
      <c r="F7" s="214"/>
      <c r="J7" s="201">
        <f>+COEF_FCM!A13</f>
        <v>1403</v>
      </c>
      <c r="K7" s="201">
        <f>+COEF_FCM!B13</f>
        <v>1210</v>
      </c>
      <c r="L7" s="201" t="str">
        <f>+COEF_FCM!C13</f>
        <v>COLCHANE</v>
      </c>
      <c r="M7" s="201" t="str">
        <f>+COEF_FCM!P13</f>
        <v>SI</v>
      </c>
      <c r="N7" s="201">
        <f>+COEF_FCM!AA13</f>
        <v>10685</v>
      </c>
      <c r="O7" s="201">
        <f t="shared" si="2"/>
        <v>1</v>
      </c>
      <c r="R7" s="201">
        <v>1404</v>
      </c>
      <c r="S7" s="201">
        <v>1206</v>
      </c>
      <c r="T7" s="201" t="str">
        <v>HUARA</v>
      </c>
      <c r="U7" s="201" t="str">
        <v>SI</v>
      </c>
      <c r="V7" s="201">
        <v>25295</v>
      </c>
      <c r="W7" s="201">
        <v>1</v>
      </c>
      <c r="X7" s="201" t="str">
        <f t="shared" si="3"/>
        <v>Huara</v>
      </c>
      <c r="AA7" s="561"/>
      <c r="AB7" s="561"/>
      <c r="AC7" s="561"/>
      <c r="AD7" s="561"/>
      <c r="AE7" s="561"/>
      <c r="AF7" s="561"/>
    </row>
    <row r="8" spans="1:32" ht="3" customHeight="1" x14ac:dyDescent="0.25">
      <c r="A8" s="327">
        <f t="shared" si="1"/>
        <v>1</v>
      </c>
      <c r="B8" s="328">
        <f>+'CALC MEC ESTAB Y ESTIM M FINAL'!B12</f>
        <v>1404</v>
      </c>
      <c r="C8" s="328" t="str">
        <f>+'CALC MEC ESTAB Y ESTIM M FINAL'!C12</f>
        <v>HUARA</v>
      </c>
      <c r="D8" s="329">
        <f>+'CALC MEC ESTAB Y ESTIM M FINAL'!F12</f>
        <v>1.3743390791E-3</v>
      </c>
      <c r="E8" s="330">
        <f>+'CALC MEC ESTAB Y ESTIM M FINAL'!V12</f>
        <v>0</v>
      </c>
      <c r="F8" s="214"/>
      <c r="J8" s="201">
        <f>+COEF_FCM!A14</f>
        <v>1404</v>
      </c>
      <c r="K8" s="201">
        <f>+COEF_FCM!B14</f>
        <v>1206</v>
      </c>
      <c r="L8" s="201" t="str">
        <f>+COEF_FCM!C14</f>
        <v>HUARA</v>
      </c>
      <c r="M8" s="201" t="str">
        <f>+COEF_FCM!P14</f>
        <v>SI</v>
      </c>
      <c r="N8" s="201">
        <f>+COEF_FCM!AA14</f>
        <v>25295</v>
      </c>
      <c r="O8" s="201">
        <f t="shared" si="2"/>
        <v>1</v>
      </c>
      <c r="R8" s="201">
        <v>1405</v>
      </c>
      <c r="S8" s="201">
        <v>1203</v>
      </c>
      <c r="T8" s="201" t="str">
        <v>PICA</v>
      </c>
      <c r="U8" s="201" t="str">
        <v>SI</v>
      </c>
      <c r="V8" s="201">
        <v>67231</v>
      </c>
      <c r="W8" s="201">
        <v>1</v>
      </c>
      <c r="X8" s="201" t="str">
        <f t="shared" si="3"/>
        <v>Pica</v>
      </c>
      <c r="AA8" s="561"/>
      <c r="AB8" s="561"/>
      <c r="AC8" s="561"/>
      <c r="AD8" s="561"/>
      <c r="AE8" s="561"/>
      <c r="AF8" s="561"/>
    </row>
    <row r="9" spans="1:32" ht="3" customHeight="1" x14ac:dyDescent="0.25">
      <c r="A9" s="327">
        <f t="shared" si="1"/>
        <v>1</v>
      </c>
      <c r="B9" s="328">
        <f>+'CALC MEC ESTAB Y ESTIM M FINAL'!B13</f>
        <v>1405</v>
      </c>
      <c r="C9" s="328" t="str">
        <f>+'CALC MEC ESTAB Y ESTIM M FINAL'!C13</f>
        <v>PICA</v>
      </c>
      <c r="D9" s="329">
        <f>+'CALC MEC ESTAB Y ESTIM M FINAL'!F13</f>
        <v>1.6808845946999999E-3</v>
      </c>
      <c r="E9" s="330">
        <f>+'CALC MEC ESTAB Y ESTIM M FINAL'!V13</f>
        <v>0</v>
      </c>
      <c r="F9" s="214"/>
      <c r="J9" s="201">
        <f>+COEF_FCM!A15</f>
        <v>1405</v>
      </c>
      <c r="K9" s="201">
        <f>+COEF_FCM!B15</f>
        <v>1203</v>
      </c>
      <c r="L9" s="201" t="str">
        <f>+COEF_FCM!C15</f>
        <v>PICA</v>
      </c>
      <c r="M9" s="201" t="str">
        <f>+COEF_FCM!P15</f>
        <v>SI</v>
      </c>
      <c r="N9" s="201">
        <f>+COEF_FCM!AA15</f>
        <v>67231</v>
      </c>
      <c r="O9" s="201">
        <f t="shared" si="2"/>
        <v>1</v>
      </c>
      <c r="R9" s="201">
        <v>2101</v>
      </c>
      <c r="S9" s="201">
        <v>2201</v>
      </c>
      <c r="T9" s="201" t="str">
        <v>ANTOFAGASTA</v>
      </c>
      <c r="U9" s="201" t="str">
        <v>SI</v>
      </c>
      <c r="V9" s="201">
        <v>271679</v>
      </c>
      <c r="W9" s="201">
        <v>1</v>
      </c>
      <c r="X9" s="201" t="str">
        <f t="shared" si="3"/>
        <v>Antofagasta</v>
      </c>
      <c r="AA9" s="561"/>
      <c r="AB9" s="561"/>
      <c r="AC9" s="561"/>
      <c r="AD9" s="561"/>
      <c r="AE9" s="561"/>
      <c r="AF9" s="561"/>
    </row>
    <row r="10" spans="1:32" ht="3" customHeight="1" x14ac:dyDescent="0.25">
      <c r="A10" s="327">
        <f t="shared" si="1"/>
        <v>2</v>
      </c>
      <c r="B10" s="328">
        <f>+'CALC MEC ESTAB Y ESTIM M FINAL'!B14</f>
        <v>2101</v>
      </c>
      <c r="C10" s="328" t="str">
        <f>+'CALC MEC ESTAB Y ESTIM M FINAL'!C14</f>
        <v>ANTOFAGASTA</v>
      </c>
      <c r="D10" s="329">
        <f>+'CALC MEC ESTAB Y ESTIM M FINAL'!F14</f>
        <v>6.6030988963000003E-3</v>
      </c>
      <c r="E10" s="330">
        <f>+'CALC MEC ESTAB Y ESTIM M FINAL'!V14</f>
        <v>2995580</v>
      </c>
      <c r="F10" s="214"/>
      <c r="J10" s="201">
        <f>+COEF_FCM!A16</f>
        <v>2101</v>
      </c>
      <c r="K10" s="201">
        <f>+COEF_FCM!B16</f>
        <v>2201</v>
      </c>
      <c r="L10" s="201" t="str">
        <f>+COEF_FCM!C16</f>
        <v>ANTOFAGASTA</v>
      </c>
      <c r="M10" s="201" t="str">
        <f>+COEF_FCM!P16</f>
        <v>SI</v>
      </c>
      <c r="N10" s="201">
        <f>+COEF_FCM!AA16</f>
        <v>271679</v>
      </c>
      <c r="O10" s="201">
        <f t="shared" si="2"/>
        <v>1</v>
      </c>
      <c r="R10" s="201">
        <v>2102</v>
      </c>
      <c r="S10" s="201">
        <v>2203</v>
      </c>
      <c r="T10" s="201" t="str">
        <v>MEJILLONES</v>
      </c>
      <c r="U10" s="201" t="str">
        <v>SI</v>
      </c>
      <c r="V10" s="201">
        <v>56361</v>
      </c>
      <c r="W10" s="201">
        <v>1</v>
      </c>
      <c r="X10" s="201" t="str">
        <f t="shared" si="3"/>
        <v>Mejillones</v>
      </c>
      <c r="AA10" s="561"/>
      <c r="AB10" s="561"/>
      <c r="AC10" s="561"/>
      <c r="AD10" s="561"/>
      <c r="AE10" s="561"/>
      <c r="AF10" s="561"/>
    </row>
    <row r="11" spans="1:32" ht="3" customHeight="1" x14ac:dyDescent="0.25">
      <c r="A11" s="327">
        <f t="shared" si="1"/>
        <v>2</v>
      </c>
      <c r="B11" s="328">
        <f>+'CALC MEC ESTAB Y ESTIM M FINAL'!B15</f>
        <v>2102</v>
      </c>
      <c r="C11" s="328" t="str">
        <f>+'CALC MEC ESTAB Y ESTIM M FINAL'!C15</f>
        <v>MEJILLONES</v>
      </c>
      <c r="D11" s="329">
        <f>+'CALC MEC ESTAB Y ESTIM M FINAL'!F15</f>
        <v>1.1389251768E-3</v>
      </c>
      <c r="E11" s="330">
        <f>+'CALC MEC ESTAB Y ESTIM M FINAL'!V15</f>
        <v>0</v>
      </c>
      <c r="F11" s="214"/>
      <c r="J11" s="201">
        <f>+COEF_FCM!A17</f>
        <v>2102</v>
      </c>
      <c r="K11" s="201">
        <f>+COEF_FCM!B17</f>
        <v>2203</v>
      </c>
      <c r="L11" s="201" t="str">
        <f>+COEF_FCM!C17</f>
        <v>MEJILLONES</v>
      </c>
      <c r="M11" s="201" t="str">
        <f>+COEF_FCM!P17</f>
        <v>SI</v>
      </c>
      <c r="N11" s="201">
        <f>+COEF_FCM!AA17</f>
        <v>56361</v>
      </c>
      <c r="O11" s="201">
        <f t="shared" si="2"/>
        <v>1</v>
      </c>
      <c r="R11" s="201">
        <v>2104</v>
      </c>
      <c r="S11" s="201">
        <v>2202</v>
      </c>
      <c r="T11" s="201" t="str">
        <v>TALTAL</v>
      </c>
      <c r="U11" s="201" t="str">
        <v>SI</v>
      </c>
      <c r="V11" s="201">
        <v>29201</v>
      </c>
      <c r="W11" s="201">
        <v>1</v>
      </c>
      <c r="X11" s="201" t="str">
        <f t="shared" si="3"/>
        <v>Taltal</v>
      </c>
      <c r="AA11" s="561"/>
      <c r="AB11" s="561"/>
      <c r="AC11" s="561"/>
      <c r="AD11" s="561"/>
      <c r="AE11" s="561"/>
      <c r="AF11" s="561"/>
    </row>
    <row r="12" spans="1:32" ht="3" customHeight="1" x14ac:dyDescent="0.25">
      <c r="A12" s="327">
        <f t="shared" si="1"/>
        <v>2</v>
      </c>
      <c r="B12" s="328">
        <f>+'CALC MEC ESTAB Y ESTIM M FINAL'!B16</f>
        <v>2103</v>
      </c>
      <c r="C12" s="328" t="str">
        <f>+'CALC MEC ESTAB Y ESTIM M FINAL'!C16</f>
        <v>SIERRA GORDA</v>
      </c>
      <c r="D12" s="329">
        <f>+'CALC MEC ESTAB Y ESTIM M FINAL'!F16</f>
        <v>7.8373893989999992E-4</v>
      </c>
      <c r="E12" s="330">
        <f>+'CALC MEC ESTAB Y ESTIM M FINAL'!V16</f>
        <v>0</v>
      </c>
      <c r="F12" s="214"/>
      <c r="J12" s="201">
        <f>+COEF_FCM!A18</f>
        <v>2103</v>
      </c>
      <c r="K12" s="201">
        <f>+COEF_FCM!B18</f>
        <v>2206</v>
      </c>
      <c r="L12" s="201" t="str">
        <f>+COEF_FCM!C18</f>
        <v>SIERRA GORDA</v>
      </c>
      <c r="M12" s="201" t="str">
        <f>+COEF_FCM!P18</f>
        <v>NO</v>
      </c>
      <c r="N12" s="201">
        <f>+COEF_FCM!AA18</f>
        <v>0</v>
      </c>
      <c r="O12" s="201">
        <f t="shared" si="2"/>
        <v>0</v>
      </c>
      <c r="R12" s="201">
        <v>2201</v>
      </c>
      <c r="S12" s="201">
        <v>2301</v>
      </c>
      <c r="T12" s="201" t="str">
        <v>CALAMA</v>
      </c>
      <c r="U12" s="201" t="str">
        <v>SI</v>
      </c>
      <c r="V12" s="201">
        <v>137776</v>
      </c>
      <c r="W12" s="201">
        <v>1</v>
      </c>
      <c r="X12" s="201" t="str">
        <f t="shared" si="3"/>
        <v>Calama</v>
      </c>
      <c r="AA12" s="561"/>
      <c r="AB12" s="561"/>
      <c r="AC12" s="561"/>
      <c r="AD12" s="561"/>
      <c r="AE12" s="561"/>
      <c r="AF12" s="561"/>
    </row>
    <row r="13" spans="1:32" ht="3" customHeight="1" x14ac:dyDescent="0.25">
      <c r="A13" s="327">
        <f t="shared" si="1"/>
        <v>2</v>
      </c>
      <c r="B13" s="328">
        <f>+'CALC MEC ESTAB Y ESTIM M FINAL'!B17</f>
        <v>2104</v>
      </c>
      <c r="C13" s="328" t="str">
        <f>+'CALC MEC ESTAB Y ESTIM M FINAL'!C17</f>
        <v>TALTAL</v>
      </c>
      <c r="D13" s="329">
        <f>+'CALC MEC ESTAB Y ESTIM M FINAL'!F17</f>
        <v>1.1521052167999999E-3</v>
      </c>
      <c r="E13" s="330">
        <f>+'CALC MEC ESTAB Y ESTIM M FINAL'!V17</f>
        <v>0</v>
      </c>
      <c r="F13" s="214"/>
      <c r="J13" s="201">
        <f>+COEF_FCM!A19</f>
        <v>2104</v>
      </c>
      <c r="K13" s="201">
        <f>+COEF_FCM!B19</f>
        <v>2202</v>
      </c>
      <c r="L13" s="201" t="str">
        <f>+COEF_FCM!C19</f>
        <v>TALTAL</v>
      </c>
      <c r="M13" s="201" t="str">
        <f>+COEF_FCM!P19</f>
        <v>SI</v>
      </c>
      <c r="N13" s="201">
        <f>+COEF_FCM!AA19</f>
        <v>29201</v>
      </c>
      <c r="O13" s="201">
        <f t="shared" si="2"/>
        <v>1</v>
      </c>
      <c r="R13" s="201">
        <v>2202</v>
      </c>
      <c r="S13" s="201">
        <v>2302</v>
      </c>
      <c r="T13" s="201" t="str">
        <v>OLLAGÜE</v>
      </c>
      <c r="U13" s="201" t="str">
        <v>SI</v>
      </c>
      <c r="V13" s="201">
        <v>1748</v>
      </c>
      <c r="W13" s="201">
        <v>1</v>
      </c>
      <c r="X13" s="201" t="str">
        <f t="shared" si="3"/>
        <v>Ollagüe</v>
      </c>
      <c r="AA13" s="561"/>
      <c r="AB13" s="561"/>
      <c r="AC13" s="561"/>
      <c r="AD13" s="561"/>
      <c r="AE13" s="561"/>
      <c r="AF13" s="561"/>
    </row>
    <row r="14" spans="1:32" ht="3" customHeight="1" x14ac:dyDescent="0.25">
      <c r="A14" s="327">
        <f t="shared" si="1"/>
        <v>2</v>
      </c>
      <c r="B14" s="328">
        <f>+'CALC MEC ESTAB Y ESTIM M FINAL'!B18</f>
        <v>2201</v>
      </c>
      <c r="C14" s="328" t="str">
        <f>+'CALC MEC ESTAB Y ESTIM M FINAL'!C18</f>
        <v>CALAMA</v>
      </c>
      <c r="D14" s="329">
        <f>+'CALC MEC ESTAB Y ESTIM M FINAL'!F18</f>
        <v>5.5304684913E-3</v>
      </c>
      <c r="E14" s="330">
        <f>+'CALC MEC ESTAB Y ESTIM M FINAL'!V18</f>
        <v>0</v>
      </c>
      <c r="F14" s="214"/>
      <c r="J14" s="201">
        <f>+COEF_FCM!A20</f>
        <v>2201</v>
      </c>
      <c r="K14" s="201">
        <f>+COEF_FCM!B20</f>
        <v>2301</v>
      </c>
      <c r="L14" s="201" t="str">
        <f>+COEF_FCM!C20</f>
        <v>CALAMA</v>
      </c>
      <c r="M14" s="201" t="str">
        <f>+COEF_FCM!P20</f>
        <v>SI</v>
      </c>
      <c r="N14" s="201">
        <f>+COEF_FCM!AA20</f>
        <v>137776</v>
      </c>
      <c r="O14" s="201">
        <f t="shared" si="2"/>
        <v>1</v>
      </c>
      <c r="R14" s="201">
        <v>2203</v>
      </c>
      <c r="S14" s="201">
        <v>2303</v>
      </c>
      <c r="T14" s="201" t="str">
        <v>SAN PEDRO DE ATACAMA</v>
      </c>
      <c r="U14" s="201" t="str">
        <v>SI</v>
      </c>
      <c r="V14" s="201">
        <v>84207</v>
      </c>
      <c r="W14" s="201">
        <v>1</v>
      </c>
      <c r="X14" s="201" t="str">
        <f t="shared" si="3"/>
        <v>San Pedro de Atacama</v>
      </c>
      <c r="AA14" s="561"/>
      <c r="AB14" s="561"/>
      <c r="AC14" s="561"/>
      <c r="AD14" s="561"/>
      <c r="AE14" s="561"/>
      <c r="AF14" s="561"/>
    </row>
    <row r="15" spans="1:32" ht="3" customHeight="1" x14ac:dyDescent="0.25">
      <c r="A15" s="327">
        <f t="shared" si="1"/>
        <v>2</v>
      </c>
      <c r="B15" s="328">
        <f>+'CALC MEC ESTAB Y ESTIM M FINAL'!B19</f>
        <v>2202</v>
      </c>
      <c r="C15" s="328" t="str">
        <f>+'CALC MEC ESTAB Y ESTIM M FINAL'!C19</f>
        <v>OLLAGÜE</v>
      </c>
      <c r="D15" s="329">
        <f>+'CALC MEC ESTAB Y ESTIM M FINAL'!F19</f>
        <v>7.3792099869999996E-4</v>
      </c>
      <c r="E15" s="330">
        <f>+'CALC MEC ESTAB Y ESTIM M FINAL'!V19</f>
        <v>94572</v>
      </c>
      <c r="F15" s="214"/>
      <c r="J15" s="201">
        <f>+COEF_FCM!A21</f>
        <v>2202</v>
      </c>
      <c r="K15" s="201">
        <f>+COEF_FCM!B21</f>
        <v>2302</v>
      </c>
      <c r="L15" s="201" t="str">
        <f>+COEF_FCM!C21</f>
        <v>OLLAGÜE</v>
      </c>
      <c r="M15" s="201" t="str">
        <f>+COEF_FCM!P21</f>
        <v>SI</v>
      </c>
      <c r="N15" s="201">
        <f>+COEF_FCM!AA21</f>
        <v>1748</v>
      </c>
      <c r="O15" s="201">
        <f t="shared" si="2"/>
        <v>1</v>
      </c>
      <c r="R15" s="201">
        <v>2301</v>
      </c>
      <c r="S15" s="201">
        <v>2101</v>
      </c>
      <c r="T15" s="201" t="str">
        <v>TOCOPILLA</v>
      </c>
      <c r="U15" s="201" t="str">
        <v>SI</v>
      </c>
      <c r="V15" s="201">
        <v>29592</v>
      </c>
      <c r="W15" s="201">
        <v>1</v>
      </c>
      <c r="X15" s="201" t="str">
        <f t="shared" si="3"/>
        <v>Tocopilla</v>
      </c>
      <c r="AA15" s="561"/>
      <c r="AB15" s="561"/>
      <c r="AC15" s="561"/>
      <c r="AD15" s="561"/>
      <c r="AE15" s="561"/>
      <c r="AF15" s="561"/>
    </row>
    <row r="16" spans="1:32" ht="3" customHeight="1" x14ac:dyDescent="0.25">
      <c r="A16" s="327">
        <f t="shared" si="1"/>
        <v>2</v>
      </c>
      <c r="B16" s="328">
        <f>+'CALC MEC ESTAB Y ESTIM M FINAL'!B20</f>
        <v>2203</v>
      </c>
      <c r="C16" s="328" t="str">
        <f>+'CALC MEC ESTAB Y ESTIM M FINAL'!C20</f>
        <v>SAN PEDRO DE ATACAMA</v>
      </c>
      <c r="D16" s="329">
        <f>+'CALC MEC ESTAB Y ESTIM M FINAL'!F20</f>
        <v>2.257144319E-3</v>
      </c>
      <c r="E16" s="330">
        <f>+'CALC MEC ESTAB Y ESTIM M FINAL'!V20</f>
        <v>1331238</v>
      </c>
      <c r="F16" s="214"/>
      <c r="J16" s="201">
        <f>+COEF_FCM!A22</f>
        <v>2203</v>
      </c>
      <c r="K16" s="201">
        <f>+COEF_FCM!B22</f>
        <v>2303</v>
      </c>
      <c r="L16" s="201" t="str">
        <f>+COEF_FCM!C22</f>
        <v>SAN PEDRO DE ATACAMA</v>
      </c>
      <c r="M16" s="201" t="str">
        <f>+COEF_FCM!P22</f>
        <v>SI</v>
      </c>
      <c r="N16" s="201">
        <f>+COEF_FCM!AA22</f>
        <v>84207</v>
      </c>
      <c r="O16" s="201">
        <f t="shared" si="2"/>
        <v>1</v>
      </c>
      <c r="R16" s="201">
        <v>2302</v>
      </c>
      <c r="S16" s="201">
        <v>2103</v>
      </c>
      <c r="T16" s="201" t="str">
        <v>MARÍA ELENA</v>
      </c>
      <c r="U16" s="201" t="str">
        <v>SI</v>
      </c>
      <c r="V16" s="201">
        <v>20651</v>
      </c>
      <c r="W16" s="201">
        <v>1</v>
      </c>
      <c r="X16" s="201" t="str">
        <f t="shared" si="3"/>
        <v>María Elena</v>
      </c>
      <c r="AA16" s="561"/>
      <c r="AB16" s="561"/>
      <c r="AC16" s="561"/>
      <c r="AD16" s="561"/>
      <c r="AE16" s="561"/>
      <c r="AF16" s="561"/>
    </row>
    <row r="17" spans="1:32" ht="3" customHeight="1" x14ac:dyDescent="0.25">
      <c r="A17" s="327">
        <f t="shared" si="1"/>
        <v>2</v>
      </c>
      <c r="B17" s="328">
        <f>+'CALC MEC ESTAB Y ESTIM M FINAL'!B21</f>
        <v>2301</v>
      </c>
      <c r="C17" s="328" t="str">
        <f>+'CALC MEC ESTAB Y ESTIM M FINAL'!C21</f>
        <v>TOCOPILLA</v>
      </c>
      <c r="D17" s="329">
        <f>+'CALC MEC ESTAB Y ESTIM M FINAL'!F21</f>
        <v>2.5825681232E-3</v>
      </c>
      <c r="E17" s="330">
        <f>+'CALC MEC ESTAB Y ESTIM M FINAL'!V21</f>
        <v>0</v>
      </c>
      <c r="F17" s="214"/>
      <c r="J17" s="201">
        <f>+COEF_FCM!A23</f>
        <v>2301</v>
      </c>
      <c r="K17" s="201">
        <f>+COEF_FCM!B23</f>
        <v>2101</v>
      </c>
      <c r="L17" s="201" t="str">
        <f>+COEF_FCM!C23</f>
        <v>TOCOPILLA</v>
      </c>
      <c r="M17" s="201" t="str">
        <f>+COEF_FCM!P23</f>
        <v>SI</v>
      </c>
      <c r="N17" s="201">
        <f>+COEF_FCM!AA23</f>
        <v>29592</v>
      </c>
      <c r="O17" s="201">
        <f t="shared" si="2"/>
        <v>1</v>
      </c>
      <c r="R17" s="201">
        <v>3101</v>
      </c>
      <c r="S17" s="201">
        <v>3201</v>
      </c>
      <c r="T17" s="201" t="str">
        <v>COPIAPÓ</v>
      </c>
      <c r="U17" s="201" t="str">
        <v>SI</v>
      </c>
      <c r="V17" s="201">
        <v>87402</v>
      </c>
      <c r="W17" s="201">
        <v>1</v>
      </c>
      <c r="X17" s="201" t="str">
        <f t="shared" si="3"/>
        <v>Copiapó</v>
      </c>
      <c r="AA17" s="561"/>
      <c r="AB17" s="561"/>
      <c r="AC17" s="561"/>
      <c r="AD17" s="561"/>
      <c r="AE17" s="561"/>
      <c r="AF17" s="561"/>
    </row>
    <row r="18" spans="1:32" ht="3" customHeight="1" x14ac:dyDescent="0.25">
      <c r="A18" s="327">
        <f t="shared" si="1"/>
        <v>2</v>
      </c>
      <c r="B18" s="328">
        <f>+'CALC MEC ESTAB Y ESTIM M FINAL'!B22</f>
        <v>2302</v>
      </c>
      <c r="C18" s="328" t="str">
        <f>+'CALC MEC ESTAB Y ESTIM M FINAL'!C22</f>
        <v>MARÍA ELENA</v>
      </c>
      <c r="D18" s="329">
        <f>+'CALC MEC ESTAB Y ESTIM M FINAL'!F22</f>
        <v>7.8278413350000003E-4</v>
      </c>
      <c r="E18" s="330">
        <f>+'CALC MEC ESTAB Y ESTIM M FINAL'!V22</f>
        <v>0</v>
      </c>
      <c r="F18" s="214"/>
      <c r="J18" s="201">
        <f>+COEF_FCM!A24</f>
        <v>2302</v>
      </c>
      <c r="K18" s="201">
        <f>+COEF_FCM!B24</f>
        <v>2103</v>
      </c>
      <c r="L18" s="201" t="str">
        <f>+COEF_FCM!C24</f>
        <v>MARÍA ELENA</v>
      </c>
      <c r="M18" s="201" t="str">
        <f>+COEF_FCM!P24</f>
        <v>SI</v>
      </c>
      <c r="N18" s="201">
        <f>+COEF_FCM!AA24</f>
        <v>20651</v>
      </c>
      <c r="O18" s="201">
        <f t="shared" si="2"/>
        <v>1</v>
      </c>
      <c r="R18" s="201">
        <v>3102</v>
      </c>
      <c r="S18" s="201">
        <v>3202</v>
      </c>
      <c r="T18" s="201" t="str">
        <v>CALDERA</v>
      </c>
      <c r="U18" s="201" t="str">
        <v>SI</v>
      </c>
      <c r="V18" s="201">
        <v>97450</v>
      </c>
      <c r="W18" s="201">
        <v>1</v>
      </c>
      <c r="X18" s="201" t="str">
        <f t="shared" si="3"/>
        <v>Caldera</v>
      </c>
      <c r="AA18" s="561"/>
      <c r="AB18" s="561"/>
      <c r="AC18" s="561"/>
      <c r="AD18" s="561"/>
      <c r="AE18" s="561"/>
      <c r="AF18" s="561"/>
    </row>
    <row r="19" spans="1:32" ht="3" customHeight="1" x14ac:dyDescent="0.25">
      <c r="A19" s="327">
        <f t="shared" si="1"/>
        <v>3</v>
      </c>
      <c r="B19" s="328">
        <f>+'CALC MEC ESTAB Y ESTIM M FINAL'!B23</f>
        <v>3101</v>
      </c>
      <c r="C19" s="328" t="str">
        <f>+'CALC MEC ESTAB Y ESTIM M FINAL'!C23</f>
        <v>COPIAPÓ</v>
      </c>
      <c r="D19" s="329">
        <f>+'CALC MEC ESTAB Y ESTIM M FINAL'!F23</f>
        <v>4.7529314079000004E-3</v>
      </c>
      <c r="E19" s="330">
        <f>+'CALC MEC ESTAB Y ESTIM M FINAL'!V23</f>
        <v>3142685</v>
      </c>
      <c r="F19" s="214"/>
      <c r="J19" s="201">
        <f>+COEF_FCM!A25</f>
        <v>3101</v>
      </c>
      <c r="K19" s="201">
        <f>+COEF_FCM!B25</f>
        <v>3201</v>
      </c>
      <c r="L19" s="201" t="str">
        <f>+COEF_FCM!C25</f>
        <v>COPIAPÓ</v>
      </c>
      <c r="M19" s="201" t="str">
        <f>+COEF_FCM!P25</f>
        <v>SI</v>
      </c>
      <c r="N19" s="201">
        <f>+COEF_FCM!AA25</f>
        <v>87402</v>
      </c>
      <c r="O19" s="201">
        <f t="shared" si="2"/>
        <v>1</v>
      </c>
      <c r="R19" s="201">
        <v>3103</v>
      </c>
      <c r="S19" s="201">
        <v>3203</v>
      </c>
      <c r="T19" s="201" t="str">
        <v>TIERRA AMARILLA</v>
      </c>
      <c r="U19" s="201" t="str">
        <v>SI</v>
      </c>
      <c r="V19" s="201">
        <v>14016</v>
      </c>
      <c r="W19" s="201">
        <v>1</v>
      </c>
      <c r="X19" s="201" t="str">
        <f t="shared" si="3"/>
        <v>Tierra Amarilla</v>
      </c>
      <c r="AA19" s="561"/>
      <c r="AB19" s="561"/>
      <c r="AC19" s="561"/>
      <c r="AD19" s="561"/>
      <c r="AE19" s="561"/>
      <c r="AF19" s="561"/>
    </row>
    <row r="20" spans="1:32" ht="3" customHeight="1" x14ac:dyDescent="0.25">
      <c r="A20" s="327">
        <f t="shared" si="1"/>
        <v>3</v>
      </c>
      <c r="B20" s="328">
        <f>+'CALC MEC ESTAB Y ESTIM M FINAL'!B24</f>
        <v>3102</v>
      </c>
      <c r="C20" s="328" t="str">
        <f>+'CALC MEC ESTAB Y ESTIM M FINAL'!C24</f>
        <v>CALDERA</v>
      </c>
      <c r="D20" s="329">
        <f>+'CALC MEC ESTAB Y ESTIM M FINAL'!F24</f>
        <v>4.2317975907E-3</v>
      </c>
      <c r="E20" s="330">
        <f>+'CALC MEC ESTAB Y ESTIM M FINAL'!V24</f>
        <v>0</v>
      </c>
      <c r="F20" s="214"/>
      <c r="J20" s="201">
        <f>+COEF_FCM!A26</f>
        <v>3102</v>
      </c>
      <c r="K20" s="201">
        <f>+COEF_FCM!B26</f>
        <v>3202</v>
      </c>
      <c r="L20" s="201" t="str">
        <f>+COEF_FCM!C26</f>
        <v>CALDERA</v>
      </c>
      <c r="M20" s="201" t="str">
        <f>+COEF_FCM!P26</f>
        <v>SI</v>
      </c>
      <c r="N20" s="201">
        <f>+COEF_FCM!AA26</f>
        <v>97450</v>
      </c>
      <c r="O20" s="201">
        <f t="shared" si="2"/>
        <v>1</v>
      </c>
      <c r="R20" s="201">
        <v>3201</v>
      </c>
      <c r="S20" s="201">
        <v>3101</v>
      </c>
      <c r="T20" s="201" t="str">
        <v>CHAÑARAL</v>
      </c>
      <c r="U20" s="201" t="str">
        <v>SI</v>
      </c>
      <c r="V20" s="201">
        <v>27721</v>
      </c>
      <c r="W20" s="201">
        <v>1</v>
      </c>
      <c r="X20" s="201" t="str">
        <f t="shared" si="3"/>
        <v>Chañaral</v>
      </c>
      <c r="AA20" s="561"/>
      <c r="AB20" s="561"/>
      <c r="AC20" s="561"/>
      <c r="AD20" s="561"/>
      <c r="AE20" s="561"/>
      <c r="AF20" s="561"/>
    </row>
    <row r="21" spans="1:32" ht="3" customHeight="1" x14ac:dyDescent="0.25">
      <c r="A21" s="327">
        <f t="shared" si="1"/>
        <v>3</v>
      </c>
      <c r="B21" s="328">
        <f>+'CALC MEC ESTAB Y ESTIM M FINAL'!B25</f>
        <v>3103</v>
      </c>
      <c r="C21" s="328" t="str">
        <f>+'CALC MEC ESTAB Y ESTIM M FINAL'!C25</f>
        <v>TIERRA AMARILLA</v>
      </c>
      <c r="D21" s="329">
        <f>+'CALC MEC ESTAB Y ESTIM M FINAL'!F25</f>
        <v>1.0339601286E-3</v>
      </c>
      <c r="E21" s="330">
        <f>+'CALC MEC ESTAB Y ESTIM M FINAL'!V25</f>
        <v>0</v>
      </c>
      <c r="F21" s="214"/>
      <c r="J21" s="201">
        <f>+COEF_FCM!A27</f>
        <v>3103</v>
      </c>
      <c r="K21" s="201">
        <f>+COEF_FCM!B27</f>
        <v>3203</v>
      </c>
      <c r="L21" s="201" t="str">
        <f>+COEF_FCM!C27</f>
        <v>TIERRA AMARILLA</v>
      </c>
      <c r="M21" s="201" t="str">
        <f>+COEF_FCM!P27</f>
        <v>SI</v>
      </c>
      <c r="N21" s="201">
        <f>+COEF_FCM!AA27</f>
        <v>14016</v>
      </c>
      <c r="O21" s="201">
        <f t="shared" si="2"/>
        <v>1</v>
      </c>
      <c r="R21" s="201">
        <v>3202</v>
      </c>
      <c r="S21" s="201">
        <v>3102</v>
      </c>
      <c r="T21" s="201" t="str">
        <v>DIEGO DE ALMAGRO</v>
      </c>
      <c r="U21" s="201" t="str">
        <v>SI</v>
      </c>
      <c r="V21" s="201">
        <v>23169</v>
      </c>
      <c r="W21" s="201">
        <v>1</v>
      </c>
      <c r="X21" s="201" t="str">
        <f t="shared" si="3"/>
        <v>Diego de Almagro</v>
      </c>
      <c r="AA21" s="561"/>
      <c r="AB21" s="561"/>
      <c r="AC21" s="561"/>
      <c r="AD21" s="561"/>
      <c r="AE21" s="561"/>
      <c r="AF21" s="561"/>
    </row>
    <row r="22" spans="1:32" ht="3" customHeight="1" x14ac:dyDescent="0.25">
      <c r="A22" s="327">
        <f t="shared" si="1"/>
        <v>3</v>
      </c>
      <c r="B22" s="328">
        <f>+'CALC MEC ESTAB Y ESTIM M FINAL'!B26</f>
        <v>3201</v>
      </c>
      <c r="C22" s="328" t="str">
        <f>+'CALC MEC ESTAB Y ESTIM M FINAL'!C26</f>
        <v>CHAÑARAL</v>
      </c>
      <c r="D22" s="329">
        <f>+'CALC MEC ESTAB Y ESTIM M FINAL'!F26</f>
        <v>1.5931253803E-3</v>
      </c>
      <c r="E22" s="330">
        <f>+'CALC MEC ESTAB Y ESTIM M FINAL'!V26</f>
        <v>0</v>
      </c>
      <c r="F22" s="214"/>
      <c r="J22" s="201">
        <f>+COEF_FCM!A28</f>
        <v>3201</v>
      </c>
      <c r="K22" s="201">
        <f>+COEF_FCM!B28</f>
        <v>3101</v>
      </c>
      <c r="L22" s="201" t="str">
        <f>+COEF_FCM!C28</f>
        <v>CHAÑARAL</v>
      </c>
      <c r="M22" s="201" t="str">
        <f>+COEF_FCM!P28</f>
        <v>SI</v>
      </c>
      <c r="N22" s="201">
        <f>+COEF_FCM!AA28</f>
        <v>27721</v>
      </c>
      <c r="O22" s="201">
        <f t="shared" si="2"/>
        <v>1</v>
      </c>
      <c r="R22" s="201">
        <v>3301</v>
      </c>
      <c r="S22" s="201">
        <v>3301</v>
      </c>
      <c r="T22" s="201" t="str">
        <v>VALLENAR</v>
      </c>
      <c r="U22" s="201" t="str">
        <v>SI</v>
      </c>
      <c r="V22" s="201">
        <v>57509</v>
      </c>
      <c r="W22" s="201">
        <v>1</v>
      </c>
      <c r="X22" s="201" t="str">
        <f t="shared" si="3"/>
        <v>Vallenar</v>
      </c>
      <c r="AA22" s="561"/>
      <c r="AB22" s="561"/>
      <c r="AC22" s="561"/>
      <c r="AD22" s="561"/>
      <c r="AE22" s="561"/>
      <c r="AF22" s="561"/>
    </row>
    <row r="23" spans="1:32" ht="3" customHeight="1" x14ac:dyDescent="0.25">
      <c r="A23" s="327">
        <f t="shared" si="1"/>
        <v>3</v>
      </c>
      <c r="B23" s="328">
        <f>+'CALC MEC ESTAB Y ESTIM M FINAL'!B27</f>
        <v>3202</v>
      </c>
      <c r="C23" s="328" t="str">
        <f>+'CALC MEC ESTAB Y ESTIM M FINAL'!C27</f>
        <v>DIEGO DE ALMAGRO</v>
      </c>
      <c r="D23" s="329">
        <f>+'CALC MEC ESTAB Y ESTIM M FINAL'!F27</f>
        <v>9.9839454279999993E-4</v>
      </c>
      <c r="E23" s="330">
        <f>+'CALC MEC ESTAB Y ESTIM M FINAL'!V27</f>
        <v>6149</v>
      </c>
      <c r="F23" s="214"/>
      <c r="J23" s="201">
        <f>+COEF_FCM!A29</f>
        <v>3202</v>
      </c>
      <c r="K23" s="201">
        <f>+COEF_FCM!B29</f>
        <v>3102</v>
      </c>
      <c r="L23" s="201" t="str">
        <f>+COEF_FCM!C29</f>
        <v>DIEGO DE ALMAGRO</v>
      </c>
      <c r="M23" s="201" t="str">
        <f>+COEF_FCM!P29</f>
        <v>SI</v>
      </c>
      <c r="N23" s="201">
        <f>+COEF_FCM!AA29</f>
        <v>23169</v>
      </c>
      <c r="O23" s="201">
        <f t="shared" si="2"/>
        <v>1</v>
      </c>
      <c r="R23" s="201">
        <v>3302</v>
      </c>
      <c r="S23" s="201">
        <v>3304</v>
      </c>
      <c r="T23" s="201" t="str">
        <v>ALTO DEL CARMEN</v>
      </c>
      <c r="U23" s="201" t="str">
        <v>SI</v>
      </c>
      <c r="V23" s="201">
        <v>8530</v>
      </c>
      <c r="W23" s="201">
        <v>1</v>
      </c>
      <c r="X23" s="201" t="str">
        <f t="shared" si="3"/>
        <v>Alto del Carmen</v>
      </c>
      <c r="AA23" s="561"/>
      <c r="AB23" s="561"/>
      <c r="AC23" s="561"/>
      <c r="AD23" s="561"/>
      <c r="AE23" s="561"/>
      <c r="AF23" s="561"/>
    </row>
    <row r="24" spans="1:32" ht="3" customHeight="1" x14ac:dyDescent="0.25">
      <c r="A24" s="327">
        <f t="shared" si="1"/>
        <v>3</v>
      </c>
      <c r="B24" s="328">
        <f>+'CALC MEC ESTAB Y ESTIM M FINAL'!B28</f>
        <v>3301</v>
      </c>
      <c r="C24" s="328" t="str">
        <f>+'CALC MEC ESTAB Y ESTIM M FINAL'!C28</f>
        <v>VALLENAR</v>
      </c>
      <c r="D24" s="329">
        <f>+'CALC MEC ESTAB Y ESTIM M FINAL'!F28</f>
        <v>4.3485102512999998E-3</v>
      </c>
      <c r="E24" s="330">
        <f>+'CALC MEC ESTAB Y ESTIM M FINAL'!V28</f>
        <v>0</v>
      </c>
      <c r="F24" s="214"/>
      <c r="J24" s="201">
        <f>+COEF_FCM!A30</f>
        <v>3301</v>
      </c>
      <c r="K24" s="201">
        <f>+COEF_FCM!B30</f>
        <v>3301</v>
      </c>
      <c r="L24" s="201" t="str">
        <f>+COEF_FCM!C30</f>
        <v>VALLENAR</v>
      </c>
      <c r="M24" s="201" t="str">
        <f>+COEF_FCM!P30</f>
        <v>SI</v>
      </c>
      <c r="N24" s="201">
        <f>+COEF_FCM!AA30</f>
        <v>57509</v>
      </c>
      <c r="O24" s="201">
        <f t="shared" si="2"/>
        <v>1</v>
      </c>
      <c r="R24" s="201">
        <v>3303</v>
      </c>
      <c r="S24" s="201">
        <v>3302</v>
      </c>
      <c r="T24" s="201" t="str">
        <v>FREIRINA</v>
      </c>
      <c r="U24" s="201" t="str">
        <v>SI</v>
      </c>
      <c r="V24" s="201">
        <v>6726</v>
      </c>
      <c r="W24" s="201">
        <v>1</v>
      </c>
      <c r="X24" s="201" t="str">
        <f t="shared" si="3"/>
        <v>Freirina</v>
      </c>
      <c r="AA24" s="561"/>
      <c r="AB24" s="561"/>
      <c r="AC24" s="561"/>
      <c r="AD24" s="561"/>
      <c r="AE24" s="561"/>
      <c r="AF24" s="561"/>
    </row>
    <row r="25" spans="1:32" ht="3" customHeight="1" x14ac:dyDescent="0.25">
      <c r="A25" s="327">
        <f t="shared" si="1"/>
        <v>3</v>
      </c>
      <c r="B25" s="328">
        <f>+'CALC MEC ESTAB Y ESTIM M FINAL'!B29</f>
        <v>3302</v>
      </c>
      <c r="C25" s="328" t="str">
        <f>+'CALC MEC ESTAB Y ESTIM M FINAL'!C29</f>
        <v>ALTO DEL CARMEN</v>
      </c>
      <c r="D25" s="329">
        <f>+'CALC MEC ESTAB Y ESTIM M FINAL'!F29</f>
        <v>1.0982444626999998E-3</v>
      </c>
      <c r="E25" s="330">
        <f>+'CALC MEC ESTAB Y ESTIM M FINAL'!V29</f>
        <v>0</v>
      </c>
      <c r="F25" s="214"/>
      <c r="J25" s="201">
        <f>+COEF_FCM!A31</f>
        <v>3302</v>
      </c>
      <c r="K25" s="201">
        <f>+COEF_FCM!B31</f>
        <v>3304</v>
      </c>
      <c r="L25" s="201" t="str">
        <f>+COEF_FCM!C31</f>
        <v>ALTO DEL CARMEN</v>
      </c>
      <c r="M25" s="201" t="str">
        <f>+COEF_FCM!P31</f>
        <v>SI</v>
      </c>
      <c r="N25" s="201">
        <f>+COEF_FCM!AA31</f>
        <v>8530</v>
      </c>
      <c r="O25" s="201">
        <f t="shared" si="2"/>
        <v>1</v>
      </c>
      <c r="R25" s="201">
        <v>3304</v>
      </c>
      <c r="S25" s="201">
        <v>3303</v>
      </c>
      <c r="T25" s="201" t="str">
        <v>HUASCO</v>
      </c>
      <c r="U25" s="201" t="str">
        <v>SI</v>
      </c>
      <c r="V25" s="201">
        <v>27148</v>
      </c>
      <c r="W25" s="201">
        <v>1</v>
      </c>
      <c r="X25" s="201" t="str">
        <f t="shared" si="3"/>
        <v>Huasco</v>
      </c>
      <c r="AA25" s="561"/>
      <c r="AB25" s="561"/>
      <c r="AC25" s="561"/>
      <c r="AD25" s="561"/>
      <c r="AE25" s="561"/>
      <c r="AF25" s="561"/>
    </row>
    <row r="26" spans="1:32" ht="3" customHeight="1" x14ac:dyDescent="0.25">
      <c r="A26" s="327">
        <f t="shared" si="1"/>
        <v>3</v>
      </c>
      <c r="B26" s="328">
        <f>+'CALC MEC ESTAB Y ESTIM M FINAL'!B30</f>
        <v>3303</v>
      </c>
      <c r="C26" s="328" t="str">
        <f>+'CALC MEC ESTAB Y ESTIM M FINAL'!C30</f>
        <v>FREIRINA</v>
      </c>
      <c r="D26" s="329">
        <f>+'CALC MEC ESTAB Y ESTIM M FINAL'!F30</f>
        <v>1.0675685584999998E-3</v>
      </c>
      <c r="E26" s="330">
        <f>+'CALC MEC ESTAB Y ESTIM M FINAL'!V30</f>
        <v>0</v>
      </c>
      <c r="F26" s="214"/>
      <c r="J26" s="201">
        <f>+COEF_FCM!A32</f>
        <v>3303</v>
      </c>
      <c r="K26" s="201">
        <f>+COEF_FCM!B32</f>
        <v>3302</v>
      </c>
      <c r="L26" s="201" t="str">
        <f>+COEF_FCM!C32</f>
        <v>FREIRINA</v>
      </c>
      <c r="M26" s="201" t="str">
        <f>+COEF_FCM!P32</f>
        <v>SI</v>
      </c>
      <c r="N26" s="201">
        <f>+COEF_FCM!AA32</f>
        <v>6726</v>
      </c>
      <c r="O26" s="201">
        <f t="shared" si="2"/>
        <v>1</v>
      </c>
      <c r="R26" s="201">
        <v>4102</v>
      </c>
      <c r="S26" s="201">
        <v>4103</v>
      </c>
      <c r="T26" s="201" t="str">
        <v>COQUIMBO</v>
      </c>
      <c r="U26" s="201" t="str">
        <v>SI</v>
      </c>
      <c r="V26" s="201">
        <v>353296</v>
      </c>
      <c r="W26" s="201">
        <v>1</v>
      </c>
      <c r="X26" s="201" t="str">
        <f t="shared" si="3"/>
        <v>Coquimbo</v>
      </c>
      <c r="AA26" s="561"/>
      <c r="AB26" s="561"/>
      <c r="AC26" s="561"/>
      <c r="AD26" s="561"/>
      <c r="AE26" s="561"/>
      <c r="AF26" s="561"/>
    </row>
    <row r="27" spans="1:32" ht="3" customHeight="1" x14ac:dyDescent="0.25">
      <c r="A27" s="327">
        <f t="shared" si="1"/>
        <v>3</v>
      </c>
      <c r="B27" s="328">
        <f>+'CALC MEC ESTAB Y ESTIM M FINAL'!B31</f>
        <v>3304</v>
      </c>
      <c r="C27" s="328" t="str">
        <f>+'CALC MEC ESTAB Y ESTIM M FINAL'!C31</f>
        <v>HUASCO</v>
      </c>
      <c r="D27" s="329">
        <f>+'CALC MEC ESTAB Y ESTIM M FINAL'!F31</f>
        <v>1.6927900738999998E-3</v>
      </c>
      <c r="E27" s="330">
        <f>+'CALC MEC ESTAB Y ESTIM M FINAL'!V31</f>
        <v>0</v>
      </c>
      <c r="F27" s="214"/>
      <c r="J27" s="201">
        <f>+COEF_FCM!A33</f>
        <v>3304</v>
      </c>
      <c r="K27" s="201">
        <f>+COEF_FCM!B33</f>
        <v>3303</v>
      </c>
      <c r="L27" s="201" t="str">
        <f>+COEF_FCM!C33</f>
        <v>HUASCO</v>
      </c>
      <c r="M27" s="201" t="str">
        <f>+COEF_FCM!P33</f>
        <v>SI</v>
      </c>
      <c r="N27" s="201">
        <f>+COEF_FCM!AA33</f>
        <v>27148</v>
      </c>
      <c r="O27" s="201">
        <f t="shared" si="2"/>
        <v>1</v>
      </c>
      <c r="R27" s="201">
        <v>4103</v>
      </c>
      <c r="S27" s="201">
        <v>4104</v>
      </c>
      <c r="T27" s="201" t="str">
        <v>ANDACOLLO</v>
      </c>
      <c r="U27" s="201" t="str">
        <v>SI</v>
      </c>
      <c r="V27" s="201">
        <v>12709</v>
      </c>
      <c r="W27" s="201">
        <v>1</v>
      </c>
      <c r="X27" s="201" t="str">
        <f t="shared" si="3"/>
        <v>Andacollo</v>
      </c>
      <c r="AA27" s="561"/>
      <c r="AB27" s="561"/>
      <c r="AC27" s="561"/>
      <c r="AD27" s="561"/>
      <c r="AE27" s="561"/>
      <c r="AF27" s="561"/>
    </row>
    <row r="28" spans="1:32" ht="3" customHeight="1" x14ac:dyDescent="0.25">
      <c r="A28" s="327">
        <f t="shared" si="1"/>
        <v>4</v>
      </c>
      <c r="B28" s="328">
        <f>+'CALC MEC ESTAB Y ESTIM M FINAL'!B32</f>
        <v>4101</v>
      </c>
      <c r="C28" s="328" t="str">
        <f>+'CALC MEC ESTAB Y ESTIM M FINAL'!C32</f>
        <v>LA SERENA</v>
      </c>
      <c r="D28" s="329">
        <f>+'CALC MEC ESTAB Y ESTIM M FINAL'!F32</f>
        <v>4.2805304101000002E-3</v>
      </c>
      <c r="E28" s="330">
        <f>+'CALC MEC ESTAB Y ESTIM M FINAL'!V32</f>
        <v>3469110</v>
      </c>
      <c r="F28" s="214"/>
      <c r="J28" s="201">
        <f>+COEF_FCM!A34</f>
        <v>4101</v>
      </c>
      <c r="K28" s="201">
        <f>+COEF_FCM!B34</f>
        <v>4101</v>
      </c>
      <c r="L28" s="201" t="str">
        <f>+COEF_FCM!C34</f>
        <v>LA SERENA</v>
      </c>
      <c r="M28" s="201" t="str">
        <f>+COEF_FCM!P34</f>
        <v>NO</v>
      </c>
      <c r="N28" s="201">
        <f>+COEF_FCM!AA34</f>
        <v>0</v>
      </c>
      <c r="O28" s="201">
        <f t="shared" si="2"/>
        <v>0</v>
      </c>
      <c r="R28" s="201">
        <v>4104</v>
      </c>
      <c r="S28" s="201">
        <v>4102</v>
      </c>
      <c r="T28" s="201" t="str">
        <v>LA HIGUERA</v>
      </c>
      <c r="U28" s="201" t="str">
        <v>SI</v>
      </c>
      <c r="V28" s="201">
        <v>29061</v>
      </c>
      <c r="W28" s="201">
        <v>1</v>
      </c>
      <c r="X28" s="201" t="str">
        <f t="shared" si="3"/>
        <v>La Higuera</v>
      </c>
      <c r="AA28" s="561"/>
      <c r="AB28" s="561"/>
      <c r="AC28" s="561"/>
      <c r="AD28" s="561"/>
      <c r="AE28" s="561"/>
      <c r="AF28" s="561"/>
    </row>
    <row r="29" spans="1:32" ht="3" customHeight="1" x14ac:dyDescent="0.25">
      <c r="A29" s="327">
        <f t="shared" si="1"/>
        <v>4</v>
      </c>
      <c r="B29" s="328">
        <f>+'CALC MEC ESTAB Y ESTIM M FINAL'!B33</f>
        <v>4102</v>
      </c>
      <c r="C29" s="328" t="str">
        <f>+'CALC MEC ESTAB Y ESTIM M FINAL'!C33</f>
        <v>COQUIMBO</v>
      </c>
      <c r="D29" s="329">
        <f>+'CALC MEC ESTAB Y ESTIM M FINAL'!F33</f>
        <v>1.2365458046400001E-2</v>
      </c>
      <c r="E29" s="330">
        <f>+'CALC MEC ESTAB Y ESTIM M FINAL'!V33</f>
        <v>0</v>
      </c>
      <c r="F29" s="214"/>
      <c r="J29" s="201">
        <f>+COEF_FCM!A35</f>
        <v>4102</v>
      </c>
      <c r="K29" s="201">
        <f>+COEF_FCM!B35</f>
        <v>4103</v>
      </c>
      <c r="L29" s="201" t="str">
        <f>+COEF_FCM!C35</f>
        <v>COQUIMBO</v>
      </c>
      <c r="M29" s="201" t="str">
        <f>+COEF_FCM!P35</f>
        <v>SI</v>
      </c>
      <c r="N29" s="201">
        <f>+COEF_FCM!AA35</f>
        <v>353296</v>
      </c>
      <c r="O29" s="201">
        <f t="shared" si="2"/>
        <v>1</v>
      </c>
      <c r="R29" s="201">
        <v>4105</v>
      </c>
      <c r="S29" s="201">
        <v>4106</v>
      </c>
      <c r="T29" s="201" t="str">
        <v>PAIGUANO</v>
      </c>
      <c r="U29" s="201" t="str">
        <v>SI</v>
      </c>
      <c r="V29" s="201">
        <v>25414</v>
      </c>
      <c r="W29" s="201">
        <v>1</v>
      </c>
      <c r="X29" s="201" t="str">
        <f t="shared" si="3"/>
        <v>Paiguano</v>
      </c>
      <c r="AA29" s="561"/>
      <c r="AB29" s="561"/>
      <c r="AC29" s="561"/>
      <c r="AD29" s="561"/>
      <c r="AE29" s="561"/>
      <c r="AF29" s="561"/>
    </row>
    <row r="30" spans="1:32" ht="3" customHeight="1" x14ac:dyDescent="0.25">
      <c r="A30" s="327">
        <f t="shared" si="1"/>
        <v>4</v>
      </c>
      <c r="B30" s="328">
        <f>+'CALC MEC ESTAB Y ESTIM M FINAL'!B34</f>
        <v>4103</v>
      </c>
      <c r="C30" s="328" t="str">
        <f>+'CALC MEC ESTAB Y ESTIM M FINAL'!C34</f>
        <v>ANDACOLLO</v>
      </c>
      <c r="D30" s="329">
        <f>+'CALC MEC ESTAB Y ESTIM M FINAL'!F34</f>
        <v>1.4634594166E-3</v>
      </c>
      <c r="E30" s="330">
        <f>+'CALC MEC ESTAB Y ESTIM M FINAL'!V34</f>
        <v>0</v>
      </c>
      <c r="F30" s="214"/>
      <c r="J30" s="201">
        <f>+COEF_FCM!A36</f>
        <v>4103</v>
      </c>
      <c r="K30" s="201">
        <f>+COEF_FCM!B36</f>
        <v>4104</v>
      </c>
      <c r="L30" s="201" t="str">
        <f>+COEF_FCM!C36</f>
        <v>ANDACOLLO</v>
      </c>
      <c r="M30" s="201" t="str">
        <f>+COEF_FCM!P36</f>
        <v>SI</v>
      </c>
      <c r="N30" s="201">
        <f>+COEF_FCM!AA36</f>
        <v>12709</v>
      </c>
      <c r="O30" s="201">
        <f t="shared" si="2"/>
        <v>1</v>
      </c>
      <c r="R30" s="201">
        <v>4106</v>
      </c>
      <c r="S30" s="201">
        <v>4105</v>
      </c>
      <c r="T30" s="201" t="str">
        <v>VICUÑA</v>
      </c>
      <c r="U30" s="201" t="str">
        <v>SI</v>
      </c>
      <c r="V30" s="201">
        <v>62550</v>
      </c>
      <c r="W30" s="201">
        <v>1</v>
      </c>
      <c r="X30" s="201" t="str">
        <f t="shared" si="3"/>
        <v>Vicuña</v>
      </c>
      <c r="AA30" s="561"/>
      <c r="AB30" s="561"/>
      <c r="AC30" s="561"/>
      <c r="AD30" s="561"/>
      <c r="AE30" s="561"/>
      <c r="AF30" s="561"/>
    </row>
    <row r="31" spans="1:32" ht="3" customHeight="1" x14ac:dyDescent="0.25">
      <c r="A31" s="327">
        <f t="shared" si="1"/>
        <v>4</v>
      </c>
      <c r="B31" s="328">
        <f>+'CALC MEC ESTAB Y ESTIM M FINAL'!B35</f>
        <v>4104</v>
      </c>
      <c r="C31" s="328" t="str">
        <f>+'CALC MEC ESTAB Y ESTIM M FINAL'!C35</f>
        <v>LA HIGUERA</v>
      </c>
      <c r="D31" s="329">
        <f>+'CALC MEC ESTAB Y ESTIM M FINAL'!F35</f>
        <v>1.5283578196999999E-3</v>
      </c>
      <c r="E31" s="330">
        <f>+'CALC MEC ESTAB Y ESTIM M FINAL'!V35</f>
        <v>0</v>
      </c>
      <c r="F31" s="214"/>
      <c r="J31" s="201">
        <f>+COEF_FCM!A37</f>
        <v>4104</v>
      </c>
      <c r="K31" s="201">
        <f>+COEF_FCM!B37</f>
        <v>4102</v>
      </c>
      <c r="L31" s="201" t="str">
        <f>+COEF_FCM!C37</f>
        <v>LA HIGUERA</v>
      </c>
      <c r="M31" s="201" t="str">
        <f>+COEF_FCM!P37</f>
        <v>SI</v>
      </c>
      <c r="N31" s="201">
        <f>+COEF_FCM!AA37</f>
        <v>29061</v>
      </c>
      <c r="O31" s="201">
        <f t="shared" si="2"/>
        <v>1</v>
      </c>
      <c r="R31" s="201">
        <v>4201</v>
      </c>
      <c r="S31" s="201">
        <v>4301</v>
      </c>
      <c r="T31" s="201" t="str">
        <v>ILLAPEL</v>
      </c>
      <c r="U31" s="201" t="str">
        <v>SI</v>
      </c>
      <c r="V31" s="201">
        <v>29584</v>
      </c>
      <c r="W31" s="201">
        <v>1</v>
      </c>
      <c r="X31" s="201" t="str">
        <f t="shared" si="3"/>
        <v>Illapel</v>
      </c>
      <c r="AA31" s="561"/>
      <c r="AB31" s="561"/>
      <c r="AC31" s="561"/>
      <c r="AD31" s="561"/>
      <c r="AE31" s="561"/>
      <c r="AF31" s="561"/>
    </row>
    <row r="32" spans="1:32" ht="3" customHeight="1" x14ac:dyDescent="0.25">
      <c r="A32" s="327">
        <f t="shared" si="1"/>
        <v>4</v>
      </c>
      <c r="B32" s="328">
        <f>+'CALC MEC ESTAB Y ESTIM M FINAL'!B36</f>
        <v>4105</v>
      </c>
      <c r="C32" s="328" t="str">
        <f>+'CALC MEC ESTAB Y ESTIM M FINAL'!C36</f>
        <v>PAIGUANO</v>
      </c>
      <c r="D32" s="329">
        <f>+'CALC MEC ESTAB Y ESTIM M FINAL'!F36</f>
        <v>1.2652333860999998E-3</v>
      </c>
      <c r="E32" s="330">
        <f>+'CALC MEC ESTAB Y ESTIM M FINAL'!V36</f>
        <v>0</v>
      </c>
      <c r="F32" s="214"/>
      <c r="J32" s="201">
        <f>+COEF_FCM!A38</f>
        <v>4105</v>
      </c>
      <c r="K32" s="201">
        <f>+COEF_FCM!B38</f>
        <v>4106</v>
      </c>
      <c r="L32" s="201" t="str">
        <f>+COEF_FCM!C38</f>
        <v>PAIGUANO</v>
      </c>
      <c r="M32" s="201" t="str">
        <f>+COEF_FCM!P38</f>
        <v>SI</v>
      </c>
      <c r="N32" s="201">
        <f>+COEF_FCM!AA38</f>
        <v>25414</v>
      </c>
      <c r="O32" s="201">
        <f t="shared" si="2"/>
        <v>1</v>
      </c>
      <c r="R32" s="201">
        <v>4202</v>
      </c>
      <c r="S32" s="201">
        <v>4304</v>
      </c>
      <c r="T32" s="201" t="str">
        <v>CANELA</v>
      </c>
      <c r="U32" s="201" t="str">
        <v>SI</v>
      </c>
      <c r="V32" s="201">
        <v>34714</v>
      </c>
      <c r="W32" s="201">
        <v>1</v>
      </c>
      <c r="X32" s="201" t="str">
        <f t="shared" si="3"/>
        <v>Canela</v>
      </c>
      <c r="AA32" s="561"/>
      <c r="AB32" s="561"/>
      <c r="AC32" s="561"/>
      <c r="AD32" s="561"/>
      <c r="AE32" s="561"/>
      <c r="AF32" s="561"/>
    </row>
    <row r="33" spans="1:32" ht="3" customHeight="1" x14ac:dyDescent="0.25">
      <c r="A33" s="327">
        <f t="shared" si="1"/>
        <v>4</v>
      </c>
      <c r="B33" s="328">
        <f>+'CALC MEC ESTAB Y ESTIM M FINAL'!B37</f>
        <v>4106</v>
      </c>
      <c r="C33" s="328" t="str">
        <f>+'CALC MEC ESTAB Y ESTIM M FINAL'!C37</f>
        <v>VICUÑA</v>
      </c>
      <c r="D33" s="329">
        <f>+'CALC MEC ESTAB Y ESTIM M FINAL'!F37</f>
        <v>3.9204895318E-3</v>
      </c>
      <c r="E33" s="330">
        <f>+'CALC MEC ESTAB Y ESTIM M FINAL'!V37</f>
        <v>0</v>
      </c>
      <c r="F33" s="214"/>
      <c r="J33" s="201">
        <f>+COEF_FCM!A39</f>
        <v>4106</v>
      </c>
      <c r="K33" s="201">
        <f>+COEF_FCM!B39</f>
        <v>4105</v>
      </c>
      <c r="L33" s="201" t="str">
        <f>+COEF_FCM!C39</f>
        <v>VICUÑA</v>
      </c>
      <c r="M33" s="201" t="str">
        <f>+COEF_FCM!P39</f>
        <v>SI</v>
      </c>
      <c r="N33" s="201">
        <f>+COEF_FCM!AA39</f>
        <v>62550</v>
      </c>
      <c r="O33" s="201">
        <f t="shared" si="2"/>
        <v>1</v>
      </c>
      <c r="R33" s="201">
        <v>4203</v>
      </c>
      <c r="S33" s="201">
        <v>4303</v>
      </c>
      <c r="T33" s="201" t="str">
        <v>LOS VILOS</v>
      </c>
      <c r="U33" s="201" t="str">
        <v>SI</v>
      </c>
      <c r="V33" s="201">
        <v>119467</v>
      </c>
      <c r="W33" s="201">
        <v>1</v>
      </c>
      <c r="X33" s="201" t="str">
        <f t="shared" si="3"/>
        <v>Los Vilos</v>
      </c>
      <c r="AA33" s="561"/>
      <c r="AB33" s="561"/>
      <c r="AC33" s="561"/>
      <c r="AD33" s="561"/>
      <c r="AE33" s="561"/>
      <c r="AF33" s="561"/>
    </row>
    <row r="34" spans="1:32" ht="3" customHeight="1" x14ac:dyDescent="0.25">
      <c r="A34" s="327">
        <f t="shared" si="1"/>
        <v>4</v>
      </c>
      <c r="B34" s="328">
        <f>+'CALC MEC ESTAB Y ESTIM M FINAL'!B38</f>
        <v>4201</v>
      </c>
      <c r="C34" s="328" t="str">
        <f>+'CALC MEC ESTAB Y ESTIM M FINAL'!C38</f>
        <v>ILLAPEL</v>
      </c>
      <c r="D34" s="329">
        <f>+'CALC MEC ESTAB Y ESTIM M FINAL'!F38</f>
        <v>2.9426147622999997E-3</v>
      </c>
      <c r="E34" s="330">
        <f>+'CALC MEC ESTAB Y ESTIM M FINAL'!V38</f>
        <v>0</v>
      </c>
      <c r="F34" s="214"/>
      <c r="J34" s="201">
        <f>+COEF_FCM!A40</f>
        <v>4201</v>
      </c>
      <c r="K34" s="201">
        <f>+COEF_FCM!B40</f>
        <v>4301</v>
      </c>
      <c r="L34" s="201" t="str">
        <f>+COEF_FCM!C40</f>
        <v>ILLAPEL</v>
      </c>
      <c r="M34" s="201" t="str">
        <f>+COEF_FCM!P40</f>
        <v>SI</v>
      </c>
      <c r="N34" s="201">
        <f>+COEF_FCM!AA40</f>
        <v>29584</v>
      </c>
      <c r="O34" s="201">
        <f t="shared" si="2"/>
        <v>1</v>
      </c>
      <c r="R34" s="201">
        <v>4204</v>
      </c>
      <c r="S34" s="201">
        <v>4302</v>
      </c>
      <c r="T34" s="201" t="str">
        <v>SALAMANCA</v>
      </c>
      <c r="U34" s="201" t="str">
        <v>SI</v>
      </c>
      <c r="V34" s="201">
        <v>41983</v>
      </c>
      <c r="W34" s="201">
        <v>1</v>
      </c>
      <c r="X34" s="201" t="str">
        <f t="shared" si="3"/>
        <v>Salamanca</v>
      </c>
    </row>
    <row r="35" spans="1:32" ht="3" customHeight="1" x14ac:dyDescent="0.25">
      <c r="A35" s="327">
        <f t="shared" si="1"/>
        <v>4</v>
      </c>
      <c r="B35" s="328">
        <f>+'CALC MEC ESTAB Y ESTIM M FINAL'!B39</f>
        <v>4202</v>
      </c>
      <c r="C35" s="328" t="str">
        <f>+'CALC MEC ESTAB Y ESTIM M FINAL'!C39</f>
        <v>CANELA</v>
      </c>
      <c r="D35" s="329">
        <f>+'CALC MEC ESTAB Y ESTIM M FINAL'!F39</f>
        <v>2.2312945272999997E-3</v>
      </c>
      <c r="E35" s="330">
        <f>+'CALC MEC ESTAB Y ESTIM M FINAL'!V39</f>
        <v>0</v>
      </c>
      <c r="F35" s="214"/>
      <c r="J35" s="201">
        <f>+COEF_FCM!A41</f>
        <v>4202</v>
      </c>
      <c r="K35" s="201">
        <f>+COEF_FCM!B41</f>
        <v>4304</v>
      </c>
      <c r="L35" s="201" t="str">
        <f>+COEF_FCM!C41</f>
        <v>CANELA</v>
      </c>
      <c r="M35" s="201" t="str">
        <f>+COEF_FCM!P41</f>
        <v>SI</v>
      </c>
      <c r="N35" s="201">
        <f>+COEF_FCM!AA41</f>
        <v>34714</v>
      </c>
      <c r="O35" s="201">
        <f t="shared" si="2"/>
        <v>1</v>
      </c>
      <c r="R35" s="201">
        <v>4301</v>
      </c>
      <c r="S35" s="201">
        <v>4201</v>
      </c>
      <c r="T35" s="201" t="str">
        <v>OVALLE</v>
      </c>
      <c r="U35" s="201" t="str">
        <v>SI</v>
      </c>
      <c r="V35" s="201">
        <v>92024</v>
      </c>
      <c r="W35" s="201">
        <v>1</v>
      </c>
      <c r="X35" s="201" t="str">
        <f t="shared" si="3"/>
        <v>Ovalle</v>
      </c>
    </row>
    <row r="36" spans="1:32" ht="3" customHeight="1" x14ac:dyDescent="0.25">
      <c r="A36" s="327">
        <f t="shared" si="1"/>
        <v>4</v>
      </c>
      <c r="B36" s="328">
        <f>+'CALC MEC ESTAB Y ESTIM M FINAL'!B40</f>
        <v>4203</v>
      </c>
      <c r="C36" s="328" t="str">
        <f>+'CALC MEC ESTAB Y ESTIM M FINAL'!C40</f>
        <v>LOS VILOS</v>
      </c>
      <c r="D36" s="329">
        <f>+'CALC MEC ESTAB Y ESTIM M FINAL'!F40</f>
        <v>5.3683452994999995E-3</v>
      </c>
      <c r="E36" s="330">
        <f>+'CALC MEC ESTAB Y ESTIM M FINAL'!V40</f>
        <v>0</v>
      </c>
      <c r="F36" s="214"/>
      <c r="J36" s="201">
        <f>+COEF_FCM!A42</f>
        <v>4203</v>
      </c>
      <c r="K36" s="201">
        <f>+COEF_FCM!B42</f>
        <v>4303</v>
      </c>
      <c r="L36" s="201" t="str">
        <f>+COEF_FCM!C42</f>
        <v>LOS VILOS</v>
      </c>
      <c r="M36" s="201" t="str">
        <f>+COEF_FCM!P42</f>
        <v>SI</v>
      </c>
      <c r="N36" s="201">
        <f>+COEF_FCM!AA42</f>
        <v>119467</v>
      </c>
      <c r="O36" s="201">
        <f t="shared" si="2"/>
        <v>1</v>
      </c>
      <c r="R36" s="201">
        <v>4302</v>
      </c>
      <c r="S36" s="201">
        <v>4205</v>
      </c>
      <c r="T36" s="201" t="str">
        <v>COMBARBALÁ</v>
      </c>
      <c r="U36" s="201" t="str">
        <v>SI</v>
      </c>
      <c r="V36" s="201">
        <v>15906</v>
      </c>
      <c r="W36" s="201">
        <v>1</v>
      </c>
      <c r="X36" s="201" t="str">
        <f t="shared" si="3"/>
        <v>Combarbalá</v>
      </c>
    </row>
    <row r="37" spans="1:32" ht="3" customHeight="1" x14ac:dyDescent="0.25">
      <c r="A37" s="327">
        <f t="shared" si="1"/>
        <v>4</v>
      </c>
      <c r="B37" s="328">
        <f>+'CALC MEC ESTAB Y ESTIM M FINAL'!B41</f>
        <v>4204</v>
      </c>
      <c r="C37" s="328" t="str">
        <f>+'CALC MEC ESTAB Y ESTIM M FINAL'!C41</f>
        <v>SALAMANCA</v>
      </c>
      <c r="D37" s="329">
        <f>+'CALC MEC ESTAB Y ESTIM M FINAL'!F41</f>
        <v>2.7171629085E-3</v>
      </c>
      <c r="E37" s="330">
        <f>+'CALC MEC ESTAB Y ESTIM M FINAL'!V41</f>
        <v>0</v>
      </c>
      <c r="F37" s="214"/>
      <c r="J37" s="201">
        <f>+COEF_FCM!A43</f>
        <v>4204</v>
      </c>
      <c r="K37" s="201">
        <f>+COEF_FCM!B43</f>
        <v>4302</v>
      </c>
      <c r="L37" s="201" t="str">
        <f>+COEF_FCM!C43</f>
        <v>SALAMANCA</v>
      </c>
      <c r="M37" s="201" t="str">
        <f>+COEF_FCM!P43</f>
        <v>SI</v>
      </c>
      <c r="N37" s="201">
        <f>+COEF_FCM!AA43</f>
        <v>41983</v>
      </c>
      <c r="O37" s="201">
        <f t="shared" si="2"/>
        <v>1</v>
      </c>
      <c r="R37" s="201">
        <v>4303</v>
      </c>
      <c r="S37" s="201">
        <v>4203</v>
      </c>
      <c r="T37" s="201" t="str">
        <v>MONTE PATRIA</v>
      </c>
      <c r="U37" s="201" t="str">
        <v>SI</v>
      </c>
      <c r="V37" s="201">
        <v>26642</v>
      </c>
      <c r="W37" s="201">
        <v>1</v>
      </c>
      <c r="X37" s="201" t="str">
        <f t="shared" si="3"/>
        <v>Monte Patria</v>
      </c>
    </row>
    <row r="38" spans="1:32" ht="3" customHeight="1" x14ac:dyDescent="0.25">
      <c r="A38" s="327">
        <f t="shared" si="1"/>
        <v>4</v>
      </c>
      <c r="B38" s="328">
        <f>+'CALC MEC ESTAB Y ESTIM M FINAL'!B42</f>
        <v>4301</v>
      </c>
      <c r="C38" s="328" t="str">
        <f>+'CALC MEC ESTAB Y ESTIM M FINAL'!C42</f>
        <v>OVALLE</v>
      </c>
      <c r="D38" s="329">
        <f>+'CALC MEC ESTAB Y ESTIM M FINAL'!F42</f>
        <v>8.1640494396000001E-3</v>
      </c>
      <c r="E38" s="330">
        <f>+'CALC MEC ESTAB Y ESTIM M FINAL'!V42</f>
        <v>0</v>
      </c>
      <c r="F38" s="214"/>
      <c r="J38" s="201">
        <f>+COEF_FCM!A44</f>
        <v>4301</v>
      </c>
      <c r="K38" s="201">
        <f>+COEF_FCM!B44</f>
        <v>4201</v>
      </c>
      <c r="L38" s="201" t="str">
        <f>+COEF_FCM!C44</f>
        <v>OVALLE</v>
      </c>
      <c r="M38" s="201" t="str">
        <f>+COEF_FCM!P44</f>
        <v>SI</v>
      </c>
      <c r="N38" s="201">
        <f>+COEF_FCM!AA44</f>
        <v>92024</v>
      </c>
      <c r="O38" s="201">
        <f t="shared" si="2"/>
        <v>1</v>
      </c>
      <c r="R38" s="201">
        <v>4304</v>
      </c>
      <c r="S38" s="201">
        <v>4204</v>
      </c>
      <c r="T38" s="201" t="str">
        <v>PUNITAQUI</v>
      </c>
      <c r="U38" s="201" t="str">
        <v>SI</v>
      </c>
      <c r="V38" s="201">
        <v>12857</v>
      </c>
      <c r="W38" s="201">
        <v>1</v>
      </c>
      <c r="X38" s="201" t="str">
        <f t="shared" si="3"/>
        <v>Punitaqui</v>
      </c>
    </row>
    <row r="39" spans="1:32" ht="3" customHeight="1" x14ac:dyDescent="0.25">
      <c r="A39" s="327">
        <f t="shared" si="1"/>
        <v>4</v>
      </c>
      <c r="B39" s="328">
        <f>+'CALC MEC ESTAB Y ESTIM M FINAL'!B43</f>
        <v>4302</v>
      </c>
      <c r="C39" s="328" t="str">
        <f>+'CALC MEC ESTAB Y ESTIM M FINAL'!C43</f>
        <v>COMBARBALÁ</v>
      </c>
      <c r="D39" s="329">
        <f>+'CALC MEC ESTAB Y ESTIM M FINAL'!F43</f>
        <v>2.1829226593999998E-3</v>
      </c>
      <c r="E39" s="330">
        <f>+'CALC MEC ESTAB Y ESTIM M FINAL'!V43</f>
        <v>0</v>
      </c>
      <c r="F39" s="214"/>
      <c r="J39" s="201">
        <f>+COEF_FCM!A45</f>
        <v>4302</v>
      </c>
      <c r="K39" s="201">
        <f>+COEF_FCM!B45</f>
        <v>4205</v>
      </c>
      <c r="L39" s="201" t="str">
        <f>+COEF_FCM!C45</f>
        <v>COMBARBALÁ</v>
      </c>
      <c r="M39" s="201" t="str">
        <f>+COEF_FCM!P45</f>
        <v>SI</v>
      </c>
      <c r="N39" s="201">
        <f>+COEF_FCM!AA45</f>
        <v>15906</v>
      </c>
      <c r="O39" s="201">
        <f t="shared" si="2"/>
        <v>1</v>
      </c>
      <c r="R39" s="201">
        <v>4305</v>
      </c>
      <c r="S39" s="201">
        <v>4206</v>
      </c>
      <c r="T39" s="201" t="str">
        <v>RÍO HURTADO</v>
      </c>
      <c r="U39" s="201" t="str">
        <v>SI</v>
      </c>
      <c r="V39" s="201">
        <v>13938</v>
      </c>
      <c r="W39" s="201">
        <v>1</v>
      </c>
      <c r="X39" s="201" t="str">
        <f t="shared" si="3"/>
        <v>Río Hurtado</v>
      </c>
    </row>
    <row r="40" spans="1:32" ht="3" customHeight="1" x14ac:dyDescent="0.25">
      <c r="A40" s="327">
        <f t="shared" si="1"/>
        <v>4</v>
      </c>
      <c r="B40" s="328">
        <f>+'CALC MEC ESTAB Y ESTIM M FINAL'!B44</f>
        <v>4303</v>
      </c>
      <c r="C40" s="328" t="str">
        <f>+'CALC MEC ESTAB Y ESTIM M FINAL'!C44</f>
        <v>MONTE PATRIA</v>
      </c>
      <c r="D40" s="329">
        <f>+'CALC MEC ESTAB Y ESTIM M FINAL'!F44</f>
        <v>3.5552917356999995E-3</v>
      </c>
      <c r="E40" s="330">
        <f>+'CALC MEC ESTAB Y ESTIM M FINAL'!V44</f>
        <v>0</v>
      </c>
      <c r="F40" s="214"/>
      <c r="J40" s="201">
        <f>+COEF_FCM!A46</f>
        <v>4303</v>
      </c>
      <c r="K40" s="201">
        <f>+COEF_FCM!B46</f>
        <v>4203</v>
      </c>
      <c r="L40" s="201" t="str">
        <f>+COEF_FCM!C46</f>
        <v>MONTE PATRIA</v>
      </c>
      <c r="M40" s="201" t="str">
        <f>+COEF_FCM!P46</f>
        <v>SI</v>
      </c>
      <c r="N40" s="201">
        <f>+COEF_FCM!AA46</f>
        <v>26642</v>
      </c>
      <c r="O40" s="201">
        <f t="shared" si="2"/>
        <v>1</v>
      </c>
      <c r="R40" s="201">
        <v>5101</v>
      </c>
      <c r="S40" s="201">
        <v>5301</v>
      </c>
      <c r="T40" s="201" t="str">
        <v>VALPARAÍSO</v>
      </c>
      <c r="U40" s="201" t="str">
        <v>SI</v>
      </c>
      <c r="V40" s="201">
        <v>256736</v>
      </c>
      <c r="W40" s="201">
        <v>1</v>
      </c>
      <c r="X40" s="201" t="str">
        <f t="shared" si="3"/>
        <v>Valparaíso</v>
      </c>
    </row>
    <row r="41" spans="1:32" ht="3" customHeight="1" x14ac:dyDescent="0.25">
      <c r="A41" s="327">
        <f t="shared" si="1"/>
        <v>4</v>
      </c>
      <c r="B41" s="328">
        <f>+'CALC MEC ESTAB Y ESTIM M FINAL'!B45</f>
        <v>4304</v>
      </c>
      <c r="C41" s="328" t="str">
        <f>+'CALC MEC ESTAB Y ESTIM M FINAL'!C45</f>
        <v>PUNITAQUI</v>
      </c>
      <c r="D41" s="329">
        <f>+'CALC MEC ESTAB Y ESTIM M FINAL'!F45</f>
        <v>1.787320059E-3</v>
      </c>
      <c r="E41" s="330">
        <f>+'CALC MEC ESTAB Y ESTIM M FINAL'!V45</f>
        <v>0</v>
      </c>
      <c r="F41" s="214"/>
      <c r="J41" s="201">
        <f>+COEF_FCM!A47</f>
        <v>4304</v>
      </c>
      <c r="K41" s="201">
        <f>+COEF_FCM!B47</f>
        <v>4204</v>
      </c>
      <c r="L41" s="201" t="str">
        <f>+COEF_FCM!C47</f>
        <v>PUNITAQUI</v>
      </c>
      <c r="M41" s="201" t="str">
        <f>+COEF_FCM!P47</f>
        <v>SI</v>
      </c>
      <c r="N41" s="201">
        <f>+COEF_FCM!AA47</f>
        <v>12857</v>
      </c>
      <c r="O41" s="201">
        <f t="shared" si="2"/>
        <v>1</v>
      </c>
      <c r="R41" s="201">
        <v>5104</v>
      </c>
      <c r="S41" s="201">
        <v>5308</v>
      </c>
      <c r="T41" s="201" t="str">
        <v>JUAN FERNÁNDEZ</v>
      </c>
      <c r="U41" s="201" t="str">
        <v>SI</v>
      </c>
      <c r="V41" s="201">
        <v>1279</v>
      </c>
      <c r="W41" s="201">
        <v>1</v>
      </c>
      <c r="X41" s="201" t="str">
        <f t="shared" si="3"/>
        <v>Juan Fernández</v>
      </c>
    </row>
    <row r="42" spans="1:32" ht="3" customHeight="1" x14ac:dyDescent="0.25">
      <c r="A42" s="327">
        <f t="shared" si="1"/>
        <v>4</v>
      </c>
      <c r="B42" s="328">
        <f>+'CALC MEC ESTAB Y ESTIM M FINAL'!B46</f>
        <v>4305</v>
      </c>
      <c r="C42" s="328" t="str">
        <f>+'CALC MEC ESTAB Y ESTIM M FINAL'!C46</f>
        <v>RÍO HURTADO</v>
      </c>
      <c r="D42" s="329">
        <f>+'CALC MEC ESTAB Y ESTIM M FINAL'!F46</f>
        <v>1.3949360636000001E-3</v>
      </c>
      <c r="E42" s="330">
        <f>+'CALC MEC ESTAB Y ESTIM M FINAL'!V46</f>
        <v>0</v>
      </c>
      <c r="F42" s="214"/>
      <c r="J42" s="201">
        <f>+COEF_FCM!A48</f>
        <v>4305</v>
      </c>
      <c r="K42" s="201">
        <f>+COEF_FCM!B48</f>
        <v>4206</v>
      </c>
      <c r="L42" s="201" t="str">
        <f>+COEF_FCM!C48</f>
        <v>RÍO HURTADO</v>
      </c>
      <c r="M42" s="201" t="str">
        <f>+COEF_FCM!P48</f>
        <v>SI</v>
      </c>
      <c r="N42" s="201">
        <f>+COEF_FCM!AA48</f>
        <v>13938</v>
      </c>
      <c r="O42" s="201">
        <f t="shared" si="2"/>
        <v>1</v>
      </c>
      <c r="R42" s="201">
        <v>5107</v>
      </c>
      <c r="S42" s="201">
        <v>5306</v>
      </c>
      <c r="T42" s="201" t="str">
        <v>QUINTERO</v>
      </c>
      <c r="U42" s="201" t="str">
        <v>SI</v>
      </c>
      <c r="V42" s="201">
        <v>124501</v>
      </c>
      <c r="W42" s="201">
        <v>1</v>
      </c>
      <c r="X42" s="201" t="str">
        <f t="shared" si="3"/>
        <v>Quintero</v>
      </c>
    </row>
    <row r="43" spans="1:32" ht="3" customHeight="1" x14ac:dyDescent="0.25">
      <c r="A43" s="327">
        <f t="shared" si="1"/>
        <v>5</v>
      </c>
      <c r="B43" s="328">
        <f>+'CALC MEC ESTAB Y ESTIM M FINAL'!B47</f>
        <v>5101</v>
      </c>
      <c r="C43" s="328" t="str">
        <f>+'CALC MEC ESTAB Y ESTIM M FINAL'!C47</f>
        <v>VALPARAÍSO</v>
      </c>
      <c r="D43" s="329">
        <f>+'CALC MEC ESTAB Y ESTIM M FINAL'!F47</f>
        <v>1.64346343247E-2</v>
      </c>
      <c r="E43" s="330">
        <f>+'CALC MEC ESTAB Y ESTIM M FINAL'!V47</f>
        <v>0</v>
      </c>
      <c r="F43" s="214"/>
      <c r="J43" s="201">
        <f>+COEF_FCM!A49</f>
        <v>5101</v>
      </c>
      <c r="K43" s="201">
        <f>+COEF_FCM!B49</f>
        <v>5301</v>
      </c>
      <c r="L43" s="201" t="str">
        <f>+COEF_FCM!C49</f>
        <v>VALPARAÍSO</v>
      </c>
      <c r="M43" s="201" t="str">
        <f>+COEF_FCM!P49</f>
        <v>SI</v>
      </c>
      <c r="N43" s="201">
        <f>+COEF_FCM!AA49</f>
        <v>256736</v>
      </c>
      <c r="O43" s="201">
        <f t="shared" si="2"/>
        <v>1</v>
      </c>
      <c r="R43" s="201">
        <v>5201</v>
      </c>
      <c r="S43" s="201">
        <v>5101</v>
      </c>
      <c r="T43" s="201" t="str">
        <v>ISLA DE PASCUA</v>
      </c>
      <c r="U43" s="201" t="str">
        <v>SI</v>
      </c>
      <c r="V43" s="201">
        <v>31743</v>
      </c>
      <c r="W43" s="201">
        <v>1</v>
      </c>
      <c r="X43" s="201" t="str">
        <f t="shared" si="3"/>
        <v>Isla de Pascua</v>
      </c>
    </row>
    <row r="44" spans="1:32" ht="3" customHeight="1" x14ac:dyDescent="0.25">
      <c r="A44" s="327">
        <f t="shared" si="1"/>
        <v>5</v>
      </c>
      <c r="B44" s="328">
        <f>+'CALC MEC ESTAB Y ESTIM M FINAL'!B48</f>
        <v>5102</v>
      </c>
      <c r="C44" s="328" t="str">
        <f>+'CALC MEC ESTAB Y ESTIM M FINAL'!C48</f>
        <v>CASABLANCA</v>
      </c>
      <c r="D44" s="329">
        <f>+'CALC MEC ESTAB Y ESTIM M FINAL'!F48</f>
        <v>1.2395388461000001E-3</v>
      </c>
      <c r="E44" s="330">
        <f>+'CALC MEC ESTAB Y ESTIM M FINAL'!V48</f>
        <v>0</v>
      </c>
      <c r="F44" s="214"/>
      <c r="J44" s="201">
        <f>+COEF_FCM!A50</f>
        <v>5102</v>
      </c>
      <c r="K44" s="201">
        <f>+COEF_FCM!B50</f>
        <v>5305</v>
      </c>
      <c r="L44" s="201" t="str">
        <f>+COEF_FCM!C50</f>
        <v>CASABLANCA</v>
      </c>
      <c r="M44" s="201" t="str">
        <f>+COEF_FCM!P50</f>
        <v>NO</v>
      </c>
      <c r="N44" s="201">
        <f>+COEF_FCM!AA50</f>
        <v>0</v>
      </c>
      <c r="O44" s="201">
        <f t="shared" si="2"/>
        <v>0</v>
      </c>
      <c r="R44" s="201">
        <v>5301</v>
      </c>
      <c r="S44" s="201">
        <v>5701</v>
      </c>
      <c r="T44" s="201" t="str">
        <v>LOS ANDES</v>
      </c>
      <c r="U44" s="201" t="str">
        <v>SI</v>
      </c>
      <c r="V44" s="201">
        <v>57188</v>
      </c>
      <c r="W44" s="201">
        <v>1</v>
      </c>
      <c r="X44" s="201" t="str">
        <f t="shared" si="3"/>
        <v>Los Andes</v>
      </c>
    </row>
    <row r="45" spans="1:32" ht="3" customHeight="1" x14ac:dyDescent="0.25">
      <c r="A45" s="327">
        <f t="shared" si="1"/>
        <v>5</v>
      </c>
      <c r="B45" s="328">
        <f>+'CALC MEC ESTAB Y ESTIM M FINAL'!B49</f>
        <v>5103</v>
      </c>
      <c r="C45" s="328" t="str">
        <f>+'CALC MEC ESTAB Y ESTIM M FINAL'!C49</f>
        <v>CONCÓN</v>
      </c>
      <c r="D45" s="329">
        <f>+'CALC MEC ESTAB Y ESTIM M FINAL'!F49</f>
        <v>9.3301419669999995E-4</v>
      </c>
      <c r="E45" s="330">
        <f>+'CALC MEC ESTAB Y ESTIM M FINAL'!V49</f>
        <v>0</v>
      </c>
      <c r="F45" s="214"/>
      <c r="J45" s="201">
        <f>+COEF_FCM!A51</f>
        <v>5103</v>
      </c>
      <c r="K45" s="201">
        <f>+COEF_FCM!B51</f>
        <v>5309</v>
      </c>
      <c r="L45" s="201" t="str">
        <f>+COEF_FCM!C51</f>
        <v>CONCÓN</v>
      </c>
      <c r="M45" s="201" t="str">
        <f>+COEF_FCM!P51</f>
        <v>NO</v>
      </c>
      <c r="N45" s="201">
        <f>+COEF_FCM!AA51</f>
        <v>0</v>
      </c>
      <c r="O45" s="201">
        <f t="shared" si="2"/>
        <v>0</v>
      </c>
      <c r="R45" s="201">
        <v>5302</v>
      </c>
      <c r="S45" s="201">
        <v>5702</v>
      </c>
      <c r="T45" s="201" t="str">
        <v>CALLE LARGA</v>
      </c>
      <c r="U45" s="201" t="str">
        <v>SI</v>
      </c>
      <c r="V45" s="201">
        <v>8753</v>
      </c>
      <c r="W45" s="201">
        <v>1</v>
      </c>
      <c r="X45" s="201" t="str">
        <f t="shared" si="3"/>
        <v>Calle Larga</v>
      </c>
    </row>
    <row r="46" spans="1:32" ht="3" customHeight="1" x14ac:dyDescent="0.25">
      <c r="A46" s="327">
        <f t="shared" si="1"/>
        <v>5</v>
      </c>
      <c r="B46" s="328">
        <f>+'CALC MEC ESTAB Y ESTIM M FINAL'!B50</f>
        <v>5104</v>
      </c>
      <c r="C46" s="328" t="str">
        <f>+'CALC MEC ESTAB Y ESTIM M FINAL'!C50</f>
        <v>JUAN FERNÁNDEZ</v>
      </c>
      <c r="D46" s="329">
        <f>+'CALC MEC ESTAB Y ESTIM M FINAL'!F50</f>
        <v>7.8309284159999997E-4</v>
      </c>
      <c r="E46" s="330">
        <f>+'CALC MEC ESTAB Y ESTIM M FINAL'!V50</f>
        <v>0</v>
      </c>
      <c r="F46" s="214"/>
      <c r="J46" s="201">
        <f>+COEF_FCM!A52</f>
        <v>5104</v>
      </c>
      <c r="K46" s="201">
        <f>+COEF_FCM!B52</f>
        <v>5308</v>
      </c>
      <c r="L46" s="201" t="str">
        <f>+COEF_FCM!C52</f>
        <v>JUAN FERNÁNDEZ</v>
      </c>
      <c r="M46" s="201" t="str">
        <f>+COEF_FCM!P52</f>
        <v>SI</v>
      </c>
      <c r="N46" s="201">
        <f>+COEF_FCM!AA52</f>
        <v>1279</v>
      </c>
      <c r="O46" s="201">
        <f t="shared" si="2"/>
        <v>1</v>
      </c>
      <c r="R46" s="201">
        <v>5304</v>
      </c>
      <c r="S46" s="201">
        <v>5703</v>
      </c>
      <c r="T46" s="201" t="str">
        <v>SAN ESTEBAN</v>
      </c>
      <c r="U46" s="201" t="str">
        <v>SI</v>
      </c>
      <c r="V46" s="201">
        <v>16239</v>
      </c>
      <c r="W46" s="201">
        <v>1</v>
      </c>
      <c r="X46" s="201" t="str">
        <f t="shared" si="3"/>
        <v>San Esteban</v>
      </c>
    </row>
    <row r="47" spans="1:32" ht="3" customHeight="1" x14ac:dyDescent="0.25">
      <c r="A47" s="327">
        <f t="shared" si="1"/>
        <v>5</v>
      </c>
      <c r="B47" s="328">
        <f>+'CALC MEC ESTAB Y ESTIM M FINAL'!B51</f>
        <v>5105</v>
      </c>
      <c r="C47" s="328" t="str">
        <f>+'CALC MEC ESTAB Y ESTIM M FINAL'!C51</f>
        <v>PUCHUNCAVÍ</v>
      </c>
      <c r="D47" s="329">
        <f>+'CALC MEC ESTAB Y ESTIM M FINAL'!F51</f>
        <v>1.0823682633000001E-3</v>
      </c>
      <c r="E47" s="330">
        <f>+'CALC MEC ESTAB Y ESTIM M FINAL'!V51</f>
        <v>0</v>
      </c>
      <c r="F47" s="214"/>
      <c r="J47" s="201">
        <f>+COEF_FCM!A53</f>
        <v>5105</v>
      </c>
      <c r="K47" s="201">
        <f>+COEF_FCM!B53</f>
        <v>5307</v>
      </c>
      <c r="L47" s="201" t="str">
        <f>+COEF_FCM!C53</f>
        <v>PUCHUNCAVÍ</v>
      </c>
      <c r="M47" s="201" t="str">
        <f>+COEF_FCM!P53</f>
        <v>NO</v>
      </c>
      <c r="N47" s="201">
        <f>+COEF_FCM!AA53</f>
        <v>0</v>
      </c>
      <c r="O47" s="201">
        <f t="shared" si="2"/>
        <v>0</v>
      </c>
      <c r="R47" s="201">
        <v>5401</v>
      </c>
      <c r="S47" s="201">
        <v>5201</v>
      </c>
      <c r="T47" s="201" t="str">
        <v>LA LIGUA</v>
      </c>
      <c r="U47" s="201" t="str">
        <v>SI</v>
      </c>
      <c r="V47" s="201">
        <v>95679</v>
      </c>
      <c r="W47" s="201">
        <v>1</v>
      </c>
      <c r="X47" s="201" t="str">
        <f t="shared" si="3"/>
        <v>La Ligua</v>
      </c>
    </row>
    <row r="48" spans="1:32" ht="3" customHeight="1" x14ac:dyDescent="0.25">
      <c r="A48" s="327">
        <f t="shared" si="1"/>
        <v>5</v>
      </c>
      <c r="B48" s="328">
        <f>+'CALC MEC ESTAB Y ESTIM M FINAL'!B52</f>
        <v>5107</v>
      </c>
      <c r="C48" s="328" t="str">
        <f>+'CALC MEC ESTAB Y ESTIM M FINAL'!C52</f>
        <v>QUINTERO</v>
      </c>
      <c r="D48" s="329">
        <f>+'CALC MEC ESTAB Y ESTIM M FINAL'!F52</f>
        <v>5.7572828316999995E-3</v>
      </c>
      <c r="E48" s="330">
        <f>+'CALC MEC ESTAB Y ESTIM M FINAL'!V52</f>
        <v>1690967</v>
      </c>
      <c r="F48" s="214"/>
      <c r="J48" s="201">
        <f>+COEF_FCM!A54</f>
        <v>5107</v>
      </c>
      <c r="K48" s="201">
        <f>+COEF_FCM!B54</f>
        <v>5306</v>
      </c>
      <c r="L48" s="201" t="str">
        <f>+COEF_FCM!C54</f>
        <v>QUINTERO</v>
      </c>
      <c r="M48" s="201" t="str">
        <f>+COEF_FCM!P54</f>
        <v>SI</v>
      </c>
      <c r="N48" s="201">
        <f>+COEF_FCM!AA54</f>
        <v>124501</v>
      </c>
      <c r="O48" s="201">
        <f t="shared" si="2"/>
        <v>1</v>
      </c>
      <c r="R48" s="201">
        <v>5402</v>
      </c>
      <c r="S48" s="201">
        <v>5203</v>
      </c>
      <c r="T48" s="201" t="str">
        <v>CABILDO</v>
      </c>
      <c r="U48" s="201" t="str">
        <v>SI</v>
      </c>
      <c r="V48" s="201">
        <v>13266</v>
      </c>
      <c r="W48" s="201">
        <v>1</v>
      </c>
      <c r="X48" s="201" t="str">
        <f t="shared" si="3"/>
        <v>Cabildo</v>
      </c>
    </row>
    <row r="49" spans="1:24" ht="3" customHeight="1" x14ac:dyDescent="0.25">
      <c r="A49" s="327">
        <f t="shared" si="1"/>
        <v>5</v>
      </c>
      <c r="B49" s="328">
        <f>+'CALC MEC ESTAB Y ESTIM M FINAL'!B53</f>
        <v>5109</v>
      </c>
      <c r="C49" s="328" t="str">
        <f>+'CALC MEC ESTAB Y ESTIM M FINAL'!C53</f>
        <v>VIÑA DEL MAR</v>
      </c>
      <c r="D49" s="329">
        <f>+'CALC MEC ESTAB Y ESTIM M FINAL'!F53</f>
        <v>5.2970879269000001E-3</v>
      </c>
      <c r="E49" s="330">
        <f>+'CALC MEC ESTAB Y ESTIM M FINAL'!V53</f>
        <v>0</v>
      </c>
      <c r="F49" s="214"/>
      <c r="J49" s="201">
        <f>+COEF_FCM!A55</f>
        <v>5109</v>
      </c>
      <c r="K49" s="201">
        <f>+COEF_FCM!B55</f>
        <v>5302</v>
      </c>
      <c r="L49" s="201" t="str">
        <f>+COEF_FCM!C55</f>
        <v>VIÑA DEL MAR</v>
      </c>
      <c r="M49" s="201" t="str">
        <f>+COEF_FCM!P55</f>
        <v>NO</v>
      </c>
      <c r="N49" s="201">
        <f>+COEF_FCM!AA55</f>
        <v>0</v>
      </c>
      <c r="O49" s="201">
        <f t="shared" si="2"/>
        <v>0</v>
      </c>
      <c r="R49" s="201">
        <v>5404</v>
      </c>
      <c r="S49" s="201">
        <v>5202</v>
      </c>
      <c r="T49" s="201" t="str">
        <v>PETORCA</v>
      </c>
      <c r="U49" s="201" t="str">
        <v>SI</v>
      </c>
      <c r="V49" s="201">
        <v>11608</v>
      </c>
      <c r="W49" s="201">
        <v>1</v>
      </c>
      <c r="X49" s="201" t="str">
        <f t="shared" si="3"/>
        <v>Petorca</v>
      </c>
    </row>
    <row r="50" spans="1:24" ht="3" customHeight="1" x14ac:dyDescent="0.25">
      <c r="A50" s="327">
        <f t="shared" si="1"/>
        <v>5</v>
      </c>
      <c r="B50" s="328">
        <f>+'CALC MEC ESTAB Y ESTIM M FINAL'!B54</f>
        <v>5201</v>
      </c>
      <c r="C50" s="328" t="str">
        <f>+'CALC MEC ESTAB Y ESTIM M FINAL'!C54</f>
        <v>ISLA DE PASCUA</v>
      </c>
      <c r="D50" s="329">
        <f>+'CALC MEC ESTAB Y ESTIM M FINAL'!F54</f>
        <v>2.1928367904999998E-3</v>
      </c>
      <c r="E50" s="330">
        <f>+'CALC MEC ESTAB Y ESTIM M FINAL'!V54</f>
        <v>0</v>
      </c>
      <c r="F50" s="214"/>
      <c r="J50" s="201">
        <f>+COEF_FCM!A56</f>
        <v>5201</v>
      </c>
      <c r="K50" s="201">
        <f>+COEF_FCM!B56</f>
        <v>5101</v>
      </c>
      <c r="L50" s="201" t="str">
        <f>+COEF_FCM!C56</f>
        <v>ISLA DE PASCUA</v>
      </c>
      <c r="M50" s="201" t="str">
        <f>+COEF_FCM!P56</f>
        <v>SI</v>
      </c>
      <c r="N50" s="201">
        <f>+COEF_FCM!AA56</f>
        <v>31743</v>
      </c>
      <c r="O50" s="201">
        <f t="shared" si="2"/>
        <v>1</v>
      </c>
      <c r="R50" s="201">
        <v>5501</v>
      </c>
      <c r="S50" s="201">
        <v>5501</v>
      </c>
      <c r="T50" s="201" t="str">
        <v>QUILLOTA</v>
      </c>
      <c r="U50" s="201" t="str">
        <v>SI</v>
      </c>
      <c r="V50" s="201">
        <v>32015</v>
      </c>
      <c r="W50" s="201">
        <v>1</v>
      </c>
      <c r="X50" s="201" t="str">
        <f t="shared" si="3"/>
        <v>Quillota</v>
      </c>
    </row>
    <row r="51" spans="1:24" ht="3" customHeight="1" x14ac:dyDescent="0.25">
      <c r="A51" s="327">
        <f t="shared" si="1"/>
        <v>5</v>
      </c>
      <c r="B51" s="328">
        <f>+'CALC MEC ESTAB Y ESTIM M FINAL'!B55</f>
        <v>5301</v>
      </c>
      <c r="C51" s="328" t="str">
        <f>+'CALC MEC ESTAB Y ESTIM M FINAL'!C55</f>
        <v>LOS ANDES</v>
      </c>
      <c r="D51" s="329">
        <f>+'CALC MEC ESTAB Y ESTIM M FINAL'!F55</f>
        <v>4.6656279228999998E-3</v>
      </c>
      <c r="E51" s="330">
        <f>+'CALC MEC ESTAB Y ESTIM M FINAL'!V55</f>
        <v>0</v>
      </c>
      <c r="F51" s="214"/>
      <c r="J51" s="201">
        <f>+COEF_FCM!A57</f>
        <v>5301</v>
      </c>
      <c r="K51" s="201">
        <f>+COEF_FCM!B57</f>
        <v>5701</v>
      </c>
      <c r="L51" s="201" t="str">
        <f>+COEF_FCM!C57</f>
        <v>LOS ANDES</v>
      </c>
      <c r="M51" s="201" t="str">
        <f>+COEF_FCM!P57</f>
        <v>SI</v>
      </c>
      <c r="N51" s="201">
        <f>+COEF_FCM!AA57</f>
        <v>57188</v>
      </c>
      <c r="O51" s="201">
        <f t="shared" si="2"/>
        <v>1</v>
      </c>
      <c r="R51" s="201">
        <v>5502</v>
      </c>
      <c r="S51" s="201">
        <v>5504</v>
      </c>
      <c r="T51" s="201" t="str">
        <v>CALERA</v>
      </c>
      <c r="U51" s="201" t="str">
        <v>SI</v>
      </c>
      <c r="V51" s="201">
        <v>15168</v>
      </c>
      <c r="W51" s="201">
        <v>1</v>
      </c>
      <c r="X51" s="201" t="str">
        <f t="shared" si="3"/>
        <v>Calera</v>
      </c>
    </row>
    <row r="52" spans="1:24" ht="3" customHeight="1" x14ac:dyDescent="0.25">
      <c r="A52" s="327">
        <f t="shared" si="1"/>
        <v>5</v>
      </c>
      <c r="B52" s="328">
        <f>+'CALC MEC ESTAB Y ESTIM M FINAL'!B56</f>
        <v>5302</v>
      </c>
      <c r="C52" s="328" t="str">
        <f>+'CALC MEC ESTAB Y ESTIM M FINAL'!C56</f>
        <v>CALLE LARGA</v>
      </c>
      <c r="D52" s="329">
        <f>+'CALC MEC ESTAB Y ESTIM M FINAL'!F56</f>
        <v>1.0876570388999999E-3</v>
      </c>
      <c r="E52" s="330">
        <f>+'CALC MEC ESTAB Y ESTIM M FINAL'!V56</f>
        <v>0</v>
      </c>
      <c r="F52" s="214"/>
      <c r="J52" s="201">
        <f>+COEF_FCM!A58</f>
        <v>5302</v>
      </c>
      <c r="K52" s="201">
        <f>+COEF_FCM!B58</f>
        <v>5702</v>
      </c>
      <c r="L52" s="201" t="str">
        <f>+COEF_FCM!C58</f>
        <v>CALLE LARGA</v>
      </c>
      <c r="M52" s="201" t="str">
        <f>+COEF_FCM!P58</f>
        <v>SI</v>
      </c>
      <c r="N52" s="201">
        <f>+COEF_FCM!AA58</f>
        <v>8753</v>
      </c>
      <c r="O52" s="201">
        <f t="shared" si="2"/>
        <v>1</v>
      </c>
      <c r="R52" s="201">
        <v>5503</v>
      </c>
      <c r="S52" s="201">
        <v>5503</v>
      </c>
      <c r="T52" s="201" t="str">
        <v>HIJUELAS</v>
      </c>
      <c r="U52" s="201" t="str">
        <v>SI</v>
      </c>
      <c r="V52" s="201">
        <v>17081</v>
      </c>
      <c r="W52" s="201">
        <v>1</v>
      </c>
      <c r="X52" s="201" t="str">
        <f t="shared" si="3"/>
        <v>Hijuelas</v>
      </c>
    </row>
    <row r="53" spans="1:24" ht="3" customHeight="1" x14ac:dyDescent="0.25">
      <c r="A53" s="327">
        <f t="shared" si="1"/>
        <v>5</v>
      </c>
      <c r="B53" s="328">
        <f>+'CALC MEC ESTAB Y ESTIM M FINAL'!B57</f>
        <v>5303</v>
      </c>
      <c r="C53" s="328" t="str">
        <f>+'CALC MEC ESTAB Y ESTIM M FINAL'!C57</f>
        <v>RINCONADA</v>
      </c>
      <c r="D53" s="329">
        <f>+'CALC MEC ESTAB Y ESTIM M FINAL'!F57</f>
        <v>9.7180654209999995E-4</v>
      </c>
      <c r="E53" s="330">
        <f>+'CALC MEC ESTAB Y ESTIM M FINAL'!V57</f>
        <v>0</v>
      </c>
      <c r="F53" s="214"/>
      <c r="J53" s="201">
        <f>+COEF_FCM!A59</f>
        <v>5303</v>
      </c>
      <c r="K53" s="201">
        <f>+COEF_FCM!B59</f>
        <v>5704</v>
      </c>
      <c r="L53" s="201" t="str">
        <f>+COEF_FCM!C59</f>
        <v>RINCONADA</v>
      </c>
      <c r="M53" s="201" t="str">
        <f>+COEF_FCM!P59</f>
        <v>NO</v>
      </c>
      <c r="N53" s="201">
        <f>+COEF_FCM!AA59</f>
        <v>0</v>
      </c>
      <c r="O53" s="201">
        <f t="shared" si="2"/>
        <v>0</v>
      </c>
      <c r="R53" s="201">
        <v>5504</v>
      </c>
      <c r="S53" s="201">
        <v>5505</v>
      </c>
      <c r="T53" s="201" t="str">
        <v>LA CRUZ</v>
      </c>
      <c r="U53" s="201" t="str">
        <v>SI</v>
      </c>
      <c r="V53" s="201">
        <v>8245</v>
      </c>
      <c r="W53" s="201">
        <v>1</v>
      </c>
      <c r="X53" s="201" t="str">
        <f t="shared" si="3"/>
        <v>La Cruz</v>
      </c>
    </row>
    <row r="54" spans="1:24" ht="3" customHeight="1" x14ac:dyDescent="0.25">
      <c r="A54" s="327">
        <f t="shared" si="1"/>
        <v>5</v>
      </c>
      <c r="B54" s="328">
        <f>+'CALC MEC ESTAB Y ESTIM M FINAL'!B58</f>
        <v>5304</v>
      </c>
      <c r="C54" s="328" t="str">
        <f>+'CALC MEC ESTAB Y ESTIM M FINAL'!C58</f>
        <v>SAN ESTEBAN</v>
      </c>
      <c r="D54" s="329">
        <f>+'CALC MEC ESTAB Y ESTIM M FINAL'!F58</f>
        <v>1.7360543605999998E-3</v>
      </c>
      <c r="E54" s="330">
        <f>+'CALC MEC ESTAB Y ESTIM M FINAL'!V58</f>
        <v>0</v>
      </c>
      <c r="F54" s="214"/>
      <c r="J54" s="201">
        <f>+COEF_FCM!A60</f>
        <v>5304</v>
      </c>
      <c r="K54" s="201">
        <f>+COEF_FCM!B60</f>
        <v>5703</v>
      </c>
      <c r="L54" s="201" t="str">
        <f>+COEF_FCM!C60</f>
        <v>SAN ESTEBAN</v>
      </c>
      <c r="M54" s="201" t="str">
        <f>+COEF_FCM!P60</f>
        <v>SI</v>
      </c>
      <c r="N54" s="201">
        <f>+COEF_FCM!AA60</f>
        <v>16239</v>
      </c>
      <c r="O54" s="201">
        <f t="shared" si="2"/>
        <v>1</v>
      </c>
      <c r="R54" s="201">
        <v>5506</v>
      </c>
      <c r="S54" s="201">
        <v>5502</v>
      </c>
      <c r="T54" s="201" t="str">
        <v>NOGALES</v>
      </c>
      <c r="U54" s="201" t="str">
        <v>SI</v>
      </c>
      <c r="V54" s="201">
        <v>12187</v>
      </c>
      <c r="W54" s="201">
        <v>1</v>
      </c>
      <c r="X54" s="201" t="str">
        <f t="shared" si="3"/>
        <v>Nogales</v>
      </c>
    </row>
    <row r="55" spans="1:24" ht="3" customHeight="1" x14ac:dyDescent="0.25">
      <c r="A55" s="327">
        <f t="shared" si="1"/>
        <v>5</v>
      </c>
      <c r="B55" s="328">
        <f>+'CALC MEC ESTAB Y ESTIM M FINAL'!B59</f>
        <v>5401</v>
      </c>
      <c r="C55" s="328" t="str">
        <f>+'CALC MEC ESTAB Y ESTIM M FINAL'!C59</f>
        <v>LA LIGUA</v>
      </c>
      <c r="D55" s="329">
        <f>+'CALC MEC ESTAB Y ESTIM M FINAL'!F59</f>
        <v>5.1423304400000005E-3</v>
      </c>
      <c r="E55" s="330">
        <f>+'CALC MEC ESTAB Y ESTIM M FINAL'!V59</f>
        <v>0</v>
      </c>
      <c r="F55" s="214"/>
      <c r="J55" s="201">
        <f>+COEF_FCM!A61</f>
        <v>5401</v>
      </c>
      <c r="K55" s="201">
        <f>+COEF_FCM!B61</f>
        <v>5201</v>
      </c>
      <c r="L55" s="201" t="str">
        <f>+COEF_FCM!C61</f>
        <v>LA LIGUA</v>
      </c>
      <c r="M55" s="201" t="str">
        <f>+COEF_FCM!P61</f>
        <v>SI</v>
      </c>
      <c r="N55" s="201">
        <f>+COEF_FCM!AA61</f>
        <v>95679</v>
      </c>
      <c r="O55" s="201">
        <f t="shared" si="2"/>
        <v>1</v>
      </c>
      <c r="R55" s="201">
        <v>5601</v>
      </c>
      <c r="S55" s="201">
        <v>5401</v>
      </c>
      <c r="T55" s="201" t="str">
        <v>SAN ANTONIO</v>
      </c>
      <c r="U55" s="201" t="str">
        <v>SI</v>
      </c>
      <c r="V55" s="201">
        <v>88881</v>
      </c>
      <c r="W55" s="201">
        <v>1</v>
      </c>
      <c r="X55" s="201" t="str">
        <f t="shared" si="3"/>
        <v>San Antonio</v>
      </c>
    </row>
    <row r="56" spans="1:24" ht="3" customHeight="1" x14ac:dyDescent="0.25">
      <c r="A56" s="327">
        <f t="shared" si="1"/>
        <v>5</v>
      </c>
      <c r="B56" s="328">
        <f>+'CALC MEC ESTAB Y ESTIM M FINAL'!B60</f>
        <v>5402</v>
      </c>
      <c r="C56" s="328" t="str">
        <f>+'CALC MEC ESTAB Y ESTIM M FINAL'!C60</f>
        <v>CABILDO</v>
      </c>
      <c r="D56" s="329">
        <f>+'CALC MEC ESTAB Y ESTIM M FINAL'!F60</f>
        <v>1.9136556924999998E-3</v>
      </c>
      <c r="E56" s="330">
        <f>+'CALC MEC ESTAB Y ESTIM M FINAL'!V60</f>
        <v>0</v>
      </c>
      <c r="F56" s="214"/>
      <c r="J56" s="201">
        <f>+COEF_FCM!A62</f>
        <v>5402</v>
      </c>
      <c r="K56" s="201">
        <f>+COEF_FCM!B62</f>
        <v>5203</v>
      </c>
      <c r="L56" s="201" t="str">
        <f>+COEF_FCM!C62</f>
        <v>CABILDO</v>
      </c>
      <c r="M56" s="201" t="str">
        <f>+COEF_FCM!P62</f>
        <v>SI</v>
      </c>
      <c r="N56" s="201">
        <f>+COEF_FCM!AA62</f>
        <v>13266</v>
      </c>
      <c r="O56" s="201">
        <f t="shared" si="2"/>
        <v>1</v>
      </c>
      <c r="R56" s="201">
        <v>5603</v>
      </c>
      <c r="S56" s="201">
        <v>5403</v>
      </c>
      <c r="T56" s="201" t="str">
        <v>CARTAGENA</v>
      </c>
      <c r="U56" s="201" t="str">
        <v>SI</v>
      </c>
      <c r="V56" s="201">
        <v>121407</v>
      </c>
      <c r="W56" s="201">
        <v>1</v>
      </c>
      <c r="X56" s="201" t="str">
        <f t="shared" si="3"/>
        <v>Cartagena</v>
      </c>
    </row>
    <row r="57" spans="1:24" ht="3" customHeight="1" x14ac:dyDescent="0.25">
      <c r="A57" s="327">
        <f t="shared" si="1"/>
        <v>5</v>
      </c>
      <c r="B57" s="328">
        <f>+'CALC MEC ESTAB Y ESTIM M FINAL'!B61</f>
        <v>5403</v>
      </c>
      <c r="C57" s="328" t="str">
        <f>+'CALC MEC ESTAB Y ESTIM M FINAL'!C61</f>
        <v>PAPUDO</v>
      </c>
      <c r="D57" s="329">
        <f>+'CALC MEC ESTAB Y ESTIM M FINAL'!F61</f>
        <v>8.3977310849999993E-4</v>
      </c>
      <c r="E57" s="330">
        <f>+'CALC MEC ESTAB Y ESTIM M FINAL'!V61</f>
        <v>0</v>
      </c>
      <c r="F57" s="214"/>
      <c r="J57" s="201">
        <f>+COEF_FCM!A63</f>
        <v>5403</v>
      </c>
      <c r="K57" s="201">
        <f>+COEF_FCM!B63</f>
        <v>5205</v>
      </c>
      <c r="L57" s="201" t="str">
        <f>+COEF_FCM!C63</f>
        <v>PAPUDO</v>
      </c>
      <c r="M57" s="201" t="str">
        <f>+COEF_FCM!P63</f>
        <v>NO</v>
      </c>
      <c r="N57" s="201">
        <f>+COEF_FCM!AA63</f>
        <v>0</v>
      </c>
      <c r="O57" s="201">
        <f t="shared" si="2"/>
        <v>0</v>
      </c>
      <c r="R57" s="201">
        <v>5604</v>
      </c>
      <c r="S57" s="201">
        <v>5405</v>
      </c>
      <c r="T57" s="201" t="str">
        <v>EL QUISCO</v>
      </c>
      <c r="U57" s="201" t="str">
        <v>SI</v>
      </c>
      <c r="V57" s="201">
        <v>230631</v>
      </c>
      <c r="W57" s="201">
        <v>1</v>
      </c>
      <c r="X57" s="201" t="str">
        <f t="shared" si="3"/>
        <v>El Quisco</v>
      </c>
    </row>
    <row r="58" spans="1:24" ht="3" customHeight="1" x14ac:dyDescent="0.25">
      <c r="A58" s="327">
        <f t="shared" si="1"/>
        <v>5</v>
      </c>
      <c r="B58" s="328">
        <f>+'CALC MEC ESTAB Y ESTIM M FINAL'!B62</f>
        <v>5404</v>
      </c>
      <c r="C58" s="328" t="str">
        <f>+'CALC MEC ESTAB Y ESTIM M FINAL'!C62</f>
        <v>PETORCA</v>
      </c>
      <c r="D58" s="329">
        <f>+'CALC MEC ESTAB Y ESTIM M FINAL'!F62</f>
        <v>1.3164872482999998E-3</v>
      </c>
      <c r="E58" s="330">
        <f>+'CALC MEC ESTAB Y ESTIM M FINAL'!V62</f>
        <v>0</v>
      </c>
      <c r="F58" s="214"/>
      <c r="J58" s="201">
        <f>+COEF_FCM!A64</f>
        <v>5404</v>
      </c>
      <c r="K58" s="201">
        <f>+COEF_FCM!B64</f>
        <v>5202</v>
      </c>
      <c r="L58" s="201" t="str">
        <f>+COEF_FCM!C64</f>
        <v>PETORCA</v>
      </c>
      <c r="M58" s="201" t="str">
        <f>+COEF_FCM!P64</f>
        <v>SI</v>
      </c>
      <c r="N58" s="201">
        <f>+COEF_FCM!AA64</f>
        <v>11608</v>
      </c>
      <c r="O58" s="201">
        <f t="shared" si="2"/>
        <v>1</v>
      </c>
      <c r="R58" s="201">
        <v>5605</v>
      </c>
      <c r="S58" s="201">
        <v>5404</v>
      </c>
      <c r="T58" s="201" t="str">
        <v>EL TABO</v>
      </c>
      <c r="U58" s="201" t="str">
        <v>SI</v>
      </c>
      <c r="V58" s="201">
        <v>260466</v>
      </c>
      <c r="W58" s="201">
        <v>1</v>
      </c>
      <c r="X58" s="201" t="str">
        <f t="shared" si="3"/>
        <v>El Tabo</v>
      </c>
    </row>
    <row r="59" spans="1:24" ht="3" customHeight="1" x14ac:dyDescent="0.25">
      <c r="A59" s="327">
        <f t="shared" si="1"/>
        <v>5</v>
      </c>
      <c r="B59" s="328">
        <f>+'CALC MEC ESTAB Y ESTIM M FINAL'!B63</f>
        <v>5405</v>
      </c>
      <c r="C59" s="328" t="str">
        <f>+'CALC MEC ESTAB Y ESTIM M FINAL'!C63</f>
        <v>ZAPALLAR</v>
      </c>
      <c r="D59" s="329">
        <f>+'CALC MEC ESTAB Y ESTIM M FINAL'!F63</f>
        <v>7.8789411909999997E-4</v>
      </c>
      <c r="E59" s="330">
        <f>+'CALC MEC ESTAB Y ESTIM M FINAL'!V63</f>
        <v>0</v>
      </c>
      <c r="F59" s="214"/>
      <c r="J59" s="201">
        <f>+COEF_FCM!A65</f>
        <v>5405</v>
      </c>
      <c r="K59" s="201">
        <f>+COEF_FCM!B65</f>
        <v>5204</v>
      </c>
      <c r="L59" s="201" t="str">
        <f>+COEF_FCM!C65</f>
        <v>ZAPALLAR</v>
      </c>
      <c r="M59" s="201" t="str">
        <f>+COEF_FCM!P65</f>
        <v>NO</v>
      </c>
      <c r="N59" s="201">
        <f>+COEF_FCM!AA65</f>
        <v>0</v>
      </c>
      <c r="O59" s="201">
        <f t="shared" si="2"/>
        <v>0</v>
      </c>
      <c r="R59" s="201">
        <v>5701</v>
      </c>
      <c r="S59" s="201">
        <v>5601</v>
      </c>
      <c r="T59" s="201" t="str">
        <v>SAN FELIPE</v>
      </c>
      <c r="U59" s="201" t="str">
        <v>SI</v>
      </c>
      <c r="V59" s="201">
        <v>27044</v>
      </c>
      <c r="W59" s="201">
        <v>1</v>
      </c>
      <c r="X59" s="201" t="str">
        <f t="shared" si="3"/>
        <v>San Felipe</v>
      </c>
    </row>
    <row r="60" spans="1:24" ht="3" customHeight="1" x14ac:dyDescent="0.25">
      <c r="A60" s="327">
        <f t="shared" si="1"/>
        <v>5</v>
      </c>
      <c r="B60" s="328">
        <f>+'CALC MEC ESTAB Y ESTIM M FINAL'!B64</f>
        <v>5501</v>
      </c>
      <c r="C60" s="328" t="str">
        <f>+'CALC MEC ESTAB Y ESTIM M FINAL'!C64</f>
        <v>QUILLOTA</v>
      </c>
      <c r="D60" s="329">
        <f>+'CALC MEC ESTAB Y ESTIM M FINAL'!F64</f>
        <v>4.9125323882999996E-3</v>
      </c>
      <c r="E60" s="330">
        <f>+'CALC MEC ESTAB Y ESTIM M FINAL'!V64</f>
        <v>0</v>
      </c>
      <c r="F60" s="214"/>
      <c r="J60" s="201">
        <f>+COEF_FCM!A66</f>
        <v>5501</v>
      </c>
      <c r="K60" s="201">
        <f>+COEF_FCM!B66</f>
        <v>5501</v>
      </c>
      <c r="L60" s="201" t="str">
        <f>+COEF_FCM!C66</f>
        <v>QUILLOTA</v>
      </c>
      <c r="M60" s="201" t="str">
        <f>+COEF_FCM!P66</f>
        <v>SI</v>
      </c>
      <c r="N60" s="201">
        <f>+COEF_FCM!AA66</f>
        <v>32015</v>
      </c>
      <c r="O60" s="201">
        <f t="shared" si="2"/>
        <v>1</v>
      </c>
      <c r="R60" s="201">
        <v>5702</v>
      </c>
      <c r="S60" s="201">
        <v>5603</v>
      </c>
      <c r="T60" s="201" t="str">
        <v>CATEMU</v>
      </c>
      <c r="U60" s="201" t="str">
        <v>SI</v>
      </c>
      <c r="V60" s="201">
        <v>7107</v>
      </c>
      <c r="W60" s="201">
        <v>1</v>
      </c>
      <c r="X60" s="201" t="str">
        <f t="shared" si="3"/>
        <v>Catemu</v>
      </c>
    </row>
    <row r="61" spans="1:24" ht="3" customHeight="1" x14ac:dyDescent="0.25">
      <c r="A61" s="327">
        <f t="shared" si="1"/>
        <v>5</v>
      </c>
      <c r="B61" s="328">
        <f>+'CALC MEC ESTAB Y ESTIM M FINAL'!B65</f>
        <v>5502</v>
      </c>
      <c r="C61" s="328" t="str">
        <f>+'CALC MEC ESTAB Y ESTIM M FINAL'!C65</f>
        <v>CALERA</v>
      </c>
      <c r="D61" s="329">
        <f>+'CALC MEC ESTAB Y ESTIM M FINAL'!F65</f>
        <v>3.0011270000000001E-3</v>
      </c>
      <c r="E61" s="330">
        <f>+'CALC MEC ESTAB Y ESTIM M FINAL'!V65</f>
        <v>0</v>
      </c>
      <c r="F61" s="214"/>
      <c r="J61" s="201">
        <f>+COEF_FCM!A67</f>
        <v>5502</v>
      </c>
      <c r="K61" s="201">
        <f>+COEF_FCM!B67</f>
        <v>5504</v>
      </c>
      <c r="L61" s="201" t="str">
        <f>+COEF_FCM!C67</f>
        <v>CALERA</v>
      </c>
      <c r="M61" s="201" t="str">
        <f>+COEF_FCM!P67</f>
        <v>SI</v>
      </c>
      <c r="N61" s="201">
        <f>+COEF_FCM!AA67</f>
        <v>15168</v>
      </c>
      <c r="O61" s="201">
        <f t="shared" si="2"/>
        <v>1</v>
      </c>
      <c r="R61" s="201">
        <v>5703</v>
      </c>
      <c r="S61" s="201">
        <v>5606</v>
      </c>
      <c r="T61" s="201" t="str">
        <v>LLAILLAY</v>
      </c>
      <c r="U61" s="201" t="str">
        <v>SI</v>
      </c>
      <c r="V61" s="201">
        <v>26679</v>
      </c>
      <c r="W61" s="201">
        <v>1</v>
      </c>
      <c r="X61" s="201" t="str">
        <f t="shared" si="3"/>
        <v>Llaillay</v>
      </c>
    </row>
    <row r="62" spans="1:24" ht="3" customHeight="1" x14ac:dyDescent="0.25">
      <c r="A62" s="327">
        <f t="shared" si="1"/>
        <v>5</v>
      </c>
      <c r="B62" s="328">
        <f>+'CALC MEC ESTAB Y ESTIM M FINAL'!B66</f>
        <v>5503</v>
      </c>
      <c r="C62" s="328" t="str">
        <f>+'CALC MEC ESTAB Y ESTIM M FINAL'!C66</f>
        <v>HIJUELAS</v>
      </c>
      <c r="D62" s="329">
        <f>+'CALC MEC ESTAB Y ESTIM M FINAL'!F66</f>
        <v>1.5758481016999999E-3</v>
      </c>
      <c r="E62" s="330">
        <f>+'CALC MEC ESTAB Y ESTIM M FINAL'!V66</f>
        <v>0</v>
      </c>
      <c r="F62" s="214"/>
      <c r="J62" s="201">
        <f>+COEF_FCM!A68</f>
        <v>5503</v>
      </c>
      <c r="K62" s="201">
        <f>+COEF_FCM!B68</f>
        <v>5503</v>
      </c>
      <c r="L62" s="201" t="str">
        <f>+COEF_FCM!C68</f>
        <v>HIJUELAS</v>
      </c>
      <c r="M62" s="201" t="str">
        <f>+COEF_FCM!P68</f>
        <v>SI</v>
      </c>
      <c r="N62" s="201">
        <f>+COEF_FCM!AA68</f>
        <v>17081</v>
      </c>
      <c r="O62" s="201">
        <f t="shared" si="2"/>
        <v>1</v>
      </c>
      <c r="R62" s="201">
        <v>5705</v>
      </c>
      <c r="S62" s="201">
        <v>5604</v>
      </c>
      <c r="T62" s="201" t="str">
        <v>PUTAENDO</v>
      </c>
      <c r="U62" s="201" t="str">
        <v>SI</v>
      </c>
      <c r="V62" s="201">
        <v>10978</v>
      </c>
      <c r="W62" s="201">
        <v>1</v>
      </c>
      <c r="X62" s="201" t="str">
        <f t="shared" si="3"/>
        <v>Putaendo</v>
      </c>
    </row>
    <row r="63" spans="1:24" ht="3" customHeight="1" x14ac:dyDescent="0.25">
      <c r="A63" s="327">
        <f t="shared" si="1"/>
        <v>5</v>
      </c>
      <c r="B63" s="328">
        <f>+'CALC MEC ESTAB Y ESTIM M FINAL'!B67</f>
        <v>5504</v>
      </c>
      <c r="C63" s="328" t="str">
        <f>+'CALC MEC ESTAB Y ESTIM M FINAL'!C67</f>
        <v>LA CRUZ</v>
      </c>
      <c r="D63" s="329">
        <f>+'CALC MEC ESTAB Y ESTIM M FINAL'!F67</f>
        <v>1.5442511086E-3</v>
      </c>
      <c r="E63" s="330">
        <f>+'CALC MEC ESTAB Y ESTIM M FINAL'!V67</f>
        <v>0</v>
      </c>
      <c r="F63" s="214"/>
      <c r="J63" s="201">
        <f>+COEF_FCM!A69</f>
        <v>5504</v>
      </c>
      <c r="K63" s="201">
        <f>+COEF_FCM!B69</f>
        <v>5505</v>
      </c>
      <c r="L63" s="201" t="str">
        <f>+COEF_FCM!C69</f>
        <v>LA CRUZ</v>
      </c>
      <c r="M63" s="201" t="str">
        <f>+COEF_FCM!P69</f>
        <v>SI</v>
      </c>
      <c r="N63" s="201">
        <f>+COEF_FCM!AA69</f>
        <v>8245</v>
      </c>
      <c r="O63" s="201">
        <f t="shared" si="2"/>
        <v>1</v>
      </c>
      <c r="R63" s="201">
        <v>5706</v>
      </c>
      <c r="S63" s="201">
        <v>5605</v>
      </c>
      <c r="T63" s="201" t="str">
        <v>SANTA MARÍA</v>
      </c>
      <c r="U63" s="201" t="str">
        <v>SI</v>
      </c>
      <c r="V63" s="201">
        <v>10272</v>
      </c>
      <c r="W63" s="201">
        <v>1</v>
      </c>
      <c r="X63" s="201" t="str">
        <f t="shared" si="3"/>
        <v>Santa María</v>
      </c>
    </row>
    <row r="64" spans="1:24" ht="3" customHeight="1" x14ac:dyDescent="0.25">
      <c r="A64" s="327">
        <f t="shared" si="1"/>
        <v>5</v>
      </c>
      <c r="B64" s="328">
        <f>+'CALC MEC ESTAB Y ESTIM M FINAL'!B68</f>
        <v>5506</v>
      </c>
      <c r="C64" s="328" t="str">
        <f>+'CALC MEC ESTAB Y ESTIM M FINAL'!C68</f>
        <v>NOGALES</v>
      </c>
      <c r="D64" s="329">
        <f>+'CALC MEC ESTAB Y ESTIM M FINAL'!F68</f>
        <v>1.6896458145E-3</v>
      </c>
      <c r="E64" s="330">
        <f>+'CALC MEC ESTAB Y ESTIM M FINAL'!V68</f>
        <v>0</v>
      </c>
      <c r="F64" s="214"/>
      <c r="J64" s="201">
        <f>+COEF_FCM!A70</f>
        <v>5506</v>
      </c>
      <c r="K64" s="201">
        <f>+COEF_FCM!B70</f>
        <v>5502</v>
      </c>
      <c r="L64" s="201" t="str">
        <f>+COEF_FCM!C70</f>
        <v>NOGALES</v>
      </c>
      <c r="M64" s="201" t="str">
        <f>+COEF_FCM!P70</f>
        <v>SI</v>
      </c>
      <c r="N64" s="201">
        <f>+COEF_FCM!AA70</f>
        <v>12187</v>
      </c>
      <c r="O64" s="201">
        <f t="shared" si="2"/>
        <v>1</v>
      </c>
      <c r="R64" s="201">
        <v>5801</v>
      </c>
      <c r="S64" s="201">
        <v>5304</v>
      </c>
      <c r="T64" s="201" t="str">
        <v>QUILPUÉ</v>
      </c>
      <c r="U64" s="201" t="str">
        <v>SI</v>
      </c>
      <c r="V64" s="201">
        <v>76755</v>
      </c>
      <c r="W64" s="201">
        <v>1</v>
      </c>
      <c r="X64" s="201" t="str">
        <f t="shared" si="3"/>
        <v>Quilpué</v>
      </c>
    </row>
    <row r="65" spans="1:24" ht="3" customHeight="1" x14ac:dyDescent="0.25">
      <c r="A65" s="327">
        <f t="shared" si="1"/>
        <v>5</v>
      </c>
      <c r="B65" s="328">
        <f>+'CALC MEC ESTAB Y ESTIM M FINAL'!B69</f>
        <v>5601</v>
      </c>
      <c r="C65" s="328" t="str">
        <f>+'CALC MEC ESTAB Y ESTIM M FINAL'!C69</f>
        <v>SAN ANTONIO</v>
      </c>
      <c r="D65" s="329">
        <f>+'CALC MEC ESTAB Y ESTIM M FINAL'!F69</f>
        <v>5.7598125402999996E-3</v>
      </c>
      <c r="E65" s="330">
        <f>+'CALC MEC ESTAB Y ESTIM M FINAL'!V69</f>
        <v>0</v>
      </c>
      <c r="F65" s="214"/>
      <c r="J65" s="201">
        <f>+COEF_FCM!A71</f>
        <v>5601</v>
      </c>
      <c r="K65" s="201">
        <f>+COEF_FCM!B71</f>
        <v>5401</v>
      </c>
      <c r="L65" s="201" t="str">
        <f>+COEF_FCM!C71</f>
        <v>SAN ANTONIO</v>
      </c>
      <c r="M65" s="201" t="str">
        <f>+COEF_FCM!P71</f>
        <v>SI</v>
      </c>
      <c r="N65" s="201">
        <f>+COEF_FCM!AA71</f>
        <v>88881</v>
      </c>
      <c r="O65" s="201">
        <f t="shared" si="2"/>
        <v>1</v>
      </c>
      <c r="R65" s="201">
        <v>5802</v>
      </c>
      <c r="S65" s="201">
        <v>5506</v>
      </c>
      <c r="T65" s="201" t="str">
        <v>LIMACHE</v>
      </c>
      <c r="U65" s="201" t="str">
        <v>SI</v>
      </c>
      <c r="V65" s="201">
        <v>23956</v>
      </c>
      <c r="W65" s="201">
        <v>1</v>
      </c>
      <c r="X65" s="201" t="str">
        <f t="shared" si="3"/>
        <v>Limache</v>
      </c>
    </row>
    <row r="66" spans="1:24" ht="3" customHeight="1" x14ac:dyDescent="0.25">
      <c r="A66" s="327">
        <f t="shared" si="1"/>
        <v>5</v>
      </c>
      <c r="B66" s="328">
        <f>+'CALC MEC ESTAB Y ESTIM M FINAL'!B70</f>
        <v>5602</v>
      </c>
      <c r="C66" s="328" t="str">
        <f>+'CALC MEC ESTAB Y ESTIM M FINAL'!C70</f>
        <v>ALGARROBO</v>
      </c>
      <c r="D66" s="329">
        <f>+'CALC MEC ESTAB Y ESTIM M FINAL'!F70</f>
        <v>9.5929743669999996E-4</v>
      </c>
      <c r="E66" s="330">
        <f>+'CALC MEC ESTAB Y ESTIM M FINAL'!V70</f>
        <v>0</v>
      </c>
      <c r="F66" s="214"/>
      <c r="J66" s="201">
        <f>+COEF_FCM!A72</f>
        <v>5602</v>
      </c>
      <c r="K66" s="201">
        <f>+COEF_FCM!B72</f>
        <v>5406</v>
      </c>
      <c r="L66" s="201" t="str">
        <f>+COEF_FCM!C72</f>
        <v>ALGARROBO</v>
      </c>
      <c r="M66" s="201" t="str">
        <f>+COEF_FCM!P72</f>
        <v>NO</v>
      </c>
      <c r="N66" s="201">
        <f>+COEF_FCM!AA72</f>
        <v>0</v>
      </c>
      <c r="O66" s="201">
        <f t="shared" si="2"/>
        <v>0</v>
      </c>
      <c r="R66" s="201">
        <v>5804</v>
      </c>
      <c r="S66" s="201">
        <v>5303</v>
      </c>
      <c r="T66" s="201" t="str">
        <v>VILLA ALEMANA</v>
      </c>
      <c r="U66" s="201" t="str">
        <v>SI</v>
      </c>
      <c r="V66" s="201">
        <v>36066</v>
      </c>
      <c r="W66" s="201">
        <v>1</v>
      </c>
      <c r="X66" s="201" t="str">
        <f t="shared" si="3"/>
        <v>Villa Alemana</v>
      </c>
    </row>
    <row r="67" spans="1:24" ht="3" customHeight="1" x14ac:dyDescent="0.25">
      <c r="A67" s="327">
        <f t="shared" si="1"/>
        <v>5</v>
      </c>
      <c r="B67" s="328">
        <f>+'CALC MEC ESTAB Y ESTIM M FINAL'!B71</f>
        <v>5603</v>
      </c>
      <c r="C67" s="328" t="str">
        <f>+'CALC MEC ESTAB Y ESTIM M FINAL'!C71</f>
        <v>CARTAGENA</v>
      </c>
      <c r="D67" s="329">
        <f>+'CALC MEC ESTAB Y ESTIM M FINAL'!F71</f>
        <v>6.0738851694000003E-3</v>
      </c>
      <c r="E67" s="330">
        <f>+'CALC MEC ESTAB Y ESTIM M FINAL'!V71</f>
        <v>0</v>
      </c>
      <c r="F67" s="214"/>
      <c r="J67" s="201">
        <f>+COEF_FCM!A73</f>
        <v>5603</v>
      </c>
      <c r="K67" s="201">
        <f>+COEF_FCM!B73</f>
        <v>5403</v>
      </c>
      <c r="L67" s="201" t="str">
        <f>+COEF_FCM!C73</f>
        <v>CARTAGENA</v>
      </c>
      <c r="M67" s="201" t="str">
        <f>+COEF_FCM!P73</f>
        <v>SI</v>
      </c>
      <c r="N67" s="201">
        <f>+COEF_FCM!AA73</f>
        <v>121407</v>
      </c>
      <c r="O67" s="201">
        <f t="shared" si="2"/>
        <v>1</v>
      </c>
      <c r="R67" s="201">
        <v>6101</v>
      </c>
      <c r="S67" s="201">
        <v>6101</v>
      </c>
      <c r="T67" s="201" t="str">
        <v>RANCAGUA</v>
      </c>
      <c r="U67" s="201" t="str">
        <v>SI</v>
      </c>
      <c r="V67" s="201">
        <v>125724</v>
      </c>
      <c r="W67" s="201">
        <v>1</v>
      </c>
      <c r="X67" s="201" t="str">
        <f t="shared" si="3"/>
        <v>Rancagua</v>
      </c>
    </row>
    <row r="68" spans="1:24" ht="3" customHeight="1" x14ac:dyDescent="0.25">
      <c r="A68" s="327">
        <f t="shared" ref="A68:A131" si="4">INT(B68/1000)</f>
        <v>5</v>
      </c>
      <c r="B68" s="328">
        <f>+'CALC MEC ESTAB Y ESTIM M FINAL'!B72</f>
        <v>5604</v>
      </c>
      <c r="C68" s="328" t="str">
        <f>+'CALC MEC ESTAB Y ESTIM M FINAL'!C72</f>
        <v>EL QUISCO</v>
      </c>
      <c r="D68" s="329">
        <f>+'CALC MEC ESTAB Y ESTIM M FINAL'!F72</f>
        <v>9.0897504326999997E-3</v>
      </c>
      <c r="E68" s="330">
        <f>+'CALC MEC ESTAB Y ESTIM M FINAL'!V72</f>
        <v>0</v>
      </c>
      <c r="F68" s="214"/>
      <c r="J68" s="201">
        <f>+COEF_FCM!A74</f>
        <v>5604</v>
      </c>
      <c r="K68" s="201">
        <f>+COEF_FCM!B74</f>
        <v>5405</v>
      </c>
      <c r="L68" s="201" t="str">
        <f>+COEF_FCM!C74</f>
        <v>EL QUISCO</v>
      </c>
      <c r="M68" s="201" t="str">
        <f>+COEF_FCM!P74</f>
        <v>SI</v>
      </c>
      <c r="N68" s="201">
        <f>+COEF_FCM!AA74</f>
        <v>230631</v>
      </c>
      <c r="O68" s="201">
        <f t="shared" ref="O68:O131" si="5">IF(AND(M68="SI",N68&gt;0),1,0)</f>
        <v>1</v>
      </c>
      <c r="R68" s="201">
        <v>6103</v>
      </c>
      <c r="S68" s="201">
        <v>6116</v>
      </c>
      <c r="T68" s="201" t="str">
        <v>COINCO</v>
      </c>
      <c r="U68" s="201" t="str">
        <v>SI</v>
      </c>
      <c r="V68" s="201">
        <v>4647</v>
      </c>
      <c r="W68" s="201">
        <v>1</v>
      </c>
      <c r="X68" s="201" t="str">
        <f t="shared" ref="X68:X131" si="6">SUBSTITUTE(SUBSTITUTE(SUBSTITUTE(PROPER(T68)," De "," de ",1)," Del "," del ",1)," La "," la ",1)</f>
        <v>Coinco</v>
      </c>
    </row>
    <row r="69" spans="1:24" ht="3" customHeight="1" x14ac:dyDescent="0.25">
      <c r="A69" s="327">
        <f t="shared" si="4"/>
        <v>5</v>
      </c>
      <c r="B69" s="328">
        <f>+'CALC MEC ESTAB Y ESTIM M FINAL'!B73</f>
        <v>5605</v>
      </c>
      <c r="C69" s="328" t="str">
        <f>+'CALC MEC ESTAB Y ESTIM M FINAL'!C73</f>
        <v>EL TABO</v>
      </c>
      <c r="D69" s="329">
        <f>+'CALC MEC ESTAB Y ESTIM M FINAL'!F73</f>
        <v>1.0296521052200001E-2</v>
      </c>
      <c r="E69" s="330">
        <f>+'CALC MEC ESTAB Y ESTIM M FINAL'!V73</f>
        <v>0</v>
      </c>
      <c r="F69" s="214"/>
      <c r="J69" s="201">
        <f>+COEF_FCM!A75</f>
        <v>5605</v>
      </c>
      <c r="K69" s="201">
        <f>+COEF_FCM!B75</f>
        <v>5404</v>
      </c>
      <c r="L69" s="201" t="str">
        <f>+COEF_FCM!C75</f>
        <v>EL TABO</v>
      </c>
      <c r="M69" s="201" t="str">
        <f>+COEF_FCM!P75</f>
        <v>SI</v>
      </c>
      <c r="N69" s="201">
        <f>+COEF_FCM!AA75</f>
        <v>260466</v>
      </c>
      <c r="O69" s="201">
        <f t="shared" si="5"/>
        <v>1</v>
      </c>
      <c r="R69" s="201">
        <v>6104</v>
      </c>
      <c r="S69" s="201">
        <v>6106</v>
      </c>
      <c r="T69" s="201" t="str">
        <v>COLTAUCO</v>
      </c>
      <c r="U69" s="201" t="str">
        <v>SI</v>
      </c>
      <c r="V69" s="201">
        <v>11089</v>
      </c>
      <c r="W69" s="201">
        <v>1</v>
      </c>
      <c r="X69" s="201" t="str">
        <f t="shared" si="6"/>
        <v>Coltauco</v>
      </c>
    </row>
    <row r="70" spans="1:24" ht="3" customHeight="1" x14ac:dyDescent="0.25">
      <c r="A70" s="327">
        <f t="shared" si="4"/>
        <v>5</v>
      </c>
      <c r="B70" s="328">
        <f>+'CALC MEC ESTAB Y ESTIM M FINAL'!B74</f>
        <v>5606</v>
      </c>
      <c r="C70" s="328" t="str">
        <f>+'CALC MEC ESTAB Y ESTIM M FINAL'!C74</f>
        <v>SANTO DOMINGO</v>
      </c>
      <c r="D70" s="329">
        <f>+'CALC MEC ESTAB Y ESTIM M FINAL'!F74</f>
        <v>1.0024095685E-3</v>
      </c>
      <c r="E70" s="330">
        <f>+'CALC MEC ESTAB Y ESTIM M FINAL'!V74</f>
        <v>0</v>
      </c>
      <c r="F70" s="214"/>
      <c r="J70" s="201">
        <f>+COEF_FCM!A76</f>
        <v>5606</v>
      </c>
      <c r="K70" s="201">
        <f>+COEF_FCM!B76</f>
        <v>5402</v>
      </c>
      <c r="L70" s="201" t="str">
        <f>+COEF_FCM!C76</f>
        <v>SANTO DOMINGO</v>
      </c>
      <c r="M70" s="201" t="str">
        <f>+COEF_FCM!P76</f>
        <v>NO</v>
      </c>
      <c r="N70" s="201">
        <f>+COEF_FCM!AA76</f>
        <v>0</v>
      </c>
      <c r="O70" s="201">
        <f t="shared" si="5"/>
        <v>0</v>
      </c>
      <c r="R70" s="201">
        <v>6105</v>
      </c>
      <c r="S70" s="201">
        <v>6105</v>
      </c>
      <c r="T70" s="201" t="str">
        <v>DOÑIHUE</v>
      </c>
      <c r="U70" s="201" t="str">
        <v>SI</v>
      </c>
      <c r="V70" s="201">
        <v>12378</v>
      </c>
      <c r="W70" s="201">
        <v>1</v>
      </c>
      <c r="X70" s="201" t="str">
        <f t="shared" si="6"/>
        <v>Doñihue</v>
      </c>
    </row>
    <row r="71" spans="1:24" ht="3" customHeight="1" x14ac:dyDescent="0.25">
      <c r="A71" s="327">
        <f t="shared" si="4"/>
        <v>5</v>
      </c>
      <c r="B71" s="328">
        <f>+'CALC MEC ESTAB Y ESTIM M FINAL'!B75</f>
        <v>5701</v>
      </c>
      <c r="C71" s="328" t="str">
        <f>+'CALC MEC ESTAB Y ESTIM M FINAL'!C75</f>
        <v>SAN FELIPE</v>
      </c>
      <c r="D71" s="329">
        <f>+'CALC MEC ESTAB Y ESTIM M FINAL'!F75</f>
        <v>4.5369317958999997E-3</v>
      </c>
      <c r="E71" s="330">
        <f>+'CALC MEC ESTAB Y ESTIM M FINAL'!V75</f>
        <v>0</v>
      </c>
      <c r="F71" s="214"/>
      <c r="J71" s="201">
        <f>+COEF_FCM!A77</f>
        <v>5701</v>
      </c>
      <c r="K71" s="201">
        <f>+COEF_FCM!B77</f>
        <v>5601</v>
      </c>
      <c r="L71" s="201" t="str">
        <f>+COEF_FCM!C77</f>
        <v>SAN FELIPE</v>
      </c>
      <c r="M71" s="201" t="str">
        <f>+COEF_FCM!P77</f>
        <v>SI</v>
      </c>
      <c r="N71" s="201">
        <f>+COEF_FCM!AA77</f>
        <v>27044</v>
      </c>
      <c r="O71" s="201">
        <f t="shared" si="5"/>
        <v>1</v>
      </c>
      <c r="R71" s="201">
        <v>6106</v>
      </c>
      <c r="S71" s="201">
        <v>6103</v>
      </c>
      <c r="T71" s="201" t="str">
        <v>GRANEROS</v>
      </c>
      <c r="U71" s="201" t="str">
        <v>SI</v>
      </c>
      <c r="V71" s="201">
        <v>14009</v>
      </c>
      <c r="W71" s="201">
        <v>1</v>
      </c>
      <c r="X71" s="201" t="str">
        <f t="shared" si="6"/>
        <v>Graneros</v>
      </c>
    </row>
    <row r="72" spans="1:24" ht="3" customHeight="1" x14ac:dyDescent="0.25">
      <c r="A72" s="327">
        <f t="shared" si="4"/>
        <v>5</v>
      </c>
      <c r="B72" s="328">
        <f>+'CALC MEC ESTAB Y ESTIM M FINAL'!B76</f>
        <v>5702</v>
      </c>
      <c r="C72" s="328" t="str">
        <f>+'CALC MEC ESTAB Y ESTIM M FINAL'!C76</f>
        <v>CATEMU</v>
      </c>
      <c r="D72" s="329">
        <f>+'CALC MEC ESTAB Y ESTIM M FINAL'!F76</f>
        <v>1.3345881378E-3</v>
      </c>
      <c r="E72" s="330">
        <f>+'CALC MEC ESTAB Y ESTIM M FINAL'!V76</f>
        <v>0</v>
      </c>
      <c r="F72" s="214"/>
      <c r="J72" s="201">
        <f>+COEF_FCM!A78</f>
        <v>5702</v>
      </c>
      <c r="K72" s="201">
        <f>+COEF_FCM!B78</f>
        <v>5603</v>
      </c>
      <c r="L72" s="201" t="str">
        <f>+COEF_FCM!C78</f>
        <v>CATEMU</v>
      </c>
      <c r="M72" s="201" t="str">
        <f>+COEF_FCM!P78</f>
        <v>SI</v>
      </c>
      <c r="N72" s="201">
        <f>+COEF_FCM!AA78</f>
        <v>7107</v>
      </c>
      <c r="O72" s="201">
        <f t="shared" si="5"/>
        <v>1</v>
      </c>
      <c r="R72" s="201">
        <v>6109</v>
      </c>
      <c r="S72" s="201">
        <v>6115</v>
      </c>
      <c r="T72" s="201" t="str">
        <v>MALLOA</v>
      </c>
      <c r="U72" s="201" t="str">
        <v>SI</v>
      </c>
      <c r="V72" s="201">
        <v>12585</v>
      </c>
      <c r="W72" s="201">
        <v>1</v>
      </c>
      <c r="X72" s="201" t="str">
        <f t="shared" si="6"/>
        <v>Malloa</v>
      </c>
    </row>
    <row r="73" spans="1:24" ht="3" customHeight="1" x14ac:dyDescent="0.25">
      <c r="A73" s="327">
        <f t="shared" si="4"/>
        <v>5</v>
      </c>
      <c r="B73" s="328">
        <f>+'CALC MEC ESTAB Y ESTIM M FINAL'!B77</f>
        <v>5703</v>
      </c>
      <c r="C73" s="328" t="str">
        <f>+'CALC MEC ESTAB Y ESTIM M FINAL'!C77</f>
        <v>LLAILLAY</v>
      </c>
      <c r="D73" s="329">
        <f>+'CALC MEC ESTAB Y ESTIM M FINAL'!F77</f>
        <v>2.5505791692000002E-3</v>
      </c>
      <c r="E73" s="330">
        <f>+'CALC MEC ESTAB Y ESTIM M FINAL'!V77</f>
        <v>0</v>
      </c>
      <c r="F73" s="214"/>
      <c r="J73" s="201">
        <f>+COEF_FCM!A79</f>
        <v>5703</v>
      </c>
      <c r="K73" s="201">
        <f>+COEF_FCM!B79</f>
        <v>5606</v>
      </c>
      <c r="L73" s="201" t="str">
        <f>+COEF_FCM!C79</f>
        <v>LLAILLAY</v>
      </c>
      <c r="M73" s="201" t="str">
        <f>+COEF_FCM!P79</f>
        <v>SI</v>
      </c>
      <c r="N73" s="201">
        <f>+COEF_FCM!AA79</f>
        <v>26679</v>
      </c>
      <c r="O73" s="201">
        <f t="shared" si="5"/>
        <v>1</v>
      </c>
      <c r="R73" s="201">
        <v>6112</v>
      </c>
      <c r="S73" s="201">
        <v>6108</v>
      </c>
      <c r="T73" s="201" t="str">
        <v>PEUMO</v>
      </c>
      <c r="U73" s="201" t="str">
        <v>SI</v>
      </c>
      <c r="V73" s="201">
        <v>9347</v>
      </c>
      <c r="W73" s="201">
        <v>1</v>
      </c>
      <c r="X73" s="201" t="str">
        <f t="shared" si="6"/>
        <v>Peumo</v>
      </c>
    </row>
    <row r="74" spans="1:24" ht="3" customHeight="1" x14ac:dyDescent="0.25">
      <c r="A74" s="327">
        <f t="shared" si="4"/>
        <v>5</v>
      </c>
      <c r="B74" s="328">
        <f>+'CALC MEC ESTAB Y ESTIM M FINAL'!B78</f>
        <v>5704</v>
      </c>
      <c r="C74" s="328" t="str">
        <f>+'CALC MEC ESTAB Y ESTIM M FINAL'!C78</f>
        <v>PANQUEHUE</v>
      </c>
      <c r="D74" s="329">
        <f>+'CALC MEC ESTAB Y ESTIM M FINAL'!F78</f>
        <v>8.8600442689999997E-4</v>
      </c>
      <c r="E74" s="330">
        <f>+'CALC MEC ESTAB Y ESTIM M FINAL'!V78</f>
        <v>0</v>
      </c>
      <c r="F74" s="214"/>
      <c r="J74" s="201">
        <f>+COEF_FCM!A80</f>
        <v>5704</v>
      </c>
      <c r="K74" s="201">
        <f>+COEF_FCM!B80</f>
        <v>5602</v>
      </c>
      <c r="L74" s="201" t="str">
        <f>+COEF_FCM!C80</f>
        <v>PANQUEHUE</v>
      </c>
      <c r="M74" s="201" t="str">
        <f>+COEF_FCM!P80</f>
        <v>NO</v>
      </c>
      <c r="N74" s="201">
        <f>+COEF_FCM!AA80</f>
        <v>0</v>
      </c>
      <c r="O74" s="201">
        <f t="shared" si="5"/>
        <v>0</v>
      </c>
      <c r="R74" s="201">
        <v>6113</v>
      </c>
      <c r="S74" s="201">
        <v>6111</v>
      </c>
      <c r="T74" s="201" t="str">
        <v>PICHIDEGUA</v>
      </c>
      <c r="U74" s="201" t="str">
        <v>SI</v>
      </c>
      <c r="V74" s="201">
        <v>21007</v>
      </c>
      <c r="W74" s="201">
        <v>1</v>
      </c>
      <c r="X74" s="201" t="str">
        <f t="shared" si="6"/>
        <v>Pichidegua</v>
      </c>
    </row>
    <row r="75" spans="1:24" ht="3" customHeight="1" x14ac:dyDescent="0.25">
      <c r="A75" s="327">
        <f t="shared" si="4"/>
        <v>5</v>
      </c>
      <c r="B75" s="328">
        <f>+'CALC MEC ESTAB Y ESTIM M FINAL'!B79</f>
        <v>5705</v>
      </c>
      <c r="C75" s="328" t="str">
        <f>+'CALC MEC ESTAB Y ESTIM M FINAL'!C79</f>
        <v>PUTAENDO</v>
      </c>
      <c r="D75" s="329">
        <f>+'CALC MEC ESTAB Y ESTIM M FINAL'!F79</f>
        <v>1.831114653E-3</v>
      </c>
      <c r="E75" s="330">
        <f>+'CALC MEC ESTAB Y ESTIM M FINAL'!V79</f>
        <v>0</v>
      </c>
      <c r="F75" s="214"/>
      <c r="J75" s="201">
        <f>+COEF_FCM!A81</f>
        <v>5705</v>
      </c>
      <c r="K75" s="201">
        <f>+COEF_FCM!B81</f>
        <v>5604</v>
      </c>
      <c r="L75" s="201" t="str">
        <f>+COEF_FCM!C81</f>
        <v>PUTAENDO</v>
      </c>
      <c r="M75" s="201" t="str">
        <f>+COEF_FCM!P81</f>
        <v>SI</v>
      </c>
      <c r="N75" s="201">
        <f>+COEF_FCM!AA81</f>
        <v>10978</v>
      </c>
      <c r="O75" s="201">
        <f t="shared" si="5"/>
        <v>1</v>
      </c>
      <c r="R75" s="201">
        <v>6114</v>
      </c>
      <c r="S75" s="201">
        <v>6117</v>
      </c>
      <c r="T75" s="201" t="str">
        <v>QUINTA DE TILCOCO</v>
      </c>
      <c r="U75" s="201" t="str">
        <v>SI</v>
      </c>
      <c r="V75" s="201">
        <v>6457</v>
      </c>
      <c r="W75" s="201">
        <v>1</v>
      </c>
      <c r="X75" s="201" t="str">
        <f t="shared" si="6"/>
        <v>Quinta de Tilcoco</v>
      </c>
    </row>
    <row r="76" spans="1:24" ht="3" customHeight="1" x14ac:dyDescent="0.25">
      <c r="A76" s="327">
        <f t="shared" si="4"/>
        <v>5</v>
      </c>
      <c r="B76" s="328">
        <f>+'CALC MEC ESTAB Y ESTIM M FINAL'!B80</f>
        <v>5706</v>
      </c>
      <c r="C76" s="328" t="str">
        <f>+'CALC MEC ESTAB Y ESTIM M FINAL'!C80</f>
        <v>SANTA MARÍA</v>
      </c>
      <c r="D76" s="329">
        <f>+'CALC MEC ESTAB Y ESTIM M FINAL'!F80</f>
        <v>1.5418469723999999E-3</v>
      </c>
      <c r="E76" s="330">
        <f>+'CALC MEC ESTAB Y ESTIM M FINAL'!V80</f>
        <v>0</v>
      </c>
      <c r="F76" s="214"/>
      <c r="J76" s="201">
        <f>+COEF_FCM!A82</f>
        <v>5706</v>
      </c>
      <c r="K76" s="201">
        <f>+COEF_FCM!B82</f>
        <v>5605</v>
      </c>
      <c r="L76" s="201" t="str">
        <f>+COEF_FCM!C82</f>
        <v>SANTA MARÍA</v>
      </c>
      <c r="M76" s="201" t="str">
        <f>+COEF_FCM!P82</f>
        <v>SI</v>
      </c>
      <c r="N76" s="201">
        <f>+COEF_FCM!AA82</f>
        <v>10272</v>
      </c>
      <c r="O76" s="201">
        <f t="shared" si="5"/>
        <v>1</v>
      </c>
      <c r="R76" s="201">
        <v>6115</v>
      </c>
      <c r="S76" s="201">
        <v>6112</v>
      </c>
      <c r="T76" s="201" t="str">
        <v>RENGO</v>
      </c>
      <c r="U76" s="201" t="str">
        <v>SI</v>
      </c>
      <c r="V76" s="201">
        <v>39361</v>
      </c>
      <c r="W76" s="201">
        <v>1</v>
      </c>
      <c r="X76" s="201" t="str">
        <f t="shared" si="6"/>
        <v>Rengo</v>
      </c>
    </row>
    <row r="77" spans="1:24" ht="3" customHeight="1" x14ac:dyDescent="0.25">
      <c r="A77" s="327">
        <f t="shared" si="4"/>
        <v>5</v>
      </c>
      <c r="B77" s="328">
        <f>+'CALC MEC ESTAB Y ESTIM M FINAL'!B81</f>
        <v>5801</v>
      </c>
      <c r="C77" s="328" t="str">
        <f>+'CALC MEC ESTAB Y ESTIM M FINAL'!C81</f>
        <v>QUILPUÉ</v>
      </c>
      <c r="D77" s="329">
        <f>+'CALC MEC ESTAB Y ESTIM M FINAL'!F81</f>
        <v>8.6961211084000019E-3</v>
      </c>
      <c r="E77" s="330">
        <f>+'CALC MEC ESTAB Y ESTIM M FINAL'!V81</f>
        <v>0</v>
      </c>
      <c r="F77" s="214"/>
      <c r="J77" s="201">
        <f>+COEF_FCM!A83</f>
        <v>5801</v>
      </c>
      <c r="K77" s="201">
        <f>+COEF_FCM!B83</f>
        <v>5304</v>
      </c>
      <c r="L77" s="201" t="str">
        <f>+COEF_FCM!C83</f>
        <v>QUILPUÉ</v>
      </c>
      <c r="M77" s="201" t="str">
        <f>+COEF_FCM!P83</f>
        <v>SI</v>
      </c>
      <c r="N77" s="201">
        <f>+COEF_FCM!AA83</f>
        <v>76755</v>
      </c>
      <c r="O77" s="201">
        <f t="shared" si="5"/>
        <v>1</v>
      </c>
      <c r="R77" s="201">
        <v>6117</v>
      </c>
      <c r="S77" s="201">
        <v>6110</v>
      </c>
      <c r="T77" s="201" t="str">
        <v>SAN VICENTE</v>
      </c>
      <c r="U77" s="201" t="str">
        <v>SI</v>
      </c>
      <c r="V77" s="201">
        <v>38949</v>
      </c>
      <c r="W77" s="201">
        <v>1</v>
      </c>
      <c r="X77" s="201" t="str">
        <f t="shared" si="6"/>
        <v>San Vicente</v>
      </c>
    </row>
    <row r="78" spans="1:24" ht="3" customHeight="1" x14ac:dyDescent="0.25">
      <c r="A78" s="327">
        <f t="shared" si="4"/>
        <v>5</v>
      </c>
      <c r="B78" s="328">
        <f>+'CALC MEC ESTAB Y ESTIM M FINAL'!B82</f>
        <v>5802</v>
      </c>
      <c r="C78" s="328" t="str">
        <f>+'CALC MEC ESTAB Y ESTIM M FINAL'!C82</f>
        <v>LIMACHE</v>
      </c>
      <c r="D78" s="329">
        <f>+'CALC MEC ESTAB Y ESTIM M FINAL'!F82</f>
        <v>3.0663077543999998E-3</v>
      </c>
      <c r="E78" s="330">
        <f>+'CALC MEC ESTAB Y ESTIM M FINAL'!V82</f>
        <v>0</v>
      </c>
      <c r="F78" s="214"/>
      <c r="J78" s="201">
        <f>+COEF_FCM!A84</f>
        <v>5802</v>
      </c>
      <c r="K78" s="201">
        <f>+COEF_FCM!B84</f>
        <v>5506</v>
      </c>
      <c r="L78" s="201" t="str">
        <f>+COEF_FCM!C84</f>
        <v>LIMACHE</v>
      </c>
      <c r="M78" s="201" t="str">
        <f>+COEF_FCM!P84</f>
        <v>SI</v>
      </c>
      <c r="N78" s="201">
        <f>+COEF_FCM!AA84</f>
        <v>23956</v>
      </c>
      <c r="O78" s="201">
        <f t="shared" si="5"/>
        <v>1</v>
      </c>
      <c r="R78" s="201">
        <v>6301</v>
      </c>
      <c r="S78" s="201">
        <v>6201</v>
      </c>
      <c r="T78" s="201" t="str">
        <v>SAN FERNANDO</v>
      </c>
      <c r="U78" s="201" t="str">
        <v>SI</v>
      </c>
      <c r="V78" s="201">
        <v>56667</v>
      </c>
      <c r="W78" s="201">
        <v>1</v>
      </c>
      <c r="X78" s="201" t="str">
        <f t="shared" si="6"/>
        <v>San Fernando</v>
      </c>
    </row>
    <row r="79" spans="1:24" ht="3" customHeight="1" x14ac:dyDescent="0.25">
      <c r="A79" s="327">
        <f t="shared" si="4"/>
        <v>5</v>
      </c>
      <c r="B79" s="328">
        <f>+'CALC MEC ESTAB Y ESTIM M FINAL'!B83</f>
        <v>5803</v>
      </c>
      <c r="C79" s="328" t="str">
        <f>+'CALC MEC ESTAB Y ESTIM M FINAL'!C83</f>
        <v>OLMUÉ</v>
      </c>
      <c r="D79" s="329">
        <f>+'CALC MEC ESTAB Y ESTIM M FINAL'!F83</f>
        <v>1.1035310834000001E-3</v>
      </c>
      <c r="E79" s="330">
        <f>+'CALC MEC ESTAB Y ESTIM M FINAL'!V83</f>
        <v>73779</v>
      </c>
      <c r="F79" s="214"/>
      <c r="J79" s="201">
        <f>+COEF_FCM!A85</f>
        <v>5803</v>
      </c>
      <c r="K79" s="201">
        <f>+COEF_FCM!B85</f>
        <v>5507</v>
      </c>
      <c r="L79" s="201" t="str">
        <f>+COEF_FCM!C85</f>
        <v>OLMUÉ</v>
      </c>
      <c r="M79" s="201" t="str">
        <f>+COEF_FCM!P85</f>
        <v>NO</v>
      </c>
      <c r="N79" s="201">
        <f>+COEF_FCM!AA85</f>
        <v>0</v>
      </c>
      <c r="O79" s="201">
        <f t="shared" si="5"/>
        <v>0</v>
      </c>
      <c r="R79" s="201">
        <v>6302</v>
      </c>
      <c r="S79" s="201">
        <v>6209</v>
      </c>
      <c r="T79" s="201" t="str">
        <v>CHÉPICA</v>
      </c>
      <c r="U79" s="201" t="str">
        <v>SI</v>
      </c>
      <c r="V79" s="201">
        <v>11701</v>
      </c>
      <c r="W79" s="201">
        <v>1</v>
      </c>
      <c r="X79" s="201" t="str">
        <f t="shared" si="6"/>
        <v>Chépica</v>
      </c>
    </row>
    <row r="80" spans="1:24" ht="3" customHeight="1" x14ac:dyDescent="0.25">
      <c r="A80" s="327">
        <f t="shared" si="4"/>
        <v>5</v>
      </c>
      <c r="B80" s="328">
        <f>+'CALC MEC ESTAB Y ESTIM M FINAL'!B84</f>
        <v>5804</v>
      </c>
      <c r="C80" s="328" t="str">
        <f>+'CALC MEC ESTAB Y ESTIM M FINAL'!C84</f>
        <v>VILLA ALEMANA</v>
      </c>
      <c r="D80" s="329">
        <f>+'CALC MEC ESTAB Y ESTIM M FINAL'!F84</f>
        <v>7.2492652494000002E-3</v>
      </c>
      <c r="E80" s="330">
        <f>+'CALC MEC ESTAB Y ESTIM M FINAL'!V84</f>
        <v>0</v>
      </c>
      <c r="F80" s="214"/>
      <c r="J80" s="201">
        <f>+COEF_FCM!A86</f>
        <v>5804</v>
      </c>
      <c r="K80" s="201">
        <f>+COEF_FCM!B86</f>
        <v>5303</v>
      </c>
      <c r="L80" s="201" t="str">
        <f>+COEF_FCM!C86</f>
        <v>VILLA ALEMANA</v>
      </c>
      <c r="M80" s="201" t="str">
        <f>+COEF_FCM!P86</f>
        <v>SI</v>
      </c>
      <c r="N80" s="201">
        <f>+COEF_FCM!AA86</f>
        <v>36066</v>
      </c>
      <c r="O80" s="201">
        <f t="shared" si="5"/>
        <v>1</v>
      </c>
      <c r="R80" s="201">
        <v>6303</v>
      </c>
      <c r="S80" s="201">
        <v>6202</v>
      </c>
      <c r="T80" s="201" t="str">
        <v>CHIMBARONGO</v>
      </c>
      <c r="U80" s="201" t="str">
        <v>SI</v>
      </c>
      <c r="V80" s="201">
        <v>38023</v>
      </c>
      <c r="W80" s="201">
        <v>1</v>
      </c>
      <c r="X80" s="201" t="str">
        <f t="shared" si="6"/>
        <v>Chimbarongo</v>
      </c>
    </row>
    <row r="81" spans="1:24" ht="3" customHeight="1" x14ac:dyDescent="0.25">
      <c r="A81" s="327">
        <f t="shared" si="4"/>
        <v>6</v>
      </c>
      <c r="B81" s="328">
        <f>+'CALC MEC ESTAB Y ESTIM M FINAL'!B85</f>
        <v>6101</v>
      </c>
      <c r="C81" s="328" t="str">
        <f>+'CALC MEC ESTAB Y ESTIM M FINAL'!C85</f>
        <v>RANCAGUA</v>
      </c>
      <c r="D81" s="329">
        <f>+'CALC MEC ESTAB Y ESTIM M FINAL'!F85</f>
        <v>1.13868389505E-2</v>
      </c>
      <c r="E81" s="330">
        <f>+'CALC MEC ESTAB Y ESTIM M FINAL'!V85</f>
        <v>0</v>
      </c>
      <c r="F81" s="214"/>
      <c r="J81" s="201">
        <f>+COEF_FCM!A87</f>
        <v>6101</v>
      </c>
      <c r="K81" s="201">
        <f>+COEF_FCM!B87</f>
        <v>6101</v>
      </c>
      <c r="L81" s="201" t="str">
        <f>+COEF_FCM!C87</f>
        <v>RANCAGUA</v>
      </c>
      <c r="M81" s="201" t="str">
        <f>+COEF_FCM!P87</f>
        <v>SI</v>
      </c>
      <c r="N81" s="201">
        <f>+COEF_FCM!AA87</f>
        <v>125724</v>
      </c>
      <c r="O81" s="201">
        <f t="shared" si="5"/>
        <v>1</v>
      </c>
      <c r="R81" s="201">
        <v>6305</v>
      </c>
      <c r="S81" s="201">
        <v>6203</v>
      </c>
      <c r="T81" s="201" t="str">
        <v>NANCAGUA</v>
      </c>
      <c r="U81" s="201" t="str">
        <v>SI</v>
      </c>
      <c r="V81" s="201">
        <v>12913</v>
      </c>
      <c r="W81" s="201">
        <v>1</v>
      </c>
      <c r="X81" s="201" t="str">
        <f t="shared" si="6"/>
        <v>Nancagua</v>
      </c>
    </row>
    <row r="82" spans="1:24" ht="3" customHeight="1" x14ac:dyDescent="0.25">
      <c r="A82" s="327">
        <f t="shared" si="4"/>
        <v>6</v>
      </c>
      <c r="B82" s="328">
        <f>+'CALC MEC ESTAB Y ESTIM M FINAL'!B86</f>
        <v>6102</v>
      </c>
      <c r="C82" s="328" t="str">
        <f>+'CALC MEC ESTAB Y ESTIM M FINAL'!C86</f>
        <v>CODEGUA</v>
      </c>
      <c r="D82" s="329">
        <f>+'CALC MEC ESTAB Y ESTIM M FINAL'!F86</f>
        <v>1.0002736970000001E-3</v>
      </c>
      <c r="E82" s="330">
        <f>+'CALC MEC ESTAB Y ESTIM M FINAL'!V86</f>
        <v>24461</v>
      </c>
      <c r="F82" s="214"/>
      <c r="J82" s="201">
        <f>+COEF_FCM!A88</f>
        <v>6102</v>
      </c>
      <c r="K82" s="201">
        <f>+COEF_FCM!B88</f>
        <v>6107</v>
      </c>
      <c r="L82" s="201" t="str">
        <f>+COEF_FCM!C88</f>
        <v>CODEGUA</v>
      </c>
      <c r="M82" s="201" t="str">
        <f>+COEF_FCM!P88</f>
        <v>NO</v>
      </c>
      <c r="N82" s="201">
        <f>+COEF_FCM!AA88</f>
        <v>0</v>
      </c>
      <c r="O82" s="201">
        <f t="shared" si="5"/>
        <v>0</v>
      </c>
      <c r="R82" s="201">
        <v>6308</v>
      </c>
      <c r="S82" s="201">
        <v>6204</v>
      </c>
      <c r="T82" s="201" t="str">
        <v>PLACILLA</v>
      </c>
      <c r="U82" s="201" t="str">
        <v>SI</v>
      </c>
      <c r="V82" s="201">
        <v>7184</v>
      </c>
      <c r="W82" s="201">
        <v>1</v>
      </c>
      <c r="X82" s="201" t="str">
        <f t="shared" si="6"/>
        <v>Placilla</v>
      </c>
    </row>
    <row r="83" spans="1:24" ht="3" customHeight="1" x14ac:dyDescent="0.25">
      <c r="A83" s="327">
        <f t="shared" si="4"/>
        <v>6</v>
      </c>
      <c r="B83" s="328">
        <f>+'CALC MEC ESTAB Y ESTIM M FINAL'!B87</f>
        <v>6103</v>
      </c>
      <c r="C83" s="328" t="str">
        <f>+'CALC MEC ESTAB Y ESTIM M FINAL'!C87</f>
        <v>COINCO</v>
      </c>
      <c r="D83" s="329">
        <f>+'CALC MEC ESTAB Y ESTIM M FINAL'!F87</f>
        <v>1.1514581380999999E-3</v>
      </c>
      <c r="E83" s="330">
        <f>+'CALC MEC ESTAB Y ESTIM M FINAL'!V87</f>
        <v>0</v>
      </c>
      <c r="F83" s="214"/>
      <c r="J83" s="201">
        <f>+COEF_FCM!A89</f>
        <v>6103</v>
      </c>
      <c r="K83" s="201">
        <f>+COEF_FCM!B89</f>
        <v>6116</v>
      </c>
      <c r="L83" s="201" t="str">
        <f>+COEF_FCM!C89</f>
        <v>COINCO</v>
      </c>
      <c r="M83" s="201" t="str">
        <f>+COEF_FCM!P89</f>
        <v>SI</v>
      </c>
      <c r="N83" s="201">
        <f>+COEF_FCM!AA89</f>
        <v>4647</v>
      </c>
      <c r="O83" s="201">
        <f t="shared" si="5"/>
        <v>1</v>
      </c>
      <c r="R83" s="201">
        <v>6310</v>
      </c>
      <c r="S83" s="201">
        <v>6205</v>
      </c>
      <c r="T83" s="201" t="str">
        <v>SANTA CRUZ</v>
      </c>
      <c r="U83" s="201" t="str">
        <v>SI</v>
      </c>
      <c r="V83" s="201">
        <v>37459</v>
      </c>
      <c r="W83" s="201">
        <v>1</v>
      </c>
      <c r="X83" s="201" t="str">
        <f t="shared" si="6"/>
        <v>Santa Cruz</v>
      </c>
    </row>
    <row r="84" spans="1:24" ht="3" customHeight="1" x14ac:dyDescent="0.25">
      <c r="A84" s="327">
        <f t="shared" si="4"/>
        <v>6</v>
      </c>
      <c r="B84" s="328">
        <f>+'CALC MEC ESTAB Y ESTIM M FINAL'!B88</f>
        <v>6104</v>
      </c>
      <c r="C84" s="328" t="str">
        <f>+'CALC MEC ESTAB Y ESTIM M FINAL'!C88</f>
        <v>COLTAUCO</v>
      </c>
      <c r="D84" s="329">
        <f>+'CALC MEC ESTAB Y ESTIM M FINAL'!F88</f>
        <v>2.1624887142000001E-3</v>
      </c>
      <c r="E84" s="330">
        <f>+'CALC MEC ESTAB Y ESTIM M FINAL'!V88</f>
        <v>0</v>
      </c>
      <c r="F84" s="214"/>
      <c r="J84" s="201">
        <f>+COEF_FCM!A90</f>
        <v>6104</v>
      </c>
      <c r="K84" s="201">
        <f>+COEF_FCM!B90</f>
        <v>6106</v>
      </c>
      <c r="L84" s="201" t="str">
        <f>+COEF_FCM!C90</f>
        <v>COLTAUCO</v>
      </c>
      <c r="M84" s="201" t="str">
        <f>+COEF_FCM!P90</f>
        <v>SI</v>
      </c>
      <c r="N84" s="201">
        <f>+COEF_FCM!AA90</f>
        <v>11089</v>
      </c>
      <c r="O84" s="201">
        <f t="shared" si="5"/>
        <v>1</v>
      </c>
      <c r="R84" s="201">
        <v>7101</v>
      </c>
      <c r="S84" s="201">
        <v>7201</v>
      </c>
      <c r="T84" s="201" t="str">
        <v>TALCA</v>
      </c>
      <c r="U84" s="201" t="str">
        <v>SI</v>
      </c>
      <c r="V84" s="201">
        <v>126349</v>
      </c>
      <c r="W84" s="201">
        <v>1</v>
      </c>
      <c r="X84" s="201" t="str">
        <f t="shared" si="6"/>
        <v>Talca</v>
      </c>
    </row>
    <row r="85" spans="1:24" ht="3" customHeight="1" x14ac:dyDescent="0.25">
      <c r="A85" s="327">
        <f t="shared" si="4"/>
        <v>6</v>
      </c>
      <c r="B85" s="328">
        <f>+'CALC MEC ESTAB Y ESTIM M FINAL'!B89</f>
        <v>6105</v>
      </c>
      <c r="C85" s="328" t="str">
        <f>+'CALC MEC ESTAB Y ESTIM M FINAL'!C89</f>
        <v>DOÑIHUE</v>
      </c>
      <c r="D85" s="329">
        <f>+'CALC MEC ESTAB Y ESTIM M FINAL'!F89</f>
        <v>1.9262410641999999E-3</v>
      </c>
      <c r="E85" s="330">
        <f>+'CALC MEC ESTAB Y ESTIM M FINAL'!V89</f>
        <v>0</v>
      </c>
      <c r="F85" s="214"/>
      <c r="J85" s="201">
        <f>+COEF_FCM!A91</f>
        <v>6105</v>
      </c>
      <c r="K85" s="201">
        <f>+COEF_FCM!B91</f>
        <v>6105</v>
      </c>
      <c r="L85" s="201" t="str">
        <f>+COEF_FCM!C91</f>
        <v>DOÑIHUE</v>
      </c>
      <c r="M85" s="201" t="str">
        <f>+COEF_FCM!P91</f>
        <v>SI</v>
      </c>
      <c r="N85" s="201">
        <f>+COEF_FCM!AA91</f>
        <v>12378</v>
      </c>
      <c r="O85" s="201">
        <f t="shared" si="5"/>
        <v>1</v>
      </c>
      <c r="R85" s="201">
        <v>7102</v>
      </c>
      <c r="S85" s="201">
        <v>7208</v>
      </c>
      <c r="T85" s="201" t="str">
        <v>CONSTITUCIÓN</v>
      </c>
      <c r="U85" s="201" t="str">
        <v>SI</v>
      </c>
      <c r="V85" s="201">
        <v>73918</v>
      </c>
      <c r="W85" s="201">
        <v>1</v>
      </c>
      <c r="X85" s="201" t="str">
        <f t="shared" si="6"/>
        <v>Constitución</v>
      </c>
    </row>
    <row r="86" spans="1:24" ht="3" customHeight="1" x14ac:dyDescent="0.25">
      <c r="A86" s="327">
        <f t="shared" si="4"/>
        <v>6</v>
      </c>
      <c r="B86" s="328">
        <f>+'CALC MEC ESTAB Y ESTIM M FINAL'!B90</f>
        <v>6106</v>
      </c>
      <c r="C86" s="328" t="str">
        <f>+'CALC MEC ESTAB Y ESTIM M FINAL'!C90</f>
        <v>GRANEROS</v>
      </c>
      <c r="D86" s="329">
        <f>+'CALC MEC ESTAB Y ESTIM M FINAL'!F90</f>
        <v>2.6043275477E-3</v>
      </c>
      <c r="E86" s="330">
        <f>+'CALC MEC ESTAB Y ESTIM M FINAL'!V90</f>
        <v>0</v>
      </c>
      <c r="F86" s="214"/>
      <c r="J86" s="201">
        <f>+COEF_FCM!A92</f>
        <v>6106</v>
      </c>
      <c r="K86" s="201">
        <f>+COEF_FCM!B92</f>
        <v>6103</v>
      </c>
      <c r="L86" s="201" t="str">
        <f>+COEF_FCM!C92</f>
        <v>GRANEROS</v>
      </c>
      <c r="M86" s="201" t="str">
        <f>+COEF_FCM!P92</f>
        <v>SI</v>
      </c>
      <c r="N86" s="201">
        <f>+COEF_FCM!AA92</f>
        <v>14009</v>
      </c>
      <c r="O86" s="201">
        <f t="shared" si="5"/>
        <v>1</v>
      </c>
      <c r="R86" s="201">
        <v>7103</v>
      </c>
      <c r="S86" s="201">
        <v>7207</v>
      </c>
      <c r="T86" s="201" t="str">
        <v>CUREPTO</v>
      </c>
      <c r="U86" s="201" t="str">
        <v>SI</v>
      </c>
      <c r="V86" s="201">
        <v>19819</v>
      </c>
      <c r="W86" s="201">
        <v>1</v>
      </c>
      <c r="X86" s="201" t="str">
        <f t="shared" si="6"/>
        <v>Curepto</v>
      </c>
    </row>
    <row r="87" spans="1:24" ht="3" customHeight="1" x14ac:dyDescent="0.25">
      <c r="A87" s="327">
        <f t="shared" si="4"/>
        <v>6</v>
      </c>
      <c r="B87" s="328">
        <f>+'CALC MEC ESTAB Y ESTIM M FINAL'!B91</f>
        <v>6107</v>
      </c>
      <c r="C87" s="328" t="str">
        <f>+'CALC MEC ESTAB Y ESTIM M FINAL'!C91</f>
        <v>LAS CABRAS</v>
      </c>
      <c r="D87" s="329">
        <f>+'CALC MEC ESTAB Y ESTIM M FINAL'!F91</f>
        <v>1.3048628945999999E-3</v>
      </c>
      <c r="E87" s="330">
        <f>+'CALC MEC ESTAB Y ESTIM M FINAL'!V91</f>
        <v>0</v>
      </c>
      <c r="F87" s="214"/>
      <c r="J87" s="201">
        <f>+COEF_FCM!A93</f>
        <v>6107</v>
      </c>
      <c r="K87" s="201">
        <f>+COEF_FCM!B93</f>
        <v>6109</v>
      </c>
      <c r="L87" s="201" t="str">
        <f>+COEF_FCM!C93</f>
        <v>LAS CABRAS</v>
      </c>
      <c r="M87" s="201" t="str">
        <f>+COEF_FCM!P93</f>
        <v>NO</v>
      </c>
      <c r="N87" s="201">
        <f>+COEF_FCM!AA93</f>
        <v>0</v>
      </c>
      <c r="O87" s="201">
        <f t="shared" si="5"/>
        <v>0</v>
      </c>
      <c r="R87" s="201">
        <v>7104</v>
      </c>
      <c r="S87" s="201">
        <v>7209</v>
      </c>
      <c r="T87" s="201" t="str">
        <v>EMPEDRADO</v>
      </c>
      <c r="U87" s="201" t="str">
        <v>SI</v>
      </c>
      <c r="V87" s="201">
        <v>6729</v>
      </c>
      <c r="W87" s="201">
        <v>1</v>
      </c>
      <c r="X87" s="201" t="str">
        <f t="shared" si="6"/>
        <v>Empedrado</v>
      </c>
    </row>
    <row r="88" spans="1:24" ht="3" customHeight="1" x14ac:dyDescent="0.25">
      <c r="A88" s="327">
        <f t="shared" si="4"/>
        <v>6</v>
      </c>
      <c r="B88" s="328">
        <f>+'CALC MEC ESTAB Y ESTIM M FINAL'!B92</f>
        <v>6108</v>
      </c>
      <c r="C88" s="328" t="str">
        <f>+'CALC MEC ESTAB Y ESTIM M FINAL'!C92</f>
        <v>MACHALÍ</v>
      </c>
      <c r="D88" s="329">
        <f>+'CALC MEC ESTAB Y ESTIM M FINAL'!F92</f>
        <v>1.3483327160999999E-3</v>
      </c>
      <c r="E88" s="330">
        <f>+'CALC MEC ESTAB Y ESTIM M FINAL'!V92</f>
        <v>0</v>
      </c>
      <c r="F88" s="214"/>
      <c r="J88" s="201">
        <f>+COEF_FCM!A94</f>
        <v>6108</v>
      </c>
      <c r="K88" s="201">
        <f>+COEF_FCM!B94</f>
        <v>6102</v>
      </c>
      <c r="L88" s="201" t="str">
        <f>+COEF_FCM!C94</f>
        <v>MACHALÍ</v>
      </c>
      <c r="M88" s="201" t="str">
        <f>+COEF_FCM!P94</f>
        <v>NO</v>
      </c>
      <c r="N88" s="201">
        <f>+COEF_FCM!AA94</f>
        <v>0</v>
      </c>
      <c r="O88" s="201">
        <f t="shared" si="5"/>
        <v>0</v>
      </c>
      <c r="R88" s="201">
        <v>7105</v>
      </c>
      <c r="S88" s="201">
        <v>7206</v>
      </c>
      <c r="T88" s="201" t="str">
        <v>MAULE</v>
      </c>
      <c r="U88" s="201" t="str">
        <v>SI</v>
      </c>
      <c r="V88" s="201">
        <v>23354</v>
      </c>
      <c r="W88" s="201">
        <v>1</v>
      </c>
      <c r="X88" s="201" t="str">
        <f t="shared" si="6"/>
        <v>Maule</v>
      </c>
    </row>
    <row r="89" spans="1:24" ht="3" customHeight="1" x14ac:dyDescent="0.25">
      <c r="A89" s="327">
        <f t="shared" si="4"/>
        <v>6</v>
      </c>
      <c r="B89" s="328">
        <f>+'CALC MEC ESTAB Y ESTIM M FINAL'!B93</f>
        <v>6109</v>
      </c>
      <c r="C89" s="328" t="str">
        <f>+'CALC MEC ESTAB Y ESTIM M FINAL'!C93</f>
        <v>MALLOA</v>
      </c>
      <c r="D89" s="329">
        <f>+'CALC MEC ESTAB Y ESTIM M FINAL'!F93</f>
        <v>1.6197581979999999E-3</v>
      </c>
      <c r="E89" s="330">
        <f>+'CALC MEC ESTAB Y ESTIM M FINAL'!V93</f>
        <v>0</v>
      </c>
      <c r="F89" s="214"/>
      <c r="J89" s="201">
        <f>+COEF_FCM!A95</f>
        <v>6109</v>
      </c>
      <c r="K89" s="201">
        <f>+COEF_FCM!B95</f>
        <v>6115</v>
      </c>
      <c r="L89" s="201" t="str">
        <f>+COEF_FCM!C95</f>
        <v>MALLOA</v>
      </c>
      <c r="M89" s="201" t="str">
        <f>+COEF_FCM!P95</f>
        <v>SI</v>
      </c>
      <c r="N89" s="201">
        <f>+COEF_FCM!AA95</f>
        <v>12585</v>
      </c>
      <c r="O89" s="201">
        <f t="shared" si="5"/>
        <v>1</v>
      </c>
      <c r="R89" s="201">
        <v>7109</v>
      </c>
      <c r="S89" s="201">
        <v>7202</v>
      </c>
      <c r="T89" s="201" t="str">
        <v>SAN CLEMENTE</v>
      </c>
      <c r="U89" s="201" t="str">
        <v>SI</v>
      </c>
      <c r="V89" s="201">
        <v>43870</v>
      </c>
      <c r="W89" s="201">
        <v>1</v>
      </c>
      <c r="X89" s="201" t="str">
        <f t="shared" si="6"/>
        <v>San Clemente</v>
      </c>
    </row>
    <row r="90" spans="1:24" ht="3" customHeight="1" x14ac:dyDescent="0.25">
      <c r="A90" s="327">
        <f t="shared" si="4"/>
        <v>6</v>
      </c>
      <c r="B90" s="328">
        <f>+'CALC MEC ESTAB Y ESTIM M FINAL'!B94</f>
        <v>6110</v>
      </c>
      <c r="C90" s="328" t="str">
        <f>+'CALC MEC ESTAB Y ESTIM M FINAL'!C94</f>
        <v>MOSTAZAL</v>
      </c>
      <c r="D90" s="329">
        <f>+'CALC MEC ESTAB Y ESTIM M FINAL'!F94</f>
        <v>1.2792245402E-3</v>
      </c>
      <c r="E90" s="330">
        <f>+'CALC MEC ESTAB Y ESTIM M FINAL'!V94</f>
        <v>0</v>
      </c>
      <c r="F90" s="214"/>
      <c r="J90" s="201">
        <f>+COEF_FCM!A96</f>
        <v>6110</v>
      </c>
      <c r="K90" s="201">
        <f>+COEF_FCM!B96</f>
        <v>6104</v>
      </c>
      <c r="L90" s="201" t="str">
        <f>+COEF_FCM!C96</f>
        <v>MOSTAZAL</v>
      </c>
      <c r="M90" s="201" t="str">
        <f>+COEF_FCM!P96</f>
        <v>NO</v>
      </c>
      <c r="N90" s="201">
        <f>+COEF_FCM!AA96</f>
        <v>0</v>
      </c>
      <c r="O90" s="201">
        <f t="shared" si="5"/>
        <v>0</v>
      </c>
      <c r="R90" s="201">
        <v>7110</v>
      </c>
      <c r="S90" s="201">
        <v>7210</v>
      </c>
      <c r="T90" s="201" t="str">
        <v>SAN RAFAEL</v>
      </c>
      <c r="U90" s="201" t="str">
        <v>SI</v>
      </c>
      <c r="V90" s="201">
        <v>13734</v>
      </c>
      <c r="W90" s="201">
        <v>1</v>
      </c>
      <c r="X90" s="201" t="str">
        <f t="shared" si="6"/>
        <v>San Rafael</v>
      </c>
    </row>
    <row r="91" spans="1:24" ht="3" customHeight="1" x14ac:dyDescent="0.25">
      <c r="A91" s="327">
        <f t="shared" si="4"/>
        <v>6</v>
      </c>
      <c r="B91" s="328">
        <f>+'CALC MEC ESTAB Y ESTIM M FINAL'!B95</f>
        <v>6111</v>
      </c>
      <c r="C91" s="328" t="str">
        <f>+'CALC MEC ESTAB Y ESTIM M FINAL'!C95</f>
        <v>OLIVAR</v>
      </c>
      <c r="D91" s="329">
        <f>+'CALC MEC ESTAB Y ESTIM M FINAL'!F95</f>
        <v>9.6531806979999993E-4</v>
      </c>
      <c r="E91" s="330">
        <f>+'CALC MEC ESTAB Y ESTIM M FINAL'!V95</f>
        <v>0</v>
      </c>
      <c r="F91" s="214"/>
      <c r="J91" s="201">
        <f>+COEF_FCM!A97</f>
        <v>6111</v>
      </c>
      <c r="K91" s="201">
        <f>+COEF_FCM!B97</f>
        <v>6114</v>
      </c>
      <c r="L91" s="201" t="str">
        <f>+COEF_FCM!C97</f>
        <v>OLIVAR</v>
      </c>
      <c r="M91" s="201" t="str">
        <f>+COEF_FCM!P97</f>
        <v>NO</v>
      </c>
      <c r="N91" s="201">
        <f>+COEF_FCM!AA97</f>
        <v>0</v>
      </c>
      <c r="O91" s="201">
        <f t="shared" si="5"/>
        <v>0</v>
      </c>
      <c r="R91" s="201">
        <v>7201</v>
      </c>
      <c r="S91" s="201">
        <v>7401</v>
      </c>
      <c r="T91" s="201" t="str">
        <v>CAUQUENES</v>
      </c>
      <c r="U91" s="201" t="str">
        <v>SI</v>
      </c>
      <c r="V91" s="201">
        <v>44658</v>
      </c>
      <c r="W91" s="201">
        <v>1</v>
      </c>
      <c r="X91" s="201" t="str">
        <f t="shared" si="6"/>
        <v>Cauquenes</v>
      </c>
    </row>
    <row r="92" spans="1:24" ht="3" customHeight="1" x14ac:dyDescent="0.25">
      <c r="A92" s="327">
        <f t="shared" si="4"/>
        <v>6</v>
      </c>
      <c r="B92" s="328">
        <f>+'CALC MEC ESTAB Y ESTIM M FINAL'!B96</f>
        <v>6112</v>
      </c>
      <c r="C92" s="328" t="str">
        <f>+'CALC MEC ESTAB Y ESTIM M FINAL'!C96</f>
        <v>PEUMO</v>
      </c>
      <c r="D92" s="329">
        <f>+'CALC MEC ESTAB Y ESTIM M FINAL'!F96</f>
        <v>1.5856656995999999E-3</v>
      </c>
      <c r="E92" s="330">
        <f>+'CALC MEC ESTAB Y ESTIM M FINAL'!V96</f>
        <v>0</v>
      </c>
      <c r="F92" s="214"/>
      <c r="J92" s="201">
        <f>+COEF_FCM!A98</f>
        <v>6112</v>
      </c>
      <c r="K92" s="201">
        <f>+COEF_FCM!B98</f>
        <v>6108</v>
      </c>
      <c r="L92" s="201" t="str">
        <f>+COEF_FCM!C98</f>
        <v>PEUMO</v>
      </c>
      <c r="M92" s="201" t="str">
        <f>+COEF_FCM!P98</f>
        <v>SI</v>
      </c>
      <c r="N92" s="201">
        <f>+COEF_FCM!AA98</f>
        <v>9347</v>
      </c>
      <c r="O92" s="201">
        <f t="shared" si="5"/>
        <v>1</v>
      </c>
      <c r="R92" s="201">
        <v>7202</v>
      </c>
      <c r="S92" s="201">
        <v>7403</v>
      </c>
      <c r="T92" s="201" t="str">
        <v>CHANCO</v>
      </c>
      <c r="U92" s="201" t="str">
        <v>SI</v>
      </c>
      <c r="V92" s="201">
        <v>18392</v>
      </c>
      <c r="W92" s="201">
        <v>1</v>
      </c>
      <c r="X92" s="201" t="str">
        <f t="shared" si="6"/>
        <v>Chanco</v>
      </c>
    </row>
    <row r="93" spans="1:24" ht="3" customHeight="1" x14ac:dyDescent="0.25">
      <c r="A93" s="327">
        <f t="shared" si="4"/>
        <v>6</v>
      </c>
      <c r="B93" s="328">
        <f>+'CALC MEC ESTAB Y ESTIM M FINAL'!B97</f>
        <v>6113</v>
      </c>
      <c r="C93" s="328" t="str">
        <f>+'CALC MEC ESTAB Y ESTIM M FINAL'!C97</f>
        <v>PICHIDEGUA</v>
      </c>
      <c r="D93" s="329">
        <f>+'CALC MEC ESTAB Y ESTIM M FINAL'!F97</f>
        <v>2.2538442124E-3</v>
      </c>
      <c r="E93" s="330">
        <f>+'CALC MEC ESTAB Y ESTIM M FINAL'!V97</f>
        <v>0</v>
      </c>
      <c r="F93" s="214"/>
      <c r="J93" s="201">
        <f>+COEF_FCM!A99</f>
        <v>6113</v>
      </c>
      <c r="K93" s="201">
        <f>+COEF_FCM!B99</f>
        <v>6111</v>
      </c>
      <c r="L93" s="201" t="str">
        <f>+COEF_FCM!C99</f>
        <v>PICHIDEGUA</v>
      </c>
      <c r="M93" s="201" t="str">
        <f>+COEF_FCM!P99</f>
        <v>SI</v>
      </c>
      <c r="N93" s="201">
        <f>+COEF_FCM!AA99</f>
        <v>21007</v>
      </c>
      <c r="O93" s="201">
        <f t="shared" si="5"/>
        <v>1</v>
      </c>
      <c r="R93" s="201">
        <v>7203</v>
      </c>
      <c r="S93" s="201">
        <v>7402</v>
      </c>
      <c r="T93" s="201" t="str">
        <v>PELLUHUE</v>
      </c>
      <c r="U93" s="201" t="str">
        <v>SI</v>
      </c>
      <c r="V93" s="201">
        <v>64632</v>
      </c>
      <c r="W93" s="201">
        <v>1</v>
      </c>
      <c r="X93" s="201" t="str">
        <f t="shared" si="6"/>
        <v>Pelluhue</v>
      </c>
    </row>
    <row r="94" spans="1:24" ht="3" customHeight="1" x14ac:dyDescent="0.25">
      <c r="A94" s="327">
        <f t="shared" si="4"/>
        <v>6</v>
      </c>
      <c r="B94" s="328">
        <f>+'CALC MEC ESTAB Y ESTIM M FINAL'!B98</f>
        <v>6114</v>
      </c>
      <c r="C94" s="328" t="str">
        <f>+'CALC MEC ESTAB Y ESTIM M FINAL'!C98</f>
        <v>QUINTA DE TILCOCO</v>
      </c>
      <c r="D94" s="329">
        <f>+'CALC MEC ESTAB Y ESTIM M FINAL'!F98</f>
        <v>1.3709855323E-3</v>
      </c>
      <c r="E94" s="330">
        <f>+'CALC MEC ESTAB Y ESTIM M FINAL'!V98</f>
        <v>0</v>
      </c>
      <c r="F94" s="214"/>
      <c r="J94" s="201">
        <f>+COEF_FCM!A100</f>
        <v>6114</v>
      </c>
      <c r="K94" s="201">
        <f>+COEF_FCM!B100</f>
        <v>6117</v>
      </c>
      <c r="L94" s="201" t="str">
        <f>+COEF_FCM!C100</f>
        <v>QUINTA DE TILCOCO</v>
      </c>
      <c r="M94" s="201" t="str">
        <f>+COEF_FCM!P100</f>
        <v>SI</v>
      </c>
      <c r="N94" s="201">
        <f>+COEF_FCM!AA100</f>
        <v>6457</v>
      </c>
      <c r="O94" s="201">
        <f t="shared" si="5"/>
        <v>1</v>
      </c>
      <c r="R94" s="201">
        <v>7301</v>
      </c>
      <c r="S94" s="201">
        <v>7101</v>
      </c>
      <c r="T94" s="201" t="str">
        <v>CURICÓ</v>
      </c>
      <c r="U94" s="201" t="str">
        <v>SI</v>
      </c>
      <c r="V94" s="201">
        <v>87162</v>
      </c>
      <c r="W94" s="201">
        <v>1</v>
      </c>
      <c r="X94" s="201" t="str">
        <f t="shared" si="6"/>
        <v>Curicó</v>
      </c>
    </row>
    <row r="95" spans="1:24" ht="3" customHeight="1" x14ac:dyDescent="0.25">
      <c r="A95" s="327">
        <f t="shared" si="4"/>
        <v>6</v>
      </c>
      <c r="B95" s="328">
        <f>+'CALC MEC ESTAB Y ESTIM M FINAL'!B99</f>
        <v>6115</v>
      </c>
      <c r="C95" s="328" t="str">
        <f>+'CALC MEC ESTAB Y ESTIM M FINAL'!C99</f>
        <v>RENGO</v>
      </c>
      <c r="D95" s="329">
        <f>+'CALC MEC ESTAB Y ESTIM M FINAL'!F99</f>
        <v>4.0675989789999995E-3</v>
      </c>
      <c r="E95" s="330">
        <f>+'CALC MEC ESTAB Y ESTIM M FINAL'!V99</f>
        <v>0</v>
      </c>
      <c r="F95" s="214"/>
      <c r="J95" s="201">
        <f>+COEF_FCM!A101</f>
        <v>6115</v>
      </c>
      <c r="K95" s="201">
        <f>+COEF_FCM!B101</f>
        <v>6112</v>
      </c>
      <c r="L95" s="201" t="str">
        <f>+COEF_FCM!C101</f>
        <v>RENGO</v>
      </c>
      <c r="M95" s="201" t="str">
        <f>+COEF_FCM!P101</f>
        <v>SI</v>
      </c>
      <c r="N95" s="201">
        <f>+COEF_FCM!AA101</f>
        <v>39361</v>
      </c>
      <c r="O95" s="201">
        <f t="shared" si="5"/>
        <v>1</v>
      </c>
      <c r="R95" s="201">
        <v>7302</v>
      </c>
      <c r="S95" s="201">
        <v>7107</v>
      </c>
      <c r="T95" s="201" t="str">
        <v>HUALAÑÉ</v>
      </c>
      <c r="U95" s="201" t="str">
        <v>SI</v>
      </c>
      <c r="V95" s="201">
        <v>15292</v>
      </c>
      <c r="W95" s="201">
        <v>1</v>
      </c>
      <c r="X95" s="201" t="str">
        <f t="shared" si="6"/>
        <v>Hualañé</v>
      </c>
    </row>
    <row r="96" spans="1:24" ht="3" customHeight="1" x14ac:dyDescent="0.25">
      <c r="A96" s="327">
        <f t="shared" si="4"/>
        <v>6</v>
      </c>
      <c r="B96" s="328">
        <f>+'CALC MEC ESTAB Y ESTIM M FINAL'!B100</f>
        <v>6116</v>
      </c>
      <c r="C96" s="328" t="str">
        <f>+'CALC MEC ESTAB Y ESTIM M FINAL'!C100</f>
        <v>REQUÍNOA</v>
      </c>
      <c r="D96" s="329">
        <f>+'CALC MEC ESTAB Y ESTIM M FINAL'!F100</f>
        <v>1.1739041094999999E-3</v>
      </c>
      <c r="E96" s="330">
        <f>+'CALC MEC ESTAB Y ESTIM M FINAL'!V100</f>
        <v>0</v>
      </c>
      <c r="F96" s="214"/>
      <c r="J96" s="201">
        <f>+COEF_FCM!A102</f>
        <v>6116</v>
      </c>
      <c r="K96" s="201">
        <f>+COEF_FCM!B102</f>
        <v>6113</v>
      </c>
      <c r="L96" s="201" t="str">
        <f>+COEF_FCM!C102</f>
        <v>REQUÍNOA</v>
      </c>
      <c r="M96" s="201" t="str">
        <f>+COEF_FCM!P102</f>
        <v>NO</v>
      </c>
      <c r="N96" s="201">
        <f>+COEF_FCM!AA102</f>
        <v>0</v>
      </c>
      <c r="O96" s="201">
        <f t="shared" si="5"/>
        <v>0</v>
      </c>
      <c r="R96" s="201">
        <v>7303</v>
      </c>
      <c r="S96" s="201">
        <v>7105</v>
      </c>
      <c r="T96" s="201" t="str">
        <v>LICANTÉN</v>
      </c>
      <c r="U96" s="201" t="str">
        <v>SI</v>
      </c>
      <c r="V96" s="201">
        <v>52536</v>
      </c>
      <c r="W96" s="201">
        <v>1</v>
      </c>
      <c r="X96" s="201" t="str">
        <f t="shared" si="6"/>
        <v>Licantén</v>
      </c>
    </row>
    <row r="97" spans="1:24" ht="3" customHeight="1" x14ac:dyDescent="0.25">
      <c r="A97" s="327">
        <f t="shared" si="4"/>
        <v>6</v>
      </c>
      <c r="B97" s="328">
        <f>+'CALC MEC ESTAB Y ESTIM M FINAL'!B101</f>
        <v>6117</v>
      </c>
      <c r="C97" s="328" t="str">
        <f>+'CALC MEC ESTAB Y ESTIM M FINAL'!C101</f>
        <v>SAN VICENTE</v>
      </c>
      <c r="D97" s="329">
        <f>+'CALC MEC ESTAB Y ESTIM M FINAL'!F101</f>
        <v>3.8095670810999998E-3</v>
      </c>
      <c r="E97" s="330">
        <f>+'CALC MEC ESTAB Y ESTIM M FINAL'!V101</f>
        <v>0</v>
      </c>
      <c r="F97" s="214"/>
      <c r="J97" s="201">
        <f>+COEF_FCM!A103</f>
        <v>6117</v>
      </c>
      <c r="K97" s="201">
        <f>+COEF_FCM!B103</f>
        <v>6110</v>
      </c>
      <c r="L97" s="201" t="str">
        <f>+COEF_FCM!C103</f>
        <v>SAN VICENTE</v>
      </c>
      <c r="M97" s="201" t="str">
        <f>+COEF_FCM!P103</f>
        <v>SI</v>
      </c>
      <c r="N97" s="201">
        <f>+COEF_FCM!AA103</f>
        <v>38949</v>
      </c>
      <c r="O97" s="201">
        <f t="shared" si="5"/>
        <v>1</v>
      </c>
      <c r="R97" s="201">
        <v>7304</v>
      </c>
      <c r="S97" s="201">
        <v>7108</v>
      </c>
      <c r="T97" s="201" t="str">
        <v>MOLINA</v>
      </c>
      <c r="U97" s="201" t="str">
        <v>SI</v>
      </c>
      <c r="V97" s="201">
        <v>39974</v>
      </c>
      <c r="W97" s="201">
        <v>1</v>
      </c>
      <c r="X97" s="201" t="str">
        <f t="shared" si="6"/>
        <v>Molina</v>
      </c>
    </row>
    <row r="98" spans="1:24" ht="3" customHeight="1" x14ac:dyDescent="0.25">
      <c r="A98" s="327">
        <f t="shared" si="4"/>
        <v>6</v>
      </c>
      <c r="B98" s="328">
        <f>+'CALC MEC ESTAB Y ESTIM M FINAL'!B102</f>
        <v>6201</v>
      </c>
      <c r="C98" s="328" t="str">
        <f>+'CALC MEC ESTAB Y ESTIM M FINAL'!C102</f>
        <v>PICHILEMU</v>
      </c>
      <c r="D98" s="329">
        <f>+'CALC MEC ESTAB Y ESTIM M FINAL'!F102</f>
        <v>1.2854716422999999E-3</v>
      </c>
      <c r="E98" s="330">
        <f>+'CALC MEC ESTAB Y ESTIM M FINAL'!V102</f>
        <v>8686217</v>
      </c>
      <c r="F98" s="214"/>
      <c r="J98" s="201">
        <f>+COEF_FCM!A104</f>
        <v>6201</v>
      </c>
      <c r="K98" s="201">
        <f>+COEF_FCM!B104</f>
        <v>6301</v>
      </c>
      <c r="L98" s="201" t="str">
        <f>+COEF_FCM!C104</f>
        <v>PICHILEMU</v>
      </c>
      <c r="M98" s="201" t="str">
        <f>+COEF_FCM!P104</f>
        <v>NO</v>
      </c>
      <c r="N98" s="201">
        <f>+COEF_FCM!AA104</f>
        <v>0</v>
      </c>
      <c r="O98" s="201">
        <f t="shared" si="5"/>
        <v>0</v>
      </c>
      <c r="R98" s="201">
        <v>7305</v>
      </c>
      <c r="S98" s="201">
        <v>7104</v>
      </c>
      <c r="T98" s="201" t="str">
        <v>RAUCO</v>
      </c>
      <c r="U98" s="201" t="str">
        <v>SI</v>
      </c>
      <c r="V98" s="201">
        <v>6617</v>
      </c>
      <c r="W98" s="201">
        <v>1</v>
      </c>
      <c r="X98" s="201" t="str">
        <f t="shared" si="6"/>
        <v>Rauco</v>
      </c>
    </row>
    <row r="99" spans="1:24" ht="3" customHeight="1" x14ac:dyDescent="0.25">
      <c r="A99" s="327">
        <f t="shared" si="4"/>
        <v>6</v>
      </c>
      <c r="B99" s="328">
        <f>+'CALC MEC ESTAB Y ESTIM M FINAL'!B103</f>
        <v>6202</v>
      </c>
      <c r="C99" s="328" t="str">
        <f>+'CALC MEC ESTAB Y ESTIM M FINAL'!C103</f>
        <v>LA ESTRELLA</v>
      </c>
      <c r="D99" s="329">
        <f>+'CALC MEC ESTAB Y ESTIM M FINAL'!F103</f>
        <v>8.0153208889999997E-4</v>
      </c>
      <c r="E99" s="330">
        <f>+'CALC MEC ESTAB Y ESTIM M FINAL'!V103</f>
        <v>0</v>
      </c>
      <c r="F99" s="214"/>
      <c r="J99" s="201">
        <f>+COEF_FCM!A105</f>
        <v>6202</v>
      </c>
      <c r="K99" s="201">
        <f>+COEF_FCM!B105</f>
        <v>6304</v>
      </c>
      <c r="L99" s="201" t="str">
        <f>+COEF_FCM!C105</f>
        <v>LA ESTRELLA</v>
      </c>
      <c r="M99" s="201" t="str">
        <f>+COEF_FCM!P105</f>
        <v>NO</v>
      </c>
      <c r="N99" s="201">
        <f>+COEF_FCM!AA105</f>
        <v>0</v>
      </c>
      <c r="O99" s="201">
        <f t="shared" si="5"/>
        <v>0</v>
      </c>
      <c r="R99" s="201">
        <v>7401</v>
      </c>
      <c r="S99" s="201">
        <v>7301</v>
      </c>
      <c r="T99" s="201" t="str">
        <v>LINARES</v>
      </c>
      <c r="U99" s="201" t="str">
        <v>SI</v>
      </c>
      <c r="V99" s="201">
        <v>79789</v>
      </c>
      <c r="W99" s="201">
        <v>1</v>
      </c>
      <c r="X99" s="201" t="str">
        <f t="shared" si="6"/>
        <v>Linares</v>
      </c>
    </row>
    <row r="100" spans="1:24" ht="3" customHeight="1" x14ac:dyDescent="0.25">
      <c r="A100" s="327">
        <f t="shared" si="4"/>
        <v>6</v>
      </c>
      <c r="B100" s="328">
        <f>+'CALC MEC ESTAB Y ESTIM M FINAL'!B104</f>
        <v>6203</v>
      </c>
      <c r="C100" s="328" t="str">
        <f>+'CALC MEC ESTAB Y ESTIM M FINAL'!C104</f>
        <v>LITUECHE</v>
      </c>
      <c r="D100" s="329">
        <f>+'CALC MEC ESTAB Y ESTIM M FINAL'!F104</f>
        <v>8.5458872600000001E-4</v>
      </c>
      <c r="E100" s="330">
        <f>+'CALC MEC ESTAB Y ESTIM M FINAL'!V104</f>
        <v>0</v>
      </c>
      <c r="F100" s="214"/>
      <c r="J100" s="201">
        <f>+COEF_FCM!A106</f>
        <v>6203</v>
      </c>
      <c r="K100" s="201">
        <f>+COEF_FCM!B106</f>
        <v>6303</v>
      </c>
      <c r="L100" s="201" t="str">
        <f>+COEF_FCM!C106</f>
        <v>LITUECHE</v>
      </c>
      <c r="M100" s="201" t="str">
        <f>+COEF_FCM!P106</f>
        <v>NO</v>
      </c>
      <c r="N100" s="201">
        <f>+COEF_FCM!AA106</f>
        <v>0</v>
      </c>
      <c r="O100" s="201">
        <f t="shared" si="5"/>
        <v>0</v>
      </c>
      <c r="R100" s="201">
        <v>7402</v>
      </c>
      <c r="S100" s="201">
        <v>7303</v>
      </c>
      <c r="T100" s="201" t="str">
        <v>COLBÚN</v>
      </c>
      <c r="U100" s="201" t="str">
        <v>SI</v>
      </c>
      <c r="V100" s="201">
        <v>31225</v>
      </c>
      <c r="W100" s="201">
        <v>1</v>
      </c>
      <c r="X100" s="201" t="str">
        <f t="shared" si="6"/>
        <v>Colbún</v>
      </c>
    </row>
    <row r="101" spans="1:24" ht="3" customHeight="1" x14ac:dyDescent="0.25">
      <c r="A101" s="327">
        <f t="shared" si="4"/>
        <v>6</v>
      </c>
      <c r="B101" s="328">
        <f>+'CALC MEC ESTAB Y ESTIM M FINAL'!B105</f>
        <v>6204</v>
      </c>
      <c r="C101" s="328" t="str">
        <f>+'CALC MEC ESTAB Y ESTIM M FINAL'!C105</f>
        <v>MARCHIHUE</v>
      </c>
      <c r="D101" s="329">
        <f>+'CALC MEC ESTAB Y ESTIM M FINAL'!F105</f>
        <v>9.0775546249999989E-4</v>
      </c>
      <c r="E101" s="330">
        <f>+'CALC MEC ESTAB Y ESTIM M FINAL'!V105</f>
        <v>0</v>
      </c>
      <c r="F101" s="214"/>
      <c r="J101" s="201">
        <f>+COEF_FCM!A107</f>
        <v>6204</v>
      </c>
      <c r="K101" s="201">
        <f>+COEF_FCM!B107</f>
        <v>6305</v>
      </c>
      <c r="L101" s="201" t="str">
        <f>+COEF_FCM!C107</f>
        <v>MARCHIHUE</v>
      </c>
      <c r="M101" s="201" t="str">
        <f>+COEF_FCM!P107</f>
        <v>NO</v>
      </c>
      <c r="N101" s="201">
        <f>+COEF_FCM!AA107</f>
        <v>0</v>
      </c>
      <c r="O101" s="201">
        <f t="shared" si="5"/>
        <v>0</v>
      </c>
      <c r="R101" s="201">
        <v>7403</v>
      </c>
      <c r="S101" s="201">
        <v>7304</v>
      </c>
      <c r="T101" s="201" t="str">
        <v>LONGAVÍ</v>
      </c>
      <c r="U101" s="201" t="str">
        <v>SI</v>
      </c>
      <c r="V101" s="201">
        <v>38566</v>
      </c>
      <c r="W101" s="201">
        <v>1</v>
      </c>
      <c r="X101" s="201" t="str">
        <f t="shared" si="6"/>
        <v>Longaví</v>
      </c>
    </row>
    <row r="102" spans="1:24" ht="3" customHeight="1" x14ac:dyDescent="0.25">
      <c r="A102" s="327">
        <f t="shared" si="4"/>
        <v>6</v>
      </c>
      <c r="B102" s="328">
        <f>+'CALC MEC ESTAB Y ESTIM M FINAL'!B106</f>
        <v>6205</v>
      </c>
      <c r="C102" s="328" t="str">
        <f>+'CALC MEC ESTAB Y ESTIM M FINAL'!C106</f>
        <v>NAVIDAD</v>
      </c>
      <c r="D102" s="329">
        <f>+'CALC MEC ESTAB Y ESTIM M FINAL'!F106</f>
        <v>1.0376677706999998E-3</v>
      </c>
      <c r="E102" s="330">
        <f>+'CALC MEC ESTAB Y ESTIM M FINAL'!V106</f>
        <v>4310875</v>
      </c>
      <c r="F102" s="214"/>
      <c r="J102" s="201">
        <f>+COEF_FCM!A108</f>
        <v>6205</v>
      </c>
      <c r="K102" s="201">
        <f>+COEF_FCM!B108</f>
        <v>6302</v>
      </c>
      <c r="L102" s="201" t="str">
        <f>+COEF_FCM!C108</f>
        <v>NAVIDAD</v>
      </c>
      <c r="M102" s="201" t="str">
        <f>+COEF_FCM!P108</f>
        <v>NO</v>
      </c>
      <c r="N102" s="201">
        <f>+COEF_FCM!AA108</f>
        <v>0</v>
      </c>
      <c r="O102" s="201">
        <f t="shared" si="5"/>
        <v>0</v>
      </c>
      <c r="R102" s="201">
        <v>7404</v>
      </c>
      <c r="S102" s="201">
        <v>7305</v>
      </c>
      <c r="T102" s="201" t="str">
        <v>PARRAL</v>
      </c>
      <c r="U102" s="201" t="str">
        <v>SI</v>
      </c>
      <c r="V102" s="201">
        <v>54910</v>
      </c>
      <c r="W102" s="201">
        <v>1</v>
      </c>
      <c r="X102" s="201" t="str">
        <f t="shared" si="6"/>
        <v>Parral</v>
      </c>
    </row>
    <row r="103" spans="1:24" ht="3" customHeight="1" x14ac:dyDescent="0.25">
      <c r="A103" s="327">
        <f t="shared" si="4"/>
        <v>6</v>
      </c>
      <c r="B103" s="328">
        <f>+'CALC MEC ESTAB Y ESTIM M FINAL'!B107</f>
        <v>6206</v>
      </c>
      <c r="C103" s="328" t="str">
        <f>+'CALC MEC ESTAB Y ESTIM M FINAL'!C107</f>
        <v>PAREDONES</v>
      </c>
      <c r="D103" s="329">
        <f>+'CALC MEC ESTAB Y ESTIM M FINAL'!F107</f>
        <v>9.7232352999999992E-4</v>
      </c>
      <c r="E103" s="330">
        <f>+'CALC MEC ESTAB Y ESTIM M FINAL'!V107</f>
        <v>1149408</v>
      </c>
      <c r="F103" s="214"/>
      <c r="J103" s="201">
        <f>+COEF_FCM!A109</f>
        <v>6206</v>
      </c>
      <c r="K103" s="201">
        <f>+COEF_FCM!B109</f>
        <v>6306</v>
      </c>
      <c r="L103" s="201" t="str">
        <f>+COEF_FCM!C109</f>
        <v>PAREDONES</v>
      </c>
      <c r="M103" s="201" t="str">
        <f>+COEF_FCM!P109</f>
        <v>NO</v>
      </c>
      <c r="N103" s="201">
        <f>+COEF_FCM!AA109</f>
        <v>0</v>
      </c>
      <c r="O103" s="201">
        <f t="shared" si="5"/>
        <v>0</v>
      </c>
      <c r="R103" s="201">
        <v>7405</v>
      </c>
      <c r="S103" s="201">
        <v>7306</v>
      </c>
      <c r="T103" s="201" t="str">
        <v>RETIRO</v>
      </c>
      <c r="U103" s="201" t="str">
        <v>SI</v>
      </c>
      <c r="V103" s="201">
        <v>27077</v>
      </c>
      <c r="W103" s="201">
        <v>1</v>
      </c>
      <c r="X103" s="201" t="str">
        <f t="shared" si="6"/>
        <v>Retiro</v>
      </c>
    </row>
    <row r="104" spans="1:24" ht="3" customHeight="1" x14ac:dyDescent="0.25">
      <c r="A104" s="327">
        <f t="shared" si="4"/>
        <v>6</v>
      </c>
      <c r="B104" s="328">
        <f>+'CALC MEC ESTAB Y ESTIM M FINAL'!B108</f>
        <v>6301</v>
      </c>
      <c r="C104" s="328" t="str">
        <f>+'CALC MEC ESTAB Y ESTIM M FINAL'!C108</f>
        <v>SAN FERNANDO</v>
      </c>
      <c r="D104" s="329">
        <f>+'CALC MEC ESTAB Y ESTIM M FINAL'!F108</f>
        <v>4.0257945061999995E-3</v>
      </c>
      <c r="E104" s="330">
        <f>+'CALC MEC ESTAB Y ESTIM M FINAL'!V108</f>
        <v>0</v>
      </c>
      <c r="F104" s="214"/>
      <c r="J104" s="201">
        <f>+COEF_FCM!A110</f>
        <v>6301</v>
      </c>
      <c r="K104" s="201">
        <f>+COEF_FCM!B110</f>
        <v>6201</v>
      </c>
      <c r="L104" s="201" t="str">
        <f>+COEF_FCM!C110</f>
        <v>SAN FERNANDO</v>
      </c>
      <c r="M104" s="201" t="str">
        <f>+COEF_FCM!P110</f>
        <v>SI</v>
      </c>
      <c r="N104" s="201">
        <f>+COEF_FCM!AA110</f>
        <v>56667</v>
      </c>
      <c r="O104" s="201">
        <f t="shared" si="5"/>
        <v>1</v>
      </c>
      <c r="R104" s="201">
        <v>7406</v>
      </c>
      <c r="S104" s="201">
        <v>7310</v>
      </c>
      <c r="T104" s="201" t="str">
        <v>SAN JAVIER</v>
      </c>
      <c r="U104" s="201" t="str">
        <v>SI</v>
      </c>
      <c r="V104" s="201">
        <v>40150</v>
      </c>
      <c r="W104" s="201">
        <v>1</v>
      </c>
      <c r="X104" s="201" t="str">
        <f t="shared" si="6"/>
        <v>San Javier</v>
      </c>
    </row>
    <row r="105" spans="1:24" ht="3" customHeight="1" x14ac:dyDescent="0.25">
      <c r="A105" s="327">
        <f t="shared" si="4"/>
        <v>6</v>
      </c>
      <c r="B105" s="328">
        <f>+'CALC MEC ESTAB Y ESTIM M FINAL'!B109</f>
        <v>6302</v>
      </c>
      <c r="C105" s="328" t="str">
        <f>+'CALC MEC ESTAB Y ESTIM M FINAL'!C109</f>
        <v>CHÉPICA</v>
      </c>
      <c r="D105" s="329">
        <f>+'CALC MEC ESTAB Y ESTIM M FINAL'!F109</f>
        <v>1.8415178653E-3</v>
      </c>
      <c r="E105" s="330">
        <f>+'CALC MEC ESTAB Y ESTIM M FINAL'!V109</f>
        <v>0</v>
      </c>
      <c r="F105" s="214"/>
      <c r="J105" s="201">
        <f>+COEF_FCM!A111</f>
        <v>6302</v>
      </c>
      <c r="K105" s="201">
        <f>+COEF_FCM!B111</f>
        <v>6209</v>
      </c>
      <c r="L105" s="201" t="str">
        <f>+COEF_FCM!C111</f>
        <v>CHÉPICA</v>
      </c>
      <c r="M105" s="201" t="str">
        <f>+COEF_FCM!P111</f>
        <v>SI</v>
      </c>
      <c r="N105" s="201">
        <f>+COEF_FCM!AA111</f>
        <v>11701</v>
      </c>
      <c r="O105" s="201">
        <f t="shared" si="5"/>
        <v>1</v>
      </c>
      <c r="R105" s="201">
        <v>7407</v>
      </c>
      <c r="S105" s="201">
        <v>7309</v>
      </c>
      <c r="T105" s="201" t="str">
        <v>VILLA ALEGRE</v>
      </c>
      <c r="U105" s="201" t="str">
        <v>SI</v>
      </c>
      <c r="V105" s="201">
        <v>17683</v>
      </c>
      <c r="W105" s="201">
        <v>1</v>
      </c>
      <c r="X105" s="201" t="str">
        <f t="shared" si="6"/>
        <v>Villa Alegre</v>
      </c>
    </row>
    <row r="106" spans="1:24" ht="3" customHeight="1" x14ac:dyDescent="0.25">
      <c r="A106" s="327">
        <f t="shared" si="4"/>
        <v>6</v>
      </c>
      <c r="B106" s="328">
        <f>+'CALC MEC ESTAB Y ESTIM M FINAL'!B110</f>
        <v>6303</v>
      </c>
      <c r="C106" s="328" t="str">
        <f>+'CALC MEC ESTAB Y ESTIM M FINAL'!C110</f>
        <v>CHIMBARONGO</v>
      </c>
      <c r="D106" s="329">
        <f>+'CALC MEC ESTAB Y ESTIM M FINAL'!F110</f>
        <v>3.2989639376000001E-3</v>
      </c>
      <c r="E106" s="330">
        <f>+'CALC MEC ESTAB Y ESTIM M FINAL'!V110</f>
        <v>0</v>
      </c>
      <c r="F106" s="214"/>
      <c r="J106" s="201">
        <f>+COEF_FCM!A112</f>
        <v>6303</v>
      </c>
      <c r="K106" s="201">
        <f>+COEF_FCM!B112</f>
        <v>6202</v>
      </c>
      <c r="L106" s="201" t="str">
        <f>+COEF_FCM!C112</f>
        <v>CHIMBARONGO</v>
      </c>
      <c r="M106" s="201" t="str">
        <f>+COEF_FCM!P112</f>
        <v>SI</v>
      </c>
      <c r="N106" s="201">
        <f>+COEF_FCM!AA112</f>
        <v>38023</v>
      </c>
      <c r="O106" s="201">
        <f t="shared" si="5"/>
        <v>1</v>
      </c>
      <c r="R106" s="201">
        <v>7408</v>
      </c>
      <c r="S106" s="201">
        <v>7302</v>
      </c>
      <c r="T106" s="201" t="str">
        <v>YERBAS BUENAS</v>
      </c>
      <c r="U106" s="201" t="str">
        <v>SI</v>
      </c>
      <c r="V106" s="201">
        <v>15978</v>
      </c>
      <c r="W106" s="201">
        <v>1</v>
      </c>
      <c r="X106" s="201" t="str">
        <f t="shared" si="6"/>
        <v>Yerbas Buenas</v>
      </c>
    </row>
    <row r="107" spans="1:24" ht="3" customHeight="1" x14ac:dyDescent="0.25">
      <c r="A107" s="327">
        <f t="shared" si="4"/>
        <v>6</v>
      </c>
      <c r="B107" s="328">
        <f>+'CALC MEC ESTAB Y ESTIM M FINAL'!B111</f>
        <v>6304</v>
      </c>
      <c r="C107" s="328" t="str">
        <f>+'CALC MEC ESTAB Y ESTIM M FINAL'!C111</f>
        <v>LOLOL</v>
      </c>
      <c r="D107" s="329">
        <f>+'CALC MEC ESTAB Y ESTIM M FINAL'!F111</f>
        <v>9.8639088509999999E-4</v>
      </c>
      <c r="E107" s="330">
        <f>+'CALC MEC ESTAB Y ESTIM M FINAL'!V111</f>
        <v>0</v>
      </c>
      <c r="F107" s="214"/>
      <c r="J107" s="201">
        <f>+COEF_FCM!A113</f>
        <v>6304</v>
      </c>
      <c r="K107" s="201">
        <f>+COEF_FCM!B113</f>
        <v>6206</v>
      </c>
      <c r="L107" s="201" t="str">
        <f>+COEF_FCM!C113</f>
        <v>LOLOL</v>
      </c>
      <c r="M107" s="201" t="str">
        <f>+COEF_FCM!P113</f>
        <v>NO</v>
      </c>
      <c r="N107" s="201">
        <f>+COEF_FCM!AA113</f>
        <v>0</v>
      </c>
      <c r="O107" s="201">
        <f t="shared" si="5"/>
        <v>0</v>
      </c>
      <c r="R107" s="201">
        <v>8102</v>
      </c>
      <c r="S107" s="201">
        <v>8207</v>
      </c>
      <c r="T107" s="201" t="str">
        <v>CORONEL</v>
      </c>
      <c r="U107" s="201" t="str">
        <v>SI</v>
      </c>
      <c r="V107" s="201">
        <v>38603</v>
      </c>
      <c r="W107" s="201">
        <v>1</v>
      </c>
      <c r="X107" s="201" t="str">
        <f t="shared" si="6"/>
        <v>Coronel</v>
      </c>
    </row>
    <row r="108" spans="1:24" ht="3" customHeight="1" x14ac:dyDescent="0.25">
      <c r="A108" s="327">
        <f t="shared" si="4"/>
        <v>6</v>
      </c>
      <c r="B108" s="328">
        <f>+'CALC MEC ESTAB Y ESTIM M FINAL'!B112</f>
        <v>6305</v>
      </c>
      <c r="C108" s="328" t="str">
        <f>+'CALC MEC ESTAB Y ESTIM M FINAL'!C112</f>
        <v>NANCAGUA</v>
      </c>
      <c r="D108" s="329">
        <f>+'CALC MEC ESTAB Y ESTIM M FINAL'!F112</f>
        <v>1.6886186238E-3</v>
      </c>
      <c r="E108" s="330">
        <f>+'CALC MEC ESTAB Y ESTIM M FINAL'!V112</f>
        <v>0</v>
      </c>
      <c r="F108" s="214"/>
      <c r="J108" s="201">
        <f>+COEF_FCM!A114</f>
        <v>6305</v>
      </c>
      <c r="K108" s="201">
        <f>+COEF_FCM!B114</f>
        <v>6203</v>
      </c>
      <c r="L108" s="201" t="str">
        <f>+COEF_FCM!C114</f>
        <v>NANCAGUA</v>
      </c>
      <c r="M108" s="201" t="str">
        <f>+COEF_FCM!P114</f>
        <v>SI</v>
      </c>
      <c r="N108" s="201">
        <f>+COEF_FCM!AA114</f>
        <v>12913</v>
      </c>
      <c r="O108" s="201">
        <f t="shared" si="5"/>
        <v>1</v>
      </c>
      <c r="R108" s="201">
        <v>8103</v>
      </c>
      <c r="S108" s="201">
        <v>8211</v>
      </c>
      <c r="T108" s="201" t="str">
        <v>CHIGUAYANTE</v>
      </c>
      <c r="U108" s="201" t="str">
        <v>SI</v>
      </c>
      <c r="V108" s="201">
        <v>24162</v>
      </c>
      <c r="W108" s="201">
        <v>1</v>
      </c>
      <c r="X108" s="201" t="str">
        <f t="shared" si="6"/>
        <v>Chiguayante</v>
      </c>
    </row>
    <row r="109" spans="1:24" ht="3" customHeight="1" x14ac:dyDescent="0.25">
      <c r="A109" s="327">
        <f t="shared" si="4"/>
        <v>6</v>
      </c>
      <c r="B109" s="328">
        <f>+'CALC MEC ESTAB Y ESTIM M FINAL'!B113</f>
        <v>6306</v>
      </c>
      <c r="C109" s="328" t="str">
        <f>+'CALC MEC ESTAB Y ESTIM M FINAL'!C113</f>
        <v>PALMILLA</v>
      </c>
      <c r="D109" s="329">
        <f>+'CALC MEC ESTAB Y ESTIM M FINAL'!F113</f>
        <v>1.0309553058999998E-3</v>
      </c>
      <c r="E109" s="330">
        <f>+'CALC MEC ESTAB Y ESTIM M FINAL'!V113</f>
        <v>0</v>
      </c>
      <c r="F109" s="214"/>
      <c r="J109" s="201">
        <f>+COEF_FCM!A115</f>
        <v>6306</v>
      </c>
      <c r="K109" s="201">
        <f>+COEF_FCM!B115</f>
        <v>6207</v>
      </c>
      <c r="L109" s="201" t="str">
        <f>+COEF_FCM!C115</f>
        <v>PALMILLA</v>
      </c>
      <c r="M109" s="201" t="str">
        <f>+COEF_FCM!P115</f>
        <v>NO</v>
      </c>
      <c r="N109" s="201">
        <f>+COEF_FCM!AA115</f>
        <v>0</v>
      </c>
      <c r="O109" s="201">
        <f t="shared" si="5"/>
        <v>0</v>
      </c>
      <c r="R109" s="201">
        <v>8104</v>
      </c>
      <c r="S109" s="201">
        <v>8204</v>
      </c>
      <c r="T109" s="201" t="str">
        <v>FLORIDA</v>
      </c>
      <c r="U109" s="201" t="str">
        <v>SI</v>
      </c>
      <c r="V109" s="201">
        <v>18751</v>
      </c>
      <c r="W109" s="201">
        <v>1</v>
      </c>
      <c r="X109" s="201" t="str">
        <f t="shared" si="6"/>
        <v>Florida</v>
      </c>
    </row>
    <row r="110" spans="1:24" ht="3" customHeight="1" x14ac:dyDescent="0.25">
      <c r="A110" s="327">
        <f t="shared" si="4"/>
        <v>6</v>
      </c>
      <c r="B110" s="328">
        <f>+'CALC MEC ESTAB Y ESTIM M FINAL'!B114</f>
        <v>6307</v>
      </c>
      <c r="C110" s="328" t="str">
        <f>+'CALC MEC ESTAB Y ESTIM M FINAL'!C114</f>
        <v>PERALILLO</v>
      </c>
      <c r="D110" s="329">
        <f>+'CALC MEC ESTAB Y ESTIM M FINAL'!F114</f>
        <v>9.9508797219999994E-4</v>
      </c>
      <c r="E110" s="330">
        <f>+'CALC MEC ESTAB Y ESTIM M FINAL'!V114</f>
        <v>0</v>
      </c>
      <c r="F110" s="214"/>
      <c r="J110" s="201">
        <f>+COEF_FCM!A116</f>
        <v>6307</v>
      </c>
      <c r="K110" s="201">
        <f>+COEF_FCM!B116</f>
        <v>6208</v>
      </c>
      <c r="L110" s="201" t="str">
        <f>+COEF_FCM!C116</f>
        <v>PERALILLO</v>
      </c>
      <c r="M110" s="201" t="str">
        <f>+COEF_FCM!P116</f>
        <v>NO</v>
      </c>
      <c r="N110" s="201">
        <f>+COEF_FCM!AA116</f>
        <v>0</v>
      </c>
      <c r="O110" s="201">
        <f t="shared" si="5"/>
        <v>0</v>
      </c>
      <c r="R110" s="201">
        <v>8105</v>
      </c>
      <c r="S110" s="201">
        <v>8203</v>
      </c>
      <c r="T110" s="201" t="str">
        <v>HUALQUI</v>
      </c>
      <c r="U110" s="201" t="str">
        <v>SI</v>
      </c>
      <c r="V110" s="201">
        <v>18251</v>
      </c>
      <c r="W110" s="201">
        <v>1</v>
      </c>
      <c r="X110" s="201" t="str">
        <f t="shared" si="6"/>
        <v>Hualqui</v>
      </c>
    </row>
    <row r="111" spans="1:24" ht="3" customHeight="1" x14ac:dyDescent="0.25">
      <c r="A111" s="327">
        <f t="shared" si="4"/>
        <v>6</v>
      </c>
      <c r="B111" s="328">
        <f>+'CALC MEC ESTAB Y ESTIM M FINAL'!B115</f>
        <v>6308</v>
      </c>
      <c r="C111" s="328" t="str">
        <f>+'CALC MEC ESTAB Y ESTIM M FINAL'!C115</f>
        <v>PLACILLA</v>
      </c>
      <c r="D111" s="329">
        <f>+'CALC MEC ESTAB Y ESTIM M FINAL'!F115</f>
        <v>1.2180609219999998E-3</v>
      </c>
      <c r="E111" s="330">
        <f>+'CALC MEC ESTAB Y ESTIM M FINAL'!V115</f>
        <v>0</v>
      </c>
      <c r="F111" s="214"/>
      <c r="J111" s="201">
        <f>+COEF_FCM!A117</f>
        <v>6308</v>
      </c>
      <c r="K111" s="201">
        <f>+COEF_FCM!B117</f>
        <v>6204</v>
      </c>
      <c r="L111" s="201" t="str">
        <f>+COEF_FCM!C117</f>
        <v>PLACILLA</v>
      </c>
      <c r="M111" s="201" t="str">
        <f>+COEF_FCM!P117</f>
        <v>SI</v>
      </c>
      <c r="N111" s="201">
        <f>+COEF_FCM!AA117</f>
        <v>7184</v>
      </c>
      <c r="O111" s="201">
        <f t="shared" si="5"/>
        <v>1</v>
      </c>
      <c r="R111" s="201">
        <v>8106</v>
      </c>
      <c r="S111" s="201">
        <v>8208</v>
      </c>
      <c r="T111" s="201" t="str">
        <v>LOTA</v>
      </c>
      <c r="U111" s="201" t="str">
        <v>SI</v>
      </c>
      <c r="V111" s="201">
        <v>23323</v>
      </c>
      <c r="W111" s="201">
        <v>1</v>
      </c>
      <c r="X111" s="201" t="str">
        <f t="shared" si="6"/>
        <v>Lota</v>
      </c>
    </row>
    <row r="112" spans="1:24" ht="3" customHeight="1" x14ac:dyDescent="0.25">
      <c r="A112" s="327">
        <f t="shared" si="4"/>
        <v>6</v>
      </c>
      <c r="B112" s="328">
        <f>+'CALC MEC ESTAB Y ESTIM M FINAL'!B116</f>
        <v>6309</v>
      </c>
      <c r="C112" s="328" t="str">
        <f>+'CALC MEC ESTAB Y ESTIM M FINAL'!C116</f>
        <v>PUMANQUE</v>
      </c>
      <c r="D112" s="329">
        <f>+'CALC MEC ESTAB Y ESTIM M FINAL'!F116</f>
        <v>8.3034264169999997E-4</v>
      </c>
      <c r="E112" s="330">
        <f>+'CALC MEC ESTAB Y ESTIM M FINAL'!V116</f>
        <v>0</v>
      </c>
      <c r="F112" s="214"/>
      <c r="J112" s="201">
        <f>+COEF_FCM!A118</f>
        <v>6309</v>
      </c>
      <c r="K112" s="201">
        <f>+COEF_FCM!B118</f>
        <v>6214</v>
      </c>
      <c r="L112" s="201" t="str">
        <f>+COEF_FCM!C118</f>
        <v>PUMANQUE</v>
      </c>
      <c r="M112" s="201" t="str">
        <f>+COEF_FCM!P118</f>
        <v>NO</v>
      </c>
      <c r="N112" s="201">
        <f>+COEF_FCM!AA118</f>
        <v>0</v>
      </c>
      <c r="O112" s="201">
        <f t="shared" si="5"/>
        <v>0</v>
      </c>
      <c r="R112" s="201">
        <v>8107</v>
      </c>
      <c r="S112" s="201">
        <v>8202</v>
      </c>
      <c r="T112" s="201" t="str">
        <v>PENCO</v>
      </c>
      <c r="U112" s="201" t="str">
        <v>SI</v>
      </c>
      <c r="V112" s="201">
        <v>31877</v>
      </c>
      <c r="W112" s="201">
        <v>1</v>
      </c>
      <c r="X112" s="201" t="str">
        <f t="shared" si="6"/>
        <v>Penco</v>
      </c>
    </row>
    <row r="113" spans="1:24" ht="3" customHeight="1" x14ac:dyDescent="0.25">
      <c r="A113" s="327">
        <f t="shared" si="4"/>
        <v>6</v>
      </c>
      <c r="B113" s="328">
        <f>+'CALC MEC ESTAB Y ESTIM M FINAL'!B117</f>
        <v>6310</v>
      </c>
      <c r="C113" s="328" t="str">
        <f>+'CALC MEC ESTAB Y ESTIM M FINAL'!C117</f>
        <v>SANTA CRUZ</v>
      </c>
      <c r="D113" s="329">
        <f>+'CALC MEC ESTAB Y ESTIM M FINAL'!F117</f>
        <v>2.4258128340999999E-3</v>
      </c>
      <c r="E113" s="330">
        <f>+'CALC MEC ESTAB Y ESTIM M FINAL'!V117</f>
        <v>0</v>
      </c>
      <c r="F113" s="214"/>
      <c r="J113" s="201">
        <f>+COEF_FCM!A119</f>
        <v>6310</v>
      </c>
      <c r="K113" s="201">
        <f>+COEF_FCM!B119</f>
        <v>6205</v>
      </c>
      <c r="L113" s="201" t="str">
        <f>+COEF_FCM!C119</f>
        <v>SANTA CRUZ</v>
      </c>
      <c r="M113" s="201" t="str">
        <f>+COEF_FCM!P119</f>
        <v>SI</v>
      </c>
      <c r="N113" s="201">
        <f>+COEF_FCM!AA119</f>
        <v>37459</v>
      </c>
      <c r="O113" s="201">
        <f t="shared" si="5"/>
        <v>1</v>
      </c>
      <c r="R113" s="201">
        <v>8108</v>
      </c>
      <c r="S113" s="201">
        <v>8210</v>
      </c>
      <c r="T113" s="201" t="str">
        <v>SAN PEDRO DE LA PAZ</v>
      </c>
      <c r="U113" s="201" t="str">
        <v>SI</v>
      </c>
      <c r="V113" s="201">
        <v>55013</v>
      </c>
      <c r="W113" s="201">
        <v>1</v>
      </c>
      <c r="X113" s="201" t="str">
        <f t="shared" si="6"/>
        <v>San Pedro de la Paz</v>
      </c>
    </row>
    <row r="114" spans="1:24" ht="3" customHeight="1" x14ac:dyDescent="0.25">
      <c r="A114" s="327">
        <f t="shared" si="4"/>
        <v>7</v>
      </c>
      <c r="B114" s="328">
        <f>+'CALC MEC ESTAB Y ESTIM M FINAL'!B118</f>
        <v>7101</v>
      </c>
      <c r="C114" s="328" t="str">
        <f>+'CALC MEC ESTAB Y ESTIM M FINAL'!C118</f>
        <v>TALCA</v>
      </c>
      <c r="D114" s="329">
        <f>+'CALC MEC ESTAB Y ESTIM M FINAL'!F118</f>
        <v>1.04558091619E-2</v>
      </c>
      <c r="E114" s="330">
        <f>+'CALC MEC ESTAB Y ESTIM M FINAL'!V118</f>
        <v>0</v>
      </c>
      <c r="F114" s="214"/>
      <c r="J114" s="201">
        <f>+COEF_FCM!A120</f>
        <v>7101</v>
      </c>
      <c r="K114" s="201">
        <f>+COEF_FCM!B120</f>
        <v>7201</v>
      </c>
      <c r="L114" s="201" t="str">
        <f>+COEF_FCM!C120</f>
        <v>TALCA</v>
      </c>
      <c r="M114" s="201" t="str">
        <f>+COEF_FCM!P120</f>
        <v>SI</v>
      </c>
      <c r="N114" s="201">
        <f>+COEF_FCM!AA120</f>
        <v>126349</v>
      </c>
      <c r="O114" s="201">
        <f t="shared" si="5"/>
        <v>1</v>
      </c>
      <c r="R114" s="201">
        <v>8109</v>
      </c>
      <c r="S114" s="201">
        <v>8209</v>
      </c>
      <c r="T114" s="201" t="str">
        <v>SANTA JUANA</v>
      </c>
      <c r="U114" s="201" t="str">
        <v>SI</v>
      </c>
      <c r="V114" s="201">
        <v>19565</v>
      </c>
      <c r="W114" s="201">
        <v>1</v>
      </c>
      <c r="X114" s="201" t="str">
        <f t="shared" si="6"/>
        <v>Santa Juana</v>
      </c>
    </row>
    <row r="115" spans="1:24" ht="3" customHeight="1" x14ac:dyDescent="0.25">
      <c r="A115" s="327">
        <f t="shared" si="4"/>
        <v>7</v>
      </c>
      <c r="B115" s="328">
        <f>+'CALC MEC ESTAB Y ESTIM M FINAL'!B119</f>
        <v>7102</v>
      </c>
      <c r="C115" s="328" t="str">
        <f>+'CALC MEC ESTAB Y ESTIM M FINAL'!C119</f>
        <v>CONSTITUCIÓN</v>
      </c>
      <c r="D115" s="329">
        <f>+'CALC MEC ESTAB Y ESTIM M FINAL'!F119</f>
        <v>5.4013265379000003E-3</v>
      </c>
      <c r="E115" s="330">
        <f>+'CALC MEC ESTAB Y ESTIM M FINAL'!V119</f>
        <v>0</v>
      </c>
      <c r="F115" s="214"/>
      <c r="J115" s="201">
        <f>+COEF_FCM!A121</f>
        <v>7102</v>
      </c>
      <c r="K115" s="201">
        <f>+COEF_FCM!B121</f>
        <v>7208</v>
      </c>
      <c r="L115" s="201" t="str">
        <f>+COEF_FCM!C121</f>
        <v>CONSTITUCIÓN</v>
      </c>
      <c r="M115" s="201" t="str">
        <f>+COEF_FCM!P121</f>
        <v>SI</v>
      </c>
      <c r="N115" s="201">
        <f>+COEF_FCM!AA121</f>
        <v>73918</v>
      </c>
      <c r="O115" s="201">
        <f t="shared" si="5"/>
        <v>1</v>
      </c>
      <c r="R115" s="201">
        <v>8110</v>
      </c>
      <c r="S115" s="201">
        <v>8206</v>
      </c>
      <c r="T115" s="201" t="str">
        <v>TALCAHUANO</v>
      </c>
      <c r="U115" s="201" t="str">
        <v>SI</v>
      </c>
      <c r="V115" s="201">
        <v>91967</v>
      </c>
      <c r="W115" s="201">
        <v>1</v>
      </c>
      <c r="X115" s="201" t="str">
        <f t="shared" si="6"/>
        <v>Talcahuano</v>
      </c>
    </row>
    <row r="116" spans="1:24" ht="3" customHeight="1" x14ac:dyDescent="0.25">
      <c r="A116" s="327">
        <f t="shared" si="4"/>
        <v>7</v>
      </c>
      <c r="B116" s="328">
        <f>+'CALC MEC ESTAB Y ESTIM M FINAL'!B120</f>
        <v>7103</v>
      </c>
      <c r="C116" s="328" t="str">
        <f>+'CALC MEC ESTAB Y ESTIM M FINAL'!C120</f>
        <v>CUREPTO</v>
      </c>
      <c r="D116" s="329">
        <f>+'CALC MEC ESTAB Y ESTIM M FINAL'!F120</f>
        <v>2.2029037592000002E-3</v>
      </c>
      <c r="E116" s="330">
        <f>+'CALC MEC ESTAB Y ESTIM M FINAL'!V120</f>
        <v>0</v>
      </c>
      <c r="F116" s="214"/>
      <c r="J116" s="201">
        <f>+COEF_FCM!A122</f>
        <v>7103</v>
      </c>
      <c r="K116" s="201">
        <f>+COEF_FCM!B122</f>
        <v>7207</v>
      </c>
      <c r="L116" s="201" t="str">
        <f>+COEF_FCM!C122</f>
        <v>CUREPTO</v>
      </c>
      <c r="M116" s="201" t="str">
        <f>+COEF_FCM!P122</f>
        <v>SI</v>
      </c>
      <c r="N116" s="201">
        <f>+COEF_FCM!AA122</f>
        <v>19819</v>
      </c>
      <c r="O116" s="201">
        <f t="shared" si="5"/>
        <v>1</v>
      </c>
      <c r="R116" s="201">
        <v>8111</v>
      </c>
      <c r="S116" s="201">
        <v>8205</v>
      </c>
      <c r="T116" s="201" t="str">
        <v>TOMÉ</v>
      </c>
      <c r="U116" s="201" t="str">
        <v>SI</v>
      </c>
      <c r="V116" s="201">
        <v>124368</v>
      </c>
      <c r="W116" s="201">
        <v>1</v>
      </c>
      <c r="X116" s="201" t="str">
        <f t="shared" si="6"/>
        <v>Tomé</v>
      </c>
    </row>
    <row r="117" spans="1:24" ht="3" customHeight="1" x14ac:dyDescent="0.25">
      <c r="A117" s="327">
        <f t="shared" si="4"/>
        <v>7</v>
      </c>
      <c r="B117" s="328">
        <f>+'CALC MEC ESTAB Y ESTIM M FINAL'!B121</f>
        <v>7104</v>
      </c>
      <c r="C117" s="328" t="str">
        <f>+'CALC MEC ESTAB Y ESTIM M FINAL'!C121</f>
        <v>EMPEDRADO</v>
      </c>
      <c r="D117" s="329">
        <f>+'CALC MEC ESTAB Y ESTIM M FINAL'!F121</f>
        <v>1.4472452520999999E-3</v>
      </c>
      <c r="E117" s="330">
        <f>+'CALC MEC ESTAB Y ESTIM M FINAL'!V121</f>
        <v>0</v>
      </c>
      <c r="F117" s="214"/>
      <c r="J117" s="201">
        <f>+COEF_FCM!A123</f>
        <v>7104</v>
      </c>
      <c r="K117" s="201">
        <f>+COEF_FCM!B123</f>
        <v>7209</v>
      </c>
      <c r="L117" s="201" t="str">
        <f>+COEF_FCM!C123</f>
        <v>EMPEDRADO</v>
      </c>
      <c r="M117" s="201" t="str">
        <f>+COEF_FCM!P123</f>
        <v>SI</v>
      </c>
      <c r="N117" s="201">
        <f>+COEF_FCM!AA123</f>
        <v>6729</v>
      </c>
      <c r="O117" s="201">
        <f t="shared" si="5"/>
        <v>1</v>
      </c>
      <c r="R117" s="201">
        <v>8112</v>
      </c>
      <c r="S117" s="201">
        <v>8212</v>
      </c>
      <c r="T117" s="201" t="str">
        <v>HUALPÉN</v>
      </c>
      <c r="U117" s="201" t="str">
        <v>SI</v>
      </c>
      <c r="V117" s="201">
        <v>28707</v>
      </c>
      <c r="W117" s="201">
        <v>1</v>
      </c>
      <c r="X117" s="201" t="str">
        <f t="shared" si="6"/>
        <v>Hualpén</v>
      </c>
    </row>
    <row r="118" spans="1:24" ht="3" customHeight="1" x14ac:dyDescent="0.25">
      <c r="A118" s="327">
        <f t="shared" si="4"/>
        <v>7</v>
      </c>
      <c r="B118" s="328">
        <f>+'CALC MEC ESTAB Y ESTIM M FINAL'!B122</f>
        <v>7105</v>
      </c>
      <c r="C118" s="328" t="str">
        <f>+'CALC MEC ESTAB Y ESTIM M FINAL'!C122</f>
        <v>MAULE</v>
      </c>
      <c r="D118" s="329">
        <f>+'CALC MEC ESTAB Y ESTIM M FINAL'!F122</f>
        <v>4.8413198428000001E-3</v>
      </c>
      <c r="E118" s="330">
        <f>+'CALC MEC ESTAB Y ESTIM M FINAL'!V122</f>
        <v>0</v>
      </c>
      <c r="F118" s="214"/>
      <c r="J118" s="201">
        <f>+COEF_FCM!A124</f>
        <v>7105</v>
      </c>
      <c r="K118" s="201">
        <f>+COEF_FCM!B124</f>
        <v>7206</v>
      </c>
      <c r="L118" s="201" t="str">
        <f>+COEF_FCM!C124</f>
        <v>MAULE</v>
      </c>
      <c r="M118" s="201" t="str">
        <f>+COEF_FCM!P124</f>
        <v>SI</v>
      </c>
      <c r="N118" s="201">
        <f>+COEF_FCM!AA124</f>
        <v>23354</v>
      </c>
      <c r="O118" s="201">
        <f t="shared" si="5"/>
        <v>1</v>
      </c>
      <c r="R118" s="201">
        <v>8201</v>
      </c>
      <c r="S118" s="201">
        <v>8303</v>
      </c>
      <c r="T118" s="201" t="str">
        <v>LEBU</v>
      </c>
      <c r="U118" s="201" t="str">
        <v>SI</v>
      </c>
      <c r="V118" s="201">
        <v>17882</v>
      </c>
      <c r="W118" s="201">
        <v>1</v>
      </c>
      <c r="X118" s="201" t="str">
        <f t="shared" si="6"/>
        <v>Lebu</v>
      </c>
    </row>
    <row r="119" spans="1:24" ht="3" customHeight="1" x14ac:dyDescent="0.25">
      <c r="A119" s="327">
        <f t="shared" si="4"/>
        <v>7</v>
      </c>
      <c r="B119" s="328">
        <f>+'CALC MEC ESTAB Y ESTIM M FINAL'!B123</f>
        <v>7106</v>
      </c>
      <c r="C119" s="328" t="str">
        <f>+'CALC MEC ESTAB Y ESTIM M FINAL'!C123</f>
        <v>PELARCO</v>
      </c>
      <c r="D119" s="329">
        <f>+'CALC MEC ESTAB Y ESTIM M FINAL'!F123</f>
        <v>1.0246384169999999E-3</v>
      </c>
      <c r="E119" s="330">
        <f>+'CALC MEC ESTAB Y ESTIM M FINAL'!V123</f>
        <v>0</v>
      </c>
      <c r="F119" s="214"/>
      <c r="J119" s="201">
        <f>+COEF_FCM!A125</f>
        <v>7106</v>
      </c>
      <c r="K119" s="201">
        <f>+COEF_FCM!B125</f>
        <v>7203</v>
      </c>
      <c r="L119" s="201" t="str">
        <f>+COEF_FCM!C125</f>
        <v>PELARCO</v>
      </c>
      <c r="M119" s="201" t="str">
        <f>+COEF_FCM!P125</f>
        <v>NO</v>
      </c>
      <c r="N119" s="201">
        <f>+COEF_FCM!AA125</f>
        <v>0</v>
      </c>
      <c r="O119" s="201">
        <f t="shared" si="5"/>
        <v>0</v>
      </c>
      <c r="R119" s="201">
        <v>8202</v>
      </c>
      <c r="S119" s="201">
        <v>8301</v>
      </c>
      <c r="T119" s="201" t="str">
        <v>ARAUCO</v>
      </c>
      <c r="U119" s="201" t="str">
        <v>SI</v>
      </c>
      <c r="V119" s="201">
        <v>36316</v>
      </c>
      <c r="W119" s="201">
        <v>1</v>
      </c>
      <c r="X119" s="201" t="str">
        <f t="shared" si="6"/>
        <v>Arauco</v>
      </c>
    </row>
    <row r="120" spans="1:24" ht="3" customHeight="1" x14ac:dyDescent="0.25">
      <c r="A120" s="327">
        <f t="shared" si="4"/>
        <v>7</v>
      </c>
      <c r="B120" s="328">
        <f>+'CALC MEC ESTAB Y ESTIM M FINAL'!B124</f>
        <v>7107</v>
      </c>
      <c r="C120" s="328" t="str">
        <f>+'CALC MEC ESTAB Y ESTIM M FINAL'!C124</f>
        <v>PENCAHUE</v>
      </c>
      <c r="D120" s="329">
        <f>+'CALC MEC ESTAB Y ESTIM M FINAL'!F124</f>
        <v>1.0735078122E-3</v>
      </c>
      <c r="E120" s="330">
        <f>+'CALC MEC ESTAB Y ESTIM M FINAL'!V124</f>
        <v>0</v>
      </c>
      <c r="F120" s="214"/>
      <c r="J120" s="201">
        <f>+COEF_FCM!A126</f>
        <v>7107</v>
      </c>
      <c r="K120" s="201">
        <f>+COEF_FCM!B126</f>
        <v>7205</v>
      </c>
      <c r="L120" s="201" t="str">
        <f>+COEF_FCM!C126</f>
        <v>PENCAHUE</v>
      </c>
      <c r="M120" s="201" t="str">
        <f>+COEF_FCM!P126</f>
        <v>NO</v>
      </c>
      <c r="N120" s="201">
        <f>+COEF_FCM!AA126</f>
        <v>0</v>
      </c>
      <c r="O120" s="201">
        <f t="shared" si="5"/>
        <v>0</v>
      </c>
      <c r="R120" s="201">
        <v>8203</v>
      </c>
      <c r="S120" s="201">
        <v>8305</v>
      </c>
      <c r="T120" s="201" t="str">
        <v>CAÑETE</v>
      </c>
      <c r="U120" s="201" t="str">
        <v>SI</v>
      </c>
      <c r="V120" s="201">
        <v>31310</v>
      </c>
      <c r="W120" s="201">
        <v>1</v>
      </c>
      <c r="X120" s="201" t="str">
        <f t="shared" si="6"/>
        <v>Cañete</v>
      </c>
    </row>
    <row r="121" spans="1:24" ht="3" customHeight="1" x14ac:dyDescent="0.25">
      <c r="A121" s="327">
        <f t="shared" si="4"/>
        <v>7</v>
      </c>
      <c r="B121" s="328">
        <f>+'CALC MEC ESTAB Y ESTIM M FINAL'!B125</f>
        <v>7108</v>
      </c>
      <c r="C121" s="328" t="str">
        <f>+'CALC MEC ESTAB Y ESTIM M FINAL'!C125</f>
        <v>RÍO CLARO</v>
      </c>
      <c r="D121" s="329">
        <f>+'CALC MEC ESTAB Y ESTIM M FINAL'!F125</f>
        <v>1.1591268333000001E-3</v>
      </c>
      <c r="E121" s="330">
        <f>+'CALC MEC ESTAB Y ESTIM M FINAL'!V125</f>
        <v>0</v>
      </c>
      <c r="F121" s="214"/>
      <c r="J121" s="201">
        <f>+COEF_FCM!A127</f>
        <v>7108</v>
      </c>
      <c r="K121" s="201">
        <f>+COEF_FCM!B127</f>
        <v>7204</v>
      </c>
      <c r="L121" s="201" t="str">
        <f>+COEF_FCM!C127</f>
        <v>RÍO CLARO</v>
      </c>
      <c r="M121" s="201" t="str">
        <f>+COEF_FCM!P127</f>
        <v>NO</v>
      </c>
      <c r="N121" s="201">
        <f>+COEF_FCM!AA127</f>
        <v>0</v>
      </c>
      <c r="O121" s="201">
        <f t="shared" si="5"/>
        <v>0</v>
      </c>
      <c r="R121" s="201">
        <v>8204</v>
      </c>
      <c r="S121" s="201">
        <v>8306</v>
      </c>
      <c r="T121" s="201" t="str">
        <v>CONTULMO</v>
      </c>
      <c r="U121" s="201" t="str">
        <v>SI</v>
      </c>
      <c r="V121" s="201">
        <v>16232</v>
      </c>
      <c r="W121" s="201">
        <v>1</v>
      </c>
      <c r="X121" s="201" t="str">
        <f t="shared" si="6"/>
        <v>Contulmo</v>
      </c>
    </row>
    <row r="122" spans="1:24" ht="3" customHeight="1" x14ac:dyDescent="0.25">
      <c r="A122" s="327">
        <f t="shared" si="4"/>
        <v>7</v>
      </c>
      <c r="B122" s="328">
        <f>+'CALC MEC ESTAB Y ESTIM M FINAL'!B126</f>
        <v>7109</v>
      </c>
      <c r="C122" s="328" t="str">
        <f>+'CALC MEC ESTAB Y ESTIM M FINAL'!C126</f>
        <v>SAN CLEMENTE</v>
      </c>
      <c r="D122" s="329">
        <f>+'CALC MEC ESTAB Y ESTIM M FINAL'!F126</f>
        <v>4.3620063973999999E-3</v>
      </c>
      <c r="E122" s="330">
        <f>+'CALC MEC ESTAB Y ESTIM M FINAL'!V126</f>
        <v>0</v>
      </c>
      <c r="F122" s="214"/>
      <c r="J122" s="201">
        <f>+COEF_FCM!A128</f>
        <v>7109</v>
      </c>
      <c r="K122" s="201">
        <f>+COEF_FCM!B128</f>
        <v>7202</v>
      </c>
      <c r="L122" s="201" t="str">
        <f>+COEF_FCM!C128</f>
        <v>SAN CLEMENTE</v>
      </c>
      <c r="M122" s="201" t="str">
        <f>+COEF_FCM!P128</f>
        <v>SI</v>
      </c>
      <c r="N122" s="201">
        <f>+COEF_FCM!AA128</f>
        <v>43870</v>
      </c>
      <c r="O122" s="201">
        <f t="shared" si="5"/>
        <v>1</v>
      </c>
      <c r="R122" s="201">
        <v>8205</v>
      </c>
      <c r="S122" s="201">
        <v>8302</v>
      </c>
      <c r="T122" s="201" t="str">
        <v>CURANILAHUE</v>
      </c>
      <c r="U122" s="201" t="str">
        <v>SI</v>
      </c>
      <c r="V122" s="201">
        <v>22939</v>
      </c>
      <c r="W122" s="201">
        <v>1</v>
      </c>
      <c r="X122" s="201" t="str">
        <f t="shared" si="6"/>
        <v>Curanilahue</v>
      </c>
    </row>
    <row r="123" spans="1:24" ht="3" customHeight="1" x14ac:dyDescent="0.25">
      <c r="A123" s="327">
        <f t="shared" si="4"/>
        <v>7</v>
      </c>
      <c r="B123" s="328">
        <f>+'CALC MEC ESTAB Y ESTIM M FINAL'!B127</f>
        <v>7110</v>
      </c>
      <c r="C123" s="328" t="str">
        <f>+'CALC MEC ESTAB Y ESTIM M FINAL'!C127</f>
        <v>SAN RAFAEL</v>
      </c>
      <c r="D123" s="329">
        <f>+'CALC MEC ESTAB Y ESTIM M FINAL'!F127</f>
        <v>1.5138876982E-3</v>
      </c>
      <c r="E123" s="330">
        <f>+'CALC MEC ESTAB Y ESTIM M FINAL'!V127</f>
        <v>0</v>
      </c>
      <c r="F123" s="214"/>
      <c r="J123" s="201">
        <f>+COEF_FCM!A129</f>
        <v>7110</v>
      </c>
      <c r="K123" s="201">
        <f>+COEF_FCM!B129</f>
        <v>7210</v>
      </c>
      <c r="L123" s="201" t="str">
        <f>+COEF_FCM!C129</f>
        <v>SAN RAFAEL</v>
      </c>
      <c r="M123" s="201" t="str">
        <f>+COEF_FCM!P129</f>
        <v>SI</v>
      </c>
      <c r="N123" s="201">
        <f>+COEF_FCM!AA129</f>
        <v>13734</v>
      </c>
      <c r="O123" s="201">
        <f t="shared" si="5"/>
        <v>1</v>
      </c>
      <c r="R123" s="201">
        <v>8206</v>
      </c>
      <c r="S123" s="201">
        <v>8304</v>
      </c>
      <c r="T123" s="201" t="str">
        <v>LOS ÁLAMOS</v>
      </c>
      <c r="U123" s="201" t="str">
        <v>SI</v>
      </c>
      <c r="V123" s="201">
        <v>14794</v>
      </c>
      <c r="W123" s="201">
        <v>1</v>
      </c>
      <c r="X123" s="201" t="str">
        <f t="shared" si="6"/>
        <v>Los Álamos</v>
      </c>
    </row>
    <row r="124" spans="1:24" ht="3" customHeight="1" x14ac:dyDescent="0.25">
      <c r="A124" s="327">
        <f t="shared" si="4"/>
        <v>7</v>
      </c>
      <c r="B124" s="328">
        <f>+'CALC MEC ESTAB Y ESTIM M FINAL'!B128</f>
        <v>7201</v>
      </c>
      <c r="C124" s="328" t="str">
        <f>+'CALC MEC ESTAB Y ESTIM M FINAL'!C128</f>
        <v>CAUQUENES</v>
      </c>
      <c r="D124" s="329">
        <f>+'CALC MEC ESTAB Y ESTIM M FINAL'!F128</f>
        <v>4.6867938209000006E-3</v>
      </c>
      <c r="E124" s="330">
        <f>+'CALC MEC ESTAB Y ESTIM M FINAL'!V128</f>
        <v>0</v>
      </c>
      <c r="F124" s="214"/>
      <c r="J124" s="201">
        <f>+COEF_FCM!A130</f>
        <v>7201</v>
      </c>
      <c r="K124" s="201">
        <f>+COEF_FCM!B130</f>
        <v>7401</v>
      </c>
      <c r="L124" s="201" t="str">
        <f>+COEF_FCM!C130</f>
        <v>CAUQUENES</v>
      </c>
      <c r="M124" s="201" t="str">
        <f>+COEF_FCM!P130</f>
        <v>SI</v>
      </c>
      <c r="N124" s="201">
        <f>+COEF_FCM!AA130</f>
        <v>44658</v>
      </c>
      <c r="O124" s="201">
        <f t="shared" si="5"/>
        <v>1</v>
      </c>
      <c r="R124" s="201">
        <v>8207</v>
      </c>
      <c r="S124" s="201">
        <v>8307</v>
      </c>
      <c r="T124" s="201" t="str">
        <v>TIRÚA</v>
      </c>
      <c r="U124" s="201" t="str">
        <v>SI</v>
      </c>
      <c r="V124" s="201">
        <v>18748</v>
      </c>
      <c r="W124" s="201">
        <v>1</v>
      </c>
      <c r="X124" s="201" t="str">
        <f t="shared" si="6"/>
        <v>Tirúa</v>
      </c>
    </row>
    <row r="125" spans="1:24" ht="3" customHeight="1" x14ac:dyDescent="0.25">
      <c r="A125" s="327">
        <f t="shared" si="4"/>
        <v>7</v>
      </c>
      <c r="B125" s="328">
        <f>+'CALC MEC ESTAB Y ESTIM M FINAL'!B129</f>
        <v>7202</v>
      </c>
      <c r="C125" s="328" t="str">
        <f>+'CALC MEC ESTAB Y ESTIM M FINAL'!C129</f>
        <v>CHANCO</v>
      </c>
      <c r="D125" s="329">
        <f>+'CALC MEC ESTAB Y ESTIM M FINAL'!F129</f>
        <v>2.0052715777000001E-3</v>
      </c>
      <c r="E125" s="330">
        <f>+'CALC MEC ESTAB Y ESTIM M FINAL'!V129</f>
        <v>0</v>
      </c>
      <c r="F125" s="214"/>
      <c r="J125" s="201">
        <f>+COEF_FCM!A131</f>
        <v>7202</v>
      </c>
      <c r="K125" s="201">
        <f>+COEF_FCM!B131</f>
        <v>7403</v>
      </c>
      <c r="L125" s="201" t="str">
        <f>+COEF_FCM!C131</f>
        <v>CHANCO</v>
      </c>
      <c r="M125" s="201" t="str">
        <f>+COEF_FCM!P131</f>
        <v>SI</v>
      </c>
      <c r="N125" s="201">
        <f>+COEF_FCM!AA131</f>
        <v>18392</v>
      </c>
      <c r="O125" s="201">
        <f t="shared" si="5"/>
        <v>1</v>
      </c>
      <c r="R125" s="201">
        <v>8301</v>
      </c>
      <c r="S125" s="201">
        <v>8401</v>
      </c>
      <c r="T125" s="201" t="str">
        <v>LOS ÁNGELES</v>
      </c>
      <c r="U125" s="201" t="str">
        <v>SI</v>
      </c>
      <c r="V125" s="201">
        <v>176382</v>
      </c>
      <c r="W125" s="201">
        <v>1</v>
      </c>
      <c r="X125" s="201" t="str">
        <f t="shared" si="6"/>
        <v>Los Ángeles</v>
      </c>
    </row>
    <row r="126" spans="1:24" ht="3" customHeight="1" x14ac:dyDescent="0.25">
      <c r="A126" s="327">
        <f t="shared" si="4"/>
        <v>7</v>
      </c>
      <c r="B126" s="328">
        <f>+'CALC MEC ESTAB Y ESTIM M FINAL'!B130</f>
        <v>7203</v>
      </c>
      <c r="C126" s="328" t="str">
        <f>+'CALC MEC ESTAB Y ESTIM M FINAL'!C130</f>
        <v>PELLUHUE</v>
      </c>
      <c r="D126" s="329">
        <f>+'CALC MEC ESTAB Y ESTIM M FINAL'!F130</f>
        <v>3.5421451146999999E-3</v>
      </c>
      <c r="E126" s="330">
        <f>+'CALC MEC ESTAB Y ESTIM M FINAL'!V130</f>
        <v>0</v>
      </c>
      <c r="F126" s="214"/>
      <c r="J126" s="201">
        <f>+COEF_FCM!A132</f>
        <v>7203</v>
      </c>
      <c r="K126" s="201">
        <f>+COEF_FCM!B132</f>
        <v>7402</v>
      </c>
      <c r="L126" s="201" t="str">
        <f>+COEF_FCM!C132</f>
        <v>PELLUHUE</v>
      </c>
      <c r="M126" s="201" t="str">
        <f>+COEF_FCM!P132</f>
        <v>SI</v>
      </c>
      <c r="N126" s="201">
        <f>+COEF_FCM!AA132</f>
        <v>64632</v>
      </c>
      <c r="O126" s="201">
        <f t="shared" si="5"/>
        <v>1</v>
      </c>
      <c r="R126" s="201">
        <v>8302</v>
      </c>
      <c r="S126" s="201">
        <v>8413</v>
      </c>
      <c r="T126" s="201" t="str">
        <v>ANTUCO</v>
      </c>
      <c r="U126" s="201" t="str">
        <v>SI</v>
      </c>
      <c r="V126" s="201">
        <v>14375</v>
      </c>
      <c r="W126" s="201">
        <v>1</v>
      </c>
      <c r="X126" s="201" t="str">
        <f t="shared" si="6"/>
        <v>Antuco</v>
      </c>
    </row>
    <row r="127" spans="1:24" ht="3" customHeight="1" x14ac:dyDescent="0.25">
      <c r="A127" s="327">
        <f t="shared" si="4"/>
        <v>7</v>
      </c>
      <c r="B127" s="328">
        <f>+'CALC MEC ESTAB Y ESTIM M FINAL'!B131</f>
        <v>7301</v>
      </c>
      <c r="C127" s="328" t="str">
        <f>+'CALC MEC ESTAB Y ESTIM M FINAL'!C131</f>
        <v>CURICÓ</v>
      </c>
      <c r="D127" s="329">
        <f>+'CALC MEC ESTAB Y ESTIM M FINAL'!F131</f>
        <v>7.5967165720999992E-3</v>
      </c>
      <c r="E127" s="330">
        <f>+'CALC MEC ESTAB Y ESTIM M FINAL'!V131</f>
        <v>0</v>
      </c>
      <c r="F127" s="214"/>
      <c r="J127" s="201">
        <f>+COEF_FCM!A133</f>
        <v>7301</v>
      </c>
      <c r="K127" s="201">
        <f>+COEF_FCM!B133</f>
        <v>7101</v>
      </c>
      <c r="L127" s="201" t="str">
        <f>+COEF_FCM!C133</f>
        <v>CURICÓ</v>
      </c>
      <c r="M127" s="201" t="str">
        <f>+COEF_FCM!P133</f>
        <v>SI</v>
      </c>
      <c r="N127" s="201">
        <f>+COEF_FCM!AA133</f>
        <v>87162</v>
      </c>
      <c r="O127" s="201">
        <f t="shared" si="5"/>
        <v>1</v>
      </c>
      <c r="R127" s="201">
        <v>8303</v>
      </c>
      <c r="S127" s="201">
        <v>8410</v>
      </c>
      <c r="T127" s="201" t="str">
        <v>CABRERO</v>
      </c>
      <c r="U127" s="201" t="str">
        <v>SI</v>
      </c>
      <c r="V127" s="201">
        <v>53258</v>
      </c>
      <c r="W127" s="201">
        <v>1</v>
      </c>
      <c r="X127" s="201" t="str">
        <f t="shared" si="6"/>
        <v>Cabrero</v>
      </c>
    </row>
    <row r="128" spans="1:24" ht="3" customHeight="1" x14ac:dyDescent="0.25">
      <c r="A128" s="327">
        <f t="shared" si="4"/>
        <v>7</v>
      </c>
      <c r="B128" s="328">
        <f>+'CALC MEC ESTAB Y ESTIM M FINAL'!B132</f>
        <v>7302</v>
      </c>
      <c r="C128" s="328" t="str">
        <f>+'CALC MEC ESTAB Y ESTIM M FINAL'!C132</f>
        <v>HUALAÑÉ</v>
      </c>
      <c r="D128" s="329">
        <f>+'CALC MEC ESTAB Y ESTIM M FINAL'!F132</f>
        <v>1.6096853984999999E-3</v>
      </c>
      <c r="E128" s="330">
        <f>+'CALC MEC ESTAB Y ESTIM M FINAL'!V132</f>
        <v>0</v>
      </c>
      <c r="F128" s="214"/>
      <c r="J128" s="201">
        <f>+COEF_FCM!A134</f>
        <v>7302</v>
      </c>
      <c r="K128" s="201">
        <f>+COEF_FCM!B134</f>
        <v>7107</v>
      </c>
      <c r="L128" s="201" t="str">
        <f>+COEF_FCM!C134</f>
        <v>HUALAÑÉ</v>
      </c>
      <c r="M128" s="201" t="str">
        <f>+COEF_FCM!P134</f>
        <v>SI</v>
      </c>
      <c r="N128" s="201">
        <f>+COEF_FCM!AA134</f>
        <v>15292</v>
      </c>
      <c r="O128" s="201">
        <f t="shared" si="5"/>
        <v>1</v>
      </c>
      <c r="R128" s="201">
        <v>8304</v>
      </c>
      <c r="S128" s="201">
        <v>8403</v>
      </c>
      <c r="T128" s="201" t="str">
        <v>LAJA</v>
      </c>
      <c r="U128" s="201" t="str">
        <v>SI</v>
      </c>
      <c r="V128" s="201">
        <v>28057</v>
      </c>
      <c r="W128" s="201">
        <v>1</v>
      </c>
      <c r="X128" s="201" t="str">
        <f t="shared" si="6"/>
        <v>Laja</v>
      </c>
    </row>
    <row r="129" spans="1:24" ht="3" customHeight="1" x14ac:dyDescent="0.25">
      <c r="A129" s="327">
        <f t="shared" si="4"/>
        <v>7</v>
      </c>
      <c r="B129" s="328">
        <f>+'CALC MEC ESTAB Y ESTIM M FINAL'!B133</f>
        <v>7303</v>
      </c>
      <c r="C129" s="328" t="str">
        <f>+'CALC MEC ESTAB Y ESTIM M FINAL'!C133</f>
        <v>LICANTÉN</v>
      </c>
      <c r="D129" s="329">
        <f>+'CALC MEC ESTAB Y ESTIM M FINAL'!F133</f>
        <v>2.6870040972E-3</v>
      </c>
      <c r="E129" s="330">
        <f>+'CALC MEC ESTAB Y ESTIM M FINAL'!V133</f>
        <v>0</v>
      </c>
      <c r="F129" s="214"/>
      <c r="J129" s="201">
        <f>+COEF_FCM!A135</f>
        <v>7303</v>
      </c>
      <c r="K129" s="201">
        <f>+COEF_FCM!B135</f>
        <v>7105</v>
      </c>
      <c r="L129" s="201" t="str">
        <f>+COEF_FCM!C135</f>
        <v>LICANTÉN</v>
      </c>
      <c r="M129" s="201" t="str">
        <f>+COEF_FCM!P135</f>
        <v>SI</v>
      </c>
      <c r="N129" s="201">
        <f>+COEF_FCM!AA135</f>
        <v>52536</v>
      </c>
      <c r="O129" s="201">
        <f t="shared" si="5"/>
        <v>1</v>
      </c>
      <c r="R129" s="201">
        <v>8306</v>
      </c>
      <c r="S129" s="201">
        <v>8405</v>
      </c>
      <c r="T129" s="201" t="str">
        <v>NACIMIENTO</v>
      </c>
      <c r="U129" s="201" t="str">
        <v>SI</v>
      </c>
      <c r="V129" s="201">
        <v>24828</v>
      </c>
      <c r="W129" s="201">
        <v>1</v>
      </c>
      <c r="X129" s="201" t="str">
        <f t="shared" si="6"/>
        <v>Nacimiento</v>
      </c>
    </row>
    <row r="130" spans="1:24" ht="3" customHeight="1" x14ac:dyDescent="0.25">
      <c r="A130" s="327">
        <f t="shared" si="4"/>
        <v>7</v>
      </c>
      <c r="B130" s="328">
        <f>+'CALC MEC ESTAB Y ESTIM M FINAL'!B134</f>
        <v>7304</v>
      </c>
      <c r="C130" s="328" t="str">
        <f>+'CALC MEC ESTAB Y ESTIM M FINAL'!C134</f>
        <v>MOLINA</v>
      </c>
      <c r="D130" s="329">
        <f>+'CALC MEC ESTAB Y ESTIM M FINAL'!F134</f>
        <v>4.0427139414000004E-3</v>
      </c>
      <c r="E130" s="330">
        <f>+'CALC MEC ESTAB Y ESTIM M FINAL'!V134</f>
        <v>0</v>
      </c>
      <c r="F130" s="214"/>
      <c r="J130" s="201">
        <f>+COEF_FCM!A136</f>
        <v>7304</v>
      </c>
      <c r="K130" s="201">
        <f>+COEF_FCM!B136</f>
        <v>7108</v>
      </c>
      <c r="L130" s="201" t="str">
        <f>+COEF_FCM!C136</f>
        <v>MOLINA</v>
      </c>
      <c r="M130" s="201" t="str">
        <f>+COEF_FCM!P136</f>
        <v>SI</v>
      </c>
      <c r="N130" s="201">
        <f>+COEF_FCM!AA136</f>
        <v>39974</v>
      </c>
      <c r="O130" s="201">
        <f t="shared" si="5"/>
        <v>1</v>
      </c>
      <c r="R130" s="201">
        <v>8307</v>
      </c>
      <c r="S130" s="201">
        <v>8406</v>
      </c>
      <c r="T130" s="201" t="str">
        <v>NEGRETE</v>
      </c>
      <c r="U130" s="201" t="str">
        <v>SI</v>
      </c>
      <c r="V130" s="201">
        <v>8910</v>
      </c>
      <c r="W130" s="201">
        <v>1</v>
      </c>
      <c r="X130" s="201" t="str">
        <f t="shared" si="6"/>
        <v>Negrete</v>
      </c>
    </row>
    <row r="131" spans="1:24" ht="3" customHeight="1" x14ac:dyDescent="0.25">
      <c r="A131" s="327">
        <f t="shared" si="4"/>
        <v>7</v>
      </c>
      <c r="B131" s="328">
        <f>+'CALC MEC ESTAB Y ESTIM M FINAL'!B135</f>
        <v>7305</v>
      </c>
      <c r="C131" s="328" t="str">
        <f>+'CALC MEC ESTAB Y ESTIM M FINAL'!C135</f>
        <v>RAUCO</v>
      </c>
      <c r="D131" s="329">
        <f>+'CALC MEC ESTAB Y ESTIM M FINAL'!F135</f>
        <v>1.3537412263000001E-3</v>
      </c>
      <c r="E131" s="330">
        <f>+'CALC MEC ESTAB Y ESTIM M FINAL'!V135</f>
        <v>0</v>
      </c>
      <c r="F131" s="214"/>
      <c r="J131" s="201">
        <f>+COEF_FCM!A137</f>
        <v>7305</v>
      </c>
      <c r="K131" s="201">
        <f>+COEF_FCM!B137</f>
        <v>7104</v>
      </c>
      <c r="L131" s="201" t="str">
        <f>+COEF_FCM!C137</f>
        <v>RAUCO</v>
      </c>
      <c r="M131" s="201" t="str">
        <f>+COEF_FCM!P137</f>
        <v>SI</v>
      </c>
      <c r="N131" s="201">
        <f>+COEF_FCM!AA137</f>
        <v>6617</v>
      </c>
      <c r="O131" s="201">
        <f t="shared" si="5"/>
        <v>1</v>
      </c>
      <c r="R131" s="201">
        <v>8310</v>
      </c>
      <c r="S131" s="201">
        <v>8411</v>
      </c>
      <c r="T131" s="201" t="str">
        <v>SAN ROSENDO</v>
      </c>
      <c r="U131" s="201" t="str">
        <v>SI</v>
      </c>
      <c r="V131" s="201">
        <v>3335</v>
      </c>
      <c r="W131" s="201">
        <v>1</v>
      </c>
      <c r="X131" s="201" t="str">
        <f t="shared" si="6"/>
        <v>San Rosendo</v>
      </c>
    </row>
    <row r="132" spans="1:24" ht="3" customHeight="1" x14ac:dyDescent="0.25">
      <c r="A132" s="327">
        <f t="shared" ref="A132:A195" si="7">INT(B132/1000)</f>
        <v>7</v>
      </c>
      <c r="B132" s="328">
        <f>+'CALC MEC ESTAB Y ESTIM M FINAL'!B136</f>
        <v>7306</v>
      </c>
      <c r="C132" s="328" t="str">
        <f>+'CALC MEC ESTAB Y ESTIM M FINAL'!C136</f>
        <v>ROMERAL</v>
      </c>
      <c r="D132" s="329">
        <f>+'CALC MEC ESTAB Y ESTIM M FINAL'!F136</f>
        <v>1.1743211574999999E-3</v>
      </c>
      <c r="E132" s="330">
        <f>+'CALC MEC ESTAB Y ESTIM M FINAL'!V136</f>
        <v>0</v>
      </c>
      <c r="F132" s="214"/>
      <c r="J132" s="201">
        <f>+COEF_FCM!A138</f>
        <v>7306</v>
      </c>
      <c r="K132" s="201">
        <f>+COEF_FCM!B138</f>
        <v>7103</v>
      </c>
      <c r="L132" s="201" t="str">
        <f>+COEF_FCM!C138</f>
        <v>ROMERAL</v>
      </c>
      <c r="M132" s="201" t="str">
        <f>+COEF_FCM!P138</f>
        <v>NO</v>
      </c>
      <c r="N132" s="201">
        <f>+COEF_FCM!AA138</f>
        <v>0</v>
      </c>
      <c r="O132" s="201">
        <f t="shared" ref="O132:O195" si="8">IF(AND(M132="SI",N132&gt;0),1,0)</f>
        <v>0</v>
      </c>
      <c r="R132" s="201">
        <v>8312</v>
      </c>
      <c r="S132" s="201">
        <v>8412</v>
      </c>
      <c r="T132" s="201" t="str">
        <v>TUCAPEL</v>
      </c>
      <c r="U132" s="201" t="str">
        <v>SI</v>
      </c>
      <c r="V132" s="201">
        <v>19738</v>
      </c>
      <c r="W132" s="201">
        <v>1</v>
      </c>
      <c r="X132" s="201" t="str">
        <f t="shared" ref="X132:X195" si="9">SUBSTITUTE(SUBSTITUTE(SUBSTITUTE(PROPER(T132)," De "," de ",1)," Del "," del ",1)," La "," la ",1)</f>
        <v>Tucapel</v>
      </c>
    </row>
    <row r="133" spans="1:24" ht="3" customHeight="1" x14ac:dyDescent="0.25">
      <c r="A133" s="327">
        <f t="shared" si="7"/>
        <v>7</v>
      </c>
      <c r="B133" s="328">
        <f>+'CALC MEC ESTAB Y ESTIM M FINAL'!B137</f>
        <v>7307</v>
      </c>
      <c r="C133" s="328" t="str">
        <f>+'CALC MEC ESTAB Y ESTIM M FINAL'!C137</f>
        <v>SAGRADA FAMILIA</v>
      </c>
      <c r="D133" s="329">
        <f>+'CALC MEC ESTAB Y ESTIM M FINAL'!F137</f>
        <v>1.2380469707999999E-3</v>
      </c>
      <c r="E133" s="330">
        <f>+'CALC MEC ESTAB Y ESTIM M FINAL'!V137</f>
        <v>0</v>
      </c>
      <c r="F133" s="214"/>
      <c r="J133" s="201">
        <f>+COEF_FCM!A139</f>
        <v>7307</v>
      </c>
      <c r="K133" s="201">
        <f>+COEF_FCM!B139</f>
        <v>7109</v>
      </c>
      <c r="L133" s="201" t="str">
        <f>+COEF_FCM!C139</f>
        <v>SAGRADA FAMILIA</v>
      </c>
      <c r="M133" s="201" t="str">
        <f>+COEF_FCM!P139</f>
        <v>NO</v>
      </c>
      <c r="N133" s="201">
        <f>+COEF_FCM!AA139</f>
        <v>0</v>
      </c>
      <c r="O133" s="201">
        <f t="shared" si="8"/>
        <v>0</v>
      </c>
      <c r="R133" s="201">
        <v>8313</v>
      </c>
      <c r="S133" s="201">
        <v>8409</v>
      </c>
      <c r="T133" s="201" t="str">
        <v>YUMBEL</v>
      </c>
      <c r="U133" s="201" t="str">
        <v>SI</v>
      </c>
      <c r="V133" s="201">
        <v>63127</v>
      </c>
      <c r="W133" s="201">
        <v>1</v>
      </c>
      <c r="X133" s="201" t="str">
        <f t="shared" si="9"/>
        <v>Yumbel</v>
      </c>
    </row>
    <row r="134" spans="1:24" ht="3" customHeight="1" x14ac:dyDescent="0.25">
      <c r="A134" s="327">
        <f t="shared" si="7"/>
        <v>7</v>
      </c>
      <c r="B134" s="328">
        <f>+'CALC MEC ESTAB Y ESTIM M FINAL'!B138</f>
        <v>7308</v>
      </c>
      <c r="C134" s="328" t="str">
        <f>+'CALC MEC ESTAB Y ESTIM M FINAL'!C138</f>
        <v>TENO</v>
      </c>
      <c r="D134" s="329">
        <f>+'CALC MEC ESTAB Y ESTIM M FINAL'!F138</f>
        <v>1.5149075508999999E-3</v>
      </c>
      <c r="E134" s="330">
        <f>+'CALC MEC ESTAB Y ESTIM M FINAL'!V138</f>
        <v>42942</v>
      </c>
      <c r="F134" s="214"/>
      <c r="J134" s="201">
        <f>+COEF_FCM!A140</f>
        <v>7308</v>
      </c>
      <c r="K134" s="201">
        <f>+COEF_FCM!B140</f>
        <v>7102</v>
      </c>
      <c r="L134" s="201" t="str">
        <f>+COEF_FCM!C140</f>
        <v>TENO</v>
      </c>
      <c r="M134" s="201" t="str">
        <f>+COEF_FCM!P140</f>
        <v>NO</v>
      </c>
      <c r="N134" s="201">
        <f>+COEF_FCM!AA140</f>
        <v>0</v>
      </c>
      <c r="O134" s="201">
        <f t="shared" si="8"/>
        <v>0</v>
      </c>
      <c r="R134" s="201">
        <v>8314</v>
      </c>
      <c r="S134" s="201">
        <v>8414</v>
      </c>
      <c r="T134" s="201" t="str">
        <v>ALTO BIOBÍO</v>
      </c>
      <c r="U134" s="201" t="str">
        <v>SI</v>
      </c>
      <c r="V134" s="201">
        <v>7046</v>
      </c>
      <c r="W134" s="201">
        <v>1</v>
      </c>
      <c r="X134" s="201" t="str">
        <f t="shared" si="9"/>
        <v>Alto Biobío</v>
      </c>
    </row>
    <row r="135" spans="1:24" ht="3" customHeight="1" x14ac:dyDescent="0.25">
      <c r="A135" s="327">
        <f t="shared" si="7"/>
        <v>7</v>
      </c>
      <c r="B135" s="328">
        <f>+'CALC MEC ESTAB Y ESTIM M FINAL'!B139</f>
        <v>7309</v>
      </c>
      <c r="C135" s="328" t="str">
        <f>+'CALC MEC ESTAB Y ESTIM M FINAL'!C139</f>
        <v>VICHUQUÉN</v>
      </c>
      <c r="D135" s="329">
        <f>+'CALC MEC ESTAB Y ESTIM M FINAL'!F139</f>
        <v>8.7353440619999999E-4</v>
      </c>
      <c r="E135" s="330">
        <f>+'CALC MEC ESTAB Y ESTIM M FINAL'!V139</f>
        <v>0</v>
      </c>
      <c r="F135" s="214"/>
      <c r="J135" s="201">
        <f>+COEF_FCM!A141</f>
        <v>7309</v>
      </c>
      <c r="K135" s="201">
        <f>+COEF_FCM!B141</f>
        <v>7106</v>
      </c>
      <c r="L135" s="201" t="str">
        <f>+COEF_FCM!C141</f>
        <v>VICHUQUÉN</v>
      </c>
      <c r="M135" s="201" t="str">
        <f>+COEF_FCM!P141</f>
        <v>NO</v>
      </c>
      <c r="N135" s="201">
        <f>+COEF_FCM!AA141</f>
        <v>0</v>
      </c>
      <c r="O135" s="201">
        <f t="shared" si="8"/>
        <v>0</v>
      </c>
      <c r="R135" s="201">
        <v>9101</v>
      </c>
      <c r="S135" s="201">
        <v>9201</v>
      </c>
      <c r="T135" s="201" t="str">
        <v>TEMUCO</v>
      </c>
      <c r="U135" s="201" t="str">
        <v>SI</v>
      </c>
      <c r="V135" s="201">
        <v>208429</v>
      </c>
      <c r="W135" s="201">
        <v>1</v>
      </c>
      <c r="X135" s="201" t="str">
        <f t="shared" si="9"/>
        <v>Temuco</v>
      </c>
    </row>
    <row r="136" spans="1:24" ht="3" customHeight="1" x14ac:dyDescent="0.25">
      <c r="A136" s="327">
        <f t="shared" si="7"/>
        <v>7</v>
      </c>
      <c r="B136" s="328">
        <f>+'CALC MEC ESTAB Y ESTIM M FINAL'!B140</f>
        <v>7401</v>
      </c>
      <c r="C136" s="328" t="str">
        <f>+'CALC MEC ESTAB Y ESTIM M FINAL'!C140</f>
        <v>LINARES</v>
      </c>
      <c r="D136" s="329">
        <f>+'CALC MEC ESTAB Y ESTIM M FINAL'!F140</f>
        <v>7.6644937901000007E-3</v>
      </c>
      <c r="E136" s="330">
        <f>+'CALC MEC ESTAB Y ESTIM M FINAL'!V140</f>
        <v>0</v>
      </c>
      <c r="F136" s="214"/>
      <c r="J136" s="201">
        <f>+COEF_FCM!A142</f>
        <v>7401</v>
      </c>
      <c r="K136" s="201">
        <f>+COEF_FCM!B142</f>
        <v>7301</v>
      </c>
      <c r="L136" s="201" t="str">
        <f>+COEF_FCM!C142</f>
        <v>LINARES</v>
      </c>
      <c r="M136" s="201" t="str">
        <f>+COEF_FCM!P142</f>
        <v>SI</v>
      </c>
      <c r="N136" s="201">
        <f>+COEF_FCM!AA142</f>
        <v>79789</v>
      </c>
      <c r="O136" s="201">
        <f t="shared" si="8"/>
        <v>1</v>
      </c>
      <c r="R136" s="201">
        <v>9102</v>
      </c>
      <c r="S136" s="201">
        <v>9209</v>
      </c>
      <c r="T136" s="201" t="str">
        <v>CARAHUE</v>
      </c>
      <c r="U136" s="201" t="str">
        <v>SI</v>
      </c>
      <c r="V136" s="201">
        <v>23321</v>
      </c>
      <c r="W136" s="201">
        <v>1</v>
      </c>
      <c r="X136" s="201" t="str">
        <f t="shared" si="9"/>
        <v>Carahue</v>
      </c>
    </row>
    <row r="137" spans="1:24" ht="3" customHeight="1" x14ac:dyDescent="0.25">
      <c r="A137" s="327">
        <f t="shared" si="7"/>
        <v>7</v>
      </c>
      <c r="B137" s="328">
        <f>+'CALC MEC ESTAB Y ESTIM M FINAL'!B141</f>
        <v>7402</v>
      </c>
      <c r="C137" s="328" t="str">
        <f>+'CALC MEC ESTAB Y ESTIM M FINAL'!C141</f>
        <v>COLBÚN</v>
      </c>
      <c r="D137" s="329">
        <f>+'CALC MEC ESTAB Y ESTIM M FINAL'!F141</f>
        <v>1.5009283708E-3</v>
      </c>
      <c r="E137" s="330">
        <f>+'CALC MEC ESTAB Y ESTIM M FINAL'!V141</f>
        <v>580082</v>
      </c>
      <c r="F137" s="214"/>
      <c r="J137" s="201">
        <f>+COEF_FCM!A143</f>
        <v>7402</v>
      </c>
      <c r="K137" s="201">
        <f>+COEF_FCM!B143</f>
        <v>7303</v>
      </c>
      <c r="L137" s="201" t="str">
        <f>+COEF_FCM!C143</f>
        <v>COLBÚN</v>
      </c>
      <c r="M137" s="201" t="str">
        <f>+COEF_FCM!P143</f>
        <v>SI</v>
      </c>
      <c r="N137" s="201">
        <f>+COEF_FCM!AA143</f>
        <v>31225</v>
      </c>
      <c r="O137" s="201">
        <f t="shared" si="8"/>
        <v>1</v>
      </c>
      <c r="R137" s="201">
        <v>9103</v>
      </c>
      <c r="S137" s="201">
        <v>9204</v>
      </c>
      <c r="T137" s="201" t="str">
        <v>CUNCO</v>
      </c>
      <c r="U137" s="201" t="str">
        <v>SI</v>
      </c>
      <c r="V137" s="201">
        <v>36506</v>
      </c>
      <c r="W137" s="201">
        <v>1</v>
      </c>
      <c r="X137" s="201" t="str">
        <f t="shared" si="9"/>
        <v>Cunco</v>
      </c>
    </row>
    <row r="138" spans="1:24" ht="3" customHeight="1" x14ac:dyDescent="0.25">
      <c r="A138" s="327">
        <f t="shared" si="7"/>
        <v>7</v>
      </c>
      <c r="B138" s="328">
        <f>+'CALC MEC ESTAB Y ESTIM M FINAL'!B142</f>
        <v>7403</v>
      </c>
      <c r="C138" s="328" t="str">
        <f>+'CALC MEC ESTAB Y ESTIM M FINAL'!C142</f>
        <v>LONGAVÍ</v>
      </c>
      <c r="D138" s="329">
        <f>+'CALC MEC ESTAB Y ESTIM M FINAL'!F142</f>
        <v>3.9041869848999997E-3</v>
      </c>
      <c r="E138" s="330">
        <f>+'CALC MEC ESTAB Y ESTIM M FINAL'!V142</f>
        <v>0</v>
      </c>
      <c r="F138" s="214"/>
      <c r="J138" s="201">
        <f>+COEF_FCM!A144</f>
        <v>7403</v>
      </c>
      <c r="K138" s="201">
        <f>+COEF_FCM!B144</f>
        <v>7304</v>
      </c>
      <c r="L138" s="201" t="str">
        <f>+COEF_FCM!C144</f>
        <v>LONGAVÍ</v>
      </c>
      <c r="M138" s="201" t="str">
        <f>+COEF_FCM!P144</f>
        <v>SI</v>
      </c>
      <c r="N138" s="201">
        <f>+COEF_FCM!AA144</f>
        <v>38566</v>
      </c>
      <c r="O138" s="201">
        <f t="shared" si="8"/>
        <v>1</v>
      </c>
      <c r="R138" s="201">
        <v>9104</v>
      </c>
      <c r="S138" s="201">
        <v>9218</v>
      </c>
      <c r="T138" s="201" t="str">
        <v>CURARREHUE</v>
      </c>
      <c r="U138" s="201" t="str">
        <v>SI</v>
      </c>
      <c r="V138" s="201">
        <v>6932</v>
      </c>
      <c r="W138" s="201">
        <v>1</v>
      </c>
      <c r="X138" s="201" t="str">
        <f t="shared" si="9"/>
        <v>Curarrehue</v>
      </c>
    </row>
    <row r="139" spans="1:24" ht="3" customHeight="1" x14ac:dyDescent="0.25">
      <c r="A139" s="327">
        <f t="shared" si="7"/>
        <v>7</v>
      </c>
      <c r="B139" s="328">
        <f>+'CALC MEC ESTAB Y ESTIM M FINAL'!B143</f>
        <v>7404</v>
      </c>
      <c r="C139" s="328" t="str">
        <f>+'CALC MEC ESTAB Y ESTIM M FINAL'!C143</f>
        <v>PARRAL</v>
      </c>
      <c r="D139" s="329">
        <f>+'CALC MEC ESTAB Y ESTIM M FINAL'!F143</f>
        <v>4.6730238431999995E-3</v>
      </c>
      <c r="E139" s="330">
        <f>+'CALC MEC ESTAB Y ESTIM M FINAL'!V143</f>
        <v>0</v>
      </c>
      <c r="F139" s="214"/>
      <c r="J139" s="201">
        <f>+COEF_FCM!A145</f>
        <v>7404</v>
      </c>
      <c r="K139" s="201">
        <f>+COEF_FCM!B145</f>
        <v>7305</v>
      </c>
      <c r="L139" s="201" t="str">
        <f>+COEF_FCM!C145</f>
        <v>PARRAL</v>
      </c>
      <c r="M139" s="201" t="str">
        <f>+COEF_FCM!P145</f>
        <v>SI</v>
      </c>
      <c r="N139" s="201">
        <f>+COEF_FCM!AA145</f>
        <v>54910</v>
      </c>
      <c r="O139" s="201">
        <f t="shared" si="8"/>
        <v>1</v>
      </c>
      <c r="R139" s="201">
        <v>9105</v>
      </c>
      <c r="S139" s="201">
        <v>9203</v>
      </c>
      <c r="T139" s="201" t="str">
        <v>FREIRE</v>
      </c>
      <c r="U139" s="201" t="str">
        <v>SI</v>
      </c>
      <c r="V139" s="201">
        <v>21253</v>
      </c>
      <c r="W139" s="201">
        <v>1</v>
      </c>
      <c r="X139" s="201" t="str">
        <f t="shared" si="9"/>
        <v>Freire</v>
      </c>
    </row>
    <row r="140" spans="1:24" ht="3" customHeight="1" x14ac:dyDescent="0.25">
      <c r="A140" s="327">
        <f t="shared" si="7"/>
        <v>7</v>
      </c>
      <c r="B140" s="328">
        <f>+'CALC MEC ESTAB Y ESTIM M FINAL'!B144</f>
        <v>7405</v>
      </c>
      <c r="C140" s="328" t="str">
        <f>+'CALC MEC ESTAB Y ESTIM M FINAL'!C144</f>
        <v>RETIRO</v>
      </c>
      <c r="D140" s="329">
        <f>+'CALC MEC ESTAB Y ESTIM M FINAL'!F144</f>
        <v>2.8021869564999998E-3</v>
      </c>
      <c r="E140" s="330">
        <f>+'CALC MEC ESTAB Y ESTIM M FINAL'!V144</f>
        <v>0</v>
      </c>
      <c r="F140" s="214"/>
      <c r="J140" s="201">
        <f>+COEF_FCM!A146</f>
        <v>7405</v>
      </c>
      <c r="K140" s="201">
        <f>+COEF_FCM!B146</f>
        <v>7306</v>
      </c>
      <c r="L140" s="201" t="str">
        <f>+COEF_FCM!C146</f>
        <v>RETIRO</v>
      </c>
      <c r="M140" s="201" t="str">
        <f>+COEF_FCM!P146</f>
        <v>SI</v>
      </c>
      <c r="N140" s="201">
        <f>+COEF_FCM!AA146</f>
        <v>27077</v>
      </c>
      <c r="O140" s="201">
        <f t="shared" si="8"/>
        <v>1</v>
      </c>
      <c r="R140" s="201">
        <v>9106</v>
      </c>
      <c r="S140" s="201">
        <v>9207</v>
      </c>
      <c r="T140" s="201" t="str">
        <v>GALVARINO</v>
      </c>
      <c r="U140" s="201" t="str">
        <v>SI</v>
      </c>
      <c r="V140" s="201">
        <v>6717</v>
      </c>
      <c r="W140" s="201">
        <v>1</v>
      </c>
      <c r="X140" s="201" t="str">
        <f t="shared" si="9"/>
        <v>Galvarino</v>
      </c>
    </row>
    <row r="141" spans="1:24" ht="3" customHeight="1" x14ac:dyDescent="0.25">
      <c r="A141" s="327">
        <f t="shared" si="7"/>
        <v>7</v>
      </c>
      <c r="B141" s="328">
        <f>+'CALC MEC ESTAB Y ESTIM M FINAL'!B145</f>
        <v>7406</v>
      </c>
      <c r="C141" s="328" t="str">
        <f>+'CALC MEC ESTAB Y ESTIM M FINAL'!C145</f>
        <v>SAN JAVIER</v>
      </c>
      <c r="D141" s="329">
        <f>+'CALC MEC ESTAB Y ESTIM M FINAL'!F145</f>
        <v>4.5767027183999994E-3</v>
      </c>
      <c r="E141" s="330">
        <f>+'CALC MEC ESTAB Y ESTIM M FINAL'!V145</f>
        <v>0</v>
      </c>
      <c r="F141" s="214"/>
      <c r="J141" s="201">
        <f>+COEF_FCM!A147</f>
        <v>7406</v>
      </c>
      <c r="K141" s="201">
        <f>+COEF_FCM!B147</f>
        <v>7310</v>
      </c>
      <c r="L141" s="201" t="str">
        <f>+COEF_FCM!C147</f>
        <v>SAN JAVIER</v>
      </c>
      <c r="M141" s="201" t="str">
        <f>+COEF_FCM!P147</f>
        <v>SI</v>
      </c>
      <c r="N141" s="201">
        <f>+COEF_FCM!AA147</f>
        <v>40150</v>
      </c>
      <c r="O141" s="201">
        <f t="shared" si="8"/>
        <v>1</v>
      </c>
      <c r="R141" s="201">
        <v>9107</v>
      </c>
      <c r="S141" s="201">
        <v>9212</v>
      </c>
      <c r="T141" s="201" t="str">
        <v>GORBEA</v>
      </c>
      <c r="U141" s="201" t="str">
        <v>SI</v>
      </c>
      <c r="V141" s="201">
        <v>18376</v>
      </c>
      <c r="W141" s="201">
        <v>1</v>
      </c>
      <c r="X141" s="201" t="str">
        <f t="shared" si="9"/>
        <v>Gorbea</v>
      </c>
    </row>
    <row r="142" spans="1:24" ht="3" customHeight="1" x14ac:dyDescent="0.25">
      <c r="A142" s="327">
        <f t="shared" si="7"/>
        <v>7</v>
      </c>
      <c r="B142" s="328">
        <f>+'CALC MEC ESTAB Y ESTIM M FINAL'!B146</f>
        <v>7407</v>
      </c>
      <c r="C142" s="328" t="str">
        <f>+'CALC MEC ESTAB Y ESTIM M FINAL'!C146</f>
        <v>VILLA ALEGRE</v>
      </c>
      <c r="D142" s="329">
        <f>+'CALC MEC ESTAB Y ESTIM M FINAL'!F146</f>
        <v>2.2303250383999998E-3</v>
      </c>
      <c r="E142" s="330">
        <f>+'CALC MEC ESTAB Y ESTIM M FINAL'!V146</f>
        <v>0</v>
      </c>
      <c r="F142" s="214"/>
      <c r="J142" s="201">
        <f>+COEF_FCM!A148</f>
        <v>7407</v>
      </c>
      <c r="K142" s="201">
        <f>+COEF_FCM!B148</f>
        <v>7309</v>
      </c>
      <c r="L142" s="201" t="str">
        <f>+COEF_FCM!C148</f>
        <v>VILLA ALEGRE</v>
      </c>
      <c r="M142" s="201" t="str">
        <f>+COEF_FCM!P148</f>
        <v>SI</v>
      </c>
      <c r="N142" s="201">
        <f>+COEF_FCM!AA148</f>
        <v>17683</v>
      </c>
      <c r="O142" s="201">
        <f t="shared" si="8"/>
        <v>1</v>
      </c>
      <c r="R142" s="201">
        <v>9108</v>
      </c>
      <c r="S142" s="201">
        <v>9205</v>
      </c>
      <c r="T142" s="201" t="str">
        <v>LAUTARO</v>
      </c>
      <c r="U142" s="201" t="str">
        <v>SI</v>
      </c>
      <c r="V142" s="201">
        <v>33474</v>
      </c>
      <c r="W142" s="201">
        <v>1</v>
      </c>
      <c r="X142" s="201" t="str">
        <f t="shared" si="9"/>
        <v>Lautaro</v>
      </c>
    </row>
    <row r="143" spans="1:24" ht="3" customHeight="1" x14ac:dyDescent="0.25">
      <c r="A143" s="327">
        <f t="shared" si="7"/>
        <v>7</v>
      </c>
      <c r="B143" s="328">
        <f>+'CALC MEC ESTAB Y ESTIM M FINAL'!B147</f>
        <v>7408</v>
      </c>
      <c r="C143" s="328" t="str">
        <f>+'CALC MEC ESTAB Y ESTIM M FINAL'!C147</f>
        <v>YERBAS BUENAS</v>
      </c>
      <c r="D143" s="329">
        <f>+'CALC MEC ESTAB Y ESTIM M FINAL'!F147</f>
        <v>2.0152649739999997E-3</v>
      </c>
      <c r="E143" s="330">
        <f>+'CALC MEC ESTAB Y ESTIM M FINAL'!V147</f>
        <v>0</v>
      </c>
      <c r="F143" s="214"/>
      <c r="J143" s="201">
        <f>+COEF_FCM!A149</f>
        <v>7408</v>
      </c>
      <c r="K143" s="201">
        <f>+COEF_FCM!B149</f>
        <v>7302</v>
      </c>
      <c r="L143" s="201" t="str">
        <f>+COEF_FCM!C149</f>
        <v>YERBAS BUENAS</v>
      </c>
      <c r="M143" s="201" t="str">
        <f>+COEF_FCM!P149</f>
        <v>SI</v>
      </c>
      <c r="N143" s="201">
        <f>+COEF_FCM!AA149</f>
        <v>15978</v>
      </c>
      <c r="O143" s="201">
        <f t="shared" si="8"/>
        <v>1</v>
      </c>
      <c r="R143" s="201">
        <v>9109</v>
      </c>
      <c r="S143" s="201">
        <v>9214</v>
      </c>
      <c r="T143" s="201" t="str">
        <v>LONCOCHE</v>
      </c>
      <c r="U143" s="201" t="str">
        <v>SI</v>
      </c>
      <c r="V143" s="201">
        <v>32677</v>
      </c>
      <c r="W143" s="201">
        <v>1</v>
      </c>
      <c r="X143" s="201" t="str">
        <f t="shared" si="9"/>
        <v>Loncoche</v>
      </c>
    </row>
    <row r="144" spans="1:24" ht="3" customHeight="1" x14ac:dyDescent="0.25">
      <c r="A144" s="327">
        <f t="shared" si="7"/>
        <v>8</v>
      </c>
      <c r="B144" s="328">
        <f>+'CALC MEC ESTAB Y ESTIM M FINAL'!B148</f>
        <v>8101</v>
      </c>
      <c r="C144" s="328" t="str">
        <f>+'CALC MEC ESTAB Y ESTIM M FINAL'!C148</f>
        <v>CONCEPCIÓN</v>
      </c>
      <c r="D144" s="329">
        <f>+'CALC MEC ESTAB Y ESTIM M FINAL'!F148</f>
        <v>4.3736955486E-3</v>
      </c>
      <c r="E144" s="330">
        <f>+'CALC MEC ESTAB Y ESTIM M FINAL'!V148</f>
        <v>0</v>
      </c>
      <c r="F144" s="214"/>
      <c r="J144" s="201">
        <f>+COEF_FCM!A150</f>
        <v>8101</v>
      </c>
      <c r="K144" s="201">
        <f>+COEF_FCM!B150</f>
        <v>8201</v>
      </c>
      <c r="L144" s="201" t="str">
        <f>+COEF_FCM!C150</f>
        <v>CONCEPCIÓN</v>
      </c>
      <c r="M144" s="201" t="str">
        <f>+COEF_FCM!P150</f>
        <v>NO</v>
      </c>
      <c r="N144" s="201">
        <f>+COEF_FCM!AA150</f>
        <v>0</v>
      </c>
      <c r="O144" s="201">
        <f t="shared" si="8"/>
        <v>0</v>
      </c>
      <c r="R144" s="201">
        <v>9110</v>
      </c>
      <c r="S144" s="201">
        <v>9217</v>
      </c>
      <c r="T144" s="201" t="str">
        <v>MELIPEUCO</v>
      </c>
      <c r="U144" s="201" t="str">
        <v>SI</v>
      </c>
      <c r="V144" s="201">
        <v>23622</v>
      </c>
      <c r="W144" s="201">
        <v>1</v>
      </c>
      <c r="X144" s="201" t="str">
        <f t="shared" si="9"/>
        <v>Melipeuco</v>
      </c>
    </row>
    <row r="145" spans="1:24" ht="3" customHeight="1" x14ac:dyDescent="0.25">
      <c r="A145" s="327">
        <f t="shared" si="7"/>
        <v>8</v>
      </c>
      <c r="B145" s="328">
        <f>+'CALC MEC ESTAB Y ESTIM M FINAL'!B149</f>
        <v>8102</v>
      </c>
      <c r="C145" s="328" t="str">
        <f>+'CALC MEC ESTAB Y ESTIM M FINAL'!C149</f>
        <v>CORONEL</v>
      </c>
      <c r="D145" s="329">
        <f>+'CALC MEC ESTAB Y ESTIM M FINAL'!F149</f>
        <v>4.7426669317999996E-3</v>
      </c>
      <c r="E145" s="330">
        <f>+'CALC MEC ESTAB Y ESTIM M FINAL'!V149</f>
        <v>4154466</v>
      </c>
      <c r="F145" s="214"/>
      <c r="J145" s="201">
        <f>+COEF_FCM!A151</f>
        <v>8102</v>
      </c>
      <c r="K145" s="201">
        <f>+COEF_FCM!B151</f>
        <v>8207</v>
      </c>
      <c r="L145" s="201" t="str">
        <f>+COEF_FCM!C151</f>
        <v>CORONEL</v>
      </c>
      <c r="M145" s="201" t="str">
        <f>+COEF_FCM!P151</f>
        <v>SI</v>
      </c>
      <c r="N145" s="201">
        <f>+COEF_FCM!AA151</f>
        <v>38603</v>
      </c>
      <c r="O145" s="201">
        <f t="shared" si="8"/>
        <v>1</v>
      </c>
      <c r="R145" s="201">
        <v>9111</v>
      </c>
      <c r="S145" s="201">
        <v>9208</v>
      </c>
      <c r="T145" s="201" t="str">
        <v>NUEVA IMPERIAL</v>
      </c>
      <c r="U145" s="201" t="str">
        <v>SI</v>
      </c>
      <c r="V145" s="201">
        <v>18519</v>
      </c>
      <c r="W145" s="201">
        <v>1</v>
      </c>
      <c r="X145" s="201" t="str">
        <f t="shared" si="9"/>
        <v>Nueva Imperial</v>
      </c>
    </row>
    <row r="146" spans="1:24" ht="3" customHeight="1" x14ac:dyDescent="0.25">
      <c r="A146" s="327">
        <f t="shared" si="7"/>
        <v>8</v>
      </c>
      <c r="B146" s="328">
        <f>+'CALC MEC ESTAB Y ESTIM M FINAL'!B150</f>
        <v>8103</v>
      </c>
      <c r="C146" s="328" t="str">
        <f>+'CALC MEC ESTAB Y ESTIM M FINAL'!C150</f>
        <v>CHIGUAYANTE</v>
      </c>
      <c r="D146" s="329">
        <f>+'CALC MEC ESTAB Y ESTIM M FINAL'!F150</f>
        <v>3.8164753161999999E-3</v>
      </c>
      <c r="E146" s="330">
        <f>+'CALC MEC ESTAB Y ESTIM M FINAL'!V150</f>
        <v>1773681</v>
      </c>
      <c r="F146" s="214"/>
      <c r="J146" s="201">
        <f>+COEF_FCM!A152</f>
        <v>8103</v>
      </c>
      <c r="K146" s="201">
        <f>+COEF_FCM!B152</f>
        <v>8211</v>
      </c>
      <c r="L146" s="201" t="str">
        <f>+COEF_FCM!C152</f>
        <v>CHIGUAYANTE</v>
      </c>
      <c r="M146" s="201" t="str">
        <f>+COEF_FCM!P152</f>
        <v>SI</v>
      </c>
      <c r="N146" s="201">
        <f>+COEF_FCM!AA152</f>
        <v>24162</v>
      </c>
      <c r="O146" s="201">
        <f t="shared" si="8"/>
        <v>1</v>
      </c>
      <c r="R146" s="201">
        <v>9112</v>
      </c>
      <c r="S146" s="201">
        <v>9220</v>
      </c>
      <c r="T146" s="201" t="str">
        <v>PADRE LAS CASAS</v>
      </c>
      <c r="U146" s="201" t="str">
        <v>SI</v>
      </c>
      <c r="V146" s="201">
        <v>34595</v>
      </c>
      <c r="W146" s="201">
        <v>1</v>
      </c>
      <c r="X146" s="201" t="str">
        <f t="shared" si="9"/>
        <v>Padre Las Casas</v>
      </c>
    </row>
    <row r="147" spans="1:24" ht="3" customHeight="1" x14ac:dyDescent="0.25">
      <c r="A147" s="327">
        <f t="shared" si="7"/>
        <v>8</v>
      </c>
      <c r="B147" s="328">
        <f>+'CALC MEC ESTAB Y ESTIM M FINAL'!B151</f>
        <v>8104</v>
      </c>
      <c r="C147" s="328" t="str">
        <f>+'CALC MEC ESTAB Y ESTIM M FINAL'!C151</f>
        <v>FLORIDA</v>
      </c>
      <c r="D147" s="329">
        <f>+'CALC MEC ESTAB Y ESTIM M FINAL'!F151</f>
        <v>2.0428292539999998E-3</v>
      </c>
      <c r="E147" s="330">
        <f>+'CALC MEC ESTAB Y ESTIM M FINAL'!V151</f>
        <v>0</v>
      </c>
      <c r="F147" s="214"/>
      <c r="J147" s="201">
        <f>+COEF_FCM!A153</f>
        <v>8104</v>
      </c>
      <c r="K147" s="201">
        <f>+COEF_FCM!B153</f>
        <v>8204</v>
      </c>
      <c r="L147" s="201" t="str">
        <f>+COEF_FCM!C153</f>
        <v>FLORIDA</v>
      </c>
      <c r="M147" s="201" t="str">
        <f>+COEF_FCM!P153</f>
        <v>SI</v>
      </c>
      <c r="N147" s="201">
        <f>+COEF_FCM!AA153</f>
        <v>18751</v>
      </c>
      <c r="O147" s="201">
        <f t="shared" si="8"/>
        <v>1</v>
      </c>
      <c r="R147" s="201">
        <v>9113</v>
      </c>
      <c r="S147" s="201">
        <v>9206</v>
      </c>
      <c r="T147" s="201" t="str">
        <v>PERQUENCO</v>
      </c>
      <c r="U147" s="201" t="str">
        <v>SI</v>
      </c>
      <c r="V147" s="201">
        <v>9889</v>
      </c>
      <c r="W147" s="201">
        <v>1</v>
      </c>
      <c r="X147" s="201" t="str">
        <f t="shared" si="9"/>
        <v>Perquenco</v>
      </c>
    </row>
    <row r="148" spans="1:24" ht="3" customHeight="1" x14ac:dyDescent="0.25">
      <c r="A148" s="327">
        <f t="shared" si="7"/>
        <v>8</v>
      </c>
      <c r="B148" s="328">
        <f>+'CALC MEC ESTAB Y ESTIM M FINAL'!B152</f>
        <v>8105</v>
      </c>
      <c r="C148" s="328" t="str">
        <f>+'CALC MEC ESTAB Y ESTIM M FINAL'!C152</f>
        <v>HUALQUI</v>
      </c>
      <c r="D148" s="329">
        <f>+'CALC MEC ESTAB Y ESTIM M FINAL'!F152</f>
        <v>2.7543084669E-3</v>
      </c>
      <c r="E148" s="330">
        <f>+'CALC MEC ESTAB Y ESTIM M FINAL'!V152</f>
        <v>0</v>
      </c>
      <c r="F148" s="214"/>
      <c r="J148" s="201">
        <f>+COEF_FCM!A154</f>
        <v>8105</v>
      </c>
      <c r="K148" s="201">
        <f>+COEF_FCM!B154</f>
        <v>8203</v>
      </c>
      <c r="L148" s="201" t="str">
        <f>+COEF_FCM!C154</f>
        <v>HUALQUI</v>
      </c>
      <c r="M148" s="201" t="str">
        <f>+COEF_FCM!P154</f>
        <v>SI</v>
      </c>
      <c r="N148" s="201">
        <f>+COEF_FCM!AA154</f>
        <v>18251</v>
      </c>
      <c r="O148" s="201">
        <f t="shared" si="8"/>
        <v>1</v>
      </c>
      <c r="R148" s="201">
        <v>9114</v>
      </c>
      <c r="S148" s="201">
        <v>9211</v>
      </c>
      <c r="T148" s="201" t="str">
        <v>PITRUFQUÉN</v>
      </c>
      <c r="U148" s="201" t="str">
        <v>SI</v>
      </c>
      <c r="V148" s="201">
        <v>27731</v>
      </c>
      <c r="W148" s="201">
        <v>1</v>
      </c>
      <c r="X148" s="201" t="str">
        <f t="shared" si="9"/>
        <v>Pitrufquén</v>
      </c>
    </row>
    <row r="149" spans="1:24" ht="3" customHeight="1" x14ac:dyDescent="0.25">
      <c r="A149" s="327">
        <f t="shared" si="7"/>
        <v>8</v>
      </c>
      <c r="B149" s="328">
        <f>+'CALC MEC ESTAB Y ESTIM M FINAL'!B153</f>
        <v>8106</v>
      </c>
      <c r="C149" s="328" t="str">
        <f>+'CALC MEC ESTAB Y ESTIM M FINAL'!C153</f>
        <v>LOTA</v>
      </c>
      <c r="D149" s="329">
        <f>+'CALC MEC ESTAB Y ESTIM M FINAL'!F153</f>
        <v>3.5619149424000003E-3</v>
      </c>
      <c r="E149" s="330">
        <f>+'CALC MEC ESTAB Y ESTIM M FINAL'!V153</f>
        <v>1315334</v>
      </c>
      <c r="F149" s="214"/>
      <c r="J149" s="201">
        <f>+COEF_FCM!A155</f>
        <v>8106</v>
      </c>
      <c r="K149" s="201">
        <f>+COEF_FCM!B155</f>
        <v>8208</v>
      </c>
      <c r="L149" s="201" t="str">
        <f>+COEF_FCM!C155</f>
        <v>LOTA</v>
      </c>
      <c r="M149" s="201" t="str">
        <f>+COEF_FCM!P155</f>
        <v>SI</v>
      </c>
      <c r="N149" s="201">
        <f>+COEF_FCM!AA155</f>
        <v>23323</v>
      </c>
      <c r="O149" s="201">
        <f t="shared" si="8"/>
        <v>1</v>
      </c>
      <c r="R149" s="201">
        <v>9116</v>
      </c>
      <c r="S149" s="201">
        <v>9210</v>
      </c>
      <c r="T149" s="201" t="str">
        <v>SAAVEDRA</v>
      </c>
      <c r="U149" s="201" t="str">
        <v>SI</v>
      </c>
      <c r="V149" s="201">
        <v>27528</v>
      </c>
      <c r="W149" s="201">
        <v>1</v>
      </c>
      <c r="X149" s="201" t="str">
        <f t="shared" si="9"/>
        <v>Saavedra</v>
      </c>
    </row>
    <row r="150" spans="1:24" ht="3" customHeight="1" x14ac:dyDescent="0.25">
      <c r="A150" s="327">
        <f t="shared" si="7"/>
        <v>8</v>
      </c>
      <c r="B150" s="328">
        <f>+'CALC MEC ESTAB Y ESTIM M FINAL'!B154</f>
        <v>8107</v>
      </c>
      <c r="C150" s="328" t="str">
        <f>+'CALC MEC ESTAB Y ESTIM M FINAL'!C154</f>
        <v>PENCO</v>
      </c>
      <c r="D150" s="329">
        <f>+'CALC MEC ESTAB Y ESTIM M FINAL'!F154</f>
        <v>3.4427829025000002E-3</v>
      </c>
      <c r="E150" s="330">
        <f>+'CALC MEC ESTAB Y ESTIM M FINAL'!V154</f>
        <v>0</v>
      </c>
      <c r="F150" s="214"/>
      <c r="J150" s="201">
        <f>+COEF_FCM!A156</f>
        <v>8107</v>
      </c>
      <c r="K150" s="201">
        <f>+COEF_FCM!B156</f>
        <v>8202</v>
      </c>
      <c r="L150" s="201" t="str">
        <f>+COEF_FCM!C156</f>
        <v>PENCO</v>
      </c>
      <c r="M150" s="201" t="str">
        <f>+COEF_FCM!P156</f>
        <v>SI</v>
      </c>
      <c r="N150" s="201">
        <f>+COEF_FCM!AA156</f>
        <v>31877</v>
      </c>
      <c r="O150" s="201">
        <f t="shared" si="8"/>
        <v>1</v>
      </c>
      <c r="R150" s="201">
        <v>9117</v>
      </c>
      <c r="S150" s="201">
        <v>9219</v>
      </c>
      <c r="T150" s="201" t="str">
        <v>TEODORO SCHMIDT</v>
      </c>
      <c r="U150" s="201" t="str">
        <v>SI</v>
      </c>
      <c r="V150" s="201">
        <v>20228</v>
      </c>
      <c r="W150" s="201">
        <v>1</v>
      </c>
      <c r="X150" s="201" t="str">
        <f t="shared" si="9"/>
        <v>Teodoro Schmidt</v>
      </c>
    </row>
    <row r="151" spans="1:24" ht="3" customHeight="1" x14ac:dyDescent="0.25">
      <c r="A151" s="327">
        <f t="shared" si="7"/>
        <v>8</v>
      </c>
      <c r="B151" s="328">
        <f>+'CALC MEC ESTAB Y ESTIM M FINAL'!B155</f>
        <v>8108</v>
      </c>
      <c r="C151" s="328" t="str">
        <f>+'CALC MEC ESTAB Y ESTIM M FINAL'!C155</f>
        <v>SAN PEDRO DE LA PAZ</v>
      </c>
      <c r="D151" s="329">
        <f>+'CALC MEC ESTAB Y ESTIM M FINAL'!F155</f>
        <v>4.9137246795999999E-3</v>
      </c>
      <c r="E151" s="330">
        <f>+'CALC MEC ESTAB Y ESTIM M FINAL'!V155</f>
        <v>0</v>
      </c>
      <c r="F151" s="214"/>
      <c r="J151" s="201">
        <f>+COEF_FCM!A157</f>
        <v>8108</v>
      </c>
      <c r="K151" s="201">
        <f>+COEF_FCM!B157</f>
        <v>8210</v>
      </c>
      <c r="L151" s="201" t="str">
        <f>+COEF_FCM!C157</f>
        <v>SAN PEDRO DE LA PAZ</v>
      </c>
      <c r="M151" s="201" t="str">
        <f>+COEF_FCM!P157</f>
        <v>SI</v>
      </c>
      <c r="N151" s="201">
        <f>+COEF_FCM!AA157</f>
        <v>55013</v>
      </c>
      <c r="O151" s="201">
        <f t="shared" si="8"/>
        <v>1</v>
      </c>
      <c r="R151" s="201">
        <v>9118</v>
      </c>
      <c r="S151" s="201">
        <v>9213</v>
      </c>
      <c r="T151" s="201" t="str">
        <v>TOLTÉN</v>
      </c>
      <c r="U151" s="201" t="str">
        <v>SI</v>
      </c>
      <c r="V151" s="201">
        <v>18482</v>
      </c>
      <c r="W151" s="201">
        <v>1</v>
      </c>
      <c r="X151" s="201" t="str">
        <f t="shared" si="9"/>
        <v>Toltén</v>
      </c>
    </row>
    <row r="152" spans="1:24" ht="3" customHeight="1" x14ac:dyDescent="0.25">
      <c r="A152" s="327">
        <f t="shared" si="7"/>
        <v>8</v>
      </c>
      <c r="B152" s="328">
        <f>+'CALC MEC ESTAB Y ESTIM M FINAL'!B156</f>
        <v>8109</v>
      </c>
      <c r="C152" s="328" t="str">
        <f>+'CALC MEC ESTAB Y ESTIM M FINAL'!C156</f>
        <v>SANTA JUANA</v>
      </c>
      <c r="D152" s="329">
        <f>+'CALC MEC ESTAB Y ESTIM M FINAL'!F156</f>
        <v>2.1955347509999999E-3</v>
      </c>
      <c r="E152" s="330">
        <f>+'CALC MEC ESTAB Y ESTIM M FINAL'!V156</f>
        <v>0</v>
      </c>
      <c r="F152" s="214"/>
      <c r="J152" s="201">
        <f>+COEF_FCM!A158</f>
        <v>8109</v>
      </c>
      <c r="K152" s="201">
        <f>+COEF_FCM!B158</f>
        <v>8209</v>
      </c>
      <c r="L152" s="201" t="str">
        <f>+COEF_FCM!C158</f>
        <v>SANTA JUANA</v>
      </c>
      <c r="M152" s="201" t="str">
        <f>+COEF_FCM!P158</f>
        <v>SI</v>
      </c>
      <c r="N152" s="201">
        <f>+COEF_FCM!AA158</f>
        <v>19565</v>
      </c>
      <c r="O152" s="201">
        <f t="shared" si="8"/>
        <v>1</v>
      </c>
      <c r="R152" s="201">
        <v>9119</v>
      </c>
      <c r="S152" s="201">
        <v>9202</v>
      </c>
      <c r="T152" s="201" t="str">
        <v>VILCÚN</v>
      </c>
      <c r="U152" s="201" t="str">
        <v>SI</v>
      </c>
      <c r="V152" s="201">
        <v>36443</v>
      </c>
      <c r="W152" s="201">
        <v>1</v>
      </c>
      <c r="X152" s="201" t="str">
        <f t="shared" si="9"/>
        <v>Vilcún</v>
      </c>
    </row>
    <row r="153" spans="1:24" ht="3" customHeight="1" x14ac:dyDescent="0.25">
      <c r="A153" s="327">
        <f t="shared" si="7"/>
        <v>8</v>
      </c>
      <c r="B153" s="328">
        <f>+'CALC MEC ESTAB Y ESTIM M FINAL'!B157</f>
        <v>8110</v>
      </c>
      <c r="C153" s="328" t="str">
        <f>+'CALC MEC ESTAB Y ESTIM M FINAL'!C157</f>
        <v>TALCAHUANO</v>
      </c>
      <c r="D153" s="329">
        <f>+'CALC MEC ESTAB Y ESTIM M FINAL'!F157</f>
        <v>4.0761487618999996E-3</v>
      </c>
      <c r="E153" s="330">
        <f>+'CALC MEC ESTAB Y ESTIM M FINAL'!V157</f>
        <v>0</v>
      </c>
      <c r="F153" s="214"/>
      <c r="J153" s="201">
        <f>+COEF_FCM!A159</f>
        <v>8110</v>
      </c>
      <c r="K153" s="201">
        <f>+COEF_FCM!B159</f>
        <v>8206</v>
      </c>
      <c r="L153" s="201" t="str">
        <f>+COEF_FCM!C159</f>
        <v>TALCAHUANO</v>
      </c>
      <c r="M153" s="201" t="str">
        <f>+COEF_FCM!P159</f>
        <v>SI</v>
      </c>
      <c r="N153" s="201">
        <f>+COEF_FCM!AA159</f>
        <v>91967</v>
      </c>
      <c r="O153" s="201">
        <f t="shared" si="8"/>
        <v>1</v>
      </c>
      <c r="R153" s="201">
        <v>9121</v>
      </c>
      <c r="S153" s="201">
        <v>9221</v>
      </c>
      <c r="T153" s="201" t="str">
        <v>CHOLCHOL</v>
      </c>
      <c r="U153" s="201" t="str">
        <v>SI</v>
      </c>
      <c r="V153" s="201">
        <v>8366</v>
      </c>
      <c r="W153" s="201">
        <v>1</v>
      </c>
      <c r="X153" s="201" t="str">
        <f t="shared" si="9"/>
        <v>Cholchol</v>
      </c>
    </row>
    <row r="154" spans="1:24" ht="3" customHeight="1" x14ac:dyDescent="0.25">
      <c r="A154" s="327">
        <f t="shared" si="7"/>
        <v>8</v>
      </c>
      <c r="B154" s="328">
        <f>+'CALC MEC ESTAB Y ESTIM M FINAL'!B158</f>
        <v>8111</v>
      </c>
      <c r="C154" s="328" t="str">
        <f>+'CALC MEC ESTAB Y ESTIM M FINAL'!C158</f>
        <v>TOMÉ</v>
      </c>
      <c r="D154" s="329">
        <f>+'CALC MEC ESTAB Y ESTIM M FINAL'!F158</f>
        <v>7.4373609294000002E-3</v>
      </c>
      <c r="E154" s="330">
        <f>+'CALC MEC ESTAB Y ESTIM M FINAL'!V158</f>
        <v>0</v>
      </c>
      <c r="F154" s="214"/>
      <c r="J154" s="201">
        <f>+COEF_FCM!A160</f>
        <v>8111</v>
      </c>
      <c r="K154" s="201">
        <f>+COEF_FCM!B160</f>
        <v>8205</v>
      </c>
      <c r="L154" s="201" t="str">
        <f>+COEF_FCM!C160</f>
        <v>TOMÉ</v>
      </c>
      <c r="M154" s="201" t="str">
        <f>+COEF_FCM!P160</f>
        <v>SI</v>
      </c>
      <c r="N154" s="201">
        <f>+COEF_FCM!AA160</f>
        <v>124368</v>
      </c>
      <c r="O154" s="201">
        <f t="shared" si="8"/>
        <v>1</v>
      </c>
      <c r="R154" s="201">
        <v>9201</v>
      </c>
      <c r="S154" s="201">
        <v>9101</v>
      </c>
      <c r="T154" s="201" t="str">
        <v>ANGOL</v>
      </c>
      <c r="U154" s="201" t="str">
        <v>SI</v>
      </c>
      <c r="V154" s="201">
        <v>44311</v>
      </c>
      <c r="W154" s="201">
        <v>1</v>
      </c>
      <c r="X154" s="201" t="str">
        <f t="shared" si="9"/>
        <v>Angol</v>
      </c>
    </row>
    <row r="155" spans="1:24" ht="3" customHeight="1" x14ac:dyDescent="0.25">
      <c r="A155" s="327">
        <f t="shared" si="7"/>
        <v>8</v>
      </c>
      <c r="B155" s="328">
        <f>+'CALC MEC ESTAB Y ESTIM M FINAL'!B159</f>
        <v>8112</v>
      </c>
      <c r="C155" s="328" t="str">
        <f>+'CALC MEC ESTAB Y ESTIM M FINAL'!C159</f>
        <v>HUALPÉN</v>
      </c>
      <c r="D155" s="329">
        <f>+'CALC MEC ESTAB Y ESTIM M FINAL'!F159</f>
        <v>4.0182093655999999E-3</v>
      </c>
      <c r="E155" s="330">
        <f>+'CALC MEC ESTAB Y ESTIM M FINAL'!V159</f>
        <v>0</v>
      </c>
      <c r="F155" s="214"/>
      <c r="J155" s="201">
        <f>+COEF_FCM!A161</f>
        <v>8112</v>
      </c>
      <c r="K155" s="201">
        <f>+COEF_FCM!B161</f>
        <v>8212</v>
      </c>
      <c r="L155" s="201" t="str">
        <f>+COEF_FCM!C161</f>
        <v>HUALPÉN</v>
      </c>
      <c r="M155" s="201" t="str">
        <f>+COEF_FCM!P161</f>
        <v>SI</v>
      </c>
      <c r="N155" s="201">
        <f>+COEF_FCM!AA161</f>
        <v>28707</v>
      </c>
      <c r="O155" s="201">
        <f t="shared" si="8"/>
        <v>1</v>
      </c>
      <c r="R155" s="201">
        <v>9202</v>
      </c>
      <c r="S155" s="201">
        <v>9105</v>
      </c>
      <c r="T155" s="201" t="str">
        <v>COLLIPULLI</v>
      </c>
      <c r="U155" s="201" t="str">
        <v>SI</v>
      </c>
      <c r="V155" s="201">
        <v>23752</v>
      </c>
      <c r="W155" s="201">
        <v>1</v>
      </c>
      <c r="X155" s="201" t="str">
        <f t="shared" si="9"/>
        <v>Collipulli</v>
      </c>
    </row>
    <row r="156" spans="1:24" ht="3" customHeight="1" x14ac:dyDescent="0.25">
      <c r="A156" s="327">
        <f t="shared" si="7"/>
        <v>8</v>
      </c>
      <c r="B156" s="328">
        <f>+'CALC MEC ESTAB Y ESTIM M FINAL'!B160</f>
        <v>8201</v>
      </c>
      <c r="C156" s="328" t="str">
        <f>+'CALC MEC ESTAB Y ESTIM M FINAL'!C160</f>
        <v>LEBU</v>
      </c>
      <c r="D156" s="329">
        <f>+'CALC MEC ESTAB Y ESTIM M FINAL'!F160</f>
        <v>2.7736417827999996E-3</v>
      </c>
      <c r="E156" s="330">
        <f>+'CALC MEC ESTAB Y ESTIM M FINAL'!V160</f>
        <v>0</v>
      </c>
      <c r="F156" s="214"/>
      <c r="J156" s="201">
        <f>+COEF_FCM!A162</f>
        <v>8201</v>
      </c>
      <c r="K156" s="201">
        <f>+COEF_FCM!B162</f>
        <v>8303</v>
      </c>
      <c r="L156" s="201" t="str">
        <f>+COEF_FCM!C162</f>
        <v>LEBU</v>
      </c>
      <c r="M156" s="201" t="str">
        <f>+COEF_FCM!P162</f>
        <v>SI</v>
      </c>
      <c r="N156" s="201">
        <f>+COEF_FCM!AA162</f>
        <v>17882</v>
      </c>
      <c r="O156" s="201">
        <f t="shared" si="8"/>
        <v>1</v>
      </c>
      <c r="R156" s="201">
        <v>9203</v>
      </c>
      <c r="S156" s="201">
        <v>9110</v>
      </c>
      <c r="T156" s="201" t="str">
        <v>CURACAUTÍN</v>
      </c>
      <c r="U156" s="201" t="str">
        <v>SI</v>
      </c>
      <c r="V156" s="201">
        <v>63097</v>
      </c>
      <c r="W156" s="201">
        <v>1</v>
      </c>
      <c r="X156" s="201" t="str">
        <f t="shared" si="9"/>
        <v>Curacautín</v>
      </c>
    </row>
    <row r="157" spans="1:24" ht="3" customHeight="1" x14ac:dyDescent="0.25">
      <c r="A157" s="327">
        <f t="shared" si="7"/>
        <v>8</v>
      </c>
      <c r="B157" s="328">
        <f>+'CALC MEC ESTAB Y ESTIM M FINAL'!B161</f>
        <v>8202</v>
      </c>
      <c r="C157" s="328" t="str">
        <f>+'CALC MEC ESTAB Y ESTIM M FINAL'!C161</f>
        <v>ARAUCO</v>
      </c>
      <c r="D157" s="329">
        <f>+'CALC MEC ESTAB Y ESTIM M FINAL'!F161</f>
        <v>3.2963600729000002E-3</v>
      </c>
      <c r="E157" s="330">
        <f>+'CALC MEC ESTAB Y ESTIM M FINAL'!V161</f>
        <v>150446</v>
      </c>
      <c r="F157" s="214"/>
      <c r="J157" s="201">
        <f>+COEF_FCM!A163</f>
        <v>8202</v>
      </c>
      <c r="K157" s="201">
        <f>+COEF_FCM!B163</f>
        <v>8301</v>
      </c>
      <c r="L157" s="201" t="str">
        <f>+COEF_FCM!C163</f>
        <v>ARAUCO</v>
      </c>
      <c r="M157" s="201" t="str">
        <f>+COEF_FCM!P163</f>
        <v>SI</v>
      </c>
      <c r="N157" s="201">
        <f>+COEF_FCM!AA163</f>
        <v>36316</v>
      </c>
      <c r="O157" s="201">
        <f t="shared" si="8"/>
        <v>1</v>
      </c>
      <c r="R157" s="201">
        <v>9204</v>
      </c>
      <c r="S157" s="201">
        <v>9106</v>
      </c>
      <c r="T157" s="201" t="str">
        <v>ERCILLA</v>
      </c>
      <c r="U157" s="201" t="str">
        <v>SI</v>
      </c>
      <c r="V157" s="201">
        <v>11082</v>
      </c>
      <c r="W157" s="201">
        <v>1</v>
      </c>
      <c r="X157" s="201" t="str">
        <f t="shared" si="9"/>
        <v>Ercilla</v>
      </c>
    </row>
    <row r="158" spans="1:24" ht="3" customHeight="1" x14ac:dyDescent="0.25">
      <c r="A158" s="327">
        <f t="shared" si="7"/>
        <v>8</v>
      </c>
      <c r="B158" s="328">
        <f>+'CALC MEC ESTAB Y ESTIM M FINAL'!B162</f>
        <v>8203</v>
      </c>
      <c r="C158" s="328" t="str">
        <f>+'CALC MEC ESTAB Y ESTIM M FINAL'!C162</f>
        <v>CAÑETE</v>
      </c>
      <c r="D158" s="329">
        <f>+'CALC MEC ESTAB Y ESTIM M FINAL'!F162</f>
        <v>3.954477128E-3</v>
      </c>
      <c r="E158" s="330">
        <f>+'CALC MEC ESTAB Y ESTIM M FINAL'!V162</f>
        <v>0</v>
      </c>
      <c r="F158" s="214"/>
      <c r="J158" s="201">
        <f>+COEF_FCM!A164</f>
        <v>8203</v>
      </c>
      <c r="K158" s="201">
        <f>+COEF_FCM!B164</f>
        <v>8305</v>
      </c>
      <c r="L158" s="201" t="str">
        <f>+COEF_FCM!C164</f>
        <v>CAÑETE</v>
      </c>
      <c r="M158" s="201" t="str">
        <f>+COEF_FCM!P164</f>
        <v>SI</v>
      </c>
      <c r="N158" s="201">
        <f>+COEF_FCM!AA164</f>
        <v>31310</v>
      </c>
      <c r="O158" s="201">
        <f t="shared" si="8"/>
        <v>1</v>
      </c>
      <c r="R158" s="201">
        <v>9205</v>
      </c>
      <c r="S158" s="201">
        <v>9111</v>
      </c>
      <c r="T158" s="201" t="str">
        <v>LONQUIMAY</v>
      </c>
      <c r="U158" s="201" t="str">
        <v>SI</v>
      </c>
      <c r="V158" s="201">
        <v>23316</v>
      </c>
      <c r="W158" s="201">
        <v>1</v>
      </c>
      <c r="X158" s="201" t="str">
        <f t="shared" si="9"/>
        <v>Lonquimay</v>
      </c>
    </row>
    <row r="159" spans="1:24" ht="3" customHeight="1" x14ac:dyDescent="0.25">
      <c r="A159" s="327">
        <f t="shared" si="7"/>
        <v>8</v>
      </c>
      <c r="B159" s="328">
        <f>+'CALC MEC ESTAB Y ESTIM M FINAL'!B163</f>
        <v>8204</v>
      </c>
      <c r="C159" s="328" t="str">
        <f>+'CALC MEC ESTAB Y ESTIM M FINAL'!C163</f>
        <v>CONTULMO</v>
      </c>
      <c r="D159" s="329">
        <f>+'CALC MEC ESTAB Y ESTIM M FINAL'!F163</f>
        <v>1.6586089373999999E-3</v>
      </c>
      <c r="E159" s="330">
        <f>+'CALC MEC ESTAB Y ESTIM M FINAL'!V163</f>
        <v>0</v>
      </c>
      <c r="F159" s="214"/>
      <c r="J159" s="201">
        <f>+COEF_FCM!A165</f>
        <v>8204</v>
      </c>
      <c r="K159" s="201">
        <f>+COEF_FCM!B165</f>
        <v>8306</v>
      </c>
      <c r="L159" s="201" t="str">
        <f>+COEF_FCM!C165</f>
        <v>CONTULMO</v>
      </c>
      <c r="M159" s="201" t="str">
        <f>+COEF_FCM!P165</f>
        <v>SI</v>
      </c>
      <c r="N159" s="201">
        <f>+COEF_FCM!AA165</f>
        <v>16232</v>
      </c>
      <c r="O159" s="201">
        <f t="shared" si="8"/>
        <v>1</v>
      </c>
      <c r="R159" s="201">
        <v>9206</v>
      </c>
      <c r="S159" s="201">
        <v>9103</v>
      </c>
      <c r="T159" s="201" t="str">
        <v>LOS SAUCES</v>
      </c>
      <c r="U159" s="201" t="str">
        <v>SI</v>
      </c>
      <c r="V159" s="201">
        <v>7485</v>
      </c>
      <c r="W159" s="201">
        <v>1</v>
      </c>
      <c r="X159" s="201" t="str">
        <f t="shared" si="9"/>
        <v>Los Sauces</v>
      </c>
    </row>
    <row r="160" spans="1:24" ht="3" customHeight="1" x14ac:dyDescent="0.25">
      <c r="A160" s="327">
        <f t="shared" si="7"/>
        <v>8</v>
      </c>
      <c r="B160" s="328">
        <f>+'CALC MEC ESTAB Y ESTIM M FINAL'!B164</f>
        <v>8205</v>
      </c>
      <c r="C160" s="328" t="str">
        <f>+'CALC MEC ESTAB Y ESTIM M FINAL'!C164</f>
        <v>CURANILAHUE</v>
      </c>
      <c r="D160" s="329">
        <f>+'CALC MEC ESTAB Y ESTIM M FINAL'!F164</f>
        <v>2.9532465244999995E-3</v>
      </c>
      <c r="E160" s="330">
        <f>+'CALC MEC ESTAB Y ESTIM M FINAL'!V164</f>
        <v>0</v>
      </c>
      <c r="F160" s="214"/>
      <c r="J160" s="201">
        <f>+COEF_FCM!A166</f>
        <v>8205</v>
      </c>
      <c r="K160" s="201">
        <f>+COEF_FCM!B166</f>
        <v>8302</v>
      </c>
      <c r="L160" s="201" t="str">
        <f>+COEF_FCM!C166</f>
        <v>CURANILAHUE</v>
      </c>
      <c r="M160" s="201" t="str">
        <f>+COEF_FCM!P166</f>
        <v>SI</v>
      </c>
      <c r="N160" s="201">
        <f>+COEF_FCM!AA166</f>
        <v>22939</v>
      </c>
      <c r="O160" s="201">
        <f t="shared" si="8"/>
        <v>1</v>
      </c>
      <c r="R160" s="201">
        <v>9207</v>
      </c>
      <c r="S160" s="201">
        <v>9108</v>
      </c>
      <c r="T160" s="201" t="str">
        <v>LUMACO</v>
      </c>
      <c r="U160" s="201" t="str">
        <v>SI</v>
      </c>
      <c r="V160" s="201">
        <v>9779</v>
      </c>
      <c r="W160" s="201">
        <v>1</v>
      </c>
      <c r="X160" s="201" t="str">
        <f t="shared" si="9"/>
        <v>Lumaco</v>
      </c>
    </row>
    <row r="161" spans="1:24" ht="3" customHeight="1" x14ac:dyDescent="0.25">
      <c r="A161" s="327">
        <f t="shared" si="7"/>
        <v>8</v>
      </c>
      <c r="B161" s="328">
        <f>+'CALC MEC ESTAB Y ESTIM M FINAL'!B165</f>
        <v>8206</v>
      </c>
      <c r="C161" s="328" t="str">
        <f>+'CALC MEC ESTAB Y ESTIM M FINAL'!C165</f>
        <v>LOS ÁLAMOS</v>
      </c>
      <c r="D161" s="329">
        <f>+'CALC MEC ESTAB Y ESTIM M FINAL'!F165</f>
        <v>2.3911340834999999E-3</v>
      </c>
      <c r="E161" s="330">
        <f>+'CALC MEC ESTAB Y ESTIM M FINAL'!V165</f>
        <v>0</v>
      </c>
      <c r="F161" s="214"/>
      <c r="J161" s="201">
        <f>+COEF_FCM!A167</f>
        <v>8206</v>
      </c>
      <c r="K161" s="201">
        <f>+COEF_FCM!B167</f>
        <v>8304</v>
      </c>
      <c r="L161" s="201" t="str">
        <f>+COEF_FCM!C167</f>
        <v>LOS ÁLAMOS</v>
      </c>
      <c r="M161" s="201" t="str">
        <f>+COEF_FCM!P167</f>
        <v>SI</v>
      </c>
      <c r="N161" s="201">
        <f>+COEF_FCM!AA167</f>
        <v>14794</v>
      </c>
      <c r="O161" s="201">
        <f t="shared" si="8"/>
        <v>1</v>
      </c>
      <c r="R161" s="201">
        <v>9208</v>
      </c>
      <c r="S161" s="201">
        <v>9102</v>
      </c>
      <c r="T161" s="201" t="str">
        <v>PURÉN</v>
      </c>
      <c r="U161" s="201" t="str">
        <v>SI</v>
      </c>
      <c r="V161" s="201">
        <v>11802</v>
      </c>
      <c r="W161" s="201">
        <v>1</v>
      </c>
      <c r="X161" s="201" t="str">
        <f t="shared" si="9"/>
        <v>Purén</v>
      </c>
    </row>
    <row r="162" spans="1:24" ht="3" customHeight="1" x14ac:dyDescent="0.25">
      <c r="A162" s="327">
        <f t="shared" si="7"/>
        <v>8</v>
      </c>
      <c r="B162" s="328">
        <f>+'CALC MEC ESTAB Y ESTIM M FINAL'!B166</f>
        <v>8207</v>
      </c>
      <c r="C162" s="328" t="str">
        <f>+'CALC MEC ESTAB Y ESTIM M FINAL'!C166</f>
        <v>TIRÚA</v>
      </c>
      <c r="D162" s="329">
        <f>+'CALC MEC ESTAB Y ESTIM M FINAL'!F166</f>
        <v>2.1010341002000001E-3</v>
      </c>
      <c r="E162" s="330">
        <f>+'CALC MEC ESTAB Y ESTIM M FINAL'!V166</f>
        <v>0</v>
      </c>
      <c r="F162" s="214"/>
      <c r="J162" s="201">
        <f>+COEF_FCM!A168</f>
        <v>8207</v>
      </c>
      <c r="K162" s="201">
        <f>+COEF_FCM!B168</f>
        <v>8307</v>
      </c>
      <c r="L162" s="201" t="str">
        <f>+COEF_FCM!C168</f>
        <v>TIRÚA</v>
      </c>
      <c r="M162" s="201" t="str">
        <f>+COEF_FCM!P168</f>
        <v>SI</v>
      </c>
      <c r="N162" s="201">
        <f>+COEF_FCM!AA168</f>
        <v>18748</v>
      </c>
      <c r="O162" s="201">
        <f t="shared" si="8"/>
        <v>1</v>
      </c>
      <c r="R162" s="201">
        <v>9209</v>
      </c>
      <c r="S162" s="201">
        <v>9104</v>
      </c>
      <c r="T162" s="201" t="str">
        <v>RENAICO</v>
      </c>
      <c r="U162" s="201" t="str">
        <v>SI</v>
      </c>
      <c r="V162" s="201">
        <v>7723</v>
      </c>
      <c r="W162" s="201">
        <v>1</v>
      </c>
      <c r="X162" s="201" t="str">
        <f t="shared" si="9"/>
        <v>Renaico</v>
      </c>
    </row>
    <row r="163" spans="1:24" ht="3" customHeight="1" x14ac:dyDescent="0.25">
      <c r="A163" s="327">
        <f t="shared" si="7"/>
        <v>8</v>
      </c>
      <c r="B163" s="328">
        <f>+'CALC MEC ESTAB Y ESTIM M FINAL'!B167</f>
        <v>8301</v>
      </c>
      <c r="C163" s="328" t="str">
        <f>+'CALC MEC ESTAB Y ESTIM M FINAL'!C167</f>
        <v>LOS ÁNGELES</v>
      </c>
      <c r="D163" s="329">
        <f>+'CALC MEC ESTAB Y ESTIM M FINAL'!F167</f>
        <v>1.25853502273E-2</v>
      </c>
      <c r="E163" s="330">
        <f>+'CALC MEC ESTAB Y ESTIM M FINAL'!V167</f>
        <v>0</v>
      </c>
      <c r="F163" s="214"/>
      <c r="J163" s="201">
        <f>+COEF_FCM!A169</f>
        <v>8301</v>
      </c>
      <c r="K163" s="201">
        <f>+COEF_FCM!B169</f>
        <v>8401</v>
      </c>
      <c r="L163" s="201" t="str">
        <f>+COEF_FCM!C169</f>
        <v>LOS ÁNGELES</v>
      </c>
      <c r="M163" s="201" t="str">
        <f>+COEF_FCM!P169</f>
        <v>SI</v>
      </c>
      <c r="N163" s="201">
        <f>+COEF_FCM!AA169</f>
        <v>176382</v>
      </c>
      <c r="O163" s="201">
        <f t="shared" si="8"/>
        <v>1</v>
      </c>
      <c r="R163" s="201">
        <v>9210</v>
      </c>
      <c r="S163" s="201">
        <v>9107</v>
      </c>
      <c r="T163" s="201" t="str">
        <v>TRAIGUÉN</v>
      </c>
      <c r="U163" s="201" t="str">
        <v>SI</v>
      </c>
      <c r="V163" s="201">
        <v>16607</v>
      </c>
      <c r="W163" s="201">
        <v>1</v>
      </c>
      <c r="X163" s="201" t="str">
        <f t="shared" si="9"/>
        <v>Traiguén</v>
      </c>
    </row>
    <row r="164" spans="1:24" ht="3" customHeight="1" x14ac:dyDescent="0.25">
      <c r="A164" s="327">
        <f t="shared" si="7"/>
        <v>8</v>
      </c>
      <c r="B164" s="328">
        <f>+'CALC MEC ESTAB Y ESTIM M FINAL'!B168</f>
        <v>8302</v>
      </c>
      <c r="C164" s="328" t="str">
        <f>+'CALC MEC ESTAB Y ESTIM M FINAL'!C168</f>
        <v>ANTUCO</v>
      </c>
      <c r="D164" s="329">
        <f>+'CALC MEC ESTAB Y ESTIM M FINAL'!F168</f>
        <v>1.3668074751E-3</v>
      </c>
      <c r="E164" s="330">
        <f>+'CALC MEC ESTAB Y ESTIM M FINAL'!V168</f>
        <v>682110</v>
      </c>
      <c r="F164" s="214"/>
      <c r="J164" s="201">
        <f>+COEF_FCM!A170</f>
        <v>8302</v>
      </c>
      <c r="K164" s="201">
        <f>+COEF_FCM!B170</f>
        <v>8413</v>
      </c>
      <c r="L164" s="201" t="str">
        <f>+COEF_FCM!C170</f>
        <v>ANTUCO</v>
      </c>
      <c r="M164" s="201" t="str">
        <f>+COEF_FCM!P170</f>
        <v>SI</v>
      </c>
      <c r="N164" s="201">
        <f>+COEF_FCM!AA170</f>
        <v>14375</v>
      </c>
      <c r="O164" s="201">
        <f t="shared" si="8"/>
        <v>1</v>
      </c>
      <c r="R164" s="201">
        <v>9211</v>
      </c>
      <c r="S164" s="201">
        <v>9109</v>
      </c>
      <c r="T164" s="201" t="str">
        <v>VICTORIA</v>
      </c>
      <c r="U164" s="201" t="str">
        <v>SI</v>
      </c>
      <c r="V164" s="201">
        <v>38630</v>
      </c>
      <c r="W164" s="201">
        <v>1</v>
      </c>
      <c r="X164" s="201" t="str">
        <f t="shared" si="9"/>
        <v>Victoria</v>
      </c>
    </row>
    <row r="165" spans="1:24" ht="3" customHeight="1" x14ac:dyDescent="0.25">
      <c r="A165" s="327">
        <f t="shared" si="7"/>
        <v>8</v>
      </c>
      <c r="B165" s="328">
        <f>+'CALC MEC ESTAB Y ESTIM M FINAL'!B169</f>
        <v>8303</v>
      </c>
      <c r="C165" s="328" t="str">
        <f>+'CALC MEC ESTAB Y ESTIM M FINAL'!C169</f>
        <v>CABRERO</v>
      </c>
      <c r="D165" s="329">
        <f>+'CALC MEC ESTAB Y ESTIM M FINAL'!F169</f>
        <v>3.7180747424E-3</v>
      </c>
      <c r="E165" s="330">
        <f>+'CALC MEC ESTAB Y ESTIM M FINAL'!V169</f>
        <v>0</v>
      </c>
      <c r="F165" s="214"/>
      <c r="J165" s="201">
        <f>+COEF_FCM!A171</f>
        <v>8303</v>
      </c>
      <c r="K165" s="201">
        <f>+COEF_FCM!B171</f>
        <v>8410</v>
      </c>
      <c r="L165" s="201" t="str">
        <f>+COEF_FCM!C171</f>
        <v>CABRERO</v>
      </c>
      <c r="M165" s="201" t="str">
        <f>+COEF_FCM!P171</f>
        <v>SI</v>
      </c>
      <c r="N165" s="201">
        <f>+COEF_FCM!AA171</f>
        <v>53258</v>
      </c>
      <c r="O165" s="201">
        <f t="shared" si="8"/>
        <v>1</v>
      </c>
      <c r="R165" s="201">
        <v>10101</v>
      </c>
      <c r="S165" s="201">
        <v>10301</v>
      </c>
      <c r="T165" s="201" t="str">
        <v>PUERTO MONTT</v>
      </c>
      <c r="U165" s="201" t="str">
        <v>SI</v>
      </c>
      <c r="V165" s="201">
        <v>212171</v>
      </c>
      <c r="W165" s="201">
        <v>1</v>
      </c>
      <c r="X165" s="201" t="str">
        <f t="shared" si="9"/>
        <v>Puerto Montt</v>
      </c>
    </row>
    <row r="166" spans="1:24" ht="3" customHeight="1" x14ac:dyDescent="0.25">
      <c r="A166" s="327">
        <f t="shared" si="7"/>
        <v>8</v>
      </c>
      <c r="B166" s="328">
        <f>+'CALC MEC ESTAB Y ESTIM M FINAL'!B170</f>
        <v>8304</v>
      </c>
      <c r="C166" s="328" t="str">
        <f>+'CALC MEC ESTAB Y ESTIM M FINAL'!C170</f>
        <v>LAJA</v>
      </c>
      <c r="D166" s="329">
        <f>+'CALC MEC ESTAB Y ESTIM M FINAL'!F170</f>
        <v>2.6795338677E-3</v>
      </c>
      <c r="E166" s="330">
        <f>+'CALC MEC ESTAB Y ESTIM M FINAL'!V170</f>
        <v>0</v>
      </c>
      <c r="F166" s="214"/>
      <c r="J166" s="201">
        <f>+COEF_FCM!A172</f>
        <v>8304</v>
      </c>
      <c r="K166" s="201">
        <f>+COEF_FCM!B172</f>
        <v>8403</v>
      </c>
      <c r="L166" s="201" t="str">
        <f>+COEF_FCM!C172</f>
        <v>LAJA</v>
      </c>
      <c r="M166" s="201" t="str">
        <f>+COEF_FCM!P172</f>
        <v>SI</v>
      </c>
      <c r="N166" s="201">
        <f>+COEF_FCM!AA172</f>
        <v>28057</v>
      </c>
      <c r="O166" s="201">
        <f t="shared" si="8"/>
        <v>1</v>
      </c>
      <c r="R166" s="201">
        <v>10102</v>
      </c>
      <c r="S166" s="201">
        <v>10309</v>
      </c>
      <c r="T166" s="201" t="str">
        <v>CALBUCO</v>
      </c>
      <c r="U166" s="201" t="str">
        <v>SI</v>
      </c>
      <c r="V166" s="201">
        <v>29036</v>
      </c>
      <c r="W166" s="201">
        <v>1</v>
      </c>
      <c r="X166" s="201" t="str">
        <f t="shared" si="9"/>
        <v>Calbuco</v>
      </c>
    </row>
    <row r="167" spans="1:24" ht="3" customHeight="1" x14ac:dyDescent="0.25">
      <c r="A167" s="327">
        <f t="shared" si="7"/>
        <v>8</v>
      </c>
      <c r="B167" s="328">
        <f>+'CALC MEC ESTAB Y ESTIM M FINAL'!B171</f>
        <v>8305</v>
      </c>
      <c r="C167" s="328" t="str">
        <f>+'CALC MEC ESTAB Y ESTIM M FINAL'!C171</f>
        <v>MULCHÉN</v>
      </c>
      <c r="D167" s="329">
        <f>+'CALC MEC ESTAB Y ESTIM M FINAL'!F171</f>
        <v>1.9041084119999999E-3</v>
      </c>
      <c r="E167" s="330">
        <f>+'CALC MEC ESTAB Y ESTIM M FINAL'!V171</f>
        <v>87293</v>
      </c>
      <c r="F167" s="214"/>
      <c r="J167" s="201">
        <f>+COEF_FCM!A173</f>
        <v>8305</v>
      </c>
      <c r="K167" s="201">
        <f>+COEF_FCM!B173</f>
        <v>8407</v>
      </c>
      <c r="L167" s="201" t="str">
        <f>+COEF_FCM!C173</f>
        <v>MULCHÉN</v>
      </c>
      <c r="M167" s="201" t="str">
        <f>+COEF_FCM!P173</f>
        <v>NO</v>
      </c>
      <c r="N167" s="201">
        <f>+COEF_FCM!AA173</f>
        <v>0</v>
      </c>
      <c r="O167" s="201">
        <f t="shared" si="8"/>
        <v>0</v>
      </c>
      <c r="R167" s="201">
        <v>10108</v>
      </c>
      <c r="S167" s="201">
        <v>10307</v>
      </c>
      <c r="T167" s="201" t="str">
        <v>MAULLÍN</v>
      </c>
      <c r="U167" s="201" t="str">
        <v>SI</v>
      </c>
      <c r="V167" s="201">
        <v>23917</v>
      </c>
      <c r="W167" s="201">
        <v>1</v>
      </c>
      <c r="X167" s="201" t="str">
        <f t="shared" si="9"/>
        <v>Maullín</v>
      </c>
    </row>
    <row r="168" spans="1:24" ht="3" customHeight="1" x14ac:dyDescent="0.25">
      <c r="A168" s="327">
        <f t="shared" si="7"/>
        <v>8</v>
      </c>
      <c r="B168" s="328">
        <f>+'CALC MEC ESTAB Y ESTIM M FINAL'!B172</f>
        <v>8306</v>
      </c>
      <c r="C168" s="328" t="str">
        <f>+'CALC MEC ESTAB Y ESTIM M FINAL'!C172</f>
        <v>NACIMIENTO</v>
      </c>
      <c r="D168" s="329">
        <f>+'CALC MEC ESTAB Y ESTIM M FINAL'!F172</f>
        <v>2.6372971153999997E-3</v>
      </c>
      <c r="E168" s="330">
        <f>+'CALC MEC ESTAB Y ESTIM M FINAL'!V172</f>
        <v>0</v>
      </c>
      <c r="F168" s="214"/>
      <c r="J168" s="201">
        <f>+COEF_FCM!A174</f>
        <v>8306</v>
      </c>
      <c r="K168" s="201">
        <f>+COEF_FCM!B174</f>
        <v>8405</v>
      </c>
      <c r="L168" s="201" t="str">
        <f>+COEF_FCM!C174</f>
        <v>NACIMIENTO</v>
      </c>
      <c r="M168" s="201" t="str">
        <f>+COEF_FCM!P174</f>
        <v>SI</v>
      </c>
      <c r="N168" s="201">
        <f>+COEF_FCM!AA174</f>
        <v>24828</v>
      </c>
      <c r="O168" s="201">
        <f t="shared" si="8"/>
        <v>1</v>
      </c>
      <c r="R168" s="201">
        <v>10201</v>
      </c>
      <c r="S168" s="201">
        <v>10401</v>
      </c>
      <c r="T168" s="201" t="str">
        <v>CASTRO</v>
      </c>
      <c r="U168" s="201" t="str">
        <v>SI</v>
      </c>
      <c r="V168" s="201">
        <v>67168</v>
      </c>
      <c r="W168" s="201">
        <v>1</v>
      </c>
      <c r="X168" s="201" t="str">
        <f t="shared" si="9"/>
        <v>Castro</v>
      </c>
    </row>
    <row r="169" spans="1:24" ht="3" customHeight="1" x14ac:dyDescent="0.25">
      <c r="A169" s="327">
        <f t="shared" si="7"/>
        <v>8</v>
      </c>
      <c r="B169" s="328">
        <f>+'CALC MEC ESTAB Y ESTIM M FINAL'!B173</f>
        <v>8307</v>
      </c>
      <c r="C169" s="328" t="str">
        <f>+'CALC MEC ESTAB Y ESTIM M FINAL'!C173</f>
        <v>NEGRETE</v>
      </c>
      <c r="D169" s="329">
        <f>+'CALC MEC ESTAB Y ESTIM M FINAL'!F173</f>
        <v>1.4121244970999999E-3</v>
      </c>
      <c r="E169" s="330">
        <f>+'CALC MEC ESTAB Y ESTIM M FINAL'!V173</f>
        <v>0</v>
      </c>
      <c r="F169" s="214"/>
      <c r="J169" s="201">
        <f>+COEF_FCM!A175</f>
        <v>8307</v>
      </c>
      <c r="K169" s="201">
        <f>+COEF_FCM!B175</f>
        <v>8406</v>
      </c>
      <c r="L169" s="201" t="str">
        <f>+COEF_FCM!C175</f>
        <v>NEGRETE</v>
      </c>
      <c r="M169" s="201" t="str">
        <f>+COEF_FCM!P175</f>
        <v>SI</v>
      </c>
      <c r="N169" s="201">
        <f>+COEF_FCM!AA175</f>
        <v>8910</v>
      </c>
      <c r="O169" s="201">
        <f t="shared" si="8"/>
        <v>1</v>
      </c>
      <c r="R169" s="201">
        <v>10202</v>
      </c>
      <c r="S169" s="201">
        <v>10406</v>
      </c>
      <c r="T169" s="201" t="str">
        <v>ANCUD</v>
      </c>
      <c r="U169" s="201" t="str">
        <v>SI</v>
      </c>
      <c r="V169" s="201">
        <v>49974</v>
      </c>
      <c r="W169" s="201">
        <v>1</v>
      </c>
      <c r="X169" s="201" t="str">
        <f t="shared" si="9"/>
        <v>Ancud</v>
      </c>
    </row>
    <row r="170" spans="1:24" ht="3" customHeight="1" x14ac:dyDescent="0.25">
      <c r="A170" s="327">
        <f t="shared" si="7"/>
        <v>8</v>
      </c>
      <c r="B170" s="328">
        <f>+'CALC MEC ESTAB Y ESTIM M FINAL'!B174</f>
        <v>8308</v>
      </c>
      <c r="C170" s="328" t="str">
        <f>+'CALC MEC ESTAB Y ESTIM M FINAL'!C174</f>
        <v>QUILACO</v>
      </c>
      <c r="D170" s="329">
        <f>+'CALC MEC ESTAB Y ESTIM M FINAL'!F174</f>
        <v>9.058392305999999E-4</v>
      </c>
      <c r="E170" s="330">
        <f>+'CALC MEC ESTAB Y ESTIM M FINAL'!V174</f>
        <v>0</v>
      </c>
      <c r="F170" s="214"/>
      <c r="J170" s="201">
        <f>+COEF_FCM!A176</f>
        <v>8308</v>
      </c>
      <c r="K170" s="201">
        <f>+COEF_FCM!B176</f>
        <v>8408</v>
      </c>
      <c r="L170" s="201" t="str">
        <f>+COEF_FCM!C176</f>
        <v>QUILACO</v>
      </c>
      <c r="M170" s="201" t="str">
        <f>+COEF_FCM!P176</f>
        <v>NO</v>
      </c>
      <c r="N170" s="201">
        <f>+COEF_FCM!AA176</f>
        <v>0</v>
      </c>
      <c r="O170" s="201">
        <f t="shared" si="8"/>
        <v>0</v>
      </c>
      <c r="R170" s="201">
        <v>10203</v>
      </c>
      <c r="S170" s="201">
        <v>10402</v>
      </c>
      <c r="T170" s="201" t="str">
        <v>CHONCHI</v>
      </c>
      <c r="U170" s="201" t="str">
        <v>SI</v>
      </c>
      <c r="V170" s="201">
        <v>21790</v>
      </c>
      <c r="W170" s="201">
        <v>1</v>
      </c>
      <c r="X170" s="201" t="str">
        <f t="shared" si="9"/>
        <v>Chonchi</v>
      </c>
    </row>
    <row r="171" spans="1:24" ht="3" customHeight="1" x14ac:dyDescent="0.25">
      <c r="A171" s="327">
        <f t="shared" si="7"/>
        <v>8</v>
      </c>
      <c r="B171" s="328">
        <f>+'CALC MEC ESTAB Y ESTIM M FINAL'!B175</f>
        <v>8309</v>
      </c>
      <c r="C171" s="328" t="str">
        <f>+'CALC MEC ESTAB Y ESTIM M FINAL'!C175</f>
        <v>QUILLECO</v>
      </c>
      <c r="D171" s="329">
        <f>+'CALC MEC ESTAB Y ESTIM M FINAL'!F175</f>
        <v>1.1970073828E-3</v>
      </c>
      <c r="E171" s="330">
        <f>+'CALC MEC ESTAB Y ESTIM M FINAL'!V175</f>
        <v>0</v>
      </c>
      <c r="F171" s="214"/>
      <c r="J171" s="201">
        <f>+COEF_FCM!A177</f>
        <v>8309</v>
      </c>
      <c r="K171" s="201">
        <f>+COEF_FCM!B177</f>
        <v>8404</v>
      </c>
      <c r="L171" s="201" t="str">
        <f>+COEF_FCM!C177</f>
        <v>QUILLECO</v>
      </c>
      <c r="M171" s="201" t="str">
        <f>+COEF_FCM!P177</f>
        <v>NO</v>
      </c>
      <c r="N171" s="201">
        <f>+COEF_FCM!AA177</f>
        <v>0</v>
      </c>
      <c r="O171" s="201">
        <f t="shared" si="8"/>
        <v>0</v>
      </c>
      <c r="R171" s="201">
        <v>10204</v>
      </c>
      <c r="S171" s="201">
        <v>10410</v>
      </c>
      <c r="T171" s="201" t="str">
        <v>CURACO DE VÉLEZ</v>
      </c>
      <c r="U171" s="201" t="str">
        <v>SI</v>
      </c>
      <c r="V171" s="201">
        <v>3375</v>
      </c>
      <c r="W171" s="201">
        <v>1</v>
      </c>
      <c r="X171" s="201" t="str">
        <f t="shared" si="9"/>
        <v>Curaco de Vélez</v>
      </c>
    </row>
    <row r="172" spans="1:24" ht="3" customHeight="1" x14ac:dyDescent="0.25">
      <c r="A172" s="327">
        <f t="shared" si="7"/>
        <v>8</v>
      </c>
      <c r="B172" s="328">
        <f>+'CALC MEC ESTAB Y ESTIM M FINAL'!B176</f>
        <v>8310</v>
      </c>
      <c r="C172" s="328" t="str">
        <f>+'CALC MEC ESTAB Y ESTIM M FINAL'!C176</f>
        <v>SAN ROSENDO</v>
      </c>
      <c r="D172" s="329">
        <f>+'CALC MEC ESTAB Y ESTIM M FINAL'!F176</f>
        <v>1.0484229606E-3</v>
      </c>
      <c r="E172" s="330">
        <f>+'CALC MEC ESTAB Y ESTIM M FINAL'!V176</f>
        <v>0</v>
      </c>
      <c r="F172" s="214"/>
      <c r="J172" s="201">
        <f>+COEF_FCM!A178</f>
        <v>8310</v>
      </c>
      <c r="K172" s="201">
        <f>+COEF_FCM!B178</f>
        <v>8411</v>
      </c>
      <c r="L172" s="201" t="str">
        <f>+COEF_FCM!C178</f>
        <v>SAN ROSENDO</v>
      </c>
      <c r="M172" s="201" t="str">
        <f>+COEF_FCM!P178</f>
        <v>SI</v>
      </c>
      <c r="N172" s="201">
        <f>+COEF_FCM!AA178</f>
        <v>3335</v>
      </c>
      <c r="O172" s="201">
        <f t="shared" si="8"/>
        <v>1</v>
      </c>
      <c r="R172" s="201">
        <v>10205</v>
      </c>
      <c r="S172" s="201">
        <v>10408</v>
      </c>
      <c r="T172" s="201" t="str">
        <v>DALCAHUE</v>
      </c>
      <c r="U172" s="201" t="str">
        <v>SI</v>
      </c>
      <c r="V172" s="201">
        <v>17209</v>
      </c>
      <c r="W172" s="201">
        <v>1</v>
      </c>
      <c r="X172" s="201" t="str">
        <f t="shared" si="9"/>
        <v>Dalcahue</v>
      </c>
    </row>
    <row r="173" spans="1:24" ht="3" customHeight="1" x14ac:dyDescent="0.25">
      <c r="A173" s="327">
        <f t="shared" si="7"/>
        <v>8</v>
      </c>
      <c r="B173" s="328">
        <f>+'CALC MEC ESTAB Y ESTIM M FINAL'!B177</f>
        <v>8311</v>
      </c>
      <c r="C173" s="328" t="str">
        <f>+'CALC MEC ESTAB Y ESTIM M FINAL'!C177</f>
        <v>SANTA BÁRBARA</v>
      </c>
      <c r="D173" s="329">
        <f>+'CALC MEC ESTAB Y ESTIM M FINAL'!F177</f>
        <v>1.3357340684E-3</v>
      </c>
      <c r="E173" s="330">
        <f>+'CALC MEC ESTAB Y ESTIM M FINAL'!V177</f>
        <v>0</v>
      </c>
      <c r="F173" s="214"/>
      <c r="J173" s="201">
        <f>+COEF_FCM!A179</f>
        <v>8311</v>
      </c>
      <c r="K173" s="201">
        <f>+COEF_FCM!B179</f>
        <v>8402</v>
      </c>
      <c r="L173" s="201" t="str">
        <f>+COEF_FCM!C179</f>
        <v>SANTA BÁRBARA</v>
      </c>
      <c r="M173" s="201" t="str">
        <f>+COEF_FCM!P179</f>
        <v>NO</v>
      </c>
      <c r="N173" s="201">
        <f>+COEF_FCM!AA179</f>
        <v>0</v>
      </c>
      <c r="O173" s="201">
        <f t="shared" si="8"/>
        <v>0</v>
      </c>
      <c r="R173" s="201">
        <v>10206</v>
      </c>
      <c r="S173" s="201">
        <v>10405</v>
      </c>
      <c r="T173" s="201" t="str">
        <v>PUQUELDÓN</v>
      </c>
      <c r="U173" s="201" t="str">
        <v>SI</v>
      </c>
      <c r="V173" s="201">
        <v>4387</v>
      </c>
      <c r="W173" s="201">
        <v>1</v>
      </c>
      <c r="X173" s="201" t="str">
        <f t="shared" si="9"/>
        <v>Puqueldón</v>
      </c>
    </row>
    <row r="174" spans="1:24" ht="3" customHeight="1" x14ac:dyDescent="0.25">
      <c r="A174" s="327">
        <f t="shared" si="7"/>
        <v>8</v>
      </c>
      <c r="B174" s="328">
        <f>+'CALC MEC ESTAB Y ESTIM M FINAL'!B178</f>
        <v>8312</v>
      </c>
      <c r="C174" s="328" t="str">
        <f>+'CALC MEC ESTAB Y ESTIM M FINAL'!C178</f>
        <v>TUCAPEL</v>
      </c>
      <c r="D174" s="329">
        <f>+'CALC MEC ESTAB Y ESTIM M FINAL'!F178</f>
        <v>2.081820409E-3</v>
      </c>
      <c r="E174" s="330">
        <f>+'CALC MEC ESTAB Y ESTIM M FINAL'!V178</f>
        <v>0</v>
      </c>
      <c r="F174" s="214"/>
      <c r="J174" s="201">
        <f>+COEF_FCM!A180</f>
        <v>8312</v>
      </c>
      <c r="K174" s="201">
        <f>+COEF_FCM!B180</f>
        <v>8412</v>
      </c>
      <c r="L174" s="201" t="str">
        <f>+COEF_FCM!C180</f>
        <v>TUCAPEL</v>
      </c>
      <c r="M174" s="201" t="str">
        <f>+COEF_FCM!P180</f>
        <v>SI</v>
      </c>
      <c r="N174" s="201">
        <f>+COEF_FCM!AA180</f>
        <v>19738</v>
      </c>
      <c r="O174" s="201">
        <f t="shared" si="8"/>
        <v>1</v>
      </c>
      <c r="R174" s="201">
        <v>10207</v>
      </c>
      <c r="S174" s="201">
        <v>10403</v>
      </c>
      <c r="T174" s="201" t="str">
        <v>QUEILÉN</v>
      </c>
      <c r="U174" s="201" t="str">
        <v>SI</v>
      </c>
      <c r="V174" s="201">
        <v>9375</v>
      </c>
      <c r="W174" s="201">
        <v>1</v>
      </c>
      <c r="X174" s="201" t="str">
        <f t="shared" si="9"/>
        <v>Queilén</v>
      </c>
    </row>
    <row r="175" spans="1:24" ht="3" customHeight="1" x14ac:dyDescent="0.25">
      <c r="A175" s="327">
        <f t="shared" si="7"/>
        <v>8</v>
      </c>
      <c r="B175" s="328">
        <f>+'CALC MEC ESTAB Y ESTIM M FINAL'!B179</f>
        <v>8313</v>
      </c>
      <c r="C175" s="328" t="str">
        <f>+'CALC MEC ESTAB Y ESTIM M FINAL'!C179</f>
        <v>YUMBEL</v>
      </c>
      <c r="D175" s="329">
        <f>+'CALC MEC ESTAB Y ESTIM M FINAL'!F179</f>
        <v>4.3441790906999997E-3</v>
      </c>
      <c r="E175" s="330">
        <f>+'CALC MEC ESTAB Y ESTIM M FINAL'!V179</f>
        <v>0</v>
      </c>
      <c r="F175" s="214"/>
      <c r="J175" s="201">
        <f>+COEF_FCM!A181</f>
        <v>8313</v>
      </c>
      <c r="K175" s="201">
        <f>+COEF_FCM!B181</f>
        <v>8409</v>
      </c>
      <c r="L175" s="201" t="str">
        <f>+COEF_FCM!C181</f>
        <v>YUMBEL</v>
      </c>
      <c r="M175" s="201" t="str">
        <f>+COEF_FCM!P181</f>
        <v>SI</v>
      </c>
      <c r="N175" s="201">
        <f>+COEF_FCM!AA181</f>
        <v>63127</v>
      </c>
      <c r="O175" s="201">
        <f t="shared" si="8"/>
        <v>1</v>
      </c>
      <c r="R175" s="201">
        <v>10208</v>
      </c>
      <c r="S175" s="201">
        <v>10404</v>
      </c>
      <c r="T175" s="201" t="str">
        <v>QUELLÓN</v>
      </c>
      <c r="U175" s="201" t="str">
        <v>SI</v>
      </c>
      <c r="V175" s="201">
        <v>27394</v>
      </c>
      <c r="W175" s="201">
        <v>1</v>
      </c>
      <c r="X175" s="201" t="str">
        <f t="shared" si="9"/>
        <v>Quellón</v>
      </c>
    </row>
    <row r="176" spans="1:24" ht="3" customHeight="1" x14ac:dyDescent="0.25">
      <c r="A176" s="327">
        <f t="shared" si="7"/>
        <v>8</v>
      </c>
      <c r="B176" s="328">
        <f>+'CALC MEC ESTAB Y ESTIM M FINAL'!B180</f>
        <v>8314</v>
      </c>
      <c r="C176" s="328" t="str">
        <f>+'CALC MEC ESTAB Y ESTIM M FINAL'!C180</f>
        <v>ALTO BIOBÍO</v>
      </c>
      <c r="D176" s="329">
        <f>+'CALC MEC ESTAB Y ESTIM M FINAL'!F180</f>
        <v>1.1859718866000001E-3</v>
      </c>
      <c r="E176" s="330">
        <f>+'CALC MEC ESTAB Y ESTIM M FINAL'!V180</f>
        <v>0</v>
      </c>
      <c r="F176" s="214"/>
      <c r="J176" s="201">
        <f>+COEF_FCM!A182</f>
        <v>8314</v>
      </c>
      <c r="K176" s="201">
        <f>+COEF_FCM!B182</f>
        <v>8414</v>
      </c>
      <c r="L176" s="201" t="str">
        <f>+COEF_FCM!C182</f>
        <v>ALTO BIOBÍO</v>
      </c>
      <c r="M176" s="201" t="str">
        <f>+COEF_FCM!P182</f>
        <v>SI</v>
      </c>
      <c r="N176" s="201">
        <f>+COEF_FCM!AA182</f>
        <v>7046</v>
      </c>
      <c r="O176" s="201">
        <f t="shared" si="8"/>
        <v>1</v>
      </c>
      <c r="R176" s="201">
        <v>10209</v>
      </c>
      <c r="S176" s="201">
        <v>10407</v>
      </c>
      <c r="T176" s="201" t="str">
        <v>QUEMCHI</v>
      </c>
      <c r="U176" s="201" t="str">
        <v>SI</v>
      </c>
      <c r="V176" s="201">
        <v>15704</v>
      </c>
      <c r="W176" s="201">
        <v>1</v>
      </c>
      <c r="X176" s="201" t="str">
        <f t="shared" si="9"/>
        <v>Quemchi</v>
      </c>
    </row>
    <row r="177" spans="1:24" ht="3" customHeight="1" x14ac:dyDescent="0.25">
      <c r="A177" s="327">
        <f t="shared" si="7"/>
        <v>9</v>
      </c>
      <c r="B177" s="328">
        <f>+'CALC MEC ESTAB Y ESTIM M FINAL'!B181</f>
        <v>9101</v>
      </c>
      <c r="C177" s="328" t="str">
        <f>+'CALC MEC ESTAB Y ESTIM M FINAL'!C181</f>
        <v>TEMUCO</v>
      </c>
      <c r="D177" s="329">
        <f>+'CALC MEC ESTAB Y ESTIM M FINAL'!F181</f>
        <v>1.15398987641E-2</v>
      </c>
      <c r="E177" s="330">
        <f>+'CALC MEC ESTAB Y ESTIM M FINAL'!V181</f>
        <v>2285741</v>
      </c>
      <c r="F177" s="214"/>
      <c r="J177" s="201">
        <f>+COEF_FCM!A183</f>
        <v>9101</v>
      </c>
      <c r="K177" s="201">
        <f>+COEF_FCM!B183</f>
        <v>9201</v>
      </c>
      <c r="L177" s="201" t="str">
        <f>+COEF_FCM!C183</f>
        <v>TEMUCO</v>
      </c>
      <c r="M177" s="201" t="str">
        <f>+COEF_FCM!P183</f>
        <v>SI</v>
      </c>
      <c r="N177" s="201">
        <f>+COEF_FCM!AA183</f>
        <v>208429</v>
      </c>
      <c r="O177" s="201">
        <f t="shared" si="8"/>
        <v>1</v>
      </c>
      <c r="R177" s="201">
        <v>10210</v>
      </c>
      <c r="S177" s="201">
        <v>10415</v>
      </c>
      <c r="T177" s="201" t="str">
        <v>QUINCHAO</v>
      </c>
      <c r="U177" s="201" t="str">
        <v>SI</v>
      </c>
      <c r="V177" s="201">
        <v>8623</v>
      </c>
      <c r="W177" s="201">
        <v>1</v>
      </c>
      <c r="X177" s="201" t="str">
        <f t="shared" si="9"/>
        <v>Quinchao</v>
      </c>
    </row>
    <row r="178" spans="1:24" ht="3" customHeight="1" x14ac:dyDescent="0.25">
      <c r="A178" s="327">
        <f t="shared" si="7"/>
        <v>9</v>
      </c>
      <c r="B178" s="328">
        <f>+'CALC MEC ESTAB Y ESTIM M FINAL'!B182</f>
        <v>9102</v>
      </c>
      <c r="C178" s="328" t="str">
        <f>+'CALC MEC ESTAB Y ESTIM M FINAL'!C182</f>
        <v>CARAHUE</v>
      </c>
      <c r="D178" s="329">
        <f>+'CALC MEC ESTAB Y ESTIM M FINAL'!F182</f>
        <v>3.4926426515000004E-3</v>
      </c>
      <c r="E178" s="330">
        <f>+'CALC MEC ESTAB Y ESTIM M FINAL'!V182</f>
        <v>0</v>
      </c>
      <c r="F178" s="214"/>
      <c r="J178" s="201">
        <f>+COEF_FCM!A184</f>
        <v>9102</v>
      </c>
      <c r="K178" s="201">
        <f>+COEF_FCM!B184</f>
        <v>9209</v>
      </c>
      <c r="L178" s="201" t="str">
        <f>+COEF_FCM!C184</f>
        <v>CARAHUE</v>
      </c>
      <c r="M178" s="201" t="str">
        <f>+COEF_FCM!P184</f>
        <v>SI</v>
      </c>
      <c r="N178" s="201">
        <f>+COEF_FCM!AA184</f>
        <v>23321</v>
      </c>
      <c r="O178" s="201">
        <f t="shared" si="8"/>
        <v>1</v>
      </c>
      <c r="R178" s="201">
        <v>10301</v>
      </c>
      <c r="S178" s="201">
        <v>10201</v>
      </c>
      <c r="T178" s="201" t="str">
        <v>OSORNO</v>
      </c>
      <c r="U178" s="201" t="str">
        <v>SI</v>
      </c>
      <c r="V178" s="201">
        <v>97856</v>
      </c>
      <c r="W178" s="201">
        <v>1</v>
      </c>
      <c r="X178" s="201" t="str">
        <f t="shared" si="9"/>
        <v>Osorno</v>
      </c>
    </row>
    <row r="179" spans="1:24" ht="3" customHeight="1" x14ac:dyDescent="0.25">
      <c r="A179" s="327">
        <f t="shared" si="7"/>
        <v>9</v>
      </c>
      <c r="B179" s="328">
        <f>+'CALC MEC ESTAB Y ESTIM M FINAL'!B183</f>
        <v>9103</v>
      </c>
      <c r="C179" s="328" t="str">
        <f>+'CALC MEC ESTAB Y ESTIM M FINAL'!C183</f>
        <v>CUNCO</v>
      </c>
      <c r="D179" s="329">
        <f>+'CALC MEC ESTAB Y ESTIM M FINAL'!F183</f>
        <v>2.7078737123999996E-3</v>
      </c>
      <c r="E179" s="330">
        <f>+'CALC MEC ESTAB Y ESTIM M FINAL'!V183</f>
        <v>0</v>
      </c>
      <c r="F179" s="214"/>
      <c r="J179" s="201">
        <f>+COEF_FCM!A185</f>
        <v>9103</v>
      </c>
      <c r="K179" s="201">
        <f>+COEF_FCM!B185</f>
        <v>9204</v>
      </c>
      <c r="L179" s="201" t="str">
        <f>+COEF_FCM!C185</f>
        <v>CUNCO</v>
      </c>
      <c r="M179" s="201" t="str">
        <f>+COEF_FCM!P185</f>
        <v>SI</v>
      </c>
      <c r="N179" s="201">
        <f>+COEF_FCM!AA185</f>
        <v>36506</v>
      </c>
      <c r="O179" s="201">
        <f t="shared" si="8"/>
        <v>1</v>
      </c>
      <c r="R179" s="201">
        <v>10306</v>
      </c>
      <c r="S179" s="201">
        <v>10207</v>
      </c>
      <c r="T179" s="201" t="str">
        <v>SAN JUAN DE LA COSTA</v>
      </c>
      <c r="U179" s="201" t="str">
        <v>SI</v>
      </c>
      <c r="V179" s="201">
        <v>46207</v>
      </c>
      <c r="W179" s="201">
        <v>1</v>
      </c>
      <c r="X179" s="201" t="str">
        <f t="shared" si="9"/>
        <v>San Juan de la Costa</v>
      </c>
    </row>
    <row r="180" spans="1:24" ht="3" customHeight="1" x14ac:dyDescent="0.25">
      <c r="A180" s="327">
        <f t="shared" si="7"/>
        <v>9</v>
      </c>
      <c r="B180" s="328">
        <f>+'CALC MEC ESTAB Y ESTIM M FINAL'!B184</f>
        <v>9104</v>
      </c>
      <c r="C180" s="328" t="str">
        <f>+'CALC MEC ESTAB Y ESTIM M FINAL'!C184</f>
        <v>CURARREHUE</v>
      </c>
      <c r="D180" s="329">
        <f>+'CALC MEC ESTAB Y ESTIM M FINAL'!F184</f>
        <v>1.3686223852999999E-3</v>
      </c>
      <c r="E180" s="330">
        <f>+'CALC MEC ESTAB Y ESTIM M FINAL'!V184</f>
        <v>0</v>
      </c>
      <c r="F180" s="214"/>
      <c r="J180" s="201">
        <f>+COEF_FCM!A186</f>
        <v>9104</v>
      </c>
      <c r="K180" s="201">
        <f>+COEF_FCM!B186</f>
        <v>9218</v>
      </c>
      <c r="L180" s="201" t="str">
        <f>+COEF_FCM!C186</f>
        <v>CURARREHUE</v>
      </c>
      <c r="M180" s="201" t="str">
        <f>+COEF_FCM!P186</f>
        <v>SI</v>
      </c>
      <c r="N180" s="201">
        <f>+COEF_FCM!AA186</f>
        <v>6932</v>
      </c>
      <c r="O180" s="201">
        <f t="shared" si="8"/>
        <v>1</v>
      </c>
      <c r="R180" s="201">
        <v>10401</v>
      </c>
      <c r="S180" s="201">
        <v>10501</v>
      </c>
      <c r="T180" s="201" t="str">
        <v>CHAITÉN</v>
      </c>
      <c r="U180" s="201" t="str">
        <v>SI</v>
      </c>
      <c r="V180" s="201">
        <v>13774</v>
      </c>
      <c r="W180" s="201">
        <v>1</v>
      </c>
      <c r="X180" s="201" t="str">
        <f t="shared" si="9"/>
        <v>Chaitén</v>
      </c>
    </row>
    <row r="181" spans="1:24" ht="3" customHeight="1" x14ac:dyDescent="0.25">
      <c r="A181" s="327">
        <f t="shared" si="7"/>
        <v>9</v>
      </c>
      <c r="B181" s="328">
        <f>+'CALC MEC ESTAB Y ESTIM M FINAL'!B185</f>
        <v>9105</v>
      </c>
      <c r="C181" s="328" t="str">
        <f>+'CALC MEC ESTAB Y ESTIM M FINAL'!C185</f>
        <v>FREIRE</v>
      </c>
      <c r="D181" s="329">
        <f>+'CALC MEC ESTAB Y ESTIM M FINAL'!F185</f>
        <v>2.7452955138999998E-3</v>
      </c>
      <c r="E181" s="330">
        <f>+'CALC MEC ESTAB Y ESTIM M FINAL'!V185</f>
        <v>0</v>
      </c>
      <c r="F181" s="214"/>
      <c r="J181" s="201">
        <f>+COEF_FCM!A187</f>
        <v>9105</v>
      </c>
      <c r="K181" s="201">
        <f>+COEF_FCM!B187</f>
        <v>9203</v>
      </c>
      <c r="L181" s="201" t="str">
        <f>+COEF_FCM!C187</f>
        <v>FREIRE</v>
      </c>
      <c r="M181" s="201" t="str">
        <f>+COEF_FCM!P187</f>
        <v>SI</v>
      </c>
      <c r="N181" s="201">
        <f>+COEF_FCM!AA187</f>
        <v>21253</v>
      </c>
      <c r="O181" s="201">
        <f t="shared" si="8"/>
        <v>1</v>
      </c>
      <c r="R181" s="201">
        <v>10403</v>
      </c>
      <c r="S181" s="201">
        <v>10502</v>
      </c>
      <c r="T181" s="201" t="str">
        <v>HUALAIHUÉ</v>
      </c>
      <c r="U181" s="201" t="str">
        <v>SI</v>
      </c>
      <c r="V181" s="201">
        <v>28445</v>
      </c>
      <c r="W181" s="201">
        <v>1</v>
      </c>
      <c r="X181" s="201" t="str">
        <f t="shared" si="9"/>
        <v>Hualaihué</v>
      </c>
    </row>
    <row r="182" spans="1:24" ht="3" customHeight="1" x14ac:dyDescent="0.25">
      <c r="A182" s="327">
        <f t="shared" si="7"/>
        <v>9</v>
      </c>
      <c r="B182" s="328">
        <f>+'CALC MEC ESTAB Y ESTIM M FINAL'!B186</f>
        <v>9106</v>
      </c>
      <c r="C182" s="328" t="str">
        <f>+'CALC MEC ESTAB Y ESTIM M FINAL'!C186</f>
        <v>GALVARINO</v>
      </c>
      <c r="D182" s="329">
        <f>+'CALC MEC ESTAB Y ESTIM M FINAL'!F186</f>
        <v>1.9027357841999999E-3</v>
      </c>
      <c r="E182" s="330">
        <f>+'CALC MEC ESTAB Y ESTIM M FINAL'!V186</f>
        <v>0</v>
      </c>
      <c r="F182" s="214"/>
      <c r="J182" s="201">
        <f>+COEF_FCM!A188</f>
        <v>9106</v>
      </c>
      <c r="K182" s="201">
        <f>+COEF_FCM!B188</f>
        <v>9207</v>
      </c>
      <c r="L182" s="201" t="str">
        <f>+COEF_FCM!C188</f>
        <v>GALVARINO</v>
      </c>
      <c r="M182" s="201" t="str">
        <f>+COEF_FCM!P188</f>
        <v>SI</v>
      </c>
      <c r="N182" s="201">
        <f>+COEF_FCM!AA188</f>
        <v>6717</v>
      </c>
      <c r="O182" s="201">
        <f t="shared" si="8"/>
        <v>1</v>
      </c>
      <c r="R182" s="201">
        <v>10404</v>
      </c>
      <c r="S182" s="201">
        <v>10504</v>
      </c>
      <c r="T182" s="201" t="str">
        <v>PALENA</v>
      </c>
      <c r="U182" s="201" t="str">
        <v>SI</v>
      </c>
      <c r="V182" s="201">
        <v>2407</v>
      </c>
      <c r="W182" s="201">
        <v>1</v>
      </c>
      <c r="X182" s="201" t="str">
        <f t="shared" si="9"/>
        <v>Palena</v>
      </c>
    </row>
    <row r="183" spans="1:24" ht="3" customHeight="1" x14ac:dyDescent="0.25">
      <c r="A183" s="327">
        <f t="shared" si="7"/>
        <v>9</v>
      </c>
      <c r="B183" s="328">
        <f>+'CALC MEC ESTAB Y ESTIM M FINAL'!B187</f>
        <v>9107</v>
      </c>
      <c r="C183" s="328" t="str">
        <f>+'CALC MEC ESTAB Y ESTIM M FINAL'!C187</f>
        <v>GORBEA</v>
      </c>
      <c r="D183" s="329">
        <f>+'CALC MEC ESTAB Y ESTIM M FINAL'!F187</f>
        <v>2.1380771390000003E-3</v>
      </c>
      <c r="E183" s="330">
        <f>+'CALC MEC ESTAB Y ESTIM M FINAL'!V187</f>
        <v>0</v>
      </c>
      <c r="F183" s="214"/>
      <c r="J183" s="201">
        <f>+COEF_FCM!A189</f>
        <v>9107</v>
      </c>
      <c r="K183" s="201">
        <f>+COEF_FCM!B189</f>
        <v>9212</v>
      </c>
      <c r="L183" s="201" t="str">
        <f>+COEF_FCM!C189</f>
        <v>GORBEA</v>
      </c>
      <c r="M183" s="201" t="str">
        <f>+COEF_FCM!P189</f>
        <v>SI</v>
      </c>
      <c r="N183" s="201">
        <f>+COEF_FCM!AA189</f>
        <v>18376</v>
      </c>
      <c r="O183" s="201">
        <f t="shared" si="8"/>
        <v>1</v>
      </c>
      <c r="R183" s="201">
        <v>11101</v>
      </c>
      <c r="S183" s="201">
        <v>11401</v>
      </c>
      <c r="T183" s="201" t="str">
        <v>COYHAIQUE</v>
      </c>
      <c r="U183" s="201" t="str">
        <v>SI</v>
      </c>
      <c r="V183" s="201">
        <v>68550</v>
      </c>
      <c r="W183" s="201">
        <v>1</v>
      </c>
      <c r="X183" s="201" t="str">
        <f t="shared" si="9"/>
        <v>Coyhaique</v>
      </c>
    </row>
    <row r="184" spans="1:24" ht="3" customHeight="1" x14ac:dyDescent="0.25">
      <c r="A184" s="327">
        <f t="shared" si="7"/>
        <v>9</v>
      </c>
      <c r="B184" s="328">
        <f>+'CALC MEC ESTAB Y ESTIM M FINAL'!B188</f>
        <v>9108</v>
      </c>
      <c r="C184" s="328" t="str">
        <f>+'CALC MEC ESTAB Y ESTIM M FINAL'!C188</f>
        <v>LAUTARO</v>
      </c>
      <c r="D184" s="329">
        <f>+'CALC MEC ESTAB Y ESTIM M FINAL'!F188</f>
        <v>3.0484550660999999E-3</v>
      </c>
      <c r="E184" s="330">
        <f>+'CALC MEC ESTAB Y ESTIM M FINAL'!V188</f>
        <v>0</v>
      </c>
      <c r="F184" s="214"/>
      <c r="J184" s="201">
        <f>+COEF_FCM!A190</f>
        <v>9108</v>
      </c>
      <c r="K184" s="201">
        <f>+COEF_FCM!B190</f>
        <v>9205</v>
      </c>
      <c r="L184" s="201" t="str">
        <f>+COEF_FCM!C190</f>
        <v>LAUTARO</v>
      </c>
      <c r="M184" s="201" t="str">
        <f>+COEF_FCM!P190</f>
        <v>SI</v>
      </c>
      <c r="N184" s="201">
        <f>+COEF_FCM!AA190</f>
        <v>33474</v>
      </c>
      <c r="O184" s="201">
        <f t="shared" si="8"/>
        <v>1</v>
      </c>
      <c r="R184" s="201">
        <v>11201</v>
      </c>
      <c r="S184" s="201">
        <v>11101</v>
      </c>
      <c r="T184" s="201" t="str">
        <v>AYSÉN</v>
      </c>
      <c r="U184" s="201" t="str">
        <v>SI</v>
      </c>
      <c r="V184" s="201">
        <v>30594</v>
      </c>
      <c r="W184" s="201">
        <v>1</v>
      </c>
      <c r="X184" s="201" t="str">
        <f t="shared" si="9"/>
        <v>Aysén</v>
      </c>
    </row>
    <row r="185" spans="1:24" ht="3" customHeight="1" x14ac:dyDescent="0.25">
      <c r="A185" s="327">
        <f t="shared" si="7"/>
        <v>9</v>
      </c>
      <c r="B185" s="328">
        <f>+'CALC MEC ESTAB Y ESTIM M FINAL'!B189</f>
        <v>9109</v>
      </c>
      <c r="C185" s="328" t="str">
        <f>+'CALC MEC ESTAB Y ESTIM M FINAL'!C189</f>
        <v>LONCOCHE</v>
      </c>
      <c r="D185" s="329">
        <f>+'CALC MEC ESTAB Y ESTIM M FINAL'!F189</f>
        <v>3.0133857353999999E-3</v>
      </c>
      <c r="E185" s="330">
        <f>+'CALC MEC ESTAB Y ESTIM M FINAL'!V189</f>
        <v>0</v>
      </c>
      <c r="F185" s="214"/>
      <c r="J185" s="201">
        <f>+COEF_FCM!A191</f>
        <v>9109</v>
      </c>
      <c r="K185" s="201">
        <f>+COEF_FCM!B191</f>
        <v>9214</v>
      </c>
      <c r="L185" s="201" t="str">
        <f>+COEF_FCM!C191</f>
        <v>LONCOCHE</v>
      </c>
      <c r="M185" s="201" t="str">
        <f>+COEF_FCM!P191</f>
        <v>SI</v>
      </c>
      <c r="N185" s="201">
        <f>+COEF_FCM!AA191</f>
        <v>32677</v>
      </c>
      <c r="O185" s="201">
        <f t="shared" si="8"/>
        <v>1</v>
      </c>
      <c r="R185" s="201">
        <v>11202</v>
      </c>
      <c r="S185" s="201">
        <v>11102</v>
      </c>
      <c r="T185" s="201" t="str">
        <v>CISNES</v>
      </c>
      <c r="U185" s="201" t="str">
        <v>SI</v>
      </c>
      <c r="V185" s="201">
        <v>12636</v>
      </c>
      <c r="W185" s="201">
        <v>1</v>
      </c>
      <c r="X185" s="201" t="str">
        <f t="shared" si="9"/>
        <v>Cisnes</v>
      </c>
    </row>
    <row r="186" spans="1:24" ht="3" customHeight="1" x14ac:dyDescent="0.25">
      <c r="A186" s="327">
        <f t="shared" si="7"/>
        <v>9</v>
      </c>
      <c r="B186" s="328">
        <f>+'CALC MEC ESTAB Y ESTIM M FINAL'!B190</f>
        <v>9110</v>
      </c>
      <c r="C186" s="328" t="str">
        <f>+'CALC MEC ESTAB Y ESTIM M FINAL'!C190</f>
        <v>MELIPEUCO</v>
      </c>
      <c r="D186" s="329">
        <f>+'CALC MEC ESTAB Y ESTIM M FINAL'!F190</f>
        <v>1.9087254317999998E-3</v>
      </c>
      <c r="E186" s="330">
        <f>+'CALC MEC ESTAB Y ESTIM M FINAL'!V190</f>
        <v>0</v>
      </c>
      <c r="F186" s="214"/>
      <c r="J186" s="201">
        <f>+COEF_FCM!A192</f>
        <v>9110</v>
      </c>
      <c r="K186" s="201">
        <f>+COEF_FCM!B192</f>
        <v>9217</v>
      </c>
      <c r="L186" s="201" t="str">
        <f>+COEF_FCM!C192</f>
        <v>MELIPEUCO</v>
      </c>
      <c r="M186" s="201" t="str">
        <f>+COEF_FCM!P192</f>
        <v>SI</v>
      </c>
      <c r="N186" s="201">
        <f>+COEF_FCM!AA192</f>
        <v>23622</v>
      </c>
      <c r="O186" s="201">
        <f t="shared" si="8"/>
        <v>1</v>
      </c>
      <c r="R186" s="201">
        <v>11203</v>
      </c>
      <c r="S186" s="201">
        <v>11104</v>
      </c>
      <c r="T186" s="201" t="str">
        <v>GUAITECAS</v>
      </c>
      <c r="U186" s="201" t="str">
        <v>SI</v>
      </c>
      <c r="V186" s="201">
        <v>4709</v>
      </c>
      <c r="W186" s="201">
        <v>1</v>
      </c>
      <c r="X186" s="201" t="str">
        <f t="shared" si="9"/>
        <v>Guaitecas</v>
      </c>
    </row>
    <row r="187" spans="1:24" ht="3" customHeight="1" x14ac:dyDescent="0.25">
      <c r="A187" s="327">
        <f t="shared" si="7"/>
        <v>9</v>
      </c>
      <c r="B187" s="328">
        <f>+'CALC MEC ESTAB Y ESTIM M FINAL'!B191</f>
        <v>9111</v>
      </c>
      <c r="C187" s="328" t="str">
        <f>+'CALC MEC ESTAB Y ESTIM M FINAL'!C191</f>
        <v>NUEVA IMPERIAL</v>
      </c>
      <c r="D187" s="329">
        <f>+'CALC MEC ESTAB Y ESTIM M FINAL'!F191</f>
        <v>3.6590878179000004E-3</v>
      </c>
      <c r="E187" s="330">
        <f>+'CALC MEC ESTAB Y ESTIM M FINAL'!V191</f>
        <v>0</v>
      </c>
      <c r="F187" s="214"/>
      <c r="J187" s="201">
        <f>+COEF_FCM!A193</f>
        <v>9111</v>
      </c>
      <c r="K187" s="201">
        <f>+COEF_FCM!B193</f>
        <v>9208</v>
      </c>
      <c r="L187" s="201" t="str">
        <f>+COEF_FCM!C193</f>
        <v>NUEVA IMPERIAL</v>
      </c>
      <c r="M187" s="201" t="str">
        <f>+COEF_FCM!P193</f>
        <v>SI</v>
      </c>
      <c r="N187" s="201">
        <f>+COEF_FCM!AA193</f>
        <v>18519</v>
      </c>
      <c r="O187" s="201">
        <f t="shared" si="8"/>
        <v>1</v>
      </c>
      <c r="R187" s="201">
        <v>11301</v>
      </c>
      <c r="S187" s="201">
        <v>11301</v>
      </c>
      <c r="T187" s="201" t="str">
        <v>COCHRANE</v>
      </c>
      <c r="U187" s="201" t="str">
        <v>SI</v>
      </c>
      <c r="V187" s="201">
        <v>8200</v>
      </c>
      <c r="W187" s="201">
        <v>1</v>
      </c>
      <c r="X187" s="201" t="str">
        <f t="shared" si="9"/>
        <v>Cochrane</v>
      </c>
    </row>
    <row r="188" spans="1:24" ht="3" customHeight="1" x14ac:dyDescent="0.25">
      <c r="A188" s="327">
        <f t="shared" si="7"/>
        <v>9</v>
      </c>
      <c r="B188" s="328">
        <f>+'CALC MEC ESTAB Y ESTIM M FINAL'!B192</f>
        <v>9112</v>
      </c>
      <c r="C188" s="328" t="str">
        <f>+'CALC MEC ESTAB Y ESTIM M FINAL'!C192</f>
        <v>PADRE LAS CASAS</v>
      </c>
      <c r="D188" s="329">
        <f>+'CALC MEC ESTAB Y ESTIM M FINAL'!F192</f>
        <v>6.3460495326999999E-3</v>
      </c>
      <c r="E188" s="330">
        <f>+'CALC MEC ESTAB Y ESTIM M FINAL'!V192</f>
        <v>0</v>
      </c>
      <c r="F188" s="214"/>
      <c r="J188" s="201">
        <f>+COEF_FCM!A194</f>
        <v>9112</v>
      </c>
      <c r="K188" s="201">
        <f>+COEF_FCM!B194</f>
        <v>9220</v>
      </c>
      <c r="L188" s="201" t="str">
        <f>+COEF_FCM!C194</f>
        <v>PADRE LAS CASAS</v>
      </c>
      <c r="M188" s="201" t="str">
        <f>+COEF_FCM!P194</f>
        <v>SI</v>
      </c>
      <c r="N188" s="201">
        <f>+COEF_FCM!AA194</f>
        <v>34595</v>
      </c>
      <c r="O188" s="201">
        <f t="shared" si="8"/>
        <v>1</v>
      </c>
      <c r="R188" s="201">
        <v>11302</v>
      </c>
      <c r="S188" s="201">
        <v>11302</v>
      </c>
      <c r="T188" s="201" t="str">
        <v>O’HIGGINS</v>
      </c>
      <c r="U188" s="201" t="str">
        <v>SI</v>
      </c>
      <c r="V188" s="201">
        <v>581</v>
      </c>
      <c r="W188" s="201">
        <v>1</v>
      </c>
      <c r="X188" s="201" t="str">
        <f t="shared" si="9"/>
        <v>O’Higgins</v>
      </c>
    </row>
    <row r="189" spans="1:24" ht="3" customHeight="1" x14ac:dyDescent="0.25">
      <c r="A189" s="327">
        <f t="shared" si="7"/>
        <v>9</v>
      </c>
      <c r="B189" s="328">
        <f>+'CALC MEC ESTAB Y ESTIM M FINAL'!B193</f>
        <v>9113</v>
      </c>
      <c r="C189" s="328" t="str">
        <f>+'CALC MEC ESTAB Y ESTIM M FINAL'!C193</f>
        <v>PERQUENCO</v>
      </c>
      <c r="D189" s="329">
        <f>+'CALC MEC ESTAB Y ESTIM M FINAL'!F193</f>
        <v>1.4009704862999999E-3</v>
      </c>
      <c r="E189" s="330">
        <f>+'CALC MEC ESTAB Y ESTIM M FINAL'!V193</f>
        <v>0</v>
      </c>
      <c r="F189" s="214"/>
      <c r="J189" s="201">
        <f>+COEF_FCM!A195</f>
        <v>9113</v>
      </c>
      <c r="K189" s="201">
        <f>+COEF_FCM!B195</f>
        <v>9206</v>
      </c>
      <c r="L189" s="201" t="str">
        <f>+COEF_FCM!C195</f>
        <v>PERQUENCO</v>
      </c>
      <c r="M189" s="201" t="str">
        <f>+COEF_FCM!P195</f>
        <v>SI</v>
      </c>
      <c r="N189" s="201">
        <f>+COEF_FCM!AA195</f>
        <v>9889</v>
      </c>
      <c r="O189" s="201">
        <f t="shared" si="8"/>
        <v>1</v>
      </c>
      <c r="R189" s="201">
        <v>11303</v>
      </c>
      <c r="S189" s="201">
        <v>11303</v>
      </c>
      <c r="T189" s="201" t="str">
        <v>TORTEL</v>
      </c>
      <c r="U189" s="201" t="str">
        <v>SI</v>
      </c>
      <c r="V189" s="201">
        <v>3953</v>
      </c>
      <c r="W189" s="201">
        <v>1</v>
      </c>
      <c r="X189" s="201" t="str">
        <f t="shared" si="9"/>
        <v>Tortel</v>
      </c>
    </row>
    <row r="190" spans="1:24" ht="3" customHeight="1" x14ac:dyDescent="0.25">
      <c r="A190" s="327">
        <f t="shared" si="7"/>
        <v>9</v>
      </c>
      <c r="B190" s="328">
        <f>+'CALC MEC ESTAB Y ESTIM M FINAL'!B194</f>
        <v>9114</v>
      </c>
      <c r="C190" s="328" t="str">
        <f>+'CALC MEC ESTAB Y ESTIM M FINAL'!C194</f>
        <v>PITRUFQUÉN</v>
      </c>
      <c r="D190" s="329">
        <f>+'CALC MEC ESTAB Y ESTIM M FINAL'!F194</f>
        <v>3.0795621891999999E-3</v>
      </c>
      <c r="E190" s="330">
        <f>+'CALC MEC ESTAB Y ESTIM M FINAL'!V194</f>
        <v>0</v>
      </c>
      <c r="F190" s="214"/>
      <c r="J190" s="201">
        <f>+COEF_FCM!A196</f>
        <v>9114</v>
      </c>
      <c r="K190" s="201">
        <f>+COEF_FCM!B196</f>
        <v>9211</v>
      </c>
      <c r="L190" s="201" t="str">
        <f>+COEF_FCM!C196</f>
        <v>PITRUFQUÉN</v>
      </c>
      <c r="M190" s="201" t="str">
        <f>+COEF_FCM!P196</f>
        <v>SI</v>
      </c>
      <c r="N190" s="201">
        <f>+COEF_FCM!AA196</f>
        <v>27731</v>
      </c>
      <c r="O190" s="201">
        <f t="shared" si="8"/>
        <v>1</v>
      </c>
      <c r="R190" s="201">
        <v>11401</v>
      </c>
      <c r="S190" s="201">
        <v>11201</v>
      </c>
      <c r="T190" s="201" t="str">
        <v>CHILE CHICO</v>
      </c>
      <c r="U190" s="201" t="str">
        <v>SI</v>
      </c>
      <c r="V190" s="201">
        <v>11711</v>
      </c>
      <c r="W190" s="201">
        <v>1</v>
      </c>
      <c r="X190" s="201" t="str">
        <f t="shared" si="9"/>
        <v>Chile Chico</v>
      </c>
    </row>
    <row r="191" spans="1:24" ht="3" customHeight="1" x14ac:dyDescent="0.25">
      <c r="A191" s="327">
        <f t="shared" si="7"/>
        <v>9</v>
      </c>
      <c r="B191" s="328">
        <f>+'CALC MEC ESTAB Y ESTIM M FINAL'!B195</f>
        <v>9115</v>
      </c>
      <c r="C191" s="328" t="str">
        <f>+'CALC MEC ESTAB Y ESTIM M FINAL'!C195</f>
        <v>PUCÓN</v>
      </c>
      <c r="D191" s="329">
        <f>+'CALC MEC ESTAB Y ESTIM M FINAL'!F195</f>
        <v>1.2212778014E-3</v>
      </c>
      <c r="E191" s="330">
        <f>+'CALC MEC ESTAB Y ESTIM M FINAL'!V195</f>
        <v>0</v>
      </c>
      <c r="F191" s="214"/>
      <c r="J191" s="201">
        <f>+COEF_FCM!A197</f>
        <v>9115</v>
      </c>
      <c r="K191" s="201">
        <f>+COEF_FCM!B197</f>
        <v>9216</v>
      </c>
      <c r="L191" s="201" t="str">
        <f>+COEF_FCM!C197</f>
        <v>PUCÓN</v>
      </c>
      <c r="M191" s="201" t="str">
        <f>+COEF_FCM!P197</f>
        <v>NO</v>
      </c>
      <c r="N191" s="201">
        <f>+COEF_FCM!AA197</f>
        <v>0</v>
      </c>
      <c r="O191" s="201">
        <f t="shared" si="8"/>
        <v>0</v>
      </c>
      <c r="R191" s="201">
        <v>11402</v>
      </c>
      <c r="S191" s="201">
        <v>11203</v>
      </c>
      <c r="T191" s="201" t="str">
        <v>RÍO IBÁÑEZ</v>
      </c>
      <c r="U191" s="201" t="str">
        <v>SI</v>
      </c>
      <c r="V191" s="201">
        <v>13195</v>
      </c>
      <c r="W191" s="201">
        <v>1</v>
      </c>
      <c r="X191" s="201" t="str">
        <f t="shared" si="9"/>
        <v>Río Ibáñez</v>
      </c>
    </row>
    <row r="192" spans="1:24" ht="3" customHeight="1" x14ac:dyDescent="0.25">
      <c r="A192" s="327">
        <f t="shared" si="7"/>
        <v>9</v>
      </c>
      <c r="B192" s="328">
        <f>+'CALC MEC ESTAB Y ESTIM M FINAL'!B196</f>
        <v>9116</v>
      </c>
      <c r="C192" s="328" t="str">
        <f>+'CALC MEC ESTAB Y ESTIM M FINAL'!C196</f>
        <v>SAAVEDRA</v>
      </c>
      <c r="D192" s="329">
        <f>+'CALC MEC ESTAB Y ESTIM M FINAL'!F196</f>
        <v>2.7115601981999998E-3</v>
      </c>
      <c r="E192" s="330">
        <f>+'CALC MEC ESTAB Y ESTIM M FINAL'!V196</f>
        <v>0</v>
      </c>
      <c r="F192" s="214"/>
      <c r="J192" s="201">
        <f>+COEF_FCM!A198</f>
        <v>9116</v>
      </c>
      <c r="K192" s="201">
        <f>+COEF_FCM!B198</f>
        <v>9210</v>
      </c>
      <c r="L192" s="201" t="str">
        <f>+COEF_FCM!C198</f>
        <v>SAAVEDRA</v>
      </c>
      <c r="M192" s="201" t="str">
        <f>+COEF_FCM!P198</f>
        <v>SI</v>
      </c>
      <c r="N192" s="201">
        <f>+COEF_FCM!AA198</f>
        <v>27528</v>
      </c>
      <c r="O192" s="201">
        <f t="shared" si="8"/>
        <v>1</v>
      </c>
      <c r="R192" s="201">
        <v>12101</v>
      </c>
      <c r="S192" s="201">
        <v>12205</v>
      </c>
      <c r="T192" s="201" t="str">
        <v>PUNTA ARENAS</v>
      </c>
      <c r="U192" s="201" t="str">
        <v>SI</v>
      </c>
      <c r="V192" s="201">
        <v>102259</v>
      </c>
      <c r="W192" s="201">
        <v>1</v>
      </c>
      <c r="X192" s="201" t="str">
        <f t="shared" si="9"/>
        <v>Punta Arenas</v>
      </c>
    </row>
    <row r="193" spans="1:24" ht="3" customHeight="1" x14ac:dyDescent="0.25">
      <c r="A193" s="327">
        <f t="shared" si="7"/>
        <v>9</v>
      </c>
      <c r="B193" s="328">
        <f>+'CALC MEC ESTAB Y ESTIM M FINAL'!B197</f>
        <v>9117</v>
      </c>
      <c r="C193" s="328" t="str">
        <f>+'CALC MEC ESTAB Y ESTIM M FINAL'!C197</f>
        <v>TEODORO SCHMIDT</v>
      </c>
      <c r="D193" s="329">
        <f>+'CALC MEC ESTAB Y ESTIM M FINAL'!F197</f>
        <v>2.6638900212E-3</v>
      </c>
      <c r="E193" s="330">
        <f>+'CALC MEC ESTAB Y ESTIM M FINAL'!V197</f>
        <v>0</v>
      </c>
      <c r="F193" s="214"/>
      <c r="J193" s="201">
        <f>+COEF_FCM!A199</f>
        <v>9117</v>
      </c>
      <c r="K193" s="201">
        <f>+COEF_FCM!B199</f>
        <v>9219</v>
      </c>
      <c r="L193" s="201" t="str">
        <f>+COEF_FCM!C199</f>
        <v>TEODORO SCHMIDT</v>
      </c>
      <c r="M193" s="201" t="str">
        <f>+COEF_FCM!P199</f>
        <v>SI</v>
      </c>
      <c r="N193" s="201">
        <f>+COEF_FCM!AA199</f>
        <v>20228</v>
      </c>
      <c r="O193" s="201">
        <f t="shared" si="8"/>
        <v>1</v>
      </c>
      <c r="R193" s="201">
        <v>12201</v>
      </c>
      <c r="S193" s="201">
        <v>12401</v>
      </c>
      <c r="T193" s="201" t="str">
        <v>CABO DE HORNOS</v>
      </c>
      <c r="U193" s="201" t="str">
        <v>SI</v>
      </c>
      <c r="V193" s="201">
        <v>4200</v>
      </c>
      <c r="W193" s="201">
        <v>1</v>
      </c>
      <c r="X193" s="201" t="str">
        <f t="shared" si="9"/>
        <v>Cabo de Hornos</v>
      </c>
    </row>
    <row r="194" spans="1:24" ht="3" customHeight="1" x14ac:dyDescent="0.25">
      <c r="A194" s="327">
        <f t="shared" si="7"/>
        <v>9</v>
      </c>
      <c r="B194" s="328">
        <f>+'CALC MEC ESTAB Y ESTIM M FINAL'!B198</f>
        <v>9118</v>
      </c>
      <c r="C194" s="328" t="str">
        <f>+'CALC MEC ESTAB Y ESTIM M FINAL'!C198</f>
        <v>TOLTÉN</v>
      </c>
      <c r="D194" s="329">
        <f>+'CALC MEC ESTAB Y ESTIM M FINAL'!F198</f>
        <v>2.0478180833E-3</v>
      </c>
      <c r="E194" s="330">
        <f>+'CALC MEC ESTAB Y ESTIM M FINAL'!V198</f>
        <v>0</v>
      </c>
      <c r="F194" s="214"/>
      <c r="J194" s="201">
        <f>+COEF_FCM!A200</f>
        <v>9118</v>
      </c>
      <c r="K194" s="201">
        <f>+COEF_FCM!B200</f>
        <v>9213</v>
      </c>
      <c r="L194" s="201" t="str">
        <f>+COEF_FCM!C200</f>
        <v>TOLTÉN</v>
      </c>
      <c r="M194" s="201" t="str">
        <f>+COEF_FCM!P200</f>
        <v>SI</v>
      </c>
      <c r="N194" s="201">
        <f>+COEF_FCM!AA200</f>
        <v>18482</v>
      </c>
      <c r="O194" s="201">
        <f t="shared" si="8"/>
        <v>1</v>
      </c>
      <c r="R194" s="201">
        <v>12301</v>
      </c>
      <c r="S194" s="201">
        <v>12301</v>
      </c>
      <c r="T194" s="201" t="str">
        <v>PORVENIR</v>
      </c>
      <c r="U194" s="201" t="str">
        <v>SI</v>
      </c>
      <c r="V194" s="201">
        <v>6637</v>
      </c>
      <c r="W194" s="201">
        <v>1</v>
      </c>
      <c r="X194" s="201" t="str">
        <f t="shared" si="9"/>
        <v>Porvenir</v>
      </c>
    </row>
    <row r="195" spans="1:24" ht="3" customHeight="1" x14ac:dyDescent="0.25">
      <c r="A195" s="327">
        <f t="shared" si="7"/>
        <v>9</v>
      </c>
      <c r="B195" s="328">
        <f>+'CALC MEC ESTAB Y ESTIM M FINAL'!B199</f>
        <v>9119</v>
      </c>
      <c r="C195" s="328" t="str">
        <f>+'CALC MEC ESTAB Y ESTIM M FINAL'!C199</f>
        <v>VILCÚN</v>
      </c>
      <c r="D195" s="329">
        <f>+'CALC MEC ESTAB Y ESTIM M FINAL'!F199</f>
        <v>3.5019801381000002E-3</v>
      </c>
      <c r="E195" s="330">
        <f>+'CALC MEC ESTAB Y ESTIM M FINAL'!V199</f>
        <v>0</v>
      </c>
      <c r="F195" s="214"/>
      <c r="J195" s="201">
        <f>+COEF_FCM!A201</f>
        <v>9119</v>
      </c>
      <c r="K195" s="201">
        <f>+COEF_FCM!B201</f>
        <v>9202</v>
      </c>
      <c r="L195" s="201" t="str">
        <f>+COEF_FCM!C201</f>
        <v>VILCÚN</v>
      </c>
      <c r="M195" s="201" t="str">
        <f>+COEF_FCM!P201</f>
        <v>SI</v>
      </c>
      <c r="N195" s="201">
        <f>+COEF_FCM!AA201</f>
        <v>36443</v>
      </c>
      <c r="O195" s="201">
        <f t="shared" si="8"/>
        <v>1</v>
      </c>
      <c r="R195" s="201">
        <v>12302</v>
      </c>
      <c r="S195" s="201">
        <v>12302</v>
      </c>
      <c r="T195" s="201" t="str">
        <v>PRIMAVERA</v>
      </c>
      <c r="U195" s="201" t="str">
        <v>SI</v>
      </c>
      <c r="V195" s="201">
        <v>2883</v>
      </c>
      <c r="W195" s="201">
        <v>1</v>
      </c>
      <c r="X195" s="201" t="str">
        <f t="shared" si="9"/>
        <v>Primavera</v>
      </c>
    </row>
    <row r="196" spans="1:24" ht="3" customHeight="1" x14ac:dyDescent="0.25">
      <c r="A196" s="327">
        <f t="shared" ref="A196:A259" si="10">INT(B196/1000)</f>
        <v>9</v>
      </c>
      <c r="B196" s="328">
        <f>+'CALC MEC ESTAB Y ESTIM M FINAL'!B200</f>
        <v>9120</v>
      </c>
      <c r="C196" s="328" t="str">
        <f>+'CALC MEC ESTAB Y ESTIM M FINAL'!C200</f>
        <v>VILLARRICA</v>
      </c>
      <c r="D196" s="329">
        <f>+'CALC MEC ESTAB Y ESTIM M FINAL'!F200</f>
        <v>2.0876693739999997E-3</v>
      </c>
      <c r="E196" s="330">
        <f>+'CALC MEC ESTAB Y ESTIM M FINAL'!V200</f>
        <v>331473</v>
      </c>
      <c r="F196" s="214"/>
      <c r="J196" s="201">
        <f>+COEF_FCM!A202</f>
        <v>9120</v>
      </c>
      <c r="K196" s="201">
        <f>+COEF_FCM!B202</f>
        <v>9215</v>
      </c>
      <c r="L196" s="201" t="str">
        <f>+COEF_FCM!C202</f>
        <v>VILLARRICA</v>
      </c>
      <c r="M196" s="201" t="str">
        <f>+COEF_FCM!P202</f>
        <v>NO</v>
      </c>
      <c r="N196" s="201">
        <f>+COEF_FCM!AA202</f>
        <v>0</v>
      </c>
      <c r="O196" s="201">
        <f t="shared" ref="O196:O259" si="11">IF(AND(M196="SI",N196&gt;0),1,0)</f>
        <v>0</v>
      </c>
      <c r="R196" s="201">
        <v>12303</v>
      </c>
      <c r="S196" s="201">
        <v>12304</v>
      </c>
      <c r="T196" s="201" t="str">
        <v>TIMAUKEL</v>
      </c>
      <c r="U196" s="201" t="str">
        <v>SI</v>
      </c>
      <c r="V196" s="201">
        <v>593</v>
      </c>
      <c r="W196" s="201">
        <v>1</v>
      </c>
      <c r="X196" s="201" t="str">
        <f t="shared" ref="X196:X250" si="12">SUBSTITUTE(SUBSTITUTE(SUBSTITUTE(PROPER(T196)," De "," de ",1)," Del "," del ",1)," La "," la ",1)</f>
        <v>Timaukel</v>
      </c>
    </row>
    <row r="197" spans="1:24" ht="3" customHeight="1" x14ac:dyDescent="0.25">
      <c r="A197" s="327">
        <f t="shared" si="10"/>
        <v>9</v>
      </c>
      <c r="B197" s="328">
        <f>+'CALC MEC ESTAB Y ESTIM M FINAL'!B201</f>
        <v>9121</v>
      </c>
      <c r="C197" s="328" t="str">
        <f>+'CALC MEC ESTAB Y ESTIM M FINAL'!C201</f>
        <v>CHOLCHOL</v>
      </c>
      <c r="D197" s="329">
        <f>+'CALC MEC ESTAB Y ESTIM M FINAL'!F201</f>
        <v>1.9580187297999997E-3</v>
      </c>
      <c r="E197" s="330">
        <f>+'CALC MEC ESTAB Y ESTIM M FINAL'!V201</f>
        <v>0</v>
      </c>
      <c r="F197" s="214"/>
      <c r="J197" s="201">
        <f>+COEF_FCM!A203</f>
        <v>9121</v>
      </c>
      <c r="K197" s="201">
        <f>+COEF_FCM!B203</f>
        <v>9221</v>
      </c>
      <c r="L197" s="201" t="str">
        <f>+COEF_FCM!C203</f>
        <v>CHOLCHOL</v>
      </c>
      <c r="M197" s="201" t="str">
        <f>+COEF_FCM!P203</f>
        <v>SI</v>
      </c>
      <c r="N197" s="201">
        <f>+COEF_FCM!AA203</f>
        <v>8366</v>
      </c>
      <c r="O197" s="201">
        <f t="shared" si="11"/>
        <v>1</v>
      </c>
      <c r="R197" s="201">
        <v>12401</v>
      </c>
      <c r="S197" s="201">
        <v>12101</v>
      </c>
      <c r="T197" s="201" t="str">
        <v>NATALES</v>
      </c>
      <c r="U197" s="201" t="str">
        <v>SI</v>
      </c>
      <c r="V197" s="201">
        <v>57215</v>
      </c>
      <c r="W197" s="201">
        <v>1</v>
      </c>
      <c r="X197" s="201" t="str">
        <f t="shared" si="12"/>
        <v>Natales</v>
      </c>
    </row>
    <row r="198" spans="1:24" ht="3" customHeight="1" x14ac:dyDescent="0.25">
      <c r="A198" s="327">
        <f t="shared" si="10"/>
        <v>9</v>
      </c>
      <c r="B198" s="328">
        <f>+'CALC MEC ESTAB Y ESTIM M FINAL'!B202</f>
        <v>9201</v>
      </c>
      <c r="C198" s="328" t="str">
        <f>+'CALC MEC ESTAB Y ESTIM M FINAL'!C202</f>
        <v>ANGOL</v>
      </c>
      <c r="D198" s="329">
        <f>+'CALC MEC ESTAB Y ESTIM M FINAL'!F202</f>
        <v>4.7473647202999998E-3</v>
      </c>
      <c r="E198" s="330">
        <f>+'CALC MEC ESTAB Y ESTIM M FINAL'!V202</f>
        <v>0</v>
      </c>
      <c r="F198" s="214"/>
      <c r="J198" s="201">
        <f>+COEF_FCM!A204</f>
        <v>9201</v>
      </c>
      <c r="K198" s="201">
        <f>+COEF_FCM!B204</f>
        <v>9101</v>
      </c>
      <c r="L198" s="201" t="str">
        <f>+COEF_FCM!C204</f>
        <v>ANGOL</v>
      </c>
      <c r="M198" s="201" t="str">
        <f>+COEF_FCM!P204</f>
        <v>SI</v>
      </c>
      <c r="N198" s="201">
        <f>+COEF_FCM!AA204</f>
        <v>44311</v>
      </c>
      <c r="O198" s="201">
        <f t="shared" si="11"/>
        <v>1</v>
      </c>
      <c r="R198" s="201">
        <v>13102</v>
      </c>
      <c r="S198" s="201">
        <v>13166</v>
      </c>
      <c r="T198" s="201" t="str">
        <v>CERRILLOS</v>
      </c>
      <c r="U198" s="201" t="str">
        <v>SI</v>
      </c>
      <c r="V198" s="201">
        <v>15666</v>
      </c>
      <c r="W198" s="201">
        <v>1</v>
      </c>
      <c r="X198" s="201" t="str">
        <f t="shared" si="12"/>
        <v>Cerrillos</v>
      </c>
    </row>
    <row r="199" spans="1:24" ht="3" customHeight="1" x14ac:dyDescent="0.25">
      <c r="A199" s="327">
        <f t="shared" si="10"/>
        <v>9</v>
      </c>
      <c r="B199" s="328">
        <f>+'CALC MEC ESTAB Y ESTIM M FINAL'!B203</f>
        <v>9202</v>
      </c>
      <c r="C199" s="328" t="str">
        <f>+'CALC MEC ESTAB Y ESTIM M FINAL'!C203</f>
        <v>COLLIPULLI</v>
      </c>
      <c r="D199" s="329">
        <f>+'CALC MEC ESTAB Y ESTIM M FINAL'!F203</f>
        <v>2.4549750041000002E-3</v>
      </c>
      <c r="E199" s="330">
        <f>+'CALC MEC ESTAB Y ESTIM M FINAL'!V203</f>
        <v>0</v>
      </c>
      <c r="F199" s="214"/>
      <c r="J199" s="201">
        <f>+COEF_FCM!A205</f>
        <v>9202</v>
      </c>
      <c r="K199" s="201">
        <f>+COEF_FCM!B205</f>
        <v>9105</v>
      </c>
      <c r="L199" s="201" t="str">
        <f>+COEF_FCM!C205</f>
        <v>COLLIPULLI</v>
      </c>
      <c r="M199" s="201" t="str">
        <f>+COEF_FCM!P205</f>
        <v>SI</v>
      </c>
      <c r="N199" s="201">
        <f>+COEF_FCM!AA205</f>
        <v>23752</v>
      </c>
      <c r="O199" s="201">
        <f t="shared" si="11"/>
        <v>1</v>
      </c>
      <c r="R199" s="201">
        <v>13103</v>
      </c>
      <c r="S199" s="201">
        <v>13156</v>
      </c>
      <c r="T199" s="201" t="str">
        <v>CERRO NAVIA</v>
      </c>
      <c r="U199" s="201" t="str">
        <v>SI</v>
      </c>
      <c r="V199" s="201">
        <v>14205</v>
      </c>
      <c r="W199" s="201">
        <v>1</v>
      </c>
      <c r="X199" s="201" t="str">
        <f t="shared" si="12"/>
        <v>Cerro Navia</v>
      </c>
    </row>
    <row r="200" spans="1:24" ht="3" customHeight="1" x14ac:dyDescent="0.25">
      <c r="A200" s="327">
        <f t="shared" si="10"/>
        <v>9</v>
      </c>
      <c r="B200" s="328">
        <f>+'CALC MEC ESTAB Y ESTIM M FINAL'!B204</f>
        <v>9203</v>
      </c>
      <c r="C200" s="328" t="str">
        <f>+'CALC MEC ESTAB Y ESTIM M FINAL'!C204</f>
        <v>CURACAUTÍN</v>
      </c>
      <c r="D200" s="329">
        <f>+'CALC MEC ESTAB Y ESTIM M FINAL'!F204</f>
        <v>3.7299494420000002E-3</v>
      </c>
      <c r="E200" s="330">
        <f>+'CALC MEC ESTAB Y ESTIM M FINAL'!V204</f>
        <v>0</v>
      </c>
      <c r="F200" s="214"/>
      <c r="J200" s="201">
        <f>+COEF_FCM!A206</f>
        <v>9203</v>
      </c>
      <c r="K200" s="201">
        <f>+COEF_FCM!B206</f>
        <v>9110</v>
      </c>
      <c r="L200" s="201" t="str">
        <f>+COEF_FCM!C206</f>
        <v>CURACAUTÍN</v>
      </c>
      <c r="M200" s="201" t="str">
        <f>+COEF_FCM!P206</f>
        <v>SI</v>
      </c>
      <c r="N200" s="201">
        <f>+COEF_FCM!AA206</f>
        <v>63097</v>
      </c>
      <c r="O200" s="201">
        <f t="shared" si="11"/>
        <v>1</v>
      </c>
      <c r="R200" s="201">
        <v>13104</v>
      </c>
      <c r="S200" s="201">
        <v>13127</v>
      </c>
      <c r="T200" s="201" t="str">
        <v>CONCHALÍ</v>
      </c>
      <c r="U200" s="201" t="str">
        <v>SI</v>
      </c>
      <c r="V200" s="201">
        <v>17083</v>
      </c>
      <c r="W200" s="201">
        <v>1</v>
      </c>
      <c r="X200" s="201" t="str">
        <f t="shared" si="12"/>
        <v>Conchalí</v>
      </c>
    </row>
    <row r="201" spans="1:24" ht="3" customHeight="1" x14ac:dyDescent="0.25">
      <c r="A201" s="327">
        <f t="shared" si="10"/>
        <v>9</v>
      </c>
      <c r="B201" s="328">
        <f>+'CALC MEC ESTAB Y ESTIM M FINAL'!B205</f>
        <v>9204</v>
      </c>
      <c r="C201" s="328" t="str">
        <f>+'CALC MEC ESTAB Y ESTIM M FINAL'!C205</f>
        <v>ERCILLA</v>
      </c>
      <c r="D201" s="329">
        <f>+'CALC MEC ESTAB Y ESTIM M FINAL'!F205</f>
        <v>1.6268306062E-3</v>
      </c>
      <c r="E201" s="330">
        <f>+'CALC MEC ESTAB Y ESTIM M FINAL'!V205</f>
        <v>0</v>
      </c>
      <c r="F201" s="214"/>
      <c r="J201" s="201">
        <f>+COEF_FCM!A207</f>
        <v>9204</v>
      </c>
      <c r="K201" s="201">
        <f>+COEF_FCM!B207</f>
        <v>9106</v>
      </c>
      <c r="L201" s="201" t="str">
        <f>+COEF_FCM!C207</f>
        <v>ERCILLA</v>
      </c>
      <c r="M201" s="201" t="str">
        <f>+COEF_FCM!P207</f>
        <v>SI</v>
      </c>
      <c r="N201" s="201">
        <f>+COEF_FCM!AA207</f>
        <v>11082</v>
      </c>
      <c r="O201" s="201">
        <f t="shared" si="11"/>
        <v>1</v>
      </c>
      <c r="R201" s="201">
        <v>13105</v>
      </c>
      <c r="S201" s="201">
        <v>13165</v>
      </c>
      <c r="T201" s="201" t="str">
        <v>EL BOSQUE</v>
      </c>
      <c r="U201" s="201" t="str">
        <v>SI</v>
      </c>
      <c r="V201" s="201">
        <v>16218</v>
      </c>
      <c r="W201" s="201">
        <v>1</v>
      </c>
      <c r="X201" s="201" t="str">
        <f t="shared" si="12"/>
        <v>El Bosque</v>
      </c>
    </row>
    <row r="202" spans="1:24" ht="3" customHeight="1" x14ac:dyDescent="0.25">
      <c r="A202" s="327">
        <f t="shared" si="10"/>
        <v>9</v>
      </c>
      <c r="B202" s="328">
        <f>+'CALC MEC ESTAB Y ESTIM M FINAL'!B206</f>
        <v>9205</v>
      </c>
      <c r="C202" s="328" t="str">
        <f>+'CALC MEC ESTAB Y ESTIM M FINAL'!C206</f>
        <v>LONQUIMAY</v>
      </c>
      <c r="D202" s="329">
        <f>+'CALC MEC ESTAB Y ESTIM M FINAL'!F206</f>
        <v>2.1462341981999997E-3</v>
      </c>
      <c r="E202" s="330">
        <f>+'CALC MEC ESTAB Y ESTIM M FINAL'!V206</f>
        <v>0</v>
      </c>
      <c r="F202" s="214"/>
      <c r="J202" s="201">
        <f>+COEF_FCM!A208</f>
        <v>9205</v>
      </c>
      <c r="K202" s="201">
        <f>+COEF_FCM!B208</f>
        <v>9111</v>
      </c>
      <c r="L202" s="201" t="str">
        <f>+COEF_FCM!C208</f>
        <v>LONQUIMAY</v>
      </c>
      <c r="M202" s="201" t="str">
        <f>+COEF_FCM!P208</f>
        <v>SI</v>
      </c>
      <c r="N202" s="201">
        <f>+COEF_FCM!AA208</f>
        <v>23316</v>
      </c>
      <c r="O202" s="201">
        <f t="shared" si="11"/>
        <v>1</v>
      </c>
      <c r="R202" s="201">
        <v>13106</v>
      </c>
      <c r="S202" s="201">
        <v>13157</v>
      </c>
      <c r="T202" s="201" t="str">
        <v>ESTACIÓN CENTRAL</v>
      </c>
      <c r="U202" s="201" t="str">
        <v>SI</v>
      </c>
      <c r="V202" s="201">
        <v>49527</v>
      </c>
      <c r="W202" s="201">
        <v>1</v>
      </c>
      <c r="X202" s="201" t="str">
        <f t="shared" si="12"/>
        <v>Estación Central</v>
      </c>
    </row>
    <row r="203" spans="1:24" ht="3" customHeight="1" x14ac:dyDescent="0.25">
      <c r="A203" s="327">
        <f t="shared" si="10"/>
        <v>9</v>
      </c>
      <c r="B203" s="328">
        <f>+'CALC MEC ESTAB Y ESTIM M FINAL'!B207</f>
        <v>9206</v>
      </c>
      <c r="C203" s="328" t="str">
        <f>+'CALC MEC ESTAB Y ESTIM M FINAL'!C207</f>
        <v>LOS SAUCES</v>
      </c>
      <c r="D203" s="329">
        <f>+'CALC MEC ESTAB Y ESTIM M FINAL'!F207</f>
        <v>1.4300422417999998E-3</v>
      </c>
      <c r="E203" s="330">
        <f>+'CALC MEC ESTAB Y ESTIM M FINAL'!V207</f>
        <v>0</v>
      </c>
      <c r="F203" s="214"/>
      <c r="J203" s="201">
        <f>+COEF_FCM!A209</f>
        <v>9206</v>
      </c>
      <c r="K203" s="201">
        <f>+COEF_FCM!B209</f>
        <v>9103</v>
      </c>
      <c r="L203" s="201" t="str">
        <f>+COEF_FCM!C209</f>
        <v>LOS SAUCES</v>
      </c>
      <c r="M203" s="201" t="str">
        <f>+COEF_FCM!P209</f>
        <v>SI</v>
      </c>
      <c r="N203" s="201">
        <f>+COEF_FCM!AA209</f>
        <v>7485</v>
      </c>
      <c r="O203" s="201">
        <f t="shared" si="11"/>
        <v>1</v>
      </c>
      <c r="R203" s="201">
        <v>13108</v>
      </c>
      <c r="S203" s="201">
        <v>13167</v>
      </c>
      <c r="T203" s="201" t="str">
        <v>INDEPENDENCIA</v>
      </c>
      <c r="U203" s="201" t="str">
        <v>SI</v>
      </c>
      <c r="V203" s="201">
        <v>15484</v>
      </c>
      <c r="W203" s="201">
        <v>1</v>
      </c>
      <c r="X203" s="201" t="str">
        <f t="shared" si="12"/>
        <v>Independencia</v>
      </c>
    </row>
    <row r="204" spans="1:24" ht="3" customHeight="1" x14ac:dyDescent="0.25">
      <c r="A204" s="327">
        <f t="shared" si="10"/>
        <v>9</v>
      </c>
      <c r="B204" s="328">
        <f>+'CALC MEC ESTAB Y ESTIM M FINAL'!B208</f>
        <v>9207</v>
      </c>
      <c r="C204" s="328" t="str">
        <f>+'CALC MEC ESTAB Y ESTIM M FINAL'!C208</f>
        <v>LUMACO</v>
      </c>
      <c r="D204" s="329">
        <f>+'CALC MEC ESTAB Y ESTIM M FINAL'!F208</f>
        <v>1.7798239346000001E-3</v>
      </c>
      <c r="E204" s="330">
        <f>+'CALC MEC ESTAB Y ESTIM M FINAL'!V208</f>
        <v>0</v>
      </c>
      <c r="F204" s="214"/>
      <c r="J204" s="201">
        <f>+COEF_FCM!A210</f>
        <v>9207</v>
      </c>
      <c r="K204" s="201">
        <f>+COEF_FCM!B210</f>
        <v>9108</v>
      </c>
      <c r="L204" s="201" t="str">
        <f>+COEF_FCM!C210</f>
        <v>LUMACO</v>
      </c>
      <c r="M204" s="201" t="str">
        <f>+COEF_FCM!P210</f>
        <v>SI</v>
      </c>
      <c r="N204" s="201">
        <f>+COEF_FCM!AA210</f>
        <v>9779</v>
      </c>
      <c r="O204" s="201">
        <f t="shared" si="11"/>
        <v>1</v>
      </c>
      <c r="R204" s="201">
        <v>13109</v>
      </c>
      <c r="S204" s="201">
        <v>13110</v>
      </c>
      <c r="T204" s="201" t="str">
        <v>LA CISTERNA</v>
      </c>
      <c r="U204" s="201" t="str">
        <v>SI</v>
      </c>
      <c r="V204" s="201">
        <v>14861</v>
      </c>
      <c r="W204" s="201">
        <v>1</v>
      </c>
      <c r="X204" s="201" t="str">
        <f t="shared" si="12"/>
        <v>La Cisterna</v>
      </c>
    </row>
    <row r="205" spans="1:24" ht="3" customHeight="1" x14ac:dyDescent="0.25">
      <c r="A205" s="327">
        <f t="shared" si="10"/>
        <v>9</v>
      </c>
      <c r="B205" s="328">
        <f>+'CALC MEC ESTAB Y ESTIM M FINAL'!B209</f>
        <v>9208</v>
      </c>
      <c r="C205" s="328" t="str">
        <f>+'CALC MEC ESTAB Y ESTIM M FINAL'!C209</f>
        <v>PURÉN</v>
      </c>
      <c r="D205" s="329">
        <f>+'CALC MEC ESTAB Y ESTIM M FINAL'!F209</f>
        <v>1.9433562439000001E-3</v>
      </c>
      <c r="E205" s="330">
        <f>+'CALC MEC ESTAB Y ESTIM M FINAL'!V209</f>
        <v>0</v>
      </c>
      <c r="F205" s="214"/>
      <c r="J205" s="201">
        <f>+COEF_FCM!A211</f>
        <v>9208</v>
      </c>
      <c r="K205" s="201">
        <f>+COEF_FCM!B211</f>
        <v>9102</v>
      </c>
      <c r="L205" s="201" t="str">
        <f>+COEF_FCM!C211</f>
        <v>PURÉN</v>
      </c>
      <c r="M205" s="201" t="str">
        <f>+COEF_FCM!P211</f>
        <v>SI</v>
      </c>
      <c r="N205" s="201">
        <f>+COEF_FCM!AA211</f>
        <v>11802</v>
      </c>
      <c r="O205" s="201">
        <f t="shared" si="11"/>
        <v>1</v>
      </c>
      <c r="R205" s="201">
        <v>13111</v>
      </c>
      <c r="S205" s="201">
        <v>13131</v>
      </c>
      <c r="T205" s="201" t="str">
        <v>LA GRANJA</v>
      </c>
      <c r="U205" s="201" t="str">
        <v>SI</v>
      </c>
      <c r="V205" s="201">
        <v>13071</v>
      </c>
      <c r="W205" s="201">
        <v>1</v>
      </c>
      <c r="X205" s="201" t="str">
        <f t="shared" si="12"/>
        <v>La Granja</v>
      </c>
    </row>
    <row r="206" spans="1:24" ht="3" customHeight="1" x14ac:dyDescent="0.25">
      <c r="A206" s="327">
        <f t="shared" si="10"/>
        <v>9</v>
      </c>
      <c r="B206" s="328">
        <f>+'CALC MEC ESTAB Y ESTIM M FINAL'!B210</f>
        <v>9209</v>
      </c>
      <c r="C206" s="328" t="str">
        <f>+'CALC MEC ESTAB Y ESTIM M FINAL'!C210</f>
        <v>RENAICO</v>
      </c>
      <c r="D206" s="329">
        <f>+'CALC MEC ESTAB Y ESTIM M FINAL'!F210</f>
        <v>1.4019406018999999E-3</v>
      </c>
      <c r="E206" s="330">
        <f>+'CALC MEC ESTAB Y ESTIM M FINAL'!V210</f>
        <v>0</v>
      </c>
      <c r="F206" s="214"/>
      <c r="J206" s="201">
        <f>+COEF_FCM!A212</f>
        <v>9209</v>
      </c>
      <c r="K206" s="201">
        <f>+COEF_FCM!B212</f>
        <v>9104</v>
      </c>
      <c r="L206" s="201" t="str">
        <f>+COEF_FCM!C212</f>
        <v>RENAICO</v>
      </c>
      <c r="M206" s="201" t="str">
        <f>+COEF_FCM!P212</f>
        <v>SI</v>
      </c>
      <c r="N206" s="201">
        <f>+COEF_FCM!AA212</f>
        <v>7723</v>
      </c>
      <c r="O206" s="201">
        <f t="shared" si="11"/>
        <v>1</v>
      </c>
      <c r="R206" s="201">
        <v>13112</v>
      </c>
      <c r="S206" s="201">
        <v>13154</v>
      </c>
      <c r="T206" s="201" t="str">
        <v>LA PINTANA</v>
      </c>
      <c r="U206" s="201" t="str">
        <v>SI</v>
      </c>
      <c r="V206" s="201">
        <v>16930</v>
      </c>
      <c r="W206" s="201">
        <v>1</v>
      </c>
      <c r="X206" s="201" t="str">
        <f t="shared" si="12"/>
        <v>La Pintana</v>
      </c>
    </row>
    <row r="207" spans="1:24" ht="3" customHeight="1" x14ac:dyDescent="0.25">
      <c r="A207" s="327">
        <f t="shared" si="10"/>
        <v>9</v>
      </c>
      <c r="B207" s="328">
        <f>+'CALC MEC ESTAB Y ESTIM M FINAL'!B211</f>
        <v>9210</v>
      </c>
      <c r="C207" s="328" t="str">
        <f>+'CALC MEC ESTAB Y ESTIM M FINAL'!C211</f>
        <v>TRAIGUÉN</v>
      </c>
      <c r="D207" s="329">
        <f>+'CALC MEC ESTAB Y ESTIM M FINAL'!F211</f>
        <v>2.2078584959999998E-3</v>
      </c>
      <c r="E207" s="330">
        <f>+'CALC MEC ESTAB Y ESTIM M FINAL'!V211</f>
        <v>0</v>
      </c>
      <c r="F207" s="214"/>
      <c r="J207" s="201">
        <f>+COEF_FCM!A213</f>
        <v>9210</v>
      </c>
      <c r="K207" s="201">
        <f>+COEF_FCM!B213</f>
        <v>9107</v>
      </c>
      <c r="L207" s="201" t="str">
        <f>+COEF_FCM!C213</f>
        <v>TRAIGUÉN</v>
      </c>
      <c r="M207" s="201" t="str">
        <f>+COEF_FCM!P213</f>
        <v>SI</v>
      </c>
      <c r="N207" s="201">
        <f>+COEF_FCM!AA213</f>
        <v>16607</v>
      </c>
      <c r="O207" s="201">
        <f t="shared" si="11"/>
        <v>1</v>
      </c>
      <c r="R207" s="201">
        <v>13116</v>
      </c>
      <c r="S207" s="201">
        <v>13164</v>
      </c>
      <c r="T207" s="201" t="str">
        <v>LO ESPEJO</v>
      </c>
      <c r="U207" s="201" t="str">
        <v>SI</v>
      </c>
      <c r="V207" s="201">
        <v>9885</v>
      </c>
      <c r="W207" s="201">
        <v>1</v>
      </c>
      <c r="X207" s="201" t="str">
        <f t="shared" si="12"/>
        <v>Lo Espejo</v>
      </c>
    </row>
    <row r="208" spans="1:24" ht="3" customHeight="1" x14ac:dyDescent="0.25">
      <c r="A208" s="327">
        <f t="shared" si="10"/>
        <v>9</v>
      </c>
      <c r="B208" s="328">
        <f>+'CALC MEC ESTAB Y ESTIM M FINAL'!B212</f>
        <v>9211</v>
      </c>
      <c r="C208" s="328" t="str">
        <f>+'CALC MEC ESTAB Y ESTIM M FINAL'!C212</f>
        <v>VICTORIA</v>
      </c>
      <c r="D208" s="329">
        <f>+'CALC MEC ESTAB Y ESTIM M FINAL'!F212</f>
        <v>3.5992676399999998E-3</v>
      </c>
      <c r="E208" s="330">
        <f>+'CALC MEC ESTAB Y ESTIM M FINAL'!V212</f>
        <v>0</v>
      </c>
      <c r="F208" s="214"/>
      <c r="J208" s="201">
        <f>+COEF_FCM!A214</f>
        <v>9211</v>
      </c>
      <c r="K208" s="201">
        <f>+COEF_FCM!B214</f>
        <v>9109</v>
      </c>
      <c r="L208" s="201" t="str">
        <f>+COEF_FCM!C214</f>
        <v>VICTORIA</v>
      </c>
      <c r="M208" s="201" t="str">
        <f>+COEF_FCM!P214</f>
        <v>SI</v>
      </c>
      <c r="N208" s="201">
        <f>+COEF_FCM!AA214</f>
        <v>38630</v>
      </c>
      <c r="O208" s="201">
        <f t="shared" si="11"/>
        <v>1</v>
      </c>
      <c r="R208" s="201">
        <v>13117</v>
      </c>
      <c r="S208" s="201">
        <v>13155</v>
      </c>
      <c r="T208" s="201" t="str">
        <v>LO PRADO</v>
      </c>
      <c r="U208" s="201" t="str">
        <v>SI</v>
      </c>
      <c r="V208" s="201">
        <v>9329</v>
      </c>
      <c r="W208" s="201">
        <v>1</v>
      </c>
      <c r="X208" s="201" t="str">
        <f t="shared" si="12"/>
        <v>Lo Prado</v>
      </c>
    </row>
    <row r="209" spans="1:24" ht="3" customHeight="1" x14ac:dyDescent="0.25">
      <c r="A209" s="327">
        <f t="shared" si="10"/>
        <v>10</v>
      </c>
      <c r="B209" s="328">
        <f>+'CALC MEC ESTAB Y ESTIM M FINAL'!B213</f>
        <v>10101</v>
      </c>
      <c r="C209" s="328" t="str">
        <f>+'CALC MEC ESTAB Y ESTIM M FINAL'!C213</f>
        <v>PUERTO MONTT</v>
      </c>
      <c r="D209" s="329">
        <f>+'CALC MEC ESTAB Y ESTIM M FINAL'!F213</f>
        <v>9.2874398216000013E-3</v>
      </c>
      <c r="E209" s="330">
        <f>+'CALC MEC ESTAB Y ESTIM M FINAL'!V213</f>
        <v>43068</v>
      </c>
      <c r="F209" s="214"/>
      <c r="J209" s="201">
        <f>+COEF_FCM!A215</f>
        <v>10101</v>
      </c>
      <c r="K209" s="201">
        <f>+COEF_FCM!B215</f>
        <v>10301</v>
      </c>
      <c r="L209" s="201" t="str">
        <f>+COEF_FCM!C215</f>
        <v>PUERTO MONTT</v>
      </c>
      <c r="M209" s="201" t="str">
        <f>+COEF_FCM!P215</f>
        <v>SI</v>
      </c>
      <c r="N209" s="201">
        <f>+COEF_FCM!AA215</f>
        <v>212171</v>
      </c>
      <c r="O209" s="201">
        <f t="shared" si="11"/>
        <v>1</v>
      </c>
      <c r="R209" s="201">
        <v>13119</v>
      </c>
      <c r="S209" s="201">
        <v>13109</v>
      </c>
      <c r="T209" s="201" t="str">
        <v>MAIPÚ</v>
      </c>
      <c r="U209" s="201" t="str">
        <v>SI</v>
      </c>
      <c r="V209" s="201">
        <v>76795</v>
      </c>
      <c r="W209" s="201">
        <v>1</v>
      </c>
      <c r="X209" s="201" t="str">
        <f t="shared" si="12"/>
        <v>Maipú</v>
      </c>
    </row>
    <row r="210" spans="1:24" ht="3" customHeight="1" x14ac:dyDescent="0.25">
      <c r="A210" s="327">
        <f t="shared" si="10"/>
        <v>10</v>
      </c>
      <c r="B210" s="328">
        <f>+'CALC MEC ESTAB Y ESTIM M FINAL'!B214</f>
        <v>10102</v>
      </c>
      <c r="C210" s="328" t="str">
        <f>+'CALC MEC ESTAB Y ESTIM M FINAL'!C214</f>
        <v>CALBUCO</v>
      </c>
      <c r="D210" s="329">
        <f>+'CALC MEC ESTAB Y ESTIM M FINAL'!F214</f>
        <v>2.6456999753000001E-3</v>
      </c>
      <c r="E210" s="330">
        <f>+'CALC MEC ESTAB Y ESTIM M FINAL'!V214</f>
        <v>0</v>
      </c>
      <c r="F210" s="214"/>
      <c r="J210" s="201">
        <f>+COEF_FCM!A216</f>
        <v>10102</v>
      </c>
      <c r="K210" s="201">
        <f>+COEF_FCM!B216</f>
        <v>10309</v>
      </c>
      <c r="L210" s="201" t="str">
        <f>+COEF_FCM!C216</f>
        <v>CALBUCO</v>
      </c>
      <c r="M210" s="201" t="str">
        <f>+COEF_FCM!P216</f>
        <v>SI</v>
      </c>
      <c r="N210" s="201">
        <f>+COEF_FCM!AA216</f>
        <v>29036</v>
      </c>
      <c r="O210" s="201">
        <f t="shared" si="11"/>
        <v>1</v>
      </c>
      <c r="R210" s="201">
        <v>13121</v>
      </c>
      <c r="S210" s="201">
        <v>13162</v>
      </c>
      <c r="T210" s="201" t="str">
        <v>PEDRO AGUIRRE CERDA</v>
      </c>
      <c r="U210" s="201" t="str">
        <v>SI</v>
      </c>
      <c r="V210" s="201">
        <v>18881</v>
      </c>
      <c r="W210" s="201">
        <v>1</v>
      </c>
      <c r="X210" s="201" t="str">
        <f t="shared" si="12"/>
        <v>Pedro Aguirre Cerda</v>
      </c>
    </row>
    <row r="211" spans="1:24" ht="3" customHeight="1" x14ac:dyDescent="0.25">
      <c r="A211" s="327">
        <f t="shared" si="10"/>
        <v>10</v>
      </c>
      <c r="B211" s="328">
        <f>+'CALC MEC ESTAB Y ESTIM M FINAL'!B215</f>
        <v>10103</v>
      </c>
      <c r="C211" s="328" t="str">
        <f>+'CALC MEC ESTAB Y ESTIM M FINAL'!C215</f>
        <v>COCHAMÓ</v>
      </c>
      <c r="D211" s="329">
        <f>+'CALC MEC ESTAB Y ESTIM M FINAL'!F215</f>
        <v>8.4630116429999997E-4</v>
      </c>
      <c r="E211" s="330">
        <f>+'CALC MEC ESTAB Y ESTIM M FINAL'!V215</f>
        <v>0</v>
      </c>
      <c r="F211" s="214"/>
      <c r="J211" s="201">
        <f>+COEF_FCM!A217</f>
        <v>10103</v>
      </c>
      <c r="K211" s="201">
        <f>+COEF_FCM!B217</f>
        <v>10302</v>
      </c>
      <c r="L211" s="201" t="str">
        <f>+COEF_FCM!C217</f>
        <v>COCHAMÓ</v>
      </c>
      <c r="M211" s="201" t="str">
        <f>+COEF_FCM!P217</f>
        <v>NO</v>
      </c>
      <c r="N211" s="201">
        <f>+COEF_FCM!AA217</f>
        <v>0</v>
      </c>
      <c r="O211" s="201">
        <f t="shared" si="11"/>
        <v>0</v>
      </c>
      <c r="R211" s="201">
        <v>13124</v>
      </c>
      <c r="S211" s="201">
        <v>13111</v>
      </c>
      <c r="T211" s="201" t="str">
        <v>PUDAHUEL</v>
      </c>
      <c r="U211" s="201" t="str">
        <v>SI</v>
      </c>
      <c r="V211" s="201">
        <v>83210</v>
      </c>
      <c r="W211" s="201">
        <v>1</v>
      </c>
      <c r="X211" s="201" t="str">
        <f t="shared" si="12"/>
        <v>Pudahuel</v>
      </c>
    </row>
    <row r="212" spans="1:24" ht="3" customHeight="1" x14ac:dyDescent="0.25">
      <c r="A212" s="327">
        <f t="shared" si="10"/>
        <v>10</v>
      </c>
      <c r="B212" s="328">
        <f>+'CALC MEC ESTAB Y ESTIM M FINAL'!B216</f>
        <v>10104</v>
      </c>
      <c r="C212" s="328" t="str">
        <f>+'CALC MEC ESTAB Y ESTIM M FINAL'!C216</f>
        <v>FRESIA</v>
      </c>
      <c r="D212" s="329">
        <f>+'CALC MEC ESTAB Y ESTIM M FINAL'!F216</f>
        <v>1.2241028465E-3</v>
      </c>
      <c r="E212" s="330">
        <f>+'CALC MEC ESTAB Y ESTIM M FINAL'!V216</f>
        <v>0</v>
      </c>
      <c r="F212" s="214"/>
      <c r="J212" s="201">
        <f>+COEF_FCM!A218</f>
        <v>10104</v>
      </c>
      <c r="K212" s="201">
        <f>+COEF_FCM!B218</f>
        <v>10304</v>
      </c>
      <c r="L212" s="201" t="str">
        <f>+COEF_FCM!C218</f>
        <v>FRESIA</v>
      </c>
      <c r="M212" s="201" t="str">
        <f>+COEF_FCM!P218</f>
        <v>NO</v>
      </c>
      <c r="N212" s="201">
        <f>+COEF_FCM!AA218</f>
        <v>0</v>
      </c>
      <c r="O212" s="201">
        <f t="shared" si="11"/>
        <v>0</v>
      </c>
      <c r="R212" s="201">
        <v>13125</v>
      </c>
      <c r="S212" s="201">
        <v>13114</v>
      </c>
      <c r="T212" s="201" t="str">
        <v>QUILICURA</v>
      </c>
      <c r="U212" s="201" t="str">
        <v>SI</v>
      </c>
      <c r="V212" s="201">
        <v>28756</v>
      </c>
      <c r="W212" s="201">
        <v>1</v>
      </c>
      <c r="X212" s="201" t="str">
        <f t="shared" si="12"/>
        <v>Quilicura</v>
      </c>
    </row>
    <row r="213" spans="1:24" ht="3" customHeight="1" x14ac:dyDescent="0.25">
      <c r="A213" s="327">
        <f t="shared" si="10"/>
        <v>10</v>
      </c>
      <c r="B213" s="328">
        <f>+'CALC MEC ESTAB Y ESTIM M FINAL'!B217</f>
        <v>10105</v>
      </c>
      <c r="C213" s="328" t="str">
        <f>+'CALC MEC ESTAB Y ESTIM M FINAL'!C217</f>
        <v>FRUTILLAR</v>
      </c>
      <c r="D213" s="329">
        <f>+'CALC MEC ESTAB Y ESTIM M FINAL'!F217</f>
        <v>1.0393933335999998E-3</v>
      </c>
      <c r="E213" s="330">
        <f>+'CALC MEC ESTAB Y ESTIM M FINAL'!V217</f>
        <v>0</v>
      </c>
      <c r="F213" s="214"/>
      <c r="J213" s="201">
        <f>+COEF_FCM!A219</f>
        <v>10105</v>
      </c>
      <c r="K213" s="201">
        <f>+COEF_FCM!B219</f>
        <v>10305</v>
      </c>
      <c r="L213" s="201" t="str">
        <f>+COEF_FCM!C219</f>
        <v>FRUTILLAR</v>
      </c>
      <c r="M213" s="201" t="str">
        <f>+COEF_FCM!P219</f>
        <v>NO</v>
      </c>
      <c r="N213" s="201">
        <f>+COEF_FCM!AA219</f>
        <v>0</v>
      </c>
      <c r="O213" s="201">
        <f t="shared" si="11"/>
        <v>0</v>
      </c>
      <c r="R213" s="201">
        <v>13126</v>
      </c>
      <c r="S213" s="201">
        <v>13107</v>
      </c>
      <c r="T213" s="201" t="str">
        <v>QUINTA NORMAL</v>
      </c>
      <c r="U213" s="201" t="str">
        <v>SI</v>
      </c>
      <c r="V213" s="201">
        <v>20505</v>
      </c>
      <c r="W213" s="201">
        <v>1</v>
      </c>
      <c r="X213" s="201" t="str">
        <f t="shared" si="12"/>
        <v>Quinta Normal</v>
      </c>
    </row>
    <row r="214" spans="1:24" ht="3" customHeight="1" x14ac:dyDescent="0.25">
      <c r="A214" s="327">
        <f t="shared" si="10"/>
        <v>10</v>
      </c>
      <c r="B214" s="328">
        <f>+'CALC MEC ESTAB Y ESTIM M FINAL'!B218</f>
        <v>10106</v>
      </c>
      <c r="C214" s="328" t="str">
        <f>+'CALC MEC ESTAB Y ESTIM M FINAL'!C218</f>
        <v>LOS MUERMOS</v>
      </c>
      <c r="D214" s="329">
        <f>+'CALC MEC ESTAB Y ESTIM M FINAL'!F218</f>
        <v>1.3342067159E-3</v>
      </c>
      <c r="E214" s="330">
        <f>+'CALC MEC ESTAB Y ESTIM M FINAL'!V218</f>
        <v>132434</v>
      </c>
      <c r="F214" s="214"/>
      <c r="J214" s="201">
        <f>+COEF_FCM!A220</f>
        <v>10106</v>
      </c>
      <c r="K214" s="201">
        <f>+COEF_FCM!B220</f>
        <v>10308</v>
      </c>
      <c r="L214" s="201" t="str">
        <f>+COEF_FCM!C220</f>
        <v>LOS MUERMOS</v>
      </c>
      <c r="M214" s="201" t="str">
        <f>+COEF_FCM!P220</f>
        <v>NO</v>
      </c>
      <c r="N214" s="201">
        <f>+COEF_FCM!AA220</f>
        <v>0</v>
      </c>
      <c r="O214" s="201">
        <f t="shared" si="11"/>
        <v>0</v>
      </c>
      <c r="R214" s="201">
        <v>13127</v>
      </c>
      <c r="S214" s="201">
        <v>13159</v>
      </c>
      <c r="T214" s="201" t="str">
        <v>RECOLETA</v>
      </c>
      <c r="U214" s="201" t="str">
        <v>SI</v>
      </c>
      <c r="V214" s="201">
        <v>23911</v>
      </c>
      <c r="W214" s="201">
        <v>1</v>
      </c>
      <c r="X214" s="201" t="str">
        <f t="shared" si="12"/>
        <v>Recoleta</v>
      </c>
    </row>
    <row r="215" spans="1:24" ht="3" customHeight="1" x14ac:dyDescent="0.25">
      <c r="A215" s="327">
        <f t="shared" si="10"/>
        <v>10</v>
      </c>
      <c r="B215" s="328">
        <f>+'CALC MEC ESTAB Y ESTIM M FINAL'!B219</f>
        <v>10107</v>
      </c>
      <c r="C215" s="328" t="str">
        <f>+'CALC MEC ESTAB Y ESTIM M FINAL'!C219</f>
        <v>LLANQUIHUE</v>
      </c>
      <c r="D215" s="329">
        <f>+'CALC MEC ESTAB Y ESTIM M FINAL'!F219</f>
        <v>1.03108395E-3</v>
      </c>
      <c r="E215" s="330">
        <f>+'CALC MEC ESTAB Y ESTIM M FINAL'!V219</f>
        <v>0</v>
      </c>
      <c r="F215" s="214"/>
      <c r="J215" s="201">
        <f>+COEF_FCM!A221</f>
        <v>10107</v>
      </c>
      <c r="K215" s="201">
        <f>+COEF_FCM!B221</f>
        <v>10306</v>
      </c>
      <c r="L215" s="201" t="str">
        <f>+COEF_FCM!C221</f>
        <v>LLANQUIHUE</v>
      </c>
      <c r="M215" s="201" t="str">
        <f>+COEF_FCM!P221</f>
        <v>NO</v>
      </c>
      <c r="N215" s="201">
        <f>+COEF_FCM!AA221</f>
        <v>0</v>
      </c>
      <c r="O215" s="201">
        <f t="shared" si="11"/>
        <v>0</v>
      </c>
      <c r="R215" s="201">
        <v>13128</v>
      </c>
      <c r="S215" s="201">
        <v>13113</v>
      </c>
      <c r="T215" s="201" t="str">
        <v>RENCA</v>
      </c>
      <c r="U215" s="201" t="str">
        <v>SI</v>
      </c>
      <c r="V215" s="201">
        <v>15472</v>
      </c>
      <c r="W215" s="201">
        <v>1</v>
      </c>
      <c r="X215" s="201" t="str">
        <f t="shared" si="12"/>
        <v>Renca</v>
      </c>
    </row>
    <row r="216" spans="1:24" ht="3" customHeight="1" x14ac:dyDescent="0.25">
      <c r="A216" s="327">
        <f t="shared" si="10"/>
        <v>10</v>
      </c>
      <c r="B216" s="328">
        <f>+'CALC MEC ESTAB Y ESTIM M FINAL'!B220</f>
        <v>10108</v>
      </c>
      <c r="C216" s="328" t="str">
        <f>+'CALC MEC ESTAB Y ESTIM M FINAL'!C220</f>
        <v>MAULLÍN</v>
      </c>
      <c r="D216" s="329">
        <f>+'CALC MEC ESTAB Y ESTIM M FINAL'!F220</f>
        <v>2.0462577328999999E-3</v>
      </c>
      <c r="E216" s="330">
        <f>+'CALC MEC ESTAB Y ESTIM M FINAL'!V220</f>
        <v>0</v>
      </c>
      <c r="F216" s="214"/>
      <c r="J216" s="201">
        <f>+COEF_FCM!A222</f>
        <v>10108</v>
      </c>
      <c r="K216" s="201">
        <f>+COEF_FCM!B222</f>
        <v>10307</v>
      </c>
      <c r="L216" s="201" t="str">
        <f>+COEF_FCM!C222</f>
        <v>MAULLÍN</v>
      </c>
      <c r="M216" s="201" t="str">
        <f>+COEF_FCM!P222</f>
        <v>SI</v>
      </c>
      <c r="N216" s="201">
        <f>+COEF_FCM!AA222</f>
        <v>23917</v>
      </c>
      <c r="O216" s="201">
        <f t="shared" si="11"/>
        <v>1</v>
      </c>
      <c r="R216" s="201">
        <v>13129</v>
      </c>
      <c r="S216" s="201">
        <v>13163</v>
      </c>
      <c r="T216" s="201" t="str">
        <v>SAN JOAQUÍN</v>
      </c>
      <c r="U216" s="201" t="str">
        <v>SI</v>
      </c>
      <c r="V216" s="201">
        <v>16281</v>
      </c>
      <c r="W216" s="201">
        <v>1</v>
      </c>
      <c r="X216" s="201" t="str">
        <f t="shared" si="12"/>
        <v>San Joaquín</v>
      </c>
    </row>
    <row r="217" spans="1:24" ht="3" customHeight="1" x14ac:dyDescent="0.25">
      <c r="A217" s="327">
        <f t="shared" si="10"/>
        <v>10</v>
      </c>
      <c r="B217" s="328">
        <f>+'CALC MEC ESTAB Y ESTIM M FINAL'!B221</f>
        <v>10109</v>
      </c>
      <c r="C217" s="328" t="str">
        <f>+'CALC MEC ESTAB Y ESTIM M FINAL'!C221</f>
        <v>PUERTO VARAS</v>
      </c>
      <c r="D217" s="329">
        <f>+'CALC MEC ESTAB Y ESTIM M FINAL'!F221</f>
        <v>1.0382555286E-3</v>
      </c>
      <c r="E217" s="330">
        <f>+'CALC MEC ESTAB Y ESTIM M FINAL'!V221</f>
        <v>0</v>
      </c>
      <c r="F217" s="214"/>
      <c r="J217" s="201">
        <f>+COEF_FCM!A223</f>
        <v>10109</v>
      </c>
      <c r="K217" s="201">
        <f>+COEF_FCM!B223</f>
        <v>10303</v>
      </c>
      <c r="L217" s="201" t="str">
        <f>+COEF_FCM!C223</f>
        <v>PUERTO VARAS</v>
      </c>
      <c r="M217" s="201" t="str">
        <f>+COEF_FCM!P223</f>
        <v>NO</v>
      </c>
      <c r="N217" s="201">
        <f>+COEF_FCM!AA223</f>
        <v>0</v>
      </c>
      <c r="O217" s="201">
        <f t="shared" si="11"/>
        <v>0</v>
      </c>
      <c r="R217" s="201">
        <v>13131</v>
      </c>
      <c r="S217" s="201">
        <v>13153</v>
      </c>
      <c r="T217" s="201" t="str">
        <v>SAN RAMÓN</v>
      </c>
      <c r="U217" s="201" t="str">
        <v>SI</v>
      </c>
      <c r="V217" s="201">
        <v>11997</v>
      </c>
      <c r="W217" s="201">
        <v>1</v>
      </c>
      <c r="X217" s="201" t="str">
        <f t="shared" si="12"/>
        <v>San Ramón</v>
      </c>
    </row>
    <row r="218" spans="1:24" ht="3" customHeight="1" x14ac:dyDescent="0.25">
      <c r="A218" s="327">
        <f t="shared" si="10"/>
        <v>10</v>
      </c>
      <c r="B218" s="328">
        <f>+'CALC MEC ESTAB Y ESTIM M FINAL'!B222</f>
        <v>10201</v>
      </c>
      <c r="C218" s="328" t="str">
        <f>+'CALC MEC ESTAB Y ESTIM M FINAL'!C222</f>
        <v>CASTRO</v>
      </c>
      <c r="D218" s="329">
        <f>+'CALC MEC ESTAB Y ESTIM M FINAL'!F222</f>
        <v>3.9677600097000002E-3</v>
      </c>
      <c r="E218" s="330">
        <f>+'CALC MEC ESTAB Y ESTIM M FINAL'!V222</f>
        <v>4201155</v>
      </c>
      <c r="F218" s="214"/>
      <c r="J218" s="201">
        <f>+COEF_FCM!A224</f>
        <v>10201</v>
      </c>
      <c r="K218" s="201">
        <f>+COEF_FCM!B224</f>
        <v>10401</v>
      </c>
      <c r="L218" s="201" t="str">
        <f>+COEF_FCM!C224</f>
        <v>CASTRO</v>
      </c>
      <c r="M218" s="201" t="str">
        <f>+COEF_FCM!P224</f>
        <v>SI</v>
      </c>
      <c r="N218" s="201">
        <f>+COEF_FCM!AA224</f>
        <v>67168</v>
      </c>
      <c r="O218" s="201">
        <f t="shared" si="11"/>
        <v>1</v>
      </c>
      <c r="R218" s="201">
        <v>13201</v>
      </c>
      <c r="S218" s="201">
        <v>13301</v>
      </c>
      <c r="T218" s="201" t="str">
        <v>PUENTE ALTO</v>
      </c>
      <c r="U218" s="201" t="str">
        <v>SI</v>
      </c>
      <c r="V218" s="201">
        <v>70102</v>
      </c>
      <c r="W218" s="201">
        <v>1</v>
      </c>
      <c r="X218" s="201" t="str">
        <f t="shared" si="12"/>
        <v>Puente Alto</v>
      </c>
    </row>
    <row r="219" spans="1:24" ht="3" customHeight="1" x14ac:dyDescent="0.25">
      <c r="A219" s="327">
        <f t="shared" si="10"/>
        <v>10</v>
      </c>
      <c r="B219" s="328">
        <f>+'CALC MEC ESTAB Y ESTIM M FINAL'!B223</f>
        <v>10202</v>
      </c>
      <c r="C219" s="328" t="str">
        <f>+'CALC MEC ESTAB Y ESTIM M FINAL'!C223</f>
        <v>ANCUD</v>
      </c>
      <c r="D219" s="329">
        <f>+'CALC MEC ESTAB Y ESTIM M FINAL'!F223</f>
        <v>3.8136460450999997E-3</v>
      </c>
      <c r="E219" s="330">
        <f>+'CALC MEC ESTAB Y ESTIM M FINAL'!V223</f>
        <v>0</v>
      </c>
      <c r="F219" s="214"/>
      <c r="J219" s="201">
        <f>+COEF_FCM!A225</f>
        <v>10202</v>
      </c>
      <c r="K219" s="201">
        <f>+COEF_FCM!B225</f>
        <v>10406</v>
      </c>
      <c r="L219" s="201" t="str">
        <f>+COEF_FCM!C225</f>
        <v>ANCUD</v>
      </c>
      <c r="M219" s="201" t="str">
        <f>+COEF_FCM!P225</f>
        <v>SI</v>
      </c>
      <c r="N219" s="201">
        <f>+COEF_FCM!AA225</f>
        <v>49974</v>
      </c>
      <c r="O219" s="201">
        <f t="shared" si="11"/>
        <v>1</v>
      </c>
      <c r="R219" s="201">
        <v>13401</v>
      </c>
      <c r="S219" s="201">
        <v>13401</v>
      </c>
      <c r="T219" s="201" t="str">
        <v>SAN BERNARDO</v>
      </c>
      <c r="U219" s="201" t="str">
        <v>SI</v>
      </c>
      <c r="V219" s="201">
        <v>49039</v>
      </c>
      <c r="W219" s="201">
        <v>1</v>
      </c>
      <c r="X219" s="201" t="str">
        <f t="shared" si="12"/>
        <v>San Bernardo</v>
      </c>
    </row>
    <row r="220" spans="1:24" ht="3" customHeight="1" x14ac:dyDescent="0.25">
      <c r="A220" s="327">
        <f t="shared" si="10"/>
        <v>10</v>
      </c>
      <c r="B220" s="328">
        <f>+'CALC MEC ESTAB Y ESTIM M FINAL'!B224</f>
        <v>10203</v>
      </c>
      <c r="C220" s="328" t="str">
        <f>+'CALC MEC ESTAB Y ESTIM M FINAL'!C224</f>
        <v>CHONCHI</v>
      </c>
      <c r="D220" s="329">
        <f>+'CALC MEC ESTAB Y ESTIM M FINAL'!F224</f>
        <v>1.7443317520999999E-3</v>
      </c>
      <c r="E220" s="330">
        <f>+'CALC MEC ESTAB Y ESTIM M FINAL'!V224</f>
        <v>0</v>
      </c>
      <c r="F220" s="214"/>
      <c r="J220" s="201">
        <f>+COEF_FCM!A226</f>
        <v>10203</v>
      </c>
      <c r="K220" s="201">
        <f>+COEF_FCM!B226</f>
        <v>10402</v>
      </c>
      <c r="L220" s="201" t="str">
        <f>+COEF_FCM!C226</f>
        <v>CHONCHI</v>
      </c>
      <c r="M220" s="201" t="str">
        <f>+COEF_FCM!P226</f>
        <v>SI</v>
      </c>
      <c r="N220" s="201">
        <f>+COEF_FCM!AA226</f>
        <v>21790</v>
      </c>
      <c r="O220" s="201">
        <f t="shared" si="11"/>
        <v>1</v>
      </c>
      <c r="R220" s="201">
        <v>13501</v>
      </c>
      <c r="S220" s="201">
        <v>13601</v>
      </c>
      <c r="T220" s="201" t="str">
        <v>MELIPILLA</v>
      </c>
      <c r="U220" s="201" t="str">
        <v>SI</v>
      </c>
      <c r="V220" s="201">
        <v>132975</v>
      </c>
      <c r="W220" s="201">
        <v>1</v>
      </c>
      <c r="X220" s="201" t="str">
        <f t="shared" si="12"/>
        <v>Melipilla</v>
      </c>
    </row>
    <row r="221" spans="1:24" ht="3" customHeight="1" x14ac:dyDescent="0.25">
      <c r="A221" s="327">
        <f t="shared" si="10"/>
        <v>10</v>
      </c>
      <c r="B221" s="328">
        <f>+'CALC MEC ESTAB Y ESTIM M FINAL'!B225</f>
        <v>10204</v>
      </c>
      <c r="C221" s="328" t="str">
        <f>+'CALC MEC ESTAB Y ESTIM M FINAL'!C225</f>
        <v>CURACO DE VÉLEZ</v>
      </c>
      <c r="D221" s="329">
        <f>+'CALC MEC ESTAB Y ESTIM M FINAL'!F225</f>
        <v>1.1108845379000001E-3</v>
      </c>
      <c r="E221" s="330">
        <f>+'CALC MEC ESTAB Y ESTIM M FINAL'!V225</f>
        <v>0</v>
      </c>
      <c r="F221" s="214"/>
      <c r="J221" s="201">
        <f>+COEF_FCM!A227</f>
        <v>10204</v>
      </c>
      <c r="K221" s="201">
        <f>+COEF_FCM!B227</f>
        <v>10410</v>
      </c>
      <c r="L221" s="201" t="str">
        <f>+COEF_FCM!C227</f>
        <v>CURACO DE VÉLEZ</v>
      </c>
      <c r="M221" s="201" t="str">
        <f>+COEF_FCM!P227</f>
        <v>SI</v>
      </c>
      <c r="N221" s="201">
        <f>+COEF_FCM!AA227</f>
        <v>3375</v>
      </c>
      <c r="O221" s="201">
        <f t="shared" si="11"/>
        <v>1</v>
      </c>
      <c r="R221" s="201">
        <v>13601</v>
      </c>
      <c r="S221" s="201">
        <v>13501</v>
      </c>
      <c r="T221" s="201" t="str">
        <v>TALAGANTE</v>
      </c>
      <c r="U221" s="201" t="str">
        <v>SI</v>
      </c>
      <c r="V221" s="201">
        <v>13119</v>
      </c>
      <c r="W221" s="201">
        <v>1</v>
      </c>
      <c r="X221" s="201" t="str">
        <f t="shared" si="12"/>
        <v>Talagante</v>
      </c>
    </row>
    <row r="222" spans="1:24" ht="3" customHeight="1" x14ac:dyDescent="0.25">
      <c r="A222" s="327">
        <f t="shared" si="10"/>
        <v>10</v>
      </c>
      <c r="B222" s="328">
        <f>+'CALC MEC ESTAB Y ESTIM M FINAL'!B226</f>
        <v>10205</v>
      </c>
      <c r="C222" s="328" t="str">
        <f>+'CALC MEC ESTAB Y ESTIM M FINAL'!C226</f>
        <v>DALCAHUE</v>
      </c>
      <c r="D222" s="329">
        <f>+'CALC MEC ESTAB Y ESTIM M FINAL'!F226</f>
        <v>1.8581377129999999E-3</v>
      </c>
      <c r="E222" s="330">
        <f>+'CALC MEC ESTAB Y ESTIM M FINAL'!V226</f>
        <v>0</v>
      </c>
      <c r="F222" s="214"/>
      <c r="J222" s="201">
        <f>+COEF_FCM!A228</f>
        <v>10205</v>
      </c>
      <c r="K222" s="201">
        <f>+COEF_FCM!B228</f>
        <v>10408</v>
      </c>
      <c r="L222" s="201" t="str">
        <f>+COEF_FCM!C228</f>
        <v>DALCAHUE</v>
      </c>
      <c r="M222" s="201" t="str">
        <f>+COEF_FCM!P228</f>
        <v>SI</v>
      </c>
      <c r="N222" s="201">
        <f>+COEF_FCM!AA228</f>
        <v>17209</v>
      </c>
      <c r="O222" s="201">
        <f t="shared" si="11"/>
        <v>1</v>
      </c>
      <c r="R222" s="201">
        <v>13602</v>
      </c>
      <c r="S222" s="201">
        <v>13503</v>
      </c>
      <c r="T222" s="201" t="str">
        <v>EL MONTE</v>
      </c>
      <c r="U222" s="201" t="str">
        <v>SI</v>
      </c>
      <c r="V222" s="201">
        <v>18466</v>
      </c>
      <c r="W222" s="201">
        <v>1</v>
      </c>
      <c r="X222" s="201" t="str">
        <f t="shared" si="12"/>
        <v>El Monte</v>
      </c>
    </row>
    <row r="223" spans="1:24" ht="3" customHeight="1" x14ac:dyDescent="0.25">
      <c r="A223" s="327">
        <f t="shared" si="10"/>
        <v>10</v>
      </c>
      <c r="B223" s="328">
        <f>+'CALC MEC ESTAB Y ESTIM M FINAL'!B227</f>
        <v>10206</v>
      </c>
      <c r="C223" s="328" t="str">
        <f>+'CALC MEC ESTAB Y ESTIM M FINAL'!C227</f>
        <v>PUQUELDÓN</v>
      </c>
      <c r="D223" s="329">
        <f>+'CALC MEC ESTAB Y ESTIM M FINAL'!F227</f>
        <v>1.0900185097999998E-3</v>
      </c>
      <c r="E223" s="330">
        <f>+'CALC MEC ESTAB Y ESTIM M FINAL'!V227</f>
        <v>0</v>
      </c>
      <c r="F223" s="214"/>
      <c r="J223" s="201">
        <f>+COEF_FCM!A229</f>
        <v>10206</v>
      </c>
      <c r="K223" s="201">
        <f>+COEF_FCM!B229</f>
        <v>10405</v>
      </c>
      <c r="L223" s="201" t="str">
        <f>+COEF_FCM!C229</f>
        <v>PUQUELDÓN</v>
      </c>
      <c r="M223" s="201" t="str">
        <f>+COEF_FCM!P229</f>
        <v>SI</v>
      </c>
      <c r="N223" s="201">
        <f>+COEF_FCM!AA229</f>
        <v>4387</v>
      </c>
      <c r="O223" s="201">
        <f t="shared" si="11"/>
        <v>1</v>
      </c>
      <c r="R223" s="201">
        <v>13604</v>
      </c>
      <c r="S223" s="201">
        <v>13505</v>
      </c>
      <c r="T223" s="201" t="str">
        <v>PADRE HURTADO</v>
      </c>
      <c r="U223" s="201" t="str">
        <v>SI</v>
      </c>
      <c r="V223" s="201">
        <v>11738</v>
      </c>
      <c r="W223" s="201">
        <v>1</v>
      </c>
      <c r="X223" s="201" t="str">
        <f t="shared" si="12"/>
        <v>Padre Hurtado</v>
      </c>
    </row>
    <row r="224" spans="1:24" ht="3" customHeight="1" x14ac:dyDescent="0.25">
      <c r="A224" s="327">
        <f t="shared" si="10"/>
        <v>10</v>
      </c>
      <c r="B224" s="328">
        <f>+'CALC MEC ESTAB Y ESTIM M FINAL'!B228</f>
        <v>10207</v>
      </c>
      <c r="C224" s="328" t="str">
        <f>+'CALC MEC ESTAB Y ESTIM M FINAL'!C228</f>
        <v>QUEILÉN</v>
      </c>
      <c r="D224" s="329">
        <f>+'CALC MEC ESTAB Y ESTIM M FINAL'!F228</f>
        <v>1.3413757572000001E-3</v>
      </c>
      <c r="E224" s="330">
        <f>+'CALC MEC ESTAB Y ESTIM M FINAL'!V228</f>
        <v>0</v>
      </c>
      <c r="F224" s="214"/>
      <c r="J224" s="201">
        <f>+COEF_FCM!A230</f>
        <v>10207</v>
      </c>
      <c r="K224" s="201">
        <f>+COEF_FCM!B230</f>
        <v>10403</v>
      </c>
      <c r="L224" s="201" t="str">
        <f>+COEF_FCM!C230</f>
        <v>QUEILÉN</v>
      </c>
      <c r="M224" s="201" t="str">
        <f>+COEF_FCM!P230</f>
        <v>SI</v>
      </c>
      <c r="N224" s="201">
        <f>+COEF_FCM!AA230</f>
        <v>9375</v>
      </c>
      <c r="O224" s="201">
        <f t="shared" si="11"/>
        <v>1</v>
      </c>
      <c r="R224" s="201">
        <v>13605</v>
      </c>
      <c r="S224" s="201">
        <v>13504</v>
      </c>
      <c r="T224" s="201" t="str">
        <v>PEÑAFLOR</v>
      </c>
      <c r="U224" s="201" t="str">
        <v>SI</v>
      </c>
      <c r="V224" s="201">
        <v>11263</v>
      </c>
      <c r="W224" s="201">
        <v>1</v>
      </c>
      <c r="X224" s="201" t="str">
        <f t="shared" si="12"/>
        <v>Peñaflor</v>
      </c>
    </row>
    <row r="225" spans="1:24" ht="3" customHeight="1" x14ac:dyDescent="0.25">
      <c r="A225" s="327">
        <f t="shared" si="10"/>
        <v>10</v>
      </c>
      <c r="B225" s="328">
        <f>+'CALC MEC ESTAB Y ESTIM M FINAL'!B229</f>
        <v>10208</v>
      </c>
      <c r="C225" s="328" t="str">
        <f>+'CALC MEC ESTAB Y ESTIM M FINAL'!C229</f>
        <v>QUELLÓN</v>
      </c>
      <c r="D225" s="329">
        <f>+'CALC MEC ESTAB Y ESTIM M FINAL'!F229</f>
        <v>2.6517997271999997E-3</v>
      </c>
      <c r="E225" s="330">
        <f>+'CALC MEC ESTAB Y ESTIM M FINAL'!V229</f>
        <v>0</v>
      </c>
      <c r="F225" s="214"/>
      <c r="J225" s="201">
        <f>+COEF_FCM!A231</f>
        <v>10208</v>
      </c>
      <c r="K225" s="201">
        <f>+COEF_FCM!B231</f>
        <v>10404</v>
      </c>
      <c r="L225" s="201" t="str">
        <f>+COEF_FCM!C231</f>
        <v>QUELLÓN</v>
      </c>
      <c r="M225" s="201" t="str">
        <f>+COEF_FCM!P231</f>
        <v>SI</v>
      </c>
      <c r="N225" s="201">
        <f>+COEF_FCM!AA231</f>
        <v>27394</v>
      </c>
      <c r="O225" s="201">
        <f t="shared" si="11"/>
        <v>1</v>
      </c>
      <c r="R225" s="201">
        <v>14101</v>
      </c>
      <c r="S225" s="201">
        <v>10101</v>
      </c>
      <c r="T225" s="201" t="str">
        <v>VALDIVIA</v>
      </c>
      <c r="U225" s="201" t="str">
        <v>SI</v>
      </c>
      <c r="V225" s="201">
        <v>189563</v>
      </c>
      <c r="W225" s="201">
        <v>1</v>
      </c>
      <c r="X225" s="201" t="str">
        <f t="shared" si="12"/>
        <v>Valdivia</v>
      </c>
    </row>
    <row r="226" spans="1:24" ht="3" customHeight="1" x14ac:dyDescent="0.25">
      <c r="A226" s="327">
        <f t="shared" si="10"/>
        <v>10</v>
      </c>
      <c r="B226" s="328">
        <f>+'CALC MEC ESTAB Y ESTIM M FINAL'!B230</f>
        <v>10209</v>
      </c>
      <c r="C226" s="328" t="str">
        <f>+'CALC MEC ESTAB Y ESTIM M FINAL'!C230</f>
        <v>QUEMCHI</v>
      </c>
      <c r="D226" s="329">
        <f>+'CALC MEC ESTAB Y ESTIM M FINAL'!F230</f>
        <v>1.558435041E-3</v>
      </c>
      <c r="E226" s="330">
        <f>+'CALC MEC ESTAB Y ESTIM M FINAL'!V230</f>
        <v>0</v>
      </c>
      <c r="F226" s="214"/>
      <c r="J226" s="201">
        <f>+COEF_FCM!A232</f>
        <v>10209</v>
      </c>
      <c r="K226" s="201">
        <f>+COEF_FCM!B232</f>
        <v>10407</v>
      </c>
      <c r="L226" s="201" t="str">
        <f>+COEF_FCM!C232</f>
        <v>QUEMCHI</v>
      </c>
      <c r="M226" s="201" t="str">
        <f>+COEF_FCM!P232</f>
        <v>SI</v>
      </c>
      <c r="N226" s="201">
        <f>+COEF_FCM!AA232</f>
        <v>15704</v>
      </c>
      <c r="O226" s="201">
        <f t="shared" si="11"/>
        <v>1</v>
      </c>
      <c r="R226" s="201">
        <v>14102</v>
      </c>
      <c r="S226" s="201">
        <v>10106</v>
      </c>
      <c r="T226" s="201" t="str">
        <v>CORRAL</v>
      </c>
      <c r="U226" s="201" t="str">
        <v>SI</v>
      </c>
      <c r="V226" s="201">
        <v>8018</v>
      </c>
      <c r="W226" s="201">
        <v>1</v>
      </c>
      <c r="X226" s="201" t="str">
        <f t="shared" si="12"/>
        <v>Corral</v>
      </c>
    </row>
    <row r="227" spans="1:24" ht="3" customHeight="1" x14ac:dyDescent="0.25">
      <c r="A227" s="327">
        <f t="shared" si="10"/>
        <v>10</v>
      </c>
      <c r="B227" s="328">
        <f>+'CALC MEC ESTAB Y ESTIM M FINAL'!B231</f>
        <v>10210</v>
      </c>
      <c r="C227" s="328" t="str">
        <f>+'CALC MEC ESTAB Y ESTIM M FINAL'!C231</f>
        <v>QUINCHAO</v>
      </c>
      <c r="D227" s="329">
        <f>+'CALC MEC ESTAB Y ESTIM M FINAL'!F231</f>
        <v>1.4172483634000001E-3</v>
      </c>
      <c r="E227" s="330">
        <f>+'CALC MEC ESTAB Y ESTIM M FINAL'!V231</f>
        <v>0</v>
      </c>
      <c r="F227" s="214"/>
      <c r="J227" s="201">
        <f>+COEF_FCM!A233</f>
        <v>10210</v>
      </c>
      <c r="K227" s="201">
        <f>+COEF_FCM!B233</f>
        <v>10415</v>
      </c>
      <c r="L227" s="201" t="str">
        <f>+COEF_FCM!C233</f>
        <v>QUINCHAO</v>
      </c>
      <c r="M227" s="201" t="str">
        <f>+COEF_FCM!P233</f>
        <v>SI</v>
      </c>
      <c r="N227" s="201">
        <f>+COEF_FCM!AA233</f>
        <v>8623</v>
      </c>
      <c r="O227" s="201">
        <f t="shared" si="11"/>
        <v>1</v>
      </c>
      <c r="R227" s="201">
        <v>14103</v>
      </c>
      <c r="S227" s="201">
        <v>10103</v>
      </c>
      <c r="T227" s="201" t="str">
        <v>LANCO</v>
      </c>
      <c r="U227" s="201" t="str">
        <v>SI</v>
      </c>
      <c r="V227" s="201">
        <v>24855</v>
      </c>
      <c r="W227" s="201">
        <v>1</v>
      </c>
      <c r="X227" s="201" t="str">
        <f t="shared" si="12"/>
        <v>Lanco</v>
      </c>
    </row>
    <row r="228" spans="1:24" ht="3" customHeight="1" x14ac:dyDescent="0.25">
      <c r="A228" s="327">
        <f t="shared" si="10"/>
        <v>10</v>
      </c>
      <c r="B228" s="328">
        <f>+'CALC MEC ESTAB Y ESTIM M FINAL'!B232</f>
        <v>10301</v>
      </c>
      <c r="C228" s="328" t="str">
        <f>+'CALC MEC ESTAB Y ESTIM M FINAL'!C232</f>
        <v>OSORNO</v>
      </c>
      <c r="D228" s="329">
        <f>+'CALC MEC ESTAB Y ESTIM M FINAL'!F232</f>
        <v>5.6817189611000005E-3</v>
      </c>
      <c r="E228" s="330">
        <f>+'CALC MEC ESTAB Y ESTIM M FINAL'!V232</f>
        <v>0</v>
      </c>
      <c r="F228" s="214"/>
      <c r="J228" s="201">
        <f>+COEF_FCM!A234</f>
        <v>10301</v>
      </c>
      <c r="K228" s="201">
        <f>+COEF_FCM!B234</f>
        <v>10201</v>
      </c>
      <c r="L228" s="201" t="str">
        <f>+COEF_FCM!C234</f>
        <v>OSORNO</v>
      </c>
      <c r="M228" s="201" t="str">
        <f>+COEF_FCM!P234</f>
        <v>SI</v>
      </c>
      <c r="N228" s="201">
        <f>+COEF_FCM!AA234</f>
        <v>97856</v>
      </c>
      <c r="O228" s="201">
        <f t="shared" si="11"/>
        <v>1</v>
      </c>
      <c r="R228" s="201">
        <v>14106</v>
      </c>
      <c r="S228" s="201">
        <v>10102</v>
      </c>
      <c r="T228" s="201" t="str">
        <v>MARIQUINA</v>
      </c>
      <c r="U228" s="201" t="str">
        <v>SI</v>
      </c>
      <c r="V228" s="201">
        <v>27742</v>
      </c>
      <c r="W228" s="201">
        <v>1</v>
      </c>
      <c r="X228" s="201" t="str">
        <f t="shared" si="12"/>
        <v>Mariquina</v>
      </c>
    </row>
    <row r="229" spans="1:24" ht="3" customHeight="1" x14ac:dyDescent="0.25">
      <c r="A229" s="327">
        <f t="shared" si="10"/>
        <v>10</v>
      </c>
      <c r="B229" s="328">
        <f>+'CALC MEC ESTAB Y ESTIM M FINAL'!B233</f>
        <v>10302</v>
      </c>
      <c r="C229" s="328" t="str">
        <f>+'CALC MEC ESTAB Y ESTIM M FINAL'!C233</f>
        <v>PUERTO OCTAY</v>
      </c>
      <c r="D229" s="329">
        <f>+'CALC MEC ESTAB Y ESTIM M FINAL'!F233</f>
        <v>8.7292722980000001E-4</v>
      </c>
      <c r="E229" s="330">
        <f>+'CALC MEC ESTAB Y ESTIM M FINAL'!V233</f>
        <v>0</v>
      </c>
      <c r="F229" s="214"/>
      <c r="J229" s="201">
        <f>+COEF_FCM!A235</f>
        <v>10302</v>
      </c>
      <c r="K229" s="201">
        <f>+COEF_FCM!B235</f>
        <v>10203</v>
      </c>
      <c r="L229" s="201" t="str">
        <f>+COEF_FCM!C235</f>
        <v>PUERTO OCTAY</v>
      </c>
      <c r="M229" s="201" t="str">
        <f>+COEF_FCM!P235</f>
        <v>NO</v>
      </c>
      <c r="N229" s="201">
        <f>+COEF_FCM!AA235</f>
        <v>0</v>
      </c>
      <c r="O229" s="201">
        <f t="shared" si="11"/>
        <v>0</v>
      </c>
      <c r="R229" s="201">
        <v>15101</v>
      </c>
      <c r="S229" s="201">
        <v>1101</v>
      </c>
      <c r="T229" s="201" t="str">
        <v>ARICA</v>
      </c>
      <c r="U229" s="201" t="str">
        <v>SI</v>
      </c>
      <c r="V229" s="201">
        <v>120352</v>
      </c>
      <c r="W229" s="201">
        <v>1</v>
      </c>
      <c r="X229" s="201" t="str">
        <f t="shared" si="12"/>
        <v>Arica</v>
      </c>
    </row>
    <row r="230" spans="1:24" ht="3" customHeight="1" x14ac:dyDescent="0.25">
      <c r="A230" s="327">
        <f t="shared" si="10"/>
        <v>10</v>
      </c>
      <c r="B230" s="328">
        <f>+'CALC MEC ESTAB Y ESTIM M FINAL'!B234</f>
        <v>10303</v>
      </c>
      <c r="C230" s="328" t="str">
        <f>+'CALC MEC ESTAB Y ESTIM M FINAL'!C234</f>
        <v>PURRANQUE</v>
      </c>
      <c r="D230" s="329">
        <f>+'CALC MEC ESTAB Y ESTIM M FINAL'!F234</f>
        <v>1.2387615614999998E-3</v>
      </c>
      <c r="E230" s="330">
        <f>+'CALC MEC ESTAB Y ESTIM M FINAL'!V234</f>
        <v>476342</v>
      </c>
      <c r="F230" s="214"/>
      <c r="J230" s="201">
        <f>+COEF_FCM!A236</f>
        <v>10303</v>
      </c>
      <c r="K230" s="201">
        <f>+COEF_FCM!B236</f>
        <v>10206</v>
      </c>
      <c r="L230" s="201" t="str">
        <f>+COEF_FCM!C236</f>
        <v>PURRANQUE</v>
      </c>
      <c r="M230" s="201" t="str">
        <f>+COEF_FCM!P236</f>
        <v>NO</v>
      </c>
      <c r="N230" s="201">
        <f>+COEF_FCM!AA236</f>
        <v>0</v>
      </c>
      <c r="O230" s="201">
        <f t="shared" si="11"/>
        <v>0</v>
      </c>
      <c r="R230" s="201">
        <v>15102</v>
      </c>
      <c r="S230" s="201">
        <v>1106</v>
      </c>
      <c r="T230" s="201" t="str">
        <v>CAMARONES</v>
      </c>
      <c r="U230" s="201" t="str">
        <v>SI</v>
      </c>
      <c r="V230" s="201">
        <v>8536</v>
      </c>
      <c r="W230" s="201">
        <v>1</v>
      </c>
      <c r="X230" s="201" t="str">
        <f t="shared" si="12"/>
        <v>Camarones</v>
      </c>
    </row>
    <row r="231" spans="1:24" ht="3" customHeight="1" x14ac:dyDescent="0.25">
      <c r="A231" s="327">
        <f t="shared" si="10"/>
        <v>10</v>
      </c>
      <c r="B231" s="328">
        <f>+'CALC MEC ESTAB Y ESTIM M FINAL'!B235</f>
        <v>10304</v>
      </c>
      <c r="C231" s="328" t="str">
        <f>+'CALC MEC ESTAB Y ESTIM M FINAL'!C235</f>
        <v>PUYEHUE</v>
      </c>
      <c r="D231" s="329">
        <f>+'CALC MEC ESTAB Y ESTIM M FINAL'!F235</f>
        <v>9.9469763619999992E-4</v>
      </c>
      <c r="E231" s="330">
        <f>+'CALC MEC ESTAB Y ESTIM M FINAL'!V235</f>
        <v>0</v>
      </c>
      <c r="F231" s="214"/>
      <c r="J231" s="201">
        <f>+COEF_FCM!A237</f>
        <v>10304</v>
      </c>
      <c r="K231" s="201">
        <f>+COEF_FCM!B237</f>
        <v>10204</v>
      </c>
      <c r="L231" s="201" t="str">
        <f>+COEF_FCM!C237</f>
        <v>PUYEHUE</v>
      </c>
      <c r="M231" s="201" t="str">
        <f>+COEF_FCM!P237</f>
        <v>NO</v>
      </c>
      <c r="N231" s="201">
        <f>+COEF_FCM!AA237</f>
        <v>0</v>
      </c>
      <c r="O231" s="201">
        <f t="shared" si="11"/>
        <v>0</v>
      </c>
      <c r="R231" s="201">
        <v>15201</v>
      </c>
      <c r="S231" s="201">
        <v>1301</v>
      </c>
      <c r="T231" s="201" t="str">
        <v>PUTRE</v>
      </c>
      <c r="U231" s="201" t="str">
        <v>SI</v>
      </c>
      <c r="V231" s="201">
        <v>8015</v>
      </c>
      <c r="W231" s="201">
        <v>1</v>
      </c>
      <c r="X231" s="201" t="str">
        <f t="shared" si="12"/>
        <v>Putre</v>
      </c>
    </row>
    <row r="232" spans="1:24" ht="3" customHeight="1" x14ac:dyDescent="0.25">
      <c r="A232" s="327">
        <f t="shared" si="10"/>
        <v>10</v>
      </c>
      <c r="B232" s="328">
        <f>+'CALC MEC ESTAB Y ESTIM M FINAL'!B236</f>
        <v>10305</v>
      </c>
      <c r="C232" s="328" t="str">
        <f>+'CALC MEC ESTAB Y ESTIM M FINAL'!C236</f>
        <v>RÍO NEGRO</v>
      </c>
      <c r="D232" s="329">
        <f>+'CALC MEC ESTAB Y ESTIM M FINAL'!F236</f>
        <v>1.1259803472999999E-3</v>
      </c>
      <c r="E232" s="330">
        <f>+'CALC MEC ESTAB Y ESTIM M FINAL'!V236</f>
        <v>0</v>
      </c>
      <c r="F232" s="214"/>
      <c r="J232" s="201">
        <f>+COEF_FCM!A238</f>
        <v>10305</v>
      </c>
      <c r="K232" s="201">
        <f>+COEF_FCM!B238</f>
        <v>10205</v>
      </c>
      <c r="L232" s="201" t="str">
        <f>+COEF_FCM!C238</f>
        <v>RÍO NEGRO</v>
      </c>
      <c r="M232" s="201" t="str">
        <f>+COEF_FCM!P238</f>
        <v>NO</v>
      </c>
      <c r="N232" s="201">
        <f>+COEF_FCM!AA238</f>
        <v>0</v>
      </c>
      <c r="O232" s="201">
        <f t="shared" si="11"/>
        <v>0</v>
      </c>
      <c r="R232" s="201">
        <v>15202</v>
      </c>
      <c r="S232" s="201">
        <v>1302</v>
      </c>
      <c r="T232" s="201" t="str">
        <v>GENERAL LAGOS</v>
      </c>
      <c r="U232" s="201" t="str">
        <v>SI</v>
      </c>
      <c r="V232" s="201">
        <v>1114</v>
      </c>
      <c r="W232" s="201">
        <v>1</v>
      </c>
      <c r="X232" s="201" t="str">
        <f t="shared" si="12"/>
        <v>General Lagos</v>
      </c>
    </row>
    <row r="233" spans="1:24" ht="3" customHeight="1" x14ac:dyDescent="0.25">
      <c r="A233" s="327">
        <f t="shared" si="10"/>
        <v>10</v>
      </c>
      <c r="B233" s="328">
        <f>+'CALC MEC ESTAB Y ESTIM M FINAL'!B237</f>
        <v>10306</v>
      </c>
      <c r="C233" s="328" t="str">
        <f>+'CALC MEC ESTAB Y ESTIM M FINAL'!C237</f>
        <v>SAN JUAN DE LA COSTA</v>
      </c>
      <c r="D233" s="329">
        <f>+'CALC MEC ESTAB Y ESTIM M FINAL'!F237</f>
        <v>2.8827170536000002E-3</v>
      </c>
      <c r="E233" s="330">
        <f>+'CALC MEC ESTAB Y ESTIM M FINAL'!V237</f>
        <v>0</v>
      </c>
      <c r="F233" s="214"/>
      <c r="J233" s="201">
        <f>+COEF_FCM!A239</f>
        <v>10306</v>
      </c>
      <c r="K233" s="201">
        <f>+COEF_FCM!B239</f>
        <v>10207</v>
      </c>
      <c r="L233" s="201" t="str">
        <f>+COEF_FCM!C239</f>
        <v>SAN JUAN DE LA COSTA</v>
      </c>
      <c r="M233" s="201" t="str">
        <f>+COEF_FCM!P239</f>
        <v>SI</v>
      </c>
      <c r="N233" s="201">
        <f>+COEF_FCM!AA239</f>
        <v>46207</v>
      </c>
      <c r="O233" s="201">
        <f t="shared" si="11"/>
        <v>1</v>
      </c>
      <c r="R233" s="201">
        <v>16101</v>
      </c>
      <c r="S233" s="201">
        <v>8101</v>
      </c>
      <c r="T233" s="201" t="str">
        <v>CHILLÁN</v>
      </c>
      <c r="U233" s="201" t="str">
        <v>SI</v>
      </c>
      <c r="V233" s="201">
        <v>130278</v>
      </c>
      <c r="W233" s="201">
        <v>1</v>
      </c>
      <c r="X233" s="201" t="str">
        <f t="shared" si="12"/>
        <v>Chillán</v>
      </c>
    </row>
    <row r="234" spans="1:24" ht="3" customHeight="1" x14ac:dyDescent="0.25">
      <c r="A234" s="327">
        <f t="shared" si="10"/>
        <v>10</v>
      </c>
      <c r="B234" s="328">
        <f>+'CALC MEC ESTAB Y ESTIM M FINAL'!B238</f>
        <v>10307</v>
      </c>
      <c r="C234" s="328" t="str">
        <f>+'CALC MEC ESTAB Y ESTIM M FINAL'!C238</f>
        <v>SAN PABLO</v>
      </c>
      <c r="D234" s="329">
        <f>+'CALC MEC ESTAB Y ESTIM M FINAL'!F238</f>
        <v>1.0759287710999999E-3</v>
      </c>
      <c r="E234" s="330">
        <f>+'CALC MEC ESTAB Y ESTIM M FINAL'!V238</f>
        <v>0</v>
      </c>
      <c r="F234" s="214"/>
      <c r="J234" s="201">
        <f>+COEF_FCM!A240</f>
        <v>10307</v>
      </c>
      <c r="K234" s="201">
        <f>+COEF_FCM!B240</f>
        <v>10202</v>
      </c>
      <c r="L234" s="201" t="str">
        <f>+COEF_FCM!C240</f>
        <v>SAN PABLO</v>
      </c>
      <c r="M234" s="201" t="str">
        <f>+COEF_FCM!P240</f>
        <v>NO</v>
      </c>
      <c r="N234" s="201">
        <f>+COEF_FCM!AA240</f>
        <v>0</v>
      </c>
      <c r="O234" s="201">
        <f t="shared" si="11"/>
        <v>0</v>
      </c>
      <c r="R234" s="201">
        <v>16102</v>
      </c>
      <c r="S234" s="201">
        <v>8113</v>
      </c>
      <c r="T234" s="201" t="str">
        <v>BULNES</v>
      </c>
      <c r="U234" s="201" t="str">
        <v>SI</v>
      </c>
      <c r="V234" s="201">
        <v>26015</v>
      </c>
      <c r="W234" s="201">
        <v>1</v>
      </c>
      <c r="X234" s="201" t="str">
        <f t="shared" si="12"/>
        <v>Bulnes</v>
      </c>
    </row>
    <row r="235" spans="1:24" ht="3" customHeight="1" x14ac:dyDescent="0.25">
      <c r="A235" s="327">
        <f t="shared" si="10"/>
        <v>10</v>
      </c>
      <c r="B235" s="328">
        <f>+'CALC MEC ESTAB Y ESTIM M FINAL'!B239</f>
        <v>10401</v>
      </c>
      <c r="C235" s="328" t="str">
        <f>+'CALC MEC ESTAB Y ESTIM M FINAL'!C239</f>
        <v>CHAITÉN</v>
      </c>
      <c r="D235" s="329">
        <f>+'CALC MEC ESTAB Y ESTIM M FINAL'!F239</f>
        <v>1.2122549189999999E-3</v>
      </c>
      <c r="E235" s="330">
        <f>+'CALC MEC ESTAB Y ESTIM M FINAL'!V239</f>
        <v>0</v>
      </c>
      <c r="F235" s="214"/>
      <c r="J235" s="201">
        <f>+COEF_FCM!A241</f>
        <v>10401</v>
      </c>
      <c r="K235" s="201">
        <f>+COEF_FCM!B241</f>
        <v>10501</v>
      </c>
      <c r="L235" s="201" t="str">
        <f>+COEF_FCM!C241</f>
        <v>CHAITÉN</v>
      </c>
      <c r="M235" s="201" t="str">
        <f>+COEF_FCM!P241</f>
        <v>SI</v>
      </c>
      <c r="N235" s="201">
        <f>+COEF_FCM!AA241</f>
        <v>13774</v>
      </c>
      <c r="O235" s="201">
        <f t="shared" si="11"/>
        <v>1</v>
      </c>
      <c r="R235" s="201">
        <v>16103</v>
      </c>
      <c r="S235" s="201">
        <v>8121</v>
      </c>
      <c r="T235" s="201" t="str">
        <v>CHILLÁN VIEJO</v>
      </c>
      <c r="U235" s="201" t="str">
        <v>SI</v>
      </c>
      <c r="V235" s="201">
        <v>22160</v>
      </c>
      <c r="W235" s="201">
        <v>1</v>
      </c>
      <c r="X235" s="201" t="str">
        <f t="shared" si="12"/>
        <v>Chillán Viejo</v>
      </c>
    </row>
    <row r="236" spans="1:24" ht="3" customHeight="1" x14ac:dyDescent="0.25">
      <c r="A236" s="327">
        <f t="shared" si="10"/>
        <v>10</v>
      </c>
      <c r="B236" s="328">
        <f>+'CALC MEC ESTAB Y ESTIM M FINAL'!B240</f>
        <v>10402</v>
      </c>
      <c r="C236" s="328" t="str">
        <f>+'CALC MEC ESTAB Y ESTIM M FINAL'!C240</f>
        <v>FUTALEUFÚ</v>
      </c>
      <c r="D236" s="329">
        <f>+'CALC MEC ESTAB Y ESTIM M FINAL'!F240</f>
        <v>7.9090937229999998E-4</v>
      </c>
      <c r="E236" s="330">
        <f>+'CALC MEC ESTAB Y ESTIM M FINAL'!V240</f>
        <v>519071</v>
      </c>
      <c r="F236" s="214"/>
      <c r="J236" s="201">
        <f>+COEF_FCM!A242</f>
        <v>10402</v>
      </c>
      <c r="K236" s="201">
        <f>+COEF_FCM!B242</f>
        <v>10503</v>
      </c>
      <c r="L236" s="201" t="str">
        <f>+COEF_FCM!C242</f>
        <v>FUTALEUFÚ</v>
      </c>
      <c r="M236" s="201" t="str">
        <f>+COEF_FCM!P242</f>
        <v>NO</v>
      </c>
      <c r="N236" s="201">
        <f>+COEF_FCM!AA242</f>
        <v>0</v>
      </c>
      <c r="O236" s="201">
        <f t="shared" si="11"/>
        <v>0</v>
      </c>
      <c r="R236" s="201">
        <v>16104</v>
      </c>
      <c r="S236" s="201">
        <v>8118</v>
      </c>
      <c r="T236" s="201" t="str">
        <v>EL CARMEN</v>
      </c>
      <c r="U236" s="201" t="str">
        <v>SI</v>
      </c>
      <c r="V236" s="201">
        <v>10736</v>
      </c>
      <c r="W236" s="201">
        <v>1</v>
      </c>
      <c r="X236" s="201" t="str">
        <f t="shared" si="12"/>
        <v>El Carmen</v>
      </c>
    </row>
    <row r="237" spans="1:24" ht="3" customHeight="1" x14ac:dyDescent="0.25">
      <c r="A237" s="327">
        <f t="shared" si="10"/>
        <v>10</v>
      </c>
      <c r="B237" s="328">
        <f>+'CALC MEC ESTAB Y ESTIM M FINAL'!B241</f>
        <v>10403</v>
      </c>
      <c r="C237" s="328" t="str">
        <f>+'CALC MEC ESTAB Y ESTIM M FINAL'!C241</f>
        <v>HUALAIHUÉ</v>
      </c>
      <c r="D237" s="329">
        <f>+'CALC MEC ESTAB Y ESTIM M FINAL'!F241</f>
        <v>1.9214217726999999E-3</v>
      </c>
      <c r="E237" s="330">
        <f>+'CALC MEC ESTAB Y ESTIM M FINAL'!V241</f>
        <v>0</v>
      </c>
      <c r="F237" s="214"/>
      <c r="J237" s="201">
        <f>+COEF_FCM!A243</f>
        <v>10403</v>
      </c>
      <c r="K237" s="201">
        <f>+COEF_FCM!B243</f>
        <v>10502</v>
      </c>
      <c r="L237" s="201" t="str">
        <f>+COEF_FCM!C243</f>
        <v>HUALAIHUÉ</v>
      </c>
      <c r="M237" s="201" t="str">
        <f>+COEF_FCM!P243</f>
        <v>SI</v>
      </c>
      <c r="N237" s="201">
        <f>+COEF_FCM!AA243</f>
        <v>28445</v>
      </c>
      <c r="O237" s="201">
        <f t="shared" si="11"/>
        <v>1</v>
      </c>
      <c r="R237" s="201">
        <v>16107</v>
      </c>
      <c r="S237" s="201">
        <v>8115</v>
      </c>
      <c r="T237" s="201" t="str">
        <v>QUILLÓN</v>
      </c>
      <c r="U237" s="201" t="str">
        <v>SI</v>
      </c>
      <c r="V237" s="201">
        <v>100449</v>
      </c>
      <c r="W237" s="201">
        <v>1</v>
      </c>
      <c r="X237" s="201" t="str">
        <f t="shared" si="12"/>
        <v>Quillón</v>
      </c>
    </row>
    <row r="238" spans="1:24" ht="3" customHeight="1" x14ac:dyDescent="0.25">
      <c r="A238" s="327">
        <f t="shared" si="10"/>
        <v>10</v>
      </c>
      <c r="B238" s="328">
        <f>+'CALC MEC ESTAB Y ESTIM M FINAL'!B242</f>
        <v>10404</v>
      </c>
      <c r="C238" s="328" t="str">
        <f>+'CALC MEC ESTAB Y ESTIM M FINAL'!C242</f>
        <v>PALENA</v>
      </c>
      <c r="D238" s="329">
        <f>+'CALC MEC ESTAB Y ESTIM M FINAL'!F242</f>
        <v>8.7558731570000004E-4</v>
      </c>
      <c r="E238" s="330">
        <f>+'CALC MEC ESTAB Y ESTIM M FINAL'!V242</f>
        <v>0</v>
      </c>
      <c r="F238" s="214"/>
      <c r="J238" s="201">
        <f>+COEF_FCM!A244</f>
        <v>10404</v>
      </c>
      <c r="K238" s="201">
        <f>+COEF_FCM!B244</f>
        <v>10504</v>
      </c>
      <c r="L238" s="201" t="str">
        <f>+COEF_FCM!C244</f>
        <v>PALENA</v>
      </c>
      <c r="M238" s="201" t="str">
        <f>+COEF_FCM!P244</f>
        <v>SI</v>
      </c>
      <c r="N238" s="201">
        <f>+COEF_FCM!AA244</f>
        <v>2407</v>
      </c>
      <c r="O238" s="201">
        <f t="shared" si="11"/>
        <v>1</v>
      </c>
      <c r="R238" s="201">
        <v>16108</v>
      </c>
      <c r="S238" s="201">
        <v>8114</v>
      </c>
      <c r="T238" s="201" t="str">
        <v>SAN IGNACIO</v>
      </c>
      <c r="U238" s="201" t="str">
        <v>SI</v>
      </c>
      <c r="V238" s="201">
        <v>19067</v>
      </c>
      <c r="W238" s="201">
        <v>1</v>
      </c>
      <c r="X238" s="201" t="str">
        <f t="shared" si="12"/>
        <v>San Ignacio</v>
      </c>
    </row>
    <row r="239" spans="1:24" ht="3" customHeight="1" x14ac:dyDescent="0.25">
      <c r="A239" s="327">
        <f t="shared" si="10"/>
        <v>11</v>
      </c>
      <c r="B239" s="328">
        <f>+'CALC MEC ESTAB Y ESTIM M FINAL'!B243</f>
        <v>11101</v>
      </c>
      <c r="C239" s="328" t="str">
        <f>+'CALC MEC ESTAB Y ESTIM M FINAL'!C243</f>
        <v>COYHAIQUE</v>
      </c>
      <c r="D239" s="329">
        <f>+'CALC MEC ESTAB Y ESTIM M FINAL'!F243</f>
        <v>3.7174535196000001E-3</v>
      </c>
      <c r="E239" s="330">
        <f>+'CALC MEC ESTAB Y ESTIM M FINAL'!V243</f>
        <v>1100338</v>
      </c>
      <c r="F239" s="214"/>
      <c r="J239" s="201">
        <f>+COEF_FCM!A245</f>
        <v>11101</v>
      </c>
      <c r="K239" s="201">
        <f>+COEF_FCM!B245</f>
        <v>11401</v>
      </c>
      <c r="L239" s="201" t="str">
        <f>+COEF_FCM!C245</f>
        <v>COYHAIQUE</v>
      </c>
      <c r="M239" s="201" t="str">
        <f>+COEF_FCM!P245</f>
        <v>SI</v>
      </c>
      <c r="N239" s="201">
        <f>+COEF_FCM!AA245</f>
        <v>68550</v>
      </c>
      <c r="O239" s="201">
        <f t="shared" si="11"/>
        <v>1</v>
      </c>
      <c r="R239" s="201">
        <v>16109</v>
      </c>
      <c r="S239" s="201">
        <v>8116</v>
      </c>
      <c r="T239" s="201" t="str">
        <v>YUNGAY</v>
      </c>
      <c r="U239" s="201" t="str">
        <v>SI</v>
      </c>
      <c r="V239" s="201">
        <v>25154</v>
      </c>
      <c r="W239" s="201">
        <v>1</v>
      </c>
      <c r="X239" s="201" t="str">
        <f t="shared" si="12"/>
        <v>Yungay</v>
      </c>
    </row>
    <row r="240" spans="1:24" ht="3" customHeight="1" x14ac:dyDescent="0.25">
      <c r="A240" s="327">
        <f t="shared" si="10"/>
        <v>11</v>
      </c>
      <c r="B240" s="328">
        <f>+'CALC MEC ESTAB Y ESTIM M FINAL'!B244</f>
        <v>11102</v>
      </c>
      <c r="C240" s="328" t="str">
        <f>+'CALC MEC ESTAB Y ESTIM M FINAL'!C244</f>
        <v>LAGO VERDE</v>
      </c>
      <c r="D240" s="329">
        <f>+'CALC MEC ESTAB Y ESTIM M FINAL'!F244</f>
        <v>7.6633354040000004E-4</v>
      </c>
      <c r="E240" s="330">
        <f>+'CALC MEC ESTAB Y ESTIM M FINAL'!V244</f>
        <v>0</v>
      </c>
      <c r="F240" s="214"/>
      <c r="J240" s="201">
        <f>+COEF_FCM!A246</f>
        <v>11102</v>
      </c>
      <c r="K240" s="201">
        <f>+COEF_FCM!B246</f>
        <v>11402</v>
      </c>
      <c r="L240" s="201" t="str">
        <f>+COEF_FCM!C246</f>
        <v>LAGO VERDE</v>
      </c>
      <c r="M240" s="201" t="str">
        <f>+COEF_FCM!P246</f>
        <v>NO</v>
      </c>
      <c r="N240" s="201">
        <f>+COEF_FCM!AA246</f>
        <v>0</v>
      </c>
      <c r="O240" s="201">
        <f t="shared" si="11"/>
        <v>0</v>
      </c>
      <c r="R240" s="201">
        <v>16201</v>
      </c>
      <c r="S240" s="201">
        <v>8104</v>
      </c>
      <c r="T240" s="201" t="str">
        <v>QUIRIHUE</v>
      </c>
      <c r="U240" s="201" t="str">
        <v>SI</v>
      </c>
      <c r="V240" s="201">
        <v>10882</v>
      </c>
      <c r="W240" s="201">
        <v>1</v>
      </c>
      <c r="X240" s="201" t="str">
        <f t="shared" si="12"/>
        <v>Quirihue</v>
      </c>
    </row>
    <row r="241" spans="1:24" ht="3" customHeight="1" x14ac:dyDescent="0.25">
      <c r="A241" s="327">
        <f t="shared" si="10"/>
        <v>11</v>
      </c>
      <c r="B241" s="328">
        <f>+'CALC MEC ESTAB Y ESTIM M FINAL'!B245</f>
        <v>11201</v>
      </c>
      <c r="C241" s="328" t="str">
        <f>+'CALC MEC ESTAB Y ESTIM M FINAL'!C245</f>
        <v>AYSÉN</v>
      </c>
      <c r="D241" s="329">
        <f>+'CALC MEC ESTAB Y ESTIM M FINAL'!F245</f>
        <v>2.0030663056000001E-3</v>
      </c>
      <c r="E241" s="330">
        <f>+'CALC MEC ESTAB Y ESTIM M FINAL'!V245</f>
        <v>1011609</v>
      </c>
      <c r="F241" s="214"/>
      <c r="J241" s="201">
        <f>+COEF_FCM!A247</f>
        <v>11201</v>
      </c>
      <c r="K241" s="201">
        <f>+COEF_FCM!B247</f>
        <v>11101</v>
      </c>
      <c r="L241" s="201" t="str">
        <f>+COEF_FCM!C247</f>
        <v>AYSÉN</v>
      </c>
      <c r="M241" s="201" t="str">
        <f>+COEF_FCM!P247</f>
        <v>SI</v>
      </c>
      <c r="N241" s="201">
        <f>+COEF_FCM!AA247</f>
        <v>30594</v>
      </c>
      <c r="O241" s="201">
        <f t="shared" si="11"/>
        <v>1</v>
      </c>
      <c r="R241" s="201">
        <v>16202</v>
      </c>
      <c r="S241" s="201">
        <v>8107</v>
      </c>
      <c r="T241" s="201" t="str">
        <v>COBQUECURA</v>
      </c>
      <c r="U241" s="201" t="str">
        <v>SI</v>
      </c>
      <c r="V241" s="201">
        <v>27092</v>
      </c>
      <c r="W241" s="201">
        <v>1</v>
      </c>
      <c r="X241" s="201" t="str">
        <f t="shared" si="12"/>
        <v>Cobquecura</v>
      </c>
    </row>
    <row r="242" spans="1:24" ht="3" customHeight="1" x14ac:dyDescent="0.25">
      <c r="A242" s="327">
        <f t="shared" si="10"/>
        <v>11</v>
      </c>
      <c r="B242" s="328">
        <f>+'CALC MEC ESTAB Y ESTIM M FINAL'!B246</f>
        <v>11202</v>
      </c>
      <c r="C242" s="328" t="str">
        <f>+'CALC MEC ESTAB Y ESTIM M FINAL'!C246</f>
        <v>CISNES</v>
      </c>
      <c r="D242" s="329">
        <f>+'CALC MEC ESTAB Y ESTIM M FINAL'!F246</f>
        <v>9.4235666410000002E-4</v>
      </c>
      <c r="E242" s="330">
        <f>+'CALC MEC ESTAB Y ESTIM M FINAL'!V246</f>
        <v>0</v>
      </c>
      <c r="F242" s="214"/>
      <c r="J242" s="201">
        <f>+COEF_FCM!A248</f>
        <v>11202</v>
      </c>
      <c r="K242" s="201">
        <f>+COEF_FCM!B248</f>
        <v>11102</v>
      </c>
      <c r="L242" s="201" t="str">
        <f>+COEF_FCM!C248</f>
        <v>CISNES</v>
      </c>
      <c r="M242" s="201" t="str">
        <f>+COEF_FCM!P248</f>
        <v>SI</v>
      </c>
      <c r="N242" s="201">
        <f>+COEF_FCM!AA248</f>
        <v>12636</v>
      </c>
      <c r="O242" s="201">
        <f t="shared" si="11"/>
        <v>1</v>
      </c>
      <c r="R242" s="201">
        <v>16203</v>
      </c>
      <c r="S242" s="201">
        <v>8120</v>
      </c>
      <c r="T242" s="201" t="str">
        <v>COELEMU</v>
      </c>
      <c r="U242" s="201" t="str">
        <v>SI</v>
      </c>
      <c r="V242" s="201">
        <v>16727</v>
      </c>
      <c r="W242" s="201">
        <v>1</v>
      </c>
      <c r="X242" s="201" t="str">
        <f t="shared" si="12"/>
        <v>Coelemu</v>
      </c>
    </row>
    <row r="243" spans="1:24" ht="3" customHeight="1" x14ac:dyDescent="0.25">
      <c r="A243" s="327">
        <f t="shared" si="10"/>
        <v>11</v>
      </c>
      <c r="B243" s="328">
        <f>+'CALC MEC ESTAB Y ESTIM M FINAL'!B247</f>
        <v>11203</v>
      </c>
      <c r="C243" s="328" t="str">
        <f>+'CALC MEC ESTAB Y ESTIM M FINAL'!C247</f>
        <v>GUAITECAS</v>
      </c>
      <c r="D243" s="329">
        <f>+'CALC MEC ESTAB Y ESTIM M FINAL'!F247</f>
        <v>7.6940630609999999E-4</v>
      </c>
      <c r="E243" s="330">
        <f>+'CALC MEC ESTAB Y ESTIM M FINAL'!V247</f>
        <v>0</v>
      </c>
      <c r="F243" s="214"/>
      <c r="J243" s="201">
        <f>+COEF_FCM!A249</f>
        <v>11203</v>
      </c>
      <c r="K243" s="201">
        <f>+COEF_FCM!B249</f>
        <v>11104</v>
      </c>
      <c r="L243" s="201" t="str">
        <f>+COEF_FCM!C249</f>
        <v>GUAITECAS</v>
      </c>
      <c r="M243" s="201" t="str">
        <f>+COEF_FCM!P249</f>
        <v>SI</v>
      </c>
      <c r="N243" s="201">
        <f>+COEF_FCM!AA249</f>
        <v>4709</v>
      </c>
      <c r="O243" s="201">
        <f t="shared" si="11"/>
        <v>1</v>
      </c>
      <c r="R243" s="201">
        <v>16204</v>
      </c>
      <c r="S243" s="201">
        <v>8105</v>
      </c>
      <c r="T243" s="201" t="str">
        <v>NINHUE</v>
      </c>
      <c r="U243" s="201" t="str">
        <v>SI</v>
      </c>
      <c r="V243" s="201">
        <v>7574</v>
      </c>
      <c r="W243" s="201">
        <v>1</v>
      </c>
      <c r="X243" s="201" t="str">
        <f t="shared" si="12"/>
        <v>Ninhue</v>
      </c>
    </row>
    <row r="244" spans="1:24" ht="3" customHeight="1" x14ac:dyDescent="0.25">
      <c r="A244" s="327">
        <f t="shared" si="10"/>
        <v>11</v>
      </c>
      <c r="B244" s="328">
        <f>+'CALC MEC ESTAB Y ESTIM M FINAL'!B248</f>
        <v>11301</v>
      </c>
      <c r="C244" s="328" t="str">
        <f>+'CALC MEC ESTAB Y ESTIM M FINAL'!C248</f>
        <v>COCHRANE</v>
      </c>
      <c r="D244" s="329">
        <f>+'CALC MEC ESTAB Y ESTIM M FINAL'!F248</f>
        <v>1.1040507308E-3</v>
      </c>
      <c r="E244" s="330">
        <f>+'CALC MEC ESTAB Y ESTIM M FINAL'!V248</f>
        <v>0</v>
      </c>
      <c r="F244" s="214"/>
      <c r="J244" s="201">
        <f>+COEF_FCM!A250</f>
        <v>11301</v>
      </c>
      <c r="K244" s="201">
        <f>+COEF_FCM!B250</f>
        <v>11301</v>
      </c>
      <c r="L244" s="201" t="str">
        <f>+COEF_FCM!C250</f>
        <v>COCHRANE</v>
      </c>
      <c r="M244" s="201" t="str">
        <f>+COEF_FCM!P250</f>
        <v>SI</v>
      </c>
      <c r="N244" s="201">
        <f>+COEF_FCM!AA250</f>
        <v>8200</v>
      </c>
      <c r="O244" s="201">
        <f t="shared" si="11"/>
        <v>1</v>
      </c>
      <c r="R244" s="201">
        <v>16205</v>
      </c>
      <c r="S244" s="201">
        <v>8106</v>
      </c>
      <c r="T244" s="201" t="str">
        <v>PORTEZUELO</v>
      </c>
      <c r="U244" s="201" t="str">
        <v>SI</v>
      </c>
      <c r="V244" s="201">
        <v>5357</v>
      </c>
      <c r="W244" s="201">
        <v>1</v>
      </c>
      <c r="X244" s="201" t="str">
        <f t="shared" si="12"/>
        <v>Portezuelo</v>
      </c>
    </row>
    <row r="245" spans="1:24" ht="3" customHeight="1" x14ac:dyDescent="0.25">
      <c r="A245" s="327">
        <f t="shared" si="10"/>
        <v>11</v>
      </c>
      <c r="B245" s="328">
        <f>+'CALC MEC ESTAB Y ESTIM M FINAL'!B249</f>
        <v>11302</v>
      </c>
      <c r="C245" s="328" t="str">
        <f>+'CALC MEC ESTAB Y ESTIM M FINAL'!C249</f>
        <v>O’HIGGINS</v>
      </c>
      <c r="D245" s="329">
        <f>+'CALC MEC ESTAB Y ESTIM M FINAL'!F249</f>
        <v>7.457782386E-4</v>
      </c>
      <c r="E245" s="330">
        <f>+'CALC MEC ESTAB Y ESTIM M FINAL'!V249</f>
        <v>9083</v>
      </c>
      <c r="F245" s="214"/>
      <c r="J245" s="201">
        <f>+COEF_FCM!A251</f>
        <v>11302</v>
      </c>
      <c r="K245" s="201">
        <f>+COEF_FCM!B251</f>
        <v>11302</v>
      </c>
      <c r="L245" s="201" t="str">
        <f>+COEF_FCM!C251</f>
        <v>O’HIGGINS</v>
      </c>
      <c r="M245" s="201" t="str">
        <f>+COEF_FCM!P251</f>
        <v>SI</v>
      </c>
      <c r="N245" s="201">
        <f>+COEF_FCM!AA251</f>
        <v>581</v>
      </c>
      <c r="O245" s="201">
        <f t="shared" si="11"/>
        <v>1</v>
      </c>
      <c r="R245" s="201">
        <v>16206</v>
      </c>
      <c r="S245" s="201">
        <v>8119</v>
      </c>
      <c r="T245" s="201" t="str">
        <v>RÁNQUIL</v>
      </c>
      <c r="U245" s="201" t="str">
        <v>SI</v>
      </c>
      <c r="V245" s="201">
        <v>25612</v>
      </c>
      <c r="W245" s="201">
        <v>1</v>
      </c>
      <c r="X245" s="201" t="str">
        <f t="shared" si="12"/>
        <v>Ránquil</v>
      </c>
    </row>
    <row r="246" spans="1:24" ht="3" customHeight="1" x14ac:dyDescent="0.25">
      <c r="A246" s="327">
        <f t="shared" si="10"/>
        <v>11</v>
      </c>
      <c r="B246" s="328">
        <f>+'CALC MEC ESTAB Y ESTIM M FINAL'!B250</f>
        <v>11303</v>
      </c>
      <c r="C246" s="328" t="str">
        <f>+'CALC MEC ESTAB Y ESTIM M FINAL'!C250</f>
        <v>TORTEL</v>
      </c>
      <c r="D246" s="329">
        <f>+'CALC MEC ESTAB Y ESTIM M FINAL'!F250</f>
        <v>8.7418339719999994E-4</v>
      </c>
      <c r="E246" s="330">
        <f>+'CALC MEC ESTAB Y ESTIM M FINAL'!V250</f>
        <v>0</v>
      </c>
      <c r="F246" s="214"/>
      <c r="J246" s="201">
        <f>+COEF_FCM!A252</f>
        <v>11303</v>
      </c>
      <c r="K246" s="201">
        <f>+COEF_FCM!B252</f>
        <v>11303</v>
      </c>
      <c r="L246" s="201" t="str">
        <f>+COEF_FCM!C252</f>
        <v>TORTEL</v>
      </c>
      <c r="M246" s="201" t="str">
        <f>+COEF_FCM!P252</f>
        <v>SI</v>
      </c>
      <c r="N246" s="201">
        <f>+COEF_FCM!AA252</f>
        <v>3953</v>
      </c>
      <c r="O246" s="201">
        <f t="shared" si="11"/>
        <v>1</v>
      </c>
      <c r="R246" s="201">
        <v>16207</v>
      </c>
      <c r="S246" s="201">
        <v>8108</v>
      </c>
      <c r="T246" s="201" t="str">
        <v>TREHUACO</v>
      </c>
      <c r="U246" s="201" t="str">
        <v>SI</v>
      </c>
      <c r="V246" s="201">
        <v>7760</v>
      </c>
      <c r="W246" s="201">
        <v>1</v>
      </c>
      <c r="X246" s="201" t="str">
        <f t="shared" si="12"/>
        <v>Trehuaco</v>
      </c>
    </row>
    <row r="247" spans="1:24" ht="3" customHeight="1" x14ac:dyDescent="0.25">
      <c r="A247" s="327">
        <f t="shared" si="10"/>
        <v>11</v>
      </c>
      <c r="B247" s="328">
        <f>+'CALC MEC ESTAB Y ESTIM M FINAL'!B251</f>
        <v>11401</v>
      </c>
      <c r="C247" s="328" t="str">
        <f>+'CALC MEC ESTAB Y ESTIM M FINAL'!C251</f>
        <v>CHILE CHICO</v>
      </c>
      <c r="D247" s="329">
        <f>+'CALC MEC ESTAB Y ESTIM M FINAL'!F251</f>
        <v>1.2077483734E-3</v>
      </c>
      <c r="E247" s="330">
        <f>+'CALC MEC ESTAB Y ESTIM M FINAL'!V251</f>
        <v>517076</v>
      </c>
      <c r="F247" s="214"/>
      <c r="J247" s="201">
        <f>+COEF_FCM!A253</f>
        <v>11401</v>
      </c>
      <c r="K247" s="201">
        <f>+COEF_FCM!B253</f>
        <v>11201</v>
      </c>
      <c r="L247" s="201" t="str">
        <f>+COEF_FCM!C253</f>
        <v>CHILE CHICO</v>
      </c>
      <c r="M247" s="201" t="str">
        <f>+COEF_FCM!P253</f>
        <v>SI</v>
      </c>
      <c r="N247" s="201">
        <f>+COEF_FCM!AA253</f>
        <v>11711</v>
      </c>
      <c r="O247" s="201">
        <f t="shared" si="11"/>
        <v>1</v>
      </c>
      <c r="R247" s="201">
        <v>16301</v>
      </c>
      <c r="S247" s="201">
        <v>8109</v>
      </c>
      <c r="T247" s="201" t="str">
        <v>SAN CARLOS</v>
      </c>
      <c r="U247" s="201" t="str">
        <v>SI</v>
      </c>
      <c r="V247" s="201">
        <v>52483</v>
      </c>
      <c r="W247" s="201">
        <v>1</v>
      </c>
      <c r="X247" s="201" t="str">
        <f t="shared" si="12"/>
        <v>San Carlos</v>
      </c>
    </row>
    <row r="248" spans="1:24" ht="3" customHeight="1" x14ac:dyDescent="0.25">
      <c r="A248" s="327">
        <f t="shared" si="10"/>
        <v>11</v>
      </c>
      <c r="B248" s="328">
        <f>+'CALC MEC ESTAB Y ESTIM M FINAL'!B252</f>
        <v>11402</v>
      </c>
      <c r="C248" s="328" t="str">
        <f>+'CALC MEC ESTAB Y ESTIM M FINAL'!C252</f>
        <v>RÍO IBÁÑEZ</v>
      </c>
      <c r="D248" s="329">
        <f>+'CALC MEC ESTAB Y ESTIM M FINAL'!F252</f>
        <v>1.2734496323E-3</v>
      </c>
      <c r="E248" s="330">
        <f>+'CALC MEC ESTAB Y ESTIM M FINAL'!V252</f>
        <v>0</v>
      </c>
      <c r="F248" s="214"/>
      <c r="J248" s="201">
        <f>+COEF_FCM!A254</f>
        <v>11402</v>
      </c>
      <c r="K248" s="201">
        <f>+COEF_FCM!B254</f>
        <v>11203</v>
      </c>
      <c r="L248" s="201" t="str">
        <f>+COEF_FCM!C254</f>
        <v>RÍO IBÁÑEZ</v>
      </c>
      <c r="M248" s="201" t="str">
        <f>+COEF_FCM!P254</f>
        <v>SI</v>
      </c>
      <c r="N248" s="201">
        <f>+COEF_FCM!AA254</f>
        <v>13195</v>
      </c>
      <c r="O248" s="201">
        <f t="shared" si="11"/>
        <v>1</v>
      </c>
      <c r="R248" s="201">
        <v>16303</v>
      </c>
      <c r="S248" s="201">
        <v>8110</v>
      </c>
      <c r="T248" s="201" t="str">
        <v>ÑIQUÉN</v>
      </c>
      <c r="U248" s="201" t="str">
        <v>SI</v>
      </c>
      <c r="V248" s="201">
        <v>23464</v>
      </c>
      <c r="W248" s="201">
        <v>1</v>
      </c>
      <c r="X248" s="201" t="str">
        <f t="shared" si="12"/>
        <v>Ñiquén</v>
      </c>
    </row>
    <row r="249" spans="1:24" ht="3" customHeight="1" x14ac:dyDescent="0.25">
      <c r="A249" s="327">
        <f t="shared" si="10"/>
        <v>12</v>
      </c>
      <c r="B249" s="328">
        <f>+'CALC MEC ESTAB Y ESTIM M FINAL'!B253</f>
        <v>12101</v>
      </c>
      <c r="C249" s="328" t="str">
        <f>+'CALC MEC ESTAB Y ESTIM M FINAL'!C253</f>
        <v>PUNTA ARENAS</v>
      </c>
      <c r="D249" s="329">
        <f>+'CALC MEC ESTAB Y ESTIM M FINAL'!F253</f>
        <v>3.1810040936E-3</v>
      </c>
      <c r="E249" s="330">
        <f>+'CALC MEC ESTAB Y ESTIM M FINAL'!V253</f>
        <v>2156398</v>
      </c>
      <c r="F249" s="214"/>
      <c r="J249" s="201">
        <f>+COEF_FCM!A255</f>
        <v>12101</v>
      </c>
      <c r="K249" s="201">
        <f>+COEF_FCM!B255</f>
        <v>12205</v>
      </c>
      <c r="L249" s="201" t="str">
        <f>+COEF_FCM!C255</f>
        <v>PUNTA ARENAS</v>
      </c>
      <c r="M249" s="201" t="str">
        <f>+COEF_FCM!P255</f>
        <v>SI</v>
      </c>
      <c r="N249" s="201">
        <f>+COEF_FCM!AA255</f>
        <v>102259</v>
      </c>
      <c r="O249" s="201">
        <f t="shared" si="11"/>
        <v>1</v>
      </c>
      <c r="X249" s="201" t="str">
        <f t="shared" si="12"/>
        <v/>
      </c>
    </row>
    <row r="250" spans="1:24" ht="3" customHeight="1" x14ac:dyDescent="0.25">
      <c r="A250" s="327">
        <f t="shared" si="10"/>
        <v>12</v>
      </c>
      <c r="B250" s="328">
        <f>+'CALC MEC ESTAB Y ESTIM M FINAL'!B254</f>
        <v>12102</v>
      </c>
      <c r="C250" s="328" t="str">
        <f>+'CALC MEC ESTAB Y ESTIM M FINAL'!C254</f>
        <v>LAGUNA BLANCA</v>
      </c>
      <c r="D250" s="329">
        <f>+'CALC MEC ESTAB Y ESTIM M FINAL'!F254</f>
        <v>7.2609764709999998E-4</v>
      </c>
      <c r="E250" s="330">
        <f>+'CALC MEC ESTAB Y ESTIM M FINAL'!V254</f>
        <v>0</v>
      </c>
      <c r="F250" s="214"/>
      <c r="J250" s="201">
        <f>+COEF_FCM!A256</f>
        <v>12102</v>
      </c>
      <c r="K250" s="201">
        <f>+COEF_FCM!B256</f>
        <v>12206</v>
      </c>
      <c r="L250" s="201" t="str">
        <f>+COEF_FCM!C256</f>
        <v>LAGUNA BLANCA</v>
      </c>
      <c r="M250" s="201" t="str">
        <f>+COEF_FCM!P256</f>
        <v>NO</v>
      </c>
      <c r="N250" s="201">
        <f>+COEF_FCM!AA256</f>
        <v>0</v>
      </c>
      <c r="O250" s="201">
        <f t="shared" si="11"/>
        <v>0</v>
      </c>
      <c r="X250" s="201" t="str">
        <f t="shared" si="12"/>
        <v/>
      </c>
    </row>
    <row r="251" spans="1:24" ht="3" customHeight="1" x14ac:dyDescent="0.25">
      <c r="A251" s="327">
        <f t="shared" si="10"/>
        <v>12</v>
      </c>
      <c r="B251" s="328">
        <f>+'CALC MEC ESTAB Y ESTIM M FINAL'!B255</f>
        <v>12103</v>
      </c>
      <c r="C251" s="328" t="str">
        <f>+'CALC MEC ESTAB Y ESTIM M FINAL'!C255</f>
        <v>RÍO VERDE</v>
      </c>
      <c r="D251" s="329">
        <f>+'CALC MEC ESTAB Y ESTIM M FINAL'!F255</f>
        <v>7.253806656E-4</v>
      </c>
      <c r="E251" s="330">
        <f>+'CALC MEC ESTAB Y ESTIM M FINAL'!V255</f>
        <v>0</v>
      </c>
      <c r="F251" s="214"/>
      <c r="J251" s="201">
        <f>+COEF_FCM!A257</f>
        <v>12103</v>
      </c>
      <c r="K251" s="201">
        <f>+COEF_FCM!B257</f>
        <v>12202</v>
      </c>
      <c r="L251" s="201" t="str">
        <f>+COEF_FCM!C257</f>
        <v>RÍO VERDE</v>
      </c>
      <c r="M251" s="201" t="str">
        <f>+COEF_FCM!P257</f>
        <v>NO</v>
      </c>
      <c r="N251" s="201">
        <f>+COEF_FCM!AA257</f>
        <v>0</v>
      </c>
      <c r="O251" s="201">
        <f t="shared" si="11"/>
        <v>0</v>
      </c>
      <c r="X251" s="201" t="str">
        <f>SUBSTITUTE(SUBSTITUTE(SUBSTITUTE(PROPER(T251)," De "," de ",1)," Del "," del ",1)," La "," la ",1)&amp;"."</f>
        <v>.</v>
      </c>
    </row>
    <row r="252" spans="1:24" ht="3" customHeight="1" x14ac:dyDescent="0.25">
      <c r="A252" s="327">
        <f t="shared" si="10"/>
        <v>12</v>
      </c>
      <c r="B252" s="328">
        <f>+'CALC MEC ESTAB Y ESTIM M FINAL'!B256</f>
        <v>12104</v>
      </c>
      <c r="C252" s="328" t="str">
        <f>+'CALC MEC ESTAB Y ESTIM M FINAL'!C256</f>
        <v>SAN GREGORIO</v>
      </c>
      <c r="D252" s="329">
        <f>+'CALC MEC ESTAB Y ESTIM M FINAL'!F256</f>
        <v>7.3358364199999993E-4</v>
      </c>
      <c r="E252" s="330">
        <f>+'CALC MEC ESTAB Y ESTIM M FINAL'!V256</f>
        <v>0</v>
      </c>
      <c r="F252" s="214"/>
      <c r="J252" s="201">
        <f>+COEF_FCM!A258</f>
        <v>12104</v>
      </c>
      <c r="K252" s="201">
        <f>+COEF_FCM!B258</f>
        <v>12204</v>
      </c>
      <c r="L252" s="201" t="str">
        <f>+COEF_FCM!C258</f>
        <v>SAN GREGORIO</v>
      </c>
      <c r="M252" s="201" t="str">
        <f>+COEF_FCM!P258</f>
        <v>NO</v>
      </c>
      <c r="N252" s="201">
        <f>+COEF_FCM!AA258</f>
        <v>0</v>
      </c>
      <c r="O252" s="201">
        <f t="shared" si="11"/>
        <v>0</v>
      </c>
    </row>
    <row r="253" spans="1:24" ht="3" customHeight="1" x14ac:dyDescent="0.25">
      <c r="A253" s="327">
        <f t="shared" si="10"/>
        <v>12</v>
      </c>
      <c r="B253" s="328">
        <f>+'CALC MEC ESTAB Y ESTIM M FINAL'!B257</f>
        <v>12201</v>
      </c>
      <c r="C253" s="328" t="str">
        <f>+'CALC MEC ESTAB Y ESTIM M FINAL'!C257</f>
        <v>CABO DE HORNOS</v>
      </c>
      <c r="D253" s="329">
        <f>+'CALC MEC ESTAB Y ESTIM M FINAL'!F257</f>
        <v>8.8254157359999989E-4</v>
      </c>
      <c r="E253" s="330">
        <f>+'CALC MEC ESTAB Y ESTIM M FINAL'!V257</f>
        <v>0</v>
      </c>
      <c r="F253" s="214"/>
      <c r="J253" s="201">
        <f>+COEF_FCM!A259</f>
        <v>12201</v>
      </c>
      <c r="K253" s="201">
        <f>+COEF_FCM!B259</f>
        <v>12401</v>
      </c>
      <c r="L253" s="201" t="str">
        <f>+COEF_FCM!C259</f>
        <v>CABO DE HORNOS</v>
      </c>
      <c r="M253" s="201" t="str">
        <f>+COEF_FCM!P259</f>
        <v>SI</v>
      </c>
      <c r="N253" s="201">
        <f>+COEF_FCM!AA259</f>
        <v>4200</v>
      </c>
      <c r="O253" s="201">
        <f t="shared" si="11"/>
        <v>1</v>
      </c>
    </row>
    <row r="254" spans="1:24" ht="3" customHeight="1" x14ac:dyDescent="0.25">
      <c r="A254" s="327">
        <f t="shared" si="10"/>
        <v>12</v>
      </c>
      <c r="B254" s="328">
        <f>+'CALC MEC ESTAB Y ESTIM M FINAL'!B258</f>
        <v>12202</v>
      </c>
      <c r="C254" s="328" t="str">
        <f>+'CALC MEC ESTAB Y ESTIM M FINAL'!C258</f>
        <v>ANTÁRTICA</v>
      </c>
      <c r="D254" s="329">
        <f>+'CALC MEC ESTAB Y ESTIM M FINAL'!F258</f>
        <v>7.2254335259999995E-4</v>
      </c>
      <c r="E254" s="330">
        <f>+'CALC MEC ESTAB Y ESTIM M FINAL'!V258</f>
        <v>0</v>
      </c>
      <c r="F254" s="214"/>
      <c r="J254" s="201">
        <f>+COEF_FCM!A260</f>
        <v>12202</v>
      </c>
      <c r="K254" s="201">
        <f>+COEF_FCM!B260</f>
        <v>12402</v>
      </c>
      <c r="L254" s="201" t="str">
        <f>+COEF_FCM!C260</f>
        <v>ANTÁRTICA</v>
      </c>
      <c r="M254" s="201" t="str">
        <f>+COEF_FCM!P260</f>
        <v>NO</v>
      </c>
      <c r="N254" s="201">
        <f>+COEF_FCM!AA260</f>
        <v>0</v>
      </c>
      <c r="O254" s="201">
        <f t="shared" si="11"/>
        <v>0</v>
      </c>
    </row>
    <row r="255" spans="1:24" ht="3" customHeight="1" x14ac:dyDescent="0.25">
      <c r="A255" s="327">
        <f t="shared" si="10"/>
        <v>12</v>
      </c>
      <c r="B255" s="328">
        <f>+'CALC MEC ESTAB Y ESTIM M FINAL'!B259</f>
        <v>12301</v>
      </c>
      <c r="C255" s="328" t="str">
        <f>+'CALC MEC ESTAB Y ESTIM M FINAL'!C259</f>
        <v>PORVENIR</v>
      </c>
      <c r="D255" s="329">
        <f>+'CALC MEC ESTAB Y ESTIM M FINAL'!F259</f>
        <v>1.0096170824999999E-3</v>
      </c>
      <c r="E255" s="330">
        <f>+'CALC MEC ESTAB Y ESTIM M FINAL'!V259</f>
        <v>0</v>
      </c>
      <c r="F255" s="214"/>
      <c r="J255" s="201">
        <f>+COEF_FCM!A261</f>
        <v>12301</v>
      </c>
      <c r="K255" s="201">
        <f>+COEF_FCM!B261</f>
        <v>12301</v>
      </c>
      <c r="L255" s="201" t="str">
        <f>+COEF_FCM!C261</f>
        <v>PORVENIR</v>
      </c>
      <c r="M255" s="201" t="str">
        <f>+COEF_FCM!P261</f>
        <v>SI</v>
      </c>
      <c r="N255" s="201">
        <f>+COEF_FCM!AA261</f>
        <v>6637</v>
      </c>
      <c r="O255" s="201">
        <f t="shared" si="11"/>
        <v>1</v>
      </c>
    </row>
    <row r="256" spans="1:24" ht="3" customHeight="1" x14ac:dyDescent="0.25">
      <c r="A256" s="327">
        <f t="shared" si="10"/>
        <v>12</v>
      </c>
      <c r="B256" s="328">
        <f>+'CALC MEC ESTAB Y ESTIM M FINAL'!B260</f>
        <v>12302</v>
      </c>
      <c r="C256" s="328" t="str">
        <f>+'CALC MEC ESTAB Y ESTIM M FINAL'!C260</f>
        <v>PRIMAVERA</v>
      </c>
      <c r="D256" s="329">
        <f>+'CALC MEC ESTAB Y ESTIM M FINAL'!F260</f>
        <v>8.0180119699999985E-4</v>
      </c>
      <c r="E256" s="330">
        <f>+'CALC MEC ESTAB Y ESTIM M FINAL'!V260</f>
        <v>0</v>
      </c>
      <c r="F256" s="214"/>
      <c r="J256" s="201">
        <f>+COEF_FCM!A262</f>
        <v>12302</v>
      </c>
      <c r="K256" s="201">
        <f>+COEF_FCM!B262</f>
        <v>12302</v>
      </c>
      <c r="L256" s="201" t="str">
        <f>+COEF_FCM!C262</f>
        <v>PRIMAVERA</v>
      </c>
      <c r="M256" s="201" t="str">
        <f>+COEF_FCM!P262</f>
        <v>SI</v>
      </c>
      <c r="N256" s="201">
        <f>+COEF_FCM!AA262</f>
        <v>2883</v>
      </c>
      <c r="O256" s="201">
        <f t="shared" si="11"/>
        <v>1</v>
      </c>
    </row>
    <row r="257" spans="1:15" ht="3" customHeight="1" x14ac:dyDescent="0.25">
      <c r="A257" s="327">
        <f t="shared" si="10"/>
        <v>12</v>
      </c>
      <c r="B257" s="328">
        <f>+'CALC MEC ESTAB Y ESTIM M FINAL'!B261</f>
        <v>12303</v>
      </c>
      <c r="C257" s="328" t="str">
        <f>+'CALC MEC ESTAB Y ESTIM M FINAL'!C261</f>
        <v>TIMAUKEL</v>
      </c>
      <c r="D257" s="329">
        <f>+'CALC MEC ESTAB Y ESTIM M FINAL'!F261</f>
        <v>7.4905058509999994E-4</v>
      </c>
      <c r="E257" s="330">
        <f>+'CALC MEC ESTAB Y ESTIM M FINAL'!V261</f>
        <v>0</v>
      </c>
      <c r="F257" s="214"/>
      <c r="J257" s="201">
        <f>+COEF_FCM!A263</f>
        <v>12303</v>
      </c>
      <c r="K257" s="201">
        <f>+COEF_FCM!B263</f>
        <v>12304</v>
      </c>
      <c r="L257" s="201" t="str">
        <f>+COEF_FCM!C263</f>
        <v>TIMAUKEL</v>
      </c>
      <c r="M257" s="201" t="str">
        <f>+COEF_FCM!P263</f>
        <v>SI</v>
      </c>
      <c r="N257" s="201">
        <f>+COEF_FCM!AA263</f>
        <v>593</v>
      </c>
      <c r="O257" s="201">
        <f t="shared" si="11"/>
        <v>1</v>
      </c>
    </row>
    <row r="258" spans="1:15" ht="3" customHeight="1" x14ac:dyDescent="0.25">
      <c r="A258" s="327">
        <f t="shared" si="10"/>
        <v>12</v>
      </c>
      <c r="B258" s="328">
        <f>+'CALC MEC ESTAB Y ESTIM M FINAL'!B262</f>
        <v>12401</v>
      </c>
      <c r="C258" s="328" t="str">
        <f>+'CALC MEC ESTAB Y ESTIM M FINAL'!C262</f>
        <v>NATALES</v>
      </c>
      <c r="D258" s="329">
        <f>+'CALC MEC ESTAB Y ESTIM M FINAL'!F262</f>
        <v>2.3509239746000001E-3</v>
      </c>
      <c r="E258" s="330">
        <f>+'CALC MEC ESTAB Y ESTIM M FINAL'!V262</f>
        <v>0</v>
      </c>
      <c r="F258" s="214"/>
      <c r="J258" s="201">
        <f>+COEF_FCM!A264</f>
        <v>12401</v>
      </c>
      <c r="K258" s="201">
        <f>+COEF_FCM!B264</f>
        <v>12101</v>
      </c>
      <c r="L258" s="201" t="str">
        <f>+COEF_FCM!C264</f>
        <v>NATALES</v>
      </c>
      <c r="M258" s="201" t="str">
        <f>+COEF_FCM!P264</f>
        <v>SI</v>
      </c>
      <c r="N258" s="201">
        <f>+COEF_FCM!AA264</f>
        <v>57215</v>
      </c>
      <c r="O258" s="201">
        <f t="shared" si="11"/>
        <v>1</v>
      </c>
    </row>
    <row r="259" spans="1:15" ht="3" customHeight="1" x14ac:dyDescent="0.25">
      <c r="A259" s="327">
        <f t="shared" si="10"/>
        <v>12</v>
      </c>
      <c r="B259" s="328">
        <f>+'CALC MEC ESTAB Y ESTIM M FINAL'!B263</f>
        <v>12402</v>
      </c>
      <c r="C259" s="328" t="str">
        <f>+'CALC MEC ESTAB Y ESTIM M FINAL'!C263</f>
        <v>TORRES DEL PAINE</v>
      </c>
      <c r="D259" s="329">
        <f>+'CALC MEC ESTAB Y ESTIM M FINAL'!F263</f>
        <v>7.3222564599999989E-4</v>
      </c>
      <c r="E259" s="330">
        <f>+'CALC MEC ESTAB Y ESTIM M FINAL'!V263</f>
        <v>0</v>
      </c>
      <c r="F259" s="214"/>
      <c r="J259" s="201">
        <f>+COEF_FCM!A265</f>
        <v>12402</v>
      </c>
      <c r="K259" s="201">
        <f>+COEF_FCM!B265</f>
        <v>12103</v>
      </c>
      <c r="L259" s="201" t="str">
        <f>+COEF_FCM!C265</f>
        <v>TORRES DEL PAINE</v>
      </c>
      <c r="M259" s="201" t="str">
        <f>+COEF_FCM!P265</f>
        <v>NO</v>
      </c>
      <c r="N259" s="201">
        <f>+COEF_FCM!AA265</f>
        <v>0</v>
      </c>
      <c r="O259" s="201">
        <f t="shared" si="11"/>
        <v>0</v>
      </c>
    </row>
    <row r="260" spans="1:15" ht="3" customHeight="1" x14ac:dyDescent="0.25">
      <c r="A260" s="327">
        <f t="shared" ref="A260:A323" si="13">INT(B260/1000)</f>
        <v>13</v>
      </c>
      <c r="B260" s="328">
        <f>+'CALC MEC ESTAB Y ESTIM M FINAL'!B264</f>
        <v>13101</v>
      </c>
      <c r="C260" s="328" t="str">
        <f>+'CALC MEC ESTAB Y ESTIM M FINAL'!C264</f>
        <v>SANTIAGO</v>
      </c>
      <c r="D260" s="329">
        <f>+'CALC MEC ESTAB Y ESTIM M FINAL'!F264</f>
        <v>6.0128439107000001E-3</v>
      </c>
      <c r="E260" s="330">
        <f>+'CALC MEC ESTAB Y ESTIM M FINAL'!V264</f>
        <v>0</v>
      </c>
      <c r="F260" s="214"/>
      <c r="J260" s="201">
        <f>+COEF_FCM!A266</f>
        <v>13101</v>
      </c>
      <c r="K260" s="201">
        <f>+COEF_FCM!B266</f>
        <v>13101</v>
      </c>
      <c r="L260" s="201" t="str">
        <f>+COEF_FCM!C266</f>
        <v>SANTIAGO</v>
      </c>
      <c r="M260" s="201" t="str">
        <f>+COEF_FCM!P266</f>
        <v>NO</v>
      </c>
      <c r="N260" s="201">
        <f>+COEF_FCM!AA266</f>
        <v>0</v>
      </c>
      <c r="O260" s="201">
        <f t="shared" ref="O260:O323" si="14">IF(AND(M260="SI",N260&gt;0),1,0)</f>
        <v>0</v>
      </c>
    </row>
    <row r="261" spans="1:15" ht="3" customHeight="1" x14ac:dyDescent="0.25">
      <c r="A261" s="327">
        <f t="shared" si="13"/>
        <v>13</v>
      </c>
      <c r="B261" s="328">
        <f>+'CALC MEC ESTAB Y ESTIM M FINAL'!B265</f>
        <v>13102</v>
      </c>
      <c r="C261" s="328" t="str">
        <f>+'CALC MEC ESTAB Y ESTIM M FINAL'!C265</f>
        <v>CERRILLOS</v>
      </c>
      <c r="D261" s="329">
        <f>+'CALC MEC ESTAB Y ESTIM M FINAL'!F265</f>
        <v>2.2551721245999998E-3</v>
      </c>
      <c r="E261" s="330">
        <f>+'CALC MEC ESTAB Y ESTIM M FINAL'!V265</f>
        <v>0</v>
      </c>
      <c r="F261" s="214"/>
      <c r="J261" s="201">
        <f>+COEF_FCM!A267</f>
        <v>13102</v>
      </c>
      <c r="K261" s="201">
        <f>+COEF_FCM!B267</f>
        <v>13166</v>
      </c>
      <c r="L261" s="201" t="str">
        <f>+COEF_FCM!C267</f>
        <v>CERRILLOS</v>
      </c>
      <c r="M261" s="201" t="str">
        <f>+COEF_FCM!P267</f>
        <v>SI</v>
      </c>
      <c r="N261" s="201">
        <f>+COEF_FCM!AA267</f>
        <v>15666</v>
      </c>
      <c r="O261" s="201">
        <f t="shared" si="14"/>
        <v>1</v>
      </c>
    </row>
    <row r="262" spans="1:15" ht="3" customHeight="1" x14ac:dyDescent="0.25">
      <c r="A262" s="327">
        <f t="shared" si="13"/>
        <v>13</v>
      </c>
      <c r="B262" s="328">
        <f>+'CALC MEC ESTAB Y ESTIM M FINAL'!B266</f>
        <v>13103</v>
      </c>
      <c r="C262" s="328" t="str">
        <f>+'CALC MEC ESTAB Y ESTIM M FINAL'!C266</f>
        <v>CERRO NAVIA</v>
      </c>
      <c r="D262" s="329">
        <f>+'CALC MEC ESTAB Y ESTIM M FINAL'!F266</f>
        <v>7.8037155569000002E-3</v>
      </c>
      <c r="E262" s="330">
        <f>+'CALC MEC ESTAB Y ESTIM M FINAL'!V266</f>
        <v>583630</v>
      </c>
      <c r="F262" s="214"/>
      <c r="J262" s="201">
        <f>+COEF_FCM!A268</f>
        <v>13103</v>
      </c>
      <c r="K262" s="201">
        <f>+COEF_FCM!B268</f>
        <v>13156</v>
      </c>
      <c r="L262" s="201" t="str">
        <f>+COEF_FCM!C268</f>
        <v>CERRO NAVIA</v>
      </c>
      <c r="M262" s="201" t="str">
        <f>+COEF_FCM!P268</f>
        <v>SI</v>
      </c>
      <c r="N262" s="201">
        <f>+COEF_FCM!AA268</f>
        <v>14205</v>
      </c>
      <c r="O262" s="201">
        <f t="shared" si="14"/>
        <v>1</v>
      </c>
    </row>
    <row r="263" spans="1:15" ht="3" customHeight="1" x14ac:dyDescent="0.25">
      <c r="A263" s="327">
        <f t="shared" si="13"/>
        <v>13</v>
      </c>
      <c r="B263" s="328">
        <f>+'CALC MEC ESTAB Y ESTIM M FINAL'!B267</f>
        <v>13104</v>
      </c>
      <c r="C263" s="328" t="str">
        <f>+'CALC MEC ESTAB Y ESTIM M FINAL'!C267</f>
        <v>CONCHALÍ</v>
      </c>
      <c r="D263" s="329">
        <f>+'CALC MEC ESTAB Y ESTIM M FINAL'!F267</f>
        <v>5.2409914477999997E-3</v>
      </c>
      <c r="E263" s="330">
        <f>+'CALC MEC ESTAB Y ESTIM M FINAL'!V267</f>
        <v>0</v>
      </c>
      <c r="F263" s="214"/>
      <c r="J263" s="201">
        <f>+COEF_FCM!A269</f>
        <v>13104</v>
      </c>
      <c r="K263" s="201">
        <f>+COEF_FCM!B269</f>
        <v>13127</v>
      </c>
      <c r="L263" s="201" t="str">
        <f>+COEF_FCM!C269</f>
        <v>CONCHALÍ</v>
      </c>
      <c r="M263" s="201" t="str">
        <f>+COEF_FCM!P269</f>
        <v>SI</v>
      </c>
      <c r="N263" s="201">
        <f>+COEF_FCM!AA269</f>
        <v>17083</v>
      </c>
      <c r="O263" s="201">
        <f t="shared" si="14"/>
        <v>1</v>
      </c>
    </row>
    <row r="264" spans="1:15" ht="3" customHeight="1" x14ac:dyDescent="0.25">
      <c r="A264" s="327">
        <f t="shared" si="13"/>
        <v>13</v>
      </c>
      <c r="B264" s="328">
        <f>+'CALC MEC ESTAB Y ESTIM M FINAL'!B268</f>
        <v>13105</v>
      </c>
      <c r="C264" s="328" t="str">
        <f>+'CALC MEC ESTAB Y ESTIM M FINAL'!C268</f>
        <v>EL BOSQUE</v>
      </c>
      <c r="D264" s="329">
        <f>+'CALC MEC ESTAB Y ESTIM M FINAL'!F268</f>
        <v>8.6819180847000008E-3</v>
      </c>
      <c r="E264" s="330">
        <f>+'CALC MEC ESTAB Y ESTIM M FINAL'!V268</f>
        <v>699804</v>
      </c>
      <c r="F264" s="214"/>
      <c r="J264" s="201">
        <f>+COEF_FCM!A270</f>
        <v>13105</v>
      </c>
      <c r="K264" s="201">
        <f>+COEF_FCM!B270</f>
        <v>13165</v>
      </c>
      <c r="L264" s="201" t="str">
        <f>+COEF_FCM!C270</f>
        <v>EL BOSQUE</v>
      </c>
      <c r="M264" s="201" t="str">
        <f>+COEF_FCM!P270</f>
        <v>SI</v>
      </c>
      <c r="N264" s="201">
        <f>+COEF_FCM!AA270</f>
        <v>16218</v>
      </c>
      <c r="O264" s="201">
        <f t="shared" si="14"/>
        <v>1</v>
      </c>
    </row>
    <row r="265" spans="1:15" ht="3" customHeight="1" x14ac:dyDescent="0.25">
      <c r="A265" s="327">
        <f t="shared" si="13"/>
        <v>13</v>
      </c>
      <c r="B265" s="328">
        <f>+'CALC MEC ESTAB Y ESTIM M FINAL'!B269</f>
        <v>13106</v>
      </c>
      <c r="C265" s="328" t="str">
        <f>+'CALC MEC ESTAB Y ESTIM M FINAL'!C269</f>
        <v>ESTACIÓN CENTRAL</v>
      </c>
      <c r="D265" s="329">
        <f>+'CALC MEC ESTAB Y ESTIM M FINAL'!F269</f>
        <v>5.5679945729999996E-3</v>
      </c>
      <c r="E265" s="330">
        <f>+'CALC MEC ESTAB Y ESTIM M FINAL'!V269</f>
        <v>0</v>
      </c>
      <c r="F265" s="214"/>
      <c r="J265" s="201">
        <f>+COEF_FCM!A271</f>
        <v>13106</v>
      </c>
      <c r="K265" s="201">
        <f>+COEF_FCM!B271</f>
        <v>13157</v>
      </c>
      <c r="L265" s="201" t="str">
        <f>+COEF_FCM!C271</f>
        <v>ESTACIÓN CENTRAL</v>
      </c>
      <c r="M265" s="201" t="str">
        <f>+COEF_FCM!P271</f>
        <v>SI</v>
      </c>
      <c r="N265" s="201">
        <f>+COEF_FCM!AA271</f>
        <v>49527</v>
      </c>
      <c r="O265" s="201">
        <f t="shared" si="14"/>
        <v>1</v>
      </c>
    </row>
    <row r="266" spans="1:15" ht="3" customHeight="1" x14ac:dyDescent="0.25">
      <c r="A266" s="327">
        <f t="shared" si="13"/>
        <v>13</v>
      </c>
      <c r="B266" s="328">
        <f>+'CALC MEC ESTAB Y ESTIM M FINAL'!B270</f>
        <v>13107</v>
      </c>
      <c r="C266" s="328" t="str">
        <f>+'CALC MEC ESTAB Y ESTIM M FINAL'!C270</f>
        <v>HUECHURABA</v>
      </c>
      <c r="D266" s="329">
        <f>+'CALC MEC ESTAB Y ESTIM M FINAL'!F270</f>
        <v>1.4619562086999999E-3</v>
      </c>
      <c r="E266" s="330">
        <f>+'CALC MEC ESTAB Y ESTIM M FINAL'!V270</f>
        <v>47995</v>
      </c>
      <c r="F266" s="214"/>
      <c r="J266" s="201">
        <f>+COEF_FCM!A272</f>
        <v>13107</v>
      </c>
      <c r="K266" s="201">
        <f>+COEF_FCM!B272</f>
        <v>13158</v>
      </c>
      <c r="L266" s="201" t="str">
        <f>+COEF_FCM!C272</f>
        <v>HUECHURABA</v>
      </c>
      <c r="M266" s="201" t="str">
        <f>+COEF_FCM!P272</f>
        <v>NO</v>
      </c>
      <c r="N266" s="201">
        <f>+COEF_FCM!AA272</f>
        <v>0</v>
      </c>
      <c r="O266" s="201">
        <f t="shared" si="14"/>
        <v>0</v>
      </c>
    </row>
    <row r="267" spans="1:15" ht="3" customHeight="1" x14ac:dyDescent="0.25">
      <c r="A267" s="327">
        <f t="shared" si="13"/>
        <v>13</v>
      </c>
      <c r="B267" s="328">
        <f>+'CALC MEC ESTAB Y ESTIM M FINAL'!B271</f>
        <v>13108</v>
      </c>
      <c r="C267" s="328" t="str">
        <f>+'CALC MEC ESTAB Y ESTIM M FINAL'!C271</f>
        <v>INDEPENDENCIA</v>
      </c>
      <c r="D267" s="329">
        <f>+'CALC MEC ESTAB Y ESTIM M FINAL'!F271</f>
        <v>4.5409776342000005E-3</v>
      </c>
      <c r="E267" s="330">
        <f>+'CALC MEC ESTAB Y ESTIM M FINAL'!V271</f>
        <v>0</v>
      </c>
      <c r="F267" s="214"/>
      <c r="J267" s="201">
        <f>+COEF_FCM!A273</f>
        <v>13108</v>
      </c>
      <c r="K267" s="201">
        <f>+COEF_FCM!B273</f>
        <v>13167</v>
      </c>
      <c r="L267" s="201" t="str">
        <f>+COEF_FCM!C273</f>
        <v>INDEPENDENCIA</v>
      </c>
      <c r="M267" s="201" t="str">
        <f>+COEF_FCM!P273</f>
        <v>SI</v>
      </c>
      <c r="N267" s="201">
        <f>+COEF_FCM!AA273</f>
        <v>15484</v>
      </c>
      <c r="O267" s="201">
        <f t="shared" si="14"/>
        <v>1</v>
      </c>
    </row>
    <row r="268" spans="1:15" ht="3" customHeight="1" x14ac:dyDescent="0.25">
      <c r="A268" s="327">
        <f t="shared" si="13"/>
        <v>13</v>
      </c>
      <c r="B268" s="328">
        <f>+'CALC MEC ESTAB Y ESTIM M FINAL'!B272</f>
        <v>13109</v>
      </c>
      <c r="C268" s="328" t="str">
        <f>+'CALC MEC ESTAB Y ESTIM M FINAL'!C272</f>
        <v>LA CISTERNA</v>
      </c>
      <c r="D268" s="329">
        <f>+'CALC MEC ESTAB Y ESTIM M FINAL'!F272</f>
        <v>2.828941381E-3</v>
      </c>
      <c r="E268" s="330">
        <f>+'CALC MEC ESTAB Y ESTIM M FINAL'!V272</f>
        <v>0</v>
      </c>
      <c r="F268" s="214"/>
      <c r="J268" s="201">
        <f>+COEF_FCM!A274</f>
        <v>13109</v>
      </c>
      <c r="K268" s="201">
        <f>+COEF_FCM!B274</f>
        <v>13110</v>
      </c>
      <c r="L268" s="201" t="str">
        <f>+COEF_FCM!C274</f>
        <v>LA CISTERNA</v>
      </c>
      <c r="M268" s="201" t="str">
        <f>+COEF_FCM!P274</f>
        <v>SI</v>
      </c>
      <c r="N268" s="201">
        <f>+COEF_FCM!AA274</f>
        <v>14861</v>
      </c>
      <c r="O268" s="201">
        <f t="shared" si="14"/>
        <v>1</v>
      </c>
    </row>
    <row r="269" spans="1:15" ht="3" customHeight="1" x14ac:dyDescent="0.25">
      <c r="A269" s="327">
        <f t="shared" si="13"/>
        <v>13</v>
      </c>
      <c r="B269" s="328">
        <f>+'CALC MEC ESTAB Y ESTIM M FINAL'!B273</f>
        <v>13110</v>
      </c>
      <c r="C269" s="328" t="str">
        <f>+'CALC MEC ESTAB Y ESTIM M FINAL'!C273</f>
        <v>LA FLORIDA</v>
      </c>
      <c r="D269" s="329">
        <f>+'CALC MEC ESTAB Y ESTIM M FINAL'!F273</f>
        <v>5.1752227164000002E-3</v>
      </c>
      <c r="E269" s="330">
        <f>+'CALC MEC ESTAB Y ESTIM M FINAL'!V273</f>
        <v>24957046</v>
      </c>
      <c r="F269" s="214"/>
      <c r="J269" s="201">
        <f>+COEF_FCM!A275</f>
        <v>13110</v>
      </c>
      <c r="K269" s="201">
        <f>+COEF_FCM!B275</f>
        <v>13128</v>
      </c>
      <c r="L269" s="201" t="str">
        <f>+COEF_FCM!C275</f>
        <v>LA FLORIDA</v>
      </c>
      <c r="M269" s="201" t="str">
        <f>+COEF_FCM!P275</f>
        <v>NO</v>
      </c>
      <c r="N269" s="201">
        <f>+COEF_FCM!AA275</f>
        <v>0</v>
      </c>
      <c r="O269" s="201">
        <f t="shared" si="14"/>
        <v>0</v>
      </c>
    </row>
    <row r="270" spans="1:15" ht="3" customHeight="1" x14ac:dyDescent="0.25">
      <c r="A270" s="327">
        <f t="shared" si="13"/>
        <v>13</v>
      </c>
      <c r="B270" s="328">
        <f>+'CALC MEC ESTAB Y ESTIM M FINAL'!B274</f>
        <v>13111</v>
      </c>
      <c r="C270" s="328" t="str">
        <f>+'CALC MEC ESTAB Y ESTIM M FINAL'!C274</f>
        <v>LA GRANJA</v>
      </c>
      <c r="D270" s="329">
        <f>+'CALC MEC ESTAB Y ESTIM M FINAL'!F274</f>
        <v>6.2003696313000008E-3</v>
      </c>
      <c r="E270" s="330">
        <f>+'CALC MEC ESTAB Y ESTIM M FINAL'!V274</f>
        <v>979867</v>
      </c>
      <c r="F270" s="214"/>
      <c r="J270" s="201">
        <f>+COEF_FCM!A276</f>
        <v>13111</v>
      </c>
      <c r="K270" s="201">
        <f>+COEF_FCM!B276</f>
        <v>13131</v>
      </c>
      <c r="L270" s="201" t="str">
        <f>+COEF_FCM!C276</f>
        <v>LA GRANJA</v>
      </c>
      <c r="M270" s="201" t="str">
        <f>+COEF_FCM!P276</f>
        <v>SI</v>
      </c>
      <c r="N270" s="201">
        <f>+COEF_FCM!AA276</f>
        <v>13071</v>
      </c>
      <c r="O270" s="201">
        <f t="shared" si="14"/>
        <v>1</v>
      </c>
    </row>
    <row r="271" spans="1:15" ht="3" customHeight="1" x14ac:dyDescent="0.25">
      <c r="A271" s="327">
        <f t="shared" si="13"/>
        <v>13</v>
      </c>
      <c r="B271" s="328">
        <f>+'CALC MEC ESTAB Y ESTIM M FINAL'!B275</f>
        <v>13112</v>
      </c>
      <c r="C271" s="328" t="str">
        <f>+'CALC MEC ESTAB Y ESTIM M FINAL'!C275</f>
        <v>LA PINTANA</v>
      </c>
      <c r="D271" s="329">
        <f>+'CALC MEC ESTAB Y ESTIM M FINAL'!F275</f>
        <v>1.07406571199E-2</v>
      </c>
      <c r="E271" s="330">
        <f>+'CALC MEC ESTAB Y ESTIM M FINAL'!V275</f>
        <v>1206062</v>
      </c>
      <c r="F271" s="214"/>
      <c r="J271" s="201">
        <f>+COEF_FCM!A277</f>
        <v>13112</v>
      </c>
      <c r="K271" s="201">
        <f>+COEF_FCM!B277</f>
        <v>13154</v>
      </c>
      <c r="L271" s="201" t="str">
        <f>+COEF_FCM!C277</f>
        <v>LA PINTANA</v>
      </c>
      <c r="M271" s="201" t="str">
        <f>+COEF_FCM!P277</f>
        <v>SI</v>
      </c>
      <c r="N271" s="201">
        <f>+COEF_FCM!AA277</f>
        <v>16930</v>
      </c>
      <c r="O271" s="201">
        <f t="shared" si="14"/>
        <v>1</v>
      </c>
    </row>
    <row r="272" spans="1:15" ht="3" customHeight="1" x14ac:dyDescent="0.25">
      <c r="A272" s="327">
        <f t="shared" si="13"/>
        <v>13</v>
      </c>
      <c r="B272" s="328">
        <f>+'CALC MEC ESTAB Y ESTIM M FINAL'!B276</f>
        <v>13113</v>
      </c>
      <c r="C272" s="328" t="str">
        <f>+'CALC MEC ESTAB Y ESTIM M FINAL'!C276</f>
        <v>LA REINA</v>
      </c>
      <c r="D272" s="329">
        <f>+'CALC MEC ESTAB Y ESTIM M FINAL'!F276</f>
        <v>9.6982910549999997E-4</v>
      </c>
      <c r="E272" s="330">
        <f>+'CALC MEC ESTAB Y ESTIM M FINAL'!V276</f>
        <v>0</v>
      </c>
      <c r="F272" s="214"/>
      <c r="J272" s="201">
        <f>+COEF_FCM!A278</f>
        <v>13113</v>
      </c>
      <c r="K272" s="201">
        <f>+COEF_FCM!B278</f>
        <v>13132</v>
      </c>
      <c r="L272" s="201" t="str">
        <f>+COEF_FCM!C278</f>
        <v>LA REINA</v>
      </c>
      <c r="M272" s="201" t="str">
        <f>+COEF_FCM!P278</f>
        <v>NO</v>
      </c>
      <c r="N272" s="201">
        <f>+COEF_FCM!AA278</f>
        <v>0</v>
      </c>
      <c r="O272" s="201">
        <f t="shared" si="14"/>
        <v>0</v>
      </c>
    </row>
    <row r="273" spans="1:15" ht="3" customHeight="1" x14ac:dyDescent="0.25">
      <c r="A273" s="327">
        <f t="shared" si="13"/>
        <v>13</v>
      </c>
      <c r="B273" s="328">
        <f>+'CALC MEC ESTAB Y ESTIM M FINAL'!B277</f>
        <v>13114</v>
      </c>
      <c r="C273" s="328" t="str">
        <f>+'CALC MEC ESTAB Y ESTIM M FINAL'!C277</f>
        <v>LAS CONDES</v>
      </c>
      <c r="D273" s="329">
        <f>+'CALC MEC ESTAB Y ESTIM M FINAL'!F277</f>
        <v>1.0351035371E-3</v>
      </c>
      <c r="E273" s="330">
        <f>+'CALC MEC ESTAB Y ESTIM M FINAL'!V277</f>
        <v>2395101</v>
      </c>
      <c r="F273" s="214"/>
      <c r="J273" s="201">
        <f>+COEF_FCM!A279</f>
        <v>13114</v>
      </c>
      <c r="K273" s="201">
        <f>+COEF_FCM!B279</f>
        <v>13108</v>
      </c>
      <c r="L273" s="201" t="str">
        <f>+COEF_FCM!C279</f>
        <v>LAS CONDES</v>
      </c>
      <c r="M273" s="201" t="str">
        <f>+COEF_FCM!P279</f>
        <v>NO</v>
      </c>
      <c r="N273" s="201">
        <f>+COEF_FCM!AA279</f>
        <v>0</v>
      </c>
      <c r="O273" s="201">
        <f t="shared" si="14"/>
        <v>0</v>
      </c>
    </row>
    <row r="274" spans="1:15" ht="3" customHeight="1" x14ac:dyDescent="0.25">
      <c r="A274" s="327">
        <f t="shared" si="13"/>
        <v>13</v>
      </c>
      <c r="B274" s="328">
        <f>+'CALC MEC ESTAB Y ESTIM M FINAL'!B278</f>
        <v>13115</v>
      </c>
      <c r="C274" s="328" t="str">
        <f>+'CALC MEC ESTAB Y ESTIM M FINAL'!C278</f>
        <v>LO BARNECHEA</v>
      </c>
      <c r="D274" s="329">
        <f>+'CALC MEC ESTAB Y ESTIM M FINAL'!F278</f>
        <v>8.5706227579999993E-4</v>
      </c>
      <c r="E274" s="330">
        <f>+'CALC MEC ESTAB Y ESTIM M FINAL'!V278</f>
        <v>296746</v>
      </c>
      <c r="F274" s="214"/>
      <c r="J274" s="201">
        <f>+COEF_FCM!A280</f>
        <v>13115</v>
      </c>
      <c r="K274" s="201">
        <f>+COEF_FCM!B280</f>
        <v>13161</v>
      </c>
      <c r="L274" s="201" t="str">
        <f>+COEF_FCM!C280</f>
        <v>LO BARNECHEA</v>
      </c>
      <c r="M274" s="201" t="str">
        <f>+COEF_FCM!P280</f>
        <v>NO</v>
      </c>
      <c r="N274" s="201">
        <f>+COEF_FCM!AA280</f>
        <v>0</v>
      </c>
      <c r="O274" s="201">
        <f t="shared" si="14"/>
        <v>0</v>
      </c>
    </row>
    <row r="275" spans="1:15" ht="3" customHeight="1" x14ac:dyDescent="0.25">
      <c r="A275" s="327">
        <f t="shared" si="13"/>
        <v>13</v>
      </c>
      <c r="B275" s="328">
        <f>+'CALC MEC ESTAB Y ESTIM M FINAL'!B279</f>
        <v>13116</v>
      </c>
      <c r="C275" s="328" t="str">
        <f>+'CALC MEC ESTAB Y ESTIM M FINAL'!C279</f>
        <v>LO ESPEJO</v>
      </c>
      <c r="D275" s="329">
        <f>+'CALC MEC ESTAB Y ESTIM M FINAL'!F279</f>
        <v>5.4402377590000005E-3</v>
      </c>
      <c r="E275" s="330">
        <f>+'CALC MEC ESTAB Y ESTIM M FINAL'!V279</f>
        <v>0</v>
      </c>
      <c r="F275" s="214"/>
      <c r="J275" s="201">
        <f>+COEF_FCM!A281</f>
        <v>13116</v>
      </c>
      <c r="K275" s="201">
        <f>+COEF_FCM!B281</f>
        <v>13164</v>
      </c>
      <c r="L275" s="201" t="str">
        <f>+COEF_FCM!C281</f>
        <v>LO ESPEJO</v>
      </c>
      <c r="M275" s="201" t="str">
        <f>+COEF_FCM!P281</f>
        <v>SI</v>
      </c>
      <c r="N275" s="201">
        <f>+COEF_FCM!AA281</f>
        <v>9885</v>
      </c>
      <c r="O275" s="201">
        <f t="shared" si="14"/>
        <v>1</v>
      </c>
    </row>
    <row r="276" spans="1:15" ht="3" customHeight="1" x14ac:dyDescent="0.25">
      <c r="A276" s="327">
        <f t="shared" si="13"/>
        <v>13</v>
      </c>
      <c r="B276" s="328">
        <f>+'CALC MEC ESTAB Y ESTIM M FINAL'!B280</f>
        <v>13117</v>
      </c>
      <c r="C276" s="328" t="str">
        <f>+'CALC MEC ESTAB Y ESTIM M FINAL'!C280</f>
        <v>LO PRADO</v>
      </c>
      <c r="D276" s="329">
        <f>+'CALC MEC ESTAB Y ESTIM M FINAL'!F280</f>
        <v>5.6278162098000002E-3</v>
      </c>
      <c r="E276" s="330">
        <f>+'CALC MEC ESTAB Y ESTIM M FINAL'!V280</f>
        <v>831105</v>
      </c>
      <c r="F276" s="214"/>
      <c r="J276" s="201">
        <f>+COEF_FCM!A282</f>
        <v>13117</v>
      </c>
      <c r="K276" s="201">
        <f>+COEF_FCM!B282</f>
        <v>13155</v>
      </c>
      <c r="L276" s="201" t="str">
        <f>+COEF_FCM!C282</f>
        <v>LO PRADO</v>
      </c>
      <c r="M276" s="201" t="str">
        <f>+COEF_FCM!P282</f>
        <v>SI</v>
      </c>
      <c r="N276" s="201">
        <f>+COEF_FCM!AA282</f>
        <v>9329</v>
      </c>
      <c r="O276" s="201">
        <f t="shared" si="14"/>
        <v>1</v>
      </c>
    </row>
    <row r="277" spans="1:15" ht="3" customHeight="1" x14ac:dyDescent="0.25">
      <c r="A277" s="327">
        <f t="shared" si="13"/>
        <v>13</v>
      </c>
      <c r="B277" s="328">
        <f>+'CALC MEC ESTAB Y ESTIM M FINAL'!B281</f>
        <v>13118</v>
      </c>
      <c r="C277" s="328" t="str">
        <f>+'CALC MEC ESTAB Y ESTIM M FINAL'!C281</f>
        <v>MACUL</v>
      </c>
      <c r="D277" s="329">
        <f>+'CALC MEC ESTAB Y ESTIM M FINAL'!F281</f>
        <v>2.2530258258999999E-3</v>
      </c>
      <c r="E277" s="330">
        <f>+'CALC MEC ESTAB Y ESTIM M FINAL'!V281</f>
        <v>0</v>
      </c>
      <c r="F277" s="214"/>
      <c r="J277" s="201">
        <f>+COEF_FCM!A283</f>
        <v>13118</v>
      </c>
      <c r="K277" s="201">
        <f>+COEF_FCM!B283</f>
        <v>13151</v>
      </c>
      <c r="L277" s="201" t="str">
        <f>+COEF_FCM!C283</f>
        <v>MACUL</v>
      </c>
      <c r="M277" s="201" t="str">
        <f>+COEF_FCM!P283</f>
        <v>NO</v>
      </c>
      <c r="N277" s="201">
        <f>+COEF_FCM!AA283</f>
        <v>0</v>
      </c>
      <c r="O277" s="201">
        <f t="shared" si="14"/>
        <v>0</v>
      </c>
    </row>
    <row r="278" spans="1:15" ht="3" customHeight="1" x14ac:dyDescent="0.25">
      <c r="A278" s="327">
        <f t="shared" si="13"/>
        <v>13</v>
      </c>
      <c r="B278" s="328">
        <f>+'CALC MEC ESTAB Y ESTIM M FINAL'!B282</f>
        <v>13119</v>
      </c>
      <c r="C278" s="328" t="str">
        <f>+'CALC MEC ESTAB Y ESTIM M FINAL'!C282</f>
        <v>MAIPÚ</v>
      </c>
      <c r="D278" s="329">
        <f>+'CALC MEC ESTAB Y ESTIM M FINAL'!F282</f>
        <v>1.6760194407199999E-2</v>
      </c>
      <c r="E278" s="330">
        <f>+'CALC MEC ESTAB Y ESTIM M FINAL'!V282</f>
        <v>23179364</v>
      </c>
      <c r="F278" s="214"/>
      <c r="J278" s="201">
        <f>+COEF_FCM!A284</f>
        <v>13119</v>
      </c>
      <c r="K278" s="201">
        <f>+COEF_FCM!B284</f>
        <v>13109</v>
      </c>
      <c r="L278" s="201" t="str">
        <f>+COEF_FCM!C284</f>
        <v>MAIPÚ</v>
      </c>
      <c r="M278" s="201" t="str">
        <f>+COEF_FCM!P284</f>
        <v>SI</v>
      </c>
      <c r="N278" s="201">
        <f>+COEF_FCM!AA284</f>
        <v>76795</v>
      </c>
      <c r="O278" s="201">
        <f t="shared" si="14"/>
        <v>1</v>
      </c>
    </row>
    <row r="279" spans="1:15" ht="3" customHeight="1" x14ac:dyDescent="0.25">
      <c r="A279" s="327">
        <f t="shared" si="13"/>
        <v>13</v>
      </c>
      <c r="B279" s="328">
        <f>+'CALC MEC ESTAB Y ESTIM M FINAL'!B283</f>
        <v>13120</v>
      </c>
      <c r="C279" s="328" t="str">
        <f>+'CALC MEC ESTAB Y ESTIM M FINAL'!C283</f>
        <v>ÑUÑOA</v>
      </c>
      <c r="D279" s="329">
        <f>+'CALC MEC ESTAB Y ESTIM M FINAL'!F283</f>
        <v>1.5173743622999998E-3</v>
      </c>
      <c r="E279" s="330">
        <f>+'CALC MEC ESTAB Y ESTIM M FINAL'!V283</f>
        <v>220446</v>
      </c>
      <c r="F279" s="214"/>
      <c r="J279" s="201">
        <f>+COEF_FCM!A285</f>
        <v>13120</v>
      </c>
      <c r="K279" s="201">
        <f>+COEF_FCM!B285</f>
        <v>13105</v>
      </c>
      <c r="L279" s="201" t="str">
        <f>+COEF_FCM!C285</f>
        <v>ÑUÑOA</v>
      </c>
      <c r="M279" s="201" t="str">
        <f>+COEF_FCM!P285</f>
        <v>NO</v>
      </c>
      <c r="N279" s="201">
        <f>+COEF_FCM!AA285</f>
        <v>0</v>
      </c>
      <c r="O279" s="201">
        <f t="shared" si="14"/>
        <v>0</v>
      </c>
    </row>
    <row r="280" spans="1:15" ht="3" customHeight="1" x14ac:dyDescent="0.25">
      <c r="A280" s="327">
        <f t="shared" si="13"/>
        <v>13</v>
      </c>
      <c r="B280" s="328">
        <f>+'CALC MEC ESTAB Y ESTIM M FINAL'!B284</f>
        <v>13121</v>
      </c>
      <c r="C280" s="328" t="str">
        <f>+'CALC MEC ESTAB Y ESTIM M FINAL'!C284</f>
        <v>PEDRO AGUIRRE CERDA</v>
      </c>
      <c r="D280" s="329">
        <f>+'CALC MEC ESTAB Y ESTIM M FINAL'!F284</f>
        <v>5.0197417253999999E-3</v>
      </c>
      <c r="E280" s="330">
        <f>+'CALC MEC ESTAB Y ESTIM M FINAL'!V284</f>
        <v>0</v>
      </c>
      <c r="F280" s="214"/>
      <c r="J280" s="201">
        <f>+COEF_FCM!A286</f>
        <v>13121</v>
      </c>
      <c r="K280" s="201">
        <f>+COEF_FCM!B286</f>
        <v>13162</v>
      </c>
      <c r="L280" s="201" t="str">
        <f>+COEF_FCM!C286</f>
        <v>PEDRO AGUIRRE CERDA</v>
      </c>
      <c r="M280" s="201" t="str">
        <f>+COEF_FCM!P286</f>
        <v>SI</v>
      </c>
      <c r="N280" s="201">
        <f>+COEF_FCM!AA286</f>
        <v>18881</v>
      </c>
      <c r="O280" s="201">
        <f t="shared" si="14"/>
        <v>1</v>
      </c>
    </row>
    <row r="281" spans="1:15" ht="3" customHeight="1" x14ac:dyDescent="0.25">
      <c r="A281" s="327">
        <f t="shared" si="13"/>
        <v>13</v>
      </c>
      <c r="B281" s="328">
        <f>+'CALC MEC ESTAB Y ESTIM M FINAL'!B285</f>
        <v>13122</v>
      </c>
      <c r="C281" s="328" t="str">
        <f>+'CALC MEC ESTAB Y ESTIM M FINAL'!C285</f>
        <v>PEÑALOLÉN</v>
      </c>
      <c r="D281" s="329">
        <f>+'CALC MEC ESTAB Y ESTIM M FINAL'!F285</f>
        <v>3.3747732455999997E-3</v>
      </c>
      <c r="E281" s="330">
        <f>+'CALC MEC ESTAB Y ESTIM M FINAL'!V285</f>
        <v>10292111</v>
      </c>
      <c r="F281" s="214"/>
      <c r="J281" s="201">
        <f>+COEF_FCM!A287</f>
        <v>13122</v>
      </c>
      <c r="K281" s="201">
        <f>+COEF_FCM!B287</f>
        <v>13152</v>
      </c>
      <c r="L281" s="201" t="str">
        <f>+COEF_FCM!C287</f>
        <v>PEÑALOLÉN</v>
      </c>
      <c r="M281" s="201" t="str">
        <f>+COEF_FCM!P287</f>
        <v>NO</v>
      </c>
      <c r="N281" s="201">
        <f>+COEF_FCM!AA287</f>
        <v>0</v>
      </c>
      <c r="O281" s="201">
        <f t="shared" si="14"/>
        <v>0</v>
      </c>
    </row>
    <row r="282" spans="1:15" ht="3" customHeight="1" x14ac:dyDescent="0.25">
      <c r="A282" s="327">
        <f t="shared" si="13"/>
        <v>13</v>
      </c>
      <c r="B282" s="328">
        <f>+'CALC MEC ESTAB Y ESTIM M FINAL'!B286</f>
        <v>13123</v>
      </c>
      <c r="C282" s="328" t="str">
        <f>+'CALC MEC ESTAB Y ESTIM M FINAL'!C286</f>
        <v>PROVIDENCIA</v>
      </c>
      <c r="D282" s="329">
        <f>+'CALC MEC ESTAB Y ESTIM M FINAL'!F286</f>
        <v>1.0155509107000001E-3</v>
      </c>
      <c r="E282" s="330">
        <f>+'CALC MEC ESTAB Y ESTIM M FINAL'!V286</f>
        <v>659558</v>
      </c>
      <c r="F282" s="214"/>
      <c r="J282" s="201">
        <f>+COEF_FCM!A288</f>
        <v>13123</v>
      </c>
      <c r="K282" s="201">
        <f>+COEF_FCM!B288</f>
        <v>13103</v>
      </c>
      <c r="L282" s="201" t="str">
        <f>+COEF_FCM!C288</f>
        <v>PROVIDENCIA</v>
      </c>
      <c r="M282" s="201" t="str">
        <f>+COEF_FCM!P288</f>
        <v>NO</v>
      </c>
      <c r="N282" s="201">
        <f>+COEF_FCM!AA288</f>
        <v>0</v>
      </c>
      <c r="O282" s="201">
        <f t="shared" si="14"/>
        <v>0</v>
      </c>
    </row>
    <row r="283" spans="1:15" ht="3" customHeight="1" x14ac:dyDescent="0.25">
      <c r="A283" s="327">
        <f t="shared" si="13"/>
        <v>13</v>
      </c>
      <c r="B283" s="328">
        <f>+'CALC MEC ESTAB Y ESTIM M FINAL'!B287</f>
        <v>13124</v>
      </c>
      <c r="C283" s="328" t="str">
        <f>+'CALC MEC ESTAB Y ESTIM M FINAL'!C287</f>
        <v>PUDAHUEL</v>
      </c>
      <c r="D283" s="329">
        <f>+'CALC MEC ESTAB Y ESTIM M FINAL'!F287</f>
        <v>4.7466246455000003E-3</v>
      </c>
      <c r="E283" s="330">
        <f>+'CALC MEC ESTAB Y ESTIM M FINAL'!V287</f>
        <v>7846853</v>
      </c>
      <c r="F283" s="214"/>
      <c r="J283" s="201">
        <f>+COEF_FCM!A289</f>
        <v>13124</v>
      </c>
      <c r="K283" s="201">
        <f>+COEF_FCM!B289</f>
        <v>13111</v>
      </c>
      <c r="L283" s="201" t="str">
        <f>+COEF_FCM!C289</f>
        <v>PUDAHUEL</v>
      </c>
      <c r="M283" s="201" t="str">
        <f>+COEF_FCM!P289</f>
        <v>SI</v>
      </c>
      <c r="N283" s="201">
        <f>+COEF_FCM!AA289</f>
        <v>83210</v>
      </c>
      <c r="O283" s="201">
        <f t="shared" si="14"/>
        <v>1</v>
      </c>
    </row>
    <row r="284" spans="1:15" ht="3" customHeight="1" x14ac:dyDescent="0.25">
      <c r="A284" s="327">
        <f t="shared" si="13"/>
        <v>13</v>
      </c>
      <c r="B284" s="328">
        <f>+'CALC MEC ESTAB Y ESTIM M FINAL'!B288</f>
        <v>13125</v>
      </c>
      <c r="C284" s="328" t="str">
        <f>+'CALC MEC ESTAB Y ESTIM M FINAL'!C288</f>
        <v>QUILICURA</v>
      </c>
      <c r="D284" s="329">
        <f>+'CALC MEC ESTAB Y ESTIM M FINAL'!F288</f>
        <v>5.2495699364999999E-3</v>
      </c>
      <c r="E284" s="330">
        <f>+'CALC MEC ESTAB Y ESTIM M FINAL'!V288</f>
        <v>0</v>
      </c>
      <c r="F284" s="214"/>
      <c r="J284" s="201">
        <f>+COEF_FCM!A290</f>
        <v>13125</v>
      </c>
      <c r="K284" s="201">
        <f>+COEF_FCM!B290</f>
        <v>13114</v>
      </c>
      <c r="L284" s="201" t="str">
        <f>+COEF_FCM!C290</f>
        <v>QUILICURA</v>
      </c>
      <c r="M284" s="201" t="str">
        <f>+COEF_FCM!P290</f>
        <v>SI</v>
      </c>
      <c r="N284" s="201">
        <f>+COEF_FCM!AA290</f>
        <v>28756</v>
      </c>
      <c r="O284" s="201">
        <f t="shared" si="14"/>
        <v>1</v>
      </c>
    </row>
    <row r="285" spans="1:15" ht="3" customHeight="1" x14ac:dyDescent="0.25">
      <c r="A285" s="327">
        <f t="shared" si="13"/>
        <v>13</v>
      </c>
      <c r="B285" s="328">
        <f>+'CALC MEC ESTAB Y ESTIM M FINAL'!B289</f>
        <v>13126</v>
      </c>
      <c r="C285" s="328" t="str">
        <f>+'CALC MEC ESTAB Y ESTIM M FINAL'!C289</f>
        <v>QUINTA NORMAL</v>
      </c>
      <c r="D285" s="329">
        <f>+'CALC MEC ESTAB Y ESTIM M FINAL'!F289</f>
        <v>4.2818432396E-3</v>
      </c>
      <c r="E285" s="330">
        <f>+'CALC MEC ESTAB Y ESTIM M FINAL'!V289</f>
        <v>65500</v>
      </c>
      <c r="F285" s="214"/>
      <c r="J285" s="201">
        <f>+COEF_FCM!A291</f>
        <v>13126</v>
      </c>
      <c r="K285" s="201">
        <f>+COEF_FCM!B291</f>
        <v>13107</v>
      </c>
      <c r="L285" s="201" t="str">
        <f>+COEF_FCM!C291</f>
        <v>QUINTA NORMAL</v>
      </c>
      <c r="M285" s="201" t="str">
        <f>+COEF_FCM!P291</f>
        <v>SI</v>
      </c>
      <c r="N285" s="201">
        <f>+COEF_FCM!AA291</f>
        <v>20505</v>
      </c>
      <c r="O285" s="201">
        <f t="shared" si="14"/>
        <v>1</v>
      </c>
    </row>
    <row r="286" spans="1:15" ht="3" customHeight="1" x14ac:dyDescent="0.25">
      <c r="A286" s="327">
        <f t="shared" si="13"/>
        <v>13</v>
      </c>
      <c r="B286" s="328">
        <f>+'CALC MEC ESTAB Y ESTIM M FINAL'!B290</f>
        <v>13127</v>
      </c>
      <c r="C286" s="328" t="str">
        <f>+'CALC MEC ESTAB Y ESTIM M FINAL'!C290</f>
        <v>RECOLETA</v>
      </c>
      <c r="D286" s="329">
        <f>+'CALC MEC ESTAB Y ESTIM M FINAL'!F290</f>
        <v>3.0714296154999996E-3</v>
      </c>
      <c r="E286" s="330">
        <f>+'CALC MEC ESTAB Y ESTIM M FINAL'!V290</f>
        <v>63881</v>
      </c>
      <c r="F286" s="214"/>
      <c r="J286" s="201">
        <f>+COEF_FCM!A292</f>
        <v>13127</v>
      </c>
      <c r="K286" s="201">
        <f>+COEF_FCM!B292</f>
        <v>13159</v>
      </c>
      <c r="L286" s="201" t="str">
        <f>+COEF_FCM!C292</f>
        <v>RECOLETA</v>
      </c>
      <c r="M286" s="201" t="str">
        <f>+COEF_FCM!P292</f>
        <v>SI</v>
      </c>
      <c r="N286" s="201">
        <f>+COEF_FCM!AA292</f>
        <v>23911</v>
      </c>
      <c r="O286" s="201">
        <f t="shared" si="14"/>
        <v>1</v>
      </c>
    </row>
    <row r="287" spans="1:15" ht="3" customHeight="1" x14ac:dyDescent="0.25">
      <c r="A287" s="327">
        <f t="shared" si="13"/>
        <v>13</v>
      </c>
      <c r="B287" s="328">
        <f>+'CALC MEC ESTAB Y ESTIM M FINAL'!B291</f>
        <v>13128</v>
      </c>
      <c r="C287" s="328" t="str">
        <f>+'CALC MEC ESTAB Y ESTIM M FINAL'!C291</f>
        <v>RENCA</v>
      </c>
      <c r="D287" s="329">
        <f>+'CALC MEC ESTAB Y ESTIM M FINAL'!F291</f>
        <v>4.2843710514999999E-3</v>
      </c>
      <c r="E287" s="330">
        <f>+'CALC MEC ESTAB Y ESTIM M FINAL'!V291</f>
        <v>0</v>
      </c>
      <c r="F287" s="214"/>
      <c r="J287" s="201">
        <f>+COEF_FCM!A293</f>
        <v>13128</v>
      </c>
      <c r="K287" s="201">
        <f>+COEF_FCM!B293</f>
        <v>13113</v>
      </c>
      <c r="L287" s="201" t="str">
        <f>+COEF_FCM!C293</f>
        <v>RENCA</v>
      </c>
      <c r="M287" s="201" t="str">
        <f>+COEF_FCM!P293</f>
        <v>SI</v>
      </c>
      <c r="N287" s="201">
        <f>+COEF_FCM!AA293</f>
        <v>15472</v>
      </c>
      <c r="O287" s="201">
        <f t="shared" si="14"/>
        <v>1</v>
      </c>
    </row>
    <row r="288" spans="1:15" ht="3" customHeight="1" x14ac:dyDescent="0.25">
      <c r="A288" s="327">
        <f t="shared" si="13"/>
        <v>13</v>
      </c>
      <c r="B288" s="328">
        <f>+'CALC MEC ESTAB Y ESTIM M FINAL'!B292</f>
        <v>13129</v>
      </c>
      <c r="C288" s="328" t="str">
        <f>+'CALC MEC ESTAB Y ESTIM M FINAL'!C292</f>
        <v>SAN JOAQUÍN</v>
      </c>
      <c r="D288" s="329">
        <f>+'CALC MEC ESTAB Y ESTIM M FINAL'!F292</f>
        <v>2.4094108474999997E-3</v>
      </c>
      <c r="E288" s="330">
        <f>+'CALC MEC ESTAB Y ESTIM M FINAL'!V292</f>
        <v>0</v>
      </c>
      <c r="F288" s="214"/>
      <c r="J288" s="201">
        <f>+COEF_FCM!A294</f>
        <v>13129</v>
      </c>
      <c r="K288" s="201">
        <f>+COEF_FCM!B294</f>
        <v>13163</v>
      </c>
      <c r="L288" s="201" t="str">
        <f>+COEF_FCM!C294</f>
        <v>SAN JOAQUÍN</v>
      </c>
      <c r="M288" s="201" t="str">
        <f>+COEF_FCM!P294</f>
        <v>SI</v>
      </c>
      <c r="N288" s="201">
        <f>+COEF_FCM!AA294</f>
        <v>16281</v>
      </c>
      <c r="O288" s="201">
        <f t="shared" si="14"/>
        <v>1</v>
      </c>
    </row>
    <row r="289" spans="1:15" ht="3" customHeight="1" x14ac:dyDescent="0.25">
      <c r="A289" s="327">
        <f t="shared" si="13"/>
        <v>13</v>
      </c>
      <c r="B289" s="328">
        <f>+'CALC MEC ESTAB Y ESTIM M FINAL'!B293</f>
        <v>13130</v>
      </c>
      <c r="C289" s="328" t="str">
        <f>+'CALC MEC ESTAB Y ESTIM M FINAL'!C293</f>
        <v>SAN MIGUEL</v>
      </c>
      <c r="D289" s="329">
        <f>+'CALC MEC ESTAB Y ESTIM M FINAL'!F293</f>
        <v>1.6700364763000001E-3</v>
      </c>
      <c r="E289" s="330">
        <f>+'CALC MEC ESTAB Y ESTIM M FINAL'!V293</f>
        <v>0</v>
      </c>
      <c r="F289" s="214"/>
      <c r="J289" s="201">
        <f>+COEF_FCM!A295</f>
        <v>13130</v>
      </c>
      <c r="K289" s="201">
        <f>+COEF_FCM!B295</f>
        <v>13106</v>
      </c>
      <c r="L289" s="201" t="str">
        <f>+COEF_FCM!C295</f>
        <v>SAN MIGUEL</v>
      </c>
      <c r="M289" s="201" t="str">
        <f>+COEF_FCM!P295</f>
        <v>NO</v>
      </c>
      <c r="N289" s="201">
        <f>+COEF_FCM!AA295</f>
        <v>0</v>
      </c>
      <c r="O289" s="201">
        <f t="shared" si="14"/>
        <v>0</v>
      </c>
    </row>
    <row r="290" spans="1:15" ht="3" customHeight="1" x14ac:dyDescent="0.25">
      <c r="A290" s="327">
        <f t="shared" si="13"/>
        <v>13</v>
      </c>
      <c r="B290" s="328">
        <f>+'CALC MEC ESTAB Y ESTIM M FINAL'!B294</f>
        <v>13131</v>
      </c>
      <c r="C290" s="328" t="str">
        <f>+'CALC MEC ESTAB Y ESTIM M FINAL'!C294</f>
        <v>SAN RAMÓN</v>
      </c>
      <c r="D290" s="329">
        <f>+'CALC MEC ESTAB Y ESTIM M FINAL'!F294</f>
        <v>4.5430761303E-3</v>
      </c>
      <c r="E290" s="330">
        <f>+'CALC MEC ESTAB Y ESTIM M FINAL'!V294</f>
        <v>604503</v>
      </c>
      <c r="F290" s="214"/>
      <c r="J290" s="201">
        <f>+COEF_FCM!A296</f>
        <v>13131</v>
      </c>
      <c r="K290" s="201">
        <f>+COEF_FCM!B296</f>
        <v>13153</v>
      </c>
      <c r="L290" s="201" t="str">
        <f>+COEF_FCM!C296</f>
        <v>SAN RAMÓN</v>
      </c>
      <c r="M290" s="201" t="str">
        <f>+COEF_FCM!P296</f>
        <v>SI</v>
      </c>
      <c r="N290" s="201">
        <f>+COEF_FCM!AA296</f>
        <v>11997</v>
      </c>
      <c r="O290" s="201">
        <f t="shared" si="14"/>
        <v>1</v>
      </c>
    </row>
    <row r="291" spans="1:15" ht="3" customHeight="1" x14ac:dyDescent="0.25">
      <c r="A291" s="327">
        <f t="shared" si="13"/>
        <v>13</v>
      </c>
      <c r="B291" s="328">
        <f>+'CALC MEC ESTAB Y ESTIM M FINAL'!B295</f>
        <v>13132</v>
      </c>
      <c r="C291" s="328" t="str">
        <f>+'CALC MEC ESTAB Y ESTIM M FINAL'!C295</f>
        <v>VITACURA</v>
      </c>
      <c r="D291" s="329">
        <f>+'CALC MEC ESTAB Y ESTIM M FINAL'!F295</f>
        <v>7.9058330120000003E-4</v>
      </c>
      <c r="E291" s="330">
        <f>+'CALC MEC ESTAB Y ESTIM M FINAL'!V295</f>
        <v>285989</v>
      </c>
      <c r="F291" s="214"/>
      <c r="J291" s="201">
        <f>+COEF_FCM!A297</f>
        <v>13132</v>
      </c>
      <c r="K291" s="201">
        <f>+COEF_FCM!B297</f>
        <v>13160</v>
      </c>
      <c r="L291" s="201" t="str">
        <f>+COEF_FCM!C297</f>
        <v>VITACURA</v>
      </c>
      <c r="M291" s="201" t="str">
        <f>+COEF_FCM!P297</f>
        <v>NO</v>
      </c>
      <c r="N291" s="201">
        <f>+COEF_FCM!AA297</f>
        <v>0</v>
      </c>
      <c r="O291" s="201">
        <f t="shared" si="14"/>
        <v>0</v>
      </c>
    </row>
    <row r="292" spans="1:15" ht="3" customHeight="1" x14ac:dyDescent="0.25">
      <c r="A292" s="327">
        <f t="shared" si="13"/>
        <v>13</v>
      </c>
      <c r="B292" s="328">
        <f>+'CALC MEC ESTAB Y ESTIM M FINAL'!B296</f>
        <v>13201</v>
      </c>
      <c r="C292" s="328" t="str">
        <f>+'CALC MEC ESTAB Y ESTIM M FINAL'!C296</f>
        <v>PUENTE ALTO</v>
      </c>
      <c r="D292" s="329">
        <f>+'CALC MEC ESTAB Y ESTIM M FINAL'!F296</f>
        <v>2.74720472358E-2</v>
      </c>
      <c r="E292" s="330">
        <f>+'CALC MEC ESTAB Y ESTIM M FINAL'!V296</f>
        <v>8092700</v>
      </c>
      <c r="F292" s="214"/>
      <c r="J292" s="201">
        <f>+COEF_FCM!A298</f>
        <v>13201</v>
      </c>
      <c r="K292" s="201">
        <f>+COEF_FCM!B298</f>
        <v>13301</v>
      </c>
      <c r="L292" s="201" t="str">
        <f>+COEF_FCM!C298</f>
        <v>PUENTE ALTO</v>
      </c>
      <c r="M292" s="201" t="str">
        <f>+COEF_FCM!P298</f>
        <v>SI</v>
      </c>
      <c r="N292" s="201">
        <f>+COEF_FCM!AA298</f>
        <v>70102</v>
      </c>
      <c r="O292" s="201">
        <f t="shared" si="14"/>
        <v>1</v>
      </c>
    </row>
    <row r="293" spans="1:15" ht="3" customHeight="1" x14ac:dyDescent="0.25">
      <c r="A293" s="327">
        <f t="shared" si="13"/>
        <v>13</v>
      </c>
      <c r="B293" s="328">
        <f>+'CALC MEC ESTAB Y ESTIM M FINAL'!B297</f>
        <v>13202</v>
      </c>
      <c r="C293" s="328" t="str">
        <f>+'CALC MEC ESTAB Y ESTIM M FINAL'!C297</f>
        <v>PIRQUE</v>
      </c>
      <c r="D293" s="329">
        <f>+'CALC MEC ESTAB Y ESTIM M FINAL'!F297</f>
        <v>9.0535010859999995E-4</v>
      </c>
      <c r="E293" s="330">
        <f>+'CALC MEC ESTAB Y ESTIM M FINAL'!V297</f>
        <v>0</v>
      </c>
      <c r="F293" s="214"/>
      <c r="J293" s="201">
        <f>+COEF_FCM!A299</f>
        <v>13202</v>
      </c>
      <c r="K293" s="201">
        <f>+COEF_FCM!B299</f>
        <v>13302</v>
      </c>
      <c r="L293" s="201" t="str">
        <f>+COEF_FCM!C299</f>
        <v>PIRQUE</v>
      </c>
      <c r="M293" s="201" t="str">
        <f>+COEF_FCM!P299</f>
        <v>NO</v>
      </c>
      <c r="N293" s="201">
        <f>+COEF_FCM!AA299</f>
        <v>0</v>
      </c>
      <c r="O293" s="201">
        <f t="shared" si="14"/>
        <v>0</v>
      </c>
    </row>
    <row r="294" spans="1:15" ht="3" customHeight="1" x14ac:dyDescent="0.25">
      <c r="A294" s="327">
        <f t="shared" si="13"/>
        <v>13</v>
      </c>
      <c r="B294" s="328">
        <f>+'CALC MEC ESTAB Y ESTIM M FINAL'!B298</f>
        <v>13203</v>
      </c>
      <c r="C294" s="328" t="str">
        <f>+'CALC MEC ESTAB Y ESTIM M FINAL'!C298</f>
        <v>SAN JOSÉ DE MAIPO</v>
      </c>
      <c r="D294" s="329">
        <f>+'CALC MEC ESTAB Y ESTIM M FINAL'!F298</f>
        <v>8.9743750479999993E-4</v>
      </c>
      <c r="E294" s="330">
        <f>+'CALC MEC ESTAB Y ESTIM M FINAL'!V298</f>
        <v>0</v>
      </c>
      <c r="F294" s="214"/>
      <c r="J294" s="201">
        <f>+COEF_FCM!A300</f>
        <v>13203</v>
      </c>
      <c r="K294" s="201">
        <f>+COEF_FCM!B300</f>
        <v>13303</v>
      </c>
      <c r="L294" s="201" t="str">
        <f>+COEF_FCM!C300</f>
        <v>SAN JOSÉ DE MAIPO</v>
      </c>
      <c r="M294" s="201" t="str">
        <f>+COEF_FCM!P300</f>
        <v>NO</v>
      </c>
      <c r="N294" s="201">
        <f>+COEF_FCM!AA300</f>
        <v>0</v>
      </c>
      <c r="O294" s="201">
        <f t="shared" si="14"/>
        <v>0</v>
      </c>
    </row>
    <row r="295" spans="1:15" ht="3" customHeight="1" x14ac:dyDescent="0.25">
      <c r="A295" s="327">
        <f t="shared" si="13"/>
        <v>13</v>
      </c>
      <c r="B295" s="328">
        <f>+'CALC MEC ESTAB Y ESTIM M FINAL'!B299</f>
        <v>13301</v>
      </c>
      <c r="C295" s="328" t="str">
        <f>+'CALC MEC ESTAB Y ESTIM M FINAL'!C299</f>
        <v>COLINA</v>
      </c>
      <c r="D295" s="329">
        <f>+'CALC MEC ESTAB Y ESTIM M FINAL'!F299</f>
        <v>2.7130212060999998E-3</v>
      </c>
      <c r="E295" s="330">
        <f>+'CALC MEC ESTAB Y ESTIM M FINAL'!V299</f>
        <v>0</v>
      </c>
      <c r="F295" s="214"/>
      <c r="J295" s="201">
        <f>+COEF_FCM!A301</f>
        <v>13301</v>
      </c>
      <c r="K295" s="201">
        <f>+COEF_FCM!B301</f>
        <v>13201</v>
      </c>
      <c r="L295" s="201" t="str">
        <f>+COEF_FCM!C301</f>
        <v>COLINA</v>
      </c>
      <c r="M295" s="201" t="str">
        <f>+COEF_FCM!P301</f>
        <v>NO</v>
      </c>
      <c r="N295" s="201">
        <f>+COEF_FCM!AA301</f>
        <v>0</v>
      </c>
      <c r="O295" s="201">
        <f t="shared" si="14"/>
        <v>0</v>
      </c>
    </row>
    <row r="296" spans="1:15" ht="3" customHeight="1" x14ac:dyDescent="0.25">
      <c r="A296" s="327">
        <f t="shared" si="13"/>
        <v>13</v>
      </c>
      <c r="B296" s="328">
        <f>+'CALC MEC ESTAB Y ESTIM M FINAL'!B300</f>
        <v>13302</v>
      </c>
      <c r="C296" s="328" t="str">
        <f>+'CALC MEC ESTAB Y ESTIM M FINAL'!C300</f>
        <v>LAMPA</v>
      </c>
      <c r="D296" s="329">
        <f>+'CALC MEC ESTAB Y ESTIM M FINAL'!F300</f>
        <v>2.3651290875E-3</v>
      </c>
      <c r="E296" s="330">
        <f>+'CALC MEC ESTAB Y ESTIM M FINAL'!V300</f>
        <v>0</v>
      </c>
      <c r="F296" s="214"/>
      <c r="J296" s="201">
        <f>+COEF_FCM!A302</f>
        <v>13302</v>
      </c>
      <c r="K296" s="201">
        <f>+COEF_FCM!B302</f>
        <v>13202</v>
      </c>
      <c r="L296" s="201" t="str">
        <f>+COEF_FCM!C302</f>
        <v>LAMPA</v>
      </c>
      <c r="M296" s="201" t="str">
        <f>+COEF_FCM!P302</f>
        <v>NO</v>
      </c>
      <c r="N296" s="201">
        <f>+COEF_FCM!AA302</f>
        <v>0</v>
      </c>
      <c r="O296" s="201">
        <f t="shared" si="14"/>
        <v>0</v>
      </c>
    </row>
    <row r="297" spans="1:15" ht="3" customHeight="1" x14ac:dyDescent="0.25">
      <c r="A297" s="327">
        <f t="shared" si="13"/>
        <v>13</v>
      </c>
      <c r="B297" s="328">
        <f>+'CALC MEC ESTAB Y ESTIM M FINAL'!B301</f>
        <v>13303</v>
      </c>
      <c r="C297" s="328" t="str">
        <f>+'CALC MEC ESTAB Y ESTIM M FINAL'!C301</f>
        <v>TILTIL</v>
      </c>
      <c r="D297" s="329">
        <f>+'CALC MEC ESTAB Y ESTIM M FINAL'!F301</f>
        <v>1.0366466442999999E-3</v>
      </c>
      <c r="E297" s="330">
        <f>+'CALC MEC ESTAB Y ESTIM M FINAL'!V301</f>
        <v>0</v>
      </c>
      <c r="F297" s="214"/>
      <c r="J297" s="201">
        <f>+COEF_FCM!A303</f>
        <v>13303</v>
      </c>
      <c r="K297" s="201">
        <f>+COEF_FCM!B303</f>
        <v>13203</v>
      </c>
      <c r="L297" s="201" t="str">
        <f>+COEF_FCM!C303</f>
        <v>TILTIL</v>
      </c>
      <c r="M297" s="201" t="str">
        <f>+COEF_FCM!P303</f>
        <v>NO</v>
      </c>
      <c r="N297" s="201">
        <f>+COEF_FCM!AA303</f>
        <v>0</v>
      </c>
      <c r="O297" s="201">
        <f t="shared" si="14"/>
        <v>0</v>
      </c>
    </row>
    <row r="298" spans="1:15" ht="3" customHeight="1" x14ac:dyDescent="0.25">
      <c r="A298" s="327">
        <f t="shared" si="13"/>
        <v>13</v>
      </c>
      <c r="B298" s="328">
        <f>+'CALC MEC ESTAB Y ESTIM M FINAL'!B302</f>
        <v>13401</v>
      </c>
      <c r="C298" s="328" t="str">
        <f>+'CALC MEC ESTAB Y ESTIM M FINAL'!C302</f>
        <v>SAN BERNARDO</v>
      </c>
      <c r="D298" s="329">
        <f>+'CALC MEC ESTAB Y ESTIM M FINAL'!F302</f>
        <v>7.3298234407999999E-3</v>
      </c>
      <c r="E298" s="330">
        <f>+'CALC MEC ESTAB Y ESTIM M FINAL'!V302</f>
        <v>5051777</v>
      </c>
      <c r="F298" s="214"/>
      <c r="J298" s="201">
        <f>+COEF_FCM!A304</f>
        <v>13401</v>
      </c>
      <c r="K298" s="201">
        <f>+COEF_FCM!B304</f>
        <v>13401</v>
      </c>
      <c r="L298" s="201" t="str">
        <f>+COEF_FCM!C304</f>
        <v>SAN BERNARDO</v>
      </c>
      <c r="M298" s="201" t="str">
        <f>+COEF_FCM!P304</f>
        <v>SI</v>
      </c>
      <c r="N298" s="201">
        <f>+COEF_FCM!AA304</f>
        <v>49039</v>
      </c>
      <c r="O298" s="201">
        <f t="shared" si="14"/>
        <v>1</v>
      </c>
    </row>
    <row r="299" spans="1:15" ht="3" customHeight="1" x14ac:dyDescent="0.25">
      <c r="A299" s="327">
        <f t="shared" si="13"/>
        <v>13</v>
      </c>
      <c r="B299" s="328">
        <f>+'CALC MEC ESTAB Y ESTIM M FINAL'!B303</f>
        <v>13402</v>
      </c>
      <c r="C299" s="328" t="str">
        <f>+'CALC MEC ESTAB Y ESTIM M FINAL'!C303</f>
        <v>BUIN</v>
      </c>
      <c r="D299" s="329">
        <f>+'CALC MEC ESTAB Y ESTIM M FINAL'!F303</f>
        <v>2.3225458963999999E-3</v>
      </c>
      <c r="E299" s="330">
        <f>+'CALC MEC ESTAB Y ESTIM M FINAL'!V303</f>
        <v>0</v>
      </c>
      <c r="F299" s="214"/>
      <c r="J299" s="201">
        <f>+COEF_FCM!A305</f>
        <v>13402</v>
      </c>
      <c r="K299" s="201">
        <f>+COEF_FCM!B305</f>
        <v>13403</v>
      </c>
      <c r="L299" s="201" t="str">
        <f>+COEF_FCM!C305</f>
        <v>BUIN</v>
      </c>
      <c r="M299" s="201" t="str">
        <f>+COEF_FCM!P305</f>
        <v>NO</v>
      </c>
      <c r="N299" s="201">
        <f>+COEF_FCM!AA305</f>
        <v>0</v>
      </c>
      <c r="O299" s="201">
        <f t="shared" si="14"/>
        <v>0</v>
      </c>
    </row>
    <row r="300" spans="1:15" ht="3" customHeight="1" x14ac:dyDescent="0.25">
      <c r="A300" s="327">
        <f t="shared" si="13"/>
        <v>13</v>
      </c>
      <c r="B300" s="328">
        <f>+'CALC MEC ESTAB Y ESTIM M FINAL'!B304</f>
        <v>13403</v>
      </c>
      <c r="C300" s="328" t="str">
        <f>+'CALC MEC ESTAB Y ESTIM M FINAL'!C304</f>
        <v>CALERA DE TANGO</v>
      </c>
      <c r="D300" s="329">
        <f>+'CALC MEC ESTAB Y ESTIM M FINAL'!F304</f>
        <v>9.3255851319999996E-4</v>
      </c>
      <c r="E300" s="330">
        <f>+'CALC MEC ESTAB Y ESTIM M FINAL'!V304</f>
        <v>0</v>
      </c>
      <c r="F300" s="214"/>
      <c r="J300" s="201">
        <f>+COEF_FCM!A306</f>
        <v>13403</v>
      </c>
      <c r="K300" s="201">
        <f>+COEF_FCM!B306</f>
        <v>13402</v>
      </c>
      <c r="L300" s="201" t="str">
        <f>+COEF_FCM!C306</f>
        <v>CALERA DE TANGO</v>
      </c>
      <c r="M300" s="201" t="str">
        <f>+COEF_FCM!P306</f>
        <v>NO</v>
      </c>
      <c r="N300" s="201">
        <f>+COEF_FCM!AA306</f>
        <v>0</v>
      </c>
      <c r="O300" s="201">
        <f t="shared" si="14"/>
        <v>0</v>
      </c>
    </row>
    <row r="301" spans="1:15" ht="3" customHeight="1" x14ac:dyDescent="0.25">
      <c r="A301" s="327">
        <f t="shared" si="13"/>
        <v>13</v>
      </c>
      <c r="B301" s="328">
        <f>+'CALC MEC ESTAB Y ESTIM M FINAL'!B305</f>
        <v>13404</v>
      </c>
      <c r="C301" s="328" t="str">
        <f>+'CALC MEC ESTAB Y ESTIM M FINAL'!C305</f>
        <v>PAINE</v>
      </c>
      <c r="D301" s="329">
        <f>+'CALC MEC ESTAB Y ESTIM M FINAL'!F305</f>
        <v>1.9200648464999998E-3</v>
      </c>
      <c r="E301" s="330">
        <f>+'CALC MEC ESTAB Y ESTIM M FINAL'!V305</f>
        <v>54903</v>
      </c>
      <c r="F301" s="214"/>
      <c r="J301" s="201">
        <f>+COEF_FCM!A307</f>
        <v>13404</v>
      </c>
      <c r="K301" s="201">
        <f>+COEF_FCM!B307</f>
        <v>13404</v>
      </c>
      <c r="L301" s="201" t="str">
        <f>+COEF_FCM!C307</f>
        <v>PAINE</v>
      </c>
      <c r="M301" s="201" t="str">
        <f>+COEF_FCM!P307</f>
        <v>NO</v>
      </c>
      <c r="N301" s="201">
        <f>+COEF_FCM!AA307</f>
        <v>0</v>
      </c>
      <c r="O301" s="201">
        <f t="shared" si="14"/>
        <v>0</v>
      </c>
    </row>
    <row r="302" spans="1:15" ht="3" customHeight="1" x14ac:dyDescent="0.25">
      <c r="A302" s="327">
        <f t="shared" si="13"/>
        <v>13</v>
      </c>
      <c r="B302" s="328">
        <f>+'CALC MEC ESTAB Y ESTIM M FINAL'!B306</f>
        <v>13501</v>
      </c>
      <c r="C302" s="328" t="str">
        <f>+'CALC MEC ESTAB Y ESTIM M FINAL'!C306</f>
        <v>MELIPILLA</v>
      </c>
      <c r="D302" s="329">
        <f>+'CALC MEC ESTAB Y ESTIM M FINAL'!F306</f>
        <v>1.07352913384E-2</v>
      </c>
      <c r="E302" s="330">
        <f>+'CALC MEC ESTAB Y ESTIM M FINAL'!V306</f>
        <v>0</v>
      </c>
      <c r="F302" s="214"/>
      <c r="J302" s="201">
        <f>+COEF_FCM!A308</f>
        <v>13501</v>
      </c>
      <c r="K302" s="201">
        <f>+COEF_FCM!B308</f>
        <v>13601</v>
      </c>
      <c r="L302" s="201" t="str">
        <f>+COEF_FCM!C308</f>
        <v>MELIPILLA</v>
      </c>
      <c r="M302" s="201" t="str">
        <f>+COEF_FCM!P308</f>
        <v>SI</v>
      </c>
      <c r="N302" s="201">
        <f>+COEF_FCM!AA308</f>
        <v>132975</v>
      </c>
      <c r="O302" s="201">
        <f t="shared" si="14"/>
        <v>1</v>
      </c>
    </row>
    <row r="303" spans="1:15" ht="3" customHeight="1" x14ac:dyDescent="0.25">
      <c r="A303" s="327">
        <f t="shared" si="13"/>
        <v>13</v>
      </c>
      <c r="B303" s="328">
        <f>+'CALC MEC ESTAB Y ESTIM M FINAL'!B307</f>
        <v>13502</v>
      </c>
      <c r="C303" s="328" t="str">
        <f>+'CALC MEC ESTAB Y ESTIM M FINAL'!C307</f>
        <v>ALHUÉ</v>
      </c>
      <c r="D303" s="329">
        <f>+'CALC MEC ESTAB Y ESTIM M FINAL'!F307</f>
        <v>9.005805090999999E-4</v>
      </c>
      <c r="E303" s="330">
        <f>+'CALC MEC ESTAB Y ESTIM M FINAL'!V307</f>
        <v>0</v>
      </c>
      <c r="F303" s="214"/>
      <c r="J303" s="201">
        <f>+COEF_FCM!A309</f>
        <v>13502</v>
      </c>
      <c r="K303" s="201">
        <f>+COEF_FCM!B309</f>
        <v>13605</v>
      </c>
      <c r="L303" s="201" t="str">
        <f>+COEF_FCM!C309</f>
        <v>ALHUÉ</v>
      </c>
      <c r="M303" s="201" t="str">
        <f>+COEF_FCM!P309</f>
        <v>NO</v>
      </c>
      <c r="N303" s="201">
        <f>+COEF_FCM!AA309</f>
        <v>0</v>
      </c>
      <c r="O303" s="201">
        <f t="shared" si="14"/>
        <v>0</v>
      </c>
    </row>
    <row r="304" spans="1:15" ht="3" customHeight="1" x14ac:dyDescent="0.25">
      <c r="A304" s="327">
        <f t="shared" si="13"/>
        <v>13</v>
      </c>
      <c r="B304" s="328">
        <f>+'CALC MEC ESTAB Y ESTIM M FINAL'!B308</f>
        <v>13503</v>
      </c>
      <c r="C304" s="328" t="str">
        <f>+'CALC MEC ESTAB Y ESTIM M FINAL'!C308</f>
        <v>CURACAVÍ</v>
      </c>
      <c r="D304" s="329">
        <f>+'CALC MEC ESTAB Y ESTIM M FINAL'!F308</f>
        <v>1.3305783451E-3</v>
      </c>
      <c r="E304" s="330">
        <f>+'CALC MEC ESTAB Y ESTIM M FINAL'!V308</f>
        <v>0</v>
      </c>
      <c r="F304" s="214"/>
      <c r="J304" s="201">
        <f>+COEF_FCM!A310</f>
        <v>13503</v>
      </c>
      <c r="K304" s="201">
        <f>+COEF_FCM!B310</f>
        <v>13603</v>
      </c>
      <c r="L304" s="201" t="str">
        <f>+COEF_FCM!C310</f>
        <v>CURACAVÍ</v>
      </c>
      <c r="M304" s="201" t="str">
        <f>+COEF_FCM!P310</f>
        <v>NO</v>
      </c>
      <c r="N304" s="201">
        <f>+COEF_FCM!AA310</f>
        <v>0</v>
      </c>
      <c r="O304" s="201">
        <f t="shared" si="14"/>
        <v>0</v>
      </c>
    </row>
    <row r="305" spans="1:15" ht="3" customHeight="1" x14ac:dyDescent="0.25">
      <c r="A305" s="327">
        <f t="shared" si="13"/>
        <v>13</v>
      </c>
      <c r="B305" s="328">
        <f>+'CALC MEC ESTAB Y ESTIM M FINAL'!B309</f>
        <v>13504</v>
      </c>
      <c r="C305" s="328" t="str">
        <f>+'CALC MEC ESTAB Y ESTIM M FINAL'!C309</f>
        <v>MARÍA PINTO</v>
      </c>
      <c r="D305" s="329">
        <f>+'CALC MEC ESTAB Y ESTIM M FINAL'!F309</f>
        <v>1.0061531288999999E-3</v>
      </c>
      <c r="E305" s="330">
        <f>+'CALC MEC ESTAB Y ESTIM M FINAL'!V309</f>
        <v>0</v>
      </c>
      <c r="F305" s="214"/>
      <c r="J305" s="201">
        <f>+COEF_FCM!A311</f>
        <v>13504</v>
      </c>
      <c r="K305" s="201">
        <f>+COEF_FCM!B311</f>
        <v>13602</v>
      </c>
      <c r="L305" s="201" t="str">
        <f>+COEF_FCM!C311</f>
        <v>MARÍA PINTO</v>
      </c>
      <c r="M305" s="201" t="str">
        <f>+COEF_FCM!P311</f>
        <v>NO</v>
      </c>
      <c r="N305" s="201">
        <f>+COEF_FCM!AA311</f>
        <v>0</v>
      </c>
      <c r="O305" s="201">
        <f t="shared" si="14"/>
        <v>0</v>
      </c>
    </row>
    <row r="306" spans="1:15" ht="3" customHeight="1" x14ac:dyDescent="0.25">
      <c r="A306" s="327">
        <f t="shared" si="13"/>
        <v>13</v>
      </c>
      <c r="B306" s="328">
        <f>+'CALC MEC ESTAB Y ESTIM M FINAL'!B310</f>
        <v>13505</v>
      </c>
      <c r="C306" s="328" t="str">
        <f>+'CALC MEC ESTAB Y ESTIM M FINAL'!C310</f>
        <v>SAN PEDRO</v>
      </c>
      <c r="D306" s="329">
        <f>+'CALC MEC ESTAB Y ESTIM M FINAL'!F310</f>
        <v>1.0687676505E-3</v>
      </c>
      <c r="E306" s="330">
        <f>+'CALC MEC ESTAB Y ESTIM M FINAL'!V310</f>
        <v>0</v>
      </c>
      <c r="F306" s="214"/>
      <c r="J306" s="201">
        <f>+COEF_FCM!A312</f>
        <v>13505</v>
      </c>
      <c r="K306" s="201">
        <f>+COEF_FCM!B312</f>
        <v>13604</v>
      </c>
      <c r="L306" s="201" t="str">
        <f>+COEF_FCM!C312</f>
        <v>SAN PEDRO</v>
      </c>
      <c r="M306" s="201" t="str">
        <f>+COEF_FCM!P312</f>
        <v>NO</v>
      </c>
      <c r="N306" s="201">
        <f>+COEF_FCM!AA312</f>
        <v>0</v>
      </c>
      <c r="O306" s="201">
        <f t="shared" si="14"/>
        <v>0</v>
      </c>
    </row>
    <row r="307" spans="1:15" ht="3" customHeight="1" x14ac:dyDescent="0.25">
      <c r="A307" s="327">
        <f t="shared" si="13"/>
        <v>13</v>
      </c>
      <c r="B307" s="328">
        <f>+'CALC MEC ESTAB Y ESTIM M FINAL'!B311</f>
        <v>13601</v>
      </c>
      <c r="C307" s="328" t="str">
        <f>+'CALC MEC ESTAB Y ESTIM M FINAL'!C311</f>
        <v>TALAGANTE</v>
      </c>
      <c r="D307" s="329">
        <f>+'CALC MEC ESTAB Y ESTIM M FINAL'!F311</f>
        <v>3.0887948815000003E-3</v>
      </c>
      <c r="E307" s="330">
        <f>+'CALC MEC ESTAB Y ESTIM M FINAL'!V311</f>
        <v>0</v>
      </c>
      <c r="F307" s="214"/>
      <c r="J307" s="201">
        <f>+COEF_FCM!A313</f>
        <v>13601</v>
      </c>
      <c r="K307" s="201">
        <f>+COEF_FCM!B313</f>
        <v>13501</v>
      </c>
      <c r="L307" s="201" t="str">
        <f>+COEF_FCM!C313</f>
        <v>TALAGANTE</v>
      </c>
      <c r="M307" s="201" t="str">
        <f>+COEF_FCM!P313</f>
        <v>SI</v>
      </c>
      <c r="N307" s="201">
        <f>+COEF_FCM!AA313</f>
        <v>13119</v>
      </c>
      <c r="O307" s="201">
        <f t="shared" si="14"/>
        <v>1</v>
      </c>
    </row>
    <row r="308" spans="1:15" ht="3" customHeight="1" x14ac:dyDescent="0.25">
      <c r="A308" s="327">
        <f t="shared" si="13"/>
        <v>13</v>
      </c>
      <c r="B308" s="328">
        <f>+'CALC MEC ESTAB Y ESTIM M FINAL'!B312</f>
        <v>13602</v>
      </c>
      <c r="C308" s="328" t="str">
        <f>+'CALC MEC ESTAB Y ESTIM M FINAL'!C312</f>
        <v>EL MONTE</v>
      </c>
      <c r="D308" s="329">
        <f>+'CALC MEC ESTAB Y ESTIM M FINAL'!F312</f>
        <v>2.5187524303E-3</v>
      </c>
      <c r="E308" s="330">
        <f>+'CALC MEC ESTAB Y ESTIM M FINAL'!V312</f>
        <v>0</v>
      </c>
      <c r="F308" s="214"/>
      <c r="J308" s="201">
        <f>+COEF_FCM!A314</f>
        <v>13602</v>
      </c>
      <c r="K308" s="201">
        <f>+COEF_FCM!B314</f>
        <v>13503</v>
      </c>
      <c r="L308" s="201" t="str">
        <f>+COEF_FCM!C314</f>
        <v>EL MONTE</v>
      </c>
      <c r="M308" s="201" t="str">
        <f>+COEF_FCM!P314</f>
        <v>SI</v>
      </c>
      <c r="N308" s="201">
        <f>+COEF_FCM!AA314</f>
        <v>18466</v>
      </c>
      <c r="O308" s="201">
        <f t="shared" si="14"/>
        <v>1</v>
      </c>
    </row>
    <row r="309" spans="1:15" ht="3" customHeight="1" x14ac:dyDescent="0.25">
      <c r="A309" s="327">
        <f t="shared" si="13"/>
        <v>13</v>
      </c>
      <c r="B309" s="328">
        <f>+'CALC MEC ESTAB Y ESTIM M FINAL'!B313</f>
        <v>13603</v>
      </c>
      <c r="C309" s="328" t="str">
        <f>+'CALC MEC ESTAB Y ESTIM M FINAL'!C313</f>
        <v>ISLA DE MAIPO</v>
      </c>
      <c r="D309" s="329">
        <f>+'CALC MEC ESTAB Y ESTIM M FINAL'!F313</f>
        <v>1.3822283539000001E-3</v>
      </c>
      <c r="E309" s="330">
        <f>+'CALC MEC ESTAB Y ESTIM M FINAL'!V313</f>
        <v>282218</v>
      </c>
      <c r="F309" s="214"/>
      <c r="J309" s="201">
        <f>+COEF_FCM!A315</f>
        <v>13603</v>
      </c>
      <c r="K309" s="201">
        <f>+COEF_FCM!B315</f>
        <v>13502</v>
      </c>
      <c r="L309" s="201" t="str">
        <f>+COEF_FCM!C315</f>
        <v>ISLA DE MAIPO</v>
      </c>
      <c r="M309" s="201" t="str">
        <f>+COEF_FCM!P315</f>
        <v>NO</v>
      </c>
      <c r="N309" s="201">
        <f>+COEF_FCM!AA315</f>
        <v>0</v>
      </c>
      <c r="O309" s="201">
        <f t="shared" si="14"/>
        <v>0</v>
      </c>
    </row>
    <row r="310" spans="1:15" ht="3" customHeight="1" x14ac:dyDescent="0.25">
      <c r="A310" s="327">
        <f t="shared" si="13"/>
        <v>13</v>
      </c>
      <c r="B310" s="328">
        <f>+'CALC MEC ESTAB Y ESTIM M FINAL'!B314</f>
        <v>13604</v>
      </c>
      <c r="C310" s="328" t="str">
        <f>+'CALC MEC ESTAB Y ESTIM M FINAL'!C314</f>
        <v>PADRE HURTADO</v>
      </c>
      <c r="D310" s="329">
        <f>+'CALC MEC ESTAB Y ESTIM M FINAL'!F314</f>
        <v>1.9339943335999999E-3</v>
      </c>
      <c r="E310" s="330">
        <f>+'CALC MEC ESTAB Y ESTIM M FINAL'!V314</f>
        <v>1929170</v>
      </c>
      <c r="F310" s="214"/>
      <c r="J310" s="201">
        <f>+COEF_FCM!A316</f>
        <v>13604</v>
      </c>
      <c r="K310" s="201">
        <f>+COEF_FCM!B316</f>
        <v>13505</v>
      </c>
      <c r="L310" s="201" t="str">
        <f>+COEF_FCM!C316</f>
        <v>PADRE HURTADO</v>
      </c>
      <c r="M310" s="201" t="str">
        <f>+COEF_FCM!P316</f>
        <v>SI</v>
      </c>
      <c r="N310" s="201">
        <f>+COEF_FCM!AA316</f>
        <v>11738</v>
      </c>
      <c r="O310" s="201">
        <f t="shared" si="14"/>
        <v>1</v>
      </c>
    </row>
    <row r="311" spans="1:15" ht="3" customHeight="1" x14ac:dyDescent="0.25">
      <c r="A311" s="327">
        <f t="shared" si="13"/>
        <v>13</v>
      </c>
      <c r="B311" s="328">
        <f>+'CALC MEC ESTAB Y ESTIM M FINAL'!B315</f>
        <v>13605</v>
      </c>
      <c r="C311" s="328" t="str">
        <f>+'CALC MEC ESTAB Y ESTIM M FINAL'!C315</f>
        <v>PEÑAFLOR</v>
      </c>
      <c r="D311" s="329">
        <f>+'CALC MEC ESTAB Y ESTIM M FINAL'!F315</f>
        <v>4.0787773932000008E-3</v>
      </c>
      <c r="E311" s="330">
        <f>+'CALC MEC ESTAB Y ESTIM M FINAL'!V315</f>
        <v>0</v>
      </c>
      <c r="F311" s="214"/>
      <c r="J311" s="201">
        <f>+COEF_FCM!A317</f>
        <v>13605</v>
      </c>
      <c r="K311" s="201">
        <f>+COEF_FCM!B317</f>
        <v>13504</v>
      </c>
      <c r="L311" s="201" t="str">
        <f>+COEF_FCM!C317</f>
        <v>PEÑAFLOR</v>
      </c>
      <c r="M311" s="201" t="str">
        <f>+COEF_FCM!P317</f>
        <v>SI</v>
      </c>
      <c r="N311" s="201">
        <f>+COEF_FCM!AA317</f>
        <v>11263</v>
      </c>
      <c r="O311" s="201">
        <f t="shared" si="14"/>
        <v>1</v>
      </c>
    </row>
    <row r="312" spans="1:15" ht="3" customHeight="1" x14ac:dyDescent="0.25">
      <c r="A312" s="327">
        <f t="shared" si="13"/>
        <v>14</v>
      </c>
      <c r="B312" s="328">
        <f>+'CALC MEC ESTAB Y ESTIM M FINAL'!B316</f>
        <v>14101</v>
      </c>
      <c r="C312" s="328" t="str">
        <f>+'CALC MEC ESTAB Y ESTIM M FINAL'!C316</f>
        <v>VALDIVIA</v>
      </c>
      <c r="D312" s="329">
        <f>+'CALC MEC ESTAB Y ESTIM M FINAL'!F316</f>
        <v>9.3678667763999988E-3</v>
      </c>
      <c r="E312" s="330">
        <f>+'CALC MEC ESTAB Y ESTIM M FINAL'!V316</f>
        <v>2871678</v>
      </c>
      <c r="F312" s="214"/>
      <c r="J312" s="201">
        <f>+COEF_FCM!A318</f>
        <v>14101</v>
      </c>
      <c r="K312" s="201">
        <f>+COEF_FCM!B318</f>
        <v>10101</v>
      </c>
      <c r="L312" s="201" t="str">
        <f>+COEF_FCM!C318</f>
        <v>VALDIVIA</v>
      </c>
      <c r="M312" s="201" t="str">
        <f>+COEF_FCM!P318</f>
        <v>SI</v>
      </c>
      <c r="N312" s="201">
        <f>+COEF_FCM!AA318</f>
        <v>189563</v>
      </c>
      <c r="O312" s="201">
        <f t="shared" si="14"/>
        <v>1</v>
      </c>
    </row>
    <row r="313" spans="1:15" ht="3" customHeight="1" x14ac:dyDescent="0.25">
      <c r="A313" s="327">
        <f t="shared" si="13"/>
        <v>14</v>
      </c>
      <c r="B313" s="328">
        <f>+'CALC MEC ESTAB Y ESTIM M FINAL'!B317</f>
        <v>14102</v>
      </c>
      <c r="C313" s="328" t="str">
        <f>+'CALC MEC ESTAB Y ESTIM M FINAL'!C317</f>
        <v>CORRAL</v>
      </c>
      <c r="D313" s="329">
        <f>+'CALC MEC ESTAB Y ESTIM M FINAL'!F317</f>
        <v>1.2277326753E-3</v>
      </c>
      <c r="E313" s="330">
        <f>+'CALC MEC ESTAB Y ESTIM M FINAL'!V317</f>
        <v>0</v>
      </c>
      <c r="F313" s="214"/>
      <c r="J313" s="201">
        <f>+COEF_FCM!A319</f>
        <v>14102</v>
      </c>
      <c r="K313" s="201">
        <f>+COEF_FCM!B319</f>
        <v>10106</v>
      </c>
      <c r="L313" s="201" t="str">
        <f>+COEF_FCM!C319</f>
        <v>CORRAL</v>
      </c>
      <c r="M313" s="201" t="str">
        <f>+COEF_FCM!P319</f>
        <v>SI</v>
      </c>
      <c r="N313" s="201">
        <f>+COEF_FCM!AA319</f>
        <v>8018</v>
      </c>
      <c r="O313" s="201">
        <f t="shared" si="14"/>
        <v>1</v>
      </c>
    </row>
    <row r="314" spans="1:15" ht="3" customHeight="1" x14ac:dyDescent="0.25">
      <c r="A314" s="327">
        <f t="shared" si="13"/>
        <v>14</v>
      </c>
      <c r="B314" s="328">
        <f>+'CALC MEC ESTAB Y ESTIM M FINAL'!B318</f>
        <v>14103</v>
      </c>
      <c r="C314" s="328" t="str">
        <f>+'CALC MEC ESTAB Y ESTIM M FINAL'!C318</f>
        <v>LANCO</v>
      </c>
      <c r="D314" s="329">
        <f>+'CALC MEC ESTAB Y ESTIM M FINAL'!F318</f>
        <v>2.3278833553999996E-3</v>
      </c>
      <c r="E314" s="330">
        <f>+'CALC MEC ESTAB Y ESTIM M FINAL'!V318</f>
        <v>0</v>
      </c>
      <c r="F314" s="214"/>
      <c r="J314" s="201">
        <f>+COEF_FCM!A320</f>
        <v>14103</v>
      </c>
      <c r="K314" s="201">
        <f>+COEF_FCM!B320</f>
        <v>10103</v>
      </c>
      <c r="L314" s="201" t="str">
        <f>+COEF_FCM!C320</f>
        <v>LANCO</v>
      </c>
      <c r="M314" s="201" t="str">
        <f>+COEF_FCM!P320</f>
        <v>SI</v>
      </c>
      <c r="N314" s="201">
        <f>+COEF_FCM!AA320</f>
        <v>24855</v>
      </c>
      <c r="O314" s="201">
        <f t="shared" si="14"/>
        <v>1</v>
      </c>
    </row>
    <row r="315" spans="1:15" ht="3" customHeight="1" x14ac:dyDescent="0.25">
      <c r="A315" s="327">
        <f t="shared" si="13"/>
        <v>14</v>
      </c>
      <c r="B315" s="328">
        <f>+'CALC MEC ESTAB Y ESTIM M FINAL'!B319</f>
        <v>14104</v>
      </c>
      <c r="C315" s="328" t="str">
        <f>+'CALC MEC ESTAB Y ESTIM M FINAL'!C319</f>
        <v>LOS LAGOS</v>
      </c>
      <c r="D315" s="329">
        <f>+'CALC MEC ESTAB Y ESTIM M FINAL'!F319</f>
        <v>1.2444747864E-3</v>
      </c>
      <c r="E315" s="330">
        <f>+'CALC MEC ESTAB Y ESTIM M FINAL'!V319</f>
        <v>157303</v>
      </c>
      <c r="F315" s="214"/>
      <c r="J315" s="201">
        <f>+COEF_FCM!A321</f>
        <v>14104</v>
      </c>
      <c r="K315" s="201">
        <f>+COEF_FCM!B321</f>
        <v>10104</v>
      </c>
      <c r="L315" s="201" t="str">
        <f>+COEF_FCM!C321</f>
        <v>LOS LAGOS</v>
      </c>
      <c r="M315" s="201" t="str">
        <f>+COEF_FCM!P321</f>
        <v>NO</v>
      </c>
      <c r="N315" s="201">
        <f>+COEF_FCM!AA321</f>
        <v>0</v>
      </c>
      <c r="O315" s="201">
        <f t="shared" si="14"/>
        <v>0</v>
      </c>
    </row>
    <row r="316" spans="1:15" ht="3" customHeight="1" x14ac:dyDescent="0.25">
      <c r="A316" s="327">
        <f t="shared" si="13"/>
        <v>14</v>
      </c>
      <c r="B316" s="328">
        <f>+'CALC MEC ESTAB Y ESTIM M FINAL'!B320</f>
        <v>14105</v>
      </c>
      <c r="C316" s="328" t="str">
        <f>+'CALC MEC ESTAB Y ESTIM M FINAL'!C320</f>
        <v>MÁFIL</v>
      </c>
      <c r="D316" s="329">
        <f>+'CALC MEC ESTAB Y ESTIM M FINAL'!F320</f>
        <v>8.9469285379999998E-4</v>
      </c>
      <c r="E316" s="330">
        <f>+'CALC MEC ESTAB Y ESTIM M FINAL'!V320</f>
        <v>0</v>
      </c>
      <c r="F316" s="214"/>
      <c r="J316" s="201">
        <f>+COEF_FCM!A322</f>
        <v>14105</v>
      </c>
      <c r="K316" s="201">
        <f>+COEF_FCM!B322</f>
        <v>10107</v>
      </c>
      <c r="L316" s="201" t="str">
        <f>+COEF_FCM!C322</f>
        <v>MÁFIL</v>
      </c>
      <c r="M316" s="201" t="str">
        <f>+COEF_FCM!P322</f>
        <v>NO</v>
      </c>
      <c r="N316" s="201">
        <f>+COEF_FCM!AA322</f>
        <v>0</v>
      </c>
      <c r="O316" s="201">
        <f t="shared" si="14"/>
        <v>0</v>
      </c>
    </row>
    <row r="317" spans="1:15" ht="3" customHeight="1" x14ac:dyDescent="0.25">
      <c r="A317" s="327">
        <f t="shared" si="13"/>
        <v>14</v>
      </c>
      <c r="B317" s="328">
        <f>+'CALC MEC ESTAB Y ESTIM M FINAL'!B321</f>
        <v>14106</v>
      </c>
      <c r="C317" s="328" t="str">
        <f>+'CALC MEC ESTAB Y ESTIM M FINAL'!C321</f>
        <v>MARIQUINA</v>
      </c>
      <c r="D317" s="329">
        <f>+'CALC MEC ESTAB Y ESTIM M FINAL'!F321</f>
        <v>2.5375035961999999E-3</v>
      </c>
      <c r="E317" s="330">
        <f>+'CALC MEC ESTAB Y ESTIM M FINAL'!V321</f>
        <v>0</v>
      </c>
      <c r="F317" s="214"/>
      <c r="J317" s="201">
        <f>+COEF_FCM!A323</f>
        <v>14106</v>
      </c>
      <c r="K317" s="201">
        <f>+COEF_FCM!B323</f>
        <v>10102</v>
      </c>
      <c r="L317" s="201" t="str">
        <f>+COEF_FCM!C323</f>
        <v>MARIQUINA</v>
      </c>
      <c r="M317" s="201" t="str">
        <f>+COEF_FCM!P323</f>
        <v>SI</v>
      </c>
      <c r="N317" s="201">
        <f>+COEF_FCM!AA323</f>
        <v>27742</v>
      </c>
      <c r="O317" s="201">
        <f t="shared" si="14"/>
        <v>1</v>
      </c>
    </row>
    <row r="318" spans="1:15" ht="3" customHeight="1" x14ac:dyDescent="0.25">
      <c r="A318" s="327">
        <f t="shared" si="13"/>
        <v>14</v>
      </c>
      <c r="B318" s="328">
        <f>+'CALC MEC ESTAB Y ESTIM M FINAL'!B322</f>
        <v>14107</v>
      </c>
      <c r="C318" s="328" t="str">
        <f>+'CALC MEC ESTAB Y ESTIM M FINAL'!C322</f>
        <v>PAILLACO</v>
      </c>
      <c r="D318" s="329">
        <f>+'CALC MEC ESTAB Y ESTIM M FINAL'!F322</f>
        <v>1.2702546632000001E-3</v>
      </c>
      <c r="E318" s="330">
        <f>+'CALC MEC ESTAB Y ESTIM M FINAL'!V322</f>
        <v>957726</v>
      </c>
      <c r="F318" s="214"/>
      <c r="J318" s="201">
        <f>+COEF_FCM!A324</f>
        <v>14107</v>
      </c>
      <c r="K318" s="201">
        <f>+COEF_FCM!B324</f>
        <v>10110</v>
      </c>
      <c r="L318" s="201" t="str">
        <f>+COEF_FCM!C324</f>
        <v>PAILLACO</v>
      </c>
      <c r="M318" s="201" t="str">
        <f>+COEF_FCM!P324</f>
        <v>NO</v>
      </c>
      <c r="N318" s="201">
        <f>+COEF_FCM!AA324</f>
        <v>0</v>
      </c>
      <c r="O318" s="201">
        <f t="shared" si="14"/>
        <v>0</v>
      </c>
    </row>
    <row r="319" spans="1:15" ht="3" customHeight="1" x14ac:dyDescent="0.25">
      <c r="A319" s="327">
        <f t="shared" si="13"/>
        <v>14</v>
      </c>
      <c r="B319" s="328">
        <f>+'CALC MEC ESTAB Y ESTIM M FINAL'!B323</f>
        <v>14108</v>
      </c>
      <c r="C319" s="328" t="str">
        <f>+'CALC MEC ESTAB Y ESTIM M FINAL'!C323</f>
        <v>PANGUIPULLI</v>
      </c>
      <c r="D319" s="329">
        <f>+'CALC MEC ESTAB Y ESTIM M FINAL'!F323</f>
        <v>1.6636412878999998E-3</v>
      </c>
      <c r="E319" s="330">
        <f>+'CALC MEC ESTAB Y ESTIM M FINAL'!V323</f>
        <v>5457857</v>
      </c>
      <c r="F319" s="214"/>
      <c r="J319" s="201">
        <f>+COEF_FCM!A325</f>
        <v>14108</v>
      </c>
      <c r="K319" s="201">
        <f>+COEF_FCM!B325</f>
        <v>10108</v>
      </c>
      <c r="L319" s="201" t="str">
        <f>+COEF_FCM!C325</f>
        <v>PANGUIPULLI</v>
      </c>
      <c r="M319" s="201" t="str">
        <f>+COEF_FCM!P325</f>
        <v>NO</v>
      </c>
      <c r="N319" s="201">
        <f>+COEF_FCM!AA325</f>
        <v>0</v>
      </c>
      <c r="O319" s="201">
        <f t="shared" si="14"/>
        <v>0</v>
      </c>
    </row>
    <row r="320" spans="1:15" ht="3" customHeight="1" x14ac:dyDescent="0.25">
      <c r="A320" s="327">
        <f t="shared" si="13"/>
        <v>14</v>
      </c>
      <c r="B320" s="328">
        <f>+'CALC MEC ESTAB Y ESTIM M FINAL'!B324</f>
        <v>14201</v>
      </c>
      <c r="C320" s="328" t="str">
        <f>+'CALC MEC ESTAB Y ESTIM M FINAL'!C324</f>
        <v>LA UNIÓN</v>
      </c>
      <c r="D320" s="329">
        <f>+'CALC MEC ESTAB Y ESTIM M FINAL'!F324</f>
        <v>1.796252364E-3</v>
      </c>
      <c r="E320" s="330">
        <f>+'CALC MEC ESTAB Y ESTIM M FINAL'!V324</f>
        <v>2409308</v>
      </c>
      <c r="F320" s="214"/>
      <c r="J320" s="201">
        <f>+COEF_FCM!A326</f>
        <v>14201</v>
      </c>
      <c r="K320" s="201">
        <f>+COEF_FCM!B326</f>
        <v>10109</v>
      </c>
      <c r="L320" s="201" t="str">
        <f>+COEF_FCM!C326</f>
        <v>LA UNIÓN</v>
      </c>
      <c r="M320" s="201" t="str">
        <f>+COEF_FCM!P326</f>
        <v>NO</v>
      </c>
      <c r="N320" s="201">
        <f>+COEF_FCM!AA326</f>
        <v>0</v>
      </c>
      <c r="O320" s="201">
        <f t="shared" si="14"/>
        <v>0</v>
      </c>
    </row>
    <row r="321" spans="1:15" ht="3" customHeight="1" x14ac:dyDescent="0.25">
      <c r="A321" s="327">
        <f t="shared" si="13"/>
        <v>14</v>
      </c>
      <c r="B321" s="328">
        <f>+'CALC MEC ESTAB Y ESTIM M FINAL'!B325</f>
        <v>14202</v>
      </c>
      <c r="C321" s="328" t="str">
        <f>+'CALC MEC ESTAB Y ESTIM M FINAL'!C325</f>
        <v>FUTRONO</v>
      </c>
      <c r="D321" s="329">
        <f>+'CALC MEC ESTAB Y ESTIM M FINAL'!F325</f>
        <v>1.0789513791E-3</v>
      </c>
      <c r="E321" s="330">
        <f>+'CALC MEC ESTAB Y ESTIM M FINAL'!V325</f>
        <v>378581</v>
      </c>
      <c r="F321" s="214"/>
      <c r="J321" s="201">
        <f>+COEF_FCM!A327</f>
        <v>14202</v>
      </c>
      <c r="K321" s="201">
        <f>+COEF_FCM!B327</f>
        <v>10105</v>
      </c>
      <c r="L321" s="201" t="str">
        <f>+COEF_FCM!C327</f>
        <v>FUTRONO</v>
      </c>
      <c r="M321" s="201" t="str">
        <f>+COEF_FCM!P327</f>
        <v>NO</v>
      </c>
      <c r="N321" s="201">
        <f>+COEF_FCM!AA327</f>
        <v>0</v>
      </c>
      <c r="O321" s="201">
        <f t="shared" si="14"/>
        <v>0</v>
      </c>
    </row>
    <row r="322" spans="1:15" ht="3" customHeight="1" x14ac:dyDescent="0.25">
      <c r="A322" s="327">
        <f t="shared" si="13"/>
        <v>14</v>
      </c>
      <c r="B322" s="328">
        <f>+'CALC MEC ESTAB Y ESTIM M FINAL'!B326</f>
        <v>14203</v>
      </c>
      <c r="C322" s="328" t="str">
        <f>+'CALC MEC ESTAB Y ESTIM M FINAL'!C326</f>
        <v>LAGO RANCO</v>
      </c>
      <c r="D322" s="329">
        <f>+'CALC MEC ESTAB Y ESTIM M FINAL'!F326</f>
        <v>1.0048300704E-3</v>
      </c>
      <c r="E322" s="330">
        <f>+'CALC MEC ESTAB Y ESTIM M FINAL'!V326</f>
        <v>122615</v>
      </c>
      <c r="F322" s="214"/>
      <c r="J322" s="201">
        <f>+COEF_FCM!A328</f>
        <v>14203</v>
      </c>
      <c r="K322" s="201">
        <f>+COEF_FCM!B328</f>
        <v>10112</v>
      </c>
      <c r="L322" s="201" t="str">
        <f>+COEF_FCM!C328</f>
        <v>LAGO RANCO</v>
      </c>
      <c r="M322" s="201" t="str">
        <f>+COEF_FCM!P328</f>
        <v>NO</v>
      </c>
      <c r="N322" s="201">
        <f>+COEF_FCM!AA328</f>
        <v>0</v>
      </c>
      <c r="O322" s="201">
        <f t="shared" si="14"/>
        <v>0</v>
      </c>
    </row>
    <row r="323" spans="1:15" ht="3" customHeight="1" x14ac:dyDescent="0.25">
      <c r="A323" s="327">
        <f t="shared" si="13"/>
        <v>14</v>
      </c>
      <c r="B323" s="328">
        <f>+'CALC MEC ESTAB Y ESTIM M FINAL'!B327</f>
        <v>14204</v>
      </c>
      <c r="C323" s="328" t="str">
        <f>+'CALC MEC ESTAB Y ESTIM M FINAL'!C327</f>
        <v>RÍO BUENO</v>
      </c>
      <c r="D323" s="329">
        <f>+'CALC MEC ESTAB Y ESTIM M FINAL'!F327</f>
        <v>1.6839236741999998E-3</v>
      </c>
      <c r="E323" s="330">
        <f>+'CALC MEC ESTAB Y ESTIM M FINAL'!V327</f>
        <v>2268662</v>
      </c>
      <c r="F323" s="214"/>
      <c r="J323" s="201">
        <f>+COEF_FCM!A329</f>
        <v>14204</v>
      </c>
      <c r="K323" s="201">
        <f>+COEF_FCM!B329</f>
        <v>10111</v>
      </c>
      <c r="L323" s="201" t="str">
        <f>+COEF_FCM!C329</f>
        <v>RÍO BUENO</v>
      </c>
      <c r="M323" s="201" t="str">
        <f>+COEF_FCM!P329</f>
        <v>NO</v>
      </c>
      <c r="N323" s="201">
        <f>+COEF_FCM!AA329</f>
        <v>0</v>
      </c>
      <c r="O323" s="201">
        <f t="shared" si="14"/>
        <v>0</v>
      </c>
    </row>
    <row r="324" spans="1:15" ht="3" customHeight="1" x14ac:dyDescent="0.25">
      <c r="A324" s="327">
        <f t="shared" ref="A324:A348" si="15">INT(B324/1000)</f>
        <v>15</v>
      </c>
      <c r="B324" s="328">
        <f>+'CALC MEC ESTAB Y ESTIM M FINAL'!B328</f>
        <v>15101</v>
      </c>
      <c r="C324" s="328" t="str">
        <f>+'CALC MEC ESTAB Y ESTIM M FINAL'!C328</f>
        <v>ARICA</v>
      </c>
      <c r="D324" s="329">
        <f>+'CALC MEC ESTAB Y ESTIM M FINAL'!F328</f>
        <v>1.15062117488E-2</v>
      </c>
      <c r="E324" s="330">
        <f>+'CALC MEC ESTAB Y ESTIM M FINAL'!V328</f>
        <v>0</v>
      </c>
      <c r="F324" s="214"/>
      <c r="J324" s="201">
        <f>+COEF_FCM!A330</f>
        <v>15101</v>
      </c>
      <c r="K324" s="201">
        <f>+COEF_FCM!B330</f>
        <v>1101</v>
      </c>
      <c r="L324" s="201" t="str">
        <f>+COEF_FCM!C330</f>
        <v>ARICA</v>
      </c>
      <c r="M324" s="201" t="str">
        <f>+COEF_FCM!P330</f>
        <v>SI</v>
      </c>
      <c r="N324" s="201">
        <f>+COEF_FCM!AA330</f>
        <v>120352</v>
      </c>
      <c r="O324" s="201">
        <f t="shared" ref="O324:O348" si="16">IF(AND(M324="SI",N324&gt;0),1,0)</f>
        <v>1</v>
      </c>
    </row>
    <row r="325" spans="1:15" ht="3" customHeight="1" x14ac:dyDescent="0.25">
      <c r="A325" s="327">
        <f t="shared" si="15"/>
        <v>15</v>
      </c>
      <c r="B325" s="328">
        <f>+'CALC MEC ESTAB Y ESTIM M FINAL'!B329</f>
        <v>15102</v>
      </c>
      <c r="C325" s="328" t="str">
        <f>+'CALC MEC ESTAB Y ESTIM M FINAL'!C329</f>
        <v>CAMARONES</v>
      </c>
      <c r="D325" s="329">
        <f>+'CALC MEC ESTAB Y ESTIM M FINAL'!F329</f>
        <v>8.9862967269999994E-4</v>
      </c>
      <c r="E325" s="330">
        <f>+'CALC MEC ESTAB Y ESTIM M FINAL'!V329</f>
        <v>0</v>
      </c>
      <c r="F325" s="214"/>
      <c r="J325" s="201">
        <f>+COEF_FCM!A331</f>
        <v>15102</v>
      </c>
      <c r="K325" s="201">
        <f>+COEF_FCM!B331</f>
        <v>1106</v>
      </c>
      <c r="L325" s="201" t="str">
        <f>+COEF_FCM!C331</f>
        <v>CAMARONES</v>
      </c>
      <c r="M325" s="201" t="str">
        <f>+COEF_FCM!P331</f>
        <v>SI</v>
      </c>
      <c r="N325" s="201">
        <f>+COEF_FCM!AA331</f>
        <v>8536</v>
      </c>
      <c r="O325" s="201">
        <f t="shared" si="16"/>
        <v>1</v>
      </c>
    </row>
    <row r="326" spans="1:15" ht="3" customHeight="1" x14ac:dyDescent="0.25">
      <c r="A326" s="327">
        <f t="shared" si="15"/>
        <v>15</v>
      </c>
      <c r="B326" s="328">
        <f>+'CALC MEC ESTAB Y ESTIM M FINAL'!B330</f>
        <v>15201</v>
      </c>
      <c r="C326" s="328" t="str">
        <f>+'CALC MEC ESTAB Y ESTIM M FINAL'!C330</f>
        <v>PUTRE</v>
      </c>
      <c r="D326" s="329">
        <f>+'CALC MEC ESTAB Y ESTIM M FINAL'!F330</f>
        <v>1.3335595016E-3</v>
      </c>
      <c r="E326" s="330">
        <f>+'CALC MEC ESTAB Y ESTIM M FINAL'!V330</f>
        <v>0</v>
      </c>
      <c r="F326" s="214"/>
      <c r="J326" s="201">
        <f>+COEF_FCM!A332</f>
        <v>15201</v>
      </c>
      <c r="K326" s="201">
        <f>+COEF_FCM!B332</f>
        <v>1301</v>
      </c>
      <c r="L326" s="201" t="str">
        <f>+COEF_FCM!C332</f>
        <v>PUTRE</v>
      </c>
      <c r="M326" s="201" t="str">
        <f>+COEF_FCM!P332</f>
        <v>SI</v>
      </c>
      <c r="N326" s="201">
        <f>+COEF_FCM!AA332</f>
        <v>8015</v>
      </c>
      <c r="O326" s="201">
        <f t="shared" si="16"/>
        <v>1</v>
      </c>
    </row>
    <row r="327" spans="1:15" ht="3" customHeight="1" x14ac:dyDescent="0.25">
      <c r="A327" s="327">
        <f t="shared" si="15"/>
        <v>15</v>
      </c>
      <c r="B327" s="328">
        <f>+'CALC MEC ESTAB Y ESTIM M FINAL'!B331</f>
        <v>15202</v>
      </c>
      <c r="C327" s="328" t="str">
        <f>+'CALC MEC ESTAB Y ESTIM M FINAL'!C331</f>
        <v>GENERAL LAGOS</v>
      </c>
      <c r="D327" s="329">
        <f>+'CALC MEC ESTAB Y ESTIM M FINAL'!F331</f>
        <v>7.5803710839999995E-4</v>
      </c>
      <c r="E327" s="330">
        <f>+'CALC MEC ESTAB Y ESTIM M FINAL'!V331</f>
        <v>0</v>
      </c>
      <c r="F327" s="214"/>
      <c r="J327" s="201">
        <f>+COEF_FCM!A333</f>
        <v>15202</v>
      </c>
      <c r="K327" s="201">
        <f>+COEF_FCM!B333</f>
        <v>1302</v>
      </c>
      <c r="L327" s="201" t="str">
        <f>+COEF_FCM!C333</f>
        <v>GENERAL LAGOS</v>
      </c>
      <c r="M327" s="201" t="str">
        <f>+COEF_FCM!P333</f>
        <v>SI</v>
      </c>
      <c r="N327" s="201">
        <f>+COEF_FCM!AA333</f>
        <v>1114</v>
      </c>
      <c r="O327" s="201">
        <f t="shared" si="16"/>
        <v>1</v>
      </c>
    </row>
    <row r="328" spans="1:15" ht="3" customHeight="1" x14ac:dyDescent="0.25">
      <c r="A328" s="327">
        <f t="shared" si="15"/>
        <v>16</v>
      </c>
      <c r="B328" s="328">
        <f>+'CALC MEC ESTAB Y ESTIM M FINAL'!B332</f>
        <v>16101</v>
      </c>
      <c r="C328" s="328" t="str">
        <f>+'CALC MEC ESTAB Y ESTIM M FINAL'!C332</f>
        <v>CHILLÁN</v>
      </c>
      <c r="D328" s="329">
        <f>+'CALC MEC ESTAB Y ESTIM M FINAL'!F332</f>
        <v>9.8088502143999987E-3</v>
      </c>
      <c r="E328" s="330">
        <f>+'CALC MEC ESTAB Y ESTIM M FINAL'!V332</f>
        <v>0</v>
      </c>
      <c r="F328" s="214"/>
      <c r="J328" s="201">
        <f>+COEF_FCM!A334</f>
        <v>16101</v>
      </c>
      <c r="K328" s="201">
        <f>+COEF_FCM!B334</f>
        <v>8101</v>
      </c>
      <c r="L328" s="201" t="str">
        <f>+COEF_FCM!C334</f>
        <v>CHILLÁN</v>
      </c>
      <c r="M328" s="201" t="str">
        <f>+COEF_FCM!P334</f>
        <v>SI</v>
      </c>
      <c r="N328" s="201">
        <f>+COEF_FCM!AA334</f>
        <v>130278</v>
      </c>
      <c r="O328" s="201">
        <f t="shared" si="16"/>
        <v>1</v>
      </c>
    </row>
    <row r="329" spans="1:15" ht="3" customHeight="1" x14ac:dyDescent="0.25">
      <c r="A329" s="327">
        <f t="shared" si="15"/>
        <v>16</v>
      </c>
      <c r="B329" s="328">
        <f>+'CALC MEC ESTAB Y ESTIM M FINAL'!B333</f>
        <v>16102</v>
      </c>
      <c r="C329" s="328" t="str">
        <f>+'CALC MEC ESTAB Y ESTIM M FINAL'!C333</f>
        <v>BULNES</v>
      </c>
      <c r="D329" s="329">
        <f>+'CALC MEC ESTAB Y ESTIM M FINAL'!F333</f>
        <v>2.6547600787999994E-3</v>
      </c>
      <c r="E329" s="330">
        <f>+'CALC MEC ESTAB Y ESTIM M FINAL'!V333</f>
        <v>0</v>
      </c>
      <c r="F329" s="214"/>
      <c r="J329" s="201">
        <f>+COEF_FCM!A335</f>
        <v>16102</v>
      </c>
      <c r="K329" s="201">
        <f>+COEF_FCM!B335</f>
        <v>8113</v>
      </c>
      <c r="L329" s="201" t="str">
        <f>+COEF_FCM!C335</f>
        <v>BULNES</v>
      </c>
      <c r="M329" s="201" t="str">
        <f>+COEF_FCM!P335</f>
        <v>SI</v>
      </c>
      <c r="N329" s="201">
        <f>+COEF_FCM!AA335</f>
        <v>26015</v>
      </c>
      <c r="O329" s="201">
        <f t="shared" si="16"/>
        <v>1</v>
      </c>
    </row>
    <row r="330" spans="1:15" ht="3" customHeight="1" x14ac:dyDescent="0.25">
      <c r="A330" s="327">
        <f t="shared" si="15"/>
        <v>16</v>
      </c>
      <c r="B330" s="328">
        <f>+'CALC MEC ESTAB Y ESTIM M FINAL'!B334</f>
        <v>16103</v>
      </c>
      <c r="C330" s="328" t="str">
        <f>+'CALC MEC ESTAB Y ESTIM M FINAL'!C334</f>
        <v>CHILLÁN VIEJO</v>
      </c>
      <c r="D330" s="329">
        <f>+'CALC MEC ESTAB Y ESTIM M FINAL'!F334</f>
        <v>2.7492596458999997E-3</v>
      </c>
      <c r="E330" s="330">
        <f>+'CALC MEC ESTAB Y ESTIM M FINAL'!V334</f>
        <v>0</v>
      </c>
      <c r="F330" s="214"/>
      <c r="J330" s="201">
        <f>+COEF_FCM!A336</f>
        <v>16103</v>
      </c>
      <c r="K330" s="201">
        <f>+COEF_FCM!B336</f>
        <v>8121</v>
      </c>
      <c r="L330" s="201" t="str">
        <f>+COEF_FCM!C336</f>
        <v>CHILLÁN VIEJO</v>
      </c>
      <c r="M330" s="201" t="str">
        <f>+COEF_FCM!P336</f>
        <v>SI</v>
      </c>
      <c r="N330" s="201">
        <f>+COEF_FCM!AA336</f>
        <v>22160</v>
      </c>
      <c r="O330" s="201">
        <f t="shared" si="16"/>
        <v>1</v>
      </c>
    </row>
    <row r="331" spans="1:15" ht="3" customHeight="1" x14ac:dyDescent="0.25">
      <c r="A331" s="327">
        <f t="shared" si="15"/>
        <v>16</v>
      </c>
      <c r="B331" s="328">
        <f>+'CALC MEC ESTAB Y ESTIM M FINAL'!B335</f>
        <v>16104</v>
      </c>
      <c r="C331" s="328" t="str">
        <f>+'CALC MEC ESTAB Y ESTIM M FINAL'!C335</f>
        <v>EL CARMEN</v>
      </c>
      <c r="D331" s="329">
        <f>+'CALC MEC ESTAB Y ESTIM M FINAL'!F335</f>
        <v>1.7611375771E-3</v>
      </c>
      <c r="E331" s="330">
        <f>+'CALC MEC ESTAB Y ESTIM M FINAL'!V335</f>
        <v>0</v>
      </c>
      <c r="F331" s="214"/>
      <c r="J331" s="201">
        <f>+COEF_FCM!A337</f>
        <v>16104</v>
      </c>
      <c r="K331" s="201">
        <f>+COEF_FCM!B337</f>
        <v>8118</v>
      </c>
      <c r="L331" s="201" t="str">
        <f>+COEF_FCM!C337</f>
        <v>EL CARMEN</v>
      </c>
      <c r="M331" s="201" t="str">
        <f>+COEF_FCM!P337</f>
        <v>SI</v>
      </c>
      <c r="N331" s="201">
        <f>+COEF_FCM!AA337</f>
        <v>10736</v>
      </c>
      <c r="O331" s="201">
        <f t="shared" si="16"/>
        <v>1</v>
      </c>
    </row>
    <row r="332" spans="1:15" ht="3" customHeight="1" x14ac:dyDescent="0.25">
      <c r="A332" s="327">
        <f t="shared" si="15"/>
        <v>16</v>
      </c>
      <c r="B332" s="328">
        <f>+'CALC MEC ESTAB Y ESTIM M FINAL'!B336</f>
        <v>16105</v>
      </c>
      <c r="C332" s="328" t="str">
        <f>+'CALC MEC ESTAB Y ESTIM M FINAL'!C336</f>
        <v>PEMUCO</v>
      </c>
      <c r="D332" s="329">
        <f>+'CALC MEC ESTAB Y ESTIM M FINAL'!F336</f>
        <v>1.0861307083999999E-3</v>
      </c>
      <c r="E332" s="330">
        <f>+'CALC MEC ESTAB Y ESTIM M FINAL'!V336</f>
        <v>0</v>
      </c>
      <c r="F332" s="214"/>
      <c r="J332" s="201">
        <f>+COEF_FCM!A338</f>
        <v>16105</v>
      </c>
      <c r="K332" s="201">
        <f>+COEF_FCM!B338</f>
        <v>8117</v>
      </c>
      <c r="L332" s="201" t="str">
        <f>+COEF_FCM!C338</f>
        <v>PEMUCO</v>
      </c>
      <c r="M332" s="201" t="str">
        <f>+COEF_FCM!P338</f>
        <v>NO</v>
      </c>
      <c r="N332" s="201">
        <f>+COEF_FCM!AA338</f>
        <v>0</v>
      </c>
      <c r="O332" s="201">
        <f t="shared" si="16"/>
        <v>0</v>
      </c>
    </row>
    <row r="333" spans="1:15" ht="3" customHeight="1" x14ac:dyDescent="0.25">
      <c r="A333" s="327">
        <f t="shared" si="15"/>
        <v>16</v>
      </c>
      <c r="B333" s="328">
        <f>+'CALC MEC ESTAB Y ESTIM M FINAL'!B337</f>
        <v>16106</v>
      </c>
      <c r="C333" s="328" t="str">
        <f>+'CALC MEC ESTAB Y ESTIM M FINAL'!C337</f>
        <v>PINTO</v>
      </c>
      <c r="D333" s="329">
        <f>+'CALC MEC ESTAB Y ESTIM M FINAL'!F337</f>
        <v>1.1436267917999999E-3</v>
      </c>
      <c r="E333" s="330">
        <f>+'CALC MEC ESTAB Y ESTIM M FINAL'!V337</f>
        <v>0</v>
      </c>
      <c r="F333" s="214"/>
      <c r="J333" s="201">
        <f>+COEF_FCM!A339</f>
        <v>16106</v>
      </c>
      <c r="K333" s="201">
        <f>+COEF_FCM!B339</f>
        <v>8102</v>
      </c>
      <c r="L333" s="201" t="str">
        <f>+COEF_FCM!C339</f>
        <v>PINTO</v>
      </c>
      <c r="M333" s="201" t="str">
        <f>+COEF_FCM!P339</f>
        <v>NO</v>
      </c>
      <c r="N333" s="201">
        <f>+COEF_FCM!AA339</f>
        <v>0</v>
      </c>
      <c r="O333" s="201">
        <f t="shared" si="16"/>
        <v>0</v>
      </c>
    </row>
    <row r="334" spans="1:15" ht="3" customHeight="1" x14ac:dyDescent="0.25">
      <c r="A334" s="327">
        <f t="shared" si="15"/>
        <v>16</v>
      </c>
      <c r="B334" s="328">
        <f>+'CALC MEC ESTAB Y ESTIM M FINAL'!B338</f>
        <v>16107</v>
      </c>
      <c r="C334" s="328" t="str">
        <f>+'CALC MEC ESTAB Y ESTIM M FINAL'!C338</f>
        <v>QUILLÓN</v>
      </c>
      <c r="D334" s="329">
        <f>+'CALC MEC ESTAB Y ESTIM M FINAL'!F338</f>
        <v>5.4483129061E-3</v>
      </c>
      <c r="E334" s="330">
        <f>+'CALC MEC ESTAB Y ESTIM M FINAL'!V338</f>
        <v>0</v>
      </c>
      <c r="F334" s="214"/>
      <c r="J334" s="201">
        <f>+COEF_FCM!A340</f>
        <v>16107</v>
      </c>
      <c r="K334" s="201">
        <f>+COEF_FCM!B340</f>
        <v>8115</v>
      </c>
      <c r="L334" s="201" t="str">
        <f>+COEF_FCM!C340</f>
        <v>QUILLÓN</v>
      </c>
      <c r="M334" s="201" t="str">
        <f>+COEF_FCM!P340</f>
        <v>SI</v>
      </c>
      <c r="N334" s="201">
        <f>+COEF_FCM!AA340</f>
        <v>100449</v>
      </c>
      <c r="O334" s="201">
        <f t="shared" si="16"/>
        <v>1</v>
      </c>
    </row>
    <row r="335" spans="1:15" ht="3" customHeight="1" x14ac:dyDescent="0.25">
      <c r="A335" s="327">
        <f t="shared" si="15"/>
        <v>16</v>
      </c>
      <c r="B335" s="328">
        <f>+'CALC MEC ESTAB Y ESTIM M FINAL'!B339</f>
        <v>16108</v>
      </c>
      <c r="C335" s="328" t="str">
        <f>+'CALC MEC ESTAB Y ESTIM M FINAL'!C339</f>
        <v>SAN IGNACIO</v>
      </c>
      <c r="D335" s="329">
        <f>+'CALC MEC ESTAB Y ESTIM M FINAL'!F339</f>
        <v>2.5607115912999997E-3</v>
      </c>
      <c r="E335" s="330">
        <f>+'CALC MEC ESTAB Y ESTIM M FINAL'!V339</f>
        <v>0</v>
      </c>
      <c r="F335" s="214"/>
      <c r="J335" s="201">
        <f>+COEF_FCM!A341</f>
        <v>16108</v>
      </c>
      <c r="K335" s="201">
        <f>+COEF_FCM!B341</f>
        <v>8114</v>
      </c>
      <c r="L335" s="201" t="str">
        <f>+COEF_FCM!C341</f>
        <v>SAN IGNACIO</v>
      </c>
      <c r="M335" s="201" t="str">
        <f>+COEF_FCM!P341</f>
        <v>SI</v>
      </c>
      <c r="N335" s="201">
        <f>+COEF_FCM!AA341</f>
        <v>19067</v>
      </c>
      <c r="O335" s="201">
        <f t="shared" si="16"/>
        <v>1</v>
      </c>
    </row>
    <row r="336" spans="1:15" ht="3" customHeight="1" x14ac:dyDescent="0.25">
      <c r="A336" s="327">
        <f t="shared" si="15"/>
        <v>16</v>
      </c>
      <c r="B336" s="328">
        <f>+'CALC MEC ESTAB Y ESTIM M FINAL'!B340</f>
        <v>16109</v>
      </c>
      <c r="C336" s="328" t="str">
        <f>+'CALC MEC ESTAB Y ESTIM M FINAL'!C340</f>
        <v>YUNGAY</v>
      </c>
      <c r="D336" s="329">
        <f>+'CALC MEC ESTAB Y ESTIM M FINAL'!F340</f>
        <v>2.3689711332999996E-3</v>
      </c>
      <c r="E336" s="330">
        <f>+'CALC MEC ESTAB Y ESTIM M FINAL'!V340</f>
        <v>184068</v>
      </c>
      <c r="F336" s="214"/>
      <c r="J336" s="201">
        <f>+COEF_FCM!A342</f>
        <v>16109</v>
      </c>
      <c r="K336" s="201">
        <f>+COEF_FCM!B342</f>
        <v>8116</v>
      </c>
      <c r="L336" s="201" t="str">
        <f>+COEF_FCM!C342</f>
        <v>YUNGAY</v>
      </c>
      <c r="M336" s="201" t="str">
        <f>+COEF_FCM!P342</f>
        <v>SI</v>
      </c>
      <c r="N336" s="201">
        <f>+COEF_FCM!AA342</f>
        <v>25154</v>
      </c>
      <c r="O336" s="201">
        <f t="shared" si="16"/>
        <v>1</v>
      </c>
    </row>
    <row r="337" spans="1:15" ht="3" customHeight="1" x14ac:dyDescent="0.25">
      <c r="A337" s="327">
        <f t="shared" si="15"/>
        <v>16</v>
      </c>
      <c r="B337" s="328">
        <f>+'CALC MEC ESTAB Y ESTIM M FINAL'!B341</f>
        <v>16201</v>
      </c>
      <c r="C337" s="328" t="str">
        <f>+'CALC MEC ESTAB Y ESTIM M FINAL'!C341</f>
        <v>QUIRIHUE</v>
      </c>
      <c r="D337" s="329">
        <f>+'CALC MEC ESTAB Y ESTIM M FINAL'!F341</f>
        <v>1.8905856840000001E-3</v>
      </c>
      <c r="E337" s="330">
        <f>+'CALC MEC ESTAB Y ESTIM M FINAL'!V341</f>
        <v>0</v>
      </c>
      <c r="F337" s="214"/>
      <c r="J337" s="201">
        <f>+COEF_FCM!A343</f>
        <v>16201</v>
      </c>
      <c r="K337" s="201">
        <f>+COEF_FCM!B343</f>
        <v>8104</v>
      </c>
      <c r="L337" s="201" t="str">
        <f>+COEF_FCM!C343</f>
        <v>QUIRIHUE</v>
      </c>
      <c r="M337" s="201" t="str">
        <f>+COEF_FCM!P343</f>
        <v>SI</v>
      </c>
      <c r="N337" s="201">
        <f>+COEF_FCM!AA343</f>
        <v>10882</v>
      </c>
      <c r="O337" s="201">
        <f t="shared" si="16"/>
        <v>1</v>
      </c>
    </row>
    <row r="338" spans="1:15" ht="3" customHeight="1" x14ac:dyDescent="0.25">
      <c r="A338" s="327">
        <f t="shared" si="15"/>
        <v>16</v>
      </c>
      <c r="B338" s="328">
        <f>+'CALC MEC ESTAB Y ESTIM M FINAL'!B342</f>
        <v>16202</v>
      </c>
      <c r="C338" s="328" t="str">
        <f>+'CALC MEC ESTAB Y ESTIM M FINAL'!C342</f>
        <v>COBQUECURA</v>
      </c>
      <c r="D338" s="329">
        <f>+'CALC MEC ESTAB Y ESTIM M FINAL'!F342</f>
        <v>2.0679799643999997E-3</v>
      </c>
      <c r="E338" s="330">
        <f>+'CALC MEC ESTAB Y ESTIM M FINAL'!V342</f>
        <v>0</v>
      </c>
      <c r="F338" s="214"/>
      <c r="J338" s="201">
        <f>+COEF_FCM!A344</f>
        <v>16202</v>
      </c>
      <c r="K338" s="201">
        <f>+COEF_FCM!B344</f>
        <v>8107</v>
      </c>
      <c r="L338" s="201" t="str">
        <f>+COEF_FCM!C344</f>
        <v>COBQUECURA</v>
      </c>
      <c r="M338" s="201" t="str">
        <f>+COEF_FCM!P344</f>
        <v>SI</v>
      </c>
      <c r="N338" s="201">
        <f>+COEF_FCM!AA344</f>
        <v>27092</v>
      </c>
      <c r="O338" s="201">
        <f t="shared" si="16"/>
        <v>1</v>
      </c>
    </row>
    <row r="339" spans="1:15" ht="3" customHeight="1" x14ac:dyDescent="0.25">
      <c r="A339" s="327">
        <f t="shared" si="15"/>
        <v>16</v>
      </c>
      <c r="B339" s="328">
        <f>+'CALC MEC ESTAB Y ESTIM M FINAL'!B343</f>
        <v>16203</v>
      </c>
      <c r="C339" s="328" t="str">
        <f>+'CALC MEC ESTAB Y ESTIM M FINAL'!C343</f>
        <v>COELEMU</v>
      </c>
      <c r="D339" s="329">
        <f>+'CALC MEC ESTAB Y ESTIM M FINAL'!F343</f>
        <v>2.1588216583999999E-3</v>
      </c>
      <c r="E339" s="330">
        <f>+'CALC MEC ESTAB Y ESTIM M FINAL'!V343</f>
        <v>0</v>
      </c>
      <c r="F339" s="214"/>
      <c r="J339" s="201">
        <f>+COEF_FCM!A345</f>
        <v>16203</v>
      </c>
      <c r="K339" s="201">
        <f>+COEF_FCM!B345</f>
        <v>8120</v>
      </c>
      <c r="L339" s="201" t="str">
        <f>+COEF_FCM!C345</f>
        <v>COELEMU</v>
      </c>
      <c r="M339" s="201" t="str">
        <f>+COEF_FCM!P345</f>
        <v>SI</v>
      </c>
      <c r="N339" s="201">
        <f>+COEF_FCM!AA345</f>
        <v>16727</v>
      </c>
      <c r="O339" s="201">
        <f t="shared" si="16"/>
        <v>1</v>
      </c>
    </row>
    <row r="340" spans="1:15" ht="3" customHeight="1" x14ac:dyDescent="0.25">
      <c r="A340" s="327">
        <f t="shared" si="15"/>
        <v>16</v>
      </c>
      <c r="B340" s="328">
        <f>+'CALC MEC ESTAB Y ESTIM M FINAL'!B344</f>
        <v>16204</v>
      </c>
      <c r="C340" s="328" t="str">
        <f>+'CALC MEC ESTAB Y ESTIM M FINAL'!C344</f>
        <v>NINHUE</v>
      </c>
      <c r="D340" s="329">
        <f>+'CALC MEC ESTAB Y ESTIM M FINAL'!F344</f>
        <v>1.4637727702999999E-3</v>
      </c>
      <c r="E340" s="330">
        <f>+'CALC MEC ESTAB Y ESTIM M FINAL'!V344</f>
        <v>0</v>
      </c>
      <c r="F340" s="214"/>
      <c r="J340" s="201">
        <f>+COEF_FCM!A346</f>
        <v>16204</v>
      </c>
      <c r="K340" s="201">
        <f>+COEF_FCM!B346</f>
        <v>8105</v>
      </c>
      <c r="L340" s="201" t="str">
        <f>+COEF_FCM!C346</f>
        <v>NINHUE</v>
      </c>
      <c r="M340" s="201" t="str">
        <f>+COEF_FCM!P346</f>
        <v>SI</v>
      </c>
      <c r="N340" s="201">
        <f>+COEF_FCM!AA346</f>
        <v>7574</v>
      </c>
      <c r="O340" s="201">
        <f t="shared" si="16"/>
        <v>1</v>
      </c>
    </row>
    <row r="341" spans="1:15" ht="3" customHeight="1" x14ac:dyDescent="0.25">
      <c r="A341" s="327">
        <f t="shared" si="15"/>
        <v>16</v>
      </c>
      <c r="B341" s="328">
        <f>+'CALC MEC ESTAB Y ESTIM M FINAL'!B345</f>
        <v>16205</v>
      </c>
      <c r="C341" s="328" t="str">
        <f>+'CALC MEC ESTAB Y ESTIM M FINAL'!C345</f>
        <v>PORTEZUELO</v>
      </c>
      <c r="D341" s="329">
        <f>+'CALC MEC ESTAB Y ESTIM M FINAL'!F345</f>
        <v>1.2836998933999999E-3</v>
      </c>
      <c r="E341" s="330">
        <f>+'CALC MEC ESTAB Y ESTIM M FINAL'!V345</f>
        <v>0</v>
      </c>
      <c r="F341" s="214"/>
      <c r="J341" s="201">
        <f>+COEF_FCM!A347</f>
        <v>16205</v>
      </c>
      <c r="K341" s="201">
        <f>+COEF_FCM!B347</f>
        <v>8106</v>
      </c>
      <c r="L341" s="201" t="str">
        <f>+COEF_FCM!C347</f>
        <v>PORTEZUELO</v>
      </c>
      <c r="M341" s="201" t="str">
        <f>+COEF_FCM!P347</f>
        <v>SI</v>
      </c>
      <c r="N341" s="201">
        <f>+COEF_FCM!AA347</f>
        <v>5357</v>
      </c>
      <c r="O341" s="201">
        <f t="shared" si="16"/>
        <v>1</v>
      </c>
    </row>
    <row r="342" spans="1:15" ht="3" customHeight="1" x14ac:dyDescent="0.25">
      <c r="A342" s="327">
        <f t="shared" si="15"/>
        <v>16</v>
      </c>
      <c r="B342" s="328">
        <f>+'CALC MEC ESTAB Y ESTIM M FINAL'!B346</f>
        <v>16206</v>
      </c>
      <c r="C342" s="328" t="str">
        <f>+'CALC MEC ESTAB Y ESTIM M FINAL'!C346</f>
        <v>RÁNQUIL</v>
      </c>
      <c r="D342" s="329">
        <f>+'CALC MEC ESTAB Y ESTIM M FINAL'!F346</f>
        <v>1.8949292717E-3</v>
      </c>
      <c r="E342" s="330">
        <f>+'CALC MEC ESTAB Y ESTIM M FINAL'!V346</f>
        <v>0</v>
      </c>
      <c r="F342" s="214"/>
      <c r="J342" s="201">
        <f>+COEF_FCM!A348</f>
        <v>16206</v>
      </c>
      <c r="K342" s="201">
        <f>+COEF_FCM!B348</f>
        <v>8119</v>
      </c>
      <c r="L342" s="201" t="str">
        <f>+COEF_FCM!C348</f>
        <v>RÁNQUIL</v>
      </c>
      <c r="M342" s="201" t="str">
        <f>+COEF_FCM!P348</f>
        <v>SI</v>
      </c>
      <c r="N342" s="201">
        <f>+COEF_FCM!AA348</f>
        <v>25612</v>
      </c>
      <c r="O342" s="201">
        <f t="shared" si="16"/>
        <v>1</v>
      </c>
    </row>
    <row r="343" spans="1:15" ht="3" customHeight="1" x14ac:dyDescent="0.25">
      <c r="A343" s="327">
        <f t="shared" si="15"/>
        <v>16</v>
      </c>
      <c r="B343" s="328">
        <f>+'CALC MEC ESTAB Y ESTIM M FINAL'!B347</f>
        <v>16207</v>
      </c>
      <c r="C343" s="328" t="str">
        <f>+'CALC MEC ESTAB Y ESTIM M FINAL'!C347</f>
        <v>TREHUACO</v>
      </c>
      <c r="D343" s="329">
        <f>+'CALC MEC ESTAB Y ESTIM M FINAL'!F347</f>
        <v>1.4530982809000002E-3</v>
      </c>
      <c r="E343" s="330">
        <f>+'CALC MEC ESTAB Y ESTIM M FINAL'!V347</f>
        <v>0</v>
      </c>
      <c r="F343" s="214"/>
      <c r="J343" s="201">
        <f>+COEF_FCM!A349</f>
        <v>16207</v>
      </c>
      <c r="K343" s="201">
        <f>+COEF_FCM!B349</f>
        <v>8108</v>
      </c>
      <c r="L343" s="201" t="str">
        <f>+COEF_FCM!C349</f>
        <v>TREHUACO</v>
      </c>
      <c r="M343" s="201" t="str">
        <f>+COEF_FCM!P349</f>
        <v>SI</v>
      </c>
      <c r="N343" s="201">
        <f>+COEF_FCM!AA349</f>
        <v>7760</v>
      </c>
      <c r="O343" s="201">
        <f t="shared" si="16"/>
        <v>1</v>
      </c>
    </row>
    <row r="344" spans="1:15" ht="3" customHeight="1" x14ac:dyDescent="0.25">
      <c r="A344" s="327">
        <f t="shared" si="15"/>
        <v>16</v>
      </c>
      <c r="B344" s="328">
        <f>+'CALC MEC ESTAB Y ESTIM M FINAL'!B348</f>
        <v>16301</v>
      </c>
      <c r="C344" s="328" t="str">
        <f>+'CALC MEC ESTAB Y ESTIM M FINAL'!C348</f>
        <v>SAN CARLOS</v>
      </c>
      <c r="D344" s="329">
        <f>+'CALC MEC ESTAB Y ESTIM M FINAL'!F348</f>
        <v>5.3139400355000001E-3</v>
      </c>
      <c r="E344" s="330">
        <f>+'CALC MEC ESTAB Y ESTIM M FINAL'!V348</f>
        <v>0</v>
      </c>
      <c r="F344" s="214"/>
      <c r="J344" s="201">
        <f>+COEF_FCM!A350</f>
        <v>16301</v>
      </c>
      <c r="K344" s="201">
        <f>+COEF_FCM!B350</f>
        <v>8109</v>
      </c>
      <c r="L344" s="201" t="str">
        <f>+COEF_FCM!C350</f>
        <v>SAN CARLOS</v>
      </c>
      <c r="M344" s="201" t="str">
        <f>+COEF_FCM!P350</f>
        <v>SI</v>
      </c>
      <c r="N344" s="201">
        <f>+COEF_FCM!AA350</f>
        <v>52483</v>
      </c>
      <c r="O344" s="201">
        <f t="shared" si="16"/>
        <v>1</v>
      </c>
    </row>
    <row r="345" spans="1:15" ht="3" customHeight="1" x14ac:dyDescent="0.25">
      <c r="A345" s="327">
        <f t="shared" si="15"/>
        <v>16</v>
      </c>
      <c r="B345" s="328">
        <f>+'CALC MEC ESTAB Y ESTIM M FINAL'!B349</f>
        <v>16302</v>
      </c>
      <c r="C345" s="328" t="str">
        <f>+'CALC MEC ESTAB Y ESTIM M FINAL'!C349</f>
        <v>COIHUECO</v>
      </c>
      <c r="D345" s="329">
        <f>+'CALC MEC ESTAB Y ESTIM M FINAL'!F349</f>
        <v>2.0551373965000002E-3</v>
      </c>
      <c r="E345" s="330">
        <f>+'CALC MEC ESTAB Y ESTIM M FINAL'!V349</f>
        <v>2320936</v>
      </c>
      <c r="F345" s="214"/>
      <c r="J345" s="201">
        <f>+COEF_FCM!A351</f>
        <v>16302</v>
      </c>
      <c r="K345" s="201">
        <f>+COEF_FCM!B351</f>
        <v>8103</v>
      </c>
      <c r="L345" s="201" t="str">
        <f>+COEF_FCM!C351</f>
        <v>COIHUECO</v>
      </c>
      <c r="M345" s="201" t="str">
        <f>+COEF_FCM!P351</f>
        <v>NO</v>
      </c>
      <c r="N345" s="201">
        <f>+COEF_FCM!AA351</f>
        <v>0</v>
      </c>
      <c r="O345" s="201">
        <f t="shared" si="16"/>
        <v>0</v>
      </c>
    </row>
    <row r="346" spans="1:15" ht="3" customHeight="1" x14ac:dyDescent="0.25">
      <c r="A346" s="327">
        <f t="shared" si="15"/>
        <v>16</v>
      </c>
      <c r="B346" s="328">
        <f>+'CALC MEC ESTAB Y ESTIM M FINAL'!B350</f>
        <v>16303</v>
      </c>
      <c r="C346" s="328" t="str">
        <f>+'CALC MEC ESTAB Y ESTIM M FINAL'!C350</f>
        <v>ÑIQUÉN</v>
      </c>
      <c r="D346" s="329">
        <f>+'CALC MEC ESTAB Y ESTIM M FINAL'!F350</f>
        <v>2.2139322671000002E-3</v>
      </c>
      <c r="E346" s="330">
        <f>+'CALC MEC ESTAB Y ESTIM M FINAL'!V350</f>
        <v>0</v>
      </c>
      <c r="F346" s="214"/>
      <c r="J346" s="201">
        <f>+COEF_FCM!A352</f>
        <v>16303</v>
      </c>
      <c r="K346" s="201">
        <f>+COEF_FCM!B352</f>
        <v>8110</v>
      </c>
      <c r="L346" s="201" t="str">
        <f>+COEF_FCM!C352</f>
        <v>ÑIQUÉN</v>
      </c>
      <c r="M346" s="201" t="str">
        <f>+COEF_FCM!P352</f>
        <v>SI</v>
      </c>
      <c r="N346" s="201">
        <f>+COEF_FCM!AA352</f>
        <v>23464</v>
      </c>
      <c r="O346" s="201">
        <f t="shared" si="16"/>
        <v>1</v>
      </c>
    </row>
    <row r="347" spans="1:15" ht="3" customHeight="1" x14ac:dyDescent="0.25">
      <c r="A347" s="327">
        <f t="shared" si="15"/>
        <v>16</v>
      </c>
      <c r="B347" s="328">
        <f>+'CALC MEC ESTAB Y ESTIM M FINAL'!B351</f>
        <v>16304</v>
      </c>
      <c r="C347" s="328" t="str">
        <f>+'CALC MEC ESTAB Y ESTIM M FINAL'!C351</f>
        <v>SAN FABIÁN</v>
      </c>
      <c r="D347" s="329">
        <f>+'CALC MEC ESTAB Y ESTIM M FINAL'!F351</f>
        <v>9.2230896229999993E-4</v>
      </c>
      <c r="E347" s="330">
        <f>+'CALC MEC ESTAB Y ESTIM M FINAL'!V351</f>
        <v>0</v>
      </c>
      <c r="F347" s="214"/>
      <c r="J347" s="201">
        <f>+COEF_FCM!A353</f>
        <v>16304</v>
      </c>
      <c r="K347" s="201">
        <f>+COEF_FCM!B353</f>
        <v>8111</v>
      </c>
      <c r="L347" s="201" t="str">
        <f>+COEF_FCM!C353</f>
        <v>SAN FABIÁN</v>
      </c>
      <c r="M347" s="201" t="str">
        <f>+COEF_FCM!P353</f>
        <v>NO</v>
      </c>
      <c r="N347" s="201">
        <f>+COEF_FCM!AA353</f>
        <v>0</v>
      </c>
      <c r="O347" s="201">
        <f t="shared" si="16"/>
        <v>0</v>
      </c>
    </row>
    <row r="348" spans="1:15" ht="3" customHeight="1" x14ac:dyDescent="0.25">
      <c r="A348" s="331">
        <f t="shared" si="15"/>
        <v>16</v>
      </c>
      <c r="B348" s="332">
        <f>+'CALC MEC ESTAB Y ESTIM M FINAL'!B352</f>
        <v>16305</v>
      </c>
      <c r="C348" s="332" t="str">
        <f>+'CALC MEC ESTAB Y ESTIM M FINAL'!C352</f>
        <v>SAN NICOLÁS</v>
      </c>
      <c r="D348" s="329">
        <f>+'CALC MEC ESTAB Y ESTIM M FINAL'!F352</f>
        <v>1.2471007001999999E-3</v>
      </c>
      <c r="E348" s="330">
        <f>+'CALC MEC ESTAB Y ESTIM M FINAL'!V352</f>
        <v>0</v>
      </c>
      <c r="F348" s="214"/>
      <c r="J348" s="201">
        <f>+COEF_FCM!A354</f>
        <v>16305</v>
      </c>
      <c r="K348" s="201">
        <f>+COEF_FCM!B354</f>
        <v>8112</v>
      </c>
      <c r="L348" s="201" t="str">
        <f>+COEF_FCM!C354</f>
        <v>SAN NICOLÁS</v>
      </c>
      <c r="M348" s="201" t="str">
        <f>+COEF_FCM!P354</f>
        <v>NO</v>
      </c>
      <c r="N348" s="201">
        <f>+COEF_FCM!AA354</f>
        <v>0</v>
      </c>
      <c r="O348" s="201">
        <f t="shared" si="16"/>
        <v>0</v>
      </c>
    </row>
    <row r="349" spans="1:15" ht="3" customHeight="1" x14ac:dyDescent="0.25">
      <c r="A349" s="333"/>
      <c r="B349" s="334"/>
      <c r="C349" s="335" t="s">
        <v>320</v>
      </c>
      <c r="D349" s="336">
        <f>SUM($D$3:$D$348)</f>
        <v>1.0000000000050997</v>
      </c>
      <c r="E349" s="337">
        <f>SUM($E$3:$E$348)</f>
        <v>156300246</v>
      </c>
    </row>
    <row r="352" spans="1:15" ht="3" customHeight="1" thickBot="1" x14ac:dyDescent="0.3"/>
    <row r="353" spans="2:5" ht="3" customHeight="1" x14ac:dyDescent="0.25">
      <c r="B353" s="338"/>
      <c r="C353" s="339" t="str">
        <f>+'CALC MEC ESTAB Y ESTIM M FINAL'!C354</f>
        <v>Totales</v>
      </c>
      <c r="D353" s="340">
        <f>+'CALC MEC ESTAB Y ESTIM M FINAL'!F354</f>
        <v>1.0000000000050997</v>
      </c>
      <c r="E353" s="341">
        <f>+'CALC MEC ESTAB Y ESTIM M FINAL'!V354</f>
        <v>156300246</v>
      </c>
    </row>
    <row r="354" spans="2:5" ht="3" customHeight="1" x14ac:dyDescent="0.25">
      <c r="B354" s="342"/>
      <c r="E354" s="343">
        <f>COUNTIF($E$3:$E$348,"&gt;0")</f>
        <v>65</v>
      </c>
    </row>
    <row r="355" spans="2:5" ht="3" customHeight="1" x14ac:dyDescent="0.25">
      <c r="B355" s="342"/>
      <c r="E355" s="343" t="str">
        <f>IF(E354&lt;&gt;VALUE(PARAMETROS!$G$14),"No son iguales los # estabilizados","")</f>
        <v/>
      </c>
    </row>
    <row r="356" spans="2:5" ht="3" customHeight="1" thickBot="1" x14ac:dyDescent="0.3">
      <c r="B356" s="344"/>
      <c r="C356" s="345"/>
      <c r="D356" s="345"/>
      <c r="E356" s="346"/>
    </row>
  </sheetData>
  <sheetProtection algorithmName="SHA-512" hashValue="QnldgKCNXVNcqm+KePPN36rOxT+f7AEc0DVfwpuUsXUwx7SSP+651UKckQzObuuLObXRc2U/KEKRqk2tnIF7uQ==" saltValue="Rt3KJyQF+JnRII15ZATq2Q==" spinCount="100000" sheet="1" objects="1" scenarios="1" selectLockedCells="1" selectUnlockedCells="1"/>
  <mergeCells count="1">
    <mergeCell ref="AA2:AF33"/>
  </mergeCell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E1F5-D014-400A-846B-CFB32F62A005}">
  <sheetPr codeName="Hoja9">
    <tabColor rgb="FFFF0000"/>
    <pageSetUpPr fitToPage="1"/>
  </sheetPr>
  <dimension ref="A1:X349"/>
  <sheetViews>
    <sheetView showOutlineSymbols="0" showWhiteSpace="0" workbookViewId="0"/>
  </sheetViews>
  <sheetFormatPr baseColWidth="10" defaultRowHeight="15" x14ac:dyDescent="0.25"/>
  <cols>
    <col min="1" max="1" width="13.140625" customWidth="1"/>
    <col min="2" max="2" width="13.85546875" customWidth="1"/>
    <col min="3" max="3" width="16.5703125" style="6" bestFit="1" customWidth="1"/>
    <col min="4" max="9" width="12.85546875" style="6" customWidth="1"/>
    <col min="10" max="10" width="1.85546875" style="6" customWidth="1"/>
    <col min="11" max="11" width="13" style="146" customWidth="1"/>
    <col min="12" max="12" width="17.140625" style="146" customWidth="1"/>
    <col min="13" max="13" width="18.140625" style="146" customWidth="1"/>
    <col min="14" max="14" width="19.140625" style="146" customWidth="1"/>
    <col min="15" max="15" width="16.42578125" style="146" customWidth="1"/>
    <col min="16" max="16" width="18.85546875" style="146" customWidth="1"/>
    <col min="17" max="17" width="12.85546875" style="146" customWidth="1"/>
    <col min="23" max="23" width="11.5703125" style="6"/>
  </cols>
  <sheetData>
    <row r="1" spans="1:24" x14ac:dyDescent="0.25">
      <c r="C1" s="563" t="s">
        <v>750</v>
      </c>
      <c r="D1" s="563"/>
      <c r="K1" s="172"/>
      <c r="L1" s="172"/>
      <c r="M1" s="172"/>
      <c r="N1" s="172"/>
      <c r="O1" s="172"/>
      <c r="P1" s="172"/>
      <c r="Q1" s="172"/>
    </row>
    <row r="2" spans="1:24" x14ac:dyDescent="0.25">
      <c r="A2" t="s">
        <v>551</v>
      </c>
      <c r="B2" s="6">
        <f>IF(A2&lt;&gt;"",VALUE(MID(A2,1,SEARCH("_",A2)-1)),"")</f>
        <v>1</v>
      </c>
      <c r="C2" t="s">
        <v>552</v>
      </c>
      <c r="D2" s="6">
        <f>IF(C2&lt;&gt;"",VALUE(MID(C2,1,SEARCH("_",C2)-1)),"")</f>
        <v>2</v>
      </c>
      <c r="K2" s="172"/>
      <c r="L2" s="172"/>
      <c r="M2" s="172"/>
      <c r="N2" s="172"/>
      <c r="O2" s="172"/>
      <c r="P2" s="189" t="str">
        <f>A3&amp;" :"&amp;B3&amp;" - "&amp;C3&amp;" :"&amp;D3</f>
        <v>COMUNA :01101 - CONARA :01201</v>
      </c>
      <c r="Q2" s="189"/>
      <c r="S2" s="168">
        <v>1</v>
      </c>
      <c r="V2" t="s">
        <v>957</v>
      </c>
      <c r="W2" s="6" t="s">
        <v>551</v>
      </c>
      <c r="X2" t="s">
        <v>553</v>
      </c>
    </row>
    <row r="3" spans="1:24" x14ac:dyDescent="0.25">
      <c r="A3" s="171" t="s">
        <v>544</v>
      </c>
      <c r="B3" s="171" t="str">
        <f>VLOOKUP($S$3,_CARATULAS!$A$1:$AV$348,_GENERADOR!B2,0)</f>
        <v>01101</v>
      </c>
      <c r="C3" s="171" t="s">
        <v>340</v>
      </c>
      <c r="D3" s="171" t="str">
        <f>VLOOKUP($S$3,_CARATULAS!$A$1:$AV$348,_GENERADOR!D2,0)</f>
        <v>01201</v>
      </c>
      <c r="E3" s="171"/>
      <c r="F3" s="171"/>
      <c r="G3" s="171"/>
      <c r="H3" s="171"/>
      <c r="I3" s="171"/>
      <c r="K3" s="172"/>
      <c r="L3" s="172"/>
      <c r="M3" s="172"/>
      <c r="N3" s="172"/>
      <c r="O3" s="172"/>
      <c r="P3" s="172"/>
      <c r="Q3" s="174" t="str">
        <f>+PARAMETROS!H3</f>
        <v>Ver:5 20251231</v>
      </c>
      <c r="S3" s="170" t="str">
        <f>VLOOKUP(S2,$V$2:$X$349,2,0)</f>
        <v>01101</v>
      </c>
      <c r="V3">
        <v>1</v>
      </c>
      <c r="W3" s="6" t="s">
        <v>751</v>
      </c>
      <c r="X3" t="s">
        <v>54</v>
      </c>
    </row>
    <row r="4" spans="1:24" x14ac:dyDescent="0.25">
      <c r="K4" s="172"/>
      <c r="L4" s="172"/>
      <c r="M4" s="172"/>
      <c r="N4" s="172"/>
      <c r="O4" s="172"/>
      <c r="P4" s="172"/>
      <c r="Q4" s="172"/>
      <c r="V4">
        <v>2</v>
      </c>
      <c r="W4" s="6" t="s">
        <v>752</v>
      </c>
      <c r="X4" t="s">
        <v>60</v>
      </c>
    </row>
    <row r="5" spans="1:24" x14ac:dyDescent="0.25">
      <c r="C5" s="6" t="str">
        <f t="shared" ref="C5:D59" si="0">IF(A5&lt;&gt;"",VALUE(MID(A5,1,SEARCH("_",A5)-1)),"")</f>
        <v/>
      </c>
      <c r="K5" s="172"/>
      <c r="L5" s="172"/>
      <c r="M5" s="172"/>
      <c r="N5" s="172"/>
      <c r="O5" s="172"/>
      <c r="P5" s="172"/>
      <c r="Q5" s="172"/>
      <c r="V5">
        <v>3</v>
      </c>
      <c r="W5" s="6" t="s">
        <v>753</v>
      </c>
      <c r="X5" t="s">
        <v>56</v>
      </c>
    </row>
    <row r="6" spans="1:24" x14ac:dyDescent="0.25">
      <c r="C6" s="6" t="str">
        <f t="shared" si="0"/>
        <v/>
      </c>
      <c r="K6" s="172"/>
      <c r="L6" s="172"/>
      <c r="M6" s="172"/>
      <c r="N6" s="172"/>
      <c r="O6" s="172"/>
      <c r="P6" s="172"/>
      <c r="Q6" s="172"/>
      <c r="V6">
        <v>4</v>
      </c>
      <c r="W6" s="6" t="s">
        <v>754</v>
      </c>
      <c r="X6" t="s">
        <v>58</v>
      </c>
    </row>
    <row r="7" spans="1:24" ht="18" x14ac:dyDescent="0.25">
      <c r="C7" s="6" t="str">
        <f t="shared" si="0"/>
        <v/>
      </c>
      <c r="K7" s="172"/>
      <c r="L7" s="567" t="str">
        <f>"FONDO COMUN MUNICIPAL AÑO "&amp;RIGHT(PARAMETROS!B3,4)</f>
        <v>FONDO COMUN MUNICIPAL AÑO 2026</v>
      </c>
      <c r="M7" s="567"/>
      <c r="N7" s="567"/>
      <c r="O7" s="567"/>
      <c r="P7" s="567"/>
      <c r="Q7" s="172"/>
      <c r="V7">
        <v>5</v>
      </c>
      <c r="W7" s="6" t="s">
        <v>755</v>
      </c>
      <c r="X7" t="s">
        <v>59</v>
      </c>
    </row>
    <row r="8" spans="1:24" ht="21" thickBot="1" x14ac:dyDescent="0.35">
      <c r="A8" t="s">
        <v>553</v>
      </c>
      <c r="C8" s="6">
        <f t="shared" si="0"/>
        <v>3</v>
      </c>
      <c r="K8" s="175"/>
      <c r="L8" s="568" t="str">
        <f>VLOOKUP($S$2,$V$2:$X$349,3,0)</f>
        <v>IQUIQUE</v>
      </c>
      <c r="M8" s="568"/>
      <c r="N8" s="568"/>
      <c r="O8" s="568"/>
      <c r="P8" s="568"/>
      <c r="Q8" s="175"/>
      <c r="V8">
        <v>6</v>
      </c>
      <c r="W8" s="6" t="s">
        <v>756</v>
      </c>
      <c r="X8" t="s">
        <v>57</v>
      </c>
    </row>
    <row r="9" spans="1:24" x14ac:dyDescent="0.25">
      <c r="C9" s="6" t="str">
        <f t="shared" si="0"/>
        <v/>
      </c>
      <c r="K9" s="172"/>
      <c r="L9" s="172"/>
      <c r="M9" s="172"/>
      <c r="N9" s="172"/>
      <c r="O9" s="172"/>
      <c r="P9" s="172"/>
      <c r="Q9" s="172"/>
      <c r="V9">
        <v>7</v>
      </c>
      <c r="W9" s="6" t="s">
        <v>757</v>
      </c>
      <c r="X9" t="s">
        <v>55</v>
      </c>
    </row>
    <row r="10" spans="1:24" x14ac:dyDescent="0.25">
      <c r="C10" s="6" t="str">
        <f t="shared" si="0"/>
        <v/>
      </c>
      <c r="K10" s="172"/>
      <c r="L10" s="172"/>
      <c r="M10" s="172"/>
      <c r="N10" s="172"/>
      <c r="O10" s="172"/>
      <c r="P10" s="172"/>
      <c r="Q10" s="172"/>
      <c r="V10">
        <v>8</v>
      </c>
      <c r="W10" s="6" t="s">
        <v>758</v>
      </c>
      <c r="X10" t="s">
        <v>64</v>
      </c>
    </row>
    <row r="11" spans="1:24" ht="15.75" x14ac:dyDescent="0.25">
      <c r="C11" s="6" t="str">
        <f t="shared" si="0"/>
        <v/>
      </c>
      <c r="K11" s="172"/>
      <c r="L11" s="176" t="s">
        <v>987</v>
      </c>
      <c r="M11" s="173"/>
      <c r="N11" s="173"/>
      <c r="O11" s="173"/>
      <c r="Q11" s="172"/>
      <c r="V11">
        <v>9</v>
      </c>
      <c r="W11" s="6" t="s">
        <v>760</v>
      </c>
      <c r="X11" t="s">
        <v>66</v>
      </c>
    </row>
    <row r="12" spans="1:24" x14ac:dyDescent="0.25">
      <c r="A12" t="s">
        <v>554</v>
      </c>
      <c r="C12" s="6">
        <f t="shared" si="0"/>
        <v>4</v>
      </c>
      <c r="K12" s="172"/>
      <c r="L12" s="178"/>
      <c r="P12" s="177" t="s">
        <v>517</v>
      </c>
      <c r="Q12" s="172"/>
      <c r="V12">
        <v>10</v>
      </c>
      <c r="W12" s="6" t="s">
        <v>762</v>
      </c>
      <c r="X12" t="s">
        <v>67</v>
      </c>
    </row>
    <row r="13" spans="1:24" x14ac:dyDescent="0.25">
      <c r="C13" s="6" t="str">
        <f t="shared" si="0"/>
        <v/>
      </c>
      <c r="K13" s="172"/>
      <c r="L13" s="178"/>
      <c r="M13" s="564" t="s">
        <v>740</v>
      </c>
      <c r="N13" s="564"/>
      <c r="O13" s="564"/>
      <c r="P13" s="179">
        <f>VLOOKUP($S$3,_CARATULAS!$A$1:$AV$348,_GENERADOR!C12,0)</f>
        <v>8031724</v>
      </c>
      <c r="Q13" s="172"/>
      <c r="V13">
        <v>11</v>
      </c>
      <c r="W13" s="6" t="s">
        <v>763</v>
      </c>
      <c r="X13" t="s">
        <v>65</v>
      </c>
    </row>
    <row r="14" spans="1:24" x14ac:dyDescent="0.25">
      <c r="K14" s="172"/>
      <c r="L14" s="178"/>
      <c r="M14" s="564" t="str">
        <f>IF(S2=48,"Monto Compensación (Ley de Rentas Art. 38, N° 4, inciso 3°) con cargo al FCM","")</f>
        <v/>
      </c>
      <c r="N14" s="564"/>
      <c r="O14" s="564"/>
      <c r="P14" s="570" t="str">
        <f>IF(S2=48,E37,"")</f>
        <v/>
      </c>
      <c r="Q14" s="172"/>
      <c r="V14">
        <v>12</v>
      </c>
      <c r="W14" s="6" t="s">
        <v>759</v>
      </c>
      <c r="X14" t="s">
        <v>68</v>
      </c>
    </row>
    <row r="15" spans="1:24" ht="15.75" thickBot="1" x14ac:dyDescent="0.3">
      <c r="K15" s="172"/>
      <c r="L15" s="178"/>
      <c r="M15" s="569"/>
      <c r="N15" s="569"/>
      <c r="O15" s="569"/>
      <c r="P15" s="571"/>
      <c r="Q15" s="172"/>
      <c r="V15">
        <v>13</v>
      </c>
      <c r="W15" s="6" t="s">
        <v>764</v>
      </c>
      <c r="X15" t="s">
        <v>27</v>
      </c>
    </row>
    <row r="16" spans="1:24" x14ac:dyDescent="0.25">
      <c r="K16" s="172"/>
      <c r="L16" s="178"/>
      <c r="M16" s="564" t="s">
        <v>993</v>
      </c>
      <c r="N16" s="564"/>
      <c r="O16" s="564"/>
      <c r="P16" s="193" t="e">
        <f>+P13+P14</f>
        <v>#VALUE!</v>
      </c>
      <c r="Q16" s="172"/>
      <c r="V16">
        <v>14</v>
      </c>
      <c r="W16" s="6" t="s">
        <v>761</v>
      </c>
      <c r="X16" t="s">
        <v>69</v>
      </c>
    </row>
    <row r="17" spans="1:24" x14ac:dyDescent="0.25">
      <c r="C17" s="6" t="str">
        <f t="shared" si="0"/>
        <v/>
      </c>
      <c r="K17" s="172"/>
      <c r="L17" s="172"/>
      <c r="M17" s="172"/>
      <c r="N17" s="172"/>
      <c r="O17" s="172"/>
      <c r="P17" s="172"/>
      <c r="Q17" s="172"/>
      <c r="V17">
        <v>15</v>
      </c>
      <c r="W17" s="6" t="s">
        <v>765</v>
      </c>
      <c r="X17" t="s">
        <v>63</v>
      </c>
    </row>
    <row r="18" spans="1:24" x14ac:dyDescent="0.25">
      <c r="A18" t="s">
        <v>555</v>
      </c>
      <c r="C18" s="6">
        <f t="shared" si="0"/>
        <v>5</v>
      </c>
      <c r="K18" s="172"/>
      <c r="L18" s="172"/>
      <c r="M18" s="565" t="s">
        <v>748</v>
      </c>
      <c r="N18" s="565"/>
      <c r="O18" s="565"/>
      <c r="P18" s="180">
        <f>VLOOKUP($S$3,_CARATULAS!$A$1:$AV$348,C18,0)</f>
        <v>3.0338082943999999E-3</v>
      </c>
      <c r="Q18" s="172"/>
      <c r="V18">
        <v>16</v>
      </c>
      <c r="W18" s="6" t="s">
        <v>766</v>
      </c>
      <c r="X18" t="s">
        <v>374</v>
      </c>
    </row>
    <row r="19" spans="1:24" x14ac:dyDescent="0.25">
      <c r="A19" t="s">
        <v>556</v>
      </c>
      <c r="C19" s="6">
        <f t="shared" si="0"/>
        <v>6</v>
      </c>
      <c r="K19" s="172"/>
      <c r="L19" s="172"/>
      <c r="M19" s="566" t="s">
        <v>749</v>
      </c>
      <c r="N19" s="566"/>
      <c r="O19" s="566"/>
      <c r="P19" s="180">
        <f>VLOOKUP($S$3,_CARATULAS!$A$1:$AV$348,C19,0)</f>
        <v>-2.041036894E-4</v>
      </c>
      <c r="Q19" s="172"/>
      <c r="V19">
        <v>17</v>
      </c>
      <c r="W19" s="6" t="s">
        <v>767</v>
      </c>
      <c r="X19" t="s">
        <v>375</v>
      </c>
    </row>
    <row r="20" spans="1:24" x14ac:dyDescent="0.25">
      <c r="C20" s="6" t="str">
        <f t="shared" si="0"/>
        <v/>
      </c>
      <c r="K20" s="172"/>
      <c r="L20" s="172"/>
      <c r="M20" s="172"/>
      <c r="N20" s="172"/>
      <c r="O20" s="172"/>
      <c r="P20" s="172"/>
      <c r="Q20" s="172"/>
      <c r="V20">
        <v>18</v>
      </c>
      <c r="W20" s="6" t="s">
        <v>769</v>
      </c>
      <c r="X20" t="s">
        <v>72</v>
      </c>
    </row>
    <row r="21" spans="1:24" ht="15.75" x14ac:dyDescent="0.25">
      <c r="C21" s="6" t="str">
        <f t="shared" si="0"/>
        <v/>
      </c>
      <c r="K21" s="172"/>
      <c r="L21" s="176" t="s">
        <v>988</v>
      </c>
      <c r="M21" s="173"/>
      <c r="N21" s="173"/>
      <c r="O21" s="173"/>
      <c r="P21" s="173"/>
      <c r="Q21" s="172"/>
      <c r="V21">
        <v>19</v>
      </c>
      <c r="W21" s="6" t="s">
        <v>771</v>
      </c>
      <c r="X21" t="s">
        <v>73</v>
      </c>
    </row>
    <row r="22" spans="1:24" x14ac:dyDescent="0.25">
      <c r="C22" s="6" t="str">
        <f t="shared" si="0"/>
        <v/>
      </c>
      <c r="K22" s="172"/>
      <c r="L22" s="181" t="s">
        <v>743</v>
      </c>
      <c r="M22" s="173"/>
      <c r="N22" s="173"/>
      <c r="O22" s="173"/>
      <c r="P22" s="173"/>
      <c r="Q22" s="172"/>
      <c r="V22">
        <v>20</v>
      </c>
      <c r="W22" s="6" t="s">
        <v>768</v>
      </c>
      <c r="X22" t="s">
        <v>70</v>
      </c>
    </row>
    <row r="23" spans="1:24" x14ac:dyDescent="0.25">
      <c r="C23" s="6" t="str">
        <f t="shared" si="0"/>
        <v/>
      </c>
      <c r="K23" s="172"/>
      <c r="L23" s="173"/>
      <c r="M23" s="173"/>
      <c r="N23" s="173"/>
      <c r="O23" s="173"/>
      <c r="P23" s="190"/>
      <c r="Q23" s="172"/>
      <c r="V23">
        <v>21</v>
      </c>
      <c r="W23" s="6" t="s">
        <v>770</v>
      </c>
      <c r="X23" t="s">
        <v>71</v>
      </c>
    </row>
    <row r="24" spans="1:24" ht="51" x14ac:dyDescent="0.25">
      <c r="C24" s="6" t="str">
        <f t="shared" si="0"/>
        <v/>
      </c>
      <c r="E24" s="200" t="s">
        <v>992</v>
      </c>
      <c r="F24" s="192" t="s">
        <v>742</v>
      </c>
      <c r="G24" s="200">
        <f>IF($S$2=48,E24,0)</f>
        <v>0</v>
      </c>
      <c r="H24" s="192">
        <f>IF($S$2=48,F24,0)</f>
        <v>0</v>
      </c>
      <c r="I24" s="195"/>
      <c r="K24" s="172"/>
      <c r="L24" s="173"/>
      <c r="M24" s="191" t="s">
        <v>741</v>
      </c>
      <c r="N24" s="191" t="s">
        <v>991</v>
      </c>
      <c r="O24" s="198">
        <f>+G24</f>
        <v>0</v>
      </c>
      <c r="P24" s="198">
        <f>+H24</f>
        <v>0</v>
      </c>
      <c r="Q24" s="172"/>
      <c r="V24">
        <v>22</v>
      </c>
      <c r="W24" s="6" t="s">
        <v>772</v>
      </c>
      <c r="X24" t="s">
        <v>74</v>
      </c>
    </row>
    <row r="25" spans="1:24" x14ac:dyDescent="0.25">
      <c r="A25" t="s">
        <v>557</v>
      </c>
      <c r="B25" t="s">
        <v>725</v>
      </c>
      <c r="C25" s="6">
        <f t="shared" si="0"/>
        <v>7</v>
      </c>
      <c r="D25" s="6">
        <f t="shared" si="0"/>
        <v>20</v>
      </c>
      <c r="E25" s="183">
        <f>VLOOKUP($S$3,_CARATULAS!$A$1:$AV$348,_GENERADOR!D25,0)</f>
        <v>0</v>
      </c>
      <c r="F25" s="183">
        <f t="shared" ref="F25:F37" si="1">+N25+E25</f>
        <v>365987</v>
      </c>
      <c r="G25" s="183">
        <f t="shared" ref="G25:G37" si="2">IF($S$2=48,E25,0)</f>
        <v>0</v>
      </c>
      <c r="H25" s="183">
        <f>IF($S$2=48,F25,0)</f>
        <v>0</v>
      </c>
      <c r="I25" s="196"/>
      <c r="K25" s="172"/>
      <c r="L25" s="172"/>
      <c r="M25" s="182">
        <f>+'Flujo Global'!D2</f>
        <v>46030</v>
      </c>
      <c r="N25" s="183">
        <f>VLOOKUP($S$3,_CARATULAS!$A$1:$AV$348,_GENERADOR!C25,0)</f>
        <v>365987</v>
      </c>
      <c r="O25" s="199">
        <f>+G25</f>
        <v>0</v>
      </c>
      <c r="P25" s="199">
        <f>+H25</f>
        <v>0</v>
      </c>
      <c r="Q25" s="172"/>
      <c r="V25">
        <v>23</v>
      </c>
      <c r="W25" s="6" t="s">
        <v>773</v>
      </c>
      <c r="X25" t="s">
        <v>77</v>
      </c>
    </row>
    <row r="26" spans="1:24" x14ac:dyDescent="0.25">
      <c r="A26" t="s">
        <v>558</v>
      </c>
      <c r="B26" t="s">
        <v>726</v>
      </c>
      <c r="C26" s="6">
        <f t="shared" si="0"/>
        <v>8</v>
      </c>
      <c r="D26" s="6">
        <f t="shared" si="0"/>
        <v>21</v>
      </c>
      <c r="E26" s="183">
        <f>VLOOKUP($S$3,_CARATULAS!$A$1:$AV$348,_GENERADOR!D26,0)</f>
        <v>0</v>
      </c>
      <c r="F26" s="183">
        <f t="shared" si="1"/>
        <v>365987</v>
      </c>
      <c r="G26" s="183">
        <f t="shared" si="2"/>
        <v>0</v>
      </c>
      <c r="H26" s="183">
        <f t="shared" ref="H26:H37" si="3">IF($S$2=48,F26,0)</f>
        <v>0</v>
      </c>
      <c r="I26" s="196"/>
      <c r="K26" s="172"/>
      <c r="L26" s="172"/>
      <c r="M26" s="182">
        <f>+'Flujo Global'!D3</f>
        <v>46059</v>
      </c>
      <c r="N26" s="183">
        <f>VLOOKUP($S$3,_CARATULAS!$A$1:$AV$348,_GENERADOR!C26,0)</f>
        <v>365987</v>
      </c>
      <c r="O26" s="199">
        <f t="shared" ref="O26:O36" si="4">+G26</f>
        <v>0</v>
      </c>
      <c r="P26" s="199">
        <f t="shared" ref="P26:P36" si="5">+H26</f>
        <v>0</v>
      </c>
      <c r="Q26" s="172"/>
      <c r="V26">
        <v>24</v>
      </c>
      <c r="W26" s="6" t="s">
        <v>775</v>
      </c>
      <c r="X26" t="s">
        <v>75</v>
      </c>
    </row>
    <row r="27" spans="1:24" x14ac:dyDescent="0.25">
      <c r="A27" t="s">
        <v>559</v>
      </c>
      <c r="B27" t="s">
        <v>727</v>
      </c>
      <c r="C27" s="6">
        <f t="shared" si="0"/>
        <v>9</v>
      </c>
      <c r="D27" s="6">
        <f t="shared" si="0"/>
        <v>22</v>
      </c>
      <c r="E27" s="183">
        <f>VLOOKUP($S$3,_CARATULAS!$A$1:$AV$348,_GENERADOR!D27,0)</f>
        <v>0</v>
      </c>
      <c r="F27" s="183">
        <f t="shared" si="1"/>
        <v>353941</v>
      </c>
      <c r="G27" s="183">
        <f t="shared" si="2"/>
        <v>0</v>
      </c>
      <c r="H27" s="183">
        <f t="shared" si="3"/>
        <v>0</v>
      </c>
      <c r="I27" s="196"/>
      <c r="K27" s="172"/>
      <c r="L27" s="172"/>
      <c r="M27" s="182">
        <f>+'Flujo Global'!D4</f>
        <v>46087</v>
      </c>
      <c r="N27" s="183">
        <f>VLOOKUP($S$3,_CARATULAS!$A$1:$AV$348,_GENERADOR!C27,0)</f>
        <v>353941</v>
      </c>
      <c r="O27" s="199">
        <f t="shared" si="4"/>
        <v>0</v>
      </c>
      <c r="P27" s="199">
        <f t="shared" si="5"/>
        <v>0</v>
      </c>
      <c r="Q27" s="172"/>
      <c r="V27">
        <v>25</v>
      </c>
      <c r="W27" s="6" t="s">
        <v>774</v>
      </c>
      <c r="X27" t="s">
        <v>76</v>
      </c>
    </row>
    <row r="28" spans="1:24" x14ac:dyDescent="0.25">
      <c r="A28" t="s">
        <v>560</v>
      </c>
      <c r="B28" t="s">
        <v>728</v>
      </c>
      <c r="C28" s="6">
        <f t="shared" si="0"/>
        <v>10</v>
      </c>
      <c r="D28" s="6">
        <f t="shared" si="0"/>
        <v>23</v>
      </c>
      <c r="E28" s="183">
        <f>VLOOKUP($S$3,_CARATULAS!$A$1:$AV$348,_GENERADOR!D28,0)</f>
        <v>0</v>
      </c>
      <c r="F28" s="183">
        <f t="shared" si="1"/>
        <v>365987</v>
      </c>
      <c r="G28" s="183">
        <f t="shared" si="2"/>
        <v>0</v>
      </c>
      <c r="H28" s="183">
        <f t="shared" si="3"/>
        <v>0</v>
      </c>
      <c r="I28" s="196"/>
      <c r="K28" s="172"/>
      <c r="L28" s="172"/>
      <c r="M28" s="182">
        <f>+'Flujo Global'!D5</f>
        <v>46120</v>
      </c>
      <c r="N28" s="183">
        <f>VLOOKUP($S$3,_CARATULAS!$A$1:$AV$348,_GENERADOR!C28,0)</f>
        <v>365987</v>
      </c>
      <c r="O28" s="199">
        <f t="shared" si="4"/>
        <v>0</v>
      </c>
      <c r="P28" s="199">
        <f t="shared" si="5"/>
        <v>0</v>
      </c>
      <c r="Q28" s="172"/>
      <c r="V28">
        <v>26</v>
      </c>
      <c r="W28" s="6" t="s">
        <v>776</v>
      </c>
      <c r="X28" t="s">
        <v>78</v>
      </c>
    </row>
    <row r="29" spans="1:24" x14ac:dyDescent="0.25">
      <c r="A29" t="s">
        <v>561</v>
      </c>
      <c r="B29" t="s">
        <v>729</v>
      </c>
      <c r="C29" s="6">
        <f t="shared" si="0"/>
        <v>11</v>
      </c>
      <c r="D29" s="6">
        <f t="shared" si="0"/>
        <v>24</v>
      </c>
      <c r="E29" s="183">
        <f>VLOOKUP($S$3,_CARATULAS!$A$1:$AV$348,_GENERADOR!D29,0)</f>
        <v>0</v>
      </c>
      <c r="F29" s="183">
        <f t="shared" si="1"/>
        <v>1097861</v>
      </c>
      <c r="G29" s="183">
        <f t="shared" si="2"/>
        <v>0</v>
      </c>
      <c r="H29" s="183">
        <f t="shared" si="3"/>
        <v>0</v>
      </c>
      <c r="I29" s="196"/>
      <c r="K29" s="172"/>
      <c r="L29" s="172"/>
      <c r="M29" s="182">
        <f>+'Flujo Global'!D6</f>
        <v>46150</v>
      </c>
      <c r="N29" s="183">
        <f>VLOOKUP($S$3,_CARATULAS!$A$1:$AV$348,_GENERADOR!C29,0)</f>
        <v>1097861</v>
      </c>
      <c r="O29" s="199">
        <f t="shared" si="4"/>
        <v>0</v>
      </c>
      <c r="P29" s="199">
        <f t="shared" si="5"/>
        <v>0</v>
      </c>
      <c r="Q29" s="172"/>
      <c r="V29">
        <v>27</v>
      </c>
      <c r="W29" s="6" t="s">
        <v>777</v>
      </c>
      <c r="X29" t="s">
        <v>80</v>
      </c>
    </row>
    <row r="30" spans="1:24" x14ac:dyDescent="0.25">
      <c r="A30" t="s">
        <v>562</v>
      </c>
      <c r="B30" t="s">
        <v>730</v>
      </c>
      <c r="C30" s="6">
        <f t="shared" si="0"/>
        <v>12</v>
      </c>
      <c r="D30" s="6">
        <f t="shared" si="0"/>
        <v>25</v>
      </c>
      <c r="E30" s="183">
        <f>VLOOKUP($S$3,_CARATULAS!$A$1:$AV$348,_GENERADOR!D30,0)</f>
        <v>0</v>
      </c>
      <c r="F30" s="183">
        <f t="shared" si="1"/>
        <v>376685</v>
      </c>
      <c r="G30" s="183">
        <f t="shared" si="2"/>
        <v>0</v>
      </c>
      <c r="H30" s="183">
        <f t="shared" si="3"/>
        <v>0</v>
      </c>
      <c r="I30" s="196"/>
      <c r="K30" s="172"/>
      <c r="L30" s="172"/>
      <c r="M30" s="182">
        <f>+'Flujo Global'!D7</f>
        <v>46178</v>
      </c>
      <c r="N30" s="183">
        <f>VLOOKUP($S$3,_CARATULAS!$A$1:$AV$348,_GENERADOR!C30,0)</f>
        <v>376685</v>
      </c>
      <c r="O30" s="199">
        <f t="shared" si="4"/>
        <v>0</v>
      </c>
      <c r="P30" s="199">
        <f t="shared" si="5"/>
        <v>0</v>
      </c>
      <c r="Q30" s="172"/>
      <c r="V30">
        <v>28</v>
      </c>
      <c r="W30" s="6" t="s">
        <v>778</v>
      </c>
      <c r="X30" t="s">
        <v>81</v>
      </c>
    </row>
    <row r="31" spans="1:24" x14ac:dyDescent="0.25">
      <c r="A31" t="s">
        <v>563</v>
      </c>
      <c r="B31" t="s">
        <v>731</v>
      </c>
      <c r="C31" s="6">
        <f t="shared" si="0"/>
        <v>13</v>
      </c>
      <c r="D31" s="6">
        <f t="shared" si="0"/>
        <v>26</v>
      </c>
      <c r="E31" s="183">
        <f>VLOOKUP($S$3,_CARATULAS!$A$1:$AV$348,_GENERADOR!D31,0)</f>
        <v>0</v>
      </c>
      <c r="F31" s="183">
        <f t="shared" si="1"/>
        <v>664378</v>
      </c>
      <c r="G31" s="183">
        <f t="shared" si="2"/>
        <v>0</v>
      </c>
      <c r="H31" s="183">
        <f t="shared" si="3"/>
        <v>0</v>
      </c>
      <c r="I31" s="196"/>
      <c r="K31" s="172"/>
      <c r="L31" s="172"/>
      <c r="M31" s="182">
        <f>+'Flujo Global'!D8</f>
        <v>46210</v>
      </c>
      <c r="N31" s="183">
        <f>VLOOKUP($S$3,_CARATULAS!$A$1:$AV$348,_GENERADOR!C31,0)</f>
        <v>664378</v>
      </c>
      <c r="O31" s="199">
        <f t="shared" si="4"/>
        <v>0</v>
      </c>
      <c r="P31" s="199">
        <f t="shared" si="5"/>
        <v>0</v>
      </c>
      <c r="Q31" s="172"/>
      <c r="V31">
        <v>29</v>
      </c>
      <c r="W31" s="6" t="s">
        <v>779</v>
      </c>
      <c r="X31" t="s">
        <v>79</v>
      </c>
    </row>
    <row r="32" spans="1:24" x14ac:dyDescent="0.25">
      <c r="A32" t="s">
        <v>564</v>
      </c>
      <c r="B32" t="s">
        <v>732</v>
      </c>
      <c r="C32" s="6">
        <f t="shared" si="0"/>
        <v>14</v>
      </c>
      <c r="D32" s="6">
        <f t="shared" si="0"/>
        <v>27</v>
      </c>
      <c r="E32" s="183">
        <f>VLOOKUP($S$3,_CARATULAS!$A$1:$AV$348,_GENERADOR!D32,0)</f>
        <v>0</v>
      </c>
      <c r="F32" s="183">
        <f t="shared" si="1"/>
        <v>365987</v>
      </c>
      <c r="G32" s="183">
        <f t="shared" si="2"/>
        <v>0</v>
      </c>
      <c r="H32" s="183">
        <f t="shared" si="3"/>
        <v>0</v>
      </c>
      <c r="I32" s="196"/>
      <c r="K32" s="172"/>
      <c r="L32" s="172"/>
      <c r="M32" s="182">
        <f>+'Flujo Global'!D9</f>
        <v>46241</v>
      </c>
      <c r="N32" s="183">
        <f>VLOOKUP($S$3,_CARATULAS!$A$1:$AV$348,_GENERADOR!C32,0)</f>
        <v>365987</v>
      </c>
      <c r="O32" s="199">
        <f t="shared" si="4"/>
        <v>0</v>
      </c>
      <c r="P32" s="199">
        <f t="shared" si="5"/>
        <v>0</v>
      </c>
      <c r="Q32" s="172"/>
      <c r="V32">
        <v>30</v>
      </c>
      <c r="W32" s="6" t="s">
        <v>780</v>
      </c>
      <c r="X32" t="s">
        <v>28</v>
      </c>
    </row>
    <row r="33" spans="1:24" x14ac:dyDescent="0.25">
      <c r="A33" t="s">
        <v>565</v>
      </c>
      <c r="B33" t="s">
        <v>733</v>
      </c>
      <c r="C33" s="6">
        <f t="shared" si="0"/>
        <v>15</v>
      </c>
      <c r="D33" s="6">
        <f t="shared" si="0"/>
        <v>28</v>
      </c>
      <c r="E33" s="183">
        <f>VLOOKUP($S$3,_CARATULAS!$A$1:$AV$348,_GENERADOR!D33,0)</f>
        <v>0</v>
      </c>
      <c r="F33" s="183">
        <f t="shared" si="1"/>
        <v>427077</v>
      </c>
      <c r="G33" s="183">
        <f t="shared" si="2"/>
        <v>0</v>
      </c>
      <c r="H33" s="183">
        <f t="shared" si="3"/>
        <v>0</v>
      </c>
      <c r="I33" s="196"/>
      <c r="K33" s="172"/>
      <c r="L33" s="172"/>
      <c r="M33" s="182">
        <f>+'Flujo Global'!D10</f>
        <v>46272</v>
      </c>
      <c r="N33" s="183">
        <f>VLOOKUP($S$3,_CARATULAS!$A$1:$AV$348,_GENERADOR!C33,0)</f>
        <v>427077</v>
      </c>
      <c r="O33" s="199">
        <f t="shared" si="4"/>
        <v>0</v>
      </c>
      <c r="P33" s="199">
        <f t="shared" si="5"/>
        <v>0</v>
      </c>
      <c r="Q33" s="172"/>
      <c r="V33">
        <v>31</v>
      </c>
      <c r="W33" s="6" t="s">
        <v>781</v>
      </c>
      <c r="X33" t="s">
        <v>82</v>
      </c>
    </row>
    <row r="34" spans="1:24" x14ac:dyDescent="0.25">
      <c r="A34" t="s">
        <v>566</v>
      </c>
      <c r="B34" t="s">
        <v>734</v>
      </c>
      <c r="C34" s="6">
        <f t="shared" si="0"/>
        <v>16</v>
      </c>
      <c r="D34" s="6">
        <f t="shared" si="0"/>
        <v>29</v>
      </c>
      <c r="E34" s="183">
        <f>VLOOKUP($S$3,_CARATULAS!$A$1:$AV$348,_GENERADOR!D34,0)</f>
        <v>0</v>
      </c>
      <c r="F34" s="183">
        <f t="shared" si="1"/>
        <v>715490</v>
      </c>
      <c r="G34" s="183">
        <f t="shared" si="2"/>
        <v>0</v>
      </c>
      <c r="H34" s="183">
        <f t="shared" si="3"/>
        <v>0</v>
      </c>
      <c r="I34" s="196"/>
      <c r="K34" s="172"/>
      <c r="L34" s="172"/>
      <c r="M34" s="182">
        <f>+'Flujo Global'!D11</f>
        <v>46302</v>
      </c>
      <c r="N34" s="183">
        <f>VLOOKUP($S$3,_CARATULAS!$A$1:$AV$348,_GENERADOR!C34,0)</f>
        <v>715490</v>
      </c>
      <c r="O34" s="199">
        <f t="shared" si="4"/>
        <v>0</v>
      </c>
      <c r="P34" s="199">
        <f t="shared" si="5"/>
        <v>0</v>
      </c>
      <c r="Q34" s="172"/>
      <c r="V34">
        <v>32</v>
      </c>
      <c r="W34" s="6" t="s">
        <v>782</v>
      </c>
      <c r="X34" t="s">
        <v>86</v>
      </c>
    </row>
    <row r="35" spans="1:24" x14ac:dyDescent="0.25">
      <c r="A35" t="s">
        <v>567</v>
      </c>
      <c r="B35" t="s">
        <v>735</v>
      </c>
      <c r="C35" s="6">
        <f t="shared" si="0"/>
        <v>17</v>
      </c>
      <c r="D35" s="6">
        <f t="shared" si="0"/>
        <v>30</v>
      </c>
      <c r="E35" s="183">
        <f>VLOOKUP($S$3,_CARATULAS!$A$1:$AV$348,_GENERADOR!D35,0)</f>
        <v>0</v>
      </c>
      <c r="F35" s="183">
        <f t="shared" si="1"/>
        <v>365987</v>
      </c>
      <c r="G35" s="183">
        <f t="shared" si="2"/>
        <v>0</v>
      </c>
      <c r="H35" s="183">
        <f t="shared" si="3"/>
        <v>0</v>
      </c>
      <c r="I35" s="196"/>
      <c r="K35" s="172"/>
      <c r="L35" s="172"/>
      <c r="M35" s="182">
        <f>+'Flujo Global'!D12</f>
        <v>46332</v>
      </c>
      <c r="N35" s="183">
        <f>VLOOKUP($S$3,_CARATULAS!$A$1:$AV$348,_GENERADOR!C35,0)</f>
        <v>365987</v>
      </c>
      <c r="O35" s="199">
        <f t="shared" si="4"/>
        <v>0</v>
      </c>
      <c r="P35" s="199">
        <f t="shared" si="5"/>
        <v>0</v>
      </c>
      <c r="Q35" s="172"/>
      <c r="V35">
        <v>33</v>
      </c>
      <c r="W35" s="6" t="s">
        <v>784</v>
      </c>
      <c r="X35" t="s">
        <v>89</v>
      </c>
    </row>
    <row r="36" spans="1:24" x14ac:dyDescent="0.25">
      <c r="A36" t="s">
        <v>568</v>
      </c>
      <c r="B36" t="s">
        <v>736</v>
      </c>
      <c r="C36" s="6">
        <f t="shared" si="0"/>
        <v>18</v>
      </c>
      <c r="D36" s="6">
        <f t="shared" si="0"/>
        <v>31</v>
      </c>
      <c r="E36" s="183">
        <f>VLOOKUP($S$3,_CARATULAS!$A$1:$AV$348,_GENERADOR!D36,0)</f>
        <v>0</v>
      </c>
      <c r="F36" s="185">
        <f t="shared" si="1"/>
        <v>675063</v>
      </c>
      <c r="G36" s="183">
        <f t="shared" si="2"/>
        <v>0</v>
      </c>
      <c r="H36" s="185">
        <f t="shared" si="3"/>
        <v>0</v>
      </c>
      <c r="I36" s="197"/>
      <c r="K36" s="172"/>
      <c r="L36" s="172"/>
      <c r="M36" s="182">
        <f>+'Flujo Global'!D13</f>
        <v>46363</v>
      </c>
      <c r="N36" s="183">
        <f>VLOOKUP($S$3,_CARATULAS!$A$1:$AV$348,_GENERADOR!C36,0)</f>
        <v>675063</v>
      </c>
      <c r="O36" s="199">
        <f t="shared" si="4"/>
        <v>0</v>
      </c>
      <c r="P36" s="199">
        <f t="shared" si="5"/>
        <v>0</v>
      </c>
      <c r="Q36" s="172"/>
      <c r="V36">
        <v>34</v>
      </c>
      <c r="W36" s="6" t="s">
        <v>786</v>
      </c>
      <c r="X36" t="s">
        <v>88</v>
      </c>
    </row>
    <row r="37" spans="1:24" x14ac:dyDescent="0.25">
      <c r="A37" t="s">
        <v>569</v>
      </c>
      <c r="B37" t="s">
        <v>737</v>
      </c>
      <c r="C37" s="6">
        <f t="shared" si="0"/>
        <v>19</v>
      </c>
      <c r="D37" s="6">
        <f t="shared" si="0"/>
        <v>32</v>
      </c>
      <c r="E37" s="185">
        <f>SUM(E25:E36)</f>
        <v>0</v>
      </c>
      <c r="F37" s="185">
        <f t="shared" si="1"/>
        <v>6140430</v>
      </c>
      <c r="G37" s="185">
        <f t="shared" si="2"/>
        <v>0</v>
      </c>
      <c r="H37" s="185">
        <f t="shared" si="3"/>
        <v>0</v>
      </c>
      <c r="I37" s="197"/>
      <c r="K37" s="172"/>
      <c r="L37" s="172"/>
      <c r="M37" s="194" t="s">
        <v>329</v>
      </c>
      <c r="N37" s="192">
        <f>SUM(N25:N36)</f>
        <v>6140430</v>
      </c>
      <c r="O37" s="199">
        <f>+G37</f>
        <v>0</v>
      </c>
      <c r="P37" s="199">
        <f>+H37</f>
        <v>0</v>
      </c>
      <c r="Q37" s="172"/>
      <c r="V37">
        <v>35</v>
      </c>
      <c r="W37" s="6" t="s">
        <v>788</v>
      </c>
      <c r="X37" t="s">
        <v>87</v>
      </c>
    </row>
    <row r="38" spans="1:24" x14ac:dyDescent="0.25">
      <c r="C38" s="6" t="str">
        <f t="shared" si="0"/>
        <v/>
      </c>
      <c r="D38" s="6" t="str">
        <f t="shared" si="0"/>
        <v/>
      </c>
      <c r="K38" s="172"/>
      <c r="L38" s="172"/>
      <c r="M38" s="172"/>
      <c r="N38" s="172"/>
      <c r="O38" s="172"/>
      <c r="P38" s="172"/>
      <c r="Q38" s="172"/>
      <c r="V38">
        <v>36</v>
      </c>
      <c r="W38" s="6" t="s">
        <v>783</v>
      </c>
      <c r="X38" t="s">
        <v>83</v>
      </c>
    </row>
    <row r="39" spans="1:24" ht="15.75" x14ac:dyDescent="0.25">
      <c r="C39" s="6" t="str">
        <f t="shared" si="0"/>
        <v/>
      </c>
      <c r="D39" s="6" t="str">
        <f t="shared" si="0"/>
        <v/>
      </c>
      <c r="K39" s="172"/>
      <c r="L39" s="176" t="s">
        <v>989</v>
      </c>
      <c r="M39" s="173"/>
      <c r="N39" s="173"/>
      <c r="O39" s="173"/>
      <c r="P39" s="173"/>
      <c r="Q39" s="172"/>
      <c r="V39">
        <v>37</v>
      </c>
      <c r="W39" s="6" t="s">
        <v>789</v>
      </c>
      <c r="X39" t="s">
        <v>376</v>
      </c>
    </row>
    <row r="40" spans="1:24" x14ac:dyDescent="0.25">
      <c r="C40" s="6" t="str">
        <f t="shared" si="0"/>
        <v/>
      </c>
      <c r="D40" s="6" t="str">
        <f t="shared" si="0"/>
        <v/>
      </c>
      <c r="K40" s="172"/>
      <c r="L40" s="181" t="s">
        <v>744</v>
      </c>
      <c r="M40" s="173"/>
      <c r="N40" s="173"/>
      <c r="O40" s="173"/>
      <c r="P40" s="173"/>
      <c r="Q40" s="172"/>
      <c r="V40">
        <v>38</v>
      </c>
      <c r="W40" s="6" t="s">
        <v>787</v>
      </c>
      <c r="X40" t="s">
        <v>84</v>
      </c>
    </row>
    <row r="41" spans="1:24" x14ac:dyDescent="0.25">
      <c r="C41" s="6" t="str">
        <f t="shared" si="0"/>
        <v/>
      </c>
      <c r="D41" s="6" t="str">
        <f t="shared" si="0"/>
        <v/>
      </c>
      <c r="K41" s="172"/>
      <c r="L41" s="173"/>
      <c r="M41" s="173"/>
      <c r="N41" s="173"/>
      <c r="O41" s="173"/>
      <c r="P41" s="173"/>
      <c r="Q41" s="172"/>
      <c r="V41">
        <v>39</v>
      </c>
      <c r="W41" s="6" t="s">
        <v>785</v>
      </c>
      <c r="X41" t="s">
        <v>85</v>
      </c>
    </row>
    <row r="42" spans="1:24" ht="38.25" x14ac:dyDescent="0.25">
      <c r="C42" s="6" t="str">
        <f t="shared" si="0"/>
        <v/>
      </c>
      <c r="D42" s="6" t="str">
        <f t="shared" si="0"/>
        <v/>
      </c>
      <c r="K42" s="172"/>
      <c r="L42" s="173"/>
      <c r="M42" s="191" t="s">
        <v>741</v>
      </c>
      <c r="N42" s="191" t="s">
        <v>745</v>
      </c>
      <c r="O42" s="191" t="s">
        <v>746</v>
      </c>
      <c r="P42" s="173"/>
      <c r="Q42" s="172"/>
      <c r="V42">
        <v>40</v>
      </c>
      <c r="W42" s="6" t="s">
        <v>790</v>
      </c>
      <c r="X42" t="s">
        <v>377</v>
      </c>
    </row>
    <row r="43" spans="1:24" x14ac:dyDescent="0.25">
      <c r="A43" t="s">
        <v>738</v>
      </c>
      <c r="B43" t="s">
        <v>570</v>
      </c>
      <c r="C43" s="6">
        <f t="shared" si="0"/>
        <v>33</v>
      </c>
      <c r="D43" s="6">
        <f t="shared" si="0"/>
        <v>34</v>
      </c>
      <c r="K43" s="172"/>
      <c r="L43" s="172"/>
      <c r="M43" s="182">
        <f>+M29</f>
        <v>46150</v>
      </c>
      <c r="N43" s="183">
        <f>VLOOKUP($S$3,_CARATULAS!$A$1:$AV$348,_GENERADOR!C43,0)</f>
        <v>2599803</v>
      </c>
      <c r="O43" s="183">
        <f>VLOOKUP($S$3,_CARATULAS!$A$1:$AV$348,_GENERADOR!D43,0)</f>
        <v>126379</v>
      </c>
      <c r="P43" s="172"/>
      <c r="Q43" s="172"/>
      <c r="V43">
        <v>41</v>
      </c>
      <c r="W43" s="6" t="s">
        <v>791</v>
      </c>
      <c r="X43" t="s">
        <v>378</v>
      </c>
    </row>
    <row r="44" spans="1:24" x14ac:dyDescent="0.25">
      <c r="A44" t="s">
        <v>571</v>
      </c>
      <c r="B44" t="s">
        <v>572</v>
      </c>
      <c r="C44" s="6">
        <f t="shared" si="0"/>
        <v>35</v>
      </c>
      <c r="D44" s="6">
        <f t="shared" si="0"/>
        <v>36</v>
      </c>
      <c r="K44" s="172"/>
      <c r="L44" s="172"/>
      <c r="M44" s="182">
        <f>+M31</f>
        <v>46210</v>
      </c>
      <c r="N44" s="183">
        <f>VLOOKUP($S$3,_CARATULAS!$A$1:$AV$348,_GENERADOR!C44,0)</f>
        <v>225546</v>
      </c>
      <c r="O44" s="183">
        <f>VLOOKUP($S$3,_CARATULAS!$A$1:$AV$348,_GENERADOR!D44,0)</f>
        <v>54911</v>
      </c>
      <c r="P44" s="172"/>
      <c r="Q44" s="172"/>
      <c r="V44">
        <v>42</v>
      </c>
      <c r="W44" s="6" t="s">
        <v>793</v>
      </c>
      <c r="X44" t="s">
        <v>97</v>
      </c>
    </row>
    <row r="45" spans="1:24" x14ac:dyDescent="0.25">
      <c r="A45" t="s">
        <v>573</v>
      </c>
      <c r="B45" t="s">
        <v>574</v>
      </c>
      <c r="C45" s="6">
        <f t="shared" si="0"/>
        <v>37</v>
      </c>
      <c r="D45" s="6">
        <f t="shared" si="0"/>
        <v>38</v>
      </c>
      <c r="K45" s="172"/>
      <c r="L45" s="172"/>
      <c r="M45" s="182">
        <f>+M34</f>
        <v>46302</v>
      </c>
      <c r="N45" s="183">
        <f>VLOOKUP($S$3,_CARATULAS!$A$1:$AV$348,_GENERADOR!C45,0)</f>
        <v>2135794</v>
      </c>
      <c r="O45" s="183">
        <f>VLOOKUP($S$3,_CARATULAS!$A$1:$AV$348,_GENERADOR!D45,0)</f>
        <v>80316.694000000003</v>
      </c>
      <c r="P45" s="172"/>
      <c r="Q45" s="172"/>
      <c r="V45">
        <v>43</v>
      </c>
      <c r="W45" s="6" t="s">
        <v>794</v>
      </c>
      <c r="X45" t="s">
        <v>379</v>
      </c>
    </row>
    <row r="46" spans="1:24" x14ac:dyDescent="0.25">
      <c r="A46" t="s">
        <v>575</v>
      </c>
      <c r="B46" t="s">
        <v>576</v>
      </c>
      <c r="C46" s="6">
        <f t="shared" si="0"/>
        <v>39</v>
      </c>
      <c r="D46" s="6">
        <f t="shared" si="0"/>
        <v>40</v>
      </c>
      <c r="K46" s="172"/>
      <c r="L46" s="172"/>
      <c r="M46" s="182">
        <f>+M36</f>
        <v>46363</v>
      </c>
      <c r="N46" s="183">
        <f>VLOOKUP($S$3,_CARATULAS!$A$1:$AV$348,_GENERADOR!C46,0)</f>
        <v>1762668</v>
      </c>
      <c r="O46" s="183">
        <f>VLOOKUP($S$3,_CARATULAS!$A$1:$AV$348,_GENERADOR!D46,0)</f>
        <v>53727</v>
      </c>
      <c r="P46" s="172"/>
      <c r="Q46" s="172"/>
      <c r="V46">
        <v>44</v>
      </c>
      <c r="W46" s="6" t="s">
        <v>795</v>
      </c>
      <c r="X46" t="s">
        <v>380</v>
      </c>
    </row>
    <row r="47" spans="1:24" x14ac:dyDescent="0.25">
      <c r="A47" t="s">
        <v>577</v>
      </c>
      <c r="B47" t="s">
        <v>578</v>
      </c>
      <c r="C47" s="6">
        <f t="shared" si="0"/>
        <v>41</v>
      </c>
      <c r="D47" s="6">
        <f t="shared" si="0"/>
        <v>42</v>
      </c>
      <c r="K47" s="172"/>
      <c r="L47" s="172"/>
      <c r="M47" s="184" t="s">
        <v>320</v>
      </c>
      <c r="N47" s="185">
        <f>SUM(N43:N46)</f>
        <v>6723811</v>
      </c>
      <c r="O47" s="185">
        <f>SUM(O43:O46)</f>
        <v>315333.69400000002</v>
      </c>
      <c r="P47" s="172"/>
      <c r="Q47" s="172"/>
      <c r="V47">
        <v>45</v>
      </c>
      <c r="W47" s="6" t="s">
        <v>796</v>
      </c>
      <c r="X47" t="s">
        <v>381</v>
      </c>
    </row>
    <row r="48" spans="1:24" x14ac:dyDescent="0.25">
      <c r="C48" s="6" t="str">
        <f t="shared" si="0"/>
        <v/>
      </c>
      <c r="D48" s="6" t="str">
        <f t="shared" si="0"/>
        <v/>
      </c>
      <c r="K48" s="172"/>
      <c r="L48" s="172"/>
      <c r="M48" s="186"/>
      <c r="N48" s="172"/>
      <c r="O48" s="172"/>
      <c r="P48" s="172"/>
      <c r="Q48" s="172"/>
      <c r="R48" s="103"/>
      <c r="V48">
        <v>46</v>
      </c>
      <c r="W48" s="6" t="s">
        <v>797</v>
      </c>
      <c r="X48" t="s">
        <v>98</v>
      </c>
    </row>
    <row r="49" spans="1:24" ht="15.75" x14ac:dyDescent="0.25">
      <c r="C49" s="6" t="str">
        <f t="shared" si="0"/>
        <v/>
      </c>
      <c r="D49" s="6" t="str">
        <f t="shared" si="0"/>
        <v/>
      </c>
      <c r="K49" s="172"/>
      <c r="L49" s="176" t="s">
        <v>990</v>
      </c>
      <c r="M49" s="172"/>
      <c r="N49" s="172"/>
      <c r="O49" s="172"/>
      <c r="P49" s="172"/>
      <c r="Q49" s="172"/>
      <c r="V49">
        <v>47</v>
      </c>
      <c r="W49" s="6" t="s">
        <v>798</v>
      </c>
      <c r="X49" t="s">
        <v>95</v>
      </c>
    </row>
    <row r="50" spans="1:24" x14ac:dyDescent="0.25">
      <c r="C50" s="6" t="str">
        <f t="shared" si="0"/>
        <v/>
      </c>
      <c r="D50" s="6" t="str">
        <f t="shared" si="0"/>
        <v/>
      </c>
      <c r="K50" s="172"/>
      <c r="L50" s="181" t="s">
        <v>744</v>
      </c>
      <c r="M50" s="173"/>
      <c r="N50" s="173"/>
      <c r="O50" s="172"/>
      <c r="P50" s="172"/>
      <c r="Q50" s="172"/>
      <c r="V50">
        <v>48</v>
      </c>
      <c r="W50" s="6" t="s">
        <v>800</v>
      </c>
      <c r="X50" t="s">
        <v>504</v>
      </c>
    </row>
    <row r="51" spans="1:24" x14ac:dyDescent="0.25">
      <c r="C51" s="6" t="str">
        <f t="shared" si="0"/>
        <v/>
      </c>
      <c r="D51" s="6" t="str">
        <f t="shared" si="0"/>
        <v/>
      </c>
      <c r="K51" s="172"/>
      <c r="L51" s="173"/>
      <c r="M51" s="173"/>
      <c r="N51" s="173"/>
      <c r="O51" s="172"/>
      <c r="P51" s="172"/>
      <c r="Q51" s="172"/>
      <c r="V51">
        <v>49</v>
      </c>
      <c r="W51" s="6" t="s">
        <v>792</v>
      </c>
      <c r="X51" t="s">
        <v>115</v>
      </c>
    </row>
    <row r="52" spans="1:24" ht="25.5" x14ac:dyDescent="0.25">
      <c r="C52" s="6" t="str">
        <f t="shared" si="0"/>
        <v/>
      </c>
      <c r="D52" s="6" t="str">
        <f t="shared" si="0"/>
        <v/>
      </c>
      <c r="K52" s="172"/>
      <c r="L52" s="173"/>
      <c r="M52" s="191" t="s">
        <v>41</v>
      </c>
      <c r="N52" s="191" t="s">
        <v>747</v>
      </c>
      <c r="O52" s="172"/>
      <c r="P52" s="172"/>
      <c r="Q52" s="172"/>
      <c r="V52">
        <v>50</v>
      </c>
      <c r="W52" s="6" t="s">
        <v>799</v>
      </c>
      <c r="X52" t="s">
        <v>116</v>
      </c>
    </row>
    <row r="53" spans="1:24" x14ac:dyDescent="0.25">
      <c r="A53" t="s">
        <v>722</v>
      </c>
      <c r="C53" s="6">
        <f t="shared" si="0"/>
        <v>43</v>
      </c>
      <c r="D53" s="6" t="str">
        <f t="shared" si="0"/>
        <v/>
      </c>
      <c r="K53" s="172"/>
      <c r="L53" s="172"/>
      <c r="M53" s="187">
        <v>2022</v>
      </c>
      <c r="N53" s="183">
        <f>VLOOKUP($S$3,_CARATULAS!$A$1:$AV$348,_GENERADOR!C53,0)</f>
        <v>4899219.9029999999</v>
      </c>
      <c r="O53" s="172"/>
      <c r="P53" s="172"/>
      <c r="Q53" s="172"/>
      <c r="V53">
        <v>51</v>
      </c>
      <c r="W53" s="6" t="s">
        <v>803</v>
      </c>
      <c r="X53" t="s">
        <v>118</v>
      </c>
    </row>
    <row r="54" spans="1:24" x14ac:dyDescent="0.25">
      <c r="A54" t="s">
        <v>723</v>
      </c>
      <c r="C54" s="6">
        <f t="shared" si="0"/>
        <v>44</v>
      </c>
      <c r="D54" s="6" t="str">
        <f t="shared" si="0"/>
        <v/>
      </c>
      <c r="K54" s="172"/>
      <c r="L54" s="172"/>
      <c r="M54" s="187">
        <f>+M53+1</f>
        <v>2023</v>
      </c>
      <c r="N54" s="183">
        <f>VLOOKUP($S$3,_CARATULAS!$A$1:$AV$348,_GENERADOR!C54,0)</f>
        <v>6305296.4670000002</v>
      </c>
      <c r="O54" s="188"/>
      <c r="P54" s="172"/>
      <c r="Q54" s="172"/>
      <c r="V54">
        <v>52</v>
      </c>
      <c r="W54" s="6" t="s">
        <v>805</v>
      </c>
      <c r="X54" t="s">
        <v>117</v>
      </c>
    </row>
    <row r="55" spans="1:24" x14ac:dyDescent="0.25">
      <c r="A55" t="s">
        <v>724</v>
      </c>
      <c r="C55" s="6">
        <f t="shared" si="0"/>
        <v>45</v>
      </c>
      <c r="D55" s="6" t="str">
        <f t="shared" si="0"/>
        <v/>
      </c>
      <c r="K55" s="172"/>
      <c r="L55" s="172"/>
      <c r="M55" s="187">
        <f>+M54+1</f>
        <v>2024</v>
      </c>
      <c r="N55" s="183">
        <f>VLOOKUP($S$3,_CARATULAS!$A$1:$AV$348,_GENERADOR!C55,0)</f>
        <v>7042583.4210000001</v>
      </c>
      <c r="O55" s="188"/>
      <c r="P55" s="172"/>
      <c r="Q55" s="172"/>
      <c r="V55">
        <v>53</v>
      </c>
      <c r="W55" s="6" t="s">
        <v>807</v>
      </c>
      <c r="X55" t="s">
        <v>90</v>
      </c>
    </row>
    <row r="56" spans="1:24" x14ac:dyDescent="0.25">
      <c r="A56" t="s">
        <v>579</v>
      </c>
      <c r="C56" s="6">
        <f>IF(A56&lt;&gt;"",VALUE(MID(A56,1,SEARCH("_",A56)-1)),"")</f>
        <v>46</v>
      </c>
      <c r="D56" s="6" t="str">
        <f t="shared" si="0"/>
        <v/>
      </c>
      <c r="K56" s="172"/>
      <c r="L56" s="172"/>
      <c r="M56" s="172"/>
      <c r="N56" s="172"/>
      <c r="O56" s="188"/>
      <c r="P56" s="172"/>
      <c r="Q56" s="172"/>
      <c r="V56">
        <v>54</v>
      </c>
      <c r="W56" s="6" t="s">
        <v>808</v>
      </c>
      <c r="X56" t="s">
        <v>92</v>
      </c>
    </row>
    <row r="57" spans="1:24" ht="15.75" thickBot="1" x14ac:dyDescent="0.3">
      <c r="A57" t="s">
        <v>580</v>
      </c>
      <c r="C57" s="6">
        <f>IF(A57&lt;&gt;"",VALUE(MID(A57,1,SEARCH("_",A57)-1)),"")</f>
        <v>47</v>
      </c>
      <c r="D57" s="6" t="str">
        <f t="shared" si="0"/>
        <v/>
      </c>
      <c r="K57" s="175"/>
      <c r="L57" s="175"/>
      <c r="M57" s="175"/>
      <c r="N57" s="175"/>
      <c r="O57" s="175"/>
      <c r="P57" s="175"/>
      <c r="Q57" s="175"/>
      <c r="V57">
        <v>55</v>
      </c>
      <c r="W57" s="6" t="s">
        <v>809</v>
      </c>
      <c r="X57" t="s">
        <v>94</v>
      </c>
    </row>
    <row r="58" spans="1:24" x14ac:dyDescent="0.25">
      <c r="A58" t="s">
        <v>581</v>
      </c>
      <c r="C58" s="6">
        <f>IF(A58&lt;&gt;"",VALUE(MID(A58,1,SEARCH("_",A58)-1)),"")</f>
        <v>48</v>
      </c>
      <c r="D58" s="6" t="str">
        <f t="shared" si="0"/>
        <v/>
      </c>
      <c r="K58" s="562" t="s">
        <v>981</v>
      </c>
      <c r="L58" s="562"/>
      <c r="M58" s="562"/>
      <c r="N58" s="562"/>
      <c r="O58" s="562"/>
      <c r="P58" s="562"/>
      <c r="Q58" s="562"/>
      <c r="V58">
        <v>56</v>
      </c>
      <c r="W58" s="6" t="s">
        <v>810</v>
      </c>
      <c r="X58" t="s">
        <v>91</v>
      </c>
    </row>
    <row r="59" spans="1:24" x14ac:dyDescent="0.25">
      <c r="A59" t="s">
        <v>739</v>
      </c>
      <c r="D59" s="6" t="str">
        <f t="shared" si="0"/>
        <v/>
      </c>
      <c r="K59" s="562" t="s">
        <v>982</v>
      </c>
      <c r="L59" s="562"/>
      <c r="M59" s="562"/>
      <c r="N59" s="562"/>
      <c r="O59" s="562"/>
      <c r="P59" s="562"/>
      <c r="Q59" s="562"/>
      <c r="V59">
        <v>57</v>
      </c>
      <c r="W59" s="6" t="s">
        <v>811</v>
      </c>
      <c r="X59" t="s">
        <v>93</v>
      </c>
    </row>
    <row r="60" spans="1:24" x14ac:dyDescent="0.25">
      <c r="D60" s="6" t="str">
        <f>IF(B56&lt;&gt;"",VALUE(MID(B56,1,SEARCH("_",B56)-1)),"")</f>
        <v/>
      </c>
      <c r="V60">
        <v>58</v>
      </c>
      <c r="W60" s="6" t="s">
        <v>812</v>
      </c>
      <c r="X60" t="s">
        <v>105</v>
      </c>
    </row>
    <row r="61" spans="1:24" x14ac:dyDescent="0.25">
      <c r="D61" s="6" t="str">
        <f>IF(B57&lt;&gt;"",VALUE(MID(B57,1,SEARCH("_",B57)-1)),"")</f>
        <v/>
      </c>
      <c r="V61">
        <v>59</v>
      </c>
      <c r="W61" s="6" t="s">
        <v>813</v>
      </c>
      <c r="X61" t="s">
        <v>108</v>
      </c>
    </row>
    <row r="62" spans="1:24" x14ac:dyDescent="0.25">
      <c r="D62" s="6" t="str">
        <f>IF(B58&lt;&gt;"",VALUE(MID(B58,1,SEARCH("_",B58)-1)),"")</f>
        <v/>
      </c>
      <c r="V62">
        <v>60</v>
      </c>
      <c r="W62" s="6" t="s">
        <v>815</v>
      </c>
      <c r="X62" t="s">
        <v>107</v>
      </c>
    </row>
    <row r="63" spans="1:24" x14ac:dyDescent="0.25">
      <c r="V63">
        <v>61</v>
      </c>
      <c r="W63" s="6" t="s">
        <v>814</v>
      </c>
      <c r="X63" t="s">
        <v>109</v>
      </c>
    </row>
    <row r="64" spans="1:24" x14ac:dyDescent="0.25">
      <c r="V64">
        <v>62</v>
      </c>
      <c r="W64" s="6" t="s">
        <v>816</v>
      </c>
      <c r="X64" t="s">
        <v>106</v>
      </c>
    </row>
    <row r="65" spans="11:24" x14ac:dyDescent="0.25">
      <c r="V65">
        <v>63</v>
      </c>
      <c r="W65" s="6" t="s">
        <v>817</v>
      </c>
      <c r="X65" t="s">
        <v>99</v>
      </c>
    </row>
    <row r="66" spans="11:24" x14ac:dyDescent="0.25">
      <c r="V66">
        <v>64</v>
      </c>
      <c r="W66" s="6" t="s">
        <v>818</v>
      </c>
      <c r="X66" t="s">
        <v>104</v>
      </c>
    </row>
    <row r="67" spans="11:24" x14ac:dyDescent="0.25">
      <c r="V67">
        <v>65</v>
      </c>
      <c r="W67" s="6" t="s">
        <v>819</v>
      </c>
      <c r="X67" t="s">
        <v>101</v>
      </c>
    </row>
    <row r="68" spans="11:24" x14ac:dyDescent="0.25">
      <c r="V68">
        <v>66</v>
      </c>
      <c r="W68" s="6" t="s">
        <v>820</v>
      </c>
      <c r="X68" t="s">
        <v>103</v>
      </c>
    </row>
    <row r="69" spans="11:24" x14ac:dyDescent="0.25">
      <c r="V69">
        <v>67</v>
      </c>
      <c r="W69" s="6" t="s">
        <v>821</v>
      </c>
      <c r="X69" t="s">
        <v>102</v>
      </c>
    </row>
    <row r="70" spans="11:24" x14ac:dyDescent="0.25">
      <c r="V70">
        <v>68</v>
      </c>
      <c r="W70" s="6" t="s">
        <v>822</v>
      </c>
      <c r="X70" t="s">
        <v>100</v>
      </c>
    </row>
    <row r="71" spans="11:24" x14ac:dyDescent="0.25">
      <c r="V71">
        <v>69</v>
      </c>
      <c r="W71" s="6" t="s">
        <v>801</v>
      </c>
      <c r="X71" t="s">
        <v>111</v>
      </c>
    </row>
    <row r="72" spans="11:24" x14ac:dyDescent="0.25">
      <c r="K72" s="168" t="s">
        <v>962</v>
      </c>
      <c r="L72" s="168"/>
      <c r="M72" s="168"/>
      <c r="N72" s="168"/>
      <c r="V72">
        <v>70</v>
      </c>
      <c r="W72" s="6" t="s">
        <v>802</v>
      </c>
      <c r="X72" t="s">
        <v>113</v>
      </c>
    </row>
    <row r="73" spans="11:24" x14ac:dyDescent="0.25">
      <c r="K73" s="168" t="s">
        <v>963</v>
      </c>
      <c r="L73" s="168"/>
      <c r="M73" s="168"/>
      <c r="N73" s="168"/>
      <c r="V73">
        <v>71</v>
      </c>
      <c r="W73" s="6" t="s">
        <v>806</v>
      </c>
      <c r="X73" t="s">
        <v>0</v>
      </c>
    </row>
    <row r="74" spans="11:24" x14ac:dyDescent="0.25">
      <c r="K74" s="168" t="s">
        <v>964</v>
      </c>
      <c r="L74" s="168"/>
      <c r="M74" s="168"/>
      <c r="N74" s="168"/>
      <c r="V74">
        <v>72</v>
      </c>
      <c r="W74" s="6" t="s">
        <v>804</v>
      </c>
      <c r="X74" t="s">
        <v>112</v>
      </c>
    </row>
    <row r="75" spans="11:24" x14ac:dyDescent="0.25">
      <c r="K75" s="168" t="s">
        <v>965</v>
      </c>
      <c r="L75" s="168"/>
      <c r="M75" s="168"/>
      <c r="N75" s="168"/>
      <c r="V75">
        <v>73</v>
      </c>
      <c r="W75" s="6" t="s">
        <v>823</v>
      </c>
      <c r="X75" t="s">
        <v>114</v>
      </c>
    </row>
    <row r="76" spans="11:24" x14ac:dyDescent="0.25">
      <c r="K76" s="168" t="s">
        <v>966</v>
      </c>
      <c r="L76" s="168"/>
      <c r="M76" s="168"/>
      <c r="N76" s="168"/>
      <c r="V76">
        <v>74</v>
      </c>
      <c r="W76" s="6" t="s">
        <v>824</v>
      </c>
      <c r="X76" t="s">
        <v>382</v>
      </c>
    </row>
    <row r="77" spans="11:24" x14ac:dyDescent="0.25">
      <c r="K77" s="168" t="s">
        <v>967</v>
      </c>
      <c r="L77" s="168"/>
      <c r="M77" s="168"/>
      <c r="N77" s="168"/>
      <c r="V77">
        <v>75</v>
      </c>
      <c r="W77" s="6" t="s">
        <v>825</v>
      </c>
      <c r="X77" t="s">
        <v>383</v>
      </c>
    </row>
    <row r="78" spans="11:24" x14ac:dyDescent="0.25">
      <c r="K78" s="168" t="s">
        <v>984</v>
      </c>
      <c r="L78" s="168"/>
      <c r="M78" s="168"/>
      <c r="N78" s="168"/>
      <c r="V78">
        <v>76</v>
      </c>
      <c r="W78" s="6" t="s">
        <v>826</v>
      </c>
      <c r="X78" t="s">
        <v>110</v>
      </c>
    </row>
    <row r="79" spans="11:24" x14ac:dyDescent="0.25">
      <c r="K79" s="168" t="s">
        <v>968</v>
      </c>
      <c r="L79" s="168"/>
      <c r="M79" s="168"/>
      <c r="N79" s="168"/>
      <c r="V79">
        <v>77</v>
      </c>
      <c r="W79" s="6" t="s">
        <v>827</v>
      </c>
      <c r="X79" t="s">
        <v>384</v>
      </c>
    </row>
    <row r="80" spans="11:24" x14ac:dyDescent="0.25">
      <c r="K80" s="168" t="s">
        <v>969</v>
      </c>
      <c r="L80" s="168"/>
      <c r="M80" s="168"/>
      <c r="N80" s="168"/>
      <c r="V80">
        <v>78</v>
      </c>
      <c r="W80" s="6" t="s">
        <v>828</v>
      </c>
      <c r="X80" t="s">
        <v>96</v>
      </c>
    </row>
    <row r="81" spans="11:24" x14ac:dyDescent="0.25">
      <c r="K81" s="168" t="s">
        <v>983</v>
      </c>
      <c r="L81" s="168"/>
      <c r="M81" s="168"/>
      <c r="N81" s="168"/>
      <c r="V81">
        <v>79</v>
      </c>
      <c r="W81" s="6" t="s">
        <v>829</v>
      </c>
      <c r="X81" t="s">
        <v>119</v>
      </c>
    </row>
    <row r="82" spans="11:24" x14ac:dyDescent="0.25">
      <c r="K82" s="168" t="s">
        <v>970</v>
      </c>
      <c r="L82" s="168"/>
      <c r="M82" s="168"/>
      <c r="N82" s="168"/>
      <c r="V82">
        <v>80</v>
      </c>
      <c r="W82" s="6" t="s">
        <v>830</v>
      </c>
      <c r="X82" t="s">
        <v>124</v>
      </c>
    </row>
    <row r="83" spans="11:24" x14ac:dyDescent="0.25">
      <c r="K83"/>
      <c r="L83"/>
      <c r="M83"/>
      <c r="N83"/>
      <c r="V83">
        <v>81</v>
      </c>
      <c r="W83" s="6" t="s">
        <v>832</v>
      </c>
      <c r="X83" t="s">
        <v>131</v>
      </c>
    </row>
    <row r="84" spans="11:24" x14ac:dyDescent="0.25">
      <c r="K84" s="169" t="s">
        <v>971</v>
      </c>
      <c r="L84" s="169"/>
      <c r="M84" s="169"/>
      <c r="N84" s="169"/>
      <c r="V84">
        <v>82</v>
      </c>
      <c r="W84" s="6" t="s">
        <v>834</v>
      </c>
      <c r="X84" t="s">
        <v>123</v>
      </c>
    </row>
    <row r="85" spans="11:24" x14ac:dyDescent="0.25">
      <c r="K85" s="169" t="s">
        <v>972</v>
      </c>
      <c r="L85" s="169"/>
      <c r="M85" s="169"/>
      <c r="N85" s="169"/>
      <c r="V85">
        <v>83</v>
      </c>
      <c r="W85" s="6" t="s">
        <v>836</v>
      </c>
      <c r="X85" t="s">
        <v>122</v>
      </c>
    </row>
    <row r="86" spans="11:24" x14ac:dyDescent="0.25">
      <c r="K86" s="169" t="s">
        <v>986</v>
      </c>
      <c r="L86" s="169"/>
      <c r="M86" s="169"/>
      <c r="N86" s="169"/>
      <c r="V86">
        <v>84</v>
      </c>
      <c r="W86" s="6" t="s">
        <v>835</v>
      </c>
      <c r="X86" t="s">
        <v>120</v>
      </c>
    </row>
    <row r="87" spans="11:24" x14ac:dyDescent="0.25">
      <c r="K87" s="169" t="s">
        <v>973</v>
      </c>
      <c r="L87" s="169"/>
      <c r="M87" s="169"/>
      <c r="N87" s="169"/>
      <c r="V87">
        <v>85</v>
      </c>
      <c r="W87" s="6" t="s">
        <v>831</v>
      </c>
      <c r="X87" t="s">
        <v>126</v>
      </c>
    </row>
    <row r="88" spans="11:24" x14ac:dyDescent="0.25">
      <c r="K88" s="169" t="s">
        <v>985</v>
      </c>
      <c r="L88" s="169"/>
      <c r="M88" s="169"/>
      <c r="N88" s="169"/>
      <c r="V88">
        <v>86</v>
      </c>
      <c r="W88" s="6" t="s">
        <v>838</v>
      </c>
      <c r="X88" t="s">
        <v>385</v>
      </c>
    </row>
    <row r="89" spans="11:24" x14ac:dyDescent="0.25">
      <c r="K89" s="169" t="s">
        <v>974</v>
      </c>
      <c r="L89" s="169"/>
      <c r="M89" s="169"/>
      <c r="N89" s="169"/>
      <c r="V89">
        <v>87</v>
      </c>
      <c r="W89" s="6" t="s">
        <v>837</v>
      </c>
      <c r="X89" t="s">
        <v>130</v>
      </c>
    </row>
    <row r="90" spans="11:24" x14ac:dyDescent="0.25">
      <c r="K90" s="169" t="s">
        <v>975</v>
      </c>
      <c r="L90" s="169"/>
      <c r="M90" s="169"/>
      <c r="N90" s="169"/>
      <c r="V90">
        <v>88</v>
      </c>
      <c r="W90" s="6" t="s">
        <v>840</v>
      </c>
      <c r="X90" t="s">
        <v>121</v>
      </c>
    </row>
    <row r="91" spans="11:24" x14ac:dyDescent="0.25">
      <c r="K91" s="169" t="s">
        <v>976</v>
      </c>
      <c r="L91" s="169"/>
      <c r="M91" s="169"/>
      <c r="N91" s="169"/>
      <c r="V91">
        <v>89</v>
      </c>
      <c r="W91" s="6" t="s">
        <v>841</v>
      </c>
      <c r="X91" t="s">
        <v>129</v>
      </c>
    </row>
    <row r="92" spans="11:24" x14ac:dyDescent="0.25">
      <c r="K92" s="169" t="s">
        <v>977</v>
      </c>
      <c r="L92" s="169"/>
      <c r="M92" s="169"/>
      <c r="N92" s="169"/>
      <c r="V92">
        <v>90</v>
      </c>
      <c r="W92" s="6" t="s">
        <v>843</v>
      </c>
      <c r="X92" t="s">
        <v>125</v>
      </c>
    </row>
    <row r="93" spans="11:24" x14ac:dyDescent="0.25">
      <c r="K93" s="169" t="s">
        <v>970</v>
      </c>
      <c r="L93" s="169"/>
      <c r="M93" s="169"/>
      <c r="N93" s="169"/>
      <c r="V93">
        <v>91</v>
      </c>
      <c r="W93" s="6" t="s">
        <v>844</v>
      </c>
      <c r="X93" t="s">
        <v>127</v>
      </c>
    </row>
    <row r="94" spans="11:24" x14ac:dyDescent="0.25">
      <c r="K94"/>
      <c r="L94"/>
      <c r="M94"/>
      <c r="N94"/>
      <c r="V94">
        <v>92</v>
      </c>
      <c r="W94" s="6" t="s">
        <v>842</v>
      </c>
      <c r="X94" t="s">
        <v>132</v>
      </c>
    </row>
    <row r="95" spans="11:24" x14ac:dyDescent="0.25">
      <c r="K95"/>
      <c r="L95"/>
      <c r="M95"/>
      <c r="N95"/>
      <c r="V95">
        <v>93</v>
      </c>
      <c r="W95" s="6" t="s">
        <v>839</v>
      </c>
      <c r="X95" t="s">
        <v>128</v>
      </c>
    </row>
    <row r="96" spans="11:24" x14ac:dyDescent="0.25">
      <c r="K96" t="s">
        <v>978</v>
      </c>
      <c r="L96"/>
      <c r="M96"/>
      <c r="N96"/>
      <c r="V96">
        <v>94</v>
      </c>
      <c r="W96" s="6" t="s">
        <v>833</v>
      </c>
      <c r="X96" t="s">
        <v>499</v>
      </c>
    </row>
    <row r="97" spans="11:24" x14ac:dyDescent="0.25">
      <c r="K97"/>
      <c r="L97"/>
      <c r="M97"/>
      <c r="N97"/>
      <c r="V97">
        <v>95</v>
      </c>
      <c r="W97" s="6" t="s">
        <v>845</v>
      </c>
      <c r="X97" t="s">
        <v>316</v>
      </c>
    </row>
    <row r="98" spans="11:24" x14ac:dyDescent="0.25">
      <c r="K98" t="s">
        <v>979</v>
      </c>
      <c r="L98"/>
      <c r="M98"/>
      <c r="N98"/>
      <c r="V98">
        <v>96</v>
      </c>
      <c r="W98" s="6" t="s">
        <v>846</v>
      </c>
      <c r="X98" t="s">
        <v>142</v>
      </c>
    </row>
    <row r="99" spans="11:24" x14ac:dyDescent="0.25">
      <c r="K99" s="167" t="s">
        <v>980</v>
      </c>
      <c r="L99"/>
      <c r="M99"/>
      <c r="N99"/>
      <c r="V99">
        <v>97</v>
      </c>
      <c r="W99" s="6" t="s">
        <v>848</v>
      </c>
      <c r="X99" t="s">
        <v>145</v>
      </c>
    </row>
    <row r="100" spans="11:24" x14ac:dyDescent="0.25">
      <c r="V100">
        <v>98</v>
      </c>
      <c r="W100" s="6" t="s">
        <v>850</v>
      </c>
      <c r="X100" t="s">
        <v>144</v>
      </c>
    </row>
    <row r="101" spans="11:24" x14ac:dyDescent="0.25">
      <c r="V101">
        <v>99</v>
      </c>
      <c r="W101" s="6" t="s">
        <v>852</v>
      </c>
      <c r="X101" t="s">
        <v>29</v>
      </c>
    </row>
    <row r="102" spans="11:24" x14ac:dyDescent="0.25">
      <c r="V102">
        <v>100</v>
      </c>
      <c r="W102" s="6" t="s">
        <v>854</v>
      </c>
      <c r="X102" t="s">
        <v>143</v>
      </c>
    </row>
    <row r="103" spans="11:24" x14ac:dyDescent="0.25">
      <c r="V103">
        <v>101</v>
      </c>
      <c r="W103" s="6" t="s">
        <v>856</v>
      </c>
      <c r="X103" t="s">
        <v>146</v>
      </c>
    </row>
    <row r="104" spans="11:24" x14ac:dyDescent="0.25">
      <c r="V104">
        <v>102</v>
      </c>
      <c r="W104" s="6" t="s">
        <v>847</v>
      </c>
      <c r="X104" t="s">
        <v>133</v>
      </c>
    </row>
    <row r="105" spans="11:24" x14ac:dyDescent="0.25">
      <c r="V105">
        <v>103</v>
      </c>
      <c r="W105" s="6" t="s">
        <v>855</v>
      </c>
      <c r="X105" t="s">
        <v>386</v>
      </c>
    </row>
    <row r="106" spans="11:24" x14ac:dyDescent="0.25">
      <c r="V106">
        <v>104</v>
      </c>
      <c r="W106" s="6" t="s">
        <v>851</v>
      </c>
      <c r="X106" t="s">
        <v>134</v>
      </c>
    </row>
    <row r="107" spans="11:24" x14ac:dyDescent="0.25">
      <c r="V107">
        <v>105</v>
      </c>
      <c r="W107" s="6" t="s">
        <v>849</v>
      </c>
      <c r="X107" t="s">
        <v>138</v>
      </c>
    </row>
    <row r="108" spans="11:24" x14ac:dyDescent="0.25">
      <c r="V108">
        <v>106</v>
      </c>
      <c r="W108" s="6" t="s">
        <v>853</v>
      </c>
      <c r="X108" t="s">
        <v>135</v>
      </c>
    </row>
    <row r="109" spans="11:24" x14ac:dyDescent="0.25">
      <c r="V109">
        <v>107</v>
      </c>
      <c r="W109" s="6" t="s">
        <v>857</v>
      </c>
      <c r="X109" t="s">
        <v>139</v>
      </c>
    </row>
    <row r="110" spans="11:24" x14ac:dyDescent="0.25">
      <c r="V110">
        <v>108</v>
      </c>
      <c r="W110" s="6" t="s">
        <v>858</v>
      </c>
      <c r="X110" t="s">
        <v>140</v>
      </c>
    </row>
    <row r="111" spans="11:24" x14ac:dyDescent="0.25">
      <c r="V111">
        <v>109</v>
      </c>
      <c r="W111" s="6" t="s">
        <v>859</v>
      </c>
      <c r="X111" t="s">
        <v>136</v>
      </c>
    </row>
    <row r="112" spans="11:24" x14ac:dyDescent="0.25">
      <c r="V112">
        <v>110</v>
      </c>
      <c r="W112" s="6" t="s">
        <v>860</v>
      </c>
      <c r="X112" t="s">
        <v>141</v>
      </c>
    </row>
    <row r="113" spans="22:24" x14ac:dyDescent="0.25">
      <c r="V113">
        <v>111</v>
      </c>
      <c r="W113" s="6" t="s">
        <v>861</v>
      </c>
      <c r="X113" t="s">
        <v>137</v>
      </c>
    </row>
    <row r="114" spans="22:24" x14ac:dyDescent="0.25">
      <c r="V114">
        <v>112</v>
      </c>
      <c r="W114" s="6" t="s">
        <v>862</v>
      </c>
      <c r="X114" t="s">
        <v>152</v>
      </c>
    </row>
    <row r="115" spans="22:24" x14ac:dyDescent="0.25">
      <c r="V115">
        <v>113</v>
      </c>
      <c r="W115" s="6" t="s">
        <v>864</v>
      </c>
      <c r="X115" t="s">
        <v>387</v>
      </c>
    </row>
    <row r="116" spans="22:24" x14ac:dyDescent="0.25">
      <c r="V116">
        <v>114</v>
      </c>
      <c r="W116" s="6" t="s">
        <v>865</v>
      </c>
      <c r="X116" t="s">
        <v>157</v>
      </c>
    </row>
    <row r="117" spans="22:24" x14ac:dyDescent="0.25">
      <c r="V117">
        <v>115</v>
      </c>
      <c r="W117" s="6" t="s">
        <v>866</v>
      </c>
      <c r="X117" t="s">
        <v>158</v>
      </c>
    </row>
    <row r="118" spans="22:24" x14ac:dyDescent="0.25">
      <c r="V118">
        <v>116</v>
      </c>
      <c r="W118" s="6" t="s">
        <v>867</v>
      </c>
      <c r="X118" t="s">
        <v>156</v>
      </c>
    </row>
    <row r="119" spans="22:24" x14ac:dyDescent="0.25">
      <c r="V119">
        <v>117</v>
      </c>
      <c r="W119" s="6" t="s">
        <v>868</v>
      </c>
      <c r="X119" t="s">
        <v>154</v>
      </c>
    </row>
    <row r="120" spans="22:24" x14ac:dyDescent="0.25">
      <c r="V120">
        <v>118</v>
      </c>
      <c r="W120" s="6" t="s">
        <v>870</v>
      </c>
      <c r="X120" t="s">
        <v>155</v>
      </c>
    </row>
    <row r="121" spans="22:24" x14ac:dyDescent="0.25">
      <c r="V121">
        <v>119</v>
      </c>
      <c r="W121" s="6" t="s">
        <v>871</v>
      </c>
      <c r="X121" t="s">
        <v>388</v>
      </c>
    </row>
    <row r="122" spans="22:24" x14ac:dyDescent="0.25">
      <c r="V122">
        <v>120</v>
      </c>
      <c r="W122" s="6" t="s">
        <v>872</v>
      </c>
      <c r="X122" t="s">
        <v>153</v>
      </c>
    </row>
    <row r="123" spans="22:24" x14ac:dyDescent="0.25">
      <c r="V123">
        <v>121</v>
      </c>
      <c r="W123" s="6" t="s">
        <v>874</v>
      </c>
      <c r="X123" t="s">
        <v>159</v>
      </c>
    </row>
    <row r="124" spans="22:24" x14ac:dyDescent="0.25">
      <c r="V124">
        <v>122</v>
      </c>
      <c r="W124" s="6" t="s">
        <v>863</v>
      </c>
      <c r="X124" t="s">
        <v>166</v>
      </c>
    </row>
    <row r="125" spans="22:24" x14ac:dyDescent="0.25">
      <c r="V125">
        <v>123</v>
      </c>
      <c r="W125" s="6" t="s">
        <v>873</v>
      </c>
      <c r="X125" t="s">
        <v>168</v>
      </c>
    </row>
    <row r="126" spans="22:24" x14ac:dyDescent="0.25">
      <c r="V126">
        <v>124</v>
      </c>
      <c r="W126" s="6" t="s">
        <v>869</v>
      </c>
      <c r="X126" t="s">
        <v>167</v>
      </c>
    </row>
    <row r="127" spans="22:24" x14ac:dyDescent="0.25">
      <c r="V127">
        <v>125</v>
      </c>
      <c r="W127" s="6" t="s">
        <v>878</v>
      </c>
      <c r="X127" t="s">
        <v>389</v>
      </c>
    </row>
    <row r="128" spans="22:24" x14ac:dyDescent="0.25">
      <c r="V128">
        <v>126</v>
      </c>
      <c r="W128" s="6" t="s">
        <v>879</v>
      </c>
      <c r="X128" t="s">
        <v>390</v>
      </c>
    </row>
    <row r="129" spans="22:24" x14ac:dyDescent="0.25">
      <c r="V129">
        <v>127</v>
      </c>
      <c r="W129" s="6" t="s">
        <v>880</v>
      </c>
      <c r="X129" t="s">
        <v>391</v>
      </c>
    </row>
    <row r="130" spans="22:24" x14ac:dyDescent="0.25">
      <c r="V130">
        <v>128</v>
      </c>
      <c r="W130" s="6" t="s">
        <v>881</v>
      </c>
      <c r="X130" t="s">
        <v>150</v>
      </c>
    </row>
    <row r="131" spans="22:24" x14ac:dyDescent="0.25">
      <c r="V131">
        <v>129</v>
      </c>
      <c r="W131" s="6" t="s">
        <v>882</v>
      </c>
      <c r="X131" t="s">
        <v>149</v>
      </c>
    </row>
    <row r="132" spans="22:24" x14ac:dyDescent="0.25">
      <c r="V132">
        <v>130</v>
      </c>
      <c r="W132" s="6" t="s">
        <v>883</v>
      </c>
      <c r="X132" t="s">
        <v>148</v>
      </c>
    </row>
    <row r="133" spans="22:24" x14ac:dyDescent="0.25">
      <c r="V133">
        <v>131</v>
      </c>
      <c r="W133" s="6" t="s">
        <v>884</v>
      </c>
      <c r="X133" t="s">
        <v>151</v>
      </c>
    </row>
    <row r="134" spans="22:24" x14ac:dyDescent="0.25">
      <c r="V134">
        <v>132</v>
      </c>
      <c r="W134" s="6" t="s">
        <v>885</v>
      </c>
      <c r="X134" t="s">
        <v>147</v>
      </c>
    </row>
    <row r="135" spans="22:24" x14ac:dyDescent="0.25">
      <c r="V135">
        <v>133</v>
      </c>
      <c r="W135" s="6" t="s">
        <v>886</v>
      </c>
      <c r="X135" t="s">
        <v>392</v>
      </c>
    </row>
    <row r="136" spans="22:24" x14ac:dyDescent="0.25">
      <c r="V136">
        <v>134</v>
      </c>
      <c r="W136" s="6" t="s">
        <v>875</v>
      </c>
      <c r="X136" t="s">
        <v>160</v>
      </c>
    </row>
    <row r="137" spans="22:24" x14ac:dyDescent="0.25">
      <c r="V137">
        <v>135</v>
      </c>
      <c r="W137" s="6" t="s">
        <v>877</v>
      </c>
      <c r="X137" t="s">
        <v>393</v>
      </c>
    </row>
    <row r="138" spans="22:24" x14ac:dyDescent="0.25">
      <c r="V138">
        <v>136</v>
      </c>
      <c r="W138" s="6" t="s">
        <v>876</v>
      </c>
      <c r="X138" t="s">
        <v>394</v>
      </c>
    </row>
    <row r="139" spans="22:24" x14ac:dyDescent="0.25">
      <c r="V139">
        <v>137</v>
      </c>
      <c r="W139" s="6" t="s">
        <v>887</v>
      </c>
      <c r="X139" t="s">
        <v>162</v>
      </c>
    </row>
    <row r="140" spans="22:24" x14ac:dyDescent="0.25">
      <c r="V140">
        <v>138</v>
      </c>
      <c r="W140" s="6" t="s">
        <v>888</v>
      </c>
      <c r="X140" t="s">
        <v>163</v>
      </c>
    </row>
    <row r="141" spans="22:24" x14ac:dyDescent="0.25">
      <c r="V141">
        <v>139</v>
      </c>
      <c r="W141" s="6" t="s">
        <v>889</v>
      </c>
      <c r="X141" t="s">
        <v>165</v>
      </c>
    </row>
    <row r="142" spans="22:24" x14ac:dyDescent="0.25">
      <c r="V142">
        <v>140</v>
      </c>
      <c r="W142" s="6" t="s">
        <v>890</v>
      </c>
      <c r="X142" t="s">
        <v>164</v>
      </c>
    </row>
    <row r="143" spans="22:24" x14ac:dyDescent="0.25">
      <c r="V143">
        <v>141</v>
      </c>
      <c r="W143" s="6" t="s">
        <v>891</v>
      </c>
      <c r="X143" t="s">
        <v>161</v>
      </c>
    </row>
    <row r="144" spans="22:24" x14ac:dyDescent="0.25">
      <c r="V144">
        <v>142</v>
      </c>
      <c r="W144" s="6" t="s">
        <v>892</v>
      </c>
      <c r="X144" t="s">
        <v>395</v>
      </c>
    </row>
    <row r="145" spans="22:24" x14ac:dyDescent="0.25">
      <c r="V145">
        <v>143</v>
      </c>
      <c r="W145" s="6" t="s">
        <v>894</v>
      </c>
      <c r="X145" t="s">
        <v>187</v>
      </c>
    </row>
    <row r="146" spans="22:24" x14ac:dyDescent="0.25">
      <c r="V146">
        <v>144</v>
      </c>
      <c r="W146" s="6" t="s">
        <v>896</v>
      </c>
      <c r="X146" t="s">
        <v>191</v>
      </c>
    </row>
    <row r="147" spans="22:24" x14ac:dyDescent="0.25">
      <c r="V147">
        <v>145</v>
      </c>
      <c r="W147" s="6" t="s">
        <v>897</v>
      </c>
      <c r="X147" t="s">
        <v>185</v>
      </c>
    </row>
    <row r="148" spans="22:24" x14ac:dyDescent="0.25">
      <c r="V148">
        <v>146</v>
      </c>
      <c r="W148" s="6" t="s">
        <v>899</v>
      </c>
      <c r="X148" t="s">
        <v>184</v>
      </c>
    </row>
    <row r="149" spans="22:24" x14ac:dyDescent="0.25">
      <c r="V149">
        <v>147</v>
      </c>
      <c r="W149" s="6" t="s">
        <v>901</v>
      </c>
      <c r="X149" t="s">
        <v>188</v>
      </c>
    </row>
    <row r="150" spans="22:24" x14ac:dyDescent="0.25">
      <c r="V150">
        <v>148</v>
      </c>
      <c r="W150" s="6" t="s">
        <v>902</v>
      </c>
      <c r="X150" t="s">
        <v>183</v>
      </c>
    </row>
    <row r="151" spans="22:24" x14ac:dyDescent="0.25">
      <c r="V151">
        <v>149</v>
      </c>
      <c r="W151" s="6" t="s">
        <v>904</v>
      </c>
      <c r="X151" t="s">
        <v>190</v>
      </c>
    </row>
    <row r="152" spans="22:24" x14ac:dyDescent="0.25">
      <c r="V152">
        <v>150</v>
      </c>
      <c r="W152" s="6" t="s">
        <v>905</v>
      </c>
      <c r="X152" t="s">
        <v>189</v>
      </c>
    </row>
    <row r="153" spans="22:24" x14ac:dyDescent="0.25">
      <c r="V153">
        <v>151</v>
      </c>
      <c r="W153" s="6" t="s">
        <v>906</v>
      </c>
      <c r="X153" t="s">
        <v>186</v>
      </c>
    </row>
    <row r="154" spans="22:24" x14ac:dyDescent="0.25">
      <c r="V154">
        <v>152</v>
      </c>
      <c r="W154" s="6" t="s">
        <v>908</v>
      </c>
      <c r="X154" t="s">
        <v>396</v>
      </c>
    </row>
    <row r="155" spans="22:24" x14ac:dyDescent="0.25">
      <c r="V155">
        <v>153</v>
      </c>
      <c r="W155" s="6" t="s">
        <v>910</v>
      </c>
      <c r="X155" t="s">
        <v>397</v>
      </c>
    </row>
    <row r="156" spans="22:24" x14ac:dyDescent="0.25">
      <c r="V156">
        <v>154</v>
      </c>
      <c r="W156" s="6" t="s">
        <v>893</v>
      </c>
      <c r="X156" t="s">
        <v>194</v>
      </c>
    </row>
    <row r="157" spans="22:24" x14ac:dyDescent="0.25">
      <c r="V157">
        <v>155</v>
      </c>
      <c r="W157" s="6" t="s">
        <v>903</v>
      </c>
      <c r="X157" t="s">
        <v>192</v>
      </c>
    </row>
    <row r="158" spans="22:24" x14ac:dyDescent="0.25">
      <c r="V158">
        <v>156</v>
      </c>
      <c r="W158" s="6" t="s">
        <v>900</v>
      </c>
      <c r="X158" t="s">
        <v>195</v>
      </c>
    </row>
    <row r="159" spans="22:24" x14ac:dyDescent="0.25">
      <c r="V159">
        <v>157</v>
      </c>
      <c r="W159" s="6" t="s">
        <v>898</v>
      </c>
      <c r="X159" t="s">
        <v>196</v>
      </c>
    </row>
    <row r="160" spans="22:24" x14ac:dyDescent="0.25">
      <c r="V160">
        <v>158</v>
      </c>
      <c r="W160" s="6" t="s">
        <v>909</v>
      </c>
      <c r="X160" t="s">
        <v>193</v>
      </c>
    </row>
    <row r="161" spans="22:24" x14ac:dyDescent="0.25">
      <c r="V161">
        <v>159</v>
      </c>
      <c r="W161" s="6" t="s">
        <v>907</v>
      </c>
      <c r="X161" t="s">
        <v>30</v>
      </c>
    </row>
    <row r="162" spans="22:24" x14ac:dyDescent="0.25">
      <c r="V162">
        <v>160</v>
      </c>
      <c r="W162" s="6" t="s">
        <v>895</v>
      </c>
      <c r="X162" t="s">
        <v>31</v>
      </c>
    </row>
    <row r="163" spans="22:24" x14ac:dyDescent="0.25">
      <c r="V163">
        <v>161</v>
      </c>
      <c r="W163" s="6" t="s">
        <v>912</v>
      </c>
      <c r="X163" t="s">
        <v>32</v>
      </c>
    </row>
    <row r="164" spans="22:24" x14ac:dyDescent="0.25">
      <c r="V164">
        <v>162</v>
      </c>
      <c r="W164" s="6" t="s">
        <v>915</v>
      </c>
      <c r="X164" t="s">
        <v>206</v>
      </c>
    </row>
    <row r="165" spans="22:24" x14ac:dyDescent="0.25">
      <c r="V165">
        <v>163</v>
      </c>
      <c r="W165" s="6" t="s">
        <v>911</v>
      </c>
      <c r="X165" t="s">
        <v>203</v>
      </c>
    </row>
    <row r="166" spans="22:24" x14ac:dyDescent="0.25">
      <c r="V166">
        <v>164</v>
      </c>
      <c r="W166" s="6" t="s">
        <v>916</v>
      </c>
      <c r="X166" t="s">
        <v>197</v>
      </c>
    </row>
    <row r="167" spans="22:24" x14ac:dyDescent="0.25">
      <c r="V167">
        <v>165</v>
      </c>
      <c r="W167" s="6" t="s">
        <v>913</v>
      </c>
      <c r="X167" t="s">
        <v>398</v>
      </c>
    </row>
    <row r="168" spans="22:24" x14ac:dyDescent="0.25">
      <c r="V168">
        <v>166</v>
      </c>
      <c r="W168" s="6" t="s">
        <v>914</v>
      </c>
      <c r="X168" t="s">
        <v>199</v>
      </c>
    </row>
    <row r="169" spans="22:24" x14ac:dyDescent="0.25">
      <c r="V169">
        <v>167</v>
      </c>
      <c r="W169" s="6" t="s">
        <v>917</v>
      </c>
      <c r="X169" t="s">
        <v>200</v>
      </c>
    </row>
    <row r="170" spans="22:24" x14ac:dyDescent="0.25">
      <c r="V170">
        <v>168</v>
      </c>
      <c r="W170" s="6" t="s">
        <v>918</v>
      </c>
      <c r="X170" t="s">
        <v>201</v>
      </c>
    </row>
    <row r="171" spans="22:24" x14ac:dyDescent="0.25">
      <c r="V171">
        <v>169</v>
      </c>
      <c r="W171" s="6" t="s">
        <v>919</v>
      </c>
      <c r="X171" t="s">
        <v>198</v>
      </c>
    </row>
    <row r="172" spans="22:24" x14ac:dyDescent="0.25">
      <c r="V172">
        <v>170</v>
      </c>
      <c r="W172" s="6" t="s">
        <v>920</v>
      </c>
      <c r="X172" t="s">
        <v>204</v>
      </c>
    </row>
    <row r="173" spans="22:24" x14ac:dyDescent="0.25">
      <c r="V173">
        <v>171</v>
      </c>
      <c r="W173" s="6" t="s">
        <v>921</v>
      </c>
      <c r="X173" t="s">
        <v>399</v>
      </c>
    </row>
    <row r="174" spans="22:24" x14ac:dyDescent="0.25">
      <c r="V174">
        <v>172</v>
      </c>
      <c r="W174" s="6" t="s">
        <v>922</v>
      </c>
      <c r="X174" t="s">
        <v>205</v>
      </c>
    </row>
    <row r="175" spans="22:24" x14ac:dyDescent="0.25">
      <c r="V175">
        <v>173</v>
      </c>
      <c r="W175" s="6" t="s">
        <v>923</v>
      </c>
      <c r="X175" t="s">
        <v>202</v>
      </c>
    </row>
    <row r="176" spans="22:24" x14ac:dyDescent="0.25">
      <c r="V176">
        <v>174</v>
      </c>
      <c r="W176" s="6" t="s">
        <v>924</v>
      </c>
      <c r="X176" t="s">
        <v>400</v>
      </c>
    </row>
    <row r="177" spans="22:24" x14ac:dyDescent="0.25">
      <c r="V177">
        <v>175</v>
      </c>
      <c r="W177" s="6" t="s">
        <v>925</v>
      </c>
      <c r="X177" t="s">
        <v>215</v>
      </c>
    </row>
    <row r="178" spans="22:24" x14ac:dyDescent="0.25">
      <c r="V178">
        <v>176</v>
      </c>
      <c r="W178" s="6" t="s">
        <v>927</v>
      </c>
      <c r="X178" t="s">
        <v>222</v>
      </c>
    </row>
    <row r="179" spans="22:24" x14ac:dyDescent="0.25">
      <c r="V179">
        <v>177</v>
      </c>
      <c r="W179" s="6" t="s">
        <v>929</v>
      </c>
      <c r="X179" t="s">
        <v>217</v>
      </c>
    </row>
    <row r="180" spans="22:24" x14ac:dyDescent="0.25">
      <c r="V180">
        <v>178</v>
      </c>
      <c r="W180" s="6" t="s">
        <v>931</v>
      </c>
      <c r="X180" t="s">
        <v>228</v>
      </c>
    </row>
    <row r="181" spans="22:24" x14ac:dyDescent="0.25">
      <c r="V181">
        <v>179</v>
      </c>
      <c r="W181" s="6" t="s">
        <v>932</v>
      </c>
      <c r="X181" t="s">
        <v>216</v>
      </c>
    </row>
    <row r="182" spans="22:24" x14ac:dyDescent="0.25">
      <c r="V182">
        <v>180</v>
      </c>
      <c r="W182" s="6" t="s">
        <v>934</v>
      </c>
      <c r="X182" t="s">
        <v>220</v>
      </c>
    </row>
    <row r="183" spans="22:24" x14ac:dyDescent="0.25">
      <c r="V183">
        <v>181</v>
      </c>
      <c r="W183" s="6" t="s">
        <v>936</v>
      </c>
      <c r="X183" t="s">
        <v>224</v>
      </c>
    </row>
    <row r="184" spans="22:24" x14ac:dyDescent="0.25">
      <c r="V184">
        <v>182</v>
      </c>
      <c r="W184" s="6" t="s">
        <v>937</v>
      </c>
      <c r="X184" t="s">
        <v>218</v>
      </c>
    </row>
    <row r="185" spans="22:24" x14ac:dyDescent="0.25">
      <c r="V185">
        <v>183</v>
      </c>
      <c r="W185" s="6" t="s">
        <v>939</v>
      </c>
      <c r="X185" t="s">
        <v>225</v>
      </c>
    </row>
    <row r="186" spans="22:24" x14ac:dyDescent="0.25">
      <c r="V186">
        <v>184</v>
      </c>
      <c r="W186" s="6" t="s">
        <v>940</v>
      </c>
      <c r="X186" t="s">
        <v>227</v>
      </c>
    </row>
    <row r="187" spans="22:24" x14ac:dyDescent="0.25">
      <c r="V187">
        <v>185</v>
      </c>
      <c r="W187" s="6" t="s">
        <v>941</v>
      </c>
      <c r="X187" t="s">
        <v>221</v>
      </c>
    </row>
    <row r="188" spans="22:24" x14ac:dyDescent="0.25">
      <c r="V188">
        <v>186</v>
      </c>
      <c r="W188" s="6" t="s">
        <v>943</v>
      </c>
      <c r="X188" t="s">
        <v>230</v>
      </c>
    </row>
    <row r="189" spans="22:24" x14ac:dyDescent="0.25">
      <c r="V189">
        <v>187</v>
      </c>
      <c r="W189" s="6" t="s">
        <v>944</v>
      </c>
      <c r="X189" t="s">
        <v>219</v>
      </c>
    </row>
    <row r="190" spans="22:24" x14ac:dyDescent="0.25">
      <c r="V190">
        <v>188</v>
      </c>
      <c r="W190" s="6" t="s">
        <v>946</v>
      </c>
      <c r="X190" t="s">
        <v>407</v>
      </c>
    </row>
    <row r="191" spans="22:24" x14ac:dyDescent="0.25">
      <c r="V191">
        <v>189</v>
      </c>
      <c r="W191" s="6" t="s">
        <v>948</v>
      </c>
      <c r="X191" t="s">
        <v>408</v>
      </c>
    </row>
    <row r="192" spans="22:24" x14ac:dyDescent="0.25">
      <c r="V192">
        <v>190</v>
      </c>
      <c r="W192" s="6" t="s">
        <v>949</v>
      </c>
      <c r="X192" t="s">
        <v>223</v>
      </c>
    </row>
    <row r="193" spans="22:24" x14ac:dyDescent="0.25">
      <c r="V193">
        <v>191</v>
      </c>
      <c r="W193" s="6" t="s">
        <v>951</v>
      </c>
      <c r="X193" t="s">
        <v>229</v>
      </c>
    </row>
    <row r="194" spans="22:24" x14ac:dyDescent="0.25">
      <c r="V194">
        <v>192</v>
      </c>
      <c r="W194" s="6" t="s">
        <v>952</v>
      </c>
      <c r="X194" t="s">
        <v>409</v>
      </c>
    </row>
    <row r="195" spans="22:24" x14ac:dyDescent="0.25">
      <c r="V195">
        <v>193</v>
      </c>
      <c r="W195" s="6" t="s">
        <v>953</v>
      </c>
      <c r="X195" t="s">
        <v>410</v>
      </c>
    </row>
    <row r="196" spans="22:24" x14ac:dyDescent="0.25">
      <c r="V196">
        <v>194</v>
      </c>
      <c r="W196" s="6" t="s">
        <v>955</v>
      </c>
      <c r="X196" t="s">
        <v>226</v>
      </c>
    </row>
    <row r="197" spans="22:24" x14ac:dyDescent="0.25">
      <c r="V197">
        <v>195</v>
      </c>
      <c r="W197" s="6" t="s">
        <v>956</v>
      </c>
      <c r="X197" t="s">
        <v>231</v>
      </c>
    </row>
    <row r="198" spans="22:24" x14ac:dyDescent="0.25">
      <c r="V198">
        <v>196</v>
      </c>
      <c r="W198" s="6" t="s">
        <v>926</v>
      </c>
      <c r="X198" t="s">
        <v>207</v>
      </c>
    </row>
    <row r="199" spans="22:24" x14ac:dyDescent="0.25">
      <c r="V199">
        <v>197</v>
      </c>
      <c r="W199" s="6" t="s">
        <v>954</v>
      </c>
      <c r="X199" t="s">
        <v>210</v>
      </c>
    </row>
    <row r="200" spans="22:24" x14ac:dyDescent="0.25">
      <c r="V200">
        <v>198</v>
      </c>
      <c r="W200" s="6" t="s">
        <v>933</v>
      </c>
      <c r="X200" t="s">
        <v>411</v>
      </c>
    </row>
    <row r="201" spans="22:24" x14ac:dyDescent="0.25">
      <c r="V201">
        <v>199</v>
      </c>
      <c r="W201" s="6" t="s">
        <v>930</v>
      </c>
      <c r="X201" t="s">
        <v>211</v>
      </c>
    </row>
    <row r="202" spans="22:24" x14ac:dyDescent="0.25">
      <c r="V202">
        <v>200</v>
      </c>
      <c r="W202" s="6" t="s">
        <v>938</v>
      </c>
      <c r="X202" t="s">
        <v>214</v>
      </c>
    </row>
    <row r="203" spans="22:24" x14ac:dyDescent="0.25">
      <c r="V203">
        <v>201</v>
      </c>
      <c r="W203" s="6" t="s">
        <v>945</v>
      </c>
      <c r="X203" t="s">
        <v>208</v>
      </c>
    </row>
    <row r="204" spans="22:24" x14ac:dyDescent="0.25">
      <c r="V204">
        <v>202</v>
      </c>
      <c r="W204" s="6" t="s">
        <v>935</v>
      </c>
      <c r="X204" t="s">
        <v>212</v>
      </c>
    </row>
    <row r="205" spans="22:24" x14ac:dyDescent="0.25">
      <c r="V205">
        <v>203</v>
      </c>
      <c r="W205" s="6" t="s">
        <v>942</v>
      </c>
      <c r="X205" t="s">
        <v>412</v>
      </c>
    </row>
    <row r="206" spans="22:24" x14ac:dyDescent="0.25">
      <c r="V206">
        <v>204</v>
      </c>
      <c r="W206" s="6" t="s">
        <v>928</v>
      </c>
      <c r="X206" t="s">
        <v>209</v>
      </c>
    </row>
    <row r="207" spans="22:24" x14ac:dyDescent="0.25">
      <c r="V207">
        <v>205</v>
      </c>
      <c r="W207" s="6" t="s">
        <v>950</v>
      </c>
      <c r="X207" t="s">
        <v>413</v>
      </c>
    </row>
    <row r="208" spans="22:24" x14ac:dyDescent="0.25">
      <c r="V208">
        <v>206</v>
      </c>
      <c r="W208" s="6" t="s">
        <v>947</v>
      </c>
      <c r="X208" t="s">
        <v>213</v>
      </c>
    </row>
    <row r="209" spans="22:24" x14ac:dyDescent="0.25">
      <c r="V209">
        <v>207</v>
      </c>
      <c r="W209" s="6">
        <v>10101</v>
      </c>
      <c r="X209" t="s">
        <v>246</v>
      </c>
    </row>
    <row r="210" spans="22:24" x14ac:dyDescent="0.25">
      <c r="V210">
        <v>208</v>
      </c>
      <c r="W210" s="6">
        <v>10102</v>
      </c>
      <c r="X210" t="s">
        <v>252</v>
      </c>
    </row>
    <row r="211" spans="22:24" x14ac:dyDescent="0.25">
      <c r="V211">
        <v>209</v>
      </c>
      <c r="W211" s="6">
        <v>10103</v>
      </c>
      <c r="X211" t="s">
        <v>414</v>
      </c>
    </row>
    <row r="212" spans="22:24" x14ac:dyDescent="0.25">
      <c r="V212">
        <v>210</v>
      </c>
      <c r="W212" s="6">
        <v>10104</v>
      </c>
      <c r="X212" t="s">
        <v>248</v>
      </c>
    </row>
    <row r="213" spans="22:24" x14ac:dyDescent="0.25">
      <c r="V213">
        <v>211</v>
      </c>
      <c r="W213" s="6">
        <v>10105</v>
      </c>
      <c r="X213" t="s">
        <v>249</v>
      </c>
    </row>
    <row r="214" spans="22:24" x14ac:dyDescent="0.25">
      <c r="V214">
        <v>212</v>
      </c>
      <c r="W214" s="6">
        <v>10106</v>
      </c>
      <c r="X214" t="s">
        <v>251</v>
      </c>
    </row>
    <row r="215" spans="22:24" x14ac:dyDescent="0.25">
      <c r="V215">
        <v>213</v>
      </c>
      <c r="W215" s="6">
        <v>10107</v>
      </c>
      <c r="X215" t="s">
        <v>250</v>
      </c>
    </row>
    <row r="216" spans="22:24" x14ac:dyDescent="0.25">
      <c r="V216">
        <v>214</v>
      </c>
      <c r="W216" s="6">
        <v>10108</v>
      </c>
      <c r="X216" t="s">
        <v>415</v>
      </c>
    </row>
    <row r="217" spans="22:24" x14ac:dyDescent="0.25">
      <c r="V217">
        <v>215</v>
      </c>
      <c r="W217" s="6">
        <v>10109</v>
      </c>
      <c r="X217" t="s">
        <v>247</v>
      </c>
    </row>
    <row r="218" spans="22:24" x14ac:dyDescent="0.25">
      <c r="V218">
        <v>216</v>
      </c>
      <c r="W218" s="6">
        <v>10201</v>
      </c>
      <c r="X218" t="s">
        <v>253</v>
      </c>
    </row>
    <row r="219" spans="22:24" x14ac:dyDescent="0.25">
      <c r="V219">
        <v>217</v>
      </c>
      <c r="W219" s="6">
        <v>10202</v>
      </c>
      <c r="X219" t="s">
        <v>255</v>
      </c>
    </row>
    <row r="220" spans="22:24" x14ac:dyDescent="0.25">
      <c r="V220">
        <v>218</v>
      </c>
      <c r="W220" s="6">
        <v>10203</v>
      </c>
      <c r="X220" t="s">
        <v>254</v>
      </c>
    </row>
    <row r="221" spans="22:24" x14ac:dyDescent="0.25">
      <c r="V221">
        <v>219</v>
      </c>
      <c r="W221" s="6">
        <v>10204</v>
      </c>
      <c r="X221" t="s">
        <v>416</v>
      </c>
    </row>
    <row r="222" spans="22:24" x14ac:dyDescent="0.25">
      <c r="V222">
        <v>220</v>
      </c>
      <c r="W222" s="6">
        <v>10205</v>
      </c>
      <c r="X222" t="s">
        <v>257</v>
      </c>
    </row>
    <row r="223" spans="22:24" x14ac:dyDescent="0.25">
      <c r="V223">
        <v>221</v>
      </c>
      <c r="W223" s="6">
        <v>10206</v>
      </c>
      <c r="X223" t="s">
        <v>417</v>
      </c>
    </row>
    <row r="224" spans="22:24" x14ac:dyDescent="0.25">
      <c r="V224">
        <v>222</v>
      </c>
      <c r="W224" s="6">
        <v>10207</v>
      </c>
      <c r="X224" t="s">
        <v>418</v>
      </c>
    </row>
    <row r="225" spans="22:24" x14ac:dyDescent="0.25">
      <c r="V225">
        <v>223</v>
      </c>
      <c r="W225" s="6">
        <v>10208</v>
      </c>
      <c r="X225" t="s">
        <v>419</v>
      </c>
    </row>
    <row r="226" spans="22:24" x14ac:dyDescent="0.25">
      <c r="V226">
        <v>224</v>
      </c>
      <c r="W226" s="6">
        <v>10209</v>
      </c>
      <c r="X226" t="s">
        <v>256</v>
      </c>
    </row>
    <row r="227" spans="22:24" x14ac:dyDescent="0.25">
      <c r="V227">
        <v>225</v>
      </c>
      <c r="W227" s="6">
        <v>10210</v>
      </c>
      <c r="X227" t="s">
        <v>258</v>
      </c>
    </row>
    <row r="228" spans="22:24" x14ac:dyDescent="0.25">
      <c r="V228">
        <v>226</v>
      </c>
      <c r="W228" s="6">
        <v>10301</v>
      </c>
      <c r="X228" t="s">
        <v>240</v>
      </c>
    </row>
    <row r="229" spans="22:24" x14ac:dyDescent="0.25">
      <c r="V229">
        <v>227</v>
      </c>
      <c r="W229" s="6">
        <v>10302</v>
      </c>
      <c r="X229" t="s">
        <v>242</v>
      </c>
    </row>
    <row r="230" spans="22:24" x14ac:dyDescent="0.25">
      <c r="V230">
        <v>228</v>
      </c>
      <c r="W230" s="6">
        <v>10303</v>
      </c>
      <c r="X230" t="s">
        <v>244</v>
      </c>
    </row>
    <row r="231" spans="22:24" x14ac:dyDescent="0.25">
      <c r="V231">
        <v>229</v>
      </c>
      <c r="W231" s="6">
        <v>10304</v>
      </c>
      <c r="X231" t="s">
        <v>243</v>
      </c>
    </row>
    <row r="232" spans="22:24" x14ac:dyDescent="0.25">
      <c r="V232">
        <v>230</v>
      </c>
      <c r="W232" s="6">
        <v>10305</v>
      </c>
      <c r="X232" t="s">
        <v>420</v>
      </c>
    </row>
    <row r="233" spans="22:24" x14ac:dyDescent="0.25">
      <c r="V233">
        <v>231</v>
      </c>
      <c r="W233" s="6">
        <v>10306</v>
      </c>
      <c r="X233" t="s">
        <v>245</v>
      </c>
    </row>
    <row r="234" spans="22:24" x14ac:dyDescent="0.25">
      <c r="V234">
        <v>232</v>
      </c>
      <c r="W234" s="6">
        <v>10307</v>
      </c>
      <c r="X234" t="s">
        <v>241</v>
      </c>
    </row>
    <row r="235" spans="22:24" x14ac:dyDescent="0.25">
      <c r="V235">
        <v>233</v>
      </c>
      <c r="W235" s="6">
        <v>10401</v>
      </c>
      <c r="X235" t="s">
        <v>421</v>
      </c>
    </row>
    <row r="236" spans="22:24" x14ac:dyDescent="0.25">
      <c r="V236">
        <v>234</v>
      </c>
      <c r="W236" s="6">
        <v>10402</v>
      </c>
      <c r="X236" t="s">
        <v>422</v>
      </c>
    </row>
    <row r="237" spans="22:24" x14ac:dyDescent="0.25">
      <c r="V237">
        <v>235</v>
      </c>
      <c r="W237" s="6">
        <v>10403</v>
      </c>
      <c r="X237" t="s">
        <v>35</v>
      </c>
    </row>
    <row r="238" spans="22:24" x14ac:dyDescent="0.25">
      <c r="V238">
        <v>236</v>
      </c>
      <c r="W238" s="6">
        <v>10404</v>
      </c>
      <c r="X238" t="s">
        <v>259</v>
      </c>
    </row>
    <row r="239" spans="22:24" x14ac:dyDescent="0.25">
      <c r="V239">
        <v>237</v>
      </c>
      <c r="W239" s="6">
        <v>11101</v>
      </c>
      <c r="X239" t="s">
        <v>501</v>
      </c>
    </row>
    <row r="240" spans="22:24" x14ac:dyDescent="0.25">
      <c r="V240">
        <v>238</v>
      </c>
      <c r="W240" s="6">
        <v>11102</v>
      </c>
      <c r="X240" t="s">
        <v>265</v>
      </c>
    </row>
    <row r="241" spans="22:24" x14ac:dyDescent="0.25">
      <c r="V241">
        <v>239</v>
      </c>
      <c r="W241" s="6">
        <v>11201</v>
      </c>
      <c r="X241" t="s">
        <v>502</v>
      </c>
    </row>
    <row r="242" spans="22:24" x14ac:dyDescent="0.25">
      <c r="V242">
        <v>240</v>
      </c>
      <c r="W242" s="6">
        <v>11202</v>
      </c>
      <c r="X242" t="s">
        <v>260</v>
      </c>
    </row>
    <row r="243" spans="22:24" x14ac:dyDescent="0.25">
      <c r="V243">
        <v>241</v>
      </c>
      <c r="W243" s="6">
        <v>11203</v>
      </c>
      <c r="X243" t="s">
        <v>261</v>
      </c>
    </row>
    <row r="244" spans="22:24" x14ac:dyDescent="0.25">
      <c r="V244">
        <v>242</v>
      </c>
      <c r="W244" s="6">
        <v>11301</v>
      </c>
      <c r="X244" t="s">
        <v>263</v>
      </c>
    </row>
    <row r="245" spans="22:24" x14ac:dyDescent="0.25">
      <c r="V245">
        <v>243</v>
      </c>
      <c r="W245" s="6">
        <v>11302</v>
      </c>
      <c r="X245" t="s">
        <v>490</v>
      </c>
    </row>
    <row r="246" spans="22:24" x14ac:dyDescent="0.25">
      <c r="V246">
        <v>244</v>
      </c>
      <c r="W246" s="6">
        <v>11303</v>
      </c>
      <c r="X246" t="s">
        <v>264</v>
      </c>
    </row>
    <row r="247" spans="22:24" x14ac:dyDescent="0.25">
      <c r="V247">
        <v>245</v>
      </c>
      <c r="W247" s="6">
        <v>11401</v>
      </c>
      <c r="X247" t="s">
        <v>262</v>
      </c>
    </row>
    <row r="248" spans="22:24" x14ac:dyDescent="0.25">
      <c r="V248">
        <v>246</v>
      </c>
      <c r="W248" s="6">
        <v>11402</v>
      </c>
      <c r="X248" t="s">
        <v>423</v>
      </c>
    </row>
    <row r="249" spans="22:24" x14ac:dyDescent="0.25">
      <c r="V249">
        <v>247</v>
      </c>
      <c r="W249" s="6">
        <v>12101</v>
      </c>
      <c r="X249" t="s">
        <v>268</v>
      </c>
    </row>
    <row r="250" spans="22:24" x14ac:dyDescent="0.25">
      <c r="V250">
        <v>248</v>
      </c>
      <c r="W250" s="6">
        <v>12102</v>
      </c>
      <c r="X250" t="s">
        <v>269</v>
      </c>
    </row>
    <row r="251" spans="22:24" x14ac:dyDescent="0.25">
      <c r="V251">
        <v>249</v>
      </c>
      <c r="W251" s="6">
        <v>12103</v>
      </c>
      <c r="X251" t="s">
        <v>424</v>
      </c>
    </row>
    <row r="252" spans="22:24" x14ac:dyDescent="0.25">
      <c r="V252">
        <v>250</v>
      </c>
      <c r="W252" s="6">
        <v>12104</v>
      </c>
      <c r="X252" t="s">
        <v>267</v>
      </c>
    </row>
    <row r="253" spans="22:24" x14ac:dyDescent="0.25">
      <c r="V253">
        <v>251</v>
      </c>
      <c r="W253" s="6">
        <v>12201</v>
      </c>
      <c r="X253" t="s">
        <v>273</v>
      </c>
    </row>
    <row r="254" spans="22:24" x14ac:dyDescent="0.25">
      <c r="V254">
        <v>252</v>
      </c>
      <c r="W254" s="6">
        <v>12202</v>
      </c>
      <c r="X254" t="s">
        <v>472</v>
      </c>
    </row>
    <row r="255" spans="22:24" x14ac:dyDescent="0.25">
      <c r="V255">
        <v>253</v>
      </c>
      <c r="W255" s="6">
        <v>12301</v>
      </c>
      <c r="X255" t="s">
        <v>270</v>
      </c>
    </row>
    <row r="256" spans="22:24" x14ac:dyDescent="0.25">
      <c r="V256">
        <v>254</v>
      </c>
      <c r="W256" s="6">
        <v>12302</v>
      </c>
      <c r="X256" t="s">
        <v>271</v>
      </c>
    </row>
    <row r="257" spans="22:24" x14ac:dyDescent="0.25">
      <c r="V257">
        <v>255</v>
      </c>
      <c r="W257" s="6">
        <v>12303</v>
      </c>
      <c r="X257" t="s">
        <v>272</v>
      </c>
    </row>
    <row r="258" spans="22:24" x14ac:dyDescent="0.25">
      <c r="V258">
        <v>256</v>
      </c>
      <c r="W258" s="6">
        <v>12401</v>
      </c>
      <c r="X258" t="s">
        <v>266</v>
      </c>
    </row>
    <row r="259" spans="22:24" x14ac:dyDescent="0.25">
      <c r="V259">
        <v>257</v>
      </c>
      <c r="W259" s="6">
        <v>12402</v>
      </c>
      <c r="X259" t="s">
        <v>321</v>
      </c>
    </row>
    <row r="260" spans="22:24" x14ac:dyDescent="0.25">
      <c r="V260">
        <v>258</v>
      </c>
      <c r="W260" s="6">
        <v>13101</v>
      </c>
      <c r="X260" t="s">
        <v>274</v>
      </c>
    </row>
    <row r="261" spans="22:24" x14ac:dyDescent="0.25">
      <c r="V261">
        <v>259</v>
      </c>
      <c r="W261" s="6">
        <v>13102</v>
      </c>
      <c r="X261" t="s">
        <v>298</v>
      </c>
    </row>
    <row r="262" spans="22:24" x14ac:dyDescent="0.25">
      <c r="V262">
        <v>260</v>
      </c>
      <c r="W262" s="6">
        <v>13103</v>
      </c>
      <c r="X262" t="s">
        <v>290</v>
      </c>
    </row>
    <row r="263" spans="22:24" x14ac:dyDescent="0.25">
      <c r="V263">
        <v>261</v>
      </c>
      <c r="W263" s="6">
        <v>13104</v>
      </c>
      <c r="X263" t="s">
        <v>425</v>
      </c>
    </row>
    <row r="264" spans="22:24" x14ac:dyDescent="0.25">
      <c r="V264">
        <v>262</v>
      </c>
      <c r="W264" s="6">
        <v>13105</v>
      </c>
      <c r="X264" t="s">
        <v>297</v>
      </c>
    </row>
    <row r="265" spans="22:24" x14ac:dyDescent="0.25">
      <c r="V265">
        <v>263</v>
      </c>
      <c r="W265" s="6">
        <v>13106</v>
      </c>
      <c r="X265" t="s">
        <v>426</v>
      </c>
    </row>
    <row r="266" spans="22:24" x14ac:dyDescent="0.25">
      <c r="V266">
        <v>264</v>
      </c>
      <c r="W266" s="6">
        <v>13107</v>
      </c>
      <c r="X266" t="s">
        <v>291</v>
      </c>
    </row>
    <row r="267" spans="22:24" x14ac:dyDescent="0.25">
      <c r="V267">
        <v>265</v>
      </c>
      <c r="W267" s="6">
        <v>13108</v>
      </c>
      <c r="X267" t="s">
        <v>299</v>
      </c>
    </row>
    <row r="268" spans="22:24" x14ac:dyDescent="0.25">
      <c r="V268">
        <v>266</v>
      </c>
      <c r="W268" s="6">
        <v>13109</v>
      </c>
      <c r="X268" t="s">
        <v>280</v>
      </c>
    </row>
    <row r="269" spans="22:24" x14ac:dyDescent="0.25">
      <c r="V269">
        <v>267</v>
      </c>
      <c r="W269" s="6">
        <v>13110</v>
      </c>
      <c r="X269" t="s">
        <v>284</v>
      </c>
    </row>
    <row r="270" spans="22:24" x14ac:dyDescent="0.25">
      <c r="V270">
        <v>268</v>
      </c>
      <c r="W270" s="6">
        <v>13111</v>
      </c>
      <c r="X270" t="s">
        <v>285</v>
      </c>
    </row>
    <row r="271" spans="22:24" x14ac:dyDescent="0.25">
      <c r="V271">
        <v>269</v>
      </c>
      <c r="W271" s="6">
        <v>13112</v>
      </c>
      <c r="X271" t="s">
        <v>288</v>
      </c>
    </row>
    <row r="272" spans="22:24" x14ac:dyDescent="0.25">
      <c r="V272">
        <v>270</v>
      </c>
      <c r="W272" s="6">
        <v>13113</v>
      </c>
      <c r="X272" t="s">
        <v>286</v>
      </c>
    </row>
    <row r="273" spans="22:24" x14ac:dyDescent="0.25">
      <c r="V273">
        <v>271</v>
      </c>
      <c r="W273" s="6">
        <v>13114</v>
      </c>
      <c r="X273" t="s">
        <v>279</v>
      </c>
    </row>
    <row r="274" spans="22:24" x14ac:dyDescent="0.25">
      <c r="V274">
        <v>272</v>
      </c>
      <c r="W274" s="6">
        <v>13115</v>
      </c>
      <c r="X274" t="s">
        <v>294</v>
      </c>
    </row>
    <row r="275" spans="22:24" x14ac:dyDescent="0.25">
      <c r="V275">
        <v>273</v>
      </c>
      <c r="W275" s="6">
        <v>13116</v>
      </c>
      <c r="X275" t="s">
        <v>296</v>
      </c>
    </row>
    <row r="276" spans="22:24" x14ac:dyDescent="0.25">
      <c r="V276">
        <v>274</v>
      </c>
      <c r="W276" s="6">
        <v>13117</v>
      </c>
      <c r="X276" t="s">
        <v>289</v>
      </c>
    </row>
    <row r="277" spans="22:24" x14ac:dyDescent="0.25">
      <c r="V277">
        <v>275</v>
      </c>
      <c r="W277" s="6">
        <v>13118</v>
      </c>
      <c r="X277" t="s">
        <v>287</v>
      </c>
    </row>
    <row r="278" spans="22:24" x14ac:dyDescent="0.25">
      <c r="V278">
        <v>276</v>
      </c>
      <c r="W278" s="6">
        <v>13119</v>
      </c>
      <c r="X278" t="s">
        <v>427</v>
      </c>
    </row>
    <row r="279" spans="22:24" x14ac:dyDescent="0.25">
      <c r="V279">
        <v>277</v>
      </c>
      <c r="W279" s="6">
        <v>13120</v>
      </c>
      <c r="X279" t="s">
        <v>276</v>
      </c>
    </row>
    <row r="280" spans="22:24" x14ac:dyDescent="0.25">
      <c r="V280">
        <v>278</v>
      </c>
      <c r="W280" s="6">
        <v>13121</v>
      </c>
      <c r="X280" t="s">
        <v>295</v>
      </c>
    </row>
    <row r="281" spans="22:24" x14ac:dyDescent="0.25">
      <c r="V281">
        <v>279</v>
      </c>
      <c r="W281" s="6">
        <v>13122</v>
      </c>
      <c r="X281" t="s">
        <v>428</v>
      </c>
    </row>
    <row r="282" spans="22:24" x14ac:dyDescent="0.25">
      <c r="V282">
        <v>280</v>
      </c>
      <c r="W282" s="6">
        <v>13123</v>
      </c>
      <c r="X282" t="s">
        <v>275</v>
      </c>
    </row>
    <row r="283" spans="22:24" x14ac:dyDescent="0.25">
      <c r="V283">
        <v>281</v>
      </c>
      <c r="W283" s="6">
        <v>13124</v>
      </c>
      <c r="X283" t="s">
        <v>281</v>
      </c>
    </row>
    <row r="284" spans="22:24" x14ac:dyDescent="0.25">
      <c r="V284">
        <v>282</v>
      </c>
      <c r="W284" s="6">
        <v>13125</v>
      </c>
      <c r="X284" t="s">
        <v>283</v>
      </c>
    </row>
    <row r="285" spans="22:24" x14ac:dyDescent="0.25">
      <c r="V285">
        <v>283</v>
      </c>
      <c r="W285" s="6">
        <v>13126</v>
      </c>
      <c r="X285" t="s">
        <v>278</v>
      </c>
    </row>
    <row r="286" spans="22:24" x14ac:dyDescent="0.25">
      <c r="V286">
        <v>284</v>
      </c>
      <c r="W286" s="6">
        <v>13127</v>
      </c>
      <c r="X286" t="s">
        <v>292</v>
      </c>
    </row>
    <row r="287" spans="22:24" x14ac:dyDescent="0.25">
      <c r="V287">
        <v>285</v>
      </c>
      <c r="W287" s="6">
        <v>13128</v>
      </c>
      <c r="X287" t="s">
        <v>282</v>
      </c>
    </row>
    <row r="288" spans="22:24" x14ac:dyDescent="0.25">
      <c r="V288">
        <v>286</v>
      </c>
      <c r="W288" s="6">
        <v>13129</v>
      </c>
      <c r="X288" t="s">
        <v>429</v>
      </c>
    </row>
    <row r="289" spans="22:24" x14ac:dyDescent="0.25">
      <c r="V289">
        <v>287</v>
      </c>
      <c r="W289" s="6">
        <v>13130</v>
      </c>
      <c r="X289" t="s">
        <v>277</v>
      </c>
    </row>
    <row r="290" spans="22:24" x14ac:dyDescent="0.25">
      <c r="V290">
        <v>288</v>
      </c>
      <c r="W290" s="6">
        <v>13131</v>
      </c>
      <c r="X290" t="s">
        <v>430</v>
      </c>
    </row>
    <row r="291" spans="22:24" x14ac:dyDescent="0.25">
      <c r="V291">
        <v>289</v>
      </c>
      <c r="W291" s="6">
        <v>13132</v>
      </c>
      <c r="X291" t="s">
        <v>293</v>
      </c>
    </row>
    <row r="292" spans="22:24" x14ac:dyDescent="0.25">
      <c r="V292">
        <v>290</v>
      </c>
      <c r="W292" s="6">
        <v>13201</v>
      </c>
      <c r="X292" t="s">
        <v>303</v>
      </c>
    </row>
    <row r="293" spans="22:24" x14ac:dyDescent="0.25">
      <c r="V293">
        <v>291</v>
      </c>
      <c r="W293" s="6">
        <v>13202</v>
      </c>
      <c r="X293" t="s">
        <v>304</v>
      </c>
    </row>
    <row r="294" spans="22:24" x14ac:dyDescent="0.25">
      <c r="V294">
        <v>292</v>
      </c>
      <c r="W294" s="6">
        <v>13203</v>
      </c>
      <c r="X294" t="s">
        <v>431</v>
      </c>
    </row>
    <row r="295" spans="22:24" x14ac:dyDescent="0.25">
      <c r="V295">
        <v>293</v>
      </c>
      <c r="W295" s="6">
        <v>13301</v>
      </c>
      <c r="X295" t="s">
        <v>300</v>
      </c>
    </row>
    <row r="296" spans="22:24" x14ac:dyDescent="0.25">
      <c r="V296">
        <v>294</v>
      </c>
      <c r="W296" s="6">
        <v>13302</v>
      </c>
      <c r="X296" t="s">
        <v>301</v>
      </c>
    </row>
    <row r="297" spans="22:24" x14ac:dyDescent="0.25">
      <c r="V297">
        <v>295</v>
      </c>
      <c r="W297" s="6">
        <v>13303</v>
      </c>
      <c r="X297" t="s">
        <v>302</v>
      </c>
    </row>
    <row r="298" spans="22:24" x14ac:dyDescent="0.25">
      <c r="V298">
        <v>296</v>
      </c>
      <c r="W298" s="6">
        <v>13401</v>
      </c>
      <c r="X298" t="s">
        <v>305</v>
      </c>
    </row>
    <row r="299" spans="22:24" x14ac:dyDescent="0.25">
      <c r="V299">
        <v>297</v>
      </c>
      <c r="W299" s="6">
        <v>13402</v>
      </c>
      <c r="X299" t="s">
        <v>307</v>
      </c>
    </row>
    <row r="300" spans="22:24" x14ac:dyDescent="0.25">
      <c r="V300">
        <v>298</v>
      </c>
      <c r="W300" s="6">
        <v>13403</v>
      </c>
      <c r="X300" t="s">
        <v>306</v>
      </c>
    </row>
    <row r="301" spans="22:24" x14ac:dyDescent="0.25">
      <c r="V301">
        <v>299</v>
      </c>
      <c r="W301" s="6">
        <v>13404</v>
      </c>
      <c r="X301" t="s">
        <v>308</v>
      </c>
    </row>
    <row r="302" spans="22:24" x14ac:dyDescent="0.25">
      <c r="V302">
        <v>300</v>
      </c>
      <c r="W302" s="6">
        <v>13501</v>
      </c>
      <c r="X302" t="s">
        <v>314</v>
      </c>
    </row>
    <row r="303" spans="22:24" x14ac:dyDescent="0.25">
      <c r="V303">
        <v>301</v>
      </c>
      <c r="W303" s="6">
        <v>13502</v>
      </c>
      <c r="X303" t="s">
        <v>432</v>
      </c>
    </row>
    <row r="304" spans="22:24" x14ac:dyDescent="0.25">
      <c r="V304">
        <v>302</v>
      </c>
      <c r="W304" s="6">
        <v>13503</v>
      </c>
      <c r="X304" t="s">
        <v>433</v>
      </c>
    </row>
    <row r="305" spans="22:24" x14ac:dyDescent="0.25">
      <c r="V305">
        <v>303</v>
      </c>
      <c r="W305" s="6">
        <v>13504</v>
      </c>
      <c r="X305" t="s">
        <v>434</v>
      </c>
    </row>
    <row r="306" spans="22:24" x14ac:dyDescent="0.25">
      <c r="V306">
        <v>304</v>
      </c>
      <c r="W306" s="6">
        <v>13505</v>
      </c>
      <c r="X306" t="s">
        <v>315</v>
      </c>
    </row>
    <row r="307" spans="22:24" x14ac:dyDescent="0.25">
      <c r="V307">
        <v>305</v>
      </c>
      <c r="W307" s="6">
        <v>13601</v>
      </c>
      <c r="X307" t="s">
        <v>309</v>
      </c>
    </row>
    <row r="308" spans="22:24" x14ac:dyDescent="0.25">
      <c r="V308">
        <v>306</v>
      </c>
      <c r="W308" s="6">
        <v>13602</v>
      </c>
      <c r="X308" t="s">
        <v>311</v>
      </c>
    </row>
    <row r="309" spans="22:24" x14ac:dyDescent="0.25">
      <c r="V309">
        <v>307</v>
      </c>
      <c r="W309" s="6">
        <v>13603</v>
      </c>
      <c r="X309" t="s">
        <v>310</v>
      </c>
    </row>
    <row r="310" spans="22:24" x14ac:dyDescent="0.25">
      <c r="V310">
        <v>308</v>
      </c>
      <c r="W310" s="6">
        <v>13604</v>
      </c>
      <c r="X310" t="s">
        <v>313</v>
      </c>
    </row>
    <row r="311" spans="22:24" x14ac:dyDescent="0.25">
      <c r="V311">
        <v>309</v>
      </c>
      <c r="W311" s="6">
        <v>13605</v>
      </c>
      <c r="X311" t="s">
        <v>312</v>
      </c>
    </row>
    <row r="312" spans="22:24" x14ac:dyDescent="0.25">
      <c r="V312">
        <v>310</v>
      </c>
      <c r="W312" s="6">
        <v>14101</v>
      </c>
      <c r="X312" t="s">
        <v>232</v>
      </c>
    </row>
    <row r="313" spans="22:24" x14ac:dyDescent="0.25">
      <c r="V313">
        <v>311</v>
      </c>
      <c r="W313" s="6">
        <v>14102</v>
      </c>
      <c r="X313" t="s">
        <v>236</v>
      </c>
    </row>
    <row r="314" spans="22:24" x14ac:dyDescent="0.25">
      <c r="V314">
        <v>312</v>
      </c>
      <c r="W314" s="6">
        <v>14103</v>
      </c>
      <c r="X314" t="s">
        <v>233</v>
      </c>
    </row>
    <row r="315" spans="22:24" x14ac:dyDescent="0.25">
      <c r="V315">
        <v>313</v>
      </c>
      <c r="W315" s="6">
        <v>14104</v>
      </c>
      <c r="X315" t="s">
        <v>234</v>
      </c>
    </row>
    <row r="316" spans="22:24" x14ac:dyDescent="0.25">
      <c r="V316">
        <v>314</v>
      </c>
      <c r="W316" s="6">
        <v>14105</v>
      </c>
      <c r="X316" t="s">
        <v>435</v>
      </c>
    </row>
    <row r="317" spans="22:24" x14ac:dyDescent="0.25">
      <c r="V317">
        <v>315</v>
      </c>
      <c r="W317" s="6">
        <v>14106</v>
      </c>
      <c r="X317" t="s">
        <v>317</v>
      </c>
    </row>
    <row r="318" spans="22:24" x14ac:dyDescent="0.25">
      <c r="V318">
        <v>316</v>
      </c>
      <c r="W318" s="6">
        <v>14107</v>
      </c>
      <c r="X318" t="s">
        <v>238</v>
      </c>
    </row>
    <row r="319" spans="22:24" x14ac:dyDescent="0.25">
      <c r="V319">
        <v>317</v>
      </c>
      <c r="W319" s="6">
        <v>14108</v>
      </c>
      <c r="X319" t="s">
        <v>237</v>
      </c>
    </row>
    <row r="320" spans="22:24" x14ac:dyDescent="0.25">
      <c r="V320">
        <v>318</v>
      </c>
      <c r="W320" s="6">
        <v>14201</v>
      </c>
      <c r="X320" t="s">
        <v>436</v>
      </c>
    </row>
    <row r="321" spans="22:24" x14ac:dyDescent="0.25">
      <c r="V321">
        <v>319</v>
      </c>
      <c r="W321" s="6">
        <v>14202</v>
      </c>
      <c r="X321" t="s">
        <v>235</v>
      </c>
    </row>
    <row r="322" spans="22:24" x14ac:dyDescent="0.25">
      <c r="V322">
        <v>320</v>
      </c>
      <c r="W322" s="6">
        <v>14203</v>
      </c>
      <c r="X322" t="s">
        <v>239</v>
      </c>
    </row>
    <row r="323" spans="22:24" x14ac:dyDescent="0.25">
      <c r="V323">
        <v>321</v>
      </c>
      <c r="W323" s="6">
        <v>14204</v>
      </c>
      <c r="X323" t="s">
        <v>437</v>
      </c>
    </row>
    <row r="324" spans="22:24" x14ac:dyDescent="0.25">
      <c r="V324">
        <v>322</v>
      </c>
      <c r="W324" s="6">
        <v>15101</v>
      </c>
      <c r="X324" t="s">
        <v>52</v>
      </c>
    </row>
    <row r="325" spans="22:24" x14ac:dyDescent="0.25">
      <c r="V325">
        <v>323</v>
      </c>
      <c r="W325" s="6">
        <v>15102</v>
      </c>
      <c r="X325" t="s">
        <v>53</v>
      </c>
    </row>
    <row r="326" spans="22:24" x14ac:dyDescent="0.25">
      <c r="V326">
        <v>324</v>
      </c>
      <c r="W326" s="6">
        <v>15201</v>
      </c>
      <c r="X326" t="s">
        <v>61</v>
      </c>
    </row>
    <row r="327" spans="22:24" x14ac:dyDescent="0.25">
      <c r="V327">
        <v>325</v>
      </c>
      <c r="W327" s="6">
        <v>15202</v>
      </c>
      <c r="X327" t="s">
        <v>62</v>
      </c>
    </row>
    <row r="328" spans="22:24" x14ac:dyDescent="0.25">
      <c r="V328">
        <v>326</v>
      </c>
      <c r="W328" s="6">
        <v>16101</v>
      </c>
      <c r="X328" t="s">
        <v>401</v>
      </c>
    </row>
    <row r="329" spans="22:24" x14ac:dyDescent="0.25">
      <c r="V329">
        <v>327</v>
      </c>
      <c r="W329" s="6">
        <v>16102</v>
      </c>
      <c r="X329" t="s">
        <v>177</v>
      </c>
    </row>
    <row r="330" spans="22:24" x14ac:dyDescent="0.25">
      <c r="V330">
        <v>328</v>
      </c>
      <c r="W330" s="6">
        <v>16103</v>
      </c>
      <c r="X330" t="s">
        <v>402</v>
      </c>
    </row>
    <row r="331" spans="22:24" x14ac:dyDescent="0.25">
      <c r="V331">
        <v>329</v>
      </c>
      <c r="W331" s="6">
        <v>16104</v>
      </c>
      <c r="X331" t="s">
        <v>181</v>
      </c>
    </row>
    <row r="332" spans="22:24" x14ac:dyDescent="0.25">
      <c r="V332">
        <v>330</v>
      </c>
      <c r="W332" s="6">
        <v>16105</v>
      </c>
      <c r="X332" t="s">
        <v>180</v>
      </c>
    </row>
    <row r="333" spans="22:24" x14ac:dyDescent="0.25">
      <c r="V333">
        <v>331</v>
      </c>
      <c r="W333" s="6">
        <v>16106</v>
      </c>
      <c r="X333" t="s">
        <v>169</v>
      </c>
    </row>
    <row r="334" spans="22:24" x14ac:dyDescent="0.25">
      <c r="V334">
        <v>332</v>
      </c>
      <c r="W334" s="6">
        <v>16107</v>
      </c>
      <c r="X334" t="s">
        <v>404</v>
      </c>
    </row>
    <row r="335" spans="22:24" x14ac:dyDescent="0.25">
      <c r="V335">
        <v>333</v>
      </c>
      <c r="W335" s="6">
        <v>16108</v>
      </c>
      <c r="X335" t="s">
        <v>178</v>
      </c>
    </row>
    <row r="336" spans="22:24" x14ac:dyDescent="0.25">
      <c r="V336">
        <v>334</v>
      </c>
      <c r="W336" s="6">
        <v>16109</v>
      </c>
      <c r="X336" t="s">
        <v>179</v>
      </c>
    </row>
    <row r="337" spans="22:24" x14ac:dyDescent="0.25">
      <c r="V337">
        <v>335</v>
      </c>
      <c r="W337" s="6">
        <v>16201</v>
      </c>
      <c r="X337" t="s">
        <v>171</v>
      </c>
    </row>
    <row r="338" spans="22:24" x14ac:dyDescent="0.25">
      <c r="V338">
        <v>336</v>
      </c>
      <c r="W338" s="6">
        <v>16202</v>
      </c>
      <c r="X338" t="s">
        <v>174</v>
      </c>
    </row>
    <row r="339" spans="22:24" x14ac:dyDescent="0.25">
      <c r="V339">
        <v>337</v>
      </c>
      <c r="W339" s="6">
        <v>16203</v>
      </c>
      <c r="X339" t="s">
        <v>182</v>
      </c>
    </row>
    <row r="340" spans="22:24" x14ac:dyDescent="0.25">
      <c r="V340">
        <v>338</v>
      </c>
      <c r="W340" s="6">
        <v>16204</v>
      </c>
      <c r="X340" t="s">
        <v>172</v>
      </c>
    </row>
    <row r="341" spans="22:24" x14ac:dyDescent="0.25">
      <c r="V341">
        <v>339</v>
      </c>
      <c r="W341" s="6">
        <v>16205</v>
      </c>
      <c r="X341" t="s">
        <v>173</v>
      </c>
    </row>
    <row r="342" spans="22:24" x14ac:dyDescent="0.25">
      <c r="V342">
        <v>340</v>
      </c>
      <c r="W342" s="6">
        <v>16206</v>
      </c>
      <c r="X342" t="s">
        <v>33</v>
      </c>
    </row>
    <row r="343" spans="22:24" x14ac:dyDescent="0.25">
      <c r="V343">
        <v>341</v>
      </c>
      <c r="W343" s="6">
        <v>16207</v>
      </c>
      <c r="X343" t="s">
        <v>175</v>
      </c>
    </row>
    <row r="344" spans="22:24" x14ac:dyDescent="0.25">
      <c r="V344">
        <v>342</v>
      </c>
      <c r="W344" s="6">
        <v>16301</v>
      </c>
      <c r="X344" t="s">
        <v>176</v>
      </c>
    </row>
    <row r="345" spans="22:24" x14ac:dyDescent="0.25">
      <c r="V345">
        <v>343</v>
      </c>
      <c r="W345" s="6">
        <v>16302</v>
      </c>
      <c r="X345" t="s">
        <v>170</v>
      </c>
    </row>
    <row r="346" spans="22:24" x14ac:dyDescent="0.25">
      <c r="V346">
        <v>344</v>
      </c>
      <c r="W346" s="6">
        <v>16303</v>
      </c>
      <c r="X346" t="s">
        <v>403</v>
      </c>
    </row>
    <row r="347" spans="22:24" x14ac:dyDescent="0.25">
      <c r="V347">
        <v>345</v>
      </c>
      <c r="W347" s="6">
        <v>16304</v>
      </c>
      <c r="X347" t="s">
        <v>405</v>
      </c>
    </row>
    <row r="348" spans="22:24" x14ac:dyDescent="0.25">
      <c r="V348">
        <v>346</v>
      </c>
      <c r="W348" s="6">
        <v>16305</v>
      </c>
      <c r="X348" t="s">
        <v>406</v>
      </c>
    </row>
    <row r="349" spans="22:24" x14ac:dyDescent="0.25">
      <c r="V349">
        <v>347</v>
      </c>
      <c r="W349" s="6">
        <v>99999</v>
      </c>
      <c r="X349" t="s">
        <v>582</v>
      </c>
    </row>
  </sheetData>
  <sheetProtection formatCells="0" formatColumns="0" formatRows="0" insertColumns="0" insertRows="0" insertHyperlinks="0" deleteColumns="0" deleteRows="0" sort="0" autoFilter="0" pivotTables="0"/>
  <mergeCells count="11">
    <mergeCell ref="K59:Q59"/>
    <mergeCell ref="K58:Q58"/>
    <mergeCell ref="C1:D1"/>
    <mergeCell ref="M13:O13"/>
    <mergeCell ref="M18:O18"/>
    <mergeCell ref="M19:O19"/>
    <mergeCell ref="L7:P7"/>
    <mergeCell ref="L8:P8"/>
    <mergeCell ref="M14:O15"/>
    <mergeCell ref="P14:P15"/>
    <mergeCell ref="M16:O16"/>
  </mergeCells>
  <conditionalFormatting sqref="M14:P16">
    <cfRule type="expression" dxfId="17" priority="2">
      <formula>$S$2=48</formula>
    </cfRule>
  </conditionalFormatting>
  <conditionalFormatting sqref="O24">
    <cfRule type="expression" dxfId="16" priority="1">
      <formula>$S$2=48</formula>
    </cfRule>
  </conditionalFormatting>
  <pageMargins left="0.62992125984251968" right="0.23622047244094491" top="0.74803149606299213" bottom="0.74803149606299213" header="0.31496062992125984" footer="0.31496062992125984"/>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4">
    <tabColor theme="2" tint="-0.499984740745262"/>
  </sheetPr>
  <dimension ref="A1:AC347"/>
  <sheetViews>
    <sheetView showOutlineSymbols="0" showWhiteSpace="0" workbookViewId="0">
      <selection sqref="A1:XFD1048576"/>
    </sheetView>
  </sheetViews>
  <sheetFormatPr baseColWidth="10" defaultRowHeight="3" customHeight="1" x14ac:dyDescent="0.25"/>
  <cols>
    <col min="2" max="2" width="35.140625" customWidth="1"/>
    <col min="3" max="3" width="13.42578125" style="31" hidden="1" customWidth="1"/>
    <col min="4" max="4" width="11.42578125" style="31" hidden="1" customWidth="1"/>
    <col min="5" max="5" width="13.42578125" style="31" hidden="1" customWidth="1"/>
    <col min="6" max="6" width="11.42578125" style="31" hidden="1" customWidth="1"/>
    <col min="7" max="7" width="13.42578125" style="31" hidden="1" customWidth="1"/>
    <col min="8" max="8" width="11.42578125" style="31" hidden="1" customWidth="1"/>
    <col min="9" max="9" width="13.42578125" style="31" hidden="1" customWidth="1"/>
    <col min="10" max="10" width="11.42578125" style="31" hidden="1" customWidth="1"/>
    <col min="11" max="11" width="13.42578125" style="31" hidden="1" customWidth="1"/>
    <col min="12" max="12" width="11.42578125" style="31" hidden="1" customWidth="1"/>
    <col min="13" max="14" width="17.42578125" style="31" hidden="1" customWidth="1"/>
    <col min="15" max="20" width="17.42578125" style="31" customWidth="1"/>
    <col min="21" max="21" width="23.140625" bestFit="1" customWidth="1"/>
    <col min="22" max="22" width="23.5703125" bestFit="1" customWidth="1"/>
    <col min="23" max="24" width="11.85546875" bestFit="1" customWidth="1"/>
    <col min="27" max="27" width="18.28515625" bestFit="1" customWidth="1"/>
    <col min="28" max="29" width="15.140625" style="31" bestFit="1" customWidth="1"/>
    <col min="30" max="30" width="11.85546875" bestFit="1" customWidth="1"/>
  </cols>
  <sheetData>
    <row r="1" spans="1:29" ht="3" customHeight="1" x14ac:dyDescent="0.25">
      <c r="A1" s="73" t="s">
        <v>507</v>
      </c>
      <c r="B1" s="73" t="s">
        <v>544</v>
      </c>
      <c r="C1" s="74" t="s">
        <v>583</v>
      </c>
      <c r="D1" s="74" t="s">
        <v>584</v>
      </c>
      <c r="E1" s="74" t="s">
        <v>585</v>
      </c>
      <c r="F1" s="74" t="s">
        <v>586</v>
      </c>
      <c r="G1" s="74" t="s">
        <v>587</v>
      </c>
      <c r="H1" s="74" t="s">
        <v>588</v>
      </c>
      <c r="I1" s="74" t="s">
        <v>589</v>
      </c>
      <c r="J1" s="74" t="s">
        <v>590</v>
      </c>
      <c r="K1" s="74" t="s">
        <v>591</v>
      </c>
      <c r="L1" s="74" t="s">
        <v>592</v>
      </c>
      <c r="M1" s="74" t="s">
        <v>593</v>
      </c>
      <c r="N1" s="74" t="s">
        <v>594</v>
      </c>
      <c r="O1" s="164" t="s">
        <v>595</v>
      </c>
      <c r="P1" s="164" t="s">
        <v>596</v>
      </c>
      <c r="Q1" s="165" t="s">
        <v>617</v>
      </c>
      <c r="R1" s="165" t="s">
        <v>618</v>
      </c>
      <c r="S1" s="166" t="s">
        <v>685</v>
      </c>
      <c r="T1" s="166" t="s">
        <v>686</v>
      </c>
      <c r="U1" s="165" t="s">
        <v>1127</v>
      </c>
      <c r="V1" s="165" t="s">
        <v>1128</v>
      </c>
      <c r="Z1" s="6"/>
      <c r="AA1" s="6"/>
      <c r="AB1" s="126"/>
      <c r="AC1" s="126"/>
    </row>
    <row r="2" spans="1:29" ht="3" customHeight="1" x14ac:dyDescent="0.25">
      <c r="A2">
        <v>1101</v>
      </c>
      <c r="B2" t="s">
        <v>54</v>
      </c>
      <c r="C2" s="31">
        <v>0</v>
      </c>
      <c r="D2" s="31">
        <v>3091684.5060000001</v>
      </c>
      <c r="E2" s="31">
        <v>0</v>
      </c>
      <c r="F2" s="31">
        <v>3257414.969</v>
      </c>
      <c r="G2" s="31">
        <v>0</v>
      </c>
      <c r="H2" s="31">
        <v>3591125.68</v>
      </c>
      <c r="I2" s="31">
        <v>0</v>
      </c>
      <c r="J2" s="31">
        <v>3842649.7220000001</v>
      </c>
      <c r="K2" s="31">
        <v>0</v>
      </c>
      <c r="L2" s="31">
        <v>3874881.0210000002</v>
      </c>
      <c r="M2" s="31">
        <v>0</v>
      </c>
      <c r="N2" s="31">
        <v>4344322.6660000002</v>
      </c>
      <c r="O2" s="31">
        <v>0</v>
      </c>
      <c r="P2" s="31">
        <v>4899219.9029999999</v>
      </c>
      <c r="Q2" s="31">
        <v>0</v>
      </c>
      <c r="R2" s="31">
        <v>6305296.4670000002</v>
      </c>
      <c r="S2" s="31">
        <v>0</v>
      </c>
      <c r="T2" s="31">
        <v>7042583.4210000001</v>
      </c>
      <c r="U2" s="38">
        <v>0</v>
      </c>
      <c r="V2" s="38">
        <v>7548535.6720000003</v>
      </c>
    </row>
    <row r="3" spans="1:29" ht="3" customHeight="1" x14ac:dyDescent="0.25">
      <c r="A3">
        <v>1107</v>
      </c>
      <c r="B3" t="s">
        <v>60</v>
      </c>
      <c r="C3" s="31">
        <v>0</v>
      </c>
      <c r="D3" s="31">
        <v>6523586.5930000003</v>
      </c>
      <c r="E3" s="31">
        <v>0</v>
      </c>
      <c r="F3" s="31">
        <v>6873284.21</v>
      </c>
      <c r="G3" s="31">
        <v>0</v>
      </c>
      <c r="H3" s="31">
        <v>7273861.5</v>
      </c>
      <c r="I3" s="31">
        <v>0</v>
      </c>
      <c r="J3" s="31">
        <v>7998177.6840000004</v>
      </c>
      <c r="K3" s="31">
        <v>0</v>
      </c>
      <c r="L3" s="31">
        <v>8159259.5039999997</v>
      </c>
      <c r="M3" s="31">
        <v>0</v>
      </c>
      <c r="N3" s="31">
        <v>9149768.9690000005</v>
      </c>
      <c r="O3" s="31">
        <v>0</v>
      </c>
      <c r="P3" s="31">
        <v>12706869.592</v>
      </c>
      <c r="Q3" s="31">
        <v>0</v>
      </c>
      <c r="R3" s="31">
        <v>16489485.563999999</v>
      </c>
      <c r="S3" s="31">
        <v>0</v>
      </c>
      <c r="T3" s="31">
        <v>18343696.063999999</v>
      </c>
      <c r="U3" s="38">
        <v>0</v>
      </c>
      <c r="V3" s="38">
        <v>19513718.671</v>
      </c>
      <c r="Y3" s="38"/>
      <c r="Z3" s="38"/>
      <c r="AA3" s="38"/>
    </row>
    <row r="4" spans="1:29" ht="3" customHeight="1" x14ac:dyDescent="0.25">
      <c r="A4">
        <v>1401</v>
      </c>
      <c r="B4" t="s">
        <v>56</v>
      </c>
      <c r="C4" s="31">
        <v>0</v>
      </c>
      <c r="D4" s="31">
        <v>1611350.138</v>
      </c>
      <c r="E4" s="31">
        <v>0</v>
      </c>
      <c r="F4" s="31">
        <v>1776593.432</v>
      </c>
      <c r="G4" s="31">
        <v>0</v>
      </c>
      <c r="H4" s="31">
        <v>1948320.2039999999</v>
      </c>
      <c r="I4" s="31">
        <v>0</v>
      </c>
      <c r="J4" s="31">
        <v>2358566.801</v>
      </c>
      <c r="K4" s="31">
        <v>0</v>
      </c>
      <c r="L4" s="31">
        <v>2396491.9449999998</v>
      </c>
      <c r="M4" s="31">
        <v>0</v>
      </c>
      <c r="N4" s="31">
        <v>2688068.62</v>
      </c>
      <c r="O4" s="31">
        <v>0</v>
      </c>
      <c r="P4" s="31">
        <v>3098541.0819999999</v>
      </c>
      <c r="Q4" s="31">
        <v>0</v>
      </c>
      <c r="R4" s="31">
        <v>3556060.9670000002</v>
      </c>
      <c r="S4" s="31">
        <v>0</v>
      </c>
      <c r="T4" s="31">
        <v>3876729.787</v>
      </c>
      <c r="U4" s="38">
        <v>0</v>
      </c>
      <c r="V4" s="38">
        <v>4145851.0440000002</v>
      </c>
      <c r="Y4" s="38"/>
      <c r="Z4" s="38"/>
      <c r="AA4" s="38"/>
    </row>
    <row r="5" spans="1:29" ht="3" customHeight="1" x14ac:dyDescent="0.25">
      <c r="A5">
        <v>1402</v>
      </c>
      <c r="B5" t="s">
        <v>58</v>
      </c>
      <c r="C5" s="31">
        <v>0</v>
      </c>
      <c r="D5" s="31">
        <v>1461864.706</v>
      </c>
      <c r="E5" s="31">
        <v>0</v>
      </c>
      <c r="F5" s="31">
        <v>1540228.575</v>
      </c>
      <c r="G5" s="31">
        <v>0</v>
      </c>
      <c r="H5" s="31">
        <v>1633638.7830000001</v>
      </c>
      <c r="I5" s="31">
        <v>0</v>
      </c>
      <c r="J5" s="31">
        <v>1748059.7080000001</v>
      </c>
      <c r="K5" s="31">
        <v>0</v>
      </c>
      <c r="L5" s="31">
        <v>1762721.9509999999</v>
      </c>
      <c r="M5" s="31">
        <v>0</v>
      </c>
      <c r="N5" s="31">
        <v>1976275.922</v>
      </c>
      <c r="O5" s="31">
        <v>0</v>
      </c>
      <c r="P5" s="31">
        <v>2228704.716</v>
      </c>
      <c r="Q5" s="31">
        <v>0</v>
      </c>
      <c r="R5" s="31">
        <v>2416319.4700000002</v>
      </c>
      <c r="S5" s="31">
        <v>0</v>
      </c>
      <c r="T5" s="31">
        <v>2498460.102</v>
      </c>
      <c r="U5" s="38">
        <v>0</v>
      </c>
      <c r="V5" s="38">
        <v>2593753.4330000002</v>
      </c>
      <c r="Y5" s="38"/>
      <c r="Z5" s="38"/>
      <c r="AA5" s="38"/>
    </row>
    <row r="6" spans="1:29" ht="3" customHeight="1" x14ac:dyDescent="0.25">
      <c r="A6">
        <v>1403</v>
      </c>
      <c r="B6" t="s">
        <v>59</v>
      </c>
      <c r="C6" s="31">
        <v>0</v>
      </c>
      <c r="D6" s="31">
        <v>1022865.7340000001</v>
      </c>
      <c r="E6" s="31">
        <v>0</v>
      </c>
      <c r="F6" s="31">
        <v>1077696.25</v>
      </c>
      <c r="G6" s="31">
        <v>0</v>
      </c>
      <c r="H6" s="31">
        <v>1157758.4609999999</v>
      </c>
      <c r="I6" s="31">
        <v>0</v>
      </c>
      <c r="J6" s="31">
        <v>1248985.294</v>
      </c>
      <c r="K6" s="31">
        <v>0</v>
      </c>
      <c r="L6" s="31">
        <v>1259461.5179999999</v>
      </c>
      <c r="M6" s="31">
        <v>0</v>
      </c>
      <c r="N6" s="31">
        <v>1412081.226</v>
      </c>
      <c r="O6" s="31">
        <v>0</v>
      </c>
      <c r="P6" s="31">
        <v>1614765.574</v>
      </c>
      <c r="Q6" s="31">
        <v>0</v>
      </c>
      <c r="R6" s="31">
        <v>1828852.206</v>
      </c>
      <c r="S6" s="31">
        <v>0</v>
      </c>
      <c r="T6" s="31">
        <v>1972637.115</v>
      </c>
      <c r="U6" s="38">
        <v>0</v>
      </c>
      <c r="V6" s="38">
        <v>2264832.7960000001</v>
      </c>
    </row>
    <row r="7" spans="1:29" ht="3" customHeight="1" x14ac:dyDescent="0.25">
      <c r="A7">
        <v>1404</v>
      </c>
      <c r="B7" t="s">
        <v>57</v>
      </c>
      <c r="C7" s="31">
        <v>0</v>
      </c>
      <c r="D7" s="31">
        <v>1239362.575</v>
      </c>
      <c r="E7" s="31">
        <v>0</v>
      </c>
      <c r="F7" s="31">
        <v>1332312.291</v>
      </c>
      <c r="G7" s="31">
        <v>0</v>
      </c>
      <c r="H7" s="31">
        <v>1456626.2080000001</v>
      </c>
      <c r="I7" s="31">
        <v>0</v>
      </c>
      <c r="J7" s="31">
        <v>1593838.6950000001</v>
      </c>
      <c r="K7" s="31">
        <v>0</v>
      </c>
      <c r="L7" s="31">
        <v>1616723.925</v>
      </c>
      <c r="M7" s="31">
        <v>0</v>
      </c>
      <c r="N7" s="31">
        <v>1812813.2409999999</v>
      </c>
      <c r="O7" s="31">
        <v>0</v>
      </c>
      <c r="P7" s="31">
        <v>2169136.622</v>
      </c>
      <c r="Q7" s="31">
        <v>0</v>
      </c>
      <c r="R7" s="31">
        <v>2523833.7480000001</v>
      </c>
      <c r="S7" s="31">
        <v>0</v>
      </c>
      <c r="T7" s="31">
        <v>2758937.4</v>
      </c>
      <c r="U7" s="38">
        <v>0</v>
      </c>
      <c r="V7" s="38">
        <v>3271722.463</v>
      </c>
    </row>
    <row r="8" spans="1:29" ht="3" customHeight="1" x14ac:dyDescent="0.25">
      <c r="A8">
        <v>1405</v>
      </c>
      <c r="B8" t="s">
        <v>55</v>
      </c>
      <c r="C8" s="31">
        <v>0</v>
      </c>
      <c r="D8" s="31">
        <v>1105936.068</v>
      </c>
      <c r="E8" s="31">
        <v>0</v>
      </c>
      <c r="F8" s="31">
        <v>1183252.452</v>
      </c>
      <c r="G8" s="31">
        <v>0</v>
      </c>
      <c r="H8" s="31">
        <v>1296642.577</v>
      </c>
      <c r="I8" s="31">
        <v>0</v>
      </c>
      <c r="J8" s="31">
        <v>1409158.9080000001</v>
      </c>
      <c r="K8" s="31">
        <v>0</v>
      </c>
      <c r="L8" s="31">
        <v>1426596.4809999999</v>
      </c>
      <c r="M8" s="31">
        <v>0</v>
      </c>
      <c r="N8" s="31">
        <v>1599553.2390000001</v>
      </c>
      <c r="O8" s="31">
        <v>0</v>
      </c>
      <c r="P8" s="31">
        <v>1890954.7220000001</v>
      </c>
      <c r="Q8" s="31">
        <v>0</v>
      </c>
      <c r="R8" s="31">
        <v>2210989.2999999998</v>
      </c>
      <c r="S8" s="31">
        <v>0</v>
      </c>
      <c r="T8" s="31">
        <v>2423232.9160000002</v>
      </c>
      <c r="U8" s="38">
        <v>0</v>
      </c>
      <c r="V8" s="38">
        <v>3581801.2829999998</v>
      </c>
    </row>
    <row r="9" spans="1:29" ht="3" customHeight="1" x14ac:dyDescent="0.25">
      <c r="A9">
        <v>2101</v>
      </c>
      <c r="B9" t="s">
        <v>64</v>
      </c>
      <c r="C9" s="31">
        <v>0</v>
      </c>
      <c r="D9" s="31">
        <v>7318407.7570000002</v>
      </c>
      <c r="E9" s="31">
        <v>0</v>
      </c>
      <c r="F9" s="31">
        <v>7710711.6310000001</v>
      </c>
      <c r="G9" s="31">
        <v>0</v>
      </c>
      <c r="H9" s="31">
        <v>8574176.3739999998</v>
      </c>
      <c r="I9" s="31">
        <v>0</v>
      </c>
      <c r="J9" s="31">
        <v>9174713.0470000003</v>
      </c>
      <c r="K9" s="31">
        <v>0</v>
      </c>
      <c r="L9" s="31">
        <v>9251667.9979999997</v>
      </c>
      <c r="M9" s="31">
        <v>0</v>
      </c>
      <c r="N9" s="31">
        <v>10372505.323000001</v>
      </c>
      <c r="O9" s="31">
        <v>0</v>
      </c>
      <c r="P9" s="31">
        <v>11697376.751</v>
      </c>
      <c r="Q9" s="31">
        <v>0</v>
      </c>
      <c r="R9" s="31">
        <v>14411956.297</v>
      </c>
      <c r="S9" s="31">
        <v>0</v>
      </c>
      <c r="T9" s="31">
        <v>18468262.109999999</v>
      </c>
      <c r="U9" s="38">
        <v>0</v>
      </c>
      <c r="V9" s="38">
        <v>21737559.677000001</v>
      </c>
    </row>
    <row r="10" spans="1:29" ht="3" customHeight="1" x14ac:dyDescent="0.25">
      <c r="A10">
        <v>2102</v>
      </c>
      <c r="B10" t="s">
        <v>66</v>
      </c>
      <c r="C10" s="31">
        <v>0</v>
      </c>
      <c r="D10" s="31">
        <v>1122567.3489999999</v>
      </c>
      <c r="E10" s="31">
        <v>0</v>
      </c>
      <c r="F10" s="31">
        <v>1211837.642</v>
      </c>
      <c r="G10" s="31">
        <v>0</v>
      </c>
      <c r="H10" s="31">
        <v>1339797.7520000001</v>
      </c>
      <c r="I10" s="31">
        <v>0</v>
      </c>
      <c r="J10" s="31">
        <v>1462069.4920000001</v>
      </c>
      <c r="K10" s="31">
        <v>0</v>
      </c>
      <c r="L10" s="31">
        <v>1487331.5789999999</v>
      </c>
      <c r="M10" s="31">
        <v>0</v>
      </c>
      <c r="N10" s="31">
        <v>1667832.55</v>
      </c>
      <c r="O10" s="31">
        <v>0</v>
      </c>
      <c r="P10" s="31">
        <v>2038533.655</v>
      </c>
      <c r="Q10" s="31">
        <v>0</v>
      </c>
      <c r="R10" s="31">
        <v>2469721.4330000002</v>
      </c>
      <c r="S10" s="31">
        <v>0</v>
      </c>
      <c r="T10" s="31">
        <v>2759543.088</v>
      </c>
      <c r="U10" s="38">
        <v>0</v>
      </c>
      <c r="V10" s="38">
        <v>2903065.5240000002</v>
      </c>
    </row>
    <row r="11" spans="1:29" ht="3" customHeight="1" x14ac:dyDescent="0.25">
      <c r="A11">
        <v>2103</v>
      </c>
      <c r="B11" t="s">
        <v>67</v>
      </c>
      <c r="C11" s="31">
        <v>0</v>
      </c>
      <c r="D11" s="31">
        <v>1209258.243</v>
      </c>
      <c r="E11" s="31">
        <v>0</v>
      </c>
      <c r="F11" s="31">
        <v>1274080.057</v>
      </c>
      <c r="G11" s="31">
        <v>0</v>
      </c>
      <c r="H11" s="31">
        <v>1347784.145</v>
      </c>
      <c r="I11" s="31">
        <v>0</v>
      </c>
      <c r="J11" s="31">
        <v>1442183.0930000001</v>
      </c>
      <c r="K11" s="31">
        <v>0</v>
      </c>
      <c r="L11" s="31">
        <v>1454279.4609999999</v>
      </c>
      <c r="M11" s="31">
        <v>0</v>
      </c>
      <c r="N11" s="31">
        <v>1630464.5549999999</v>
      </c>
      <c r="O11" s="31">
        <v>0</v>
      </c>
      <c r="P11" s="31">
        <v>1838722.6740000001</v>
      </c>
      <c r="Q11" s="31">
        <v>0</v>
      </c>
      <c r="R11" s="31">
        <v>1993508.7250000001</v>
      </c>
      <c r="S11" s="31">
        <v>0</v>
      </c>
      <c r="T11" s="31">
        <v>2061277.3870000001</v>
      </c>
      <c r="U11" s="38">
        <v>0</v>
      </c>
      <c r="V11" s="38">
        <v>2097976.4739999999</v>
      </c>
    </row>
    <row r="12" spans="1:29" ht="3" customHeight="1" x14ac:dyDescent="0.25">
      <c r="A12">
        <v>2104</v>
      </c>
      <c r="B12" t="s">
        <v>65</v>
      </c>
      <c r="C12" s="31">
        <v>0</v>
      </c>
      <c r="D12" s="31">
        <v>1456787.338</v>
      </c>
      <c r="E12" s="31">
        <v>0</v>
      </c>
      <c r="F12" s="31">
        <v>1534878.2080000001</v>
      </c>
      <c r="G12" s="31">
        <v>0</v>
      </c>
      <c r="H12" s="31">
        <v>1631512.432</v>
      </c>
      <c r="I12" s="31">
        <v>0</v>
      </c>
      <c r="J12" s="31">
        <v>1745783.888</v>
      </c>
      <c r="K12" s="31">
        <v>0</v>
      </c>
      <c r="L12" s="31">
        <v>1760427.0730000001</v>
      </c>
      <c r="M12" s="31">
        <v>0</v>
      </c>
      <c r="N12" s="31">
        <v>1973702.8770000001</v>
      </c>
      <c r="O12" s="31">
        <v>0</v>
      </c>
      <c r="P12" s="31">
        <v>2225802.7609999999</v>
      </c>
      <c r="Q12" s="31">
        <v>0</v>
      </c>
      <c r="R12" s="31">
        <v>2509471.0860000001</v>
      </c>
      <c r="S12" s="31">
        <v>0</v>
      </c>
      <c r="T12" s="31">
        <v>2709399.5350000001</v>
      </c>
      <c r="U12" s="38">
        <v>0</v>
      </c>
      <c r="V12" s="38">
        <v>3078758.915</v>
      </c>
    </row>
    <row r="13" spans="1:29" ht="3" customHeight="1" x14ac:dyDescent="0.25">
      <c r="A13">
        <v>2201</v>
      </c>
      <c r="B13" t="s">
        <v>68</v>
      </c>
      <c r="C13" s="31">
        <v>0</v>
      </c>
      <c r="D13" s="31">
        <v>4473657.7829999998</v>
      </c>
      <c r="E13" s="31">
        <v>0</v>
      </c>
      <c r="F13" s="31">
        <v>4713468.4780000001</v>
      </c>
      <c r="G13" s="31">
        <v>0</v>
      </c>
      <c r="H13" s="31">
        <v>5245268.2989999996</v>
      </c>
      <c r="I13" s="31">
        <v>0</v>
      </c>
      <c r="J13" s="31">
        <v>5612647.3710000003</v>
      </c>
      <c r="K13" s="31">
        <v>0</v>
      </c>
      <c r="L13" s="31">
        <v>5659723.7400000002</v>
      </c>
      <c r="M13" s="31">
        <v>0</v>
      </c>
      <c r="N13" s="31">
        <v>6345398.4460000005</v>
      </c>
      <c r="O13" s="31">
        <v>0</v>
      </c>
      <c r="P13" s="31">
        <v>7561923.6260000002</v>
      </c>
      <c r="Q13" s="31">
        <v>0</v>
      </c>
      <c r="R13" s="31">
        <v>10418693.447000001</v>
      </c>
      <c r="S13" s="31">
        <v>0</v>
      </c>
      <c r="T13" s="31">
        <v>11951375.767999999</v>
      </c>
      <c r="U13" s="38">
        <v>0</v>
      </c>
      <c r="V13" s="38">
        <v>13988822.637</v>
      </c>
    </row>
    <row r="14" spans="1:29" ht="3" customHeight="1" x14ac:dyDescent="0.25">
      <c r="A14">
        <v>2202</v>
      </c>
      <c r="B14" t="s">
        <v>27</v>
      </c>
      <c r="C14" s="31">
        <v>0</v>
      </c>
      <c r="D14" s="31">
        <v>1267105.2779999999</v>
      </c>
      <c r="E14" s="31">
        <v>0</v>
      </c>
      <c r="F14" s="31">
        <v>1335027.7120000001</v>
      </c>
      <c r="G14" s="31">
        <v>0</v>
      </c>
      <c r="H14" s="31">
        <v>1418070.3160000001</v>
      </c>
      <c r="I14" s="31">
        <v>0</v>
      </c>
      <c r="J14" s="31">
        <v>1517392.2279999999</v>
      </c>
      <c r="K14" s="31">
        <v>0</v>
      </c>
      <c r="L14" s="31">
        <v>1530119.754</v>
      </c>
      <c r="M14" s="31">
        <v>0</v>
      </c>
      <c r="N14" s="31">
        <v>1715493.2860000001</v>
      </c>
      <c r="O14" s="31">
        <v>0</v>
      </c>
      <c r="P14" s="31">
        <v>1934611.4129999999</v>
      </c>
      <c r="Q14" s="31">
        <v>0</v>
      </c>
      <c r="R14" s="31">
        <v>2097468.3930000002</v>
      </c>
      <c r="S14" s="31">
        <v>0</v>
      </c>
      <c r="T14" s="31">
        <v>2168769.9679999999</v>
      </c>
      <c r="U14" s="38">
        <v>0</v>
      </c>
      <c r="V14" s="38">
        <v>2189057.6719999998</v>
      </c>
    </row>
    <row r="15" spans="1:29" ht="3" customHeight="1" x14ac:dyDescent="0.25">
      <c r="A15">
        <v>2203</v>
      </c>
      <c r="B15" t="s">
        <v>69</v>
      </c>
      <c r="C15" s="31">
        <v>0</v>
      </c>
      <c r="D15" s="31">
        <v>2483891.1340000001</v>
      </c>
      <c r="E15" s="31">
        <v>0</v>
      </c>
      <c r="F15" s="31">
        <v>3020659.4049999998</v>
      </c>
      <c r="G15" s="31">
        <v>0</v>
      </c>
      <c r="H15" s="31">
        <v>3924393.9079999998</v>
      </c>
      <c r="I15" s="31">
        <v>0</v>
      </c>
      <c r="J15" s="31">
        <v>4563433.1689999998</v>
      </c>
      <c r="K15" s="31">
        <v>0</v>
      </c>
      <c r="L15" s="31">
        <v>4712593.5580000002</v>
      </c>
      <c r="M15" s="31">
        <v>0</v>
      </c>
      <c r="N15" s="31">
        <v>5286241.8969999999</v>
      </c>
      <c r="O15" s="31">
        <v>0</v>
      </c>
      <c r="P15" s="31">
        <v>5961449.71</v>
      </c>
      <c r="Q15" s="31">
        <v>0</v>
      </c>
      <c r="R15" s="31">
        <v>6463290.4390000002</v>
      </c>
      <c r="S15" s="31">
        <v>0</v>
      </c>
      <c r="T15" s="31">
        <v>6683005.2939999998</v>
      </c>
      <c r="U15" s="38">
        <v>0</v>
      </c>
      <c r="V15" s="38">
        <v>7737828.6370000001</v>
      </c>
    </row>
    <row r="16" spans="1:29" ht="3" customHeight="1" x14ac:dyDescent="0.25">
      <c r="A16">
        <v>2301</v>
      </c>
      <c r="B16" t="s">
        <v>63</v>
      </c>
      <c r="C16" s="31">
        <v>0</v>
      </c>
      <c r="D16" s="31">
        <v>1975010.2760000001</v>
      </c>
      <c r="E16" s="31">
        <v>0</v>
      </c>
      <c r="F16" s="31">
        <v>2238253.8569999998</v>
      </c>
      <c r="G16" s="31">
        <v>0</v>
      </c>
      <c r="H16" s="31">
        <v>2615827.6919999998</v>
      </c>
      <c r="I16" s="31">
        <v>0</v>
      </c>
      <c r="J16" s="31">
        <v>2905279.5660000001</v>
      </c>
      <c r="K16" s="31">
        <v>0</v>
      </c>
      <c r="L16" s="31">
        <v>2976382.2689999999</v>
      </c>
      <c r="M16" s="31">
        <v>0</v>
      </c>
      <c r="N16" s="31">
        <v>3337697.4279999998</v>
      </c>
      <c r="O16" s="31">
        <v>0</v>
      </c>
      <c r="P16" s="31">
        <v>4246753.9189999998</v>
      </c>
      <c r="Q16" s="31">
        <v>0</v>
      </c>
      <c r="R16" s="31">
        <v>4956290.2340000002</v>
      </c>
      <c r="S16" s="31">
        <v>0</v>
      </c>
      <c r="T16" s="31">
        <v>5676553.6600000001</v>
      </c>
      <c r="U16" s="38">
        <v>0</v>
      </c>
      <c r="V16" s="38">
        <v>6173909.557</v>
      </c>
    </row>
    <row r="17" spans="1:22" ht="3" customHeight="1" x14ac:dyDescent="0.25">
      <c r="A17">
        <v>2302</v>
      </c>
      <c r="B17" t="s">
        <v>374</v>
      </c>
      <c r="C17" s="31">
        <v>0</v>
      </c>
      <c r="D17" s="31">
        <v>821409.32900000003</v>
      </c>
      <c r="E17" s="31">
        <v>0</v>
      </c>
      <c r="F17" s="31">
        <v>889430.16099999996</v>
      </c>
      <c r="G17" s="31">
        <v>0</v>
      </c>
      <c r="H17" s="31">
        <v>1006088.968</v>
      </c>
      <c r="I17" s="31">
        <v>0</v>
      </c>
      <c r="J17" s="31">
        <v>1098891.601</v>
      </c>
      <c r="K17" s="31">
        <v>0</v>
      </c>
      <c r="L17" s="31">
        <v>1113771.7609999999</v>
      </c>
      <c r="M17" s="31">
        <v>0</v>
      </c>
      <c r="N17" s="31">
        <v>1248853.06</v>
      </c>
      <c r="O17" s="31">
        <v>0</v>
      </c>
      <c r="P17" s="31">
        <v>1496046.2579999999</v>
      </c>
      <c r="Q17" s="31">
        <v>0</v>
      </c>
      <c r="R17" s="31">
        <v>1792568.044</v>
      </c>
      <c r="S17" s="31">
        <v>0</v>
      </c>
      <c r="T17" s="31">
        <v>1974218.2339999999</v>
      </c>
      <c r="U17" s="38">
        <v>0</v>
      </c>
      <c r="V17" s="38">
        <v>2045180.247</v>
      </c>
    </row>
    <row r="18" spans="1:22" ht="3" customHeight="1" x14ac:dyDescent="0.25">
      <c r="A18">
        <v>3101</v>
      </c>
      <c r="B18" t="s">
        <v>375</v>
      </c>
      <c r="C18" s="31">
        <v>0</v>
      </c>
      <c r="D18" s="31">
        <v>7487180.8200000003</v>
      </c>
      <c r="E18" s="31">
        <v>0</v>
      </c>
      <c r="F18" s="31">
        <v>7888530.9380000001</v>
      </c>
      <c r="G18" s="31">
        <v>0</v>
      </c>
      <c r="H18" s="31">
        <v>8518466.8090000004</v>
      </c>
      <c r="I18" s="31">
        <v>0</v>
      </c>
      <c r="J18" s="31">
        <v>9115102.5820000004</v>
      </c>
      <c r="K18" s="31">
        <v>0</v>
      </c>
      <c r="L18" s="31">
        <v>9267805.5759999994</v>
      </c>
      <c r="M18" s="31">
        <v>0</v>
      </c>
      <c r="N18" s="31">
        <v>10391075.784</v>
      </c>
      <c r="O18" s="31">
        <v>0</v>
      </c>
      <c r="P18" s="31">
        <v>12278420.619999999</v>
      </c>
      <c r="Q18" s="31">
        <v>0</v>
      </c>
      <c r="R18" s="31">
        <v>15027942.172</v>
      </c>
      <c r="S18" s="31">
        <v>0</v>
      </c>
      <c r="T18" s="31">
        <v>16441420.776000001</v>
      </c>
      <c r="U18" s="38">
        <v>0</v>
      </c>
      <c r="V18" s="38">
        <v>16633220.784</v>
      </c>
    </row>
    <row r="19" spans="1:22" ht="3" customHeight="1" x14ac:dyDescent="0.25">
      <c r="A19">
        <v>3102</v>
      </c>
      <c r="B19" t="s">
        <v>72</v>
      </c>
      <c r="C19" s="31">
        <v>0</v>
      </c>
      <c r="D19" s="31">
        <v>3812974.8659999999</v>
      </c>
      <c r="E19" s="31">
        <v>0</v>
      </c>
      <c r="F19" s="31">
        <v>4436707.2580000004</v>
      </c>
      <c r="G19" s="31">
        <v>0</v>
      </c>
      <c r="H19" s="31">
        <v>5184381.46</v>
      </c>
      <c r="I19" s="31">
        <v>0</v>
      </c>
      <c r="J19" s="31">
        <v>5739234.9179999996</v>
      </c>
      <c r="K19" s="31">
        <v>0</v>
      </c>
      <c r="L19" s="31">
        <v>5856834.2070000004</v>
      </c>
      <c r="M19" s="31">
        <v>0</v>
      </c>
      <c r="N19" s="31">
        <v>6568220.8109999998</v>
      </c>
      <c r="O19" s="31">
        <v>0</v>
      </c>
      <c r="P19" s="31">
        <v>7407174.5939999996</v>
      </c>
      <c r="Q19" s="31">
        <v>0</v>
      </c>
      <c r="R19" s="31">
        <v>8123913.7620000001</v>
      </c>
      <c r="S19" s="31">
        <v>0</v>
      </c>
      <c r="T19" s="31">
        <v>9403813.534</v>
      </c>
      <c r="U19" s="38">
        <v>0</v>
      </c>
      <c r="V19" s="38">
        <v>10056871.369000001</v>
      </c>
    </row>
    <row r="20" spans="1:22" ht="3" customHeight="1" x14ac:dyDescent="0.25">
      <c r="A20">
        <v>3103</v>
      </c>
      <c r="B20" t="s">
        <v>73</v>
      </c>
      <c r="C20" s="31">
        <v>0</v>
      </c>
      <c r="D20" s="31">
        <v>1229582.936</v>
      </c>
      <c r="E20" s="31">
        <v>0</v>
      </c>
      <c r="F20" s="31">
        <v>1295494.2590000001</v>
      </c>
      <c r="G20" s="31">
        <v>0</v>
      </c>
      <c r="H20" s="31">
        <v>1407466.3929999999</v>
      </c>
      <c r="I20" s="31">
        <v>0</v>
      </c>
      <c r="J20" s="31">
        <v>1529718.9609999999</v>
      </c>
      <c r="K20" s="31">
        <v>0</v>
      </c>
      <c r="L20" s="31">
        <v>1554453.4069999999</v>
      </c>
      <c r="M20" s="31">
        <v>0</v>
      </c>
      <c r="N20" s="31">
        <v>1742963.6680000001</v>
      </c>
      <c r="O20" s="31">
        <v>0</v>
      </c>
      <c r="P20" s="31">
        <v>2092356.0390000001</v>
      </c>
      <c r="Q20" s="31">
        <v>0</v>
      </c>
      <c r="R20" s="31">
        <v>2391575.9989999998</v>
      </c>
      <c r="S20" s="31">
        <v>0</v>
      </c>
      <c r="T20" s="31">
        <v>2585015.3560000001</v>
      </c>
      <c r="U20" s="38">
        <v>0</v>
      </c>
      <c r="V20" s="38">
        <v>2685199.1660000002</v>
      </c>
    </row>
    <row r="21" spans="1:22" ht="3" customHeight="1" x14ac:dyDescent="0.25">
      <c r="A21">
        <v>3201</v>
      </c>
      <c r="B21" t="s">
        <v>70</v>
      </c>
      <c r="C21" s="31">
        <v>0</v>
      </c>
      <c r="D21" s="31">
        <v>1629615.148</v>
      </c>
      <c r="E21" s="31">
        <v>0</v>
      </c>
      <c r="F21" s="31">
        <v>1716970.8419999999</v>
      </c>
      <c r="G21" s="31">
        <v>0</v>
      </c>
      <c r="H21" s="31">
        <v>1899963.129</v>
      </c>
      <c r="I21" s="31">
        <v>0</v>
      </c>
      <c r="J21" s="31">
        <v>2040732.9709999999</v>
      </c>
      <c r="K21" s="31">
        <v>0</v>
      </c>
      <c r="L21" s="31">
        <v>2061290.7420000001</v>
      </c>
      <c r="M21" s="31">
        <v>0</v>
      </c>
      <c r="N21" s="31">
        <v>2311016.1120000002</v>
      </c>
      <c r="O21" s="31">
        <v>0</v>
      </c>
      <c r="P21" s="31">
        <v>2606199.9339999999</v>
      </c>
      <c r="Q21" s="31">
        <v>0</v>
      </c>
      <c r="R21" s="31">
        <v>2825592.1379999998</v>
      </c>
      <c r="S21" s="31">
        <v>0</v>
      </c>
      <c r="T21" s="31">
        <v>2931625.85</v>
      </c>
      <c r="U21" s="38">
        <v>0</v>
      </c>
      <c r="V21" s="38">
        <v>3782637.95</v>
      </c>
    </row>
    <row r="22" spans="1:22" ht="3" customHeight="1" x14ac:dyDescent="0.25">
      <c r="A22">
        <v>3202</v>
      </c>
      <c r="B22" t="s">
        <v>71</v>
      </c>
      <c r="C22" s="31">
        <v>0</v>
      </c>
      <c r="D22" s="31">
        <v>1252706.253</v>
      </c>
      <c r="E22" s="31">
        <v>0</v>
      </c>
      <c r="F22" s="31">
        <v>1319857.31</v>
      </c>
      <c r="G22" s="31">
        <v>0</v>
      </c>
      <c r="H22" s="31">
        <v>1424429.9010000001</v>
      </c>
      <c r="I22" s="31">
        <v>0</v>
      </c>
      <c r="J22" s="31">
        <v>1524197.4990000001</v>
      </c>
      <c r="K22" s="31">
        <v>0</v>
      </c>
      <c r="L22" s="31">
        <v>1539812.3540000001</v>
      </c>
      <c r="M22" s="31">
        <v>0</v>
      </c>
      <c r="N22" s="31">
        <v>1726414.8640000001</v>
      </c>
      <c r="O22" s="31">
        <v>0</v>
      </c>
      <c r="P22" s="31">
        <v>2002262.848</v>
      </c>
      <c r="Q22" s="31">
        <v>0</v>
      </c>
      <c r="R22" s="31">
        <v>2272998.3849999998</v>
      </c>
      <c r="S22" s="31">
        <v>0</v>
      </c>
      <c r="T22" s="31">
        <v>2454439.8289999999</v>
      </c>
      <c r="U22" s="38">
        <v>0</v>
      </c>
      <c r="V22" s="38">
        <v>2839952.64</v>
      </c>
    </row>
    <row r="23" spans="1:22" ht="3" customHeight="1" x14ac:dyDescent="0.25">
      <c r="A23">
        <v>3301</v>
      </c>
      <c r="B23" t="s">
        <v>74</v>
      </c>
      <c r="C23" s="31">
        <v>0</v>
      </c>
      <c r="D23" s="31">
        <v>3622792.8820000002</v>
      </c>
      <c r="E23" s="31">
        <v>0</v>
      </c>
      <c r="F23" s="31">
        <v>4082304.9550000001</v>
      </c>
      <c r="G23" s="31">
        <v>0</v>
      </c>
      <c r="H23" s="31">
        <v>4419869.8090000004</v>
      </c>
      <c r="I23" s="31">
        <v>0</v>
      </c>
      <c r="J23" s="31">
        <v>4805356.1670000004</v>
      </c>
      <c r="K23" s="31">
        <v>0</v>
      </c>
      <c r="L23" s="31">
        <v>4869793.4579999996</v>
      </c>
      <c r="M23" s="31">
        <v>0</v>
      </c>
      <c r="N23" s="31">
        <v>5460782.7170000002</v>
      </c>
      <c r="O23" s="31">
        <v>0</v>
      </c>
      <c r="P23" s="31">
        <v>6824225.034</v>
      </c>
      <c r="Q23" s="31">
        <v>0</v>
      </c>
      <c r="R23" s="31">
        <v>8015818.6069999998</v>
      </c>
      <c r="S23" s="31">
        <v>0</v>
      </c>
      <c r="T23" s="31">
        <v>8834996.1009999998</v>
      </c>
      <c r="U23" s="38">
        <v>0</v>
      </c>
      <c r="V23" s="38">
        <v>10180143.745999999</v>
      </c>
    </row>
    <row r="24" spans="1:22" ht="3" customHeight="1" x14ac:dyDescent="0.25">
      <c r="A24">
        <v>3302</v>
      </c>
      <c r="B24" t="s">
        <v>77</v>
      </c>
      <c r="C24" s="31">
        <v>0</v>
      </c>
      <c r="D24" s="31">
        <v>1593824.057</v>
      </c>
      <c r="E24" s="31">
        <v>0</v>
      </c>
      <c r="F24" s="31">
        <v>1679260.523</v>
      </c>
      <c r="G24" s="31">
        <v>0</v>
      </c>
      <c r="H24" s="31">
        <v>1776955.8840000001</v>
      </c>
      <c r="I24" s="31">
        <v>0</v>
      </c>
      <c r="J24" s="31">
        <v>1901414.547</v>
      </c>
      <c r="K24" s="31">
        <v>0</v>
      </c>
      <c r="L24" s="31">
        <v>1917362.7660000001</v>
      </c>
      <c r="M24" s="31">
        <v>0</v>
      </c>
      <c r="N24" s="31">
        <v>2149650.9840000002</v>
      </c>
      <c r="O24" s="31">
        <v>0</v>
      </c>
      <c r="P24" s="31">
        <v>2424223.8289999999</v>
      </c>
      <c r="Q24" s="31">
        <v>0</v>
      </c>
      <c r="R24" s="31">
        <v>2628297.4029999999</v>
      </c>
      <c r="S24" s="31">
        <v>0</v>
      </c>
      <c r="T24" s="31">
        <v>2717643.8829999999</v>
      </c>
      <c r="U24" s="38">
        <v>0</v>
      </c>
      <c r="V24" s="38">
        <v>2886748.9539999999</v>
      </c>
    </row>
    <row r="25" spans="1:22" ht="3" customHeight="1" x14ac:dyDescent="0.25">
      <c r="A25">
        <v>3303</v>
      </c>
      <c r="B25" t="s">
        <v>75</v>
      </c>
      <c r="C25" s="31">
        <v>0</v>
      </c>
      <c r="D25" s="31">
        <v>1281875.192</v>
      </c>
      <c r="E25" s="31">
        <v>0</v>
      </c>
      <c r="F25" s="31">
        <v>1350590.3859999999</v>
      </c>
      <c r="G25" s="31">
        <v>0</v>
      </c>
      <c r="H25" s="31">
        <v>1525263.6470000001</v>
      </c>
      <c r="I25" s="31">
        <v>0</v>
      </c>
      <c r="J25" s="31">
        <v>1638932.6710000001</v>
      </c>
      <c r="K25" s="31">
        <v>0</v>
      </c>
      <c r="L25" s="31">
        <v>1665663.9210000001</v>
      </c>
      <c r="M25" s="31">
        <v>0</v>
      </c>
      <c r="N25" s="31">
        <v>1867777.4110000001</v>
      </c>
      <c r="O25" s="31">
        <v>0</v>
      </c>
      <c r="P25" s="31">
        <v>2277415.193</v>
      </c>
      <c r="Q25" s="31">
        <v>0</v>
      </c>
      <c r="R25" s="31">
        <v>2478329.4849999999</v>
      </c>
      <c r="S25" s="31">
        <v>0</v>
      </c>
      <c r="T25" s="31">
        <v>2644144.5520000001</v>
      </c>
      <c r="U25" s="38">
        <v>0</v>
      </c>
      <c r="V25" s="38">
        <v>2799992.2420000001</v>
      </c>
    </row>
    <row r="26" spans="1:22" ht="3" customHeight="1" x14ac:dyDescent="0.25">
      <c r="A26">
        <v>3304</v>
      </c>
      <c r="B26" t="s">
        <v>76</v>
      </c>
      <c r="C26" s="31">
        <v>0</v>
      </c>
      <c r="D26" s="31">
        <v>1158529.946</v>
      </c>
      <c r="E26" s="31">
        <v>0</v>
      </c>
      <c r="F26" s="31">
        <v>1253557.379</v>
      </c>
      <c r="G26" s="31">
        <v>0</v>
      </c>
      <c r="H26" s="31">
        <v>1453733.7339999999</v>
      </c>
      <c r="I26" s="31">
        <v>0</v>
      </c>
      <c r="J26" s="31">
        <v>1677355.077</v>
      </c>
      <c r="K26" s="31">
        <v>0</v>
      </c>
      <c r="L26" s="31">
        <v>1728940.4879999999</v>
      </c>
      <c r="M26" s="31">
        <v>0</v>
      </c>
      <c r="N26" s="31">
        <v>1939469.963</v>
      </c>
      <c r="O26" s="31">
        <v>0</v>
      </c>
      <c r="P26" s="31">
        <v>2413106.875</v>
      </c>
      <c r="Q26" s="31">
        <v>0</v>
      </c>
      <c r="R26" s="31">
        <v>2744340.051</v>
      </c>
      <c r="S26" s="31">
        <v>0</v>
      </c>
      <c r="T26" s="31">
        <v>3414152.7409999999</v>
      </c>
      <c r="U26" s="38">
        <v>0</v>
      </c>
      <c r="V26" s="38">
        <v>4019100.35</v>
      </c>
    </row>
    <row r="27" spans="1:22" ht="3" customHeight="1" x14ac:dyDescent="0.25">
      <c r="A27">
        <v>4101</v>
      </c>
      <c r="B27" t="s">
        <v>78</v>
      </c>
      <c r="C27" s="31">
        <v>0</v>
      </c>
      <c r="D27" s="31">
        <v>8908772.6539999992</v>
      </c>
      <c r="E27" s="31">
        <v>0</v>
      </c>
      <c r="F27" s="31">
        <v>9386327.2510000002</v>
      </c>
      <c r="G27" s="31">
        <v>0</v>
      </c>
      <c r="H27" s="31">
        <v>10117839.713</v>
      </c>
      <c r="I27" s="31">
        <v>0</v>
      </c>
      <c r="J27" s="31">
        <v>10826495.935000001</v>
      </c>
      <c r="K27" s="31">
        <v>0</v>
      </c>
      <c r="L27" s="31">
        <v>10917306.999</v>
      </c>
      <c r="M27" s="31">
        <v>0</v>
      </c>
      <c r="N27" s="31">
        <v>12239937.067</v>
      </c>
      <c r="O27" s="31">
        <v>0</v>
      </c>
      <c r="P27" s="31">
        <v>13803333.814999999</v>
      </c>
      <c r="Q27" s="31">
        <v>0</v>
      </c>
      <c r="R27" s="31">
        <v>14965312.199999999</v>
      </c>
      <c r="S27" s="31">
        <v>0</v>
      </c>
      <c r="T27" s="31">
        <v>15474048.626</v>
      </c>
      <c r="U27" s="38">
        <v>0</v>
      </c>
      <c r="V27" s="38">
        <v>15618801.604</v>
      </c>
    </row>
    <row r="28" spans="1:22" ht="3" customHeight="1" x14ac:dyDescent="0.25">
      <c r="A28">
        <v>4102</v>
      </c>
      <c r="B28" t="s">
        <v>80</v>
      </c>
      <c r="C28" s="31">
        <v>0</v>
      </c>
      <c r="D28" s="31">
        <v>12525448.926999999</v>
      </c>
      <c r="E28" s="31">
        <v>0</v>
      </c>
      <c r="F28" s="31">
        <v>13323587.248</v>
      </c>
      <c r="G28" s="31">
        <v>0</v>
      </c>
      <c r="H28" s="31">
        <v>15245454.513</v>
      </c>
      <c r="I28" s="31">
        <v>0</v>
      </c>
      <c r="J28" s="31">
        <v>17288987.612</v>
      </c>
      <c r="K28" s="31">
        <v>0</v>
      </c>
      <c r="L28" s="31">
        <v>17692703.318999998</v>
      </c>
      <c r="M28" s="31">
        <v>0</v>
      </c>
      <c r="N28" s="31">
        <v>19841116.989</v>
      </c>
      <c r="O28" s="31">
        <v>0</v>
      </c>
      <c r="P28" s="31">
        <v>25364103.065000001</v>
      </c>
      <c r="Q28" s="31">
        <v>0</v>
      </c>
      <c r="R28" s="31">
        <v>29387027.828000002</v>
      </c>
      <c r="S28" s="31">
        <v>0</v>
      </c>
      <c r="T28" s="31">
        <v>30386022</v>
      </c>
      <c r="U28" s="38">
        <v>0</v>
      </c>
      <c r="V28" s="38">
        <v>31940954.114999998</v>
      </c>
    </row>
    <row r="29" spans="1:22" ht="3" customHeight="1" x14ac:dyDescent="0.25">
      <c r="A29">
        <v>4103</v>
      </c>
      <c r="B29" t="s">
        <v>81</v>
      </c>
      <c r="C29" s="31">
        <v>0</v>
      </c>
      <c r="D29" s="31">
        <v>1358871.433</v>
      </c>
      <c r="E29" s="31">
        <v>0</v>
      </c>
      <c r="F29" s="31">
        <v>1465710.777</v>
      </c>
      <c r="G29" s="31">
        <v>0</v>
      </c>
      <c r="H29" s="31">
        <v>1647943.7069999999</v>
      </c>
      <c r="I29" s="31">
        <v>0</v>
      </c>
      <c r="J29" s="31">
        <v>1827835.7309999999</v>
      </c>
      <c r="K29" s="31">
        <v>0</v>
      </c>
      <c r="L29" s="31">
        <v>1866130.5649999999</v>
      </c>
      <c r="M29" s="31">
        <v>0</v>
      </c>
      <c r="N29" s="31">
        <v>2092954.24</v>
      </c>
      <c r="O29" s="31">
        <v>0</v>
      </c>
      <c r="P29" s="31">
        <v>2627316.5619999999</v>
      </c>
      <c r="Q29" s="31">
        <v>0</v>
      </c>
      <c r="R29" s="31">
        <v>3135196.15</v>
      </c>
      <c r="S29" s="31">
        <v>0</v>
      </c>
      <c r="T29" s="31">
        <v>3470435.696</v>
      </c>
      <c r="U29" s="38">
        <v>0</v>
      </c>
      <c r="V29" s="38">
        <v>3553857.9780000001</v>
      </c>
    </row>
    <row r="30" spans="1:22" ht="3" customHeight="1" x14ac:dyDescent="0.25">
      <c r="A30">
        <v>4104</v>
      </c>
      <c r="B30" t="s">
        <v>79</v>
      </c>
      <c r="C30" s="31">
        <v>0</v>
      </c>
      <c r="D30" s="31">
        <v>1094692.47</v>
      </c>
      <c r="E30" s="31">
        <v>0</v>
      </c>
      <c r="F30" s="31">
        <v>1200812.6740000001</v>
      </c>
      <c r="G30" s="31">
        <v>0</v>
      </c>
      <c r="H30" s="31">
        <v>1426740.919</v>
      </c>
      <c r="I30" s="31">
        <v>0</v>
      </c>
      <c r="J30" s="31">
        <v>1572572.43</v>
      </c>
      <c r="K30" s="31">
        <v>0</v>
      </c>
      <c r="L30" s="31">
        <v>1605118.983</v>
      </c>
      <c r="M30" s="31">
        <v>0</v>
      </c>
      <c r="N30" s="31">
        <v>1800253.115</v>
      </c>
      <c r="O30" s="31">
        <v>0</v>
      </c>
      <c r="P30" s="31">
        <v>2140202.2579999999</v>
      </c>
      <c r="Q30" s="31">
        <v>0</v>
      </c>
      <c r="R30" s="31">
        <v>2464699.6540000001</v>
      </c>
      <c r="S30" s="31">
        <v>0</v>
      </c>
      <c r="T30" s="31">
        <v>2683163.4270000001</v>
      </c>
      <c r="U30" s="38">
        <v>0</v>
      </c>
      <c r="V30" s="38">
        <v>3061305.4210000001</v>
      </c>
    </row>
    <row r="31" spans="1:22" ht="3" customHeight="1" x14ac:dyDescent="0.25">
      <c r="A31">
        <v>4105</v>
      </c>
      <c r="B31" t="s">
        <v>28</v>
      </c>
      <c r="C31" s="31">
        <v>0</v>
      </c>
      <c r="D31" s="31">
        <v>1694029.115</v>
      </c>
      <c r="E31" s="31">
        <v>0</v>
      </c>
      <c r="F31" s="31">
        <v>1784837.808</v>
      </c>
      <c r="G31" s="31">
        <v>0</v>
      </c>
      <c r="H31" s="31">
        <v>1912688.879</v>
      </c>
      <c r="I31" s="31">
        <v>0</v>
      </c>
      <c r="J31" s="31">
        <v>2059846.524</v>
      </c>
      <c r="K31" s="31">
        <v>0</v>
      </c>
      <c r="L31" s="31">
        <v>2088023.4380000001</v>
      </c>
      <c r="M31" s="31">
        <v>0</v>
      </c>
      <c r="N31" s="31">
        <v>2341215.9539999999</v>
      </c>
      <c r="O31" s="31">
        <v>0</v>
      </c>
      <c r="P31" s="31">
        <v>2640257.7349999999</v>
      </c>
      <c r="Q31" s="31">
        <v>0</v>
      </c>
      <c r="R31" s="31">
        <v>3056511.7489999998</v>
      </c>
      <c r="S31" s="31">
        <v>0</v>
      </c>
      <c r="T31" s="31">
        <v>3402026.09</v>
      </c>
      <c r="U31" s="38">
        <v>0</v>
      </c>
      <c r="V31" s="38">
        <v>3533634.355</v>
      </c>
    </row>
    <row r="32" spans="1:22" ht="3" customHeight="1" x14ac:dyDescent="0.25">
      <c r="A32">
        <v>4106</v>
      </c>
      <c r="B32" t="s">
        <v>82</v>
      </c>
      <c r="C32" s="31">
        <v>0</v>
      </c>
      <c r="D32" s="31">
        <v>3079734.426</v>
      </c>
      <c r="E32" s="31">
        <v>0</v>
      </c>
      <c r="F32" s="31">
        <v>3534241.551</v>
      </c>
      <c r="G32" s="31">
        <v>0</v>
      </c>
      <c r="H32" s="31">
        <v>4174114.298</v>
      </c>
      <c r="I32" s="31">
        <v>0</v>
      </c>
      <c r="J32" s="31">
        <v>4726127.6610000003</v>
      </c>
      <c r="K32" s="31">
        <v>0</v>
      </c>
      <c r="L32" s="31">
        <v>4843103.5180000002</v>
      </c>
      <c r="M32" s="31">
        <v>0</v>
      </c>
      <c r="N32" s="31">
        <v>5431885.5599999996</v>
      </c>
      <c r="O32" s="31">
        <v>0</v>
      </c>
      <c r="P32" s="31">
        <v>6491857.6310000001</v>
      </c>
      <c r="Q32" s="31">
        <v>0</v>
      </c>
      <c r="R32" s="31">
        <v>7656789.4850000003</v>
      </c>
      <c r="S32" s="31">
        <v>0</v>
      </c>
      <c r="T32" s="31">
        <v>8919989.8159999996</v>
      </c>
      <c r="U32" s="38">
        <v>0</v>
      </c>
      <c r="V32" s="38">
        <v>9262927.4979999997</v>
      </c>
    </row>
    <row r="33" spans="1:22" ht="3" customHeight="1" x14ac:dyDescent="0.25">
      <c r="A33">
        <v>4201</v>
      </c>
      <c r="B33" t="s">
        <v>86</v>
      </c>
      <c r="C33" s="31">
        <v>0</v>
      </c>
      <c r="D33" s="31">
        <v>3175390.656</v>
      </c>
      <c r="E33" s="31">
        <v>0</v>
      </c>
      <c r="F33" s="31">
        <v>3486584.3650000002</v>
      </c>
      <c r="G33" s="31">
        <v>0</v>
      </c>
      <c r="H33" s="31">
        <v>3770001.27</v>
      </c>
      <c r="I33" s="31">
        <v>0</v>
      </c>
      <c r="J33" s="31">
        <v>4093118.5189999999</v>
      </c>
      <c r="K33" s="31">
        <v>0</v>
      </c>
      <c r="L33" s="31">
        <v>4143787.068</v>
      </c>
      <c r="M33" s="31">
        <v>0</v>
      </c>
      <c r="N33" s="31">
        <v>4646255.6679999996</v>
      </c>
      <c r="O33" s="31">
        <v>0</v>
      </c>
      <c r="P33" s="31">
        <v>5503465.6610000003</v>
      </c>
      <c r="Q33" s="31">
        <v>0</v>
      </c>
      <c r="R33" s="31">
        <v>6156211.2019999996</v>
      </c>
      <c r="S33" s="31">
        <v>0</v>
      </c>
      <c r="T33" s="31">
        <v>6931629.1679999996</v>
      </c>
      <c r="U33" s="38">
        <v>0</v>
      </c>
      <c r="V33" s="38">
        <v>7490051.2750000004</v>
      </c>
    </row>
    <row r="34" spans="1:22" ht="3" customHeight="1" x14ac:dyDescent="0.25">
      <c r="A34">
        <v>4202</v>
      </c>
      <c r="B34" t="s">
        <v>89</v>
      </c>
      <c r="C34" s="31">
        <v>0</v>
      </c>
      <c r="D34" s="31">
        <v>1553802.047</v>
      </c>
      <c r="E34" s="31">
        <v>0</v>
      </c>
      <c r="F34" s="31">
        <v>1662802.8370000001</v>
      </c>
      <c r="G34" s="31">
        <v>0</v>
      </c>
      <c r="H34" s="31">
        <v>1774584.496</v>
      </c>
      <c r="I34" s="31">
        <v>0</v>
      </c>
      <c r="J34" s="31">
        <v>1925359.811</v>
      </c>
      <c r="K34" s="31">
        <v>0</v>
      </c>
      <c r="L34" s="31">
        <v>1946863.2649999999</v>
      </c>
      <c r="M34" s="31">
        <v>0</v>
      </c>
      <c r="N34" s="31">
        <v>2182773.0890000002</v>
      </c>
      <c r="O34" s="31">
        <v>0</v>
      </c>
      <c r="P34" s="31">
        <v>2494849.86</v>
      </c>
      <c r="Q34" s="31">
        <v>0</v>
      </c>
      <c r="R34" s="31">
        <v>2704868.54</v>
      </c>
      <c r="S34" s="31">
        <v>0</v>
      </c>
      <c r="T34" s="31">
        <v>2855755.307</v>
      </c>
      <c r="U34" s="38">
        <v>0</v>
      </c>
      <c r="V34" s="38">
        <v>4034471.3739999998</v>
      </c>
    </row>
    <row r="35" spans="1:22" ht="3" customHeight="1" x14ac:dyDescent="0.25">
      <c r="A35">
        <v>4203</v>
      </c>
      <c r="B35" t="s">
        <v>88</v>
      </c>
      <c r="C35" s="31">
        <v>0</v>
      </c>
      <c r="D35" s="31">
        <v>3010495.5920000002</v>
      </c>
      <c r="E35" s="31">
        <v>0</v>
      </c>
      <c r="F35" s="31">
        <v>3379954.5750000002</v>
      </c>
      <c r="G35" s="31">
        <v>0</v>
      </c>
      <c r="H35" s="31">
        <v>4732096.4890000001</v>
      </c>
      <c r="I35" s="31">
        <v>0</v>
      </c>
      <c r="J35" s="31">
        <v>5580558.9589999998</v>
      </c>
      <c r="K35" s="31">
        <v>0</v>
      </c>
      <c r="L35" s="31">
        <v>5774874.7740000002</v>
      </c>
      <c r="M35" s="31">
        <v>0</v>
      </c>
      <c r="N35" s="31">
        <v>6478346.4069999997</v>
      </c>
      <c r="O35" s="31">
        <v>0</v>
      </c>
      <c r="P35" s="31">
        <v>7831875.2400000002</v>
      </c>
      <c r="Q35" s="31">
        <v>0</v>
      </c>
      <c r="R35" s="31">
        <v>9354060.3819999993</v>
      </c>
      <c r="S35" s="31">
        <v>0</v>
      </c>
      <c r="T35" s="31">
        <v>11116533.354</v>
      </c>
      <c r="U35" s="38">
        <v>0</v>
      </c>
      <c r="V35" s="38">
        <v>12414869.785</v>
      </c>
    </row>
    <row r="36" spans="1:22" ht="3" customHeight="1" x14ac:dyDescent="0.25">
      <c r="A36">
        <v>4204</v>
      </c>
      <c r="B36" t="s">
        <v>87</v>
      </c>
      <c r="C36" s="31">
        <v>0</v>
      </c>
      <c r="D36" s="31">
        <v>1999280.72</v>
      </c>
      <c r="E36" s="31">
        <v>0</v>
      </c>
      <c r="F36" s="31">
        <v>2156069.1460000002</v>
      </c>
      <c r="G36" s="31">
        <v>0</v>
      </c>
      <c r="H36" s="31">
        <v>2510211.7280000001</v>
      </c>
      <c r="I36" s="31">
        <v>0</v>
      </c>
      <c r="J36" s="31">
        <v>2827132.9249999998</v>
      </c>
      <c r="K36" s="31">
        <v>0</v>
      </c>
      <c r="L36" s="31">
        <v>2880283.7560000001</v>
      </c>
      <c r="M36" s="31">
        <v>0</v>
      </c>
      <c r="N36" s="31">
        <v>3230052.2960000001</v>
      </c>
      <c r="O36" s="31">
        <v>0</v>
      </c>
      <c r="P36" s="31">
        <v>3696071.5120000001</v>
      </c>
      <c r="Q36" s="31">
        <v>0</v>
      </c>
      <c r="R36" s="31">
        <v>4007211.324</v>
      </c>
      <c r="S36" s="31">
        <v>0</v>
      </c>
      <c r="T36" s="31">
        <v>4891018.8169999998</v>
      </c>
      <c r="U36" s="38">
        <v>0</v>
      </c>
      <c r="V36" s="38">
        <v>6121725.1579999998</v>
      </c>
    </row>
    <row r="37" spans="1:22" ht="3" customHeight="1" x14ac:dyDescent="0.25">
      <c r="A37">
        <v>4301</v>
      </c>
      <c r="B37" t="s">
        <v>83</v>
      </c>
      <c r="C37" s="31">
        <v>0</v>
      </c>
      <c r="D37" s="31">
        <v>10899102.336999999</v>
      </c>
      <c r="E37" s="31">
        <v>0</v>
      </c>
      <c r="F37" s="31">
        <v>11735391.59</v>
      </c>
      <c r="G37" s="31">
        <v>0</v>
      </c>
      <c r="H37" s="31">
        <v>12503906.813999999</v>
      </c>
      <c r="I37" s="31">
        <v>0</v>
      </c>
      <c r="J37" s="31">
        <v>13379684.01</v>
      </c>
      <c r="K37" s="31">
        <v>0</v>
      </c>
      <c r="L37" s="31">
        <v>13491909.238</v>
      </c>
      <c r="M37" s="31">
        <v>0</v>
      </c>
      <c r="N37" s="31">
        <v>15126451.619999999</v>
      </c>
      <c r="O37" s="31">
        <v>0</v>
      </c>
      <c r="P37" s="31">
        <v>17058541.918000001</v>
      </c>
      <c r="Q37" s="31">
        <v>0</v>
      </c>
      <c r="R37" s="31">
        <v>18494546.193999998</v>
      </c>
      <c r="S37" s="31">
        <v>0</v>
      </c>
      <c r="T37" s="31">
        <v>19347446.850000001</v>
      </c>
      <c r="U37" s="38">
        <v>0</v>
      </c>
      <c r="V37" s="38">
        <v>20071999.322999999</v>
      </c>
    </row>
    <row r="38" spans="1:22" ht="3" customHeight="1" x14ac:dyDescent="0.25">
      <c r="A38">
        <v>4302</v>
      </c>
      <c r="B38" t="s">
        <v>376</v>
      </c>
      <c r="C38" s="31">
        <v>0</v>
      </c>
      <c r="D38" s="31">
        <v>2047651.4890000001</v>
      </c>
      <c r="E38" s="31">
        <v>0</v>
      </c>
      <c r="F38" s="31">
        <v>2187180.8319999999</v>
      </c>
      <c r="G38" s="31">
        <v>0</v>
      </c>
      <c r="H38" s="31">
        <v>2524564.9759999998</v>
      </c>
      <c r="I38" s="31">
        <v>0</v>
      </c>
      <c r="J38" s="31">
        <v>2808773.16</v>
      </c>
      <c r="K38" s="31">
        <v>0</v>
      </c>
      <c r="L38" s="31">
        <v>2857810.8629999999</v>
      </c>
      <c r="M38" s="31">
        <v>0</v>
      </c>
      <c r="N38" s="31">
        <v>3204463.781</v>
      </c>
      <c r="O38" s="31">
        <v>0</v>
      </c>
      <c r="P38" s="31">
        <v>3895541.449</v>
      </c>
      <c r="Q38" s="31">
        <v>0</v>
      </c>
      <c r="R38" s="31">
        <v>4489520.5240000002</v>
      </c>
      <c r="S38" s="31">
        <v>0</v>
      </c>
      <c r="T38" s="31">
        <v>4873889.2589999996</v>
      </c>
      <c r="U38" s="38">
        <v>0</v>
      </c>
      <c r="V38" s="38">
        <v>5281604.0240000002</v>
      </c>
    </row>
    <row r="39" spans="1:22" ht="3" customHeight="1" x14ac:dyDescent="0.25">
      <c r="A39">
        <v>4303</v>
      </c>
      <c r="B39" t="s">
        <v>84</v>
      </c>
      <c r="C39" s="31">
        <v>0</v>
      </c>
      <c r="D39" s="31">
        <v>3863851.0639999998</v>
      </c>
      <c r="E39" s="31">
        <v>0</v>
      </c>
      <c r="F39" s="31">
        <v>4293276.3890000004</v>
      </c>
      <c r="G39" s="31">
        <v>0</v>
      </c>
      <c r="H39" s="31">
        <v>4562997.5070000002</v>
      </c>
      <c r="I39" s="31">
        <v>0</v>
      </c>
      <c r="J39" s="31">
        <v>4974419.0810000002</v>
      </c>
      <c r="K39" s="31">
        <v>0</v>
      </c>
      <c r="L39" s="31">
        <v>5035642.4230000004</v>
      </c>
      <c r="M39" s="31">
        <v>0</v>
      </c>
      <c r="N39" s="31">
        <v>5646064.3090000004</v>
      </c>
      <c r="O39" s="31">
        <v>0</v>
      </c>
      <c r="P39" s="31">
        <v>6768595.7970000003</v>
      </c>
      <c r="Q39" s="31">
        <v>0</v>
      </c>
      <c r="R39" s="31">
        <v>7698026.7000000002</v>
      </c>
      <c r="S39" s="31">
        <v>0</v>
      </c>
      <c r="T39" s="31">
        <v>8319495.6169999996</v>
      </c>
      <c r="U39" s="38">
        <v>0</v>
      </c>
      <c r="V39" s="38">
        <v>8907587.807</v>
      </c>
    </row>
    <row r="40" spans="1:22" ht="3" customHeight="1" x14ac:dyDescent="0.25">
      <c r="A40">
        <v>4304</v>
      </c>
      <c r="B40" t="s">
        <v>85</v>
      </c>
      <c r="C40" s="31">
        <v>0</v>
      </c>
      <c r="D40" s="31">
        <v>1591798.345</v>
      </c>
      <c r="E40" s="31">
        <v>0</v>
      </c>
      <c r="F40" s="31">
        <v>1683163.2960000001</v>
      </c>
      <c r="G40" s="31">
        <v>0</v>
      </c>
      <c r="H40" s="31">
        <v>1812561.885</v>
      </c>
      <c r="I40" s="31">
        <v>0</v>
      </c>
      <c r="J40" s="31">
        <v>2004859.0319999999</v>
      </c>
      <c r="K40" s="31">
        <v>0</v>
      </c>
      <c r="L40" s="31">
        <v>2039700.247</v>
      </c>
      <c r="M40" s="31">
        <v>0</v>
      </c>
      <c r="N40" s="31">
        <v>2287342.227</v>
      </c>
      <c r="O40" s="31">
        <v>0</v>
      </c>
      <c r="P40" s="31">
        <v>2957172.0359999998</v>
      </c>
      <c r="Q40" s="31">
        <v>0</v>
      </c>
      <c r="R40" s="31">
        <v>3445072.3429999999</v>
      </c>
      <c r="S40" s="31">
        <v>0</v>
      </c>
      <c r="T40" s="31">
        <v>3829124.6</v>
      </c>
      <c r="U40" s="38">
        <v>0</v>
      </c>
      <c r="V40" s="38">
        <v>4217744.6610000003</v>
      </c>
    </row>
    <row r="41" spans="1:22" ht="3" customHeight="1" x14ac:dyDescent="0.25">
      <c r="A41">
        <v>4305</v>
      </c>
      <c r="B41" t="s">
        <v>377</v>
      </c>
      <c r="C41" s="31">
        <v>0</v>
      </c>
      <c r="D41" s="31">
        <v>1219861.7139999999</v>
      </c>
      <c r="E41" s="31">
        <v>0</v>
      </c>
      <c r="F41" s="31">
        <v>1307487.19</v>
      </c>
      <c r="G41" s="31">
        <v>0</v>
      </c>
      <c r="H41" s="31">
        <v>1452009.949</v>
      </c>
      <c r="I41" s="31">
        <v>0</v>
      </c>
      <c r="J41" s="31">
        <v>1617393.368</v>
      </c>
      <c r="K41" s="31">
        <v>0</v>
      </c>
      <c r="L41" s="31">
        <v>1643864.2220000001</v>
      </c>
      <c r="M41" s="31">
        <v>0</v>
      </c>
      <c r="N41" s="31">
        <v>1843234.507</v>
      </c>
      <c r="O41" s="31">
        <v>0</v>
      </c>
      <c r="P41" s="31">
        <v>2144239.6490000002</v>
      </c>
      <c r="Q41" s="31">
        <v>0</v>
      </c>
      <c r="R41" s="31">
        <v>2414031.1669999999</v>
      </c>
      <c r="S41" s="31">
        <v>0</v>
      </c>
      <c r="T41" s="31">
        <v>2675397.1970000002</v>
      </c>
      <c r="U41" s="38">
        <v>0</v>
      </c>
      <c r="V41" s="38">
        <v>3101976.9219999998</v>
      </c>
    </row>
    <row r="42" spans="1:22" ht="3" customHeight="1" x14ac:dyDescent="0.25">
      <c r="A42">
        <v>5101</v>
      </c>
      <c r="B42" t="s">
        <v>378</v>
      </c>
      <c r="C42" s="31">
        <v>0</v>
      </c>
      <c r="D42" s="31">
        <v>10637220.369999999</v>
      </c>
      <c r="E42" s="31">
        <v>0</v>
      </c>
      <c r="F42" s="31">
        <v>13498263.953</v>
      </c>
      <c r="G42" s="31">
        <v>0</v>
      </c>
      <c r="H42" s="31">
        <v>17489002.524</v>
      </c>
      <c r="I42" s="31">
        <v>0</v>
      </c>
      <c r="J42" s="31">
        <v>19282333.160999998</v>
      </c>
      <c r="K42" s="31">
        <v>0</v>
      </c>
      <c r="L42" s="31">
        <v>19573632.522</v>
      </c>
      <c r="M42" s="31">
        <v>0</v>
      </c>
      <c r="N42" s="31">
        <v>21950469.835999999</v>
      </c>
      <c r="O42" s="31">
        <v>0</v>
      </c>
      <c r="P42" s="31">
        <v>26084175.344999999</v>
      </c>
      <c r="Q42" s="31">
        <v>0</v>
      </c>
      <c r="R42" s="31">
        <v>32918439.754999999</v>
      </c>
      <c r="S42" s="31">
        <v>0</v>
      </c>
      <c r="T42" s="31">
        <v>39387383.501999997</v>
      </c>
      <c r="U42" s="38">
        <v>0</v>
      </c>
      <c r="V42" s="38">
        <v>40710292.370999999</v>
      </c>
    </row>
    <row r="43" spans="1:22" ht="3" customHeight="1" x14ac:dyDescent="0.25">
      <c r="A43">
        <v>5102</v>
      </c>
      <c r="B43" t="s">
        <v>97</v>
      </c>
      <c r="C43" s="31">
        <v>0</v>
      </c>
      <c r="D43" s="31">
        <v>1136289.358</v>
      </c>
      <c r="E43" s="31">
        <v>0</v>
      </c>
      <c r="F43" s="31">
        <v>1292725.561</v>
      </c>
      <c r="G43" s="31">
        <v>0</v>
      </c>
      <c r="H43" s="31">
        <v>1529084.895</v>
      </c>
      <c r="I43" s="31">
        <v>0</v>
      </c>
      <c r="J43" s="31">
        <v>1676412.9339999999</v>
      </c>
      <c r="K43" s="31">
        <v>0</v>
      </c>
      <c r="L43" s="31">
        <v>1703403.338</v>
      </c>
      <c r="M43" s="31">
        <v>0</v>
      </c>
      <c r="N43" s="31">
        <v>1910027.608</v>
      </c>
      <c r="O43" s="31">
        <v>0</v>
      </c>
      <c r="P43" s="31">
        <v>2305046.196</v>
      </c>
      <c r="Q43" s="31">
        <v>0</v>
      </c>
      <c r="R43" s="31">
        <v>2665433.4419999998</v>
      </c>
      <c r="S43" s="31">
        <v>0</v>
      </c>
      <c r="T43" s="31">
        <v>2885187.841</v>
      </c>
      <c r="U43" s="38">
        <v>0</v>
      </c>
      <c r="V43" s="38">
        <v>3071532.6979999999</v>
      </c>
    </row>
    <row r="44" spans="1:22" ht="3" customHeight="1" x14ac:dyDescent="0.25">
      <c r="A44">
        <v>5103</v>
      </c>
      <c r="B44" t="s">
        <v>379</v>
      </c>
      <c r="C44" s="31">
        <v>0</v>
      </c>
      <c r="D44" s="31">
        <v>1363201.36</v>
      </c>
      <c r="E44" s="31">
        <v>0</v>
      </c>
      <c r="F44" s="31">
        <v>1436274.953</v>
      </c>
      <c r="G44" s="31">
        <v>0</v>
      </c>
      <c r="H44" s="31">
        <v>1551562</v>
      </c>
      <c r="I44" s="31">
        <v>0</v>
      </c>
      <c r="J44" s="31">
        <v>1660234.2069999999</v>
      </c>
      <c r="K44" s="31">
        <v>0</v>
      </c>
      <c r="L44" s="31">
        <v>1674159.7039999999</v>
      </c>
      <c r="M44" s="31">
        <v>0</v>
      </c>
      <c r="N44" s="31">
        <v>1876984.4480000001</v>
      </c>
      <c r="O44" s="31">
        <v>0</v>
      </c>
      <c r="P44" s="31">
        <v>2116729.3149999999</v>
      </c>
      <c r="Q44" s="31">
        <v>0</v>
      </c>
      <c r="R44" s="31">
        <v>2397599.2039999999</v>
      </c>
      <c r="S44" s="31">
        <v>0</v>
      </c>
      <c r="T44" s="31">
        <v>2550551.7149999999</v>
      </c>
      <c r="U44" s="38">
        <v>0</v>
      </c>
      <c r="V44" s="38">
        <v>2574411.2940000002</v>
      </c>
    </row>
    <row r="45" spans="1:22" ht="3" customHeight="1" x14ac:dyDescent="0.25">
      <c r="A45">
        <v>5104</v>
      </c>
      <c r="B45" t="s">
        <v>380</v>
      </c>
      <c r="C45" s="31">
        <v>0</v>
      </c>
      <c r="D45" s="31">
        <v>1196363.6969999999</v>
      </c>
      <c r="E45" s="31">
        <v>0</v>
      </c>
      <c r="F45" s="31">
        <v>1260495.4010000001</v>
      </c>
      <c r="G45" s="31">
        <v>0</v>
      </c>
      <c r="H45" s="31">
        <v>1350205.335</v>
      </c>
      <c r="I45" s="31">
        <v>0</v>
      </c>
      <c r="J45" s="31">
        <v>1444773.794</v>
      </c>
      <c r="K45" s="31">
        <v>0</v>
      </c>
      <c r="L45" s="31">
        <v>1456891.673</v>
      </c>
      <c r="M45" s="31">
        <v>0</v>
      </c>
      <c r="N45" s="31">
        <v>1633393.9890000001</v>
      </c>
      <c r="O45" s="31">
        <v>0</v>
      </c>
      <c r="P45" s="31">
        <v>1842026.0759999999</v>
      </c>
      <c r="Q45" s="31">
        <v>0</v>
      </c>
      <c r="R45" s="31">
        <v>1997089.044</v>
      </c>
      <c r="S45" s="31">
        <v>0</v>
      </c>
      <c r="T45" s="31">
        <v>2064978.899</v>
      </c>
      <c r="U45" s="38">
        <v>0</v>
      </c>
      <c r="V45" s="38">
        <v>2113528.1320000002</v>
      </c>
    </row>
    <row r="46" spans="1:22" ht="3" customHeight="1" x14ac:dyDescent="0.25">
      <c r="A46">
        <v>5105</v>
      </c>
      <c r="B46" t="s">
        <v>381</v>
      </c>
      <c r="C46" s="31">
        <v>0</v>
      </c>
      <c r="D46" s="31">
        <v>1407797.7779999999</v>
      </c>
      <c r="E46" s="31">
        <v>0</v>
      </c>
      <c r="F46" s="31">
        <v>1505060.625</v>
      </c>
      <c r="G46" s="31">
        <v>0</v>
      </c>
      <c r="H46" s="31">
        <v>1685807.83</v>
      </c>
      <c r="I46" s="31">
        <v>0</v>
      </c>
      <c r="J46" s="31">
        <v>1830980.004</v>
      </c>
      <c r="K46" s="31">
        <v>0</v>
      </c>
      <c r="L46" s="31">
        <v>1846336.635</v>
      </c>
      <c r="M46" s="31">
        <v>0</v>
      </c>
      <c r="N46" s="31">
        <v>2070020.6089999999</v>
      </c>
      <c r="O46" s="31">
        <v>0</v>
      </c>
      <c r="P46" s="31">
        <v>2351864.585</v>
      </c>
      <c r="Q46" s="31">
        <v>0</v>
      </c>
      <c r="R46" s="31">
        <v>2676344.395</v>
      </c>
      <c r="S46" s="31">
        <v>0</v>
      </c>
      <c r="T46" s="31">
        <v>2896860.3620000002</v>
      </c>
      <c r="U46" s="38">
        <v>0</v>
      </c>
      <c r="V46" s="38">
        <v>2940412.6069999998</v>
      </c>
    </row>
    <row r="47" spans="1:22" ht="3" customHeight="1" x14ac:dyDescent="0.25">
      <c r="A47">
        <v>5107</v>
      </c>
      <c r="B47" t="s">
        <v>98</v>
      </c>
      <c r="C47" s="31">
        <v>0</v>
      </c>
      <c r="D47" s="31">
        <v>4705819.909</v>
      </c>
      <c r="E47" s="31">
        <v>0</v>
      </c>
      <c r="F47" s="31">
        <v>5625451.0130000003</v>
      </c>
      <c r="G47" s="31">
        <v>0</v>
      </c>
      <c r="H47" s="31">
        <v>7325032.6380000003</v>
      </c>
      <c r="I47" s="31">
        <v>0</v>
      </c>
      <c r="J47" s="31">
        <v>8756067.6779999994</v>
      </c>
      <c r="K47" s="31">
        <v>0</v>
      </c>
      <c r="L47" s="31">
        <v>9076146.9670000002</v>
      </c>
      <c r="M47" s="31">
        <v>0</v>
      </c>
      <c r="N47" s="31">
        <v>10182297.915999999</v>
      </c>
      <c r="O47" s="31">
        <v>0</v>
      </c>
      <c r="P47" s="31">
        <v>11871140.854</v>
      </c>
      <c r="Q47" s="31">
        <v>0</v>
      </c>
      <c r="R47" s="31">
        <v>14614958.339</v>
      </c>
      <c r="S47" s="31">
        <v>0</v>
      </c>
      <c r="T47" s="31">
        <v>17865094.568999998</v>
      </c>
      <c r="U47" s="38">
        <v>0</v>
      </c>
      <c r="V47" s="38">
        <v>18032214.719000001</v>
      </c>
    </row>
    <row r="48" spans="1:22" ht="3" customHeight="1" x14ac:dyDescent="0.25">
      <c r="A48">
        <v>5109</v>
      </c>
      <c r="B48" t="s">
        <v>95</v>
      </c>
      <c r="C48" s="31">
        <v>0</v>
      </c>
      <c r="D48" s="31">
        <v>5111031.4840000002</v>
      </c>
      <c r="E48" s="31">
        <v>0</v>
      </c>
      <c r="F48" s="31">
        <v>5442913.2089999998</v>
      </c>
      <c r="G48" s="31">
        <v>0</v>
      </c>
      <c r="H48" s="31">
        <v>7141221.9670000002</v>
      </c>
      <c r="I48" s="31">
        <v>0</v>
      </c>
      <c r="J48" s="31">
        <v>7641394.71</v>
      </c>
      <c r="K48" s="31">
        <v>0</v>
      </c>
      <c r="L48" s="31">
        <v>7705488.182</v>
      </c>
      <c r="M48" s="31">
        <v>0</v>
      </c>
      <c r="N48" s="31">
        <v>8639006.9340000004</v>
      </c>
      <c r="O48" s="31">
        <v>0</v>
      </c>
      <c r="P48" s="31">
        <v>9742460.3739999998</v>
      </c>
      <c r="Q48" s="31">
        <v>0</v>
      </c>
      <c r="R48" s="31">
        <v>11192382.419</v>
      </c>
      <c r="S48" s="31">
        <v>0</v>
      </c>
      <c r="T48" s="31">
        <v>12721170.834000001</v>
      </c>
      <c r="U48" s="38">
        <v>0</v>
      </c>
      <c r="V48" s="38">
        <v>13452550.674000001</v>
      </c>
    </row>
    <row r="49" spans="1:22" ht="3" customHeight="1" x14ac:dyDescent="0.25">
      <c r="A49">
        <v>5201</v>
      </c>
      <c r="B49" t="s">
        <v>504</v>
      </c>
      <c r="C49" s="31">
        <v>5048416</v>
      </c>
      <c r="D49" s="31">
        <v>1300747.4639999999</v>
      </c>
      <c r="E49" s="31">
        <v>5779040</v>
      </c>
      <c r="F49" s="31">
        <v>1399161.3970000001</v>
      </c>
      <c r="G49" s="31">
        <v>6400618</v>
      </c>
      <c r="H49" s="31">
        <v>1640421.419</v>
      </c>
      <c r="I49" s="31">
        <v>7285184</v>
      </c>
      <c r="J49" s="31">
        <v>2089007.156</v>
      </c>
      <c r="K49" s="31">
        <v>8314278</v>
      </c>
      <c r="L49" s="31">
        <v>2194456.0469999998</v>
      </c>
      <c r="M49" s="31">
        <v>10140294</v>
      </c>
      <c r="N49" s="31">
        <v>2462138.9789999998</v>
      </c>
      <c r="O49" s="31">
        <v>12424884</v>
      </c>
      <c r="P49" s="31">
        <v>3254700.4550000001</v>
      </c>
      <c r="Q49" s="31">
        <v>15482474</v>
      </c>
      <c r="R49" s="31">
        <v>4679010.432</v>
      </c>
      <c r="S49" s="31">
        <v>19216532</v>
      </c>
      <c r="T49" s="31">
        <v>5723257.0060000001</v>
      </c>
      <c r="U49" s="38">
        <v>22097766</v>
      </c>
      <c r="V49" s="38">
        <v>5776794.9620000003</v>
      </c>
    </row>
    <row r="50" spans="1:22" ht="3" customHeight="1" x14ac:dyDescent="0.25">
      <c r="A50">
        <v>5301</v>
      </c>
      <c r="B50" t="s">
        <v>115</v>
      </c>
      <c r="C50" s="31">
        <v>0</v>
      </c>
      <c r="D50" s="31">
        <v>4780823.7549999999</v>
      </c>
      <c r="E50" s="31">
        <v>0</v>
      </c>
      <c r="F50" s="31">
        <v>5193558.8640000001</v>
      </c>
      <c r="G50" s="31">
        <v>0</v>
      </c>
      <c r="H50" s="31">
        <v>5612322.932</v>
      </c>
      <c r="I50" s="31">
        <v>0</v>
      </c>
      <c r="J50" s="31">
        <v>6005411.54</v>
      </c>
      <c r="K50" s="31">
        <v>0</v>
      </c>
      <c r="L50" s="31">
        <v>6055784.6040000003</v>
      </c>
      <c r="M50" s="31">
        <v>0</v>
      </c>
      <c r="N50" s="31">
        <v>6789442.568</v>
      </c>
      <c r="O50" s="31">
        <v>0</v>
      </c>
      <c r="P50" s="31">
        <v>7656653.3609999996</v>
      </c>
      <c r="Q50" s="31">
        <v>0</v>
      </c>
      <c r="R50" s="31">
        <v>8699003.3190000001</v>
      </c>
      <c r="S50" s="31">
        <v>0</v>
      </c>
      <c r="T50" s="31">
        <v>9901823.5739999991</v>
      </c>
      <c r="U50" s="38">
        <v>0</v>
      </c>
      <c r="V50" s="38">
        <v>10711505.232999999</v>
      </c>
    </row>
    <row r="51" spans="1:22" ht="3" customHeight="1" x14ac:dyDescent="0.25">
      <c r="A51">
        <v>5302</v>
      </c>
      <c r="B51" t="s">
        <v>116</v>
      </c>
      <c r="C51" s="31">
        <v>0</v>
      </c>
      <c r="D51" s="31">
        <v>1305876.3559999999</v>
      </c>
      <c r="E51" s="31">
        <v>0</v>
      </c>
      <c r="F51" s="31">
        <v>1397502.4010000001</v>
      </c>
      <c r="G51" s="31">
        <v>0</v>
      </c>
      <c r="H51" s="31">
        <v>1516093.121</v>
      </c>
      <c r="I51" s="31">
        <v>0</v>
      </c>
      <c r="J51" s="31">
        <v>1652356.9920000001</v>
      </c>
      <c r="K51" s="31">
        <v>0</v>
      </c>
      <c r="L51" s="31">
        <v>1685223.2819999999</v>
      </c>
      <c r="M51" s="31">
        <v>0</v>
      </c>
      <c r="N51" s="31">
        <v>1889860.649</v>
      </c>
      <c r="O51" s="31">
        <v>0</v>
      </c>
      <c r="P51" s="31">
        <v>2253699.5210000002</v>
      </c>
      <c r="Q51" s="31">
        <v>0</v>
      </c>
      <c r="R51" s="31">
        <v>2486529.7059999998</v>
      </c>
      <c r="S51" s="31">
        <v>0</v>
      </c>
      <c r="T51" s="31">
        <v>2659000.6189999999</v>
      </c>
      <c r="U51" s="38">
        <v>0</v>
      </c>
      <c r="V51" s="38">
        <v>2787611.7080000001</v>
      </c>
    </row>
    <row r="52" spans="1:22" ht="3" customHeight="1" x14ac:dyDescent="0.25">
      <c r="A52">
        <v>5303</v>
      </c>
      <c r="B52" t="s">
        <v>118</v>
      </c>
      <c r="C52" s="31">
        <v>0</v>
      </c>
      <c r="D52" s="31">
        <v>1087356.899</v>
      </c>
      <c r="E52" s="31">
        <v>0</v>
      </c>
      <c r="F52" s="31">
        <v>1164812.942</v>
      </c>
      <c r="G52" s="31">
        <v>0</v>
      </c>
      <c r="H52" s="31">
        <v>1282879.716</v>
      </c>
      <c r="I52" s="31">
        <v>0</v>
      </c>
      <c r="J52" s="31">
        <v>1392608.128</v>
      </c>
      <c r="K52" s="31">
        <v>0</v>
      </c>
      <c r="L52" s="31">
        <v>1409327.791</v>
      </c>
      <c r="M52" s="31">
        <v>0</v>
      </c>
      <c r="N52" s="31">
        <v>1580178.2760000001</v>
      </c>
      <c r="O52" s="31">
        <v>0</v>
      </c>
      <c r="P52" s="31">
        <v>1862977.98</v>
      </c>
      <c r="Q52" s="31">
        <v>0</v>
      </c>
      <c r="R52" s="31">
        <v>2138489.1669999999</v>
      </c>
      <c r="S52" s="31">
        <v>0</v>
      </c>
      <c r="T52" s="31">
        <v>2331167.9649999999</v>
      </c>
      <c r="U52" s="38">
        <v>0</v>
      </c>
      <c r="V52" s="38">
        <v>2444458.838</v>
      </c>
    </row>
    <row r="53" spans="1:22" ht="3" customHeight="1" x14ac:dyDescent="0.25">
      <c r="A53">
        <v>5304</v>
      </c>
      <c r="B53" t="s">
        <v>117</v>
      </c>
      <c r="C53" s="31">
        <v>0</v>
      </c>
      <c r="D53" s="31">
        <v>1683378.0220000001</v>
      </c>
      <c r="E53" s="31">
        <v>0</v>
      </c>
      <c r="F53" s="31">
        <v>1773615.4040000001</v>
      </c>
      <c r="G53" s="31">
        <v>0</v>
      </c>
      <c r="H53" s="31">
        <v>1902477.027</v>
      </c>
      <c r="I53" s="31">
        <v>0</v>
      </c>
      <c r="J53" s="31">
        <v>2226560.0699999998</v>
      </c>
      <c r="K53" s="31">
        <v>0</v>
      </c>
      <c r="L53" s="31">
        <v>2295881.048</v>
      </c>
      <c r="M53" s="31">
        <v>0</v>
      </c>
      <c r="N53" s="31">
        <v>2575315.4849999999</v>
      </c>
      <c r="O53" s="31">
        <v>0</v>
      </c>
      <c r="P53" s="31">
        <v>3355841.5430000001</v>
      </c>
      <c r="Q53" s="31">
        <v>0</v>
      </c>
      <c r="R53" s="31">
        <v>4075870.6770000001</v>
      </c>
      <c r="S53" s="31">
        <v>0</v>
      </c>
      <c r="T53" s="31">
        <v>4214427.9330000002</v>
      </c>
      <c r="U53" s="38">
        <v>0</v>
      </c>
      <c r="V53" s="38">
        <v>4465224.6440000003</v>
      </c>
    </row>
    <row r="54" spans="1:22" ht="3" customHeight="1" x14ac:dyDescent="0.25">
      <c r="A54">
        <v>5401</v>
      </c>
      <c r="B54" t="s">
        <v>90</v>
      </c>
      <c r="C54" s="31">
        <v>0</v>
      </c>
      <c r="D54" s="31">
        <v>3235115.327</v>
      </c>
      <c r="E54" s="31">
        <v>0</v>
      </c>
      <c r="F54" s="31">
        <v>3477925.77</v>
      </c>
      <c r="G54" s="31">
        <v>0</v>
      </c>
      <c r="H54" s="31">
        <v>3969634.088</v>
      </c>
      <c r="I54" s="31">
        <v>0</v>
      </c>
      <c r="J54" s="31">
        <v>4339679.3420000002</v>
      </c>
      <c r="K54" s="31">
        <v>0</v>
      </c>
      <c r="L54" s="31">
        <v>4417586.6560000004</v>
      </c>
      <c r="M54" s="31">
        <v>0</v>
      </c>
      <c r="N54" s="31">
        <v>4953882.2790000001</v>
      </c>
      <c r="O54" s="31">
        <v>0</v>
      </c>
      <c r="P54" s="31">
        <v>6064232.4060000004</v>
      </c>
      <c r="Q54" s="31">
        <v>0</v>
      </c>
      <c r="R54" s="31">
        <v>7098899.3839999996</v>
      </c>
      <c r="S54" s="31">
        <v>0</v>
      </c>
      <c r="T54" s="31">
        <v>7660051.5259999996</v>
      </c>
      <c r="U54" s="38">
        <v>0</v>
      </c>
      <c r="V54" s="38">
        <v>9912126.3489999995</v>
      </c>
    </row>
    <row r="55" spans="1:22" ht="3" customHeight="1" x14ac:dyDescent="0.25">
      <c r="A55">
        <v>5402</v>
      </c>
      <c r="B55" t="s">
        <v>92</v>
      </c>
      <c r="C55" s="31">
        <v>0</v>
      </c>
      <c r="D55" s="31">
        <v>1947999.308</v>
      </c>
      <c r="E55" s="31">
        <v>0</v>
      </c>
      <c r="F55" s="31">
        <v>2052421.8259999999</v>
      </c>
      <c r="G55" s="31">
        <v>0</v>
      </c>
      <c r="H55" s="31">
        <v>2221205.02</v>
      </c>
      <c r="I55" s="31">
        <v>0</v>
      </c>
      <c r="J55" s="31">
        <v>2443332.9139999999</v>
      </c>
      <c r="K55" s="31">
        <v>0</v>
      </c>
      <c r="L55" s="31">
        <v>2479157.2450000001</v>
      </c>
      <c r="M55" s="31">
        <v>0</v>
      </c>
      <c r="N55" s="31">
        <v>2779928.11</v>
      </c>
      <c r="O55" s="31">
        <v>0</v>
      </c>
      <c r="P55" s="31">
        <v>3453188.7510000002</v>
      </c>
      <c r="Q55" s="31">
        <v>0</v>
      </c>
      <c r="R55" s="31">
        <v>3895386.7069999999</v>
      </c>
      <c r="S55" s="31">
        <v>0</v>
      </c>
      <c r="T55" s="31">
        <v>4208989.4560000002</v>
      </c>
      <c r="U55" s="38">
        <v>0</v>
      </c>
      <c r="V55" s="38">
        <v>4568086.4620000003</v>
      </c>
    </row>
    <row r="56" spans="1:22" ht="3" customHeight="1" x14ac:dyDescent="0.25">
      <c r="A56">
        <v>5403</v>
      </c>
      <c r="B56" t="s">
        <v>94</v>
      </c>
      <c r="C56" s="31">
        <v>0</v>
      </c>
      <c r="D56" s="31">
        <v>926602.14399999997</v>
      </c>
      <c r="E56" s="31">
        <v>0</v>
      </c>
      <c r="F56" s="31">
        <v>999465.424</v>
      </c>
      <c r="G56" s="31">
        <v>0</v>
      </c>
      <c r="H56" s="31">
        <v>1124649.5390000001</v>
      </c>
      <c r="I56" s="31">
        <v>0</v>
      </c>
      <c r="J56" s="31">
        <v>1224031.0430000001</v>
      </c>
      <c r="K56" s="31">
        <v>0</v>
      </c>
      <c r="L56" s="31">
        <v>1236520.956</v>
      </c>
      <c r="M56" s="31">
        <v>0</v>
      </c>
      <c r="N56" s="31">
        <v>1386376.2860000001</v>
      </c>
      <c r="O56" s="31">
        <v>0</v>
      </c>
      <c r="P56" s="31">
        <v>1621399.45</v>
      </c>
      <c r="Q56" s="31">
        <v>0</v>
      </c>
      <c r="R56" s="31">
        <v>1875478.0919999999</v>
      </c>
      <c r="S56" s="31">
        <v>0</v>
      </c>
      <c r="T56" s="31">
        <v>2035207.371</v>
      </c>
      <c r="U56" s="38">
        <v>0</v>
      </c>
      <c r="V56" s="38">
        <v>2127857.0580000002</v>
      </c>
    </row>
    <row r="57" spans="1:22" ht="3" customHeight="1" x14ac:dyDescent="0.25">
      <c r="A57">
        <v>5404</v>
      </c>
      <c r="B57" t="s">
        <v>91</v>
      </c>
      <c r="C57" s="31">
        <v>0</v>
      </c>
      <c r="D57" s="31">
        <v>1491081.054</v>
      </c>
      <c r="E57" s="31">
        <v>0</v>
      </c>
      <c r="F57" s="31">
        <v>1571010.223</v>
      </c>
      <c r="G57" s="31">
        <v>0</v>
      </c>
      <c r="H57" s="31">
        <v>1709205</v>
      </c>
      <c r="I57" s="31">
        <v>0</v>
      </c>
      <c r="J57" s="31">
        <v>1876130.949</v>
      </c>
      <c r="K57" s="31">
        <v>0</v>
      </c>
      <c r="L57" s="31">
        <v>1894273.4720000001</v>
      </c>
      <c r="M57" s="31">
        <v>0</v>
      </c>
      <c r="N57" s="31">
        <v>2123764.2609999999</v>
      </c>
      <c r="O57" s="31">
        <v>0</v>
      </c>
      <c r="P57" s="31">
        <v>2395031.06</v>
      </c>
      <c r="Q57" s="31">
        <v>0</v>
      </c>
      <c r="R57" s="31">
        <v>2695154.8309999998</v>
      </c>
      <c r="S57" s="31">
        <v>0</v>
      </c>
      <c r="T57" s="31">
        <v>2857616.4330000002</v>
      </c>
      <c r="U57" s="38">
        <v>0</v>
      </c>
      <c r="V57" s="38">
        <v>3122210.0109999999</v>
      </c>
    </row>
    <row r="58" spans="1:22" ht="3" customHeight="1" x14ac:dyDescent="0.25">
      <c r="A58">
        <v>5405</v>
      </c>
      <c r="B58" t="s">
        <v>93</v>
      </c>
      <c r="C58" s="31">
        <v>0</v>
      </c>
      <c r="D58" s="31">
        <v>872182.14</v>
      </c>
      <c r="E58" s="31">
        <v>0</v>
      </c>
      <c r="F58" s="31">
        <v>942419.42599999998</v>
      </c>
      <c r="G58" s="31">
        <v>0</v>
      </c>
      <c r="H58" s="31">
        <v>1046448.509</v>
      </c>
      <c r="I58" s="31">
        <v>0</v>
      </c>
      <c r="J58" s="31">
        <v>1141993.2169999999</v>
      </c>
      <c r="K58" s="31">
        <v>0</v>
      </c>
      <c r="L58" s="31">
        <v>1155092.3929999999</v>
      </c>
      <c r="M58" s="31">
        <v>0</v>
      </c>
      <c r="N58" s="31">
        <v>1295123.3570000001</v>
      </c>
      <c r="O58" s="31">
        <v>0</v>
      </c>
      <c r="P58" s="31">
        <v>1535525.89</v>
      </c>
      <c r="Q58" s="31">
        <v>0</v>
      </c>
      <c r="R58" s="31">
        <v>1794569.57</v>
      </c>
      <c r="S58" s="31">
        <v>0</v>
      </c>
      <c r="T58" s="31">
        <v>1949449.851</v>
      </c>
      <c r="U58" s="38">
        <v>0</v>
      </c>
      <c r="V58" s="38">
        <v>2033373.1980000001</v>
      </c>
    </row>
    <row r="59" spans="1:22" ht="3" customHeight="1" x14ac:dyDescent="0.25">
      <c r="A59">
        <v>5501</v>
      </c>
      <c r="B59" t="s">
        <v>105</v>
      </c>
      <c r="C59" s="31">
        <v>0</v>
      </c>
      <c r="D59" s="31">
        <v>5755880.1229999997</v>
      </c>
      <c r="E59" s="31">
        <v>0</v>
      </c>
      <c r="F59" s="31">
        <v>6274752.3190000001</v>
      </c>
      <c r="G59" s="31">
        <v>0</v>
      </c>
      <c r="H59" s="31">
        <v>6742877.0520000001</v>
      </c>
      <c r="I59" s="31">
        <v>0</v>
      </c>
      <c r="J59" s="31">
        <v>7215149.4440000001</v>
      </c>
      <c r="K59" s="31">
        <v>0</v>
      </c>
      <c r="L59" s="31">
        <v>7303832.2050000001</v>
      </c>
      <c r="M59" s="31">
        <v>0</v>
      </c>
      <c r="N59" s="31">
        <v>8189329.909</v>
      </c>
      <c r="O59" s="31">
        <v>0</v>
      </c>
      <c r="P59" s="31">
        <v>9815236.2630000003</v>
      </c>
      <c r="Q59" s="31">
        <v>0</v>
      </c>
      <c r="R59" s="31">
        <v>11730110.273</v>
      </c>
      <c r="S59" s="31">
        <v>0</v>
      </c>
      <c r="T59" s="31">
        <v>12745271.639</v>
      </c>
      <c r="U59" s="38">
        <v>0</v>
      </c>
      <c r="V59" s="38">
        <v>12864497.853</v>
      </c>
    </row>
    <row r="60" spans="1:22" ht="3" customHeight="1" x14ac:dyDescent="0.25">
      <c r="A60">
        <v>5502</v>
      </c>
      <c r="B60" t="s">
        <v>108</v>
      </c>
      <c r="C60" s="31">
        <v>0</v>
      </c>
      <c r="D60" s="31">
        <v>3853512.3450000002</v>
      </c>
      <c r="E60" s="31">
        <v>0</v>
      </c>
      <c r="F60" s="31">
        <v>4060078.96</v>
      </c>
      <c r="G60" s="31">
        <v>0</v>
      </c>
      <c r="H60" s="31">
        <v>4317963.284</v>
      </c>
      <c r="I60" s="31">
        <v>0</v>
      </c>
      <c r="J60" s="31">
        <v>4720612.2910000002</v>
      </c>
      <c r="K60" s="31">
        <v>0</v>
      </c>
      <c r="L60" s="31">
        <v>4800254.1440000003</v>
      </c>
      <c r="M60" s="31">
        <v>0</v>
      </c>
      <c r="N60" s="31">
        <v>5382905.5609999998</v>
      </c>
      <c r="O60" s="31">
        <v>0</v>
      </c>
      <c r="P60" s="31">
        <v>6803423.6610000003</v>
      </c>
      <c r="Q60" s="31">
        <v>0</v>
      </c>
      <c r="R60" s="31">
        <v>7818434.926</v>
      </c>
      <c r="S60" s="31">
        <v>0</v>
      </c>
      <c r="T60" s="31">
        <v>8398283.3200000003</v>
      </c>
      <c r="U60" s="38">
        <v>0</v>
      </c>
      <c r="V60" s="38">
        <v>8476844.7980000004</v>
      </c>
    </row>
    <row r="61" spans="1:22" ht="3" customHeight="1" x14ac:dyDescent="0.25">
      <c r="A61">
        <v>5503</v>
      </c>
      <c r="B61" t="s">
        <v>107</v>
      </c>
      <c r="C61" s="31">
        <v>0</v>
      </c>
      <c r="D61" s="31">
        <v>1632912.4650000001</v>
      </c>
      <c r="E61" s="31">
        <v>0</v>
      </c>
      <c r="F61" s="31">
        <v>1720444.4939999999</v>
      </c>
      <c r="G61" s="31">
        <v>0</v>
      </c>
      <c r="H61" s="31">
        <v>1857197.1769999999</v>
      </c>
      <c r="I61" s="31">
        <v>0</v>
      </c>
      <c r="J61" s="31">
        <v>1987275.3060000001</v>
      </c>
      <c r="K61" s="31">
        <v>0</v>
      </c>
      <c r="L61" s="31">
        <v>2008810.507</v>
      </c>
      <c r="M61" s="31">
        <v>0</v>
      </c>
      <c r="N61" s="31">
        <v>2252363.4010000001</v>
      </c>
      <c r="O61" s="31">
        <v>0</v>
      </c>
      <c r="P61" s="31">
        <v>2594286.4339999999</v>
      </c>
      <c r="Q61" s="31">
        <v>0</v>
      </c>
      <c r="R61" s="31">
        <v>3114720.3650000002</v>
      </c>
      <c r="S61" s="31">
        <v>0</v>
      </c>
      <c r="T61" s="31">
        <v>3519412.713</v>
      </c>
      <c r="U61" s="38">
        <v>0</v>
      </c>
      <c r="V61" s="38">
        <v>3853502.2779999999</v>
      </c>
    </row>
    <row r="62" spans="1:22" ht="3" customHeight="1" x14ac:dyDescent="0.25">
      <c r="A62">
        <v>5504</v>
      </c>
      <c r="B62" t="s">
        <v>109</v>
      </c>
      <c r="C62" s="31">
        <v>0</v>
      </c>
      <c r="D62" s="31">
        <v>1574661.7050000001</v>
      </c>
      <c r="E62" s="31">
        <v>0</v>
      </c>
      <c r="F62" s="31">
        <v>1669082.1510000001</v>
      </c>
      <c r="G62" s="31">
        <v>0</v>
      </c>
      <c r="H62" s="31">
        <v>1814758.1259999999</v>
      </c>
      <c r="I62" s="31">
        <v>0</v>
      </c>
      <c r="J62" s="31">
        <v>1963337.953</v>
      </c>
      <c r="K62" s="31">
        <v>0</v>
      </c>
      <c r="L62" s="31">
        <v>1979805.703</v>
      </c>
      <c r="M62" s="31">
        <v>0</v>
      </c>
      <c r="N62" s="31">
        <v>2220052.2259999998</v>
      </c>
      <c r="O62" s="31">
        <v>0</v>
      </c>
      <c r="P62" s="31">
        <v>2851685.477</v>
      </c>
      <c r="Q62" s="31">
        <v>0</v>
      </c>
      <c r="R62" s="31">
        <v>3351656.2990000001</v>
      </c>
      <c r="S62" s="31">
        <v>0</v>
      </c>
      <c r="T62" s="31">
        <v>3652236.497</v>
      </c>
      <c r="U62" s="38">
        <v>0</v>
      </c>
      <c r="V62" s="38">
        <v>3929495.3259999999</v>
      </c>
    </row>
    <row r="63" spans="1:22" ht="3" customHeight="1" x14ac:dyDescent="0.25">
      <c r="A63">
        <v>5506</v>
      </c>
      <c r="B63" t="s">
        <v>106</v>
      </c>
      <c r="C63" s="31">
        <v>0</v>
      </c>
      <c r="D63" s="31">
        <v>1989484.04</v>
      </c>
      <c r="E63" s="31">
        <v>0</v>
      </c>
      <c r="F63" s="31">
        <v>2096130.4180000001</v>
      </c>
      <c r="G63" s="31">
        <v>0</v>
      </c>
      <c r="H63" s="31">
        <v>2276060.986</v>
      </c>
      <c r="I63" s="31">
        <v>0</v>
      </c>
      <c r="J63" s="31">
        <v>2489473.0529999998</v>
      </c>
      <c r="K63" s="31">
        <v>0</v>
      </c>
      <c r="L63" s="31">
        <v>2510353.7429999998</v>
      </c>
      <c r="M63" s="31">
        <v>0</v>
      </c>
      <c r="N63" s="31">
        <v>2814482.5019999999</v>
      </c>
      <c r="O63" s="31">
        <v>0</v>
      </c>
      <c r="P63" s="31">
        <v>3260169.1379999998</v>
      </c>
      <c r="Q63" s="31">
        <v>0</v>
      </c>
      <c r="R63" s="31">
        <v>3700202.577</v>
      </c>
      <c r="S63" s="31">
        <v>0</v>
      </c>
      <c r="T63" s="31">
        <v>3960110.0520000001</v>
      </c>
      <c r="U63" s="38">
        <v>0</v>
      </c>
      <c r="V63" s="38">
        <v>4364199.2719999999</v>
      </c>
    </row>
    <row r="64" spans="1:22" ht="3" customHeight="1" x14ac:dyDescent="0.25">
      <c r="A64">
        <v>5601</v>
      </c>
      <c r="B64" t="s">
        <v>99</v>
      </c>
      <c r="C64" s="31">
        <v>0</v>
      </c>
      <c r="D64" s="31">
        <v>7043431.1869999999</v>
      </c>
      <c r="E64" s="31">
        <v>0</v>
      </c>
      <c r="F64" s="31">
        <v>7420994.2640000004</v>
      </c>
      <c r="G64" s="31">
        <v>0</v>
      </c>
      <c r="H64" s="31">
        <v>8045303.8660000004</v>
      </c>
      <c r="I64" s="31">
        <v>0</v>
      </c>
      <c r="J64" s="31">
        <v>8608798.6530000009</v>
      </c>
      <c r="K64" s="31">
        <v>0</v>
      </c>
      <c r="L64" s="31">
        <v>8681006.3139999993</v>
      </c>
      <c r="M64" s="31">
        <v>0</v>
      </c>
      <c r="N64" s="31">
        <v>9732708.6280000005</v>
      </c>
      <c r="O64" s="31">
        <v>0</v>
      </c>
      <c r="P64" s="31">
        <v>10975860.573999999</v>
      </c>
      <c r="Q64" s="31">
        <v>0</v>
      </c>
      <c r="R64" s="31">
        <v>11899819.475</v>
      </c>
      <c r="S64" s="31">
        <v>0</v>
      </c>
      <c r="T64" s="31">
        <v>12304345.452</v>
      </c>
      <c r="U64" s="38">
        <v>0</v>
      </c>
      <c r="V64" s="38">
        <v>13109146.607999999</v>
      </c>
    </row>
    <row r="65" spans="1:22" ht="3" customHeight="1" x14ac:dyDescent="0.25">
      <c r="A65">
        <v>5602</v>
      </c>
      <c r="B65" t="s">
        <v>104</v>
      </c>
      <c r="C65" s="31">
        <v>0</v>
      </c>
      <c r="D65" s="31">
        <v>815109.25600000005</v>
      </c>
      <c r="E65" s="31">
        <v>0</v>
      </c>
      <c r="F65" s="31">
        <v>923390.73</v>
      </c>
      <c r="G65" s="31">
        <v>0</v>
      </c>
      <c r="H65" s="31">
        <v>1176424.514</v>
      </c>
      <c r="I65" s="31">
        <v>0</v>
      </c>
      <c r="J65" s="31">
        <v>1275959.378</v>
      </c>
      <c r="K65" s="31">
        <v>0</v>
      </c>
      <c r="L65" s="31">
        <v>1296977.6580000001</v>
      </c>
      <c r="M65" s="31">
        <v>0</v>
      </c>
      <c r="N65" s="31">
        <v>1454376.9129999999</v>
      </c>
      <c r="O65" s="31">
        <v>0</v>
      </c>
      <c r="P65" s="31">
        <v>1794628.0379999999</v>
      </c>
      <c r="Q65" s="31">
        <v>0</v>
      </c>
      <c r="R65" s="31">
        <v>2173100.5819999999</v>
      </c>
      <c r="S65" s="31">
        <v>0</v>
      </c>
      <c r="T65" s="31">
        <v>2362849.7059999998</v>
      </c>
      <c r="U65" s="38">
        <v>0</v>
      </c>
      <c r="V65" s="38">
        <v>2473005.5690000001</v>
      </c>
    </row>
    <row r="66" spans="1:22" ht="3" customHeight="1" x14ac:dyDescent="0.25">
      <c r="A66">
        <v>5603</v>
      </c>
      <c r="B66" t="s">
        <v>101</v>
      </c>
      <c r="C66" s="31">
        <v>0</v>
      </c>
      <c r="D66" s="31">
        <v>5751113.1900000004</v>
      </c>
      <c r="E66" s="31">
        <v>0</v>
      </c>
      <c r="F66" s="31">
        <v>7244328.4170000004</v>
      </c>
      <c r="G66" s="31">
        <v>0</v>
      </c>
      <c r="H66" s="31">
        <v>8770783.7899999991</v>
      </c>
      <c r="I66" s="31">
        <v>0</v>
      </c>
      <c r="J66" s="31">
        <v>9508721.0960000008</v>
      </c>
      <c r="K66" s="31">
        <v>0</v>
      </c>
      <c r="L66" s="31">
        <v>9621641.0610000007</v>
      </c>
      <c r="M66" s="31">
        <v>0</v>
      </c>
      <c r="N66" s="31">
        <v>10788076.280999999</v>
      </c>
      <c r="O66" s="31">
        <v>0</v>
      </c>
      <c r="P66" s="31">
        <v>12166028.089</v>
      </c>
      <c r="Q66" s="31">
        <v>0</v>
      </c>
      <c r="R66" s="31">
        <v>13190176.267000001</v>
      </c>
      <c r="S66" s="31">
        <v>0</v>
      </c>
      <c r="T66" s="31">
        <v>14938002.812000001</v>
      </c>
      <c r="U66" s="38">
        <v>0</v>
      </c>
      <c r="V66" s="38">
        <v>15242571.33</v>
      </c>
    </row>
    <row r="67" spans="1:22" ht="3" customHeight="1" x14ac:dyDescent="0.25">
      <c r="A67">
        <v>5604</v>
      </c>
      <c r="B67" t="s">
        <v>103</v>
      </c>
      <c r="C67" s="31">
        <v>0</v>
      </c>
      <c r="D67" s="31">
        <v>6850355.7539999997</v>
      </c>
      <c r="E67" s="31">
        <v>0</v>
      </c>
      <c r="F67" s="31">
        <v>8863828.3230000008</v>
      </c>
      <c r="G67" s="31">
        <v>0</v>
      </c>
      <c r="H67" s="31">
        <v>10236728.847999999</v>
      </c>
      <c r="I67" s="31">
        <v>0</v>
      </c>
      <c r="J67" s="31">
        <v>11479078.801999999</v>
      </c>
      <c r="K67" s="31">
        <v>0</v>
      </c>
      <c r="L67" s="31">
        <v>11727337.857000001</v>
      </c>
      <c r="M67" s="31">
        <v>0</v>
      </c>
      <c r="N67" s="31">
        <v>13152034.384</v>
      </c>
      <c r="O67" s="31">
        <v>0</v>
      </c>
      <c r="P67" s="31">
        <v>14831933.038000001</v>
      </c>
      <c r="Q67" s="31">
        <v>0</v>
      </c>
      <c r="R67" s="31">
        <v>16080499.895</v>
      </c>
      <c r="S67" s="31">
        <v>0</v>
      </c>
      <c r="T67" s="31">
        <v>18809598.028999999</v>
      </c>
      <c r="U67" s="38">
        <v>0</v>
      </c>
      <c r="V67" s="38">
        <v>21220256.642999999</v>
      </c>
    </row>
    <row r="68" spans="1:22" ht="3" customHeight="1" x14ac:dyDescent="0.25">
      <c r="A68">
        <v>5605</v>
      </c>
      <c r="B68" t="s">
        <v>102</v>
      </c>
      <c r="C68" s="31">
        <v>0</v>
      </c>
      <c r="D68" s="31">
        <v>4951480.8530000001</v>
      </c>
      <c r="E68" s="31">
        <v>0</v>
      </c>
      <c r="F68" s="31">
        <v>6135929.0089999996</v>
      </c>
      <c r="G68" s="31">
        <v>0</v>
      </c>
      <c r="H68" s="31">
        <v>8251386.4570000004</v>
      </c>
      <c r="I68" s="31">
        <v>0</v>
      </c>
      <c r="J68" s="31">
        <v>9700196.7709999997</v>
      </c>
      <c r="K68" s="31">
        <v>0</v>
      </c>
      <c r="L68" s="31">
        <v>10008161.77</v>
      </c>
      <c r="M68" s="31">
        <v>0</v>
      </c>
      <c r="N68" s="31">
        <v>11226310.593</v>
      </c>
      <c r="O68" s="31">
        <v>0</v>
      </c>
      <c r="P68" s="31">
        <v>12660238.443</v>
      </c>
      <c r="Q68" s="31">
        <v>0</v>
      </c>
      <c r="R68" s="31">
        <v>14798422.009</v>
      </c>
      <c r="S68" s="31">
        <v>0</v>
      </c>
      <c r="T68" s="31">
        <v>17731237.168000001</v>
      </c>
      <c r="U68" s="38">
        <v>0</v>
      </c>
      <c r="V68" s="38">
        <v>21688459.668000001</v>
      </c>
    </row>
    <row r="69" spans="1:22" ht="3" customHeight="1" x14ac:dyDescent="0.25">
      <c r="A69">
        <v>5606</v>
      </c>
      <c r="B69" t="s">
        <v>100</v>
      </c>
      <c r="C69" s="31">
        <v>0</v>
      </c>
      <c r="D69" s="31">
        <v>924014.28099999996</v>
      </c>
      <c r="E69" s="31">
        <v>0</v>
      </c>
      <c r="F69" s="31">
        <v>1009522.925</v>
      </c>
      <c r="G69" s="31">
        <v>0</v>
      </c>
      <c r="H69" s="31">
        <v>1170506.061</v>
      </c>
      <c r="I69" s="31">
        <v>0</v>
      </c>
      <c r="J69" s="31">
        <v>1285666.5160000001</v>
      </c>
      <c r="K69" s="31">
        <v>0</v>
      </c>
      <c r="L69" s="31">
        <v>1307747.699</v>
      </c>
      <c r="M69" s="31">
        <v>0</v>
      </c>
      <c r="N69" s="31">
        <v>1466500.4620000001</v>
      </c>
      <c r="O69" s="31">
        <v>0</v>
      </c>
      <c r="P69" s="31">
        <v>1829337.219</v>
      </c>
      <c r="Q69" s="31">
        <v>0</v>
      </c>
      <c r="R69" s="31">
        <v>2227725.59</v>
      </c>
      <c r="S69" s="31">
        <v>0</v>
      </c>
      <c r="T69" s="31">
        <v>2473739.514</v>
      </c>
      <c r="U69" s="38">
        <v>0</v>
      </c>
      <c r="V69" s="38">
        <v>2597872.92</v>
      </c>
    </row>
    <row r="70" spans="1:22" ht="3" customHeight="1" x14ac:dyDescent="0.25">
      <c r="A70">
        <v>5701</v>
      </c>
      <c r="B70" t="s">
        <v>111</v>
      </c>
      <c r="C70" s="31">
        <v>0</v>
      </c>
      <c r="D70" s="31">
        <v>4973748.1160000004</v>
      </c>
      <c r="E70" s="31">
        <v>0</v>
      </c>
      <c r="F70" s="31">
        <v>5292384.8859999999</v>
      </c>
      <c r="G70" s="31">
        <v>0</v>
      </c>
      <c r="H70" s="31">
        <v>5698772.5750000002</v>
      </c>
      <c r="I70" s="31">
        <v>0</v>
      </c>
      <c r="J70" s="31">
        <v>6175948.784</v>
      </c>
      <c r="K70" s="31">
        <v>0</v>
      </c>
      <c r="L70" s="31">
        <v>6227751.9939999999</v>
      </c>
      <c r="M70" s="31">
        <v>0</v>
      </c>
      <c r="N70" s="31">
        <v>6983125.1390000004</v>
      </c>
      <c r="O70" s="31">
        <v>0</v>
      </c>
      <c r="P70" s="31">
        <v>8541411.8760000002</v>
      </c>
      <c r="Q70" s="31">
        <v>0</v>
      </c>
      <c r="R70" s="31">
        <v>10496126.262</v>
      </c>
      <c r="S70" s="31">
        <v>0</v>
      </c>
      <c r="T70" s="31">
        <v>12056865.558</v>
      </c>
      <c r="U70" s="38">
        <v>0</v>
      </c>
      <c r="V70" s="38">
        <v>12169651.806</v>
      </c>
    </row>
    <row r="71" spans="1:22" ht="3" customHeight="1" x14ac:dyDescent="0.25">
      <c r="A71">
        <v>5702</v>
      </c>
      <c r="B71" t="s">
        <v>113</v>
      </c>
      <c r="C71" s="31">
        <v>0</v>
      </c>
      <c r="D71" s="31">
        <v>1608590.882</v>
      </c>
      <c r="E71" s="31">
        <v>0</v>
      </c>
      <c r="F71" s="31">
        <v>1699758.02</v>
      </c>
      <c r="G71" s="31">
        <v>0</v>
      </c>
      <c r="H71" s="31">
        <v>1860294.9539999999</v>
      </c>
      <c r="I71" s="31">
        <v>0</v>
      </c>
      <c r="J71" s="31">
        <v>2021451.5</v>
      </c>
      <c r="K71" s="31">
        <v>0</v>
      </c>
      <c r="L71" s="31">
        <v>2048322.9890000001</v>
      </c>
      <c r="M71" s="31">
        <v>0</v>
      </c>
      <c r="N71" s="31">
        <v>2296715.699</v>
      </c>
      <c r="O71" s="31">
        <v>0</v>
      </c>
      <c r="P71" s="31">
        <v>2808809.8020000001</v>
      </c>
      <c r="Q71" s="31">
        <v>0</v>
      </c>
      <c r="R71" s="31">
        <v>3143320.7919999999</v>
      </c>
      <c r="S71" s="31">
        <v>0</v>
      </c>
      <c r="T71" s="31">
        <v>3320782.5819999999</v>
      </c>
      <c r="U71" s="38">
        <v>0</v>
      </c>
      <c r="V71" s="38">
        <v>3554628.4339999999</v>
      </c>
    </row>
    <row r="72" spans="1:22" ht="3" customHeight="1" x14ac:dyDescent="0.25">
      <c r="A72">
        <v>5703</v>
      </c>
      <c r="B72" t="s">
        <v>0</v>
      </c>
      <c r="C72" s="31">
        <v>0</v>
      </c>
      <c r="D72" s="31">
        <v>2000367.9380000001</v>
      </c>
      <c r="E72" s="31">
        <v>0</v>
      </c>
      <c r="F72" s="31">
        <v>2133978.2850000001</v>
      </c>
      <c r="G72" s="31">
        <v>0</v>
      </c>
      <c r="H72" s="31">
        <v>2319708.1159999999</v>
      </c>
      <c r="I72" s="31">
        <v>0</v>
      </c>
      <c r="J72" s="31">
        <v>2509446.5789999999</v>
      </c>
      <c r="K72" s="31">
        <v>0</v>
      </c>
      <c r="L72" s="31">
        <v>2537726.7000000002</v>
      </c>
      <c r="M72" s="31">
        <v>0</v>
      </c>
      <c r="N72" s="31">
        <v>2845572.0860000001</v>
      </c>
      <c r="O72" s="31">
        <v>0</v>
      </c>
      <c r="P72" s="31">
        <v>3658331.6639999999</v>
      </c>
      <c r="Q72" s="31">
        <v>0</v>
      </c>
      <c r="R72" s="31">
        <v>4308694.926</v>
      </c>
      <c r="S72" s="31">
        <v>0</v>
      </c>
      <c r="T72" s="31">
        <v>4749461.3969999999</v>
      </c>
      <c r="U72" s="38">
        <v>0</v>
      </c>
      <c r="V72" s="38">
        <v>5416366.8399999999</v>
      </c>
    </row>
    <row r="73" spans="1:22" ht="3" customHeight="1" x14ac:dyDescent="0.25">
      <c r="A73">
        <v>5704</v>
      </c>
      <c r="B73" t="s">
        <v>112</v>
      </c>
      <c r="C73" s="31">
        <v>0</v>
      </c>
      <c r="D73" s="31">
        <v>1086688.246</v>
      </c>
      <c r="E73" s="31">
        <v>0</v>
      </c>
      <c r="F73" s="31">
        <v>1144939.82</v>
      </c>
      <c r="G73" s="31">
        <v>0</v>
      </c>
      <c r="H73" s="31">
        <v>1242028.675</v>
      </c>
      <c r="I73" s="31">
        <v>0</v>
      </c>
      <c r="J73" s="31">
        <v>1334046.2169999999</v>
      </c>
      <c r="K73" s="31">
        <v>0</v>
      </c>
      <c r="L73" s="31">
        <v>1346224.213</v>
      </c>
      <c r="M73" s="31">
        <v>0</v>
      </c>
      <c r="N73" s="31">
        <v>1509485.916</v>
      </c>
      <c r="O73" s="31">
        <v>0</v>
      </c>
      <c r="P73" s="31">
        <v>1744184.0190000001</v>
      </c>
      <c r="Q73" s="31">
        <v>0</v>
      </c>
      <c r="R73" s="31">
        <v>1975473.3049999999</v>
      </c>
      <c r="S73" s="31">
        <v>0</v>
      </c>
      <c r="T73" s="31">
        <v>2141183.8670000001</v>
      </c>
      <c r="U73" s="38">
        <v>0</v>
      </c>
      <c r="V73" s="38">
        <v>2253954.3939999999</v>
      </c>
    </row>
    <row r="74" spans="1:22" ht="3" customHeight="1" x14ac:dyDescent="0.25">
      <c r="A74">
        <v>5705</v>
      </c>
      <c r="B74" t="s">
        <v>114</v>
      </c>
      <c r="C74" s="31">
        <v>0</v>
      </c>
      <c r="D74" s="31">
        <v>2071200.6159999999</v>
      </c>
      <c r="E74" s="31">
        <v>0</v>
      </c>
      <c r="F74" s="31">
        <v>2182228.1379999998</v>
      </c>
      <c r="G74" s="31">
        <v>0</v>
      </c>
      <c r="H74" s="31">
        <v>2328701.8459999999</v>
      </c>
      <c r="I74" s="31">
        <v>0</v>
      </c>
      <c r="J74" s="31">
        <v>2516597.7889999999</v>
      </c>
      <c r="K74" s="31">
        <v>0</v>
      </c>
      <c r="L74" s="31">
        <v>2539643.3369999998</v>
      </c>
      <c r="M74" s="31">
        <v>0</v>
      </c>
      <c r="N74" s="31">
        <v>2847396.7850000001</v>
      </c>
      <c r="O74" s="31">
        <v>0</v>
      </c>
      <c r="P74" s="31">
        <v>3406543.5529999998</v>
      </c>
      <c r="Q74" s="31">
        <v>0</v>
      </c>
      <c r="R74" s="31">
        <v>3960885.4539999999</v>
      </c>
      <c r="S74" s="31">
        <v>0</v>
      </c>
      <c r="T74" s="31">
        <v>4303901.3140000002</v>
      </c>
      <c r="U74" s="38">
        <v>0</v>
      </c>
      <c r="V74" s="38">
        <v>4613688.2479999997</v>
      </c>
    </row>
    <row r="75" spans="1:22" ht="3" customHeight="1" x14ac:dyDescent="0.25">
      <c r="A75">
        <v>5706</v>
      </c>
      <c r="B75" t="s">
        <v>382</v>
      </c>
      <c r="C75" s="31">
        <v>0</v>
      </c>
      <c r="D75" s="31">
        <v>1701488.4890000001</v>
      </c>
      <c r="E75" s="31">
        <v>0</v>
      </c>
      <c r="F75" s="31">
        <v>1812635.811</v>
      </c>
      <c r="G75" s="31">
        <v>0</v>
      </c>
      <c r="H75" s="31">
        <v>1984433.8119999999</v>
      </c>
      <c r="I75" s="31">
        <v>0</v>
      </c>
      <c r="J75" s="31">
        <v>2151282.0180000002</v>
      </c>
      <c r="K75" s="31">
        <v>0</v>
      </c>
      <c r="L75" s="31">
        <v>2169894.7850000001</v>
      </c>
      <c r="M75" s="31">
        <v>0</v>
      </c>
      <c r="N75" s="31">
        <v>2432777.8739999998</v>
      </c>
      <c r="O75" s="31">
        <v>0</v>
      </c>
      <c r="P75" s="31">
        <v>2863420.213</v>
      </c>
      <c r="Q75" s="31">
        <v>0</v>
      </c>
      <c r="R75" s="31">
        <v>3104465.2829999998</v>
      </c>
      <c r="S75" s="31">
        <v>0</v>
      </c>
      <c r="T75" s="31">
        <v>3268942.0389999999</v>
      </c>
      <c r="U75" s="38">
        <v>0</v>
      </c>
      <c r="V75" s="38">
        <v>3702652.4040000001</v>
      </c>
    </row>
    <row r="76" spans="1:22" ht="3" customHeight="1" x14ac:dyDescent="0.25">
      <c r="A76">
        <v>5801</v>
      </c>
      <c r="B76" t="s">
        <v>383</v>
      </c>
      <c r="C76" s="31">
        <v>0</v>
      </c>
      <c r="D76" s="31">
        <v>9109850.5329999998</v>
      </c>
      <c r="E76" s="31">
        <v>0</v>
      </c>
      <c r="F76" s="31">
        <v>10261901.862</v>
      </c>
      <c r="G76" s="31">
        <v>0</v>
      </c>
      <c r="H76" s="31">
        <v>11021629.585999999</v>
      </c>
      <c r="I76" s="31">
        <v>0</v>
      </c>
      <c r="J76" s="31">
        <v>11841361.333000001</v>
      </c>
      <c r="K76" s="31">
        <v>0</v>
      </c>
      <c r="L76" s="31">
        <v>11940683.918</v>
      </c>
      <c r="M76" s="31">
        <v>0</v>
      </c>
      <c r="N76" s="31">
        <v>13387295.445</v>
      </c>
      <c r="O76" s="31">
        <v>0</v>
      </c>
      <c r="P76" s="31">
        <v>15845931.445</v>
      </c>
      <c r="Q76" s="31">
        <v>0</v>
      </c>
      <c r="R76" s="31">
        <v>18911070.975000001</v>
      </c>
      <c r="S76" s="31">
        <v>0</v>
      </c>
      <c r="T76" s="31">
        <v>20762863.993000001</v>
      </c>
      <c r="U76" s="38">
        <v>0</v>
      </c>
      <c r="V76" s="38">
        <v>21329710.710000001</v>
      </c>
    </row>
    <row r="77" spans="1:22" ht="3" customHeight="1" x14ac:dyDescent="0.25">
      <c r="A77">
        <v>5802</v>
      </c>
      <c r="B77" t="s">
        <v>110</v>
      </c>
      <c r="C77" s="31">
        <v>0</v>
      </c>
      <c r="D77" s="31">
        <v>3770680.5359999998</v>
      </c>
      <c r="E77" s="31">
        <v>0</v>
      </c>
      <c r="F77" s="31">
        <v>4319371.4479999999</v>
      </c>
      <c r="G77" s="31">
        <v>0</v>
      </c>
      <c r="H77" s="31">
        <v>4600106.2110000001</v>
      </c>
      <c r="I77" s="31">
        <v>0</v>
      </c>
      <c r="J77" s="31">
        <v>4922298.0719999997</v>
      </c>
      <c r="K77" s="31">
        <v>0</v>
      </c>
      <c r="L77" s="31">
        <v>4963585.3130000001</v>
      </c>
      <c r="M77" s="31">
        <v>0</v>
      </c>
      <c r="N77" s="31">
        <v>5564921.9119999995</v>
      </c>
      <c r="O77" s="31">
        <v>0</v>
      </c>
      <c r="P77" s="31">
        <v>6275724.9740000004</v>
      </c>
      <c r="Q77" s="31">
        <v>0</v>
      </c>
      <c r="R77" s="31">
        <v>7189256.8219999997</v>
      </c>
      <c r="S77" s="31">
        <v>0</v>
      </c>
      <c r="T77" s="31">
        <v>7922170.7010000004</v>
      </c>
      <c r="U77" s="38">
        <v>0</v>
      </c>
      <c r="V77" s="38">
        <v>7996278.7750000004</v>
      </c>
    </row>
    <row r="78" spans="1:22" ht="3" customHeight="1" x14ac:dyDescent="0.25">
      <c r="A78">
        <v>5803</v>
      </c>
      <c r="B78" t="s">
        <v>384</v>
      </c>
      <c r="C78" s="31">
        <v>0</v>
      </c>
      <c r="D78" s="31">
        <v>1834030.7450000001</v>
      </c>
      <c r="E78" s="31">
        <v>0</v>
      </c>
      <c r="F78" s="31">
        <v>1932344.608</v>
      </c>
      <c r="G78" s="31">
        <v>0</v>
      </c>
      <c r="H78" s="31">
        <v>2076841.675</v>
      </c>
      <c r="I78" s="31">
        <v>0</v>
      </c>
      <c r="J78" s="31">
        <v>2222305.071</v>
      </c>
      <c r="K78" s="31">
        <v>0</v>
      </c>
      <c r="L78" s="31">
        <v>2240944.9070000001</v>
      </c>
      <c r="M78" s="31">
        <v>0</v>
      </c>
      <c r="N78" s="31">
        <v>2512435.162</v>
      </c>
      <c r="O78" s="31">
        <v>0</v>
      </c>
      <c r="P78" s="31">
        <v>2833346.0669999998</v>
      </c>
      <c r="Q78" s="31">
        <v>0</v>
      </c>
      <c r="R78" s="31">
        <v>3071860.1680000001</v>
      </c>
      <c r="S78" s="31">
        <v>0</v>
      </c>
      <c r="T78" s="31">
        <v>3176285.8059999999</v>
      </c>
      <c r="U78" s="38">
        <v>0</v>
      </c>
      <c r="V78" s="38">
        <v>3205999.0469999998</v>
      </c>
    </row>
    <row r="79" spans="1:22" ht="3" customHeight="1" x14ac:dyDescent="0.25">
      <c r="A79">
        <v>5804</v>
      </c>
      <c r="B79" t="s">
        <v>96</v>
      </c>
      <c r="C79" s="31">
        <v>0</v>
      </c>
      <c r="D79" s="31">
        <v>9363222.3629999999</v>
      </c>
      <c r="E79" s="31">
        <v>0</v>
      </c>
      <c r="F79" s="31">
        <v>9865136.9020000007</v>
      </c>
      <c r="G79" s="31">
        <v>0</v>
      </c>
      <c r="H79" s="31">
        <v>10513016.058</v>
      </c>
      <c r="I79" s="31">
        <v>0</v>
      </c>
      <c r="J79" s="31">
        <v>11412689.050000001</v>
      </c>
      <c r="K79" s="31">
        <v>0</v>
      </c>
      <c r="L79" s="31">
        <v>11508415.336999999</v>
      </c>
      <c r="M79" s="31">
        <v>0</v>
      </c>
      <c r="N79" s="31">
        <v>12902657.266000001</v>
      </c>
      <c r="O79" s="31">
        <v>0</v>
      </c>
      <c r="P79" s="31">
        <v>15540322.513</v>
      </c>
      <c r="Q79" s="31">
        <v>0</v>
      </c>
      <c r="R79" s="31">
        <v>18503249.820999999</v>
      </c>
      <c r="S79" s="31">
        <v>0</v>
      </c>
      <c r="T79" s="31">
        <v>19654713.499000002</v>
      </c>
      <c r="U79" s="38">
        <v>0</v>
      </c>
      <c r="V79" s="38">
        <v>19838573.588</v>
      </c>
    </row>
    <row r="80" spans="1:22" ht="3" customHeight="1" x14ac:dyDescent="0.25">
      <c r="A80">
        <v>6101</v>
      </c>
      <c r="B80" t="s">
        <v>119</v>
      </c>
      <c r="C80" s="31">
        <v>0</v>
      </c>
      <c r="D80" s="31">
        <v>9462263.6309999991</v>
      </c>
      <c r="E80" s="31">
        <v>0</v>
      </c>
      <c r="F80" s="31">
        <v>10584522.433</v>
      </c>
      <c r="G80" s="31">
        <v>0</v>
      </c>
      <c r="H80" s="31">
        <v>11481049.359999999</v>
      </c>
      <c r="I80" s="31">
        <v>0</v>
      </c>
      <c r="J80" s="31">
        <v>12496925.299000001</v>
      </c>
      <c r="K80" s="31">
        <v>0</v>
      </c>
      <c r="L80" s="31">
        <v>12698630.306</v>
      </c>
      <c r="M80" s="31">
        <v>0</v>
      </c>
      <c r="N80" s="31">
        <v>14240512.103</v>
      </c>
      <c r="O80" s="31">
        <v>0</v>
      </c>
      <c r="P80" s="31">
        <v>18409318.809999999</v>
      </c>
      <c r="Q80" s="31">
        <v>0</v>
      </c>
      <c r="R80" s="31">
        <v>22148576.050000001</v>
      </c>
      <c r="S80" s="31">
        <v>0</v>
      </c>
      <c r="T80" s="31">
        <v>25943786.555</v>
      </c>
      <c r="U80" s="38">
        <v>0</v>
      </c>
      <c r="V80" s="38">
        <v>27443923.140000001</v>
      </c>
    </row>
    <row r="81" spans="1:22" ht="3" customHeight="1" x14ac:dyDescent="0.25">
      <c r="A81">
        <v>6102</v>
      </c>
      <c r="B81" t="s">
        <v>124</v>
      </c>
      <c r="C81" s="31">
        <v>0</v>
      </c>
      <c r="D81" s="31">
        <v>1243818.628</v>
      </c>
      <c r="E81" s="31">
        <v>0</v>
      </c>
      <c r="F81" s="31">
        <v>1341250.9920000001</v>
      </c>
      <c r="G81" s="31">
        <v>0</v>
      </c>
      <c r="H81" s="31">
        <v>1462845.4779999999</v>
      </c>
      <c r="I81" s="31">
        <v>0</v>
      </c>
      <c r="J81" s="31">
        <v>1569767.415</v>
      </c>
      <c r="K81" s="31">
        <v>0</v>
      </c>
      <c r="L81" s="31">
        <v>1591224.9350000001</v>
      </c>
      <c r="M81" s="31">
        <v>0</v>
      </c>
      <c r="N81" s="31">
        <v>1784263.23</v>
      </c>
      <c r="O81" s="31">
        <v>0</v>
      </c>
      <c r="P81" s="31">
        <v>2232196.389</v>
      </c>
      <c r="Q81" s="31">
        <v>0</v>
      </c>
      <c r="R81" s="31">
        <v>2623673.497</v>
      </c>
      <c r="S81" s="31">
        <v>0</v>
      </c>
      <c r="T81" s="31">
        <v>2837060.2549999999</v>
      </c>
      <c r="U81" s="38">
        <v>0</v>
      </c>
      <c r="V81" s="38">
        <v>2863598.8829999999</v>
      </c>
    </row>
    <row r="82" spans="1:22" ht="3" customHeight="1" x14ac:dyDescent="0.25">
      <c r="A82">
        <v>6103</v>
      </c>
      <c r="B82" t="s">
        <v>131</v>
      </c>
      <c r="C82" s="31">
        <v>0</v>
      </c>
      <c r="D82" s="31">
        <v>1187039.9609999999</v>
      </c>
      <c r="E82" s="31">
        <v>0</v>
      </c>
      <c r="F82" s="31">
        <v>1250671.6259999999</v>
      </c>
      <c r="G82" s="31">
        <v>0</v>
      </c>
      <c r="H82" s="31">
        <v>1360541.98</v>
      </c>
      <c r="I82" s="31">
        <v>0</v>
      </c>
      <c r="J82" s="31">
        <v>1483216.2409999999</v>
      </c>
      <c r="K82" s="31">
        <v>0</v>
      </c>
      <c r="L82" s="31">
        <v>1504392.189</v>
      </c>
      <c r="M82" s="31">
        <v>0</v>
      </c>
      <c r="N82" s="31">
        <v>1686828.071</v>
      </c>
      <c r="O82" s="31">
        <v>0</v>
      </c>
      <c r="P82" s="31">
        <v>2071290.4029999999</v>
      </c>
      <c r="Q82" s="31">
        <v>0</v>
      </c>
      <c r="R82" s="31">
        <v>2420872.1009999998</v>
      </c>
      <c r="S82" s="31">
        <v>0</v>
      </c>
      <c r="T82" s="31">
        <v>2610967.3939999999</v>
      </c>
      <c r="U82" s="38">
        <v>0</v>
      </c>
      <c r="V82" s="38">
        <v>2904019.5079999999</v>
      </c>
    </row>
    <row r="83" spans="1:22" ht="3" customHeight="1" x14ac:dyDescent="0.25">
      <c r="A83">
        <v>6104</v>
      </c>
      <c r="B83" t="s">
        <v>123</v>
      </c>
      <c r="C83" s="31">
        <v>0</v>
      </c>
      <c r="D83" s="31">
        <v>2068181.486</v>
      </c>
      <c r="E83" s="31">
        <v>0</v>
      </c>
      <c r="F83" s="31">
        <v>2187168.9040000001</v>
      </c>
      <c r="G83" s="31">
        <v>0</v>
      </c>
      <c r="H83" s="31">
        <v>2372813.5070000002</v>
      </c>
      <c r="I83" s="31">
        <v>0</v>
      </c>
      <c r="J83" s="31">
        <v>2603905.0389999999</v>
      </c>
      <c r="K83" s="31">
        <v>0</v>
      </c>
      <c r="L83" s="31">
        <v>2637371.7519999999</v>
      </c>
      <c r="M83" s="31">
        <v>0</v>
      </c>
      <c r="N83" s="31">
        <v>2957458.7850000001</v>
      </c>
      <c r="O83" s="31">
        <v>0</v>
      </c>
      <c r="P83" s="31">
        <v>3820836.1230000001</v>
      </c>
      <c r="Q83" s="31">
        <v>0</v>
      </c>
      <c r="R83" s="31">
        <v>4569159.1710000001</v>
      </c>
      <c r="S83" s="31">
        <v>0</v>
      </c>
      <c r="T83" s="31">
        <v>4925661.6310000001</v>
      </c>
      <c r="U83" s="38">
        <v>0</v>
      </c>
      <c r="V83" s="38">
        <v>5390967.7390000001</v>
      </c>
    </row>
    <row r="84" spans="1:22" ht="3" customHeight="1" x14ac:dyDescent="0.25">
      <c r="A84">
        <v>6105</v>
      </c>
      <c r="B84" t="s">
        <v>122</v>
      </c>
      <c r="C84" s="31">
        <v>0</v>
      </c>
      <c r="D84" s="31">
        <v>2286753.412</v>
      </c>
      <c r="E84" s="31">
        <v>0</v>
      </c>
      <c r="F84" s="31">
        <v>2422901.3909999998</v>
      </c>
      <c r="G84" s="31">
        <v>0</v>
      </c>
      <c r="H84" s="31">
        <v>2569169.673</v>
      </c>
      <c r="I84" s="31">
        <v>0</v>
      </c>
      <c r="J84" s="31">
        <v>2749115.0460000001</v>
      </c>
      <c r="K84" s="31">
        <v>0</v>
      </c>
      <c r="L84" s="31">
        <v>2772174.5410000002</v>
      </c>
      <c r="M84" s="31">
        <v>0</v>
      </c>
      <c r="N84" s="31">
        <v>3108022.9989999998</v>
      </c>
      <c r="O84" s="31">
        <v>0</v>
      </c>
      <c r="P84" s="31">
        <v>3535736.5269999998</v>
      </c>
      <c r="Q84" s="31">
        <v>0</v>
      </c>
      <c r="R84" s="31">
        <v>3945006.3709999998</v>
      </c>
      <c r="S84" s="31">
        <v>0</v>
      </c>
      <c r="T84" s="31">
        <v>4231781.818</v>
      </c>
      <c r="U84" s="38">
        <v>0</v>
      </c>
      <c r="V84" s="38">
        <v>4597074.193</v>
      </c>
    </row>
    <row r="85" spans="1:22" ht="3" customHeight="1" x14ac:dyDescent="0.25">
      <c r="A85">
        <v>6106</v>
      </c>
      <c r="B85" t="s">
        <v>120</v>
      </c>
      <c r="C85" s="31">
        <v>0</v>
      </c>
      <c r="D85" s="31">
        <v>2278602.9</v>
      </c>
      <c r="E85" s="31">
        <v>0</v>
      </c>
      <c r="F85" s="31">
        <v>2430939.7439999999</v>
      </c>
      <c r="G85" s="31">
        <v>0</v>
      </c>
      <c r="H85" s="31">
        <v>2664840.8569999998</v>
      </c>
      <c r="I85" s="31">
        <v>0</v>
      </c>
      <c r="J85" s="31">
        <v>2928600.92</v>
      </c>
      <c r="K85" s="31">
        <v>0</v>
      </c>
      <c r="L85" s="31">
        <v>2966662.9890000001</v>
      </c>
      <c r="M85" s="31">
        <v>0</v>
      </c>
      <c r="N85" s="31">
        <v>3326377.5219999999</v>
      </c>
      <c r="O85" s="31">
        <v>0</v>
      </c>
      <c r="P85" s="31">
        <v>4332708.5549999997</v>
      </c>
      <c r="Q85" s="31">
        <v>0</v>
      </c>
      <c r="R85" s="31">
        <v>5322294.7630000003</v>
      </c>
      <c r="S85" s="31">
        <v>0</v>
      </c>
      <c r="T85" s="31">
        <v>5804282.3810000001</v>
      </c>
      <c r="U85" s="38">
        <v>0</v>
      </c>
      <c r="V85" s="38">
        <v>6213573.0130000003</v>
      </c>
    </row>
    <row r="86" spans="1:22" ht="3" customHeight="1" x14ac:dyDescent="0.25">
      <c r="A86">
        <v>6107</v>
      </c>
      <c r="B86" t="s">
        <v>126</v>
      </c>
      <c r="C86" s="31">
        <v>0</v>
      </c>
      <c r="D86" s="31">
        <v>1560579.9639999999</v>
      </c>
      <c r="E86" s="31">
        <v>0</v>
      </c>
      <c r="F86" s="31">
        <v>1665877.679</v>
      </c>
      <c r="G86" s="31">
        <v>0</v>
      </c>
      <c r="H86" s="31">
        <v>1843587.7039999999</v>
      </c>
      <c r="I86" s="31">
        <v>0</v>
      </c>
      <c r="J86" s="31">
        <v>1972713.547</v>
      </c>
      <c r="K86" s="31">
        <v>0</v>
      </c>
      <c r="L86" s="31">
        <v>1996055.2379999999</v>
      </c>
      <c r="M86" s="31">
        <v>0</v>
      </c>
      <c r="N86" s="31">
        <v>2238066.4219999998</v>
      </c>
      <c r="O86" s="31">
        <v>0</v>
      </c>
      <c r="P86" s="31">
        <v>2637133.8199999998</v>
      </c>
      <c r="Q86" s="31">
        <v>0</v>
      </c>
      <c r="R86" s="31">
        <v>2944172.0159999998</v>
      </c>
      <c r="S86" s="31">
        <v>0</v>
      </c>
      <c r="T86" s="31">
        <v>3151169.3569999998</v>
      </c>
      <c r="U86" s="38">
        <v>0</v>
      </c>
      <c r="V86" s="38">
        <v>3309113.389</v>
      </c>
    </row>
    <row r="87" spans="1:22" ht="3" customHeight="1" x14ac:dyDescent="0.25">
      <c r="A87">
        <v>6108</v>
      </c>
      <c r="B87" t="s">
        <v>385</v>
      </c>
      <c r="C87" s="31">
        <v>0</v>
      </c>
      <c r="D87" s="31">
        <v>1545011.0919999999</v>
      </c>
      <c r="E87" s="31">
        <v>0</v>
      </c>
      <c r="F87" s="31">
        <v>1627831.567</v>
      </c>
      <c r="G87" s="31">
        <v>0</v>
      </c>
      <c r="H87" s="31">
        <v>1757803.1640000001</v>
      </c>
      <c r="I87" s="31">
        <v>0</v>
      </c>
      <c r="J87" s="31">
        <v>1880920.246</v>
      </c>
      <c r="K87" s="31">
        <v>0</v>
      </c>
      <c r="L87" s="31">
        <v>1910711.8470000001</v>
      </c>
      <c r="M87" s="31">
        <v>0</v>
      </c>
      <c r="N87" s="31">
        <v>2142516.6880000001</v>
      </c>
      <c r="O87" s="31">
        <v>0</v>
      </c>
      <c r="P87" s="31">
        <v>2602009.5970000001</v>
      </c>
      <c r="Q87" s="31">
        <v>0</v>
      </c>
      <c r="R87" s="31">
        <v>2998131.5010000002</v>
      </c>
      <c r="S87" s="31">
        <v>0</v>
      </c>
      <c r="T87" s="31">
        <v>3358081.4339999999</v>
      </c>
      <c r="U87" s="38">
        <v>0</v>
      </c>
      <c r="V87" s="38">
        <v>3484787.068</v>
      </c>
    </row>
    <row r="88" spans="1:22" ht="3" customHeight="1" x14ac:dyDescent="0.25">
      <c r="A88">
        <v>6109</v>
      </c>
      <c r="B88" t="s">
        <v>130</v>
      </c>
      <c r="C88" s="31">
        <v>0</v>
      </c>
      <c r="D88" s="31">
        <v>1347487.68</v>
      </c>
      <c r="E88" s="31">
        <v>0</v>
      </c>
      <c r="F88" s="31">
        <v>1439907.3929999999</v>
      </c>
      <c r="G88" s="31">
        <v>0</v>
      </c>
      <c r="H88" s="31">
        <v>1695466.2990000001</v>
      </c>
      <c r="I88" s="31">
        <v>0</v>
      </c>
      <c r="J88" s="31">
        <v>1911453.1429999999</v>
      </c>
      <c r="K88" s="31">
        <v>0</v>
      </c>
      <c r="L88" s="31">
        <v>1946214.4809999999</v>
      </c>
      <c r="M88" s="31">
        <v>0</v>
      </c>
      <c r="N88" s="31">
        <v>2182558.1680000001</v>
      </c>
      <c r="O88" s="31">
        <v>0</v>
      </c>
      <c r="P88" s="31">
        <v>2875719.7239999999</v>
      </c>
      <c r="Q88" s="31">
        <v>0</v>
      </c>
      <c r="R88" s="31">
        <v>3361721.1669999999</v>
      </c>
      <c r="S88" s="31">
        <v>0</v>
      </c>
      <c r="T88" s="31">
        <v>3733020.54</v>
      </c>
      <c r="U88" s="38">
        <v>0</v>
      </c>
      <c r="V88" s="38">
        <v>3992191.9249999998</v>
      </c>
    </row>
    <row r="89" spans="1:22" ht="3" customHeight="1" x14ac:dyDescent="0.25">
      <c r="A89">
        <v>6110</v>
      </c>
      <c r="B89" t="s">
        <v>121</v>
      </c>
      <c r="C89" s="31">
        <v>0</v>
      </c>
      <c r="D89" s="31">
        <v>1818442.6329999999</v>
      </c>
      <c r="E89" s="31">
        <v>0</v>
      </c>
      <c r="F89" s="31">
        <v>1915920.7749999999</v>
      </c>
      <c r="G89" s="31">
        <v>0</v>
      </c>
      <c r="H89" s="31">
        <v>2038403.7239999999</v>
      </c>
      <c r="I89" s="31">
        <v>0</v>
      </c>
      <c r="J89" s="31">
        <v>2181174.3029999998</v>
      </c>
      <c r="K89" s="31">
        <v>0</v>
      </c>
      <c r="L89" s="31">
        <v>2199468.8769999999</v>
      </c>
      <c r="M89" s="31">
        <v>0</v>
      </c>
      <c r="N89" s="31">
        <v>2465934.1239999998</v>
      </c>
      <c r="O89" s="31">
        <v>0</v>
      </c>
      <c r="P89" s="31">
        <v>2780905.5150000001</v>
      </c>
      <c r="Q89" s="31">
        <v>0</v>
      </c>
      <c r="R89" s="31">
        <v>3032761.219</v>
      </c>
      <c r="S89" s="31">
        <v>0</v>
      </c>
      <c r="T89" s="31">
        <v>3227871.952</v>
      </c>
      <c r="U89" s="38">
        <v>0</v>
      </c>
      <c r="V89" s="38">
        <v>3340700.585</v>
      </c>
    </row>
    <row r="90" spans="1:22" ht="3" customHeight="1" x14ac:dyDescent="0.25">
      <c r="A90">
        <v>6111</v>
      </c>
      <c r="B90" t="s">
        <v>129</v>
      </c>
      <c r="C90" s="31">
        <v>0</v>
      </c>
      <c r="D90" s="31">
        <v>1169730.3030000001</v>
      </c>
      <c r="E90" s="31">
        <v>0</v>
      </c>
      <c r="F90" s="31">
        <v>1276025.605</v>
      </c>
      <c r="G90" s="31">
        <v>0</v>
      </c>
      <c r="H90" s="31">
        <v>1391981.5149999999</v>
      </c>
      <c r="I90" s="31">
        <v>0</v>
      </c>
      <c r="J90" s="31">
        <v>1511653.2479999999</v>
      </c>
      <c r="K90" s="31">
        <v>0</v>
      </c>
      <c r="L90" s="31">
        <v>1527125.398</v>
      </c>
      <c r="M90" s="31">
        <v>0</v>
      </c>
      <c r="N90" s="31">
        <v>1712136.3030000001</v>
      </c>
      <c r="O90" s="31">
        <v>0</v>
      </c>
      <c r="P90" s="31">
        <v>2016261.2290000001</v>
      </c>
      <c r="Q90" s="31">
        <v>0</v>
      </c>
      <c r="R90" s="31">
        <v>2346662.071</v>
      </c>
      <c r="S90" s="31">
        <v>0</v>
      </c>
      <c r="T90" s="31">
        <v>2469516.7119999998</v>
      </c>
      <c r="U90" s="38">
        <v>0</v>
      </c>
      <c r="V90" s="38">
        <v>2545227.8160000001</v>
      </c>
    </row>
    <row r="91" spans="1:22" ht="3" customHeight="1" x14ac:dyDescent="0.25">
      <c r="A91">
        <v>6112</v>
      </c>
      <c r="B91" t="s">
        <v>125</v>
      </c>
      <c r="C91" s="31">
        <v>0</v>
      </c>
      <c r="D91" s="31">
        <v>1401561.3570000001</v>
      </c>
      <c r="E91" s="31">
        <v>0</v>
      </c>
      <c r="F91" s="31">
        <v>1490966.4410000001</v>
      </c>
      <c r="G91" s="31">
        <v>0</v>
      </c>
      <c r="H91" s="31">
        <v>1621049.067</v>
      </c>
      <c r="I91" s="31">
        <v>0</v>
      </c>
      <c r="J91" s="31">
        <v>1771553.8640000001</v>
      </c>
      <c r="K91" s="31">
        <v>0</v>
      </c>
      <c r="L91" s="31">
        <v>1798004.2</v>
      </c>
      <c r="M91" s="31">
        <v>0</v>
      </c>
      <c r="N91" s="31">
        <v>2016063.4979999999</v>
      </c>
      <c r="O91" s="31">
        <v>0</v>
      </c>
      <c r="P91" s="31">
        <v>2511469.673</v>
      </c>
      <c r="Q91" s="31">
        <v>0</v>
      </c>
      <c r="R91" s="31">
        <v>2913446.7420000001</v>
      </c>
      <c r="S91" s="31">
        <v>0</v>
      </c>
      <c r="T91" s="31">
        <v>3174526.7740000002</v>
      </c>
      <c r="U91" s="38">
        <v>0</v>
      </c>
      <c r="V91" s="38">
        <v>3582954.0890000002</v>
      </c>
    </row>
    <row r="92" spans="1:22" ht="3" customHeight="1" x14ac:dyDescent="0.25">
      <c r="A92">
        <v>6113</v>
      </c>
      <c r="B92" t="s">
        <v>127</v>
      </c>
      <c r="C92" s="31">
        <v>0</v>
      </c>
      <c r="D92" s="31">
        <v>2087406.4790000001</v>
      </c>
      <c r="E92" s="31">
        <v>0</v>
      </c>
      <c r="F92" s="31">
        <v>2199301.2540000002</v>
      </c>
      <c r="G92" s="31">
        <v>0</v>
      </c>
      <c r="H92" s="31">
        <v>2369942.8429999999</v>
      </c>
      <c r="I92" s="31">
        <v>0</v>
      </c>
      <c r="J92" s="31">
        <v>2535933.9959999998</v>
      </c>
      <c r="K92" s="31">
        <v>0</v>
      </c>
      <c r="L92" s="31">
        <v>2557244.9470000002</v>
      </c>
      <c r="M92" s="31">
        <v>0</v>
      </c>
      <c r="N92" s="31">
        <v>2867055.1269999999</v>
      </c>
      <c r="O92" s="31">
        <v>0</v>
      </c>
      <c r="P92" s="31">
        <v>3416453.5040000002</v>
      </c>
      <c r="Q92" s="31">
        <v>0</v>
      </c>
      <c r="R92" s="31">
        <v>3848980.9950000001</v>
      </c>
      <c r="S92" s="31">
        <v>0</v>
      </c>
      <c r="T92" s="31">
        <v>4049753.0260000001</v>
      </c>
      <c r="U92" s="38">
        <v>0</v>
      </c>
      <c r="V92" s="38">
        <v>4967663.58</v>
      </c>
    </row>
    <row r="93" spans="1:22" ht="3" customHeight="1" x14ac:dyDescent="0.25">
      <c r="A93">
        <v>6114</v>
      </c>
      <c r="B93" t="s">
        <v>132</v>
      </c>
      <c r="C93" s="31">
        <v>0</v>
      </c>
      <c r="D93" s="31">
        <v>1384362.669</v>
      </c>
      <c r="E93" s="31">
        <v>0</v>
      </c>
      <c r="F93" s="31">
        <v>1458572.2490000001</v>
      </c>
      <c r="G93" s="31">
        <v>0</v>
      </c>
      <c r="H93" s="31">
        <v>1602370.2069999999</v>
      </c>
      <c r="I93" s="31">
        <v>0</v>
      </c>
      <c r="J93" s="31">
        <v>1773012.5379999999</v>
      </c>
      <c r="K93" s="31">
        <v>0</v>
      </c>
      <c r="L93" s="31">
        <v>1801677.5889999999</v>
      </c>
      <c r="M93" s="31">
        <v>0</v>
      </c>
      <c r="N93" s="31">
        <v>2020343.946</v>
      </c>
      <c r="O93" s="31">
        <v>0</v>
      </c>
      <c r="P93" s="31">
        <v>2558187.5980000002</v>
      </c>
      <c r="Q93" s="31">
        <v>0</v>
      </c>
      <c r="R93" s="31">
        <v>3038247.2949999999</v>
      </c>
      <c r="S93" s="31">
        <v>0</v>
      </c>
      <c r="T93" s="31">
        <v>3274724.5410000002</v>
      </c>
      <c r="U93" s="38">
        <v>0</v>
      </c>
      <c r="V93" s="38">
        <v>3543673.557</v>
      </c>
    </row>
    <row r="94" spans="1:22" ht="3" customHeight="1" x14ac:dyDescent="0.25">
      <c r="A94">
        <v>6115</v>
      </c>
      <c r="B94" t="s">
        <v>128</v>
      </c>
      <c r="C94" s="31">
        <v>0</v>
      </c>
      <c r="D94" s="31">
        <v>3898942.1809999999</v>
      </c>
      <c r="E94" s="31">
        <v>0</v>
      </c>
      <c r="F94" s="31">
        <v>4107944.3939999999</v>
      </c>
      <c r="G94" s="31">
        <v>0</v>
      </c>
      <c r="H94" s="31">
        <v>4419419.9210000001</v>
      </c>
      <c r="I94" s="31">
        <v>0</v>
      </c>
      <c r="J94" s="31">
        <v>5023006.0920000002</v>
      </c>
      <c r="K94" s="31">
        <v>0</v>
      </c>
      <c r="L94" s="31">
        <v>5134836.5779999997</v>
      </c>
      <c r="M94" s="31">
        <v>0</v>
      </c>
      <c r="N94" s="31">
        <v>5758476.148</v>
      </c>
      <c r="O94" s="31">
        <v>0</v>
      </c>
      <c r="P94" s="31">
        <v>7327890.8210000005</v>
      </c>
      <c r="Q94" s="31">
        <v>0</v>
      </c>
      <c r="R94" s="31">
        <v>8773906.9930000007</v>
      </c>
      <c r="S94" s="31">
        <v>0</v>
      </c>
      <c r="T94" s="31">
        <v>9633603.1559999995</v>
      </c>
      <c r="U94" s="38">
        <v>0</v>
      </c>
      <c r="V94" s="38">
        <v>10113103.675000001</v>
      </c>
    </row>
    <row r="95" spans="1:22" ht="3" customHeight="1" x14ac:dyDescent="0.25">
      <c r="A95">
        <v>6116</v>
      </c>
      <c r="B95" t="s">
        <v>499</v>
      </c>
      <c r="C95" s="31">
        <v>0</v>
      </c>
      <c r="D95" s="31">
        <v>1311241.29</v>
      </c>
      <c r="E95" s="31">
        <v>0</v>
      </c>
      <c r="F95" s="31">
        <v>1412947.0020000001</v>
      </c>
      <c r="G95" s="31">
        <v>0</v>
      </c>
      <c r="H95" s="31">
        <v>1602751.736</v>
      </c>
      <c r="I95" s="31">
        <v>0</v>
      </c>
      <c r="J95" s="31">
        <v>1759064.2609999999</v>
      </c>
      <c r="K95" s="31">
        <v>0</v>
      </c>
      <c r="L95" s="31">
        <v>1792224.5560000001</v>
      </c>
      <c r="M95" s="31">
        <v>0</v>
      </c>
      <c r="N95" s="31">
        <v>2009484.0390000001</v>
      </c>
      <c r="O95" s="31">
        <v>0</v>
      </c>
      <c r="P95" s="31">
        <v>2366959.35</v>
      </c>
      <c r="Q95" s="31">
        <v>0</v>
      </c>
      <c r="R95" s="31">
        <v>2749441.2069999999</v>
      </c>
      <c r="S95" s="31">
        <v>0</v>
      </c>
      <c r="T95" s="31">
        <v>3022901.5970000001</v>
      </c>
      <c r="U95" s="38">
        <v>0</v>
      </c>
      <c r="V95" s="38">
        <v>3084993.6209999998</v>
      </c>
    </row>
    <row r="96" spans="1:22" ht="3" customHeight="1" x14ac:dyDescent="0.25">
      <c r="A96">
        <v>6117</v>
      </c>
      <c r="B96" t="s">
        <v>316</v>
      </c>
      <c r="C96" s="31">
        <v>0</v>
      </c>
      <c r="D96" s="31">
        <v>3244320.8620000002</v>
      </c>
      <c r="E96" s="31">
        <v>0</v>
      </c>
      <c r="F96" s="31">
        <v>3585669.176</v>
      </c>
      <c r="G96" s="31">
        <v>0</v>
      </c>
      <c r="H96" s="31">
        <v>4151238.2110000001</v>
      </c>
      <c r="I96" s="31">
        <v>0</v>
      </c>
      <c r="J96" s="31">
        <v>4651620.9189999998</v>
      </c>
      <c r="K96" s="31">
        <v>0</v>
      </c>
      <c r="L96" s="31">
        <v>4736175.4170000004</v>
      </c>
      <c r="M96" s="31">
        <v>0</v>
      </c>
      <c r="N96" s="31">
        <v>5311021.9349999996</v>
      </c>
      <c r="O96" s="31">
        <v>0</v>
      </c>
      <c r="P96" s="31">
        <v>6752846.9950000001</v>
      </c>
      <c r="Q96" s="31">
        <v>0</v>
      </c>
      <c r="R96" s="31">
        <v>8154696.2199999997</v>
      </c>
      <c r="S96" s="31">
        <v>0</v>
      </c>
      <c r="T96" s="31">
        <v>9152729.1329999994</v>
      </c>
      <c r="U96" s="38">
        <v>0</v>
      </c>
      <c r="V96" s="38">
        <v>9639361.6850000005</v>
      </c>
    </row>
    <row r="97" spans="1:22" ht="3" customHeight="1" x14ac:dyDescent="0.25">
      <c r="A97">
        <v>6201</v>
      </c>
      <c r="B97" t="s">
        <v>142</v>
      </c>
      <c r="C97" s="31">
        <v>0</v>
      </c>
      <c r="D97" s="31">
        <v>5166682.8499999996</v>
      </c>
      <c r="E97" s="31">
        <v>0</v>
      </c>
      <c r="F97" s="31">
        <v>6393334.6040000003</v>
      </c>
      <c r="G97" s="31">
        <v>0</v>
      </c>
      <c r="H97" s="31">
        <v>7292161.8140000002</v>
      </c>
      <c r="I97" s="31">
        <v>0</v>
      </c>
      <c r="J97" s="31">
        <v>8174549.9929999998</v>
      </c>
      <c r="K97" s="31">
        <v>0</v>
      </c>
      <c r="L97" s="31">
        <v>8344107.7340000002</v>
      </c>
      <c r="M97" s="31">
        <v>0</v>
      </c>
      <c r="N97" s="31">
        <v>9357618.8269999996</v>
      </c>
      <c r="O97" s="31">
        <v>0</v>
      </c>
      <c r="P97" s="31">
        <v>10552860.606000001</v>
      </c>
      <c r="Q97" s="31">
        <v>0</v>
      </c>
      <c r="R97" s="31">
        <v>11818760.880000001</v>
      </c>
      <c r="S97" s="31">
        <v>0</v>
      </c>
      <c r="T97" s="31">
        <v>12220532.187000001</v>
      </c>
      <c r="U97" s="38">
        <v>0</v>
      </c>
      <c r="V97" s="38">
        <v>12334849.559</v>
      </c>
    </row>
    <row r="98" spans="1:22" ht="3" customHeight="1" x14ac:dyDescent="0.25">
      <c r="A98">
        <v>6202</v>
      </c>
      <c r="B98" t="s">
        <v>145</v>
      </c>
      <c r="C98" s="31">
        <v>0</v>
      </c>
      <c r="D98" s="31">
        <v>922108.45</v>
      </c>
      <c r="E98" s="31">
        <v>0</v>
      </c>
      <c r="F98" s="31">
        <v>990530.11199999996</v>
      </c>
      <c r="G98" s="31">
        <v>0</v>
      </c>
      <c r="H98" s="31">
        <v>1135531.186</v>
      </c>
      <c r="I98" s="31">
        <v>0</v>
      </c>
      <c r="J98" s="31">
        <v>1230981.2660000001</v>
      </c>
      <c r="K98" s="31">
        <v>0</v>
      </c>
      <c r="L98" s="31">
        <v>1245871.0689999999</v>
      </c>
      <c r="M98" s="31">
        <v>0</v>
      </c>
      <c r="N98" s="31">
        <v>1396892.9790000001</v>
      </c>
      <c r="O98" s="31">
        <v>0</v>
      </c>
      <c r="P98" s="31">
        <v>1621426.216</v>
      </c>
      <c r="Q98" s="31">
        <v>0</v>
      </c>
      <c r="R98" s="31">
        <v>1826860.4539999999</v>
      </c>
      <c r="S98" s="31">
        <v>0</v>
      </c>
      <c r="T98" s="31">
        <v>1961592.7039999999</v>
      </c>
      <c r="U98" s="38">
        <v>0</v>
      </c>
      <c r="V98" s="38">
        <v>2052578.4040000001</v>
      </c>
    </row>
    <row r="99" spans="1:22" ht="3" customHeight="1" x14ac:dyDescent="0.25">
      <c r="A99">
        <v>6203</v>
      </c>
      <c r="B99" t="s">
        <v>144</v>
      </c>
      <c r="C99" s="31">
        <v>0</v>
      </c>
      <c r="D99" s="31">
        <v>999893.73400000005</v>
      </c>
      <c r="E99" s="31">
        <v>0</v>
      </c>
      <c r="F99" s="31">
        <v>1079683.348</v>
      </c>
      <c r="G99" s="31">
        <v>0</v>
      </c>
      <c r="H99" s="31">
        <v>1198627.5900000001</v>
      </c>
      <c r="I99" s="31">
        <v>0</v>
      </c>
      <c r="J99" s="31">
        <v>1307594.301</v>
      </c>
      <c r="K99" s="31">
        <v>0</v>
      </c>
      <c r="L99" s="31">
        <v>1324645.115</v>
      </c>
      <c r="M99" s="31">
        <v>0</v>
      </c>
      <c r="N99" s="31">
        <v>1485248.628</v>
      </c>
      <c r="O99" s="31">
        <v>0</v>
      </c>
      <c r="P99" s="31">
        <v>1734776.6939999999</v>
      </c>
      <c r="Q99" s="31">
        <v>0</v>
      </c>
      <c r="R99" s="31">
        <v>1980691.764</v>
      </c>
      <c r="S99" s="31">
        <v>0</v>
      </c>
      <c r="T99" s="31">
        <v>2117657.821</v>
      </c>
      <c r="U99" s="38">
        <v>0</v>
      </c>
      <c r="V99" s="38">
        <v>2206136.0970000001</v>
      </c>
    </row>
    <row r="100" spans="1:22" ht="3" customHeight="1" x14ac:dyDescent="0.25">
      <c r="A100">
        <v>6204</v>
      </c>
      <c r="B100" t="s">
        <v>29</v>
      </c>
      <c r="C100" s="31">
        <v>0</v>
      </c>
      <c r="D100" s="31">
        <v>1188942.878</v>
      </c>
      <c r="E100" s="31">
        <v>0</v>
      </c>
      <c r="F100" s="31">
        <v>1252676.6529999999</v>
      </c>
      <c r="G100" s="31">
        <v>0</v>
      </c>
      <c r="H100" s="31">
        <v>1370868.6170000001</v>
      </c>
      <c r="I100" s="31">
        <v>0</v>
      </c>
      <c r="J100" s="31">
        <v>1469411.835</v>
      </c>
      <c r="K100" s="31">
        <v>0</v>
      </c>
      <c r="L100" s="31">
        <v>1481738.1089999999</v>
      </c>
      <c r="M100" s="31">
        <v>0</v>
      </c>
      <c r="N100" s="31">
        <v>1661250.149</v>
      </c>
      <c r="O100" s="31">
        <v>0</v>
      </c>
      <c r="P100" s="31">
        <v>1874007.656</v>
      </c>
      <c r="Q100" s="31">
        <v>0</v>
      </c>
      <c r="R100" s="31">
        <v>2102602.5120000001</v>
      </c>
      <c r="S100" s="31">
        <v>0</v>
      </c>
      <c r="T100" s="31">
        <v>2246527.7220000001</v>
      </c>
      <c r="U100" s="38">
        <v>0</v>
      </c>
      <c r="V100" s="38">
        <v>2345834.4920000001</v>
      </c>
    </row>
    <row r="101" spans="1:22" ht="3" customHeight="1" x14ac:dyDescent="0.25">
      <c r="A101">
        <v>6205</v>
      </c>
      <c r="B101" t="s">
        <v>143</v>
      </c>
      <c r="C101" s="31">
        <v>0</v>
      </c>
      <c r="D101" s="31">
        <v>3327267.78</v>
      </c>
      <c r="E101" s="31">
        <v>0</v>
      </c>
      <c r="F101" s="31">
        <v>4444096.5889999997</v>
      </c>
      <c r="G101" s="31">
        <v>0</v>
      </c>
      <c r="H101" s="31">
        <v>4700526.9910000004</v>
      </c>
      <c r="I101" s="31">
        <v>0</v>
      </c>
      <c r="J101" s="31">
        <v>5029752.926</v>
      </c>
      <c r="K101" s="31">
        <v>0</v>
      </c>
      <c r="L101" s="31">
        <v>5071941.0719999997</v>
      </c>
      <c r="M101" s="31">
        <v>0</v>
      </c>
      <c r="N101" s="31">
        <v>5686405.4720000001</v>
      </c>
      <c r="O101" s="31">
        <v>0</v>
      </c>
      <c r="P101" s="31">
        <v>6412725.1279999996</v>
      </c>
      <c r="Q101" s="31">
        <v>0</v>
      </c>
      <c r="R101" s="31">
        <v>6952554.4919999996</v>
      </c>
      <c r="S101" s="31">
        <v>0</v>
      </c>
      <c r="T101" s="31">
        <v>7188901.8729999997</v>
      </c>
      <c r="U101" s="38">
        <v>0</v>
      </c>
      <c r="V101" s="38">
        <v>7256150.5420000004</v>
      </c>
    </row>
    <row r="102" spans="1:22" ht="3" customHeight="1" x14ac:dyDescent="0.25">
      <c r="A102">
        <v>6206</v>
      </c>
      <c r="B102" t="s">
        <v>146</v>
      </c>
      <c r="C102" s="31">
        <v>0</v>
      </c>
      <c r="D102" s="31">
        <v>1647729.787</v>
      </c>
      <c r="E102" s="31">
        <v>0</v>
      </c>
      <c r="F102" s="31">
        <v>1891618.1240000001</v>
      </c>
      <c r="G102" s="31">
        <v>0</v>
      </c>
      <c r="H102" s="31">
        <v>2347794.27</v>
      </c>
      <c r="I102" s="31">
        <v>0</v>
      </c>
      <c r="J102" s="31">
        <v>2578302.3650000002</v>
      </c>
      <c r="K102" s="31">
        <v>0</v>
      </c>
      <c r="L102" s="31">
        <v>2619055.1140000001</v>
      </c>
      <c r="M102" s="31">
        <v>0</v>
      </c>
      <c r="N102" s="31">
        <v>2936843.8530000001</v>
      </c>
      <c r="O102" s="31">
        <v>0</v>
      </c>
      <c r="P102" s="31">
        <v>3346785.7540000002</v>
      </c>
      <c r="Q102" s="31">
        <v>0</v>
      </c>
      <c r="R102" s="31">
        <v>3745652.3620000002</v>
      </c>
      <c r="S102" s="31">
        <v>0</v>
      </c>
      <c r="T102" s="31">
        <v>3872983.0210000002</v>
      </c>
      <c r="U102" s="38">
        <v>0</v>
      </c>
      <c r="V102" s="38">
        <v>3909213.236</v>
      </c>
    </row>
    <row r="103" spans="1:22" ht="3" customHeight="1" x14ac:dyDescent="0.25">
      <c r="A103">
        <v>6301</v>
      </c>
      <c r="B103" t="s">
        <v>133</v>
      </c>
      <c r="C103" s="31">
        <v>0</v>
      </c>
      <c r="D103" s="31">
        <v>3959528.8679999998</v>
      </c>
      <c r="E103" s="31">
        <v>0</v>
      </c>
      <c r="F103" s="31">
        <v>4410268.9270000001</v>
      </c>
      <c r="G103" s="31">
        <v>0</v>
      </c>
      <c r="H103" s="31">
        <v>4922088.5240000002</v>
      </c>
      <c r="I103" s="31">
        <v>0</v>
      </c>
      <c r="J103" s="31">
        <v>5278794.74</v>
      </c>
      <c r="K103" s="31">
        <v>0</v>
      </c>
      <c r="L103" s="31">
        <v>5341989.7960000001</v>
      </c>
      <c r="M103" s="31">
        <v>0</v>
      </c>
      <c r="N103" s="31">
        <v>5989730.9390000002</v>
      </c>
      <c r="O103" s="31">
        <v>0</v>
      </c>
      <c r="P103" s="31">
        <v>7176967.5269999998</v>
      </c>
      <c r="Q103" s="31">
        <v>0</v>
      </c>
      <c r="R103" s="31">
        <v>8009958.8710000003</v>
      </c>
      <c r="S103" s="31">
        <v>0</v>
      </c>
      <c r="T103" s="31">
        <v>9128861.0999999996</v>
      </c>
      <c r="U103" s="38">
        <v>0</v>
      </c>
      <c r="V103" s="38">
        <v>10064127.697000001</v>
      </c>
    </row>
    <row r="104" spans="1:22" ht="3" customHeight="1" x14ac:dyDescent="0.25">
      <c r="A104">
        <v>6302</v>
      </c>
      <c r="B104" t="s">
        <v>386</v>
      </c>
      <c r="C104" s="31">
        <v>0</v>
      </c>
      <c r="D104" s="31">
        <v>1717879.679</v>
      </c>
      <c r="E104" s="31">
        <v>0</v>
      </c>
      <c r="F104" s="31">
        <v>1849606.209</v>
      </c>
      <c r="G104" s="31">
        <v>0</v>
      </c>
      <c r="H104" s="31">
        <v>2039003.514</v>
      </c>
      <c r="I104" s="31">
        <v>0</v>
      </c>
      <c r="J104" s="31">
        <v>2249682.898</v>
      </c>
      <c r="K104" s="31">
        <v>0</v>
      </c>
      <c r="L104" s="31">
        <v>2280270.8119999999</v>
      </c>
      <c r="M104" s="31">
        <v>0</v>
      </c>
      <c r="N104" s="31">
        <v>2556790.5550000002</v>
      </c>
      <c r="O104" s="31">
        <v>0</v>
      </c>
      <c r="P104" s="31">
        <v>3147105.5279999999</v>
      </c>
      <c r="Q104" s="31">
        <v>0</v>
      </c>
      <c r="R104" s="31">
        <v>3714251.7170000002</v>
      </c>
      <c r="S104" s="31">
        <v>0</v>
      </c>
      <c r="T104" s="31">
        <v>4018881.9750000001</v>
      </c>
      <c r="U104" s="38">
        <v>0</v>
      </c>
      <c r="V104" s="38">
        <v>4297661.9950000001</v>
      </c>
    </row>
    <row r="105" spans="1:22" ht="3" customHeight="1" x14ac:dyDescent="0.25">
      <c r="A105">
        <v>6303</v>
      </c>
      <c r="B105" t="s">
        <v>134</v>
      </c>
      <c r="C105" s="31">
        <v>0</v>
      </c>
      <c r="D105" s="31">
        <v>2894805.46</v>
      </c>
      <c r="E105" s="31">
        <v>0</v>
      </c>
      <c r="F105" s="31">
        <v>3155773.7459999998</v>
      </c>
      <c r="G105" s="31">
        <v>0</v>
      </c>
      <c r="H105" s="31">
        <v>3555168.9139999999</v>
      </c>
      <c r="I105" s="31">
        <v>0</v>
      </c>
      <c r="J105" s="31">
        <v>3885957.122</v>
      </c>
      <c r="K105" s="31">
        <v>0</v>
      </c>
      <c r="L105" s="31">
        <v>3949442.125</v>
      </c>
      <c r="M105" s="31">
        <v>0</v>
      </c>
      <c r="N105" s="31">
        <v>4428610.3380000005</v>
      </c>
      <c r="O105" s="31">
        <v>0</v>
      </c>
      <c r="P105" s="31">
        <v>5505863.8320000004</v>
      </c>
      <c r="Q105" s="31">
        <v>0</v>
      </c>
      <c r="R105" s="31">
        <v>6308107.5410000002</v>
      </c>
      <c r="S105" s="31">
        <v>0</v>
      </c>
      <c r="T105" s="31">
        <v>6843141.5209999997</v>
      </c>
      <c r="U105" s="38">
        <v>0</v>
      </c>
      <c r="V105" s="38">
        <v>7893098.1909999996</v>
      </c>
    </row>
    <row r="106" spans="1:22" ht="3" customHeight="1" x14ac:dyDescent="0.25">
      <c r="A106">
        <v>6304</v>
      </c>
      <c r="B106" t="s">
        <v>138</v>
      </c>
      <c r="C106" s="31">
        <v>0</v>
      </c>
      <c r="D106" s="31">
        <v>1161414.902</v>
      </c>
      <c r="E106" s="31">
        <v>0</v>
      </c>
      <c r="F106" s="31">
        <v>1233498.1140000001</v>
      </c>
      <c r="G106" s="31">
        <v>0</v>
      </c>
      <c r="H106" s="31">
        <v>1387492.629</v>
      </c>
      <c r="I106" s="31">
        <v>0</v>
      </c>
      <c r="J106" s="31">
        <v>1524202.577</v>
      </c>
      <c r="K106" s="31">
        <v>0</v>
      </c>
      <c r="L106" s="31">
        <v>1545934.2849999999</v>
      </c>
      <c r="M106" s="31">
        <v>0</v>
      </c>
      <c r="N106" s="31">
        <v>1733459.263</v>
      </c>
      <c r="O106" s="31">
        <v>0</v>
      </c>
      <c r="P106" s="31">
        <v>1992260.5560000001</v>
      </c>
      <c r="Q106" s="31">
        <v>0</v>
      </c>
      <c r="R106" s="31">
        <v>2247020.1770000001</v>
      </c>
      <c r="S106" s="31">
        <v>0</v>
      </c>
      <c r="T106" s="31">
        <v>2415744.5469999998</v>
      </c>
      <c r="U106" s="38">
        <v>0</v>
      </c>
      <c r="V106" s="38">
        <v>2529708.2179999999</v>
      </c>
    </row>
    <row r="107" spans="1:22" ht="3" customHeight="1" x14ac:dyDescent="0.25">
      <c r="A107">
        <v>6305</v>
      </c>
      <c r="B107" t="s">
        <v>135</v>
      </c>
      <c r="C107" s="31">
        <v>0</v>
      </c>
      <c r="D107" s="31">
        <v>1565076.8219999999</v>
      </c>
      <c r="E107" s="31">
        <v>0</v>
      </c>
      <c r="F107" s="31">
        <v>1669931.098</v>
      </c>
      <c r="G107" s="31">
        <v>0</v>
      </c>
      <c r="H107" s="31">
        <v>1814012.9750000001</v>
      </c>
      <c r="I107" s="31">
        <v>0</v>
      </c>
      <c r="J107" s="31">
        <v>1941067.287</v>
      </c>
      <c r="K107" s="31">
        <v>0</v>
      </c>
      <c r="L107" s="31">
        <v>1957348.385</v>
      </c>
      <c r="M107" s="31">
        <v>0</v>
      </c>
      <c r="N107" s="31">
        <v>2194479.983</v>
      </c>
      <c r="O107" s="31">
        <v>0</v>
      </c>
      <c r="P107" s="31">
        <v>2678969.801</v>
      </c>
      <c r="Q107" s="31">
        <v>0</v>
      </c>
      <c r="R107" s="31">
        <v>3422629.7560000001</v>
      </c>
      <c r="S107" s="31">
        <v>0</v>
      </c>
      <c r="T107" s="31">
        <v>3804168.7620000001</v>
      </c>
      <c r="U107" s="38">
        <v>0</v>
      </c>
      <c r="V107" s="38">
        <v>4100878.8909999998</v>
      </c>
    </row>
    <row r="108" spans="1:22" ht="3" customHeight="1" x14ac:dyDescent="0.25">
      <c r="A108">
        <v>6306</v>
      </c>
      <c r="B108" t="s">
        <v>139</v>
      </c>
      <c r="C108" s="31">
        <v>0</v>
      </c>
      <c r="D108" s="31">
        <v>1272470.6850000001</v>
      </c>
      <c r="E108" s="31">
        <v>0</v>
      </c>
      <c r="F108" s="31">
        <v>1340682.2409999999</v>
      </c>
      <c r="G108" s="31">
        <v>0</v>
      </c>
      <c r="H108" s="31">
        <v>1462200.0660000001</v>
      </c>
      <c r="I108" s="31">
        <v>0</v>
      </c>
      <c r="J108" s="31">
        <v>1572522.6089999999</v>
      </c>
      <c r="K108" s="31">
        <v>0</v>
      </c>
      <c r="L108" s="31">
        <v>1585727.193</v>
      </c>
      <c r="M108" s="31">
        <v>0</v>
      </c>
      <c r="N108" s="31">
        <v>1777837.95</v>
      </c>
      <c r="O108" s="31">
        <v>0</v>
      </c>
      <c r="P108" s="31">
        <v>2042996.618</v>
      </c>
      <c r="Q108" s="31">
        <v>0</v>
      </c>
      <c r="R108" s="31">
        <v>2308414.8640000001</v>
      </c>
      <c r="S108" s="31">
        <v>0</v>
      </c>
      <c r="T108" s="31">
        <v>2496268.9989999998</v>
      </c>
      <c r="U108" s="38">
        <v>0</v>
      </c>
      <c r="V108" s="38">
        <v>2624282.352</v>
      </c>
    </row>
    <row r="109" spans="1:22" ht="3" customHeight="1" x14ac:dyDescent="0.25">
      <c r="A109">
        <v>6307</v>
      </c>
      <c r="B109" t="s">
        <v>140</v>
      </c>
      <c r="C109" s="31">
        <v>0</v>
      </c>
      <c r="D109" s="31">
        <v>1095759.145</v>
      </c>
      <c r="E109" s="31">
        <v>0</v>
      </c>
      <c r="F109" s="31">
        <v>1271875.6429999999</v>
      </c>
      <c r="G109" s="31">
        <v>0</v>
      </c>
      <c r="H109" s="31">
        <v>1487214.959</v>
      </c>
      <c r="I109" s="31">
        <v>0</v>
      </c>
      <c r="J109" s="31">
        <v>1637012.8030000001</v>
      </c>
      <c r="K109" s="31">
        <v>0</v>
      </c>
      <c r="L109" s="31">
        <v>1658967.912</v>
      </c>
      <c r="M109" s="31">
        <v>0</v>
      </c>
      <c r="N109" s="31">
        <v>1860156.4469999999</v>
      </c>
      <c r="O109" s="31">
        <v>0</v>
      </c>
      <c r="P109" s="31">
        <v>2097752.1120000002</v>
      </c>
      <c r="Q109" s="31">
        <v>0</v>
      </c>
      <c r="R109" s="31">
        <v>2324113.3629999999</v>
      </c>
      <c r="S109" s="31">
        <v>0</v>
      </c>
      <c r="T109" s="31">
        <v>2659884.9330000002</v>
      </c>
      <c r="U109" s="38">
        <v>0</v>
      </c>
      <c r="V109" s="38">
        <v>2691227.3939999999</v>
      </c>
    </row>
    <row r="110" spans="1:22" ht="3" customHeight="1" x14ac:dyDescent="0.25">
      <c r="A110">
        <v>6308</v>
      </c>
      <c r="B110" t="s">
        <v>136</v>
      </c>
      <c r="C110" s="31">
        <v>0</v>
      </c>
      <c r="D110" s="31">
        <v>1233316.693</v>
      </c>
      <c r="E110" s="31">
        <v>0</v>
      </c>
      <c r="F110" s="31">
        <v>1306474.2849999999</v>
      </c>
      <c r="G110" s="31">
        <v>0</v>
      </c>
      <c r="H110" s="31">
        <v>1408571.9369999999</v>
      </c>
      <c r="I110" s="31">
        <v>0</v>
      </c>
      <c r="J110" s="31">
        <v>1520330.081</v>
      </c>
      <c r="K110" s="31">
        <v>0</v>
      </c>
      <c r="L110" s="31">
        <v>1539092.7679999999</v>
      </c>
      <c r="M110" s="31">
        <v>0</v>
      </c>
      <c r="N110" s="31">
        <v>1725602.3770000001</v>
      </c>
      <c r="O110" s="31">
        <v>0</v>
      </c>
      <c r="P110" s="31">
        <v>2067484.1040000001</v>
      </c>
      <c r="Q110" s="31">
        <v>0</v>
      </c>
      <c r="R110" s="31">
        <v>2337844.9339999999</v>
      </c>
      <c r="S110" s="31">
        <v>0</v>
      </c>
      <c r="T110" s="31">
        <v>2526988.264</v>
      </c>
      <c r="U110" s="38">
        <v>0</v>
      </c>
      <c r="V110" s="38">
        <v>2880280.781</v>
      </c>
    </row>
    <row r="111" spans="1:22" ht="3" customHeight="1" x14ac:dyDescent="0.25">
      <c r="A111">
        <v>6309</v>
      </c>
      <c r="B111" t="s">
        <v>141</v>
      </c>
      <c r="C111" s="31">
        <v>0</v>
      </c>
      <c r="D111" s="31">
        <v>999159.73300000001</v>
      </c>
      <c r="E111" s="31">
        <v>0</v>
      </c>
      <c r="F111" s="31">
        <v>1066764.8119999999</v>
      </c>
      <c r="G111" s="31">
        <v>0</v>
      </c>
      <c r="H111" s="31">
        <v>1165371.818</v>
      </c>
      <c r="I111" s="31">
        <v>0</v>
      </c>
      <c r="J111" s="31">
        <v>1257721.76</v>
      </c>
      <c r="K111" s="31">
        <v>0</v>
      </c>
      <c r="L111" s="31">
        <v>1272526.1329999999</v>
      </c>
      <c r="M111" s="31">
        <v>0</v>
      </c>
      <c r="N111" s="31">
        <v>1426796.452</v>
      </c>
      <c r="O111" s="31">
        <v>0</v>
      </c>
      <c r="P111" s="31">
        <v>1668253.7930000001</v>
      </c>
      <c r="Q111" s="31">
        <v>0</v>
      </c>
      <c r="R111" s="31">
        <v>1913581.7490000001</v>
      </c>
      <c r="S111" s="31">
        <v>0</v>
      </c>
      <c r="T111" s="31">
        <v>2056046.824</v>
      </c>
      <c r="U111" s="38">
        <v>0</v>
      </c>
      <c r="V111" s="38">
        <v>2141591.088</v>
      </c>
    </row>
    <row r="112" spans="1:22" ht="3" customHeight="1" x14ac:dyDescent="0.25">
      <c r="A112">
        <v>6310</v>
      </c>
      <c r="B112" t="s">
        <v>137</v>
      </c>
      <c r="C112" s="31">
        <v>0</v>
      </c>
      <c r="D112" s="31">
        <v>2379996.33</v>
      </c>
      <c r="E112" s="31">
        <v>0</v>
      </c>
      <c r="F112" s="31">
        <v>2597297.02</v>
      </c>
      <c r="G112" s="31">
        <v>0</v>
      </c>
      <c r="H112" s="31">
        <v>2820987.1850000001</v>
      </c>
      <c r="I112" s="31">
        <v>0</v>
      </c>
      <c r="J112" s="31">
        <v>3043135.7820000001</v>
      </c>
      <c r="K112" s="31">
        <v>0</v>
      </c>
      <c r="L112" s="31">
        <v>3068660.9720000001</v>
      </c>
      <c r="M112" s="31">
        <v>0</v>
      </c>
      <c r="N112" s="31">
        <v>3440444.3059999999</v>
      </c>
      <c r="O112" s="31">
        <v>0</v>
      </c>
      <c r="P112" s="31">
        <v>4208707.68</v>
      </c>
      <c r="Q112" s="31">
        <v>0</v>
      </c>
      <c r="R112" s="31">
        <v>5134547.51</v>
      </c>
      <c r="S112" s="31">
        <v>0</v>
      </c>
      <c r="T112" s="31">
        <v>5309093.426</v>
      </c>
      <c r="U112" s="38">
        <v>0</v>
      </c>
      <c r="V112" s="38">
        <v>6195913.8899999997</v>
      </c>
    </row>
    <row r="113" spans="1:22" ht="3" customHeight="1" x14ac:dyDescent="0.25">
      <c r="A113">
        <v>7101</v>
      </c>
      <c r="B113" t="s">
        <v>152</v>
      </c>
      <c r="C113" s="31">
        <v>0</v>
      </c>
      <c r="D113" s="31">
        <v>12142370.810000001</v>
      </c>
      <c r="E113" s="31">
        <v>0</v>
      </c>
      <c r="F113" s="31">
        <v>12793263.009</v>
      </c>
      <c r="G113" s="31">
        <v>0</v>
      </c>
      <c r="H113" s="31">
        <v>13730769.217</v>
      </c>
      <c r="I113" s="31">
        <v>0</v>
      </c>
      <c r="J113" s="31">
        <v>14692476.015000001</v>
      </c>
      <c r="K113" s="31">
        <v>0</v>
      </c>
      <c r="L113" s="31">
        <v>14815711.550000001</v>
      </c>
      <c r="M113" s="31">
        <v>0</v>
      </c>
      <c r="N113" s="31">
        <v>16610633.142000001</v>
      </c>
      <c r="O113" s="31">
        <v>0</v>
      </c>
      <c r="P113" s="31">
        <v>19319640.991999999</v>
      </c>
      <c r="Q113" s="31">
        <v>0</v>
      </c>
      <c r="R113" s="31">
        <v>22216891.219999999</v>
      </c>
      <c r="S113" s="31">
        <v>0</v>
      </c>
      <c r="T113" s="31">
        <v>24292871.550000001</v>
      </c>
      <c r="U113" s="38">
        <v>0</v>
      </c>
      <c r="V113" s="38">
        <v>25470210.201000001</v>
      </c>
    </row>
    <row r="114" spans="1:22" ht="3" customHeight="1" x14ac:dyDescent="0.25">
      <c r="A114">
        <v>7102</v>
      </c>
      <c r="B114" t="s">
        <v>387</v>
      </c>
      <c r="C114" s="31">
        <v>0</v>
      </c>
      <c r="D114" s="31">
        <v>6171174.3109999998</v>
      </c>
      <c r="E114" s="31">
        <v>0</v>
      </c>
      <c r="F114" s="31">
        <v>6914391.9419999998</v>
      </c>
      <c r="G114" s="31">
        <v>0</v>
      </c>
      <c r="H114" s="31">
        <v>7529094.9110000003</v>
      </c>
      <c r="I114" s="31">
        <v>0</v>
      </c>
      <c r="J114" s="31">
        <v>8183351.8320000004</v>
      </c>
      <c r="K114" s="31">
        <v>0</v>
      </c>
      <c r="L114" s="31">
        <v>8264995.7580000004</v>
      </c>
      <c r="M114" s="31">
        <v>0</v>
      </c>
      <c r="N114" s="31">
        <v>9266452.8770000003</v>
      </c>
      <c r="O114" s="31">
        <v>0</v>
      </c>
      <c r="P114" s="31">
        <v>10450050.085999999</v>
      </c>
      <c r="Q114" s="31">
        <v>0</v>
      </c>
      <c r="R114" s="31">
        <v>11476386.733999999</v>
      </c>
      <c r="S114" s="31">
        <v>0</v>
      </c>
      <c r="T114" s="31">
        <v>12490067.284</v>
      </c>
      <c r="U114" s="38">
        <v>0</v>
      </c>
      <c r="V114" s="38">
        <v>13118675.992000001</v>
      </c>
    </row>
    <row r="115" spans="1:22" ht="3" customHeight="1" x14ac:dyDescent="0.25">
      <c r="A115">
        <v>7103</v>
      </c>
      <c r="B115" t="s">
        <v>157</v>
      </c>
      <c r="C115" s="31">
        <v>0</v>
      </c>
      <c r="D115" s="31">
        <v>2091122.827</v>
      </c>
      <c r="E115" s="31">
        <v>0</v>
      </c>
      <c r="F115" s="31">
        <v>2270625.0180000002</v>
      </c>
      <c r="G115" s="31">
        <v>0</v>
      </c>
      <c r="H115" s="31">
        <v>2444659.8829999999</v>
      </c>
      <c r="I115" s="31">
        <v>0</v>
      </c>
      <c r="J115" s="31">
        <v>2617688.6940000001</v>
      </c>
      <c r="K115" s="31">
        <v>0</v>
      </c>
      <c r="L115" s="31">
        <v>2642838.35</v>
      </c>
      <c r="M115" s="31">
        <v>0</v>
      </c>
      <c r="N115" s="31">
        <v>2963017.8050000002</v>
      </c>
      <c r="O115" s="31">
        <v>0</v>
      </c>
      <c r="P115" s="31">
        <v>3418792.7289999998</v>
      </c>
      <c r="Q115" s="31">
        <v>0</v>
      </c>
      <c r="R115" s="31">
        <v>3768112.5839999998</v>
      </c>
      <c r="S115" s="31">
        <v>0</v>
      </c>
      <c r="T115" s="31">
        <v>3952526.99</v>
      </c>
      <c r="U115" s="38">
        <v>0</v>
      </c>
      <c r="V115" s="38">
        <v>4826605.5010000002</v>
      </c>
    </row>
    <row r="116" spans="1:22" ht="3" customHeight="1" x14ac:dyDescent="0.25">
      <c r="A116">
        <v>7104</v>
      </c>
      <c r="B116" t="s">
        <v>158</v>
      </c>
      <c r="C116" s="31">
        <v>0</v>
      </c>
      <c r="D116" s="31">
        <v>1496380.088</v>
      </c>
      <c r="E116" s="31">
        <v>0</v>
      </c>
      <c r="F116" s="31">
        <v>1576593.9140000001</v>
      </c>
      <c r="G116" s="31">
        <v>0</v>
      </c>
      <c r="H116" s="31">
        <v>1688840.888</v>
      </c>
      <c r="I116" s="31">
        <v>0</v>
      </c>
      <c r="J116" s="31">
        <v>1807127.804</v>
      </c>
      <c r="K116" s="31">
        <v>0</v>
      </c>
      <c r="L116" s="31">
        <v>1822284.99</v>
      </c>
      <c r="M116" s="31">
        <v>0</v>
      </c>
      <c r="N116" s="31">
        <v>2043054.7109999999</v>
      </c>
      <c r="O116" s="31">
        <v>0</v>
      </c>
      <c r="P116" s="31">
        <v>2337930.6310000001</v>
      </c>
      <c r="Q116" s="31">
        <v>0</v>
      </c>
      <c r="R116" s="31">
        <v>2617114.8450000002</v>
      </c>
      <c r="S116" s="31">
        <v>0</v>
      </c>
      <c r="T116" s="31">
        <v>2992244.6609999998</v>
      </c>
      <c r="U116" s="38">
        <v>0</v>
      </c>
      <c r="V116" s="38">
        <v>3414387.8169999998</v>
      </c>
    </row>
    <row r="117" spans="1:22" ht="3" customHeight="1" x14ac:dyDescent="0.25">
      <c r="A117">
        <v>7105</v>
      </c>
      <c r="B117" t="s">
        <v>156</v>
      </c>
      <c r="C117" s="31">
        <v>0</v>
      </c>
      <c r="D117" s="31">
        <v>2608382.0129999998</v>
      </c>
      <c r="E117" s="31">
        <v>0</v>
      </c>
      <c r="F117" s="31">
        <v>3083772.395</v>
      </c>
      <c r="G117" s="31">
        <v>0</v>
      </c>
      <c r="H117" s="31">
        <v>3666430.611</v>
      </c>
      <c r="I117" s="31">
        <v>0</v>
      </c>
      <c r="J117" s="31">
        <v>4338557.9189999998</v>
      </c>
      <c r="K117" s="31">
        <v>0</v>
      </c>
      <c r="L117" s="31">
        <v>4497192.5080000004</v>
      </c>
      <c r="M117" s="31">
        <v>0</v>
      </c>
      <c r="N117" s="31">
        <v>5044599.2470000004</v>
      </c>
      <c r="O117" s="31">
        <v>0</v>
      </c>
      <c r="P117" s="31">
        <v>7273654.2400000002</v>
      </c>
      <c r="Q117" s="31">
        <v>0</v>
      </c>
      <c r="R117" s="31">
        <v>9463151.2809999995</v>
      </c>
      <c r="S117" s="31">
        <v>0</v>
      </c>
      <c r="T117" s="31">
        <v>10520719.58</v>
      </c>
      <c r="U117" s="38">
        <v>0</v>
      </c>
      <c r="V117" s="38">
        <v>11438556.956</v>
      </c>
    </row>
    <row r="118" spans="1:22" ht="3" customHeight="1" x14ac:dyDescent="0.25">
      <c r="A118">
        <v>7106</v>
      </c>
      <c r="B118" t="s">
        <v>154</v>
      </c>
      <c r="C118" s="31">
        <v>0</v>
      </c>
      <c r="D118" s="31">
        <v>1068594.233</v>
      </c>
      <c r="E118" s="31">
        <v>0</v>
      </c>
      <c r="F118" s="31">
        <v>1154169.7620000001</v>
      </c>
      <c r="G118" s="31">
        <v>0</v>
      </c>
      <c r="H118" s="31">
        <v>1323553.706</v>
      </c>
      <c r="I118" s="31">
        <v>0</v>
      </c>
      <c r="J118" s="31">
        <v>1437073.132</v>
      </c>
      <c r="K118" s="31">
        <v>0</v>
      </c>
      <c r="L118" s="31">
        <v>1457688.075</v>
      </c>
      <c r="M118" s="31">
        <v>0</v>
      </c>
      <c r="N118" s="31">
        <v>1634533.2239999999</v>
      </c>
      <c r="O118" s="31">
        <v>0</v>
      </c>
      <c r="P118" s="31">
        <v>1983157.8049999999</v>
      </c>
      <c r="Q118" s="31">
        <v>0</v>
      </c>
      <c r="R118" s="31">
        <v>2309545.446</v>
      </c>
      <c r="S118" s="31">
        <v>0</v>
      </c>
      <c r="T118" s="31">
        <v>2502024.3689999999</v>
      </c>
      <c r="U118" s="38">
        <v>0</v>
      </c>
      <c r="V118" s="38">
        <v>2631492.8450000002</v>
      </c>
    </row>
    <row r="119" spans="1:22" ht="3" customHeight="1" x14ac:dyDescent="0.25">
      <c r="A119">
        <v>7107</v>
      </c>
      <c r="B119" t="s">
        <v>155</v>
      </c>
      <c r="C119" s="31">
        <v>0</v>
      </c>
      <c r="D119" s="31">
        <v>1288895.915</v>
      </c>
      <c r="E119" s="31">
        <v>0</v>
      </c>
      <c r="F119" s="31">
        <v>1357987.2609999999</v>
      </c>
      <c r="G119" s="31">
        <v>0</v>
      </c>
      <c r="H119" s="31">
        <v>1455224.83</v>
      </c>
      <c r="I119" s="31">
        <v>0</v>
      </c>
      <c r="J119" s="31">
        <v>1567908.605</v>
      </c>
      <c r="K119" s="31">
        <v>0</v>
      </c>
      <c r="L119" s="31">
        <v>1581891.344</v>
      </c>
      <c r="M119" s="31">
        <v>0</v>
      </c>
      <c r="N119" s="31">
        <v>1773561.027</v>
      </c>
      <c r="O119" s="31">
        <v>0</v>
      </c>
      <c r="P119" s="31">
        <v>2064313.6259999999</v>
      </c>
      <c r="Q119" s="31">
        <v>0</v>
      </c>
      <c r="R119" s="31">
        <v>2375530.6120000002</v>
      </c>
      <c r="S119" s="31">
        <v>0</v>
      </c>
      <c r="T119" s="31">
        <v>2572041.1549999998</v>
      </c>
      <c r="U119" s="38">
        <v>0</v>
      </c>
      <c r="V119" s="38">
        <v>2730778.4010000001</v>
      </c>
    </row>
    <row r="120" spans="1:22" ht="3" customHeight="1" x14ac:dyDescent="0.25">
      <c r="A120">
        <v>7108</v>
      </c>
      <c r="B120" t="s">
        <v>388</v>
      </c>
      <c r="C120" s="31">
        <v>0</v>
      </c>
      <c r="D120" s="31">
        <v>1398637.58</v>
      </c>
      <c r="E120" s="31">
        <v>0</v>
      </c>
      <c r="F120" s="31">
        <v>1473611.9639999999</v>
      </c>
      <c r="G120" s="31">
        <v>0</v>
      </c>
      <c r="H120" s="31">
        <v>1572001.7960000001</v>
      </c>
      <c r="I120" s="31">
        <v>0</v>
      </c>
      <c r="J120" s="31">
        <v>1682105.1569999999</v>
      </c>
      <c r="K120" s="31">
        <v>0</v>
      </c>
      <c r="L120" s="31">
        <v>1697786.2169999999</v>
      </c>
      <c r="M120" s="31">
        <v>0</v>
      </c>
      <c r="N120" s="31">
        <v>1903575.4450000001</v>
      </c>
      <c r="O120" s="31">
        <v>0</v>
      </c>
      <c r="P120" s="31">
        <v>2240174.9569999999</v>
      </c>
      <c r="Q120" s="31">
        <v>0</v>
      </c>
      <c r="R120" s="31">
        <v>2575743.7949999999</v>
      </c>
      <c r="S120" s="31">
        <v>0</v>
      </c>
      <c r="T120" s="31">
        <v>2801855.071</v>
      </c>
      <c r="U120" s="38">
        <v>0</v>
      </c>
      <c r="V120" s="38">
        <v>2953748.8969999999</v>
      </c>
    </row>
    <row r="121" spans="1:22" ht="3" customHeight="1" x14ac:dyDescent="0.25">
      <c r="A121">
        <v>7109</v>
      </c>
      <c r="B121" t="s">
        <v>153</v>
      </c>
      <c r="C121" s="31">
        <v>0</v>
      </c>
      <c r="D121" s="31">
        <v>3974507.6869999999</v>
      </c>
      <c r="E121" s="31">
        <v>0</v>
      </c>
      <c r="F121" s="31">
        <v>4308891.3109999998</v>
      </c>
      <c r="G121" s="31">
        <v>0</v>
      </c>
      <c r="H121" s="31">
        <v>4861345.5489999996</v>
      </c>
      <c r="I121" s="31">
        <v>0</v>
      </c>
      <c r="J121" s="31">
        <v>5337604.2719999999</v>
      </c>
      <c r="K121" s="31">
        <v>0</v>
      </c>
      <c r="L121" s="31">
        <v>5411540.0369999995</v>
      </c>
      <c r="M121" s="31">
        <v>0</v>
      </c>
      <c r="N121" s="31">
        <v>6068234.4189999998</v>
      </c>
      <c r="O121" s="31">
        <v>0</v>
      </c>
      <c r="P121" s="31">
        <v>7401970.6409999998</v>
      </c>
      <c r="Q121" s="31">
        <v>0</v>
      </c>
      <c r="R121" s="31">
        <v>8795918.8560000006</v>
      </c>
      <c r="S121" s="31">
        <v>0</v>
      </c>
      <c r="T121" s="31">
        <v>9812201.3579999991</v>
      </c>
      <c r="U121" s="38">
        <v>0</v>
      </c>
      <c r="V121" s="38">
        <v>10673583.765000001</v>
      </c>
    </row>
    <row r="122" spans="1:22" ht="3" customHeight="1" x14ac:dyDescent="0.25">
      <c r="A122">
        <v>7110</v>
      </c>
      <c r="B122" t="s">
        <v>159</v>
      </c>
      <c r="C122" s="31">
        <v>0</v>
      </c>
      <c r="D122" s="31">
        <v>1238052.9939999999</v>
      </c>
      <c r="E122" s="31">
        <v>0</v>
      </c>
      <c r="F122" s="31">
        <v>1304516.588</v>
      </c>
      <c r="G122" s="31">
        <v>0</v>
      </c>
      <c r="H122" s="31">
        <v>1426225.534</v>
      </c>
      <c r="I122" s="31">
        <v>0</v>
      </c>
      <c r="J122" s="31">
        <v>1582415.932</v>
      </c>
      <c r="K122" s="31">
        <v>0</v>
      </c>
      <c r="L122" s="31">
        <v>1607740.621</v>
      </c>
      <c r="M122" s="31">
        <v>0</v>
      </c>
      <c r="N122" s="31">
        <v>1802706.6780000001</v>
      </c>
      <c r="O122" s="31">
        <v>0</v>
      </c>
      <c r="P122" s="31">
        <v>2198112.7990000001</v>
      </c>
      <c r="Q122" s="31">
        <v>0</v>
      </c>
      <c r="R122" s="31">
        <v>2615935.2310000001</v>
      </c>
      <c r="S122" s="31">
        <v>0</v>
      </c>
      <c r="T122" s="31">
        <v>2836684.5559999999</v>
      </c>
      <c r="U122" s="38">
        <v>0</v>
      </c>
      <c r="V122" s="38">
        <v>3397092.4180000001</v>
      </c>
    </row>
    <row r="123" spans="1:22" ht="3" customHeight="1" x14ac:dyDescent="0.25">
      <c r="A123">
        <v>7201</v>
      </c>
      <c r="B123" t="s">
        <v>166</v>
      </c>
      <c r="C123" s="31">
        <v>0</v>
      </c>
      <c r="D123" s="31">
        <v>4585887.6540000001</v>
      </c>
      <c r="E123" s="31">
        <v>0</v>
      </c>
      <c r="F123" s="31">
        <v>4990520.4280000003</v>
      </c>
      <c r="G123" s="31">
        <v>0</v>
      </c>
      <c r="H123" s="31">
        <v>5334968.4419999998</v>
      </c>
      <c r="I123" s="31">
        <v>0</v>
      </c>
      <c r="J123" s="31">
        <v>5787396.8430000003</v>
      </c>
      <c r="K123" s="31">
        <v>0</v>
      </c>
      <c r="L123" s="31">
        <v>5850772.2529999996</v>
      </c>
      <c r="M123" s="31">
        <v>0</v>
      </c>
      <c r="N123" s="31">
        <v>6560429.8150000004</v>
      </c>
      <c r="O123" s="31">
        <v>0</v>
      </c>
      <c r="P123" s="31">
        <v>8141458.9800000004</v>
      </c>
      <c r="Q123" s="31">
        <v>0</v>
      </c>
      <c r="R123" s="31">
        <v>9521483.6919999998</v>
      </c>
      <c r="S123" s="31">
        <v>0</v>
      </c>
      <c r="T123" s="31">
        <v>10120016.499</v>
      </c>
      <c r="U123" s="38">
        <v>0</v>
      </c>
      <c r="V123" s="38">
        <v>11340846.132999999</v>
      </c>
    </row>
    <row r="124" spans="1:22" ht="3" customHeight="1" x14ac:dyDescent="0.25">
      <c r="A124">
        <v>7202</v>
      </c>
      <c r="B124" t="s">
        <v>168</v>
      </c>
      <c r="C124" s="31">
        <v>0</v>
      </c>
      <c r="D124" s="31">
        <v>1752446.6580000001</v>
      </c>
      <c r="E124" s="31">
        <v>0</v>
      </c>
      <c r="F124" s="31">
        <v>1866184.425</v>
      </c>
      <c r="G124" s="31">
        <v>0</v>
      </c>
      <c r="H124" s="31">
        <v>2006077.01</v>
      </c>
      <c r="I124" s="31">
        <v>0</v>
      </c>
      <c r="J124" s="31">
        <v>2183540.835</v>
      </c>
      <c r="K124" s="31">
        <v>0</v>
      </c>
      <c r="L124" s="31">
        <v>2213290.0430000001</v>
      </c>
      <c r="M124" s="31">
        <v>0</v>
      </c>
      <c r="N124" s="31">
        <v>2481791.5090000001</v>
      </c>
      <c r="O124" s="31">
        <v>0</v>
      </c>
      <c r="P124" s="31">
        <v>3019546.8829999999</v>
      </c>
      <c r="Q124" s="31">
        <v>0</v>
      </c>
      <c r="R124" s="31">
        <v>3528068.375</v>
      </c>
      <c r="S124" s="31">
        <v>0</v>
      </c>
      <c r="T124" s="31">
        <v>3826907.0060000001</v>
      </c>
      <c r="U124" s="38">
        <v>0</v>
      </c>
      <c r="V124" s="38">
        <v>4438929.1940000001</v>
      </c>
    </row>
    <row r="125" spans="1:22" ht="3" customHeight="1" x14ac:dyDescent="0.25">
      <c r="A125">
        <v>7203</v>
      </c>
      <c r="B125" t="s">
        <v>167</v>
      </c>
      <c r="C125" s="31">
        <v>0</v>
      </c>
      <c r="D125" s="31">
        <v>2576032.5980000002</v>
      </c>
      <c r="E125" s="31">
        <v>0</v>
      </c>
      <c r="F125" s="31">
        <v>2888929.1359999999</v>
      </c>
      <c r="G125" s="31">
        <v>0</v>
      </c>
      <c r="H125" s="31">
        <v>4240019.9970000004</v>
      </c>
      <c r="I125" s="31">
        <v>0</v>
      </c>
      <c r="J125" s="31">
        <v>4900163.3820000002</v>
      </c>
      <c r="K125" s="31">
        <v>0</v>
      </c>
      <c r="L125" s="31">
        <v>5044730.0980000002</v>
      </c>
      <c r="M125" s="31">
        <v>0</v>
      </c>
      <c r="N125" s="31">
        <v>5658395.6809999999</v>
      </c>
      <c r="O125" s="31">
        <v>0</v>
      </c>
      <c r="P125" s="31">
        <v>6499144.3389999997</v>
      </c>
      <c r="Q125" s="31">
        <v>0</v>
      </c>
      <c r="R125" s="31">
        <v>7615015.7879999997</v>
      </c>
      <c r="S125" s="31">
        <v>0</v>
      </c>
      <c r="T125" s="31">
        <v>8965051.2819999997</v>
      </c>
      <c r="U125" s="38">
        <v>0</v>
      </c>
      <c r="V125" s="38">
        <v>9333862.682</v>
      </c>
    </row>
    <row r="126" spans="1:22" ht="3" customHeight="1" x14ac:dyDescent="0.25">
      <c r="A126">
        <v>7301</v>
      </c>
      <c r="B126" t="s">
        <v>389</v>
      </c>
      <c r="C126" s="31">
        <v>0</v>
      </c>
      <c r="D126" s="31">
        <v>7955410.1900000004</v>
      </c>
      <c r="E126" s="31">
        <v>0</v>
      </c>
      <c r="F126" s="31">
        <v>8868506.398</v>
      </c>
      <c r="G126" s="31">
        <v>0</v>
      </c>
      <c r="H126" s="31">
        <v>9967486.7569999993</v>
      </c>
      <c r="I126" s="31">
        <v>0</v>
      </c>
      <c r="J126" s="31">
        <v>10849618.973999999</v>
      </c>
      <c r="K126" s="31">
        <v>0</v>
      </c>
      <c r="L126" s="31">
        <v>10944802.636</v>
      </c>
      <c r="M126" s="31">
        <v>0</v>
      </c>
      <c r="N126" s="31">
        <v>12270764.348999999</v>
      </c>
      <c r="O126" s="31">
        <v>0</v>
      </c>
      <c r="P126" s="31">
        <v>14177629.306</v>
      </c>
      <c r="Q126" s="31">
        <v>0</v>
      </c>
      <c r="R126" s="31">
        <v>15371115.051000001</v>
      </c>
      <c r="S126" s="31">
        <v>0</v>
      </c>
      <c r="T126" s="31">
        <v>17583083.122000001</v>
      </c>
      <c r="U126" s="38">
        <v>0</v>
      </c>
      <c r="V126" s="38">
        <v>19027009.155000001</v>
      </c>
    </row>
    <row r="127" spans="1:22" ht="3" customHeight="1" x14ac:dyDescent="0.25">
      <c r="A127">
        <v>7302</v>
      </c>
      <c r="B127" t="s">
        <v>390</v>
      </c>
      <c r="C127" s="31">
        <v>0</v>
      </c>
      <c r="D127" s="31">
        <v>1561237.2509999999</v>
      </c>
      <c r="E127" s="31">
        <v>0</v>
      </c>
      <c r="F127" s="31">
        <v>1644927.1029999999</v>
      </c>
      <c r="G127" s="31">
        <v>0</v>
      </c>
      <c r="H127" s="31">
        <v>1762157.1270000001</v>
      </c>
      <c r="I127" s="31">
        <v>0</v>
      </c>
      <c r="J127" s="31">
        <v>1906666.8489999999</v>
      </c>
      <c r="K127" s="31">
        <v>0</v>
      </c>
      <c r="L127" s="31">
        <v>1922660.142</v>
      </c>
      <c r="M127" s="31">
        <v>0</v>
      </c>
      <c r="N127" s="31">
        <v>2155617.483</v>
      </c>
      <c r="O127" s="31">
        <v>0</v>
      </c>
      <c r="P127" s="31">
        <v>2435386.1260000002</v>
      </c>
      <c r="Q127" s="31">
        <v>0</v>
      </c>
      <c r="R127" s="31">
        <v>2652756.7259999998</v>
      </c>
      <c r="S127" s="31">
        <v>0</v>
      </c>
      <c r="T127" s="31">
        <v>2872052.9279999998</v>
      </c>
      <c r="U127" s="38">
        <v>0</v>
      </c>
      <c r="V127" s="38">
        <v>3482455.838</v>
      </c>
    </row>
    <row r="128" spans="1:22" ht="3" customHeight="1" x14ac:dyDescent="0.25">
      <c r="A128">
        <v>7303</v>
      </c>
      <c r="B128" t="s">
        <v>391</v>
      </c>
      <c r="C128" s="31">
        <v>0</v>
      </c>
      <c r="D128" s="31">
        <v>1626130.1040000001</v>
      </c>
      <c r="E128" s="31">
        <v>0</v>
      </c>
      <c r="F128" s="31">
        <v>1853850.638</v>
      </c>
      <c r="G128" s="31">
        <v>0</v>
      </c>
      <c r="H128" s="31">
        <v>2501105.5920000002</v>
      </c>
      <c r="I128" s="31">
        <v>0</v>
      </c>
      <c r="J128" s="31">
        <v>2944325.4180000001</v>
      </c>
      <c r="K128" s="31">
        <v>0</v>
      </c>
      <c r="L128" s="31">
        <v>3035117.8769999999</v>
      </c>
      <c r="M128" s="31">
        <v>0</v>
      </c>
      <c r="N128" s="31">
        <v>3404277.1320000002</v>
      </c>
      <c r="O128" s="31">
        <v>0</v>
      </c>
      <c r="P128" s="31">
        <v>3933148.3220000002</v>
      </c>
      <c r="Q128" s="31">
        <v>0</v>
      </c>
      <c r="R128" s="31">
        <v>4629425.2340000002</v>
      </c>
      <c r="S128" s="31">
        <v>0</v>
      </c>
      <c r="T128" s="31">
        <v>5403307.9409999996</v>
      </c>
      <c r="U128" s="38">
        <v>0</v>
      </c>
      <c r="V128" s="38">
        <v>6093110.7259999998</v>
      </c>
    </row>
    <row r="129" spans="1:22" ht="3" customHeight="1" x14ac:dyDescent="0.25">
      <c r="A129">
        <v>7304</v>
      </c>
      <c r="B129" t="s">
        <v>150</v>
      </c>
      <c r="C129" s="31">
        <v>0</v>
      </c>
      <c r="D129" s="31">
        <v>3770753.213</v>
      </c>
      <c r="E129" s="31">
        <v>0</v>
      </c>
      <c r="F129" s="31">
        <v>3972884.46</v>
      </c>
      <c r="G129" s="31">
        <v>0</v>
      </c>
      <c r="H129" s="31">
        <v>4426868.4179999996</v>
      </c>
      <c r="I129" s="31">
        <v>0</v>
      </c>
      <c r="J129" s="31">
        <v>4984248.7240000004</v>
      </c>
      <c r="K129" s="31">
        <v>0</v>
      </c>
      <c r="L129" s="31">
        <v>5098613.932</v>
      </c>
      <c r="M129" s="31">
        <v>0</v>
      </c>
      <c r="N129" s="31">
        <v>5718923.8300000001</v>
      </c>
      <c r="O129" s="31">
        <v>0</v>
      </c>
      <c r="P129" s="31">
        <v>7427777.8329999996</v>
      </c>
      <c r="Q129" s="31">
        <v>0</v>
      </c>
      <c r="R129" s="31">
        <v>9193506.1429999992</v>
      </c>
      <c r="S129" s="31">
        <v>0</v>
      </c>
      <c r="T129" s="31">
        <v>10419197.372</v>
      </c>
      <c r="U129" s="38">
        <v>0</v>
      </c>
      <c r="V129" s="38">
        <v>10636629.773</v>
      </c>
    </row>
    <row r="130" spans="1:22" ht="3" customHeight="1" x14ac:dyDescent="0.25">
      <c r="A130">
        <v>7305</v>
      </c>
      <c r="B130" t="s">
        <v>149</v>
      </c>
      <c r="C130" s="31">
        <v>0</v>
      </c>
      <c r="D130" s="31">
        <v>1385085.1780000001</v>
      </c>
      <c r="E130" s="31">
        <v>0</v>
      </c>
      <c r="F130" s="31">
        <v>1459332.7990000001</v>
      </c>
      <c r="G130" s="31">
        <v>0</v>
      </c>
      <c r="H130" s="31">
        <v>1571031.3319999999</v>
      </c>
      <c r="I130" s="31">
        <v>0</v>
      </c>
      <c r="J130" s="31">
        <v>1683150.4820000001</v>
      </c>
      <c r="K130" s="31">
        <v>0</v>
      </c>
      <c r="L130" s="31">
        <v>1705013.888</v>
      </c>
      <c r="M130" s="31">
        <v>0</v>
      </c>
      <c r="N130" s="31">
        <v>1911766.372</v>
      </c>
      <c r="O130" s="31">
        <v>0</v>
      </c>
      <c r="P130" s="31">
        <v>2342452.0729999999</v>
      </c>
      <c r="Q130" s="31">
        <v>0</v>
      </c>
      <c r="R130" s="31">
        <v>2689319.03</v>
      </c>
      <c r="S130" s="31">
        <v>0</v>
      </c>
      <c r="T130" s="31">
        <v>2892288.2370000002</v>
      </c>
      <c r="U130" s="38">
        <v>0</v>
      </c>
      <c r="V130" s="38">
        <v>3208070.4870000002</v>
      </c>
    </row>
    <row r="131" spans="1:22" ht="3" customHeight="1" x14ac:dyDescent="0.25">
      <c r="A131">
        <v>7306</v>
      </c>
      <c r="B131" t="s">
        <v>148</v>
      </c>
      <c r="C131" s="31">
        <v>0</v>
      </c>
      <c r="D131" s="31">
        <v>1129565.851</v>
      </c>
      <c r="E131" s="31">
        <v>0</v>
      </c>
      <c r="F131" s="31">
        <v>1242674.2339999999</v>
      </c>
      <c r="G131" s="31">
        <v>0</v>
      </c>
      <c r="H131" s="31">
        <v>1412154.0109999999</v>
      </c>
      <c r="I131" s="31">
        <v>0</v>
      </c>
      <c r="J131" s="31">
        <v>1552164.1740000001</v>
      </c>
      <c r="K131" s="31">
        <v>0</v>
      </c>
      <c r="L131" s="31">
        <v>1576070.0279999999</v>
      </c>
      <c r="M131" s="31">
        <v>0</v>
      </c>
      <c r="N131" s="31">
        <v>1767337.4609999999</v>
      </c>
      <c r="O131" s="31">
        <v>0</v>
      </c>
      <c r="P131" s="31">
        <v>2159680.827</v>
      </c>
      <c r="Q131" s="31">
        <v>0</v>
      </c>
      <c r="R131" s="31">
        <v>2555254.1910000001</v>
      </c>
      <c r="S131" s="31">
        <v>0</v>
      </c>
      <c r="T131" s="31">
        <v>2837629.2420000001</v>
      </c>
      <c r="U131" s="38">
        <v>0</v>
      </c>
      <c r="V131" s="38">
        <v>2989233.0830000001</v>
      </c>
    </row>
    <row r="132" spans="1:22" ht="3" customHeight="1" x14ac:dyDescent="0.25">
      <c r="A132">
        <v>7307</v>
      </c>
      <c r="B132" t="s">
        <v>151</v>
      </c>
      <c r="C132" s="31">
        <v>0</v>
      </c>
      <c r="D132" s="31">
        <v>1849388.9680000001</v>
      </c>
      <c r="E132" s="31">
        <v>0</v>
      </c>
      <c r="F132" s="31">
        <v>1948525.253</v>
      </c>
      <c r="G132" s="31">
        <v>0</v>
      </c>
      <c r="H132" s="31">
        <v>2096940.0190000001</v>
      </c>
      <c r="I132" s="31">
        <v>0</v>
      </c>
      <c r="J132" s="31">
        <v>2243809.9890000001</v>
      </c>
      <c r="K132" s="31">
        <v>0</v>
      </c>
      <c r="L132" s="31">
        <v>2262630.9180000001</v>
      </c>
      <c r="M132" s="31">
        <v>0</v>
      </c>
      <c r="N132" s="31">
        <v>2536748.6179999998</v>
      </c>
      <c r="O132" s="31">
        <v>0</v>
      </c>
      <c r="P132" s="31">
        <v>2860765.5589999999</v>
      </c>
      <c r="Q132" s="31">
        <v>0</v>
      </c>
      <c r="R132" s="31">
        <v>3101587.6529999999</v>
      </c>
      <c r="S132" s="31">
        <v>0</v>
      </c>
      <c r="T132" s="31">
        <v>3207024.625</v>
      </c>
      <c r="U132" s="38">
        <v>0</v>
      </c>
      <c r="V132" s="38">
        <v>3276572.969</v>
      </c>
    </row>
    <row r="133" spans="1:22" ht="3" customHeight="1" x14ac:dyDescent="0.25">
      <c r="A133">
        <v>7308</v>
      </c>
      <c r="B133" t="s">
        <v>147</v>
      </c>
      <c r="C133" s="31">
        <v>0</v>
      </c>
      <c r="D133" s="31">
        <v>2000417.0249999999</v>
      </c>
      <c r="E133" s="31">
        <v>0</v>
      </c>
      <c r="F133" s="31">
        <v>2110319.6549999998</v>
      </c>
      <c r="G133" s="31">
        <v>0</v>
      </c>
      <c r="H133" s="31">
        <v>2347389.8530000001</v>
      </c>
      <c r="I133" s="31">
        <v>0</v>
      </c>
      <c r="J133" s="31">
        <v>2550451.5240000002</v>
      </c>
      <c r="K133" s="31">
        <v>0</v>
      </c>
      <c r="L133" s="31">
        <v>2602063.69</v>
      </c>
      <c r="M133" s="31">
        <v>0</v>
      </c>
      <c r="N133" s="31">
        <v>2917447.534</v>
      </c>
      <c r="O133" s="31">
        <v>0</v>
      </c>
      <c r="P133" s="31">
        <v>3442451.08</v>
      </c>
      <c r="Q133" s="31">
        <v>0</v>
      </c>
      <c r="R133" s="31">
        <v>4045726.6230000001</v>
      </c>
      <c r="S133" s="31">
        <v>0</v>
      </c>
      <c r="T133" s="31">
        <v>4302549.2</v>
      </c>
      <c r="U133" s="38">
        <v>0</v>
      </c>
      <c r="V133" s="38">
        <v>4342797.3770000003</v>
      </c>
    </row>
    <row r="134" spans="1:22" ht="3" customHeight="1" x14ac:dyDescent="0.25">
      <c r="A134">
        <v>7309</v>
      </c>
      <c r="B134" t="s">
        <v>392</v>
      </c>
      <c r="C134" s="31">
        <v>0</v>
      </c>
      <c r="D134" s="31">
        <v>945560.04799999995</v>
      </c>
      <c r="E134" s="31">
        <v>0</v>
      </c>
      <c r="F134" s="31">
        <v>1030026.493</v>
      </c>
      <c r="G134" s="31">
        <v>0</v>
      </c>
      <c r="H134" s="31">
        <v>1210083.3319999999</v>
      </c>
      <c r="I134" s="31">
        <v>0</v>
      </c>
      <c r="J134" s="31">
        <v>1321119.2919999999</v>
      </c>
      <c r="K134" s="31">
        <v>0</v>
      </c>
      <c r="L134" s="31">
        <v>1338779.7080000001</v>
      </c>
      <c r="M134" s="31">
        <v>0</v>
      </c>
      <c r="N134" s="31">
        <v>1501129.0689999999</v>
      </c>
      <c r="O134" s="31">
        <v>0</v>
      </c>
      <c r="P134" s="31">
        <v>1789441.9310000001</v>
      </c>
      <c r="Q134" s="31">
        <v>0</v>
      </c>
      <c r="R134" s="31">
        <v>2037434.4650000001</v>
      </c>
      <c r="S134" s="31">
        <v>0</v>
      </c>
      <c r="T134" s="31">
        <v>2198479.5729999999</v>
      </c>
      <c r="U134" s="38">
        <v>0</v>
      </c>
      <c r="V134" s="38">
        <v>2280336.4720000001</v>
      </c>
    </row>
    <row r="135" spans="1:22" ht="3" customHeight="1" x14ac:dyDescent="0.25">
      <c r="A135">
        <v>7401</v>
      </c>
      <c r="B135" t="s">
        <v>160</v>
      </c>
      <c r="C135" s="31">
        <v>0</v>
      </c>
      <c r="D135" s="31">
        <v>6911640.3619999997</v>
      </c>
      <c r="E135" s="31">
        <v>0</v>
      </c>
      <c r="F135" s="31">
        <v>7518860.9129999997</v>
      </c>
      <c r="G135" s="31">
        <v>0</v>
      </c>
      <c r="H135" s="31">
        <v>8532695.5329999998</v>
      </c>
      <c r="I135" s="31">
        <v>0</v>
      </c>
      <c r="J135" s="31">
        <v>9234562.7740000002</v>
      </c>
      <c r="K135" s="31">
        <v>0</v>
      </c>
      <c r="L135" s="31">
        <v>9326498.6339999996</v>
      </c>
      <c r="M135" s="31">
        <v>0</v>
      </c>
      <c r="N135" s="31">
        <v>10457509.49</v>
      </c>
      <c r="O135" s="31">
        <v>0</v>
      </c>
      <c r="P135" s="31">
        <v>12931000.251</v>
      </c>
      <c r="Q135" s="31">
        <v>0</v>
      </c>
      <c r="R135" s="31">
        <v>15245861.434</v>
      </c>
      <c r="S135" s="31">
        <v>0</v>
      </c>
      <c r="T135" s="31">
        <v>16757754.732999999</v>
      </c>
      <c r="U135" s="38">
        <v>0</v>
      </c>
      <c r="V135" s="38">
        <v>18570239.379000001</v>
      </c>
    </row>
    <row r="136" spans="1:22" ht="3" customHeight="1" x14ac:dyDescent="0.25">
      <c r="A136">
        <v>7402</v>
      </c>
      <c r="B136" t="s">
        <v>393</v>
      </c>
      <c r="C136" s="31">
        <v>0</v>
      </c>
      <c r="D136" s="31">
        <v>2516386.4730000002</v>
      </c>
      <c r="E136" s="31">
        <v>0</v>
      </c>
      <c r="F136" s="31">
        <v>2651276.5279999999</v>
      </c>
      <c r="G136" s="31">
        <v>0</v>
      </c>
      <c r="H136" s="31">
        <v>2941601.9539999999</v>
      </c>
      <c r="I136" s="31">
        <v>0</v>
      </c>
      <c r="J136" s="31">
        <v>3227041.5210000002</v>
      </c>
      <c r="K136" s="31">
        <v>0</v>
      </c>
      <c r="L136" s="31">
        <v>3294377.9789999998</v>
      </c>
      <c r="M136" s="31">
        <v>0</v>
      </c>
      <c r="N136" s="31">
        <v>3694746.5669999998</v>
      </c>
      <c r="O136" s="31">
        <v>0</v>
      </c>
      <c r="P136" s="31">
        <v>4277646.5180000002</v>
      </c>
      <c r="Q136" s="31">
        <v>0</v>
      </c>
      <c r="R136" s="31">
        <v>4637743.4009999996</v>
      </c>
      <c r="S136" s="31">
        <v>0</v>
      </c>
      <c r="T136" s="31">
        <v>4795399.983</v>
      </c>
      <c r="U136" s="38">
        <v>0</v>
      </c>
      <c r="V136" s="38">
        <v>4840258.8590000002</v>
      </c>
    </row>
    <row r="137" spans="1:22" ht="3" customHeight="1" x14ac:dyDescent="0.25">
      <c r="A137">
        <v>7403</v>
      </c>
      <c r="B137" t="s">
        <v>394</v>
      </c>
      <c r="C137" s="31">
        <v>0</v>
      </c>
      <c r="D137" s="31">
        <v>2874380.892</v>
      </c>
      <c r="E137" s="31">
        <v>0</v>
      </c>
      <c r="F137" s="31">
        <v>3045034.9410000001</v>
      </c>
      <c r="G137" s="31">
        <v>0</v>
      </c>
      <c r="H137" s="31">
        <v>3292439.93</v>
      </c>
      <c r="I137" s="31">
        <v>0</v>
      </c>
      <c r="J137" s="31">
        <v>3700678.2030000002</v>
      </c>
      <c r="K137" s="31">
        <v>0</v>
      </c>
      <c r="L137" s="31">
        <v>3795949.0350000001</v>
      </c>
      <c r="M137" s="31">
        <v>0</v>
      </c>
      <c r="N137" s="31">
        <v>4257851.8119999999</v>
      </c>
      <c r="O137" s="31">
        <v>0</v>
      </c>
      <c r="P137" s="31">
        <v>5829544.3219999997</v>
      </c>
      <c r="Q137" s="31">
        <v>0</v>
      </c>
      <c r="R137" s="31">
        <v>7040777.1900000004</v>
      </c>
      <c r="S137" s="31">
        <v>0</v>
      </c>
      <c r="T137" s="31">
        <v>7720346.0760000004</v>
      </c>
      <c r="U137" s="38">
        <v>0</v>
      </c>
      <c r="V137" s="38">
        <v>9068126.807</v>
      </c>
    </row>
    <row r="138" spans="1:22" ht="3" customHeight="1" x14ac:dyDescent="0.25">
      <c r="A138">
        <v>7404</v>
      </c>
      <c r="B138" t="s">
        <v>162</v>
      </c>
      <c r="C138" s="31">
        <v>0</v>
      </c>
      <c r="D138" s="31">
        <v>3535024.3539999998</v>
      </c>
      <c r="E138" s="31">
        <v>0</v>
      </c>
      <c r="F138" s="31">
        <v>3724518.395</v>
      </c>
      <c r="G138" s="31">
        <v>0</v>
      </c>
      <c r="H138" s="31">
        <v>4413235.9550000001</v>
      </c>
      <c r="I138" s="31">
        <v>0</v>
      </c>
      <c r="J138" s="31">
        <v>4877590.3789999997</v>
      </c>
      <c r="K138" s="31">
        <v>0</v>
      </c>
      <c r="L138" s="31">
        <v>4964025.023</v>
      </c>
      <c r="M138" s="31">
        <v>0</v>
      </c>
      <c r="N138" s="31">
        <v>5567244.0070000002</v>
      </c>
      <c r="O138" s="31">
        <v>0</v>
      </c>
      <c r="P138" s="31">
        <v>7126720.9139999999</v>
      </c>
      <c r="Q138" s="31">
        <v>0</v>
      </c>
      <c r="R138" s="31">
        <v>8501839.2129999995</v>
      </c>
      <c r="S138" s="31">
        <v>0</v>
      </c>
      <c r="T138" s="31">
        <v>9378802.1740000006</v>
      </c>
      <c r="U138" s="38">
        <v>0</v>
      </c>
      <c r="V138" s="38">
        <v>10779907.026000001</v>
      </c>
    </row>
    <row r="139" spans="1:22" ht="3" customHeight="1" x14ac:dyDescent="0.25">
      <c r="A139">
        <v>7405</v>
      </c>
      <c r="B139" t="s">
        <v>163</v>
      </c>
      <c r="C139" s="31">
        <v>0</v>
      </c>
      <c r="D139" s="31">
        <v>2127219.4900000002</v>
      </c>
      <c r="E139" s="31">
        <v>0</v>
      </c>
      <c r="F139" s="31">
        <v>2258265.281</v>
      </c>
      <c r="G139" s="31">
        <v>0</v>
      </c>
      <c r="H139" s="31">
        <v>2454274.1669999999</v>
      </c>
      <c r="I139" s="31">
        <v>0</v>
      </c>
      <c r="J139" s="31">
        <v>2665860.0980000002</v>
      </c>
      <c r="K139" s="31">
        <v>0</v>
      </c>
      <c r="L139" s="31">
        <v>2705777.389</v>
      </c>
      <c r="M139" s="31">
        <v>0</v>
      </c>
      <c r="N139" s="31">
        <v>3034204.6370000001</v>
      </c>
      <c r="O139" s="31">
        <v>0</v>
      </c>
      <c r="P139" s="31">
        <v>3844165.2620000001</v>
      </c>
      <c r="Q139" s="31">
        <v>0</v>
      </c>
      <c r="R139" s="31">
        <v>4520725.0719999997</v>
      </c>
      <c r="S139" s="31">
        <v>0</v>
      </c>
      <c r="T139" s="31">
        <v>4946553.2079999996</v>
      </c>
      <c r="U139" s="38">
        <v>0</v>
      </c>
      <c r="V139" s="38">
        <v>6075462.1529999999</v>
      </c>
    </row>
    <row r="140" spans="1:22" ht="3" customHeight="1" x14ac:dyDescent="0.25">
      <c r="A140">
        <v>7406</v>
      </c>
      <c r="B140" t="s">
        <v>165</v>
      </c>
      <c r="C140" s="31">
        <v>0</v>
      </c>
      <c r="D140" s="31">
        <v>3997281.108</v>
      </c>
      <c r="E140" s="31">
        <v>0</v>
      </c>
      <c r="F140" s="31">
        <v>4211555.0410000002</v>
      </c>
      <c r="G140" s="31">
        <v>0</v>
      </c>
      <c r="H140" s="31">
        <v>4898055.8250000002</v>
      </c>
      <c r="I140" s="31">
        <v>0</v>
      </c>
      <c r="J140" s="31">
        <v>5354983.983</v>
      </c>
      <c r="K140" s="31">
        <v>0</v>
      </c>
      <c r="L140" s="31">
        <v>5427508.4079999998</v>
      </c>
      <c r="M140" s="31">
        <v>0</v>
      </c>
      <c r="N140" s="31">
        <v>6086836.2680000002</v>
      </c>
      <c r="O140" s="31">
        <v>0</v>
      </c>
      <c r="P140" s="31">
        <v>7840590.0939999996</v>
      </c>
      <c r="Q140" s="31">
        <v>0</v>
      </c>
      <c r="R140" s="31">
        <v>9192510.8670000006</v>
      </c>
      <c r="S140" s="31">
        <v>0</v>
      </c>
      <c r="T140" s="31">
        <v>10246786.530999999</v>
      </c>
      <c r="U140" s="38">
        <v>0</v>
      </c>
      <c r="V140" s="38">
        <v>11181774.929</v>
      </c>
    </row>
    <row r="141" spans="1:22" ht="3" customHeight="1" x14ac:dyDescent="0.25">
      <c r="A141">
        <v>7407</v>
      </c>
      <c r="B141" t="s">
        <v>164</v>
      </c>
      <c r="C141" s="31">
        <v>0</v>
      </c>
      <c r="D141" s="31">
        <v>1946404.905</v>
      </c>
      <c r="E141" s="31">
        <v>0</v>
      </c>
      <c r="F141" s="31">
        <v>2054538.898</v>
      </c>
      <c r="G141" s="31">
        <v>0</v>
      </c>
      <c r="H141" s="31">
        <v>2197938.0950000002</v>
      </c>
      <c r="I141" s="31">
        <v>0</v>
      </c>
      <c r="J141" s="31">
        <v>2380290.2050000001</v>
      </c>
      <c r="K141" s="31">
        <v>0</v>
      </c>
      <c r="L141" s="31">
        <v>2407392.7510000002</v>
      </c>
      <c r="M141" s="31">
        <v>0</v>
      </c>
      <c r="N141" s="31">
        <v>2699521.43</v>
      </c>
      <c r="O141" s="31">
        <v>0</v>
      </c>
      <c r="P141" s="31">
        <v>3402399.7579999999</v>
      </c>
      <c r="Q141" s="31">
        <v>0</v>
      </c>
      <c r="R141" s="31">
        <v>4002581.52</v>
      </c>
      <c r="S141" s="31">
        <v>0</v>
      </c>
      <c r="T141" s="31">
        <v>4386926.9179999996</v>
      </c>
      <c r="U141" s="38">
        <v>0</v>
      </c>
      <c r="V141" s="38">
        <v>5072423.6579999998</v>
      </c>
    </row>
    <row r="142" spans="1:22" ht="3" customHeight="1" x14ac:dyDescent="0.25">
      <c r="A142">
        <v>7408</v>
      </c>
      <c r="B142" t="s">
        <v>161</v>
      </c>
      <c r="C142" s="31">
        <v>0</v>
      </c>
      <c r="D142" s="31">
        <v>1853944.841</v>
      </c>
      <c r="E142" s="31">
        <v>0</v>
      </c>
      <c r="F142" s="31">
        <v>1953713.7150000001</v>
      </c>
      <c r="G142" s="31">
        <v>0</v>
      </c>
      <c r="H142" s="31">
        <v>2127830.0619999999</v>
      </c>
      <c r="I142" s="31">
        <v>0</v>
      </c>
      <c r="J142" s="31">
        <v>2277944.1940000001</v>
      </c>
      <c r="K142" s="31">
        <v>0</v>
      </c>
      <c r="L142" s="31">
        <v>2313442.2420000001</v>
      </c>
      <c r="M142" s="31">
        <v>0</v>
      </c>
      <c r="N142" s="31">
        <v>2594232.4360000002</v>
      </c>
      <c r="O142" s="31">
        <v>0</v>
      </c>
      <c r="P142" s="31">
        <v>3159265.56</v>
      </c>
      <c r="Q142" s="31">
        <v>0</v>
      </c>
      <c r="R142" s="31">
        <v>3627989.432</v>
      </c>
      <c r="S142" s="31">
        <v>0</v>
      </c>
      <c r="T142" s="31">
        <v>3872731.4219999998</v>
      </c>
      <c r="U142" s="38">
        <v>0</v>
      </c>
      <c r="V142" s="38">
        <v>4540206.3380000005</v>
      </c>
    </row>
    <row r="143" spans="1:22" ht="3" customHeight="1" x14ac:dyDescent="0.25">
      <c r="A143">
        <v>8101</v>
      </c>
      <c r="B143" t="s">
        <v>395</v>
      </c>
      <c r="C143" s="31">
        <v>0</v>
      </c>
      <c r="D143" s="31">
        <v>4080431.28</v>
      </c>
      <c r="E143" s="31">
        <v>0</v>
      </c>
      <c r="F143" s="31">
        <v>4299162.8640000001</v>
      </c>
      <c r="G143" s="31">
        <v>0</v>
      </c>
      <c r="H143" s="31">
        <v>4897855.148</v>
      </c>
      <c r="I143" s="31">
        <v>0</v>
      </c>
      <c r="J143" s="31">
        <v>5240901.4740000004</v>
      </c>
      <c r="K143" s="31">
        <v>0</v>
      </c>
      <c r="L143" s="31">
        <v>5337451.7560000001</v>
      </c>
      <c r="M143" s="31">
        <v>0</v>
      </c>
      <c r="N143" s="31">
        <v>5985448.5180000002</v>
      </c>
      <c r="O143" s="31">
        <v>0</v>
      </c>
      <c r="P143" s="31">
        <v>7502554.9400000004</v>
      </c>
      <c r="Q143" s="31">
        <v>0</v>
      </c>
      <c r="R143" s="31">
        <v>9166103.2080000006</v>
      </c>
      <c r="S143" s="31">
        <v>0</v>
      </c>
      <c r="T143" s="31">
        <v>10483327.197000001</v>
      </c>
      <c r="U143" s="38">
        <v>0</v>
      </c>
      <c r="V143" s="38">
        <v>11027436.348999999</v>
      </c>
    </row>
    <row r="144" spans="1:22" ht="3" customHeight="1" x14ac:dyDescent="0.25">
      <c r="A144">
        <v>8102</v>
      </c>
      <c r="B144" t="s">
        <v>187</v>
      </c>
      <c r="C144" s="31">
        <v>0</v>
      </c>
      <c r="D144" s="31">
        <v>8919621.4979999997</v>
      </c>
      <c r="E144" s="31">
        <v>0</v>
      </c>
      <c r="F144" s="31">
        <v>9397757.4550000001</v>
      </c>
      <c r="G144" s="31">
        <v>0</v>
      </c>
      <c r="H144" s="31">
        <v>10126150.242000001</v>
      </c>
      <c r="I144" s="31">
        <v>0</v>
      </c>
      <c r="J144" s="31">
        <v>10888317.643999999</v>
      </c>
      <c r="K144" s="31">
        <v>0</v>
      </c>
      <c r="L144" s="31">
        <v>10989904.255000001</v>
      </c>
      <c r="M144" s="31">
        <v>0</v>
      </c>
      <c r="N144" s="31">
        <v>12322496.460999999</v>
      </c>
      <c r="O144" s="31">
        <v>0</v>
      </c>
      <c r="P144" s="31">
        <v>14431821.914999999</v>
      </c>
      <c r="Q144" s="31">
        <v>0</v>
      </c>
      <c r="R144" s="31">
        <v>16391407.744000001</v>
      </c>
      <c r="S144" s="31">
        <v>0</v>
      </c>
      <c r="T144" s="31">
        <v>17452607.429000001</v>
      </c>
      <c r="U144" s="38">
        <v>0</v>
      </c>
      <c r="V144" s="38">
        <v>17615868.076000001</v>
      </c>
    </row>
    <row r="145" spans="1:22" ht="3" customHeight="1" x14ac:dyDescent="0.25">
      <c r="A145">
        <v>8103</v>
      </c>
      <c r="B145" t="s">
        <v>191</v>
      </c>
      <c r="C145" s="31">
        <v>0</v>
      </c>
      <c r="D145" s="31">
        <v>7298061.9390000002</v>
      </c>
      <c r="E145" s="31">
        <v>0</v>
      </c>
      <c r="F145" s="31">
        <v>7689274.6869999999</v>
      </c>
      <c r="G145" s="31">
        <v>0</v>
      </c>
      <c r="H145" s="31">
        <v>8166291.9560000002</v>
      </c>
      <c r="I145" s="31">
        <v>0</v>
      </c>
      <c r="J145" s="31">
        <v>8738261.5079999994</v>
      </c>
      <c r="K145" s="31">
        <v>0</v>
      </c>
      <c r="L145" s="31">
        <v>8811556.5480000004</v>
      </c>
      <c r="M145" s="31">
        <v>0</v>
      </c>
      <c r="N145" s="31">
        <v>9879075.5559999999</v>
      </c>
      <c r="O145" s="31">
        <v>0</v>
      </c>
      <c r="P145" s="31">
        <v>11140922.495999999</v>
      </c>
      <c r="Q145" s="31">
        <v>0</v>
      </c>
      <c r="R145" s="31">
        <v>12078775.331</v>
      </c>
      <c r="S145" s="31">
        <v>0</v>
      </c>
      <c r="T145" s="31">
        <v>12489385.465</v>
      </c>
      <c r="U145" s="38">
        <v>0</v>
      </c>
      <c r="V145" s="38">
        <v>12606216.755999999</v>
      </c>
    </row>
    <row r="146" spans="1:22" ht="3" customHeight="1" x14ac:dyDescent="0.25">
      <c r="A146">
        <v>8104</v>
      </c>
      <c r="B146" t="s">
        <v>185</v>
      </c>
      <c r="C146" s="31">
        <v>0</v>
      </c>
      <c r="D146" s="31">
        <v>1761039.4979999999</v>
      </c>
      <c r="E146" s="31">
        <v>0</v>
      </c>
      <c r="F146" s="31">
        <v>1877590.527</v>
      </c>
      <c r="G146" s="31">
        <v>0</v>
      </c>
      <c r="H146" s="31">
        <v>2242330.773</v>
      </c>
      <c r="I146" s="31">
        <v>0</v>
      </c>
      <c r="J146" s="31">
        <v>2454291.25</v>
      </c>
      <c r="K146" s="31">
        <v>0</v>
      </c>
      <c r="L146" s="31">
        <v>2489826.8820000002</v>
      </c>
      <c r="M146" s="31">
        <v>0</v>
      </c>
      <c r="N146" s="31">
        <v>2792188.6839999999</v>
      </c>
      <c r="O146" s="31">
        <v>0</v>
      </c>
      <c r="P146" s="31">
        <v>3457393.67</v>
      </c>
      <c r="Q146" s="31">
        <v>0</v>
      </c>
      <c r="R146" s="31">
        <v>4073396.406</v>
      </c>
      <c r="S146" s="31">
        <v>0</v>
      </c>
      <c r="T146" s="31">
        <v>4435282.1849999996</v>
      </c>
      <c r="U146" s="38">
        <v>0</v>
      </c>
      <c r="V146" s="38">
        <v>4476772.3229999999</v>
      </c>
    </row>
    <row r="147" spans="1:22" ht="3" customHeight="1" x14ac:dyDescent="0.25">
      <c r="A147">
        <v>8105</v>
      </c>
      <c r="B147" t="s">
        <v>184</v>
      </c>
      <c r="C147" s="31">
        <v>0</v>
      </c>
      <c r="D147" s="31">
        <v>3133321.6630000002</v>
      </c>
      <c r="E147" s="31">
        <v>0</v>
      </c>
      <c r="F147" s="31">
        <v>3435915.4939999999</v>
      </c>
      <c r="G147" s="31">
        <v>0</v>
      </c>
      <c r="H147" s="31">
        <v>3730020.8280000002</v>
      </c>
      <c r="I147" s="31">
        <v>0</v>
      </c>
      <c r="J147" s="31">
        <v>4036586.3859999999</v>
      </c>
      <c r="K147" s="31">
        <v>0</v>
      </c>
      <c r="L147" s="31">
        <v>4085651.0839999998</v>
      </c>
      <c r="M147" s="31">
        <v>0</v>
      </c>
      <c r="N147" s="31">
        <v>4580851.4309999999</v>
      </c>
      <c r="O147" s="31">
        <v>0</v>
      </c>
      <c r="P147" s="31">
        <v>5389309.3260000004</v>
      </c>
      <c r="Q147" s="31">
        <v>0</v>
      </c>
      <c r="R147" s="31">
        <v>6184185.1909999996</v>
      </c>
      <c r="S147" s="31">
        <v>0</v>
      </c>
      <c r="T147" s="31">
        <v>6736689.8660000004</v>
      </c>
      <c r="U147" s="38">
        <v>0</v>
      </c>
      <c r="V147" s="38">
        <v>6825252.3320000004</v>
      </c>
    </row>
    <row r="148" spans="1:22" ht="3" customHeight="1" x14ac:dyDescent="0.25">
      <c r="A148">
        <v>8106</v>
      </c>
      <c r="B148" t="s">
        <v>188</v>
      </c>
      <c r="C148" s="31">
        <v>0</v>
      </c>
      <c r="D148" s="31">
        <v>5545588.7869999995</v>
      </c>
      <c r="E148" s="31">
        <v>0</v>
      </c>
      <c r="F148" s="31">
        <v>5842859.8830000004</v>
      </c>
      <c r="G148" s="31">
        <v>0</v>
      </c>
      <c r="H148" s="31">
        <v>6383270.7989999996</v>
      </c>
      <c r="I148" s="31">
        <v>0</v>
      </c>
      <c r="J148" s="31">
        <v>6916707.8880000003</v>
      </c>
      <c r="K148" s="31">
        <v>0</v>
      </c>
      <c r="L148" s="31">
        <v>7015362.5029999996</v>
      </c>
      <c r="M148" s="31">
        <v>0</v>
      </c>
      <c r="N148" s="31">
        <v>7866105.6619999995</v>
      </c>
      <c r="O148" s="31">
        <v>0</v>
      </c>
      <c r="P148" s="31">
        <v>9250607.2760000005</v>
      </c>
      <c r="Q148" s="31">
        <v>0</v>
      </c>
      <c r="R148" s="31">
        <v>10334652.812000001</v>
      </c>
      <c r="S148" s="31">
        <v>0</v>
      </c>
      <c r="T148" s="31">
        <v>11319447.148</v>
      </c>
      <c r="U148" s="38">
        <v>0</v>
      </c>
      <c r="V148" s="38">
        <v>11425335.446</v>
      </c>
    </row>
    <row r="149" spans="1:22" ht="3" customHeight="1" x14ac:dyDescent="0.25">
      <c r="A149">
        <v>8107</v>
      </c>
      <c r="B149" t="s">
        <v>183</v>
      </c>
      <c r="C149" s="31">
        <v>0</v>
      </c>
      <c r="D149" s="31">
        <v>3827445.159</v>
      </c>
      <c r="E149" s="31">
        <v>0</v>
      </c>
      <c r="F149" s="31">
        <v>4032615.6060000001</v>
      </c>
      <c r="G149" s="31">
        <v>0</v>
      </c>
      <c r="H149" s="31">
        <v>4327489.9560000002</v>
      </c>
      <c r="I149" s="31">
        <v>0</v>
      </c>
      <c r="J149" s="31">
        <v>4797198.5920000002</v>
      </c>
      <c r="K149" s="31">
        <v>0</v>
      </c>
      <c r="L149" s="31">
        <v>4877699.2829999998</v>
      </c>
      <c r="M149" s="31">
        <v>0</v>
      </c>
      <c r="N149" s="31">
        <v>5469365.9129999997</v>
      </c>
      <c r="O149" s="31">
        <v>0</v>
      </c>
      <c r="P149" s="31">
        <v>6533319.3279999997</v>
      </c>
      <c r="Q149" s="31">
        <v>0</v>
      </c>
      <c r="R149" s="31">
        <v>7578624.9919999996</v>
      </c>
      <c r="S149" s="31">
        <v>0</v>
      </c>
      <c r="T149" s="31">
        <v>8432705.9399999995</v>
      </c>
      <c r="U149" s="38">
        <v>0</v>
      </c>
      <c r="V149" s="38">
        <v>8511589.2300000004</v>
      </c>
    </row>
    <row r="150" spans="1:22" ht="3" customHeight="1" x14ac:dyDescent="0.25">
      <c r="A150">
        <v>8108</v>
      </c>
      <c r="B150" t="s">
        <v>190</v>
      </c>
      <c r="C150" s="31">
        <v>0</v>
      </c>
      <c r="D150" s="31">
        <v>3928544.5819999999</v>
      </c>
      <c r="E150" s="31">
        <v>0</v>
      </c>
      <c r="F150" s="31">
        <v>4288933.7589999996</v>
      </c>
      <c r="G150" s="31">
        <v>0</v>
      </c>
      <c r="H150" s="31">
        <v>4722789.5039999997</v>
      </c>
      <c r="I150" s="31">
        <v>0</v>
      </c>
      <c r="J150" s="31">
        <v>5146039.534</v>
      </c>
      <c r="K150" s="31">
        <v>0</v>
      </c>
      <c r="L150" s="31">
        <v>5219875.8899999997</v>
      </c>
      <c r="M150" s="31">
        <v>0</v>
      </c>
      <c r="N150" s="31">
        <v>5852506.9550000001</v>
      </c>
      <c r="O150" s="31">
        <v>0</v>
      </c>
      <c r="P150" s="31">
        <v>7648246.2340000002</v>
      </c>
      <c r="Q150" s="31">
        <v>0</v>
      </c>
      <c r="R150" s="31">
        <v>9003615.6860000007</v>
      </c>
      <c r="S150" s="31">
        <v>0</v>
      </c>
      <c r="T150" s="31">
        <v>10314776.454</v>
      </c>
      <c r="U150" s="38">
        <v>0</v>
      </c>
      <c r="V150" s="38">
        <v>11903690.157</v>
      </c>
    </row>
    <row r="151" spans="1:22" ht="3" customHeight="1" x14ac:dyDescent="0.25">
      <c r="A151">
        <v>8109</v>
      </c>
      <c r="B151" t="s">
        <v>189</v>
      </c>
      <c r="C151" s="31">
        <v>0</v>
      </c>
      <c r="D151" s="31">
        <v>2567696.719</v>
      </c>
      <c r="E151" s="31">
        <v>0</v>
      </c>
      <c r="F151" s="31">
        <v>2808815.09</v>
      </c>
      <c r="G151" s="31">
        <v>0</v>
      </c>
      <c r="H151" s="31">
        <v>3008645.4750000001</v>
      </c>
      <c r="I151" s="31">
        <v>0</v>
      </c>
      <c r="J151" s="31">
        <v>3271235.9789999998</v>
      </c>
      <c r="K151" s="31">
        <v>0</v>
      </c>
      <c r="L151" s="31">
        <v>3308938.861</v>
      </c>
      <c r="M151" s="31">
        <v>0</v>
      </c>
      <c r="N151" s="31">
        <v>3710255.696</v>
      </c>
      <c r="O151" s="31">
        <v>0</v>
      </c>
      <c r="P151" s="31">
        <v>4308853.09</v>
      </c>
      <c r="Q151" s="31">
        <v>0</v>
      </c>
      <c r="R151" s="31">
        <v>4909037.9110000003</v>
      </c>
      <c r="S151" s="31">
        <v>0</v>
      </c>
      <c r="T151" s="31">
        <v>5292730.3640000001</v>
      </c>
      <c r="U151" s="38">
        <v>0</v>
      </c>
      <c r="V151" s="38">
        <v>5536463.5829999996</v>
      </c>
    </row>
    <row r="152" spans="1:22" ht="3" customHeight="1" x14ac:dyDescent="0.25">
      <c r="A152">
        <v>8110</v>
      </c>
      <c r="B152" t="s">
        <v>186</v>
      </c>
      <c r="C152" s="31">
        <v>0</v>
      </c>
      <c r="D152" s="31">
        <v>5725240.4220000003</v>
      </c>
      <c r="E152" s="31">
        <v>0</v>
      </c>
      <c r="F152" s="31">
        <v>6052068.5</v>
      </c>
      <c r="G152" s="31">
        <v>0</v>
      </c>
      <c r="H152" s="31">
        <v>6742745.0659999996</v>
      </c>
      <c r="I152" s="31">
        <v>0</v>
      </c>
      <c r="J152" s="31">
        <v>7215008.0710000005</v>
      </c>
      <c r="K152" s="31">
        <v>0</v>
      </c>
      <c r="L152" s="31">
        <v>7275524.4409999996</v>
      </c>
      <c r="M152" s="31">
        <v>0</v>
      </c>
      <c r="N152" s="31">
        <v>8156952.034</v>
      </c>
      <c r="O152" s="31">
        <v>0</v>
      </c>
      <c r="P152" s="31">
        <v>9198832.4759999998</v>
      </c>
      <c r="Q152" s="31">
        <v>0</v>
      </c>
      <c r="R152" s="31">
        <v>10550285.817</v>
      </c>
      <c r="S152" s="31">
        <v>0</v>
      </c>
      <c r="T152" s="31">
        <v>11051814.308</v>
      </c>
      <c r="U152" s="38">
        <v>0</v>
      </c>
      <c r="V152" s="38">
        <v>11155197.869000001</v>
      </c>
    </row>
    <row r="153" spans="1:22" ht="3" customHeight="1" x14ac:dyDescent="0.25">
      <c r="A153">
        <v>8111</v>
      </c>
      <c r="B153" t="s">
        <v>396</v>
      </c>
      <c r="C153" s="31">
        <v>0</v>
      </c>
      <c r="D153" s="31">
        <v>5912116.8700000001</v>
      </c>
      <c r="E153" s="31">
        <v>0</v>
      </c>
      <c r="F153" s="31">
        <v>6293785.0690000001</v>
      </c>
      <c r="G153" s="31">
        <v>0</v>
      </c>
      <c r="H153" s="31">
        <v>7867422.9800000004</v>
      </c>
      <c r="I153" s="31">
        <v>0</v>
      </c>
      <c r="J153" s="31">
        <v>9048954.7469999995</v>
      </c>
      <c r="K153" s="31">
        <v>0</v>
      </c>
      <c r="L153" s="31">
        <v>9285223.9470000006</v>
      </c>
      <c r="M153" s="31">
        <v>0</v>
      </c>
      <c r="N153" s="31">
        <v>10413989.238</v>
      </c>
      <c r="O153" s="31">
        <v>0</v>
      </c>
      <c r="P153" s="31">
        <v>12399449.126</v>
      </c>
      <c r="Q153" s="31">
        <v>0</v>
      </c>
      <c r="R153" s="31">
        <v>14707640.267999999</v>
      </c>
      <c r="S153" s="31">
        <v>0</v>
      </c>
      <c r="T153" s="31">
        <v>16957986.750999998</v>
      </c>
      <c r="U153" s="38">
        <v>0</v>
      </c>
      <c r="V153" s="38">
        <v>17341843.793000001</v>
      </c>
    </row>
    <row r="154" spans="1:22" ht="3" customHeight="1" x14ac:dyDescent="0.25">
      <c r="A154">
        <v>8112</v>
      </c>
      <c r="B154" t="s">
        <v>397</v>
      </c>
      <c r="C154" s="31">
        <v>0</v>
      </c>
      <c r="D154" s="31">
        <v>4809080.71</v>
      </c>
      <c r="E154" s="31">
        <v>0</v>
      </c>
      <c r="F154" s="31">
        <v>5266063.7029999997</v>
      </c>
      <c r="G154" s="31">
        <v>0</v>
      </c>
      <c r="H154" s="31">
        <v>5810970.5580000002</v>
      </c>
      <c r="I154" s="31">
        <v>0</v>
      </c>
      <c r="J154" s="31">
        <v>6408043.9040000001</v>
      </c>
      <c r="K154" s="31">
        <v>0</v>
      </c>
      <c r="L154" s="31">
        <v>6544549.7340000002</v>
      </c>
      <c r="M154" s="31">
        <v>0</v>
      </c>
      <c r="N154" s="31">
        <v>7337718.284</v>
      </c>
      <c r="O154" s="31">
        <v>0</v>
      </c>
      <c r="P154" s="31">
        <v>9194578.6140000001</v>
      </c>
      <c r="Q154" s="31">
        <v>0</v>
      </c>
      <c r="R154" s="31">
        <v>10444705.374</v>
      </c>
      <c r="S154" s="31">
        <v>0</v>
      </c>
      <c r="T154" s="31">
        <v>10843255.887</v>
      </c>
      <c r="U154" s="38">
        <v>0</v>
      </c>
      <c r="V154" s="38">
        <v>10944689.143999999</v>
      </c>
    </row>
    <row r="155" spans="1:22" ht="3" customHeight="1" x14ac:dyDescent="0.25">
      <c r="A155">
        <v>8201</v>
      </c>
      <c r="B155" t="s">
        <v>194</v>
      </c>
      <c r="C155" s="31">
        <v>0</v>
      </c>
      <c r="D155" s="31">
        <v>3164542.0950000002</v>
      </c>
      <c r="E155" s="31">
        <v>0</v>
      </c>
      <c r="F155" s="31">
        <v>3407170.8459999999</v>
      </c>
      <c r="G155" s="31">
        <v>0</v>
      </c>
      <c r="H155" s="31">
        <v>3778813.8420000002</v>
      </c>
      <c r="I155" s="31">
        <v>0</v>
      </c>
      <c r="J155" s="31">
        <v>4117739.03</v>
      </c>
      <c r="K155" s="31">
        <v>0</v>
      </c>
      <c r="L155" s="31">
        <v>4162477.5380000002</v>
      </c>
      <c r="M155" s="31">
        <v>0</v>
      </c>
      <c r="N155" s="31">
        <v>4667060.3689999999</v>
      </c>
      <c r="O155" s="31">
        <v>0</v>
      </c>
      <c r="P155" s="31">
        <v>5488436.5700000003</v>
      </c>
      <c r="Q155" s="31">
        <v>0</v>
      </c>
      <c r="R155" s="31">
        <v>6343144.2630000003</v>
      </c>
      <c r="S155" s="31">
        <v>0</v>
      </c>
      <c r="T155" s="31">
        <v>6933308.2620000001</v>
      </c>
      <c r="U155" s="38">
        <v>0</v>
      </c>
      <c r="V155" s="38">
        <v>7153835.1859999998</v>
      </c>
    </row>
    <row r="156" spans="1:22" ht="3" customHeight="1" x14ac:dyDescent="0.25">
      <c r="A156">
        <v>8202</v>
      </c>
      <c r="B156" t="s">
        <v>192</v>
      </c>
      <c r="C156" s="31">
        <v>0</v>
      </c>
      <c r="D156" s="31">
        <v>3523482.8480000002</v>
      </c>
      <c r="E156" s="31">
        <v>0</v>
      </c>
      <c r="F156" s="31">
        <v>3796815.32</v>
      </c>
      <c r="G156" s="31">
        <v>0</v>
      </c>
      <c r="H156" s="31">
        <v>4089892.7209999999</v>
      </c>
      <c r="I156" s="31">
        <v>0</v>
      </c>
      <c r="J156" s="31">
        <v>4797646.7910000002</v>
      </c>
      <c r="K156" s="31">
        <v>0</v>
      </c>
      <c r="L156" s="31">
        <v>4953453.568</v>
      </c>
      <c r="M156" s="31">
        <v>0</v>
      </c>
      <c r="N156" s="31">
        <v>5555599.9349999996</v>
      </c>
      <c r="O156" s="31">
        <v>0</v>
      </c>
      <c r="P156" s="31">
        <v>7049750.6789999995</v>
      </c>
      <c r="Q156" s="31">
        <v>0</v>
      </c>
      <c r="R156" s="31">
        <v>8474564.5989999995</v>
      </c>
      <c r="S156" s="31">
        <v>0</v>
      </c>
      <c r="T156" s="31">
        <v>9418600.9340000004</v>
      </c>
      <c r="U156" s="38">
        <v>0</v>
      </c>
      <c r="V156" s="38">
        <v>9506707.1879999992</v>
      </c>
    </row>
    <row r="157" spans="1:22" ht="3" customHeight="1" x14ac:dyDescent="0.25">
      <c r="A157">
        <v>8203</v>
      </c>
      <c r="B157" t="s">
        <v>195</v>
      </c>
      <c r="C157" s="31">
        <v>0</v>
      </c>
      <c r="D157" s="31">
        <v>3932943.6260000002</v>
      </c>
      <c r="E157" s="31">
        <v>0</v>
      </c>
      <c r="F157" s="31">
        <v>4372208.4380000001</v>
      </c>
      <c r="G157" s="31">
        <v>0</v>
      </c>
      <c r="H157" s="31">
        <v>4964037.1179999998</v>
      </c>
      <c r="I157" s="31">
        <v>0</v>
      </c>
      <c r="J157" s="31">
        <v>5465374.1710000001</v>
      </c>
      <c r="K157" s="31">
        <v>0</v>
      </c>
      <c r="L157" s="31">
        <v>5536392.1150000002</v>
      </c>
      <c r="M157" s="31">
        <v>0</v>
      </c>
      <c r="N157" s="31">
        <v>6208058.1109999996</v>
      </c>
      <c r="O157" s="31">
        <v>0</v>
      </c>
      <c r="P157" s="31">
        <v>7457865.0760000004</v>
      </c>
      <c r="Q157" s="31">
        <v>0</v>
      </c>
      <c r="R157" s="31">
        <v>8671253.8629999999</v>
      </c>
      <c r="S157" s="31">
        <v>0</v>
      </c>
      <c r="T157" s="31">
        <v>9593301.7449999992</v>
      </c>
      <c r="U157" s="38">
        <v>0</v>
      </c>
      <c r="V157" s="38">
        <v>9970838.7630000003</v>
      </c>
    </row>
    <row r="158" spans="1:22" ht="3" customHeight="1" x14ac:dyDescent="0.25">
      <c r="A158">
        <v>8204</v>
      </c>
      <c r="B158" t="s">
        <v>196</v>
      </c>
      <c r="C158" s="31">
        <v>0</v>
      </c>
      <c r="D158" s="31">
        <v>1499871.923</v>
      </c>
      <c r="E158" s="31">
        <v>0</v>
      </c>
      <c r="F158" s="31">
        <v>1580272.39</v>
      </c>
      <c r="G158" s="31">
        <v>0</v>
      </c>
      <c r="H158" s="31">
        <v>1917899.8629999999</v>
      </c>
      <c r="I158" s="31">
        <v>0</v>
      </c>
      <c r="J158" s="31">
        <v>2271248.7280000001</v>
      </c>
      <c r="K158" s="31">
        <v>0</v>
      </c>
      <c r="L158" s="31">
        <v>2347605.4780000001</v>
      </c>
      <c r="M158" s="31">
        <v>0</v>
      </c>
      <c r="N158" s="31">
        <v>2633482.0839999998</v>
      </c>
      <c r="O158" s="31">
        <v>0</v>
      </c>
      <c r="P158" s="31">
        <v>3297452.503</v>
      </c>
      <c r="Q158" s="31">
        <v>0</v>
      </c>
      <c r="R158" s="31">
        <v>3950596.7489999998</v>
      </c>
      <c r="S158" s="31">
        <v>0</v>
      </c>
      <c r="T158" s="31">
        <v>4584336.9460000005</v>
      </c>
      <c r="U158" s="38">
        <v>0</v>
      </c>
      <c r="V158" s="38">
        <v>4627220.9220000003</v>
      </c>
    </row>
    <row r="159" spans="1:22" ht="3" customHeight="1" x14ac:dyDescent="0.25">
      <c r="A159">
        <v>8205</v>
      </c>
      <c r="B159" t="s">
        <v>193</v>
      </c>
      <c r="C159" s="31">
        <v>0</v>
      </c>
      <c r="D159" s="31">
        <v>3170899.7179999999</v>
      </c>
      <c r="E159" s="31">
        <v>0</v>
      </c>
      <c r="F159" s="31">
        <v>3340875.5860000001</v>
      </c>
      <c r="G159" s="31">
        <v>0</v>
      </c>
      <c r="H159" s="31">
        <v>3719868.9870000002</v>
      </c>
      <c r="I159" s="31">
        <v>0</v>
      </c>
      <c r="J159" s="31">
        <v>4162506.3110000002</v>
      </c>
      <c r="K159" s="31">
        <v>0</v>
      </c>
      <c r="L159" s="31">
        <v>4243565.7439999999</v>
      </c>
      <c r="M159" s="31">
        <v>0</v>
      </c>
      <c r="N159" s="31">
        <v>4758553.9170000004</v>
      </c>
      <c r="O159" s="31">
        <v>0</v>
      </c>
      <c r="P159" s="31">
        <v>5767258.7350000003</v>
      </c>
      <c r="Q159" s="31">
        <v>0</v>
      </c>
      <c r="R159" s="31">
        <v>6722512.5499999998</v>
      </c>
      <c r="S159" s="31">
        <v>0</v>
      </c>
      <c r="T159" s="31">
        <v>7482860.4720000001</v>
      </c>
      <c r="U159" s="38">
        <v>0</v>
      </c>
      <c r="V159" s="38">
        <v>7564569.165</v>
      </c>
    </row>
    <row r="160" spans="1:22" ht="3" customHeight="1" x14ac:dyDescent="0.25">
      <c r="A160">
        <v>8206</v>
      </c>
      <c r="B160" t="s">
        <v>30</v>
      </c>
      <c r="C160" s="31">
        <v>0</v>
      </c>
      <c r="D160" s="31">
        <v>2475816.219</v>
      </c>
      <c r="E160" s="31">
        <v>0</v>
      </c>
      <c r="F160" s="31">
        <v>2608531.9959999998</v>
      </c>
      <c r="G160" s="31">
        <v>0</v>
      </c>
      <c r="H160" s="31">
        <v>2774969.2209999999</v>
      </c>
      <c r="I160" s="31">
        <v>0</v>
      </c>
      <c r="J160" s="31">
        <v>3058685.767</v>
      </c>
      <c r="K160" s="31">
        <v>0</v>
      </c>
      <c r="L160" s="31">
        <v>3104288.0079999999</v>
      </c>
      <c r="M160" s="31">
        <v>0</v>
      </c>
      <c r="N160" s="31">
        <v>3480828.3330000001</v>
      </c>
      <c r="O160" s="31">
        <v>0</v>
      </c>
      <c r="P160" s="31">
        <v>4308297.74</v>
      </c>
      <c r="Q160" s="31">
        <v>0</v>
      </c>
      <c r="R160" s="31">
        <v>4978937.0140000004</v>
      </c>
      <c r="S160" s="31">
        <v>0</v>
      </c>
      <c r="T160" s="31">
        <v>5379666.6890000002</v>
      </c>
      <c r="U160" s="38">
        <v>0</v>
      </c>
      <c r="V160" s="38">
        <v>5802088.1220000004</v>
      </c>
    </row>
    <row r="161" spans="1:22" ht="3" customHeight="1" x14ac:dyDescent="0.25">
      <c r="A161">
        <v>8207</v>
      </c>
      <c r="B161" t="s">
        <v>31</v>
      </c>
      <c r="C161" s="31">
        <v>0</v>
      </c>
      <c r="D161" s="31">
        <v>1845021.605</v>
      </c>
      <c r="E161" s="31">
        <v>0</v>
      </c>
      <c r="F161" s="31">
        <v>1943923.9539999999</v>
      </c>
      <c r="G161" s="31">
        <v>0</v>
      </c>
      <c r="H161" s="31">
        <v>2409376.6290000002</v>
      </c>
      <c r="I161" s="31">
        <v>0</v>
      </c>
      <c r="J161" s="31">
        <v>2671253.875</v>
      </c>
      <c r="K161" s="31">
        <v>0</v>
      </c>
      <c r="L161" s="31">
        <v>2723156.713</v>
      </c>
      <c r="M161" s="31">
        <v>0</v>
      </c>
      <c r="N161" s="31">
        <v>3053763.841</v>
      </c>
      <c r="O161" s="31">
        <v>0</v>
      </c>
      <c r="P161" s="31">
        <v>3727669.412</v>
      </c>
      <c r="Q161" s="31">
        <v>0</v>
      </c>
      <c r="R161" s="31">
        <v>4334693.0650000004</v>
      </c>
      <c r="S161" s="31">
        <v>0</v>
      </c>
      <c r="T161" s="31">
        <v>4799012.7539999997</v>
      </c>
      <c r="U161" s="38">
        <v>0</v>
      </c>
      <c r="V161" s="38">
        <v>4843905.6670000004</v>
      </c>
    </row>
    <row r="162" spans="1:22" ht="3" customHeight="1" x14ac:dyDescent="0.25">
      <c r="A162">
        <v>8301</v>
      </c>
      <c r="B162" t="s">
        <v>32</v>
      </c>
      <c r="C162" s="31">
        <v>0</v>
      </c>
      <c r="D162" s="31">
        <v>12024496.568</v>
      </c>
      <c r="E162" s="31">
        <v>0</v>
      </c>
      <c r="F162" s="31">
        <v>12768525.041999999</v>
      </c>
      <c r="G162" s="31">
        <v>0</v>
      </c>
      <c r="H162" s="31">
        <v>13789785.416999999</v>
      </c>
      <c r="I162" s="31">
        <v>0</v>
      </c>
      <c r="J162" s="31">
        <v>15091466.801000001</v>
      </c>
      <c r="K162" s="31">
        <v>0</v>
      </c>
      <c r="L162" s="31">
        <v>15313587.641000001</v>
      </c>
      <c r="M162" s="31">
        <v>0</v>
      </c>
      <c r="N162" s="31">
        <v>17172632.868999999</v>
      </c>
      <c r="O162" s="31">
        <v>0</v>
      </c>
      <c r="P162" s="31">
        <v>21606348.138</v>
      </c>
      <c r="Q162" s="31">
        <v>0</v>
      </c>
      <c r="R162" s="31">
        <v>25077347.315000001</v>
      </c>
      <c r="S162" s="31">
        <v>0</v>
      </c>
      <c r="T162" s="31">
        <v>27293486.070999999</v>
      </c>
      <c r="U162" s="38">
        <v>0</v>
      </c>
      <c r="V162" s="38">
        <v>29951667.397999998</v>
      </c>
    </row>
    <row r="163" spans="1:22" ht="3" customHeight="1" x14ac:dyDescent="0.25">
      <c r="A163">
        <v>8302</v>
      </c>
      <c r="B163" t="s">
        <v>206</v>
      </c>
      <c r="C163" s="31">
        <v>0</v>
      </c>
      <c r="D163" s="31">
        <v>1427701.446</v>
      </c>
      <c r="E163" s="31">
        <v>0</v>
      </c>
      <c r="F163" s="31">
        <v>1567899.7779999999</v>
      </c>
      <c r="G163" s="31">
        <v>0</v>
      </c>
      <c r="H163" s="31">
        <v>1994893.5109999999</v>
      </c>
      <c r="I163" s="31">
        <v>0</v>
      </c>
      <c r="J163" s="31">
        <v>2289290.5660000001</v>
      </c>
      <c r="K163" s="31">
        <v>0</v>
      </c>
      <c r="L163" s="31">
        <v>2357015.642</v>
      </c>
      <c r="M163" s="31">
        <v>0</v>
      </c>
      <c r="N163" s="31">
        <v>2644004.5380000002</v>
      </c>
      <c r="O163" s="31">
        <v>0</v>
      </c>
      <c r="P163" s="31">
        <v>3063020.13</v>
      </c>
      <c r="Q163" s="31">
        <v>0</v>
      </c>
      <c r="R163" s="31">
        <v>3923884.1740000001</v>
      </c>
      <c r="S163" s="31">
        <v>0</v>
      </c>
      <c r="T163" s="31">
        <v>4519326.0999999996</v>
      </c>
      <c r="U163" s="38">
        <v>0</v>
      </c>
      <c r="V163" s="38">
        <v>4561602.5259999996</v>
      </c>
    </row>
    <row r="164" spans="1:22" ht="3" customHeight="1" x14ac:dyDescent="0.25">
      <c r="A164">
        <v>8303</v>
      </c>
      <c r="B164" t="s">
        <v>203</v>
      </c>
      <c r="C164" s="31">
        <v>0</v>
      </c>
      <c r="D164" s="31">
        <v>2837256.1519999998</v>
      </c>
      <c r="E164" s="31">
        <v>0</v>
      </c>
      <c r="F164" s="31">
        <v>3018423.7820000001</v>
      </c>
      <c r="G164" s="31">
        <v>0</v>
      </c>
      <c r="H164" s="31">
        <v>4201098.9989999998</v>
      </c>
      <c r="I164" s="31">
        <v>0</v>
      </c>
      <c r="J164" s="31">
        <v>4940888.108</v>
      </c>
      <c r="K164" s="31">
        <v>0</v>
      </c>
      <c r="L164" s="31">
        <v>5096044.3490000004</v>
      </c>
      <c r="M164" s="31">
        <v>0</v>
      </c>
      <c r="N164" s="31">
        <v>5716486.7070000004</v>
      </c>
      <c r="O164" s="31">
        <v>0</v>
      </c>
      <c r="P164" s="31">
        <v>7055392.0810000002</v>
      </c>
      <c r="Q164" s="31">
        <v>0</v>
      </c>
      <c r="R164" s="31">
        <v>8486021.2290000003</v>
      </c>
      <c r="S164" s="31">
        <v>0</v>
      </c>
      <c r="T164" s="31">
        <v>9903470.9649999999</v>
      </c>
      <c r="U164" s="38">
        <v>0</v>
      </c>
      <c r="V164" s="38">
        <v>9996113.5669999998</v>
      </c>
    </row>
    <row r="165" spans="1:22" ht="3" customHeight="1" x14ac:dyDescent="0.25">
      <c r="A165">
        <v>8304</v>
      </c>
      <c r="B165" t="s">
        <v>197</v>
      </c>
      <c r="C165" s="31">
        <v>0</v>
      </c>
      <c r="D165" s="31">
        <v>2415243.3369999998</v>
      </c>
      <c r="E165" s="31">
        <v>0</v>
      </c>
      <c r="F165" s="31">
        <v>2551886.4389999998</v>
      </c>
      <c r="G165" s="31">
        <v>0</v>
      </c>
      <c r="H165" s="31">
        <v>2914489.4610000001</v>
      </c>
      <c r="I165" s="31">
        <v>0</v>
      </c>
      <c r="J165" s="31">
        <v>3368912.5129999998</v>
      </c>
      <c r="K165" s="31">
        <v>0</v>
      </c>
      <c r="L165" s="31">
        <v>3459662.534</v>
      </c>
      <c r="M165" s="31">
        <v>0</v>
      </c>
      <c r="N165" s="31">
        <v>3880294.52</v>
      </c>
      <c r="O165" s="31">
        <v>0</v>
      </c>
      <c r="P165" s="31">
        <v>4849958.1220000004</v>
      </c>
      <c r="Q165" s="31">
        <v>0</v>
      </c>
      <c r="R165" s="31">
        <v>5562117.3870000001</v>
      </c>
      <c r="S165" s="31">
        <v>0</v>
      </c>
      <c r="T165" s="31">
        <v>6186522.2850000001</v>
      </c>
      <c r="U165" s="38">
        <v>0</v>
      </c>
      <c r="V165" s="38">
        <v>6513451.2690000003</v>
      </c>
    </row>
    <row r="166" spans="1:22" ht="3" customHeight="1" x14ac:dyDescent="0.25">
      <c r="A166">
        <v>8305</v>
      </c>
      <c r="B166" t="s">
        <v>398</v>
      </c>
      <c r="C166" s="31">
        <v>0</v>
      </c>
      <c r="D166" s="31">
        <v>2667084.784</v>
      </c>
      <c r="E166" s="31">
        <v>0</v>
      </c>
      <c r="F166" s="31">
        <v>2810053.5410000002</v>
      </c>
      <c r="G166" s="31">
        <v>0</v>
      </c>
      <c r="H166" s="31">
        <v>3367539.9049999998</v>
      </c>
      <c r="I166" s="31">
        <v>0</v>
      </c>
      <c r="J166" s="31">
        <v>3762396.747</v>
      </c>
      <c r="K166" s="31">
        <v>0</v>
      </c>
      <c r="L166" s="31">
        <v>3836538.1519999998</v>
      </c>
      <c r="M166" s="31">
        <v>0</v>
      </c>
      <c r="N166" s="31">
        <v>4302487.449</v>
      </c>
      <c r="O166" s="31">
        <v>0</v>
      </c>
      <c r="P166" s="31">
        <v>4852039.7319999998</v>
      </c>
      <c r="Q166" s="31">
        <v>0</v>
      </c>
      <c r="R166" s="31">
        <v>5260489.7779999999</v>
      </c>
      <c r="S166" s="31">
        <v>0</v>
      </c>
      <c r="T166" s="31">
        <v>5440942.4040000001</v>
      </c>
      <c r="U166" s="38">
        <v>0</v>
      </c>
      <c r="V166" s="38">
        <v>5491839.6009999998</v>
      </c>
    </row>
    <row r="167" spans="1:22" ht="3" customHeight="1" x14ac:dyDescent="0.25">
      <c r="A167">
        <v>8306</v>
      </c>
      <c r="B167" t="s">
        <v>199</v>
      </c>
      <c r="C167" s="31">
        <v>0</v>
      </c>
      <c r="D167" s="31">
        <v>2368575.1150000002</v>
      </c>
      <c r="E167" s="31">
        <v>0</v>
      </c>
      <c r="F167" s="31">
        <v>2736465.8760000002</v>
      </c>
      <c r="G167" s="31">
        <v>0</v>
      </c>
      <c r="H167" s="31">
        <v>2930404.395</v>
      </c>
      <c r="I167" s="31">
        <v>0</v>
      </c>
      <c r="J167" s="31">
        <v>3159126.4640000002</v>
      </c>
      <c r="K167" s="31">
        <v>0</v>
      </c>
      <c r="L167" s="31">
        <v>3205722.9709999999</v>
      </c>
      <c r="M167" s="31">
        <v>0</v>
      </c>
      <c r="N167" s="31">
        <v>3594571.61</v>
      </c>
      <c r="O167" s="31">
        <v>0</v>
      </c>
      <c r="P167" s="31">
        <v>4350690.1689999998</v>
      </c>
      <c r="Q167" s="31">
        <v>0</v>
      </c>
      <c r="R167" s="31">
        <v>4915734.75</v>
      </c>
      <c r="S167" s="31">
        <v>0</v>
      </c>
      <c r="T167" s="31">
        <v>5340493.1629999997</v>
      </c>
      <c r="U167" s="38">
        <v>0</v>
      </c>
      <c r="V167" s="38">
        <v>6088613.6359999999</v>
      </c>
    </row>
    <row r="168" spans="1:22" ht="3" customHeight="1" x14ac:dyDescent="0.25">
      <c r="A168">
        <v>8307</v>
      </c>
      <c r="B168" t="s">
        <v>200</v>
      </c>
      <c r="C168" s="31">
        <v>0</v>
      </c>
      <c r="D168" s="31">
        <v>1518659.3030000001</v>
      </c>
      <c r="E168" s="31">
        <v>0</v>
      </c>
      <c r="F168" s="31">
        <v>1642564.8959999999</v>
      </c>
      <c r="G168" s="31">
        <v>0</v>
      </c>
      <c r="H168" s="31">
        <v>1761235.9450000001</v>
      </c>
      <c r="I168" s="31">
        <v>0</v>
      </c>
      <c r="J168" s="31">
        <v>1884593.5719999999</v>
      </c>
      <c r="K168" s="31">
        <v>0</v>
      </c>
      <c r="L168" s="31">
        <v>1904423.551</v>
      </c>
      <c r="M168" s="31">
        <v>0</v>
      </c>
      <c r="N168" s="31">
        <v>2135299.818</v>
      </c>
      <c r="O168" s="31">
        <v>0</v>
      </c>
      <c r="P168" s="31">
        <v>2538845.861</v>
      </c>
      <c r="Q168" s="31">
        <v>0</v>
      </c>
      <c r="R168" s="31">
        <v>2889259.077</v>
      </c>
      <c r="S168" s="31">
        <v>0</v>
      </c>
      <c r="T168" s="31">
        <v>3069321.588</v>
      </c>
      <c r="U168" s="38">
        <v>0</v>
      </c>
      <c r="V168" s="38">
        <v>3352083.1129999999</v>
      </c>
    </row>
    <row r="169" spans="1:22" ht="3" customHeight="1" x14ac:dyDescent="0.25">
      <c r="A169">
        <v>8308</v>
      </c>
      <c r="B169" t="s">
        <v>201</v>
      </c>
      <c r="C169" s="31">
        <v>0</v>
      </c>
      <c r="D169" s="31">
        <v>1037347.638</v>
      </c>
      <c r="E169" s="31">
        <v>0</v>
      </c>
      <c r="F169" s="31">
        <v>1103613.831</v>
      </c>
      <c r="G169" s="31">
        <v>0</v>
      </c>
      <c r="H169" s="31">
        <v>1204032.9890000001</v>
      </c>
      <c r="I169" s="31">
        <v>0</v>
      </c>
      <c r="J169" s="31">
        <v>1310487.9790000001</v>
      </c>
      <c r="K169" s="31">
        <v>0</v>
      </c>
      <c r="L169" s="31">
        <v>1328638.0649999999</v>
      </c>
      <c r="M169" s="31">
        <v>0</v>
      </c>
      <c r="N169" s="31">
        <v>1489803.99</v>
      </c>
      <c r="O169" s="31">
        <v>0</v>
      </c>
      <c r="P169" s="31">
        <v>1786948.09</v>
      </c>
      <c r="Q169" s="31">
        <v>0</v>
      </c>
      <c r="R169" s="31">
        <v>2061782.818</v>
      </c>
      <c r="S169" s="31">
        <v>0</v>
      </c>
      <c r="T169" s="31">
        <v>2259662.0520000001</v>
      </c>
      <c r="U169" s="38">
        <v>0</v>
      </c>
      <c r="V169" s="38">
        <v>2348109.1690000002</v>
      </c>
    </row>
    <row r="170" spans="1:22" ht="3" customHeight="1" x14ac:dyDescent="0.25">
      <c r="A170">
        <v>8309</v>
      </c>
      <c r="B170" t="s">
        <v>198</v>
      </c>
      <c r="C170" s="31">
        <v>0</v>
      </c>
      <c r="D170" s="31">
        <v>1604429.52</v>
      </c>
      <c r="E170" s="31">
        <v>0</v>
      </c>
      <c r="F170" s="31">
        <v>1690435.034</v>
      </c>
      <c r="G170" s="31">
        <v>0</v>
      </c>
      <c r="H170" s="31">
        <v>1810893.9140000001</v>
      </c>
      <c r="I170" s="31">
        <v>0</v>
      </c>
      <c r="J170" s="31">
        <v>1937729.41</v>
      </c>
      <c r="K170" s="31">
        <v>0</v>
      </c>
      <c r="L170" s="31">
        <v>1959742.2450000001</v>
      </c>
      <c r="M170" s="31">
        <v>0</v>
      </c>
      <c r="N170" s="31">
        <v>2197359.3629999999</v>
      </c>
      <c r="O170" s="31">
        <v>0</v>
      </c>
      <c r="P170" s="31">
        <v>2599169.1460000002</v>
      </c>
      <c r="Q170" s="31">
        <v>0</v>
      </c>
      <c r="R170" s="31">
        <v>2999090.4389999998</v>
      </c>
      <c r="S170" s="31">
        <v>0</v>
      </c>
      <c r="T170" s="31">
        <v>3209085.9380000001</v>
      </c>
      <c r="U170" s="38">
        <v>0</v>
      </c>
      <c r="V170" s="38">
        <v>3277657.3369999998</v>
      </c>
    </row>
    <row r="171" spans="1:22" ht="3" customHeight="1" x14ac:dyDescent="0.25">
      <c r="A171">
        <v>8310</v>
      </c>
      <c r="B171" t="s">
        <v>204</v>
      </c>
      <c r="C171" s="31">
        <v>0</v>
      </c>
      <c r="D171" s="31">
        <v>1192460.4110000001</v>
      </c>
      <c r="E171" s="31">
        <v>0</v>
      </c>
      <c r="F171" s="31">
        <v>1264128.4029999999</v>
      </c>
      <c r="G171" s="31">
        <v>0</v>
      </c>
      <c r="H171" s="31">
        <v>1453101.2120000001</v>
      </c>
      <c r="I171" s="31">
        <v>0</v>
      </c>
      <c r="J171" s="31">
        <v>1633468.5279999999</v>
      </c>
      <c r="K171" s="31">
        <v>0</v>
      </c>
      <c r="L171" s="31">
        <v>1668175.7590000001</v>
      </c>
      <c r="M171" s="31">
        <v>0</v>
      </c>
      <c r="N171" s="31">
        <v>1870732.6240000001</v>
      </c>
      <c r="O171" s="31">
        <v>0</v>
      </c>
      <c r="P171" s="31">
        <v>2264839.162</v>
      </c>
      <c r="Q171" s="31">
        <v>0</v>
      </c>
      <c r="R171" s="31">
        <v>2639627.372</v>
      </c>
      <c r="S171" s="31">
        <v>0</v>
      </c>
      <c r="T171" s="31">
        <v>2927465.3220000002</v>
      </c>
      <c r="U171" s="38">
        <v>0</v>
      </c>
      <c r="V171" s="38">
        <v>2956133.57</v>
      </c>
    </row>
    <row r="172" spans="1:22" ht="3" customHeight="1" x14ac:dyDescent="0.25">
      <c r="A172">
        <v>8311</v>
      </c>
      <c r="B172" t="s">
        <v>399</v>
      </c>
      <c r="C172" s="31">
        <v>0</v>
      </c>
      <c r="D172" s="31">
        <v>1778157.987</v>
      </c>
      <c r="E172" s="31">
        <v>0</v>
      </c>
      <c r="F172" s="31">
        <v>1901780.2579999999</v>
      </c>
      <c r="G172" s="31">
        <v>0</v>
      </c>
      <c r="H172" s="31">
        <v>2046992.3219999999</v>
      </c>
      <c r="I172" s="31">
        <v>0</v>
      </c>
      <c r="J172" s="31">
        <v>2190363.9249999998</v>
      </c>
      <c r="K172" s="31">
        <v>0</v>
      </c>
      <c r="L172" s="31">
        <v>2217577.7170000002</v>
      </c>
      <c r="M172" s="31">
        <v>0</v>
      </c>
      <c r="N172" s="31">
        <v>2486659.77</v>
      </c>
      <c r="O172" s="31">
        <v>0</v>
      </c>
      <c r="P172" s="31">
        <v>2837795.781</v>
      </c>
      <c r="Q172" s="31">
        <v>0</v>
      </c>
      <c r="R172" s="31">
        <v>3153561.07</v>
      </c>
      <c r="S172" s="31">
        <v>0</v>
      </c>
      <c r="T172" s="31">
        <v>3479306.7949999999</v>
      </c>
      <c r="U172" s="38">
        <v>0</v>
      </c>
      <c r="V172" s="38">
        <v>3577774.6529999999</v>
      </c>
    </row>
    <row r="173" spans="1:22" ht="3" customHeight="1" x14ac:dyDescent="0.25">
      <c r="A173">
        <v>8312</v>
      </c>
      <c r="B173" t="s">
        <v>205</v>
      </c>
      <c r="C173" s="31">
        <v>0</v>
      </c>
      <c r="D173" s="31">
        <v>1967607.2579999999</v>
      </c>
      <c r="E173" s="31">
        <v>0</v>
      </c>
      <c r="F173" s="31">
        <v>2073080.182</v>
      </c>
      <c r="G173" s="31">
        <v>0</v>
      </c>
      <c r="H173" s="31">
        <v>2231694.5759999999</v>
      </c>
      <c r="I173" s="31">
        <v>0</v>
      </c>
      <c r="J173" s="31">
        <v>2445273.3790000002</v>
      </c>
      <c r="K173" s="31">
        <v>0</v>
      </c>
      <c r="L173" s="31">
        <v>2480803.2790000001</v>
      </c>
      <c r="M173" s="31">
        <v>0</v>
      </c>
      <c r="N173" s="31">
        <v>2781579.071</v>
      </c>
      <c r="O173" s="31">
        <v>0</v>
      </c>
      <c r="P173" s="31">
        <v>3271661.1889999998</v>
      </c>
      <c r="Q173" s="31">
        <v>0</v>
      </c>
      <c r="R173" s="31">
        <v>3653547.6170000001</v>
      </c>
      <c r="S173" s="31">
        <v>0</v>
      </c>
      <c r="T173" s="31">
        <v>3926504.1669999999</v>
      </c>
      <c r="U173" s="38">
        <v>0</v>
      </c>
      <c r="V173" s="38">
        <v>4711206.0580000002</v>
      </c>
    </row>
    <row r="174" spans="1:22" ht="3" customHeight="1" x14ac:dyDescent="0.25">
      <c r="A174">
        <v>8313</v>
      </c>
      <c r="B174" t="s">
        <v>202</v>
      </c>
      <c r="C174" s="31">
        <v>0</v>
      </c>
      <c r="D174" s="31">
        <v>4103576.8620000002</v>
      </c>
      <c r="E174" s="31">
        <v>0</v>
      </c>
      <c r="F174" s="31">
        <v>4396207.2489999998</v>
      </c>
      <c r="G174" s="31">
        <v>0</v>
      </c>
      <c r="H174" s="31">
        <v>4686268.6169999996</v>
      </c>
      <c r="I174" s="31">
        <v>0</v>
      </c>
      <c r="J174" s="31">
        <v>5036219.9289999995</v>
      </c>
      <c r="K174" s="31">
        <v>0</v>
      </c>
      <c r="L174" s="31">
        <v>5097042.8480000002</v>
      </c>
      <c r="M174" s="31">
        <v>0</v>
      </c>
      <c r="N174" s="31">
        <v>5714549.0549999997</v>
      </c>
      <c r="O174" s="31">
        <v>0</v>
      </c>
      <c r="P174" s="31">
        <v>6516732.4029999999</v>
      </c>
      <c r="Q174" s="31">
        <v>0</v>
      </c>
      <c r="R174" s="31">
        <v>7453114.8439999996</v>
      </c>
      <c r="S174" s="31">
        <v>0</v>
      </c>
      <c r="T174" s="31">
        <v>8092827.4589999998</v>
      </c>
      <c r="U174" s="38">
        <v>0</v>
      </c>
      <c r="V174" s="38">
        <v>9239145.5779999997</v>
      </c>
    </row>
    <row r="175" spans="1:22" ht="3" customHeight="1" x14ac:dyDescent="0.25">
      <c r="A175">
        <v>8314</v>
      </c>
      <c r="B175" t="s">
        <v>400</v>
      </c>
      <c r="C175" s="31">
        <v>0</v>
      </c>
      <c r="D175" s="31">
        <v>1405710.716</v>
      </c>
      <c r="E175" s="31">
        <v>0</v>
      </c>
      <c r="F175" s="31">
        <v>1481064.3840000001</v>
      </c>
      <c r="G175" s="31">
        <v>0</v>
      </c>
      <c r="H175" s="31">
        <v>1616512.6580000001</v>
      </c>
      <c r="I175" s="31">
        <v>0</v>
      </c>
      <c r="J175" s="31">
        <v>1805822.449</v>
      </c>
      <c r="K175" s="31">
        <v>0</v>
      </c>
      <c r="L175" s="31">
        <v>1831007.9680000001</v>
      </c>
      <c r="M175" s="31">
        <v>0</v>
      </c>
      <c r="N175" s="31">
        <v>2053144.43</v>
      </c>
      <c r="O175" s="31">
        <v>0</v>
      </c>
      <c r="P175" s="31">
        <v>2388131.2489999998</v>
      </c>
      <c r="Q175" s="31">
        <v>0</v>
      </c>
      <c r="R175" s="31">
        <v>2677081.9909999999</v>
      </c>
      <c r="S175" s="31">
        <v>0</v>
      </c>
      <c r="T175" s="31">
        <v>2959172.767</v>
      </c>
      <c r="U175" s="38">
        <v>0</v>
      </c>
      <c r="V175" s="38">
        <v>3035121.3330000001</v>
      </c>
    </row>
    <row r="176" spans="1:22" ht="3" customHeight="1" x14ac:dyDescent="0.25">
      <c r="A176">
        <v>9101</v>
      </c>
      <c r="B176" t="s">
        <v>215</v>
      </c>
      <c r="C176" s="31">
        <v>0</v>
      </c>
      <c r="D176" s="31">
        <v>13957448.755000001</v>
      </c>
      <c r="E176" s="31">
        <v>0</v>
      </c>
      <c r="F176" s="31">
        <v>15922657.414000001</v>
      </c>
      <c r="G176" s="31">
        <v>0</v>
      </c>
      <c r="H176" s="31">
        <v>18303910.379999999</v>
      </c>
      <c r="I176" s="31">
        <v>0</v>
      </c>
      <c r="J176" s="31">
        <v>19964870.552000001</v>
      </c>
      <c r="K176" s="31">
        <v>0</v>
      </c>
      <c r="L176" s="31">
        <v>20280314.789000001</v>
      </c>
      <c r="M176" s="31">
        <v>0</v>
      </c>
      <c r="N176" s="31">
        <v>22740519.605999999</v>
      </c>
      <c r="O176" s="31">
        <v>0</v>
      </c>
      <c r="P176" s="31">
        <v>26219442.941</v>
      </c>
      <c r="Q176" s="31">
        <v>0</v>
      </c>
      <c r="R176" s="31">
        <v>31487880.614</v>
      </c>
      <c r="S176" s="31">
        <v>0</v>
      </c>
      <c r="T176" s="31">
        <v>34715395.973999999</v>
      </c>
      <c r="U176" s="38">
        <v>0</v>
      </c>
      <c r="V176" s="38">
        <v>35040141.961000003</v>
      </c>
    </row>
    <row r="177" spans="1:22" ht="3" customHeight="1" x14ac:dyDescent="0.25">
      <c r="A177">
        <v>9102</v>
      </c>
      <c r="B177" t="s">
        <v>222</v>
      </c>
      <c r="C177" s="31">
        <v>0</v>
      </c>
      <c r="D177" s="31">
        <v>3630897.1060000001</v>
      </c>
      <c r="E177" s="31">
        <v>0</v>
      </c>
      <c r="F177" s="31">
        <v>3928951.2119999998</v>
      </c>
      <c r="G177" s="31">
        <v>0</v>
      </c>
      <c r="H177" s="31">
        <v>4562702.1770000001</v>
      </c>
      <c r="I177" s="31">
        <v>0</v>
      </c>
      <c r="J177" s="31">
        <v>5004005.8320000004</v>
      </c>
      <c r="K177" s="31">
        <v>0</v>
      </c>
      <c r="L177" s="31">
        <v>5076563.716</v>
      </c>
      <c r="M177" s="31">
        <v>0</v>
      </c>
      <c r="N177" s="31">
        <v>5692154.6569999997</v>
      </c>
      <c r="O177" s="31">
        <v>0</v>
      </c>
      <c r="P177" s="31">
        <v>6744711.0990000004</v>
      </c>
      <c r="Q177" s="31">
        <v>0</v>
      </c>
      <c r="R177" s="31">
        <v>7701110.909</v>
      </c>
      <c r="S177" s="31">
        <v>0</v>
      </c>
      <c r="T177" s="31">
        <v>8475223.8450000007</v>
      </c>
      <c r="U177" s="38">
        <v>0</v>
      </c>
      <c r="V177" s="38">
        <v>8904532.2379999999</v>
      </c>
    </row>
    <row r="178" spans="1:22" ht="3" customHeight="1" x14ac:dyDescent="0.25">
      <c r="A178">
        <v>9103</v>
      </c>
      <c r="B178" t="s">
        <v>217</v>
      </c>
      <c r="C178" s="31">
        <v>0</v>
      </c>
      <c r="D178" s="31">
        <v>2296971.8769999999</v>
      </c>
      <c r="E178" s="31">
        <v>0</v>
      </c>
      <c r="F178" s="31">
        <v>2495110.9339999999</v>
      </c>
      <c r="G178" s="31">
        <v>0</v>
      </c>
      <c r="H178" s="31">
        <v>2675596.6409999998</v>
      </c>
      <c r="I178" s="31">
        <v>0</v>
      </c>
      <c r="J178" s="31">
        <v>2977830.6710000001</v>
      </c>
      <c r="K178" s="31">
        <v>0</v>
      </c>
      <c r="L178" s="31">
        <v>3025557.7659999998</v>
      </c>
      <c r="M178" s="31">
        <v>0</v>
      </c>
      <c r="N178" s="31">
        <v>3392523.7990000001</v>
      </c>
      <c r="O178" s="31">
        <v>0</v>
      </c>
      <c r="P178" s="31">
        <v>4005165.7829999998</v>
      </c>
      <c r="Q178" s="31">
        <v>0</v>
      </c>
      <c r="R178" s="31">
        <v>4503332.9910000004</v>
      </c>
      <c r="S178" s="31">
        <v>0</v>
      </c>
      <c r="T178" s="31">
        <v>4886561.432</v>
      </c>
      <c r="U178" s="38">
        <v>0</v>
      </c>
      <c r="V178" s="38">
        <v>5746579.7479999997</v>
      </c>
    </row>
    <row r="179" spans="1:22" ht="3" customHeight="1" x14ac:dyDescent="0.25">
      <c r="A179">
        <v>9104</v>
      </c>
      <c r="B179" t="s">
        <v>228</v>
      </c>
      <c r="C179" s="31">
        <v>0</v>
      </c>
      <c r="D179" s="31">
        <v>1507891.081</v>
      </c>
      <c r="E179" s="31">
        <v>0</v>
      </c>
      <c r="F179" s="31">
        <v>1610297.6969999999</v>
      </c>
      <c r="G179" s="31">
        <v>0</v>
      </c>
      <c r="H179" s="31">
        <v>1732459.84</v>
      </c>
      <c r="I179" s="31">
        <v>0</v>
      </c>
      <c r="J179" s="31">
        <v>1870039.0919999999</v>
      </c>
      <c r="K179" s="31">
        <v>0</v>
      </c>
      <c r="L179" s="31">
        <v>1890167.81</v>
      </c>
      <c r="M179" s="31">
        <v>0</v>
      </c>
      <c r="N179" s="31">
        <v>2119305.5970000001</v>
      </c>
      <c r="O179" s="31">
        <v>0</v>
      </c>
      <c r="P179" s="31">
        <v>2538559.196</v>
      </c>
      <c r="Q179" s="31">
        <v>0</v>
      </c>
      <c r="R179" s="31">
        <v>2912669.6519999998</v>
      </c>
      <c r="S179" s="31">
        <v>0</v>
      </c>
      <c r="T179" s="31">
        <v>3144135.6150000002</v>
      </c>
      <c r="U179" s="38">
        <v>0</v>
      </c>
      <c r="V179" s="38">
        <v>3391526.2510000002</v>
      </c>
    </row>
    <row r="180" spans="1:22" ht="3" customHeight="1" x14ac:dyDescent="0.25">
      <c r="A180">
        <v>9105</v>
      </c>
      <c r="B180" t="s">
        <v>216</v>
      </c>
      <c r="C180" s="31">
        <v>0</v>
      </c>
      <c r="D180" s="31">
        <v>3348425.4569999999</v>
      </c>
      <c r="E180" s="31">
        <v>0</v>
      </c>
      <c r="F180" s="31">
        <v>3528104.38</v>
      </c>
      <c r="G180" s="31">
        <v>0</v>
      </c>
      <c r="H180" s="31">
        <v>3773067.477</v>
      </c>
      <c r="I180" s="31">
        <v>0</v>
      </c>
      <c r="J180" s="31">
        <v>4037333.8330000001</v>
      </c>
      <c r="K180" s="31">
        <v>0</v>
      </c>
      <c r="L180" s="31">
        <v>4071199.588</v>
      </c>
      <c r="M180" s="31">
        <v>0</v>
      </c>
      <c r="N180" s="31">
        <v>4564424.9720000001</v>
      </c>
      <c r="O180" s="31">
        <v>0</v>
      </c>
      <c r="P180" s="31">
        <v>5324632.1979999999</v>
      </c>
      <c r="Q180" s="31">
        <v>0</v>
      </c>
      <c r="R180" s="31">
        <v>5940142.6140000001</v>
      </c>
      <c r="S180" s="31">
        <v>0</v>
      </c>
      <c r="T180" s="31">
        <v>6319236.2570000002</v>
      </c>
      <c r="U180" s="38">
        <v>0</v>
      </c>
      <c r="V180" s="38">
        <v>6715666.9890000001</v>
      </c>
    </row>
    <row r="181" spans="1:22" ht="3" customHeight="1" x14ac:dyDescent="0.25">
      <c r="A181">
        <v>9106</v>
      </c>
      <c r="B181" t="s">
        <v>220</v>
      </c>
      <c r="C181" s="31">
        <v>0</v>
      </c>
      <c r="D181" s="31">
        <v>2039654.8959999999</v>
      </c>
      <c r="E181" s="31">
        <v>0</v>
      </c>
      <c r="F181" s="31">
        <v>2173433.9169999999</v>
      </c>
      <c r="G181" s="31">
        <v>0</v>
      </c>
      <c r="H181" s="31">
        <v>2367175.716</v>
      </c>
      <c r="I181" s="31">
        <v>0</v>
      </c>
      <c r="J181" s="31">
        <v>2603302.412</v>
      </c>
      <c r="K181" s="31">
        <v>0</v>
      </c>
      <c r="L181" s="31">
        <v>2647295.0789999999</v>
      </c>
      <c r="M181" s="31">
        <v>0</v>
      </c>
      <c r="N181" s="31">
        <v>2968481.9589999998</v>
      </c>
      <c r="O181" s="31">
        <v>0</v>
      </c>
      <c r="P181" s="31">
        <v>3695433.926</v>
      </c>
      <c r="Q181" s="31">
        <v>0</v>
      </c>
      <c r="R181" s="31">
        <v>4165666.4679999999</v>
      </c>
      <c r="S181" s="31">
        <v>0</v>
      </c>
      <c r="T181" s="31">
        <v>4501405.5650000004</v>
      </c>
      <c r="U181" s="38">
        <v>0</v>
      </c>
      <c r="V181" s="38">
        <v>4750550.0719999997</v>
      </c>
    </row>
    <row r="182" spans="1:22" ht="3" customHeight="1" x14ac:dyDescent="0.25">
      <c r="A182">
        <v>9107</v>
      </c>
      <c r="B182" t="s">
        <v>224</v>
      </c>
      <c r="C182" s="31">
        <v>0</v>
      </c>
      <c r="D182" s="31">
        <v>2082031.1510000001</v>
      </c>
      <c r="E182" s="31">
        <v>0</v>
      </c>
      <c r="F182" s="31">
        <v>2263289.5550000002</v>
      </c>
      <c r="G182" s="31">
        <v>0</v>
      </c>
      <c r="H182" s="31">
        <v>2434849.2599999998</v>
      </c>
      <c r="I182" s="31">
        <v>0</v>
      </c>
      <c r="J182" s="31">
        <v>2660766.392</v>
      </c>
      <c r="K182" s="31">
        <v>0</v>
      </c>
      <c r="L182" s="31">
        <v>2698064.358</v>
      </c>
      <c r="M182" s="31">
        <v>0</v>
      </c>
      <c r="N182" s="31">
        <v>3025336.4049999998</v>
      </c>
      <c r="O182" s="31">
        <v>0</v>
      </c>
      <c r="P182" s="31">
        <v>3642790.2620000001</v>
      </c>
      <c r="Q182" s="31">
        <v>0</v>
      </c>
      <c r="R182" s="31">
        <v>4323686.12</v>
      </c>
      <c r="S182" s="31">
        <v>0</v>
      </c>
      <c r="T182" s="31">
        <v>4790820.5520000001</v>
      </c>
      <c r="U182" s="38">
        <v>0</v>
      </c>
      <c r="V182" s="38">
        <v>5211837.5049999999</v>
      </c>
    </row>
    <row r="183" spans="1:22" ht="3" customHeight="1" x14ac:dyDescent="0.25">
      <c r="A183">
        <v>9108</v>
      </c>
      <c r="B183" t="s">
        <v>218</v>
      </c>
      <c r="C183" s="31">
        <v>0</v>
      </c>
      <c r="D183" s="31">
        <v>3483309.3330000001</v>
      </c>
      <c r="E183" s="31">
        <v>0</v>
      </c>
      <c r="F183" s="31">
        <v>3670031.5559999999</v>
      </c>
      <c r="G183" s="31">
        <v>0</v>
      </c>
      <c r="H183" s="31">
        <v>3917138.0759999999</v>
      </c>
      <c r="I183" s="31">
        <v>0</v>
      </c>
      <c r="J183" s="31">
        <v>4247521.8289999999</v>
      </c>
      <c r="K183" s="31">
        <v>0</v>
      </c>
      <c r="L183" s="31">
        <v>4283148.6239999998</v>
      </c>
      <c r="M183" s="31">
        <v>0</v>
      </c>
      <c r="N183" s="31">
        <v>4802052.0609999998</v>
      </c>
      <c r="O183" s="31">
        <v>0</v>
      </c>
      <c r="P183" s="31">
        <v>5415413.9139999999</v>
      </c>
      <c r="Q183" s="31">
        <v>0</v>
      </c>
      <c r="R183" s="31">
        <v>5871289.0319999997</v>
      </c>
      <c r="S183" s="31">
        <v>0</v>
      </c>
      <c r="T183" s="31">
        <v>6070880.1679999996</v>
      </c>
      <c r="U183" s="38">
        <v>0</v>
      </c>
      <c r="V183" s="38">
        <v>6829749.6059999997</v>
      </c>
    </row>
    <row r="184" spans="1:22" ht="3" customHeight="1" x14ac:dyDescent="0.25">
      <c r="A184">
        <v>9109</v>
      </c>
      <c r="B184" t="s">
        <v>225</v>
      </c>
      <c r="C184" s="31">
        <v>0</v>
      </c>
      <c r="D184" s="31">
        <v>2696152.6069999998</v>
      </c>
      <c r="E184" s="31">
        <v>0</v>
      </c>
      <c r="F184" s="31">
        <v>2944727.0260000001</v>
      </c>
      <c r="G184" s="31">
        <v>0</v>
      </c>
      <c r="H184" s="31">
        <v>3189923.625</v>
      </c>
      <c r="I184" s="31">
        <v>0</v>
      </c>
      <c r="J184" s="31">
        <v>3455285.8420000002</v>
      </c>
      <c r="K184" s="31">
        <v>0</v>
      </c>
      <c r="L184" s="31">
        <v>3517598.304</v>
      </c>
      <c r="M184" s="31">
        <v>0</v>
      </c>
      <c r="N184" s="31">
        <v>3944544.4750000001</v>
      </c>
      <c r="O184" s="31">
        <v>0</v>
      </c>
      <c r="P184" s="31">
        <v>4974920.67</v>
      </c>
      <c r="Q184" s="31">
        <v>0</v>
      </c>
      <c r="R184" s="31">
        <v>5553045.7850000001</v>
      </c>
      <c r="S184" s="31">
        <v>0</v>
      </c>
      <c r="T184" s="31">
        <v>5862330.7240000004</v>
      </c>
      <c r="U184" s="38">
        <v>0</v>
      </c>
      <c r="V184" s="38">
        <v>6759271.5870000003</v>
      </c>
    </row>
    <row r="185" spans="1:22" ht="3" customHeight="1" x14ac:dyDescent="0.25">
      <c r="A185">
        <v>9110</v>
      </c>
      <c r="B185" t="s">
        <v>227</v>
      </c>
      <c r="C185" s="31">
        <v>0</v>
      </c>
      <c r="D185" s="31">
        <v>1520035.1040000001</v>
      </c>
      <c r="E185" s="31">
        <v>0</v>
      </c>
      <c r="F185" s="31">
        <v>1659964.6310000001</v>
      </c>
      <c r="G185" s="31">
        <v>0</v>
      </c>
      <c r="H185" s="31">
        <v>1925089.6229999999</v>
      </c>
      <c r="I185" s="31">
        <v>0</v>
      </c>
      <c r="J185" s="31">
        <v>2190921.2740000002</v>
      </c>
      <c r="K185" s="31">
        <v>0</v>
      </c>
      <c r="L185" s="31">
        <v>2249872.37</v>
      </c>
      <c r="M185" s="31">
        <v>0</v>
      </c>
      <c r="N185" s="31">
        <v>2523678.5120000001</v>
      </c>
      <c r="O185" s="31">
        <v>0</v>
      </c>
      <c r="P185" s="31">
        <v>3198762.0580000002</v>
      </c>
      <c r="Q185" s="31">
        <v>0</v>
      </c>
      <c r="R185" s="31">
        <v>3912523.602</v>
      </c>
      <c r="S185" s="31">
        <v>0</v>
      </c>
      <c r="T185" s="31">
        <v>4338389.9400000004</v>
      </c>
      <c r="U185" s="38">
        <v>0</v>
      </c>
      <c r="V185" s="38">
        <v>4796848.4029999999</v>
      </c>
    </row>
    <row r="186" spans="1:22" ht="3" customHeight="1" x14ac:dyDescent="0.25">
      <c r="A186">
        <v>9111</v>
      </c>
      <c r="B186" t="s">
        <v>221</v>
      </c>
      <c r="C186" s="31">
        <v>0</v>
      </c>
      <c r="D186" s="31">
        <v>4451022.76</v>
      </c>
      <c r="E186" s="31">
        <v>0</v>
      </c>
      <c r="F186" s="31">
        <v>4999980.1179999998</v>
      </c>
      <c r="G186" s="31">
        <v>0</v>
      </c>
      <c r="H186" s="31">
        <v>5326644.7989999996</v>
      </c>
      <c r="I186" s="31">
        <v>0</v>
      </c>
      <c r="J186" s="31">
        <v>5699724.3039999995</v>
      </c>
      <c r="K186" s="31">
        <v>0</v>
      </c>
      <c r="L186" s="31">
        <v>5747531.523</v>
      </c>
      <c r="M186" s="31">
        <v>0</v>
      </c>
      <c r="N186" s="31">
        <v>6443844.7350000003</v>
      </c>
      <c r="O186" s="31">
        <v>0</v>
      </c>
      <c r="P186" s="31">
        <v>7375807.6730000004</v>
      </c>
      <c r="Q186" s="31">
        <v>0</v>
      </c>
      <c r="R186" s="31">
        <v>8134480.2369999997</v>
      </c>
      <c r="S186" s="31">
        <v>0</v>
      </c>
      <c r="T186" s="31">
        <v>8669946.0439999998</v>
      </c>
      <c r="U186" s="38">
        <v>0</v>
      </c>
      <c r="V186" s="38">
        <v>9196647.1229999997</v>
      </c>
    </row>
    <row r="187" spans="1:22" ht="3" customHeight="1" x14ac:dyDescent="0.25">
      <c r="A187">
        <v>9112</v>
      </c>
      <c r="B187" t="s">
        <v>230</v>
      </c>
      <c r="C187" s="31">
        <v>0</v>
      </c>
      <c r="D187" s="31">
        <v>6880912.233</v>
      </c>
      <c r="E187" s="31">
        <v>0</v>
      </c>
      <c r="F187" s="31">
        <v>7339920.3530000001</v>
      </c>
      <c r="G187" s="31">
        <v>0</v>
      </c>
      <c r="H187" s="31">
        <v>7915418.1780000003</v>
      </c>
      <c r="I187" s="31">
        <v>0</v>
      </c>
      <c r="J187" s="31">
        <v>8669261.7349999994</v>
      </c>
      <c r="K187" s="31">
        <v>0</v>
      </c>
      <c r="L187" s="31">
        <v>8803846.3059999999</v>
      </c>
      <c r="M187" s="31">
        <v>0</v>
      </c>
      <c r="N187" s="31">
        <v>9870430.3340000007</v>
      </c>
      <c r="O187" s="31">
        <v>0</v>
      </c>
      <c r="P187" s="31">
        <v>11939761.219000001</v>
      </c>
      <c r="Q187" s="31">
        <v>0</v>
      </c>
      <c r="R187" s="31">
        <v>13497667.616</v>
      </c>
      <c r="S187" s="31">
        <v>0</v>
      </c>
      <c r="T187" s="31">
        <v>14351633</v>
      </c>
      <c r="U187" s="38">
        <v>0</v>
      </c>
      <c r="V187" s="38">
        <v>15419922.08</v>
      </c>
    </row>
    <row r="188" spans="1:22" ht="3" customHeight="1" x14ac:dyDescent="0.25">
      <c r="A188">
        <v>9113</v>
      </c>
      <c r="B188" t="s">
        <v>219</v>
      </c>
      <c r="C188" s="31">
        <v>0</v>
      </c>
      <c r="D188" s="31">
        <v>1734130.027</v>
      </c>
      <c r="E188" s="31">
        <v>0</v>
      </c>
      <c r="F188" s="31">
        <v>1950770.2290000001</v>
      </c>
      <c r="G188" s="31">
        <v>0</v>
      </c>
      <c r="H188" s="31">
        <v>2098901.7039999999</v>
      </c>
      <c r="I188" s="31">
        <v>0</v>
      </c>
      <c r="J188" s="31">
        <v>2245909.2280000001</v>
      </c>
      <c r="K188" s="31">
        <v>0</v>
      </c>
      <c r="L188" s="31">
        <v>2264747.4270000001</v>
      </c>
      <c r="M188" s="31">
        <v>0</v>
      </c>
      <c r="N188" s="31">
        <v>2539120.2779999999</v>
      </c>
      <c r="O188" s="31">
        <v>0</v>
      </c>
      <c r="P188" s="31">
        <v>2863440.0419999999</v>
      </c>
      <c r="Q188" s="31">
        <v>0</v>
      </c>
      <c r="R188" s="31">
        <v>3104486.8560000001</v>
      </c>
      <c r="S188" s="31">
        <v>0</v>
      </c>
      <c r="T188" s="31">
        <v>3210021.8390000002</v>
      </c>
      <c r="U188" s="38">
        <v>0</v>
      </c>
      <c r="V188" s="38">
        <v>3373856.6329999999</v>
      </c>
    </row>
    <row r="189" spans="1:22" ht="3" customHeight="1" x14ac:dyDescent="0.25">
      <c r="A189">
        <v>9114</v>
      </c>
      <c r="B189" t="s">
        <v>407</v>
      </c>
      <c r="C189" s="31">
        <v>0</v>
      </c>
      <c r="D189" s="31">
        <v>2623780.9240000001</v>
      </c>
      <c r="E189" s="31">
        <v>0</v>
      </c>
      <c r="F189" s="31">
        <v>2793351.46</v>
      </c>
      <c r="G189" s="31">
        <v>0</v>
      </c>
      <c r="H189" s="31">
        <v>3326207.5049999999</v>
      </c>
      <c r="I189" s="31">
        <v>0</v>
      </c>
      <c r="J189" s="31">
        <v>3758055.9160000002</v>
      </c>
      <c r="K189" s="31">
        <v>0</v>
      </c>
      <c r="L189" s="31">
        <v>3838027.0720000002</v>
      </c>
      <c r="M189" s="31">
        <v>0</v>
      </c>
      <c r="N189" s="31">
        <v>4304152.87</v>
      </c>
      <c r="O189" s="31">
        <v>0</v>
      </c>
      <c r="P189" s="31">
        <v>5407540.9579999996</v>
      </c>
      <c r="Q189" s="31">
        <v>0</v>
      </c>
      <c r="R189" s="31">
        <v>6434404.8859999999</v>
      </c>
      <c r="S189" s="31">
        <v>0</v>
      </c>
      <c r="T189" s="31">
        <v>7185198.142</v>
      </c>
      <c r="U189" s="38">
        <v>0</v>
      </c>
      <c r="V189" s="38">
        <v>7608089.0659999996</v>
      </c>
    </row>
    <row r="190" spans="1:22" ht="3" customHeight="1" x14ac:dyDescent="0.25">
      <c r="A190">
        <v>9115</v>
      </c>
      <c r="B190" t="s">
        <v>408</v>
      </c>
      <c r="C190" s="31">
        <v>0</v>
      </c>
      <c r="D190" s="31">
        <v>1308223.28</v>
      </c>
      <c r="E190" s="31">
        <v>0</v>
      </c>
      <c r="F190" s="31">
        <v>1417324.8940000001</v>
      </c>
      <c r="G190" s="31">
        <v>0</v>
      </c>
      <c r="H190" s="31">
        <v>1648976.0279999999</v>
      </c>
      <c r="I190" s="31">
        <v>0</v>
      </c>
      <c r="J190" s="31">
        <v>1776133.7350000001</v>
      </c>
      <c r="K190" s="31">
        <v>0</v>
      </c>
      <c r="L190" s="31">
        <v>1795096.933</v>
      </c>
      <c r="M190" s="31">
        <v>0</v>
      </c>
      <c r="N190" s="31">
        <v>2012679.176</v>
      </c>
      <c r="O190" s="31">
        <v>0</v>
      </c>
      <c r="P190" s="31">
        <v>2373728.861</v>
      </c>
      <c r="Q190" s="31">
        <v>0</v>
      </c>
      <c r="R190" s="31">
        <v>2815851.6290000002</v>
      </c>
      <c r="S190" s="31">
        <v>0</v>
      </c>
      <c r="T190" s="31">
        <v>3031366.585</v>
      </c>
      <c r="U190" s="38">
        <v>0</v>
      </c>
      <c r="V190" s="38">
        <v>3135337.1340000001</v>
      </c>
    </row>
    <row r="191" spans="1:22" ht="3" customHeight="1" x14ac:dyDescent="0.25">
      <c r="A191">
        <v>9116</v>
      </c>
      <c r="B191" t="s">
        <v>223</v>
      </c>
      <c r="C191" s="31">
        <v>0</v>
      </c>
      <c r="D191" s="31">
        <v>2795860.1690000002</v>
      </c>
      <c r="E191" s="31">
        <v>0</v>
      </c>
      <c r="F191" s="31">
        <v>3056657.6179999998</v>
      </c>
      <c r="G191" s="31">
        <v>0</v>
      </c>
      <c r="H191" s="31">
        <v>3366325.2519999999</v>
      </c>
      <c r="I191" s="31">
        <v>0</v>
      </c>
      <c r="J191" s="31">
        <v>3612807.0049999999</v>
      </c>
      <c r="K191" s="31">
        <v>0</v>
      </c>
      <c r="L191" s="31">
        <v>3647772.5490000001</v>
      </c>
      <c r="M191" s="31">
        <v>0</v>
      </c>
      <c r="N191" s="31">
        <v>4089828.29</v>
      </c>
      <c r="O191" s="31">
        <v>0</v>
      </c>
      <c r="P191" s="31">
        <v>4661376.3360000001</v>
      </c>
      <c r="Q191" s="31">
        <v>0</v>
      </c>
      <c r="R191" s="31">
        <v>5096926.841</v>
      </c>
      <c r="S191" s="31">
        <v>0</v>
      </c>
      <c r="T191" s="31">
        <v>5498051.7220000001</v>
      </c>
      <c r="U191" s="38">
        <v>0</v>
      </c>
      <c r="V191" s="38">
        <v>6170485.1610000003</v>
      </c>
    </row>
    <row r="192" spans="1:22" ht="3" customHeight="1" x14ac:dyDescent="0.25">
      <c r="A192">
        <v>9117</v>
      </c>
      <c r="B192" t="s">
        <v>229</v>
      </c>
      <c r="C192" s="31">
        <v>0</v>
      </c>
      <c r="D192" s="31">
        <v>2465999.2540000002</v>
      </c>
      <c r="E192" s="31">
        <v>0</v>
      </c>
      <c r="F192" s="31">
        <v>2613867.3820000002</v>
      </c>
      <c r="G192" s="31">
        <v>0</v>
      </c>
      <c r="H192" s="31">
        <v>2829063.62</v>
      </c>
      <c r="I192" s="31">
        <v>0</v>
      </c>
      <c r="J192" s="31">
        <v>3110746.3130000001</v>
      </c>
      <c r="K192" s="31">
        <v>0</v>
      </c>
      <c r="L192" s="31">
        <v>3155214.9010000001</v>
      </c>
      <c r="M192" s="31">
        <v>0</v>
      </c>
      <c r="N192" s="31">
        <v>3537919.64</v>
      </c>
      <c r="O192" s="31">
        <v>0</v>
      </c>
      <c r="P192" s="31">
        <v>4323067.6550000003</v>
      </c>
      <c r="Q192" s="31">
        <v>0</v>
      </c>
      <c r="R192" s="31">
        <v>4884531.3140000002</v>
      </c>
      <c r="S192" s="31">
        <v>0</v>
      </c>
      <c r="T192" s="31">
        <v>5252017.68</v>
      </c>
      <c r="U192" s="38">
        <v>0</v>
      </c>
      <c r="V192" s="38">
        <v>6064019.227</v>
      </c>
    </row>
    <row r="193" spans="1:22" ht="3" customHeight="1" x14ac:dyDescent="0.25">
      <c r="A193">
        <v>9118</v>
      </c>
      <c r="B193" t="s">
        <v>409</v>
      </c>
      <c r="C193" s="31">
        <v>0</v>
      </c>
      <c r="D193" s="31">
        <v>1873101.36</v>
      </c>
      <c r="E193" s="31">
        <v>0</v>
      </c>
      <c r="F193" s="31">
        <v>1973508.08</v>
      </c>
      <c r="G193" s="31">
        <v>0</v>
      </c>
      <c r="H193" s="31">
        <v>2399031.085</v>
      </c>
      <c r="I193" s="31">
        <v>0</v>
      </c>
      <c r="J193" s="31">
        <v>2694419.4210000001</v>
      </c>
      <c r="K193" s="31">
        <v>0</v>
      </c>
      <c r="L193" s="31">
        <v>2758929.6209999998</v>
      </c>
      <c r="M193" s="31">
        <v>0</v>
      </c>
      <c r="N193" s="31">
        <v>3093953.3169999998</v>
      </c>
      <c r="O193" s="31">
        <v>0</v>
      </c>
      <c r="P193" s="31">
        <v>3715717.3620000002</v>
      </c>
      <c r="Q193" s="31">
        <v>0</v>
      </c>
      <c r="R193" s="31">
        <v>4276391.4759999998</v>
      </c>
      <c r="S193" s="31">
        <v>0</v>
      </c>
      <c r="T193" s="31">
        <v>4778553.6279999996</v>
      </c>
      <c r="U193" s="38">
        <v>0</v>
      </c>
      <c r="V193" s="38">
        <v>5040662.0310000004</v>
      </c>
    </row>
    <row r="194" spans="1:22" ht="3" customHeight="1" x14ac:dyDescent="0.25">
      <c r="A194">
        <v>9119</v>
      </c>
      <c r="B194" t="s">
        <v>410</v>
      </c>
      <c r="C194" s="31">
        <v>0</v>
      </c>
      <c r="D194" s="31">
        <v>3096518.0529999998</v>
      </c>
      <c r="E194" s="31">
        <v>0</v>
      </c>
      <c r="F194" s="31">
        <v>3634935.6719999998</v>
      </c>
      <c r="G194" s="31">
        <v>0</v>
      </c>
      <c r="H194" s="31">
        <v>3862558.06</v>
      </c>
      <c r="I194" s="31">
        <v>0</v>
      </c>
      <c r="J194" s="31">
        <v>4239273.84</v>
      </c>
      <c r="K194" s="31">
        <v>0</v>
      </c>
      <c r="L194" s="31">
        <v>4304603.0319999997</v>
      </c>
      <c r="M194" s="31">
        <v>0</v>
      </c>
      <c r="N194" s="31">
        <v>4826708.9179999996</v>
      </c>
      <c r="O194" s="31">
        <v>0</v>
      </c>
      <c r="P194" s="31">
        <v>5908532.7680000002</v>
      </c>
      <c r="Q194" s="31">
        <v>0</v>
      </c>
      <c r="R194" s="31">
        <v>6593994.7410000004</v>
      </c>
      <c r="S194" s="31">
        <v>0</v>
      </c>
      <c r="T194" s="31">
        <v>6955318.1849999996</v>
      </c>
      <c r="U194" s="38">
        <v>0</v>
      </c>
      <c r="V194" s="38">
        <v>7880602.0020000003</v>
      </c>
    </row>
    <row r="195" spans="1:22" ht="3" customHeight="1" x14ac:dyDescent="0.25">
      <c r="A195">
        <v>9120</v>
      </c>
      <c r="B195" t="s">
        <v>226</v>
      </c>
      <c r="C195" s="31">
        <v>0</v>
      </c>
      <c r="D195" s="31">
        <v>3565340.2919999999</v>
      </c>
      <c r="E195" s="31">
        <v>0</v>
      </c>
      <c r="F195" s="31">
        <v>3756460.3990000002</v>
      </c>
      <c r="G195" s="31">
        <v>0</v>
      </c>
      <c r="H195" s="31">
        <v>4053299.034</v>
      </c>
      <c r="I195" s="31">
        <v>0</v>
      </c>
      <c r="J195" s="31">
        <v>4337193.0439999998</v>
      </c>
      <c r="K195" s="31">
        <v>0</v>
      </c>
      <c r="L195" s="31">
        <v>4373571.6129999999</v>
      </c>
      <c r="M195" s="31">
        <v>0</v>
      </c>
      <c r="N195" s="31">
        <v>4903429.1500000004</v>
      </c>
      <c r="O195" s="31">
        <v>0</v>
      </c>
      <c r="P195" s="31">
        <v>5529739.8130000001</v>
      </c>
      <c r="Q195" s="31">
        <v>0</v>
      </c>
      <c r="R195" s="31">
        <v>5995239.1629999997</v>
      </c>
      <c r="S195" s="31">
        <v>0</v>
      </c>
      <c r="T195" s="31">
        <v>6199043.8190000001</v>
      </c>
      <c r="U195" s="38">
        <v>0</v>
      </c>
      <c r="V195" s="38">
        <v>6257033.4950000001</v>
      </c>
    </row>
    <row r="196" spans="1:22" ht="3" customHeight="1" x14ac:dyDescent="0.25">
      <c r="A196">
        <v>9121</v>
      </c>
      <c r="B196" t="s">
        <v>231</v>
      </c>
      <c r="C196" s="31">
        <v>0</v>
      </c>
      <c r="D196" s="31">
        <v>2074855.2009999999</v>
      </c>
      <c r="E196" s="31">
        <v>0</v>
      </c>
      <c r="F196" s="31">
        <v>2186077.3760000002</v>
      </c>
      <c r="G196" s="31">
        <v>0</v>
      </c>
      <c r="H196" s="31">
        <v>2351297.662</v>
      </c>
      <c r="I196" s="31">
        <v>0</v>
      </c>
      <c r="J196" s="31">
        <v>2570151.8640000001</v>
      </c>
      <c r="K196" s="31">
        <v>0</v>
      </c>
      <c r="L196" s="31">
        <v>2613150.8420000002</v>
      </c>
      <c r="M196" s="31">
        <v>0</v>
      </c>
      <c r="N196" s="31">
        <v>2930197.8849999998</v>
      </c>
      <c r="O196" s="31">
        <v>0</v>
      </c>
      <c r="P196" s="31">
        <v>3621658.42</v>
      </c>
      <c r="Q196" s="31">
        <v>0</v>
      </c>
      <c r="R196" s="31">
        <v>4036880.2740000002</v>
      </c>
      <c r="S196" s="31">
        <v>0</v>
      </c>
      <c r="T196" s="31">
        <v>4272819.62</v>
      </c>
      <c r="U196" s="38">
        <v>0</v>
      </c>
      <c r="V196" s="38">
        <v>4753009.7419999996</v>
      </c>
    </row>
    <row r="197" spans="1:22" ht="3" customHeight="1" x14ac:dyDescent="0.25">
      <c r="A197">
        <v>9201</v>
      </c>
      <c r="B197" t="s">
        <v>207</v>
      </c>
      <c r="C197" s="31">
        <v>0</v>
      </c>
      <c r="D197" s="31">
        <v>5674141.7450000001</v>
      </c>
      <c r="E197" s="31">
        <v>0</v>
      </c>
      <c r="F197" s="31">
        <v>6017031.8449999997</v>
      </c>
      <c r="G197" s="31">
        <v>0</v>
      </c>
      <c r="H197" s="31">
        <v>6477989.5290000001</v>
      </c>
      <c r="I197" s="31">
        <v>0</v>
      </c>
      <c r="J197" s="31">
        <v>7084389.3969999999</v>
      </c>
      <c r="K197" s="31">
        <v>0</v>
      </c>
      <c r="L197" s="31">
        <v>7182282.4809999997</v>
      </c>
      <c r="M197" s="31">
        <v>0</v>
      </c>
      <c r="N197" s="31">
        <v>8053396.9819999998</v>
      </c>
      <c r="O197" s="31">
        <v>0</v>
      </c>
      <c r="P197" s="31">
        <v>9586446.5559999999</v>
      </c>
      <c r="Q197" s="31">
        <v>0</v>
      </c>
      <c r="R197" s="31">
        <v>11048290.291999999</v>
      </c>
      <c r="S197" s="31">
        <v>0</v>
      </c>
      <c r="T197" s="31">
        <v>12029534.273</v>
      </c>
      <c r="U197" s="38">
        <v>0</v>
      </c>
      <c r="V197" s="38">
        <v>12510291.506999999</v>
      </c>
    </row>
    <row r="198" spans="1:22" ht="3" customHeight="1" x14ac:dyDescent="0.25">
      <c r="A198">
        <v>9202</v>
      </c>
      <c r="B198" t="s">
        <v>210</v>
      </c>
      <c r="C198" s="31">
        <v>0</v>
      </c>
      <c r="D198" s="31">
        <v>2534071.8620000002</v>
      </c>
      <c r="E198" s="31">
        <v>0</v>
      </c>
      <c r="F198" s="31">
        <v>2812767.983</v>
      </c>
      <c r="G198" s="31">
        <v>0</v>
      </c>
      <c r="H198" s="31">
        <v>3104054.6639999999</v>
      </c>
      <c r="I198" s="31">
        <v>0</v>
      </c>
      <c r="J198" s="31">
        <v>3398861.594</v>
      </c>
      <c r="K198" s="31">
        <v>0</v>
      </c>
      <c r="L198" s="31">
        <v>3436449.1439999999</v>
      </c>
      <c r="M198" s="31">
        <v>0</v>
      </c>
      <c r="N198" s="31">
        <v>3853048.0970000001</v>
      </c>
      <c r="O198" s="31">
        <v>0</v>
      </c>
      <c r="P198" s="31">
        <v>4497853.1560000004</v>
      </c>
      <c r="Q198" s="31">
        <v>0</v>
      </c>
      <c r="R198" s="31">
        <v>4994549.7869999995</v>
      </c>
      <c r="S198" s="31">
        <v>0</v>
      </c>
      <c r="T198" s="31">
        <v>5354068.0520000001</v>
      </c>
      <c r="U198" s="38">
        <v>0</v>
      </c>
      <c r="V198" s="38">
        <v>5703802.5120000001</v>
      </c>
    </row>
    <row r="199" spans="1:22" ht="3" customHeight="1" x14ac:dyDescent="0.25">
      <c r="A199">
        <v>9203</v>
      </c>
      <c r="B199" t="s">
        <v>411</v>
      </c>
      <c r="C199" s="31">
        <v>0</v>
      </c>
      <c r="D199" s="31">
        <v>2484364.3689999999</v>
      </c>
      <c r="E199" s="31">
        <v>0</v>
      </c>
      <c r="F199" s="31">
        <v>2705317.3640000001</v>
      </c>
      <c r="G199" s="31">
        <v>0</v>
      </c>
      <c r="H199" s="31">
        <v>3085171.702</v>
      </c>
      <c r="I199" s="31">
        <v>0</v>
      </c>
      <c r="J199" s="31">
        <v>3446152.1009999998</v>
      </c>
      <c r="K199" s="31">
        <v>0</v>
      </c>
      <c r="L199" s="31">
        <v>3512938.1069999998</v>
      </c>
      <c r="M199" s="31">
        <v>0</v>
      </c>
      <c r="N199" s="31">
        <v>3939642.872</v>
      </c>
      <c r="O199" s="31">
        <v>0</v>
      </c>
      <c r="P199" s="31">
        <v>4608788.9419999998</v>
      </c>
      <c r="Q199" s="31">
        <v>0</v>
      </c>
      <c r="R199" s="31">
        <v>5919885.4390000002</v>
      </c>
      <c r="S199" s="31">
        <v>0</v>
      </c>
      <c r="T199" s="31">
        <v>6602246.1670000004</v>
      </c>
      <c r="U199" s="38">
        <v>0</v>
      </c>
      <c r="V199" s="38">
        <v>7718090.3119999999</v>
      </c>
    </row>
    <row r="200" spans="1:22" ht="3" customHeight="1" x14ac:dyDescent="0.25">
      <c r="A200">
        <v>9204</v>
      </c>
      <c r="B200" t="s">
        <v>211</v>
      </c>
      <c r="C200" s="31">
        <v>0</v>
      </c>
      <c r="D200" s="31">
        <v>1544448.4669999999</v>
      </c>
      <c r="E200" s="31">
        <v>0</v>
      </c>
      <c r="F200" s="31">
        <v>1640533.027</v>
      </c>
      <c r="G200" s="31">
        <v>0</v>
      </c>
      <c r="H200" s="31">
        <v>1804277.878</v>
      </c>
      <c r="I200" s="31">
        <v>0</v>
      </c>
      <c r="J200" s="31">
        <v>2022478.415</v>
      </c>
      <c r="K200" s="31">
        <v>0</v>
      </c>
      <c r="L200" s="31">
        <v>2059881.1680000001</v>
      </c>
      <c r="M200" s="31">
        <v>0</v>
      </c>
      <c r="N200" s="31">
        <v>2309755.8879999998</v>
      </c>
      <c r="O200" s="31">
        <v>0</v>
      </c>
      <c r="P200" s="31">
        <v>2748033.8769999999</v>
      </c>
      <c r="Q200" s="31">
        <v>0</v>
      </c>
      <c r="R200" s="31">
        <v>3188545.65</v>
      </c>
      <c r="S200" s="31">
        <v>0</v>
      </c>
      <c r="T200" s="31">
        <v>3509255.9750000001</v>
      </c>
      <c r="U200" s="38">
        <v>0</v>
      </c>
      <c r="V200" s="38">
        <v>3781884.4810000001</v>
      </c>
    </row>
    <row r="201" spans="1:22" ht="3" customHeight="1" x14ac:dyDescent="0.25">
      <c r="A201">
        <v>9205</v>
      </c>
      <c r="B201" t="s">
        <v>214</v>
      </c>
      <c r="C201" s="31">
        <v>0</v>
      </c>
      <c r="D201" s="31">
        <v>1944162.023</v>
      </c>
      <c r="E201" s="31">
        <v>0</v>
      </c>
      <c r="F201" s="31">
        <v>2105675.5550000002</v>
      </c>
      <c r="G201" s="31">
        <v>0</v>
      </c>
      <c r="H201" s="31">
        <v>2445229.622</v>
      </c>
      <c r="I201" s="31">
        <v>0</v>
      </c>
      <c r="J201" s="31">
        <v>2781603.375</v>
      </c>
      <c r="K201" s="31">
        <v>0</v>
      </c>
      <c r="L201" s="31">
        <v>2848419.5780000002</v>
      </c>
      <c r="M201" s="31">
        <v>0</v>
      </c>
      <c r="N201" s="31">
        <v>3194628.8820000002</v>
      </c>
      <c r="O201" s="31">
        <v>0</v>
      </c>
      <c r="P201" s="31">
        <v>3877963.8149999999</v>
      </c>
      <c r="Q201" s="31">
        <v>0</v>
      </c>
      <c r="R201" s="31">
        <v>4463008.0250000004</v>
      </c>
      <c r="S201" s="31">
        <v>0</v>
      </c>
      <c r="T201" s="31">
        <v>4951773.5140000004</v>
      </c>
      <c r="U201" s="38">
        <v>0</v>
      </c>
      <c r="V201" s="38">
        <v>5332079.7949999999</v>
      </c>
    </row>
    <row r="202" spans="1:22" ht="3" customHeight="1" x14ac:dyDescent="0.25">
      <c r="A202">
        <v>9206</v>
      </c>
      <c r="B202" t="s">
        <v>208</v>
      </c>
      <c r="C202" s="31">
        <v>0</v>
      </c>
      <c r="D202" s="31">
        <v>1519365.922</v>
      </c>
      <c r="E202" s="31">
        <v>0</v>
      </c>
      <c r="F202" s="31">
        <v>1617702.622</v>
      </c>
      <c r="G202" s="31">
        <v>0</v>
      </c>
      <c r="H202" s="31">
        <v>1869551.85</v>
      </c>
      <c r="I202" s="31">
        <v>0</v>
      </c>
      <c r="J202" s="31">
        <v>2057582.324</v>
      </c>
      <c r="K202" s="31">
        <v>0</v>
      </c>
      <c r="L202" s="31">
        <v>2088020.0360000001</v>
      </c>
      <c r="M202" s="31">
        <v>0</v>
      </c>
      <c r="N202" s="31">
        <v>2341234.19</v>
      </c>
      <c r="O202" s="31">
        <v>0</v>
      </c>
      <c r="P202" s="31">
        <v>2731729.4369999999</v>
      </c>
      <c r="Q202" s="31">
        <v>0</v>
      </c>
      <c r="R202" s="31">
        <v>3032159.9210000001</v>
      </c>
      <c r="S202" s="31">
        <v>0</v>
      </c>
      <c r="T202" s="31">
        <v>3301663.824</v>
      </c>
      <c r="U202" s="38">
        <v>0</v>
      </c>
      <c r="V202" s="38">
        <v>3525305.3939999999</v>
      </c>
    </row>
    <row r="203" spans="1:22" ht="3" customHeight="1" x14ac:dyDescent="0.25">
      <c r="A203">
        <v>9207</v>
      </c>
      <c r="B203" t="s">
        <v>212</v>
      </c>
      <c r="C203" s="31">
        <v>0</v>
      </c>
      <c r="D203" s="31">
        <v>1923255.8840000001</v>
      </c>
      <c r="E203" s="31">
        <v>0</v>
      </c>
      <c r="F203" s="31">
        <v>2026352.4269999999</v>
      </c>
      <c r="G203" s="31">
        <v>0</v>
      </c>
      <c r="H203" s="31">
        <v>2177730.12</v>
      </c>
      <c r="I203" s="31">
        <v>0</v>
      </c>
      <c r="J203" s="31">
        <v>2365494.8620000002</v>
      </c>
      <c r="K203" s="31">
        <v>0</v>
      </c>
      <c r="L203" s="31">
        <v>2396117.3509999998</v>
      </c>
      <c r="M203" s="31">
        <v>0</v>
      </c>
      <c r="N203" s="31">
        <v>2686516.4539999999</v>
      </c>
      <c r="O203" s="31">
        <v>0</v>
      </c>
      <c r="P203" s="31">
        <v>3186475.3849999998</v>
      </c>
      <c r="Q203" s="31">
        <v>0</v>
      </c>
      <c r="R203" s="31">
        <v>3552660.8029999998</v>
      </c>
      <c r="S203" s="31">
        <v>0</v>
      </c>
      <c r="T203" s="31">
        <v>3811424.1880000001</v>
      </c>
      <c r="U203" s="38">
        <v>0</v>
      </c>
      <c r="V203" s="38">
        <v>4185930.6340000001</v>
      </c>
    </row>
    <row r="204" spans="1:22" ht="3" customHeight="1" x14ac:dyDescent="0.25">
      <c r="A204">
        <v>9208</v>
      </c>
      <c r="B204" t="s">
        <v>412</v>
      </c>
      <c r="C204" s="31">
        <v>0</v>
      </c>
      <c r="D204" s="31">
        <v>2164676.3539999998</v>
      </c>
      <c r="E204" s="31">
        <v>0</v>
      </c>
      <c r="F204" s="31">
        <v>2336355.7450000001</v>
      </c>
      <c r="G204" s="31">
        <v>0</v>
      </c>
      <c r="H204" s="31">
        <v>2502982.1209999998</v>
      </c>
      <c r="I204" s="31">
        <v>0</v>
      </c>
      <c r="J204" s="31">
        <v>2725577.7570000002</v>
      </c>
      <c r="K204" s="31">
        <v>0</v>
      </c>
      <c r="L204" s="31">
        <v>2753672.784</v>
      </c>
      <c r="M204" s="31">
        <v>0</v>
      </c>
      <c r="N204" s="31">
        <v>3087360.8969999999</v>
      </c>
      <c r="O204" s="31">
        <v>0</v>
      </c>
      <c r="P204" s="31">
        <v>3615869.841</v>
      </c>
      <c r="Q204" s="31">
        <v>0</v>
      </c>
      <c r="R204" s="31">
        <v>4066630.0359999998</v>
      </c>
      <c r="S204" s="31">
        <v>0</v>
      </c>
      <c r="T204" s="31">
        <v>4360310.5489999996</v>
      </c>
      <c r="U204" s="38">
        <v>0</v>
      </c>
      <c r="V204" s="38">
        <v>4747457.642</v>
      </c>
    </row>
    <row r="205" spans="1:22" ht="3" customHeight="1" x14ac:dyDescent="0.25">
      <c r="A205">
        <v>9209</v>
      </c>
      <c r="B205" t="s">
        <v>209</v>
      </c>
      <c r="C205" s="31">
        <v>0</v>
      </c>
      <c r="D205" s="31">
        <v>1531560.209</v>
      </c>
      <c r="E205" s="31">
        <v>0</v>
      </c>
      <c r="F205" s="31">
        <v>1614084.2150000001</v>
      </c>
      <c r="G205" s="31">
        <v>0</v>
      </c>
      <c r="H205" s="31">
        <v>1843934.6129999999</v>
      </c>
      <c r="I205" s="31">
        <v>0</v>
      </c>
      <c r="J205" s="31">
        <v>2044950.993</v>
      </c>
      <c r="K205" s="31">
        <v>0</v>
      </c>
      <c r="L205" s="31">
        <v>2070356.1880000001</v>
      </c>
      <c r="M205" s="31">
        <v>0</v>
      </c>
      <c r="N205" s="31">
        <v>2321178.7579999999</v>
      </c>
      <c r="O205" s="31">
        <v>0</v>
      </c>
      <c r="P205" s="31">
        <v>2705894.89</v>
      </c>
      <c r="Q205" s="31">
        <v>0</v>
      </c>
      <c r="R205" s="31">
        <v>2959664.8930000002</v>
      </c>
      <c r="S205" s="31">
        <v>0</v>
      </c>
      <c r="T205" s="31">
        <v>3241527.2629999998</v>
      </c>
      <c r="U205" s="38">
        <v>0</v>
      </c>
      <c r="V205" s="38">
        <v>3435098.236</v>
      </c>
    </row>
    <row r="206" spans="1:22" ht="3" customHeight="1" x14ac:dyDescent="0.25">
      <c r="A206">
        <v>9210</v>
      </c>
      <c r="B206" t="s">
        <v>413</v>
      </c>
      <c r="C206" s="31">
        <v>0</v>
      </c>
      <c r="D206" s="31">
        <v>2358005.8280000002</v>
      </c>
      <c r="E206" s="31">
        <v>0</v>
      </c>
      <c r="F206" s="31">
        <v>2548509.6510000001</v>
      </c>
      <c r="G206" s="31">
        <v>0</v>
      </c>
      <c r="H206" s="31">
        <v>2919261.0359999998</v>
      </c>
      <c r="I206" s="31">
        <v>0</v>
      </c>
      <c r="J206" s="31">
        <v>3309393.7719999999</v>
      </c>
      <c r="K206" s="31">
        <v>0</v>
      </c>
      <c r="L206" s="31">
        <v>3383128.7429999998</v>
      </c>
      <c r="M206" s="31">
        <v>0</v>
      </c>
      <c r="N206" s="31">
        <v>3794156.4709999999</v>
      </c>
      <c r="O206" s="31">
        <v>0</v>
      </c>
      <c r="P206" s="31">
        <v>4667042.0779999997</v>
      </c>
      <c r="Q206" s="31">
        <v>0</v>
      </c>
      <c r="R206" s="31">
        <v>5531324.3650000002</v>
      </c>
      <c r="S206" s="31">
        <v>0</v>
      </c>
      <c r="T206" s="31">
        <v>6158062.7800000003</v>
      </c>
      <c r="U206" s="38">
        <v>0</v>
      </c>
      <c r="V206" s="38">
        <v>6215668.4840000002</v>
      </c>
    </row>
    <row r="207" spans="1:22" ht="3" customHeight="1" x14ac:dyDescent="0.25">
      <c r="A207">
        <v>9211</v>
      </c>
      <c r="B207" t="s">
        <v>213</v>
      </c>
      <c r="C207" s="31">
        <v>0</v>
      </c>
      <c r="D207" s="31">
        <v>3401898.51</v>
      </c>
      <c r="E207" s="31">
        <v>0</v>
      </c>
      <c r="F207" s="31">
        <v>3630291.3990000002</v>
      </c>
      <c r="G207" s="31">
        <v>0</v>
      </c>
      <c r="H207" s="31">
        <v>4120581.7889999999</v>
      </c>
      <c r="I207" s="31">
        <v>0</v>
      </c>
      <c r="J207" s="31">
        <v>4506593.085</v>
      </c>
      <c r="K207" s="31">
        <v>0</v>
      </c>
      <c r="L207" s="31">
        <v>4572468.949</v>
      </c>
      <c r="M207" s="31">
        <v>0</v>
      </c>
      <c r="N207" s="31">
        <v>5127225.2609999999</v>
      </c>
      <c r="O207" s="31">
        <v>0</v>
      </c>
      <c r="P207" s="31">
        <v>6182383.034</v>
      </c>
      <c r="Q207" s="31">
        <v>0</v>
      </c>
      <c r="R207" s="31">
        <v>7172361.2010000004</v>
      </c>
      <c r="S207" s="31">
        <v>0</v>
      </c>
      <c r="T207" s="31">
        <v>7927288.7719999999</v>
      </c>
      <c r="U207" s="38">
        <v>0</v>
      </c>
      <c r="V207" s="38">
        <v>8595825.6190000009</v>
      </c>
    </row>
    <row r="208" spans="1:22" ht="3" customHeight="1" x14ac:dyDescent="0.25">
      <c r="A208">
        <v>10101</v>
      </c>
      <c r="B208" t="s">
        <v>246</v>
      </c>
      <c r="C208" s="31">
        <v>0</v>
      </c>
      <c r="D208" s="31">
        <v>11570157.368000001</v>
      </c>
      <c r="E208" s="31">
        <v>0</v>
      </c>
      <c r="F208" s="31">
        <v>14246816.968</v>
      </c>
      <c r="G208" s="31">
        <v>0</v>
      </c>
      <c r="H208" s="31">
        <v>16380991.727</v>
      </c>
      <c r="I208" s="31">
        <v>0</v>
      </c>
      <c r="J208" s="31">
        <v>17768436.502999999</v>
      </c>
      <c r="K208" s="31">
        <v>0</v>
      </c>
      <c r="L208" s="31">
        <v>18010759.010000002</v>
      </c>
      <c r="M208" s="31">
        <v>0</v>
      </c>
      <c r="N208" s="31">
        <v>20192759.620000001</v>
      </c>
      <c r="O208" s="31">
        <v>0</v>
      </c>
      <c r="P208" s="31">
        <v>22771964.669</v>
      </c>
      <c r="Q208" s="31">
        <v>0</v>
      </c>
      <c r="R208" s="31">
        <v>24688931.441</v>
      </c>
      <c r="S208" s="31">
        <v>0</v>
      </c>
      <c r="T208" s="31">
        <v>26159468.263999999</v>
      </c>
      <c r="U208" s="38">
        <v>0</v>
      </c>
      <c r="V208" s="38">
        <v>26404177.199000001</v>
      </c>
    </row>
    <row r="209" spans="1:22" ht="3" customHeight="1" x14ac:dyDescent="0.25">
      <c r="A209">
        <v>10102</v>
      </c>
      <c r="B209" t="s">
        <v>252</v>
      </c>
      <c r="C209" s="31">
        <v>0</v>
      </c>
      <c r="D209" s="31">
        <v>2764561.5010000002</v>
      </c>
      <c r="E209" s="31">
        <v>0</v>
      </c>
      <c r="F209" s="31">
        <v>2912755.9339999999</v>
      </c>
      <c r="G209" s="31">
        <v>0</v>
      </c>
      <c r="H209" s="31">
        <v>3423598.0750000002</v>
      </c>
      <c r="I209" s="31">
        <v>0</v>
      </c>
      <c r="J209" s="31">
        <v>3738414.4509999999</v>
      </c>
      <c r="K209" s="31">
        <v>0</v>
      </c>
      <c r="L209" s="31">
        <v>3800766.95</v>
      </c>
      <c r="M209" s="31">
        <v>0</v>
      </c>
      <c r="N209" s="31">
        <v>4261918.2489999998</v>
      </c>
      <c r="O209" s="31">
        <v>0</v>
      </c>
      <c r="P209" s="31">
        <v>5001322.9069999997</v>
      </c>
      <c r="Q209" s="31">
        <v>0</v>
      </c>
      <c r="R209" s="31">
        <v>5798740.0970000001</v>
      </c>
      <c r="S209" s="31">
        <v>0</v>
      </c>
      <c r="T209" s="31">
        <v>6453590.0300000003</v>
      </c>
      <c r="U209" s="38">
        <v>0</v>
      </c>
      <c r="V209" s="38">
        <v>6745319.517</v>
      </c>
    </row>
    <row r="210" spans="1:22" ht="3" customHeight="1" x14ac:dyDescent="0.25">
      <c r="A210">
        <v>10103</v>
      </c>
      <c r="B210" t="s">
        <v>414</v>
      </c>
      <c r="C210" s="31">
        <v>0</v>
      </c>
      <c r="D210" s="31">
        <v>1156860.4990000001</v>
      </c>
      <c r="E210" s="31">
        <v>0</v>
      </c>
      <c r="F210" s="31">
        <v>1218873.463</v>
      </c>
      <c r="G210" s="31">
        <v>0</v>
      </c>
      <c r="H210" s="31">
        <v>1310168.054</v>
      </c>
      <c r="I210" s="31">
        <v>0</v>
      </c>
      <c r="J210" s="31">
        <v>1401932.7479999999</v>
      </c>
      <c r="K210" s="31">
        <v>0</v>
      </c>
      <c r="L210" s="31">
        <v>1413692.3389999999</v>
      </c>
      <c r="M210" s="31">
        <v>0</v>
      </c>
      <c r="N210" s="31">
        <v>1584961.078</v>
      </c>
      <c r="O210" s="31">
        <v>0</v>
      </c>
      <c r="P210" s="31">
        <v>1787406.6470000001</v>
      </c>
      <c r="Q210" s="31">
        <v>0</v>
      </c>
      <c r="R210" s="31">
        <v>1987058.3030000001</v>
      </c>
      <c r="S210" s="31">
        <v>0</v>
      </c>
      <c r="T210" s="31">
        <v>2119212.1460000002</v>
      </c>
      <c r="U210" s="38">
        <v>0</v>
      </c>
      <c r="V210" s="38">
        <v>2195215.764</v>
      </c>
    </row>
    <row r="211" spans="1:22" ht="3" customHeight="1" x14ac:dyDescent="0.25">
      <c r="A211">
        <v>10104</v>
      </c>
      <c r="B211" t="s">
        <v>248</v>
      </c>
      <c r="C211" s="31">
        <v>0</v>
      </c>
      <c r="D211" s="31">
        <v>1541981.662</v>
      </c>
      <c r="E211" s="31">
        <v>0</v>
      </c>
      <c r="F211" s="31">
        <v>1649955.2690000001</v>
      </c>
      <c r="G211" s="31">
        <v>0</v>
      </c>
      <c r="H211" s="31">
        <v>1792623.622</v>
      </c>
      <c r="I211" s="31">
        <v>0</v>
      </c>
      <c r="J211" s="31">
        <v>1927293.7220000001</v>
      </c>
      <c r="K211" s="31">
        <v>0</v>
      </c>
      <c r="L211" s="31">
        <v>1945979.334</v>
      </c>
      <c r="M211" s="31">
        <v>0</v>
      </c>
      <c r="N211" s="31">
        <v>2182490.96</v>
      </c>
      <c r="O211" s="31">
        <v>0</v>
      </c>
      <c r="P211" s="31">
        <v>2646198.4360000002</v>
      </c>
      <c r="Q211" s="31">
        <v>0</v>
      </c>
      <c r="R211" s="31">
        <v>2997149.4819999998</v>
      </c>
      <c r="S211" s="31">
        <v>0</v>
      </c>
      <c r="T211" s="31">
        <v>3247297.2059999998</v>
      </c>
      <c r="U211" s="38">
        <v>0</v>
      </c>
      <c r="V211" s="38">
        <v>3277674.219</v>
      </c>
    </row>
    <row r="212" spans="1:22" ht="3" customHeight="1" x14ac:dyDescent="0.25">
      <c r="A212">
        <v>10105</v>
      </c>
      <c r="B212" t="s">
        <v>249</v>
      </c>
      <c r="C212" s="31">
        <v>0</v>
      </c>
      <c r="D212" s="31">
        <v>1476228.3529999999</v>
      </c>
      <c r="E212" s="31">
        <v>0</v>
      </c>
      <c r="F212" s="31">
        <v>1555360.888</v>
      </c>
      <c r="G212" s="31">
        <v>0</v>
      </c>
      <c r="H212" s="31">
        <v>1678788.2860000001</v>
      </c>
      <c r="I212" s="31">
        <v>0</v>
      </c>
      <c r="J212" s="31">
        <v>1796370.7409999999</v>
      </c>
      <c r="K212" s="31">
        <v>0</v>
      </c>
      <c r="L212" s="31">
        <v>1811437.6669999999</v>
      </c>
      <c r="M212" s="31">
        <v>0</v>
      </c>
      <c r="N212" s="31">
        <v>2030893.0220000001</v>
      </c>
      <c r="O212" s="31">
        <v>0</v>
      </c>
      <c r="P212" s="31">
        <v>2295139.5809999998</v>
      </c>
      <c r="Q212" s="31">
        <v>0</v>
      </c>
      <c r="R212" s="31">
        <v>2549117.676</v>
      </c>
      <c r="S212" s="31">
        <v>0</v>
      </c>
      <c r="T212" s="31">
        <v>2718470.5019999999</v>
      </c>
      <c r="U212" s="38">
        <v>0</v>
      </c>
      <c r="V212" s="38">
        <v>2785358.7880000002</v>
      </c>
    </row>
    <row r="213" spans="1:22" ht="3" customHeight="1" x14ac:dyDescent="0.25">
      <c r="A213">
        <v>10106</v>
      </c>
      <c r="B213" t="s">
        <v>251</v>
      </c>
      <c r="C213" s="31">
        <v>0</v>
      </c>
      <c r="D213" s="31">
        <v>1862541.6029999999</v>
      </c>
      <c r="E213" s="31">
        <v>0</v>
      </c>
      <c r="F213" s="31">
        <v>1962383.895</v>
      </c>
      <c r="G213" s="31">
        <v>0</v>
      </c>
      <c r="H213" s="31">
        <v>2122363.2000000002</v>
      </c>
      <c r="I213" s="31">
        <v>0</v>
      </c>
      <c r="J213" s="31">
        <v>2271013.8459999999</v>
      </c>
      <c r="K213" s="31">
        <v>0</v>
      </c>
      <c r="L213" s="31">
        <v>2290061.9610000001</v>
      </c>
      <c r="M213" s="31">
        <v>0</v>
      </c>
      <c r="N213" s="31">
        <v>2567682.1039999998</v>
      </c>
      <c r="O213" s="31">
        <v>0</v>
      </c>
      <c r="P213" s="31">
        <v>3095251.3309999998</v>
      </c>
      <c r="Q213" s="31">
        <v>0</v>
      </c>
      <c r="R213" s="31">
        <v>3588500.6919999998</v>
      </c>
      <c r="S213" s="31">
        <v>0</v>
      </c>
      <c r="T213" s="31">
        <v>3883070.5159999998</v>
      </c>
      <c r="U213" s="38">
        <v>0</v>
      </c>
      <c r="V213" s="38">
        <v>3919395.1979999999</v>
      </c>
    </row>
    <row r="214" spans="1:22" ht="3" customHeight="1" x14ac:dyDescent="0.25">
      <c r="A214">
        <v>10107</v>
      </c>
      <c r="B214" t="s">
        <v>250</v>
      </c>
      <c r="C214" s="31">
        <v>0</v>
      </c>
      <c r="D214" s="31">
        <v>1584971.2949999999</v>
      </c>
      <c r="E214" s="31">
        <v>0</v>
      </c>
      <c r="F214" s="31">
        <v>1669933.5149999999</v>
      </c>
      <c r="G214" s="31">
        <v>0</v>
      </c>
      <c r="H214" s="31">
        <v>1790058.507</v>
      </c>
      <c r="I214" s="31">
        <v>0</v>
      </c>
      <c r="J214" s="31">
        <v>1974646.3659999999</v>
      </c>
      <c r="K214" s="31">
        <v>0</v>
      </c>
      <c r="L214" s="31">
        <v>2006407.9539999999</v>
      </c>
      <c r="M214" s="31">
        <v>0</v>
      </c>
      <c r="N214" s="31">
        <v>2249801.0269999998</v>
      </c>
      <c r="O214" s="31">
        <v>0</v>
      </c>
      <c r="P214" s="31">
        <v>2542718.9190000002</v>
      </c>
      <c r="Q214" s="31">
        <v>0</v>
      </c>
      <c r="R214" s="31">
        <v>2761169.824</v>
      </c>
      <c r="S214" s="31">
        <v>0</v>
      </c>
      <c r="T214" s="31">
        <v>2855034.4410000001</v>
      </c>
      <c r="U214" s="38">
        <v>0</v>
      </c>
      <c r="V214" s="38">
        <v>2881741.54</v>
      </c>
    </row>
    <row r="215" spans="1:22" ht="3" customHeight="1" x14ac:dyDescent="0.25">
      <c r="A215">
        <v>10108</v>
      </c>
      <c r="B215" t="s">
        <v>415</v>
      </c>
      <c r="C215" s="31">
        <v>0</v>
      </c>
      <c r="D215" s="31">
        <v>1975966.7450000001</v>
      </c>
      <c r="E215" s="31">
        <v>0</v>
      </c>
      <c r="F215" s="31">
        <v>2081888.426</v>
      </c>
      <c r="G215" s="31">
        <v>0</v>
      </c>
      <c r="H215" s="31">
        <v>2234238.1310000001</v>
      </c>
      <c r="I215" s="31">
        <v>0</v>
      </c>
      <c r="J215" s="31">
        <v>2433201.9670000002</v>
      </c>
      <c r="K215" s="31">
        <v>0</v>
      </c>
      <c r="L215" s="31">
        <v>2466352.6850000001</v>
      </c>
      <c r="M215" s="31">
        <v>0</v>
      </c>
      <c r="N215" s="31">
        <v>2765368.273</v>
      </c>
      <c r="O215" s="31">
        <v>0</v>
      </c>
      <c r="P215" s="31">
        <v>3372383.2960000001</v>
      </c>
      <c r="Q215" s="31">
        <v>0</v>
      </c>
      <c r="R215" s="31">
        <v>3867454.8769999999</v>
      </c>
      <c r="S215" s="31">
        <v>0</v>
      </c>
      <c r="T215" s="31">
        <v>3998926.59</v>
      </c>
      <c r="U215" s="38">
        <v>0</v>
      </c>
      <c r="V215" s="38">
        <v>4490931.5539999995</v>
      </c>
    </row>
    <row r="216" spans="1:22" ht="3" customHeight="1" x14ac:dyDescent="0.25">
      <c r="A216">
        <v>10109</v>
      </c>
      <c r="B216" t="s">
        <v>247</v>
      </c>
      <c r="C216" s="31">
        <v>0</v>
      </c>
      <c r="D216" s="31">
        <v>1033435.946</v>
      </c>
      <c r="E216" s="31">
        <v>0</v>
      </c>
      <c r="F216" s="31">
        <v>1156790.3810000001</v>
      </c>
      <c r="G216" s="31">
        <v>0</v>
      </c>
      <c r="H216" s="31">
        <v>1386085.7720000001</v>
      </c>
      <c r="I216" s="31">
        <v>0</v>
      </c>
      <c r="J216" s="31">
        <v>1565876.0660000001</v>
      </c>
      <c r="K216" s="31">
        <v>0</v>
      </c>
      <c r="L216" s="31">
        <v>1593753.1939999999</v>
      </c>
      <c r="M216" s="31">
        <v>0</v>
      </c>
      <c r="N216" s="31">
        <v>1787243.129</v>
      </c>
      <c r="O216" s="31">
        <v>0</v>
      </c>
      <c r="P216" s="31">
        <v>2227974.5260000001</v>
      </c>
      <c r="Q216" s="31">
        <v>0</v>
      </c>
      <c r="R216" s="31">
        <v>2689878.2379999999</v>
      </c>
      <c r="S216" s="31">
        <v>0</v>
      </c>
      <c r="T216" s="31">
        <v>2883311.0129999998</v>
      </c>
      <c r="U216" s="38">
        <v>0</v>
      </c>
      <c r="V216" s="38">
        <v>2910283.469</v>
      </c>
    </row>
    <row r="217" spans="1:22" ht="3" customHeight="1" x14ac:dyDescent="0.25">
      <c r="A217">
        <v>10201</v>
      </c>
      <c r="B217" t="s">
        <v>253</v>
      </c>
      <c r="C217" s="31">
        <v>0</v>
      </c>
      <c r="D217" s="31">
        <v>4573618.9960000003</v>
      </c>
      <c r="E217" s="31">
        <v>0</v>
      </c>
      <c r="F217" s="31">
        <v>5211764.68</v>
      </c>
      <c r="G217" s="31">
        <v>0</v>
      </c>
      <c r="H217" s="31">
        <v>6865917.841</v>
      </c>
      <c r="I217" s="31">
        <v>0</v>
      </c>
      <c r="J217" s="31">
        <v>8208658.8789999997</v>
      </c>
      <c r="K217" s="31">
        <v>0</v>
      </c>
      <c r="L217" s="31">
        <v>8510521.0920000002</v>
      </c>
      <c r="M217" s="31">
        <v>0</v>
      </c>
      <c r="N217" s="31">
        <v>9546615.1089999992</v>
      </c>
      <c r="O217" s="31">
        <v>0</v>
      </c>
      <c r="P217" s="31">
        <v>11164770.832</v>
      </c>
      <c r="Q217" s="31">
        <v>0</v>
      </c>
      <c r="R217" s="31">
        <v>13156511.683</v>
      </c>
      <c r="S217" s="31">
        <v>0</v>
      </c>
      <c r="T217" s="31">
        <v>15319781.793</v>
      </c>
      <c r="U217" s="38">
        <v>0</v>
      </c>
      <c r="V217" s="38">
        <v>15463091.296</v>
      </c>
    </row>
    <row r="218" spans="1:22" ht="3" customHeight="1" x14ac:dyDescent="0.25">
      <c r="A218">
        <v>10202</v>
      </c>
      <c r="B218" t="s">
        <v>255</v>
      </c>
      <c r="C218" s="31">
        <v>0</v>
      </c>
      <c r="D218" s="31">
        <v>4476072.4239999996</v>
      </c>
      <c r="E218" s="31">
        <v>0</v>
      </c>
      <c r="F218" s="31">
        <v>5045385.0080000004</v>
      </c>
      <c r="G218" s="31">
        <v>0</v>
      </c>
      <c r="H218" s="31">
        <v>5386237.0669999998</v>
      </c>
      <c r="I218" s="31">
        <v>0</v>
      </c>
      <c r="J218" s="31">
        <v>5785224.8540000003</v>
      </c>
      <c r="K218" s="31">
        <v>0</v>
      </c>
      <c r="L218" s="31">
        <v>5861841.5719999997</v>
      </c>
      <c r="M218" s="31">
        <v>0</v>
      </c>
      <c r="N218" s="31">
        <v>6572480.7460000003</v>
      </c>
      <c r="O218" s="31">
        <v>0</v>
      </c>
      <c r="P218" s="31">
        <v>7746222.1430000002</v>
      </c>
      <c r="Q218" s="31">
        <v>0</v>
      </c>
      <c r="R218" s="31">
        <v>8562399.6140000001</v>
      </c>
      <c r="S218" s="31">
        <v>0</v>
      </c>
      <c r="T218" s="31">
        <v>9161424.1620000005</v>
      </c>
      <c r="U218" s="38">
        <v>0</v>
      </c>
      <c r="V218" s="38">
        <v>9940640.9299999997</v>
      </c>
    </row>
    <row r="219" spans="1:22" ht="3" customHeight="1" x14ac:dyDescent="0.25">
      <c r="A219">
        <v>10203</v>
      </c>
      <c r="B219" t="s">
        <v>254</v>
      </c>
      <c r="C219" s="31">
        <v>0</v>
      </c>
      <c r="D219" s="31">
        <v>1914334.0989999999</v>
      </c>
      <c r="E219" s="31">
        <v>0</v>
      </c>
      <c r="F219" s="31">
        <v>2016952.2749999999</v>
      </c>
      <c r="G219" s="31">
        <v>0</v>
      </c>
      <c r="H219" s="31">
        <v>2283170.6519999998</v>
      </c>
      <c r="I219" s="31">
        <v>0</v>
      </c>
      <c r="J219" s="31">
        <v>2466577.713</v>
      </c>
      <c r="K219" s="31">
        <v>0</v>
      </c>
      <c r="L219" s="31">
        <v>2496817.1320000002</v>
      </c>
      <c r="M219" s="31">
        <v>0</v>
      </c>
      <c r="N219" s="31">
        <v>2799537.31</v>
      </c>
      <c r="O219" s="31">
        <v>0</v>
      </c>
      <c r="P219" s="31">
        <v>3157119.9939999999</v>
      </c>
      <c r="Q219" s="31">
        <v>0</v>
      </c>
      <c r="R219" s="31">
        <v>3422889.4350000001</v>
      </c>
      <c r="S219" s="31">
        <v>0</v>
      </c>
      <c r="T219" s="31">
        <v>3630038.92</v>
      </c>
      <c r="U219" s="38">
        <v>0</v>
      </c>
      <c r="V219" s="38">
        <v>4181311.5860000001</v>
      </c>
    </row>
    <row r="220" spans="1:22" ht="3" customHeight="1" x14ac:dyDescent="0.25">
      <c r="A220">
        <v>10204</v>
      </c>
      <c r="B220" t="s">
        <v>416</v>
      </c>
      <c r="C220" s="31">
        <v>0</v>
      </c>
      <c r="D220" s="31">
        <v>1383637.8</v>
      </c>
      <c r="E220" s="31">
        <v>0</v>
      </c>
      <c r="F220" s="31">
        <v>1457808.2490000001</v>
      </c>
      <c r="G220" s="31">
        <v>0</v>
      </c>
      <c r="H220" s="31">
        <v>1579029.595</v>
      </c>
      <c r="I220" s="31">
        <v>0</v>
      </c>
      <c r="J220" s="31">
        <v>1698643.879</v>
      </c>
      <c r="K220" s="31">
        <v>0</v>
      </c>
      <c r="L220" s="31">
        <v>1714194.8389999999</v>
      </c>
      <c r="M220" s="31">
        <v>0</v>
      </c>
      <c r="N220" s="31">
        <v>1921869.308</v>
      </c>
      <c r="O220" s="31">
        <v>0</v>
      </c>
      <c r="P220" s="31">
        <v>2192529.906</v>
      </c>
      <c r="Q220" s="31">
        <v>0</v>
      </c>
      <c r="R220" s="31">
        <v>2488312.2829999998</v>
      </c>
      <c r="S220" s="31">
        <v>0</v>
      </c>
      <c r="T220" s="31">
        <v>2685551.9019999998</v>
      </c>
      <c r="U220" s="38">
        <v>0</v>
      </c>
      <c r="V220" s="38">
        <v>2860667.1549999998</v>
      </c>
    </row>
    <row r="221" spans="1:22" ht="3" customHeight="1" x14ac:dyDescent="0.25">
      <c r="A221">
        <v>10205</v>
      </c>
      <c r="B221" t="s">
        <v>257</v>
      </c>
      <c r="C221" s="31">
        <v>0</v>
      </c>
      <c r="D221" s="31">
        <v>1775639.8389999999</v>
      </c>
      <c r="E221" s="31">
        <v>0</v>
      </c>
      <c r="F221" s="31">
        <v>1870823.36</v>
      </c>
      <c r="G221" s="31">
        <v>0</v>
      </c>
      <c r="H221" s="31">
        <v>2197062.7220000001</v>
      </c>
      <c r="I221" s="31">
        <v>0</v>
      </c>
      <c r="J221" s="31">
        <v>2415184.64</v>
      </c>
      <c r="K221" s="31">
        <v>0</v>
      </c>
      <c r="L221" s="31">
        <v>2451897.4720000001</v>
      </c>
      <c r="M221" s="31">
        <v>0</v>
      </c>
      <c r="N221" s="31">
        <v>2749334.8560000001</v>
      </c>
      <c r="O221" s="31">
        <v>0</v>
      </c>
      <c r="P221" s="31">
        <v>3322553.906</v>
      </c>
      <c r="Q221" s="31">
        <v>0</v>
      </c>
      <c r="R221" s="31">
        <v>3851106.409</v>
      </c>
      <c r="S221" s="31">
        <v>0</v>
      </c>
      <c r="T221" s="31">
        <v>4200146.4390000002</v>
      </c>
      <c r="U221" s="38">
        <v>0</v>
      </c>
      <c r="V221" s="38">
        <v>4603564.7019999996</v>
      </c>
    </row>
    <row r="222" spans="1:22" ht="3" customHeight="1" x14ac:dyDescent="0.25">
      <c r="A222">
        <v>10206</v>
      </c>
      <c r="B222" t="s">
        <v>417</v>
      </c>
      <c r="C222" s="31">
        <v>0</v>
      </c>
      <c r="D222" s="31">
        <v>1208164.4920000001</v>
      </c>
      <c r="E222" s="31">
        <v>0</v>
      </c>
      <c r="F222" s="31">
        <v>1272927.683</v>
      </c>
      <c r="G222" s="31">
        <v>0</v>
      </c>
      <c r="H222" s="31">
        <v>1368919.6140000001</v>
      </c>
      <c r="I222" s="31">
        <v>0</v>
      </c>
      <c r="J222" s="31">
        <v>1472238.202</v>
      </c>
      <c r="K222" s="31">
        <v>0</v>
      </c>
      <c r="L222" s="31">
        <v>1486805.0160000001</v>
      </c>
      <c r="M222" s="31">
        <v>0</v>
      </c>
      <c r="N222" s="31">
        <v>1666974.04</v>
      </c>
      <c r="O222" s="31">
        <v>0</v>
      </c>
      <c r="P222" s="31">
        <v>1933773.446</v>
      </c>
      <c r="Q222" s="31">
        <v>0</v>
      </c>
      <c r="R222" s="31">
        <v>2177628.537</v>
      </c>
      <c r="S222" s="31">
        <v>0</v>
      </c>
      <c r="T222" s="31">
        <v>2335043.6370000001</v>
      </c>
      <c r="U222" s="38">
        <v>0</v>
      </c>
      <c r="V222" s="38">
        <v>2621981.2579999999</v>
      </c>
    </row>
    <row r="223" spans="1:22" ht="3" customHeight="1" x14ac:dyDescent="0.25">
      <c r="A223">
        <v>10207</v>
      </c>
      <c r="B223" t="s">
        <v>418</v>
      </c>
      <c r="C223" s="31">
        <v>0</v>
      </c>
      <c r="D223" s="31">
        <v>1484785.6129999999</v>
      </c>
      <c r="E223" s="31">
        <v>0</v>
      </c>
      <c r="F223" s="31">
        <v>1564378.2649999999</v>
      </c>
      <c r="G223" s="31">
        <v>0</v>
      </c>
      <c r="H223" s="31">
        <v>1674104.67</v>
      </c>
      <c r="I223" s="31">
        <v>0</v>
      </c>
      <c r="J223" s="31">
        <v>1791359.7109999999</v>
      </c>
      <c r="K223" s="31">
        <v>0</v>
      </c>
      <c r="L223" s="31">
        <v>1806385.3629999999</v>
      </c>
      <c r="M223" s="31">
        <v>0</v>
      </c>
      <c r="N223" s="31">
        <v>2025227.861</v>
      </c>
      <c r="O223" s="31">
        <v>0</v>
      </c>
      <c r="P223" s="31">
        <v>2302330.8870000001</v>
      </c>
      <c r="Q223" s="31">
        <v>0</v>
      </c>
      <c r="R223" s="31">
        <v>2544878.2850000001</v>
      </c>
      <c r="S223" s="31">
        <v>0</v>
      </c>
      <c r="T223" s="31">
        <v>2698798.7319999998</v>
      </c>
      <c r="U223" s="38">
        <v>0</v>
      </c>
      <c r="V223" s="38">
        <v>3022625.324</v>
      </c>
    </row>
    <row r="224" spans="1:22" ht="3" customHeight="1" x14ac:dyDescent="0.25">
      <c r="A224">
        <v>10208</v>
      </c>
      <c r="B224" t="s">
        <v>419</v>
      </c>
      <c r="C224" s="31">
        <v>0</v>
      </c>
      <c r="D224" s="31">
        <v>2735783.55</v>
      </c>
      <c r="E224" s="31">
        <v>0</v>
      </c>
      <c r="F224" s="31">
        <v>2882435.5249999999</v>
      </c>
      <c r="G224" s="31">
        <v>0</v>
      </c>
      <c r="H224" s="31">
        <v>3060261.7209999999</v>
      </c>
      <c r="I224" s="31">
        <v>0</v>
      </c>
      <c r="J224" s="31">
        <v>3274603.7140000002</v>
      </c>
      <c r="K224" s="31">
        <v>0</v>
      </c>
      <c r="L224" s="31">
        <v>3302070.0950000002</v>
      </c>
      <c r="M224" s="31">
        <v>0</v>
      </c>
      <c r="N224" s="31">
        <v>3702115.398</v>
      </c>
      <c r="O224" s="31">
        <v>0</v>
      </c>
      <c r="P224" s="31">
        <v>4217553.12</v>
      </c>
      <c r="Q224" s="31">
        <v>0</v>
      </c>
      <c r="R224" s="31">
        <v>4572590.3629999999</v>
      </c>
      <c r="S224" s="31">
        <v>0</v>
      </c>
      <c r="T224" s="31">
        <v>4913489.5199999996</v>
      </c>
      <c r="U224" s="38">
        <v>0</v>
      </c>
      <c r="V224" s="38">
        <v>5810697.4469999997</v>
      </c>
    </row>
    <row r="225" spans="1:22" ht="3" customHeight="1" x14ac:dyDescent="0.25">
      <c r="A225">
        <v>10209</v>
      </c>
      <c r="B225" t="s">
        <v>256</v>
      </c>
      <c r="C225" s="31">
        <v>0</v>
      </c>
      <c r="D225" s="31">
        <v>1955952.6040000001</v>
      </c>
      <c r="E225" s="31">
        <v>0</v>
      </c>
      <c r="F225" s="31">
        <v>2060802.0919999999</v>
      </c>
      <c r="G225" s="31">
        <v>0</v>
      </c>
      <c r="H225" s="31">
        <v>2194880.8620000002</v>
      </c>
      <c r="I225" s="31">
        <v>0</v>
      </c>
      <c r="J225" s="31">
        <v>2348610.6540000001</v>
      </c>
      <c r="K225" s="31">
        <v>0</v>
      </c>
      <c r="L225" s="31">
        <v>2368310.2400000002</v>
      </c>
      <c r="M225" s="31">
        <v>0</v>
      </c>
      <c r="N225" s="31">
        <v>2655230.0129999998</v>
      </c>
      <c r="O225" s="31">
        <v>0</v>
      </c>
      <c r="P225" s="31">
        <v>2994380.858</v>
      </c>
      <c r="Q225" s="31">
        <v>0</v>
      </c>
      <c r="R225" s="31">
        <v>3246450.37</v>
      </c>
      <c r="S225" s="31">
        <v>0</v>
      </c>
      <c r="T225" s="31">
        <v>3356810.9679999999</v>
      </c>
      <c r="U225" s="38">
        <v>0</v>
      </c>
      <c r="V225" s="38">
        <v>3696310.753</v>
      </c>
    </row>
    <row r="226" spans="1:22" ht="3" customHeight="1" x14ac:dyDescent="0.25">
      <c r="A226">
        <v>10210</v>
      </c>
      <c r="B226" t="s">
        <v>258</v>
      </c>
      <c r="C226" s="31">
        <v>0</v>
      </c>
      <c r="D226" s="31">
        <v>1905104.0819999999</v>
      </c>
      <c r="E226" s="31">
        <v>0</v>
      </c>
      <c r="F226" s="31">
        <v>2007227.25</v>
      </c>
      <c r="G226" s="31">
        <v>0</v>
      </c>
      <c r="H226" s="31">
        <v>2147674.7590000001</v>
      </c>
      <c r="I226" s="31">
        <v>0</v>
      </c>
      <c r="J226" s="31">
        <v>2298099.0279999999</v>
      </c>
      <c r="K226" s="31">
        <v>0</v>
      </c>
      <c r="L226" s="31">
        <v>2317374.611</v>
      </c>
      <c r="M226" s="31">
        <v>0</v>
      </c>
      <c r="N226" s="31">
        <v>2598124.5660000001</v>
      </c>
      <c r="O226" s="31">
        <v>0</v>
      </c>
      <c r="P226" s="31">
        <v>2929981.9040000001</v>
      </c>
      <c r="Q226" s="31">
        <v>0</v>
      </c>
      <c r="R226" s="31">
        <v>3176630.4470000002</v>
      </c>
      <c r="S226" s="31">
        <v>0</v>
      </c>
      <c r="T226" s="31">
        <v>3284617.872</v>
      </c>
      <c r="U226" s="38">
        <v>0</v>
      </c>
      <c r="V226" s="38">
        <v>3512071.1910000001</v>
      </c>
    </row>
    <row r="227" spans="1:22" ht="3" customHeight="1" x14ac:dyDescent="0.25">
      <c r="A227">
        <v>10301</v>
      </c>
      <c r="B227" t="s">
        <v>240</v>
      </c>
      <c r="C227" s="31">
        <v>0</v>
      </c>
      <c r="D227" s="31">
        <v>7672896.2989999996</v>
      </c>
      <c r="E227" s="31">
        <v>0</v>
      </c>
      <c r="F227" s="31">
        <v>8148749.0690000001</v>
      </c>
      <c r="G227" s="31">
        <v>0</v>
      </c>
      <c r="H227" s="31">
        <v>8852548.6799999997</v>
      </c>
      <c r="I227" s="31">
        <v>0</v>
      </c>
      <c r="J227" s="31">
        <v>9472584.0659999996</v>
      </c>
      <c r="K227" s="31">
        <v>0</v>
      </c>
      <c r="L227" s="31">
        <v>9552036.6170000006</v>
      </c>
      <c r="M227" s="31">
        <v>0</v>
      </c>
      <c r="N227" s="31">
        <v>10709264.455</v>
      </c>
      <c r="O227" s="31">
        <v>0</v>
      </c>
      <c r="P227" s="31">
        <v>12409441.732000001</v>
      </c>
      <c r="Q227" s="31">
        <v>0</v>
      </c>
      <c r="R227" s="31">
        <v>14009660.318</v>
      </c>
      <c r="S227" s="31">
        <v>0</v>
      </c>
      <c r="T227" s="31">
        <v>15109015.566</v>
      </c>
      <c r="U227" s="38">
        <v>0</v>
      </c>
      <c r="V227" s="38">
        <v>15346404.336999999</v>
      </c>
    </row>
    <row r="228" spans="1:22" ht="3" customHeight="1" x14ac:dyDescent="0.25">
      <c r="A228">
        <v>10302</v>
      </c>
      <c r="B228" t="s">
        <v>242</v>
      </c>
      <c r="C228" s="31">
        <v>0</v>
      </c>
      <c r="D228" s="31">
        <v>1008524.196</v>
      </c>
      <c r="E228" s="31">
        <v>0</v>
      </c>
      <c r="F228" s="31">
        <v>1074283.7760000001</v>
      </c>
      <c r="G228" s="31">
        <v>0</v>
      </c>
      <c r="H228" s="31">
        <v>1194367.318</v>
      </c>
      <c r="I228" s="31">
        <v>0</v>
      </c>
      <c r="J228" s="31">
        <v>1311141.902</v>
      </c>
      <c r="K228" s="31">
        <v>0</v>
      </c>
      <c r="L228" s="31">
        <v>1326958.8330000001</v>
      </c>
      <c r="M228" s="31">
        <v>0</v>
      </c>
      <c r="N228" s="31">
        <v>1487851.703</v>
      </c>
      <c r="O228" s="31">
        <v>0</v>
      </c>
      <c r="P228" s="31">
        <v>1762831.601</v>
      </c>
      <c r="Q228" s="31">
        <v>0</v>
      </c>
      <c r="R228" s="31">
        <v>2018803.8559999999</v>
      </c>
      <c r="S228" s="31">
        <v>0</v>
      </c>
      <c r="T228" s="31">
        <v>2178283.8739999998</v>
      </c>
      <c r="U228" s="38">
        <v>0</v>
      </c>
      <c r="V228" s="38">
        <v>2263480.5159999998</v>
      </c>
    </row>
    <row r="229" spans="1:22" ht="3" customHeight="1" x14ac:dyDescent="0.25">
      <c r="A229">
        <v>10303</v>
      </c>
      <c r="B229" t="s">
        <v>244</v>
      </c>
      <c r="C229" s="31">
        <v>0</v>
      </c>
      <c r="D229" s="31">
        <v>1974546.6969999999</v>
      </c>
      <c r="E229" s="31">
        <v>0</v>
      </c>
      <c r="F229" s="31">
        <v>2080392.5290000001</v>
      </c>
      <c r="G229" s="31">
        <v>0</v>
      </c>
      <c r="H229" s="31">
        <v>2238392.682</v>
      </c>
      <c r="I229" s="31">
        <v>0</v>
      </c>
      <c r="J229" s="31">
        <v>2399050.3309999998</v>
      </c>
      <c r="K229" s="31">
        <v>0</v>
      </c>
      <c r="L229" s="31">
        <v>2419171.6310000001</v>
      </c>
      <c r="M229" s="31">
        <v>0</v>
      </c>
      <c r="N229" s="31">
        <v>2712253.767</v>
      </c>
      <c r="O229" s="31">
        <v>0</v>
      </c>
      <c r="P229" s="31">
        <v>3177417.4240000001</v>
      </c>
      <c r="Q229" s="31">
        <v>0</v>
      </c>
      <c r="R229" s="31">
        <v>3509811.2659999998</v>
      </c>
      <c r="S229" s="31">
        <v>0</v>
      </c>
      <c r="T229" s="31">
        <v>3737107.45</v>
      </c>
      <c r="U229" s="38">
        <v>0</v>
      </c>
      <c r="V229" s="38">
        <v>3992394.8420000002</v>
      </c>
    </row>
    <row r="230" spans="1:22" ht="3" customHeight="1" x14ac:dyDescent="0.25">
      <c r="A230">
        <v>10304</v>
      </c>
      <c r="B230" t="s">
        <v>243</v>
      </c>
      <c r="C230" s="31">
        <v>0</v>
      </c>
      <c r="D230" s="31">
        <v>1066818.2549999999</v>
      </c>
      <c r="E230" s="31">
        <v>0</v>
      </c>
      <c r="F230" s="31">
        <v>1153137.638</v>
      </c>
      <c r="G230" s="31">
        <v>0</v>
      </c>
      <c r="H230" s="31">
        <v>1280215.9380000001</v>
      </c>
      <c r="I230" s="31">
        <v>0</v>
      </c>
      <c r="J230" s="31">
        <v>1397610.054</v>
      </c>
      <c r="K230" s="31">
        <v>0</v>
      </c>
      <c r="L230" s="31">
        <v>1416181.057</v>
      </c>
      <c r="M230" s="31">
        <v>0</v>
      </c>
      <c r="N230" s="31">
        <v>1587918.3570000001</v>
      </c>
      <c r="O230" s="31">
        <v>0</v>
      </c>
      <c r="P230" s="31">
        <v>1892870.0330000001</v>
      </c>
      <c r="Q230" s="31">
        <v>0</v>
      </c>
      <c r="R230" s="31">
        <v>2209101.0989999999</v>
      </c>
      <c r="S230" s="31">
        <v>0</v>
      </c>
      <c r="T230" s="31">
        <v>2410976.3859999999</v>
      </c>
      <c r="U230" s="38">
        <v>0</v>
      </c>
      <c r="V230" s="38">
        <v>2530779.0589999999</v>
      </c>
    </row>
    <row r="231" spans="1:22" ht="3" customHeight="1" x14ac:dyDescent="0.25">
      <c r="A231">
        <v>10305</v>
      </c>
      <c r="B231" t="s">
        <v>420</v>
      </c>
      <c r="C231" s="31">
        <v>0</v>
      </c>
      <c r="D231" s="31">
        <v>1515190.7560000001</v>
      </c>
      <c r="E231" s="31">
        <v>0</v>
      </c>
      <c r="F231" s="31">
        <v>1596413.2409999999</v>
      </c>
      <c r="G231" s="31">
        <v>0</v>
      </c>
      <c r="H231" s="31">
        <v>1709547.2320000001</v>
      </c>
      <c r="I231" s="31">
        <v>0</v>
      </c>
      <c r="J231" s="31">
        <v>1830224.4620000001</v>
      </c>
      <c r="K231" s="31">
        <v>0</v>
      </c>
      <c r="L231" s="31">
        <v>1854281.46</v>
      </c>
      <c r="M231" s="31">
        <v>0</v>
      </c>
      <c r="N231" s="31">
        <v>2079230.044</v>
      </c>
      <c r="O231" s="31">
        <v>0</v>
      </c>
      <c r="P231" s="31">
        <v>2535612.5189999999</v>
      </c>
      <c r="Q231" s="31">
        <v>0</v>
      </c>
      <c r="R231" s="31">
        <v>2916007.182</v>
      </c>
      <c r="S231" s="31">
        <v>0</v>
      </c>
      <c r="T231" s="31">
        <v>3155268.9559999998</v>
      </c>
      <c r="U231" s="38">
        <v>0</v>
      </c>
      <c r="V231" s="38">
        <v>3184785.469</v>
      </c>
    </row>
    <row r="232" spans="1:22" ht="3" customHeight="1" x14ac:dyDescent="0.25">
      <c r="A232">
        <v>10306</v>
      </c>
      <c r="B232" t="s">
        <v>245</v>
      </c>
      <c r="C232" s="31">
        <v>0</v>
      </c>
      <c r="D232" s="31">
        <v>2183988.1189999999</v>
      </c>
      <c r="E232" s="31">
        <v>0</v>
      </c>
      <c r="F232" s="31">
        <v>2301060.7560000001</v>
      </c>
      <c r="G232" s="31">
        <v>0</v>
      </c>
      <c r="H232" s="31">
        <v>2493566.8859999999</v>
      </c>
      <c r="I232" s="31">
        <v>0</v>
      </c>
      <c r="J232" s="31">
        <v>2738464.7940000002</v>
      </c>
      <c r="K232" s="31">
        <v>0</v>
      </c>
      <c r="L232" s="31">
        <v>2786139.852</v>
      </c>
      <c r="M232" s="31">
        <v>0</v>
      </c>
      <c r="N232" s="31">
        <v>3124356.173</v>
      </c>
      <c r="O232" s="31">
        <v>0</v>
      </c>
      <c r="P232" s="31">
        <v>3636679.07</v>
      </c>
      <c r="Q232" s="31">
        <v>0</v>
      </c>
      <c r="R232" s="31">
        <v>4116476.7230000002</v>
      </c>
      <c r="S232" s="31">
        <v>0</v>
      </c>
      <c r="T232" s="31">
        <v>4595491.26</v>
      </c>
      <c r="U232" s="38">
        <v>0</v>
      </c>
      <c r="V232" s="38">
        <v>5519336.4129999997</v>
      </c>
    </row>
    <row r="233" spans="1:22" ht="3" customHeight="1" x14ac:dyDescent="0.25">
      <c r="A233">
        <v>10307</v>
      </c>
      <c r="B233" t="s">
        <v>241</v>
      </c>
      <c r="C233" s="31">
        <v>0</v>
      </c>
      <c r="D233" s="31">
        <v>1294406.5430000001</v>
      </c>
      <c r="E233" s="31">
        <v>0</v>
      </c>
      <c r="F233" s="31">
        <v>1386928.6070000001</v>
      </c>
      <c r="G233" s="31">
        <v>0</v>
      </c>
      <c r="H233" s="31">
        <v>1538418.3940000001</v>
      </c>
      <c r="I233" s="31">
        <v>0</v>
      </c>
      <c r="J233" s="31">
        <v>1666820.969</v>
      </c>
      <c r="K233" s="31">
        <v>0</v>
      </c>
      <c r="L233" s="31">
        <v>1685073.19</v>
      </c>
      <c r="M233" s="31">
        <v>0</v>
      </c>
      <c r="N233" s="31">
        <v>1889342.9809999999</v>
      </c>
      <c r="O233" s="31">
        <v>0</v>
      </c>
      <c r="P233" s="31">
        <v>2234157.875</v>
      </c>
      <c r="Q233" s="31">
        <v>0</v>
      </c>
      <c r="R233" s="31">
        <v>2483204.7149999999</v>
      </c>
      <c r="S233" s="31">
        <v>0</v>
      </c>
      <c r="T233" s="31">
        <v>2635668.6439999999</v>
      </c>
      <c r="U233" s="38">
        <v>0</v>
      </c>
      <c r="V233" s="38">
        <v>2758470.943</v>
      </c>
    </row>
    <row r="234" spans="1:22" ht="3" customHeight="1" x14ac:dyDescent="0.25">
      <c r="A234">
        <v>10401</v>
      </c>
      <c r="B234" t="s">
        <v>421</v>
      </c>
      <c r="C234" s="31">
        <v>0</v>
      </c>
      <c r="D234" s="31">
        <v>1536771.7590000001</v>
      </c>
      <c r="E234" s="31">
        <v>0</v>
      </c>
      <c r="F234" s="31">
        <v>1619150.746</v>
      </c>
      <c r="G234" s="31">
        <v>0</v>
      </c>
      <c r="H234" s="31">
        <v>1746084.7250000001</v>
      </c>
      <c r="I234" s="31">
        <v>0</v>
      </c>
      <c r="J234" s="31">
        <v>1868381.483</v>
      </c>
      <c r="K234" s="31">
        <v>0</v>
      </c>
      <c r="L234" s="31">
        <v>1884053.2590000001</v>
      </c>
      <c r="M234" s="31">
        <v>0</v>
      </c>
      <c r="N234" s="31">
        <v>2112305.977</v>
      </c>
      <c r="O234" s="31">
        <v>0</v>
      </c>
      <c r="P234" s="31">
        <v>2382109.2519999999</v>
      </c>
      <c r="Q234" s="31">
        <v>0</v>
      </c>
      <c r="R234" s="31">
        <v>2582636.747</v>
      </c>
      <c r="S234" s="31">
        <v>0</v>
      </c>
      <c r="T234" s="31">
        <v>2770094.97</v>
      </c>
      <c r="U234" s="38">
        <v>0</v>
      </c>
      <c r="V234" s="38">
        <v>3011596.4840000002</v>
      </c>
    </row>
    <row r="235" spans="1:22" ht="3" customHeight="1" x14ac:dyDescent="0.25">
      <c r="A235">
        <v>10402</v>
      </c>
      <c r="B235" t="s">
        <v>422</v>
      </c>
      <c r="C235" s="31">
        <v>0</v>
      </c>
      <c r="D235" s="31">
        <v>1313915.824</v>
      </c>
      <c r="E235" s="31">
        <v>0</v>
      </c>
      <c r="F235" s="31">
        <v>1532234.129</v>
      </c>
      <c r="G235" s="31">
        <v>0</v>
      </c>
      <c r="H235" s="31">
        <v>1665145.25</v>
      </c>
      <c r="I235" s="31">
        <v>0</v>
      </c>
      <c r="J235" s="31">
        <v>1813648.1869999999</v>
      </c>
      <c r="K235" s="31">
        <v>0</v>
      </c>
      <c r="L235" s="31">
        <v>1831144.273</v>
      </c>
      <c r="M235" s="31">
        <v>0</v>
      </c>
      <c r="N235" s="31">
        <v>2052987.216</v>
      </c>
      <c r="O235" s="31">
        <v>0</v>
      </c>
      <c r="P235" s="31">
        <v>2315213.2510000002</v>
      </c>
      <c r="Q235" s="31">
        <v>0</v>
      </c>
      <c r="R235" s="31">
        <v>2510109.7259999998</v>
      </c>
      <c r="S235" s="31">
        <v>0</v>
      </c>
      <c r="T235" s="31">
        <v>2738341.429</v>
      </c>
      <c r="U235" s="38">
        <v>0</v>
      </c>
      <c r="V235" s="38">
        <v>2763957.085</v>
      </c>
    </row>
    <row r="236" spans="1:22" ht="3" customHeight="1" x14ac:dyDescent="0.25">
      <c r="A236">
        <v>10403</v>
      </c>
      <c r="B236" t="s">
        <v>35</v>
      </c>
      <c r="C236" s="31">
        <v>0</v>
      </c>
      <c r="D236" s="31">
        <v>1453702.7790000001</v>
      </c>
      <c r="E236" s="31">
        <v>0</v>
      </c>
      <c r="F236" s="31">
        <v>1612927.6939999999</v>
      </c>
      <c r="G236" s="31">
        <v>0</v>
      </c>
      <c r="H236" s="31">
        <v>1846240.4750000001</v>
      </c>
      <c r="I236" s="31">
        <v>0</v>
      </c>
      <c r="J236" s="31">
        <v>2066960.139</v>
      </c>
      <c r="K236" s="31">
        <v>0</v>
      </c>
      <c r="L236" s="31">
        <v>2111766.878</v>
      </c>
      <c r="M236" s="31">
        <v>0</v>
      </c>
      <c r="N236" s="31">
        <v>2368039.7620000001</v>
      </c>
      <c r="O236" s="31">
        <v>0</v>
      </c>
      <c r="P236" s="31">
        <v>2714878.7749999999</v>
      </c>
      <c r="Q236" s="31">
        <v>0</v>
      </c>
      <c r="R236" s="31">
        <v>3059316.233</v>
      </c>
      <c r="S236" s="31">
        <v>0</v>
      </c>
      <c r="T236" s="31">
        <v>3445817.4920000001</v>
      </c>
      <c r="U236" s="38">
        <v>0</v>
      </c>
      <c r="V236" s="38">
        <v>4111179.5440000002</v>
      </c>
    </row>
    <row r="237" spans="1:22" ht="3" customHeight="1" x14ac:dyDescent="0.25">
      <c r="A237">
        <v>10404</v>
      </c>
      <c r="B237" t="s">
        <v>259</v>
      </c>
      <c r="C237" s="31">
        <v>0</v>
      </c>
      <c r="D237" s="31">
        <v>946384.86899999995</v>
      </c>
      <c r="E237" s="31">
        <v>0</v>
      </c>
      <c r="F237" s="31">
        <v>1010915.578</v>
      </c>
      <c r="G237" s="31">
        <v>0</v>
      </c>
      <c r="H237" s="31">
        <v>1136727.7350000001</v>
      </c>
      <c r="I237" s="31">
        <v>0</v>
      </c>
      <c r="J237" s="31">
        <v>1252308.925</v>
      </c>
      <c r="K237" s="31">
        <v>0</v>
      </c>
      <c r="L237" s="31">
        <v>1270848.2679999999</v>
      </c>
      <c r="M237" s="31">
        <v>0</v>
      </c>
      <c r="N237" s="31">
        <v>1424967.3910000001</v>
      </c>
      <c r="O237" s="31">
        <v>0</v>
      </c>
      <c r="P237" s="31">
        <v>1693626.2350000001</v>
      </c>
      <c r="Q237" s="31">
        <v>0</v>
      </c>
      <c r="R237" s="31">
        <v>1960000.2320000001</v>
      </c>
      <c r="S237" s="31">
        <v>0</v>
      </c>
      <c r="T237" s="31">
        <v>2163685.9789999998</v>
      </c>
      <c r="U237" s="38">
        <v>0</v>
      </c>
      <c r="V237" s="38">
        <v>2274120.16</v>
      </c>
    </row>
    <row r="238" spans="1:22" ht="3" customHeight="1" x14ac:dyDescent="0.25">
      <c r="A238">
        <v>11101</v>
      </c>
      <c r="B238" t="s">
        <v>501</v>
      </c>
      <c r="C238" s="31">
        <v>0</v>
      </c>
      <c r="D238" s="31">
        <v>4336110.9939999999</v>
      </c>
      <c r="E238" s="31">
        <v>0</v>
      </c>
      <c r="F238" s="31">
        <v>4669651.426</v>
      </c>
      <c r="G238" s="31">
        <v>0</v>
      </c>
      <c r="H238" s="31">
        <v>5820273.6220000004</v>
      </c>
      <c r="I238" s="31">
        <v>0</v>
      </c>
      <c r="J238" s="31">
        <v>6623165.9680000003</v>
      </c>
      <c r="K238" s="31">
        <v>0</v>
      </c>
      <c r="L238" s="31">
        <v>6774193.8959999997</v>
      </c>
      <c r="M238" s="31">
        <v>0</v>
      </c>
      <c r="N238" s="31">
        <v>7596939.3169999998</v>
      </c>
      <c r="O238" s="31">
        <v>0</v>
      </c>
      <c r="P238" s="31">
        <v>8859555.9379999992</v>
      </c>
      <c r="Q238" s="31">
        <v>0</v>
      </c>
      <c r="R238" s="31">
        <v>10209211.569</v>
      </c>
      <c r="S238" s="31">
        <v>0</v>
      </c>
      <c r="T238" s="31">
        <v>11543826.995999999</v>
      </c>
      <c r="U238" s="38">
        <v>0</v>
      </c>
      <c r="V238" s="38">
        <v>11651814.289999999</v>
      </c>
    </row>
    <row r="239" spans="1:22" ht="3" customHeight="1" x14ac:dyDescent="0.25">
      <c r="A239">
        <v>11102</v>
      </c>
      <c r="B239" t="s">
        <v>265</v>
      </c>
      <c r="C239" s="31">
        <v>0</v>
      </c>
      <c r="D239" s="31">
        <v>958325.25199999998</v>
      </c>
      <c r="E239" s="31">
        <v>0</v>
      </c>
      <c r="F239" s="31">
        <v>1027381.571</v>
      </c>
      <c r="G239" s="31">
        <v>0</v>
      </c>
      <c r="H239" s="31">
        <v>1150667.0190000001</v>
      </c>
      <c r="I239" s="31">
        <v>0</v>
      </c>
      <c r="J239" s="31">
        <v>1274218.507</v>
      </c>
      <c r="K239" s="31">
        <v>0</v>
      </c>
      <c r="L239" s="31">
        <v>1291610.0919999999</v>
      </c>
      <c r="M239" s="31">
        <v>0</v>
      </c>
      <c r="N239" s="31">
        <v>1448320.2709999999</v>
      </c>
      <c r="O239" s="31">
        <v>0</v>
      </c>
      <c r="P239" s="31">
        <v>1633313.277</v>
      </c>
      <c r="Q239" s="31">
        <v>0</v>
      </c>
      <c r="R239" s="31">
        <v>1807929.4850000001</v>
      </c>
      <c r="S239" s="31">
        <v>0</v>
      </c>
      <c r="T239" s="31">
        <v>1929848.3119999999</v>
      </c>
      <c r="U239" s="38">
        <v>0</v>
      </c>
      <c r="V239" s="38">
        <v>2000486.304</v>
      </c>
    </row>
    <row r="240" spans="1:22" ht="3" customHeight="1" x14ac:dyDescent="0.25">
      <c r="A240">
        <v>11201</v>
      </c>
      <c r="B240" t="s">
        <v>502</v>
      </c>
      <c r="C240" s="31">
        <v>0</v>
      </c>
      <c r="D240" s="31">
        <v>2388386.4989999998</v>
      </c>
      <c r="E240" s="31">
        <v>0</v>
      </c>
      <c r="F240" s="31">
        <v>2649670.8199999998</v>
      </c>
      <c r="G240" s="31">
        <v>0</v>
      </c>
      <c r="H240" s="31">
        <v>3789873.5440000002</v>
      </c>
      <c r="I240" s="31">
        <v>0</v>
      </c>
      <c r="J240" s="31">
        <v>4168040.2370000002</v>
      </c>
      <c r="K240" s="31">
        <v>0</v>
      </c>
      <c r="L240" s="31">
        <v>4248499.0449999999</v>
      </c>
      <c r="M240" s="31">
        <v>0</v>
      </c>
      <c r="N240" s="31">
        <v>4764352.5630000001</v>
      </c>
      <c r="O240" s="31">
        <v>0</v>
      </c>
      <c r="P240" s="31">
        <v>5372900.1720000003</v>
      </c>
      <c r="Q240" s="31">
        <v>0</v>
      </c>
      <c r="R240" s="31">
        <v>5825195.4369999999</v>
      </c>
      <c r="S240" s="31">
        <v>0</v>
      </c>
      <c r="T240" s="31">
        <v>6634967.71</v>
      </c>
      <c r="U240" s="38">
        <v>0</v>
      </c>
      <c r="V240" s="38">
        <v>6697034.7620000001</v>
      </c>
    </row>
    <row r="241" spans="1:22" ht="3" customHeight="1" x14ac:dyDescent="0.25">
      <c r="A241">
        <v>11202</v>
      </c>
      <c r="B241" t="s">
        <v>260</v>
      </c>
      <c r="C241" s="31">
        <v>0</v>
      </c>
      <c r="D241" s="31">
        <v>1432188.8230000001</v>
      </c>
      <c r="E241" s="31">
        <v>0</v>
      </c>
      <c r="F241" s="31">
        <v>1508961.6629999999</v>
      </c>
      <c r="G241" s="31">
        <v>0</v>
      </c>
      <c r="H241" s="31">
        <v>1614988.8030000001</v>
      </c>
      <c r="I241" s="31">
        <v>0</v>
      </c>
      <c r="J241" s="31">
        <v>1728103.3589999999</v>
      </c>
      <c r="K241" s="31">
        <v>0</v>
      </c>
      <c r="L241" s="31">
        <v>1742596.9839999999</v>
      </c>
      <c r="M241" s="31">
        <v>0</v>
      </c>
      <c r="N241" s="31">
        <v>1953711.9709999999</v>
      </c>
      <c r="O241" s="31">
        <v>0</v>
      </c>
      <c r="P241" s="31">
        <v>2203258.179</v>
      </c>
      <c r="Q241" s="31">
        <v>0</v>
      </c>
      <c r="R241" s="31">
        <v>2388730.7080000001</v>
      </c>
      <c r="S241" s="31">
        <v>0</v>
      </c>
      <c r="T241" s="31">
        <v>2469934.3730000001</v>
      </c>
      <c r="U241" s="38">
        <v>0</v>
      </c>
      <c r="V241" s="38">
        <v>2511629.983</v>
      </c>
    </row>
    <row r="242" spans="1:22" ht="3" customHeight="1" x14ac:dyDescent="0.25">
      <c r="A242">
        <v>11203</v>
      </c>
      <c r="B242" t="s">
        <v>261</v>
      </c>
      <c r="C242" s="31">
        <v>0</v>
      </c>
      <c r="D242" s="31">
        <v>1030823.412</v>
      </c>
      <c r="E242" s="31">
        <v>0</v>
      </c>
      <c r="F242" s="31">
        <v>1086080.6669999999</v>
      </c>
      <c r="G242" s="31">
        <v>0</v>
      </c>
      <c r="H242" s="31">
        <v>1166297.5789999999</v>
      </c>
      <c r="I242" s="31">
        <v>0</v>
      </c>
      <c r="J242" s="31">
        <v>1247986.125</v>
      </c>
      <c r="K242" s="31">
        <v>0</v>
      </c>
      <c r="L242" s="31">
        <v>1258453.2239999999</v>
      </c>
      <c r="M242" s="31">
        <v>0</v>
      </c>
      <c r="N242" s="31">
        <v>1410913.919</v>
      </c>
      <c r="O242" s="31">
        <v>0</v>
      </c>
      <c r="P242" s="31">
        <v>1591129.0220000001</v>
      </c>
      <c r="Q242" s="31">
        <v>0</v>
      </c>
      <c r="R242" s="31">
        <v>1771953.4010000001</v>
      </c>
      <c r="S242" s="31">
        <v>0</v>
      </c>
      <c r="T242" s="31">
        <v>1907437.372</v>
      </c>
      <c r="U242" s="38">
        <v>0</v>
      </c>
      <c r="V242" s="38">
        <v>2013441.808</v>
      </c>
    </row>
    <row r="243" spans="1:22" ht="3" customHeight="1" x14ac:dyDescent="0.25">
      <c r="A243">
        <v>11301</v>
      </c>
      <c r="B243" t="s">
        <v>263</v>
      </c>
      <c r="C243" s="31">
        <v>0</v>
      </c>
      <c r="D243" s="31">
        <v>1211276.7039999999</v>
      </c>
      <c r="E243" s="31">
        <v>0</v>
      </c>
      <c r="F243" s="31">
        <v>1399538.6680000001</v>
      </c>
      <c r="G243" s="31">
        <v>0</v>
      </c>
      <c r="H243" s="31">
        <v>1492495.3470000001</v>
      </c>
      <c r="I243" s="31">
        <v>0</v>
      </c>
      <c r="J243" s="31">
        <v>1597029.9820000001</v>
      </c>
      <c r="K243" s="31">
        <v>0</v>
      </c>
      <c r="L243" s="31">
        <v>1610425.246</v>
      </c>
      <c r="M243" s="31">
        <v>0</v>
      </c>
      <c r="N243" s="31">
        <v>1805527.6880000001</v>
      </c>
      <c r="O243" s="31">
        <v>0</v>
      </c>
      <c r="P243" s="31">
        <v>2036147.118</v>
      </c>
      <c r="Q243" s="31">
        <v>0</v>
      </c>
      <c r="R243" s="31">
        <v>2223866.307</v>
      </c>
      <c r="S243" s="31">
        <v>0</v>
      </c>
      <c r="T243" s="31">
        <v>2434592.8670000001</v>
      </c>
      <c r="U243" s="38">
        <v>0</v>
      </c>
      <c r="V243" s="38">
        <v>2708461.179</v>
      </c>
    </row>
    <row r="244" spans="1:22" ht="3" customHeight="1" x14ac:dyDescent="0.25">
      <c r="A244">
        <v>11302</v>
      </c>
      <c r="B244" t="s">
        <v>490</v>
      </c>
      <c r="C244" s="31">
        <v>0</v>
      </c>
      <c r="D244" s="31">
        <v>936383.67200000002</v>
      </c>
      <c r="E244" s="31">
        <v>0</v>
      </c>
      <c r="F244" s="31">
        <v>989851.15899999999</v>
      </c>
      <c r="G244" s="31">
        <v>0</v>
      </c>
      <c r="H244" s="31">
        <v>1146735.9879999999</v>
      </c>
      <c r="I244" s="31">
        <v>0</v>
      </c>
      <c r="J244" s="31">
        <v>1252009.3130000001</v>
      </c>
      <c r="K244" s="31">
        <v>0</v>
      </c>
      <c r="L244" s="31">
        <v>1269656.5649999999</v>
      </c>
      <c r="M244" s="31">
        <v>0</v>
      </c>
      <c r="N244" s="31">
        <v>1423645.4790000001</v>
      </c>
      <c r="O244" s="31">
        <v>0</v>
      </c>
      <c r="P244" s="31">
        <v>1653192.5209999999</v>
      </c>
      <c r="Q244" s="31">
        <v>0</v>
      </c>
      <c r="R244" s="31">
        <v>1901882.1669999999</v>
      </c>
      <c r="S244" s="31">
        <v>0</v>
      </c>
      <c r="T244" s="31">
        <v>2082657.365</v>
      </c>
      <c r="U244" s="38">
        <v>0</v>
      </c>
      <c r="V244" s="38">
        <v>2125871.4040000001</v>
      </c>
    </row>
    <row r="245" spans="1:22" ht="3" customHeight="1" x14ac:dyDescent="0.25">
      <c r="A245">
        <v>11303</v>
      </c>
      <c r="B245" t="s">
        <v>264</v>
      </c>
      <c r="C245" s="31">
        <v>0</v>
      </c>
      <c r="D245" s="31">
        <v>1074396.3999999999</v>
      </c>
      <c r="E245" s="31">
        <v>0</v>
      </c>
      <c r="F245" s="31">
        <v>1131988.885</v>
      </c>
      <c r="G245" s="31">
        <v>0</v>
      </c>
      <c r="H245" s="31">
        <v>1211795.0020000001</v>
      </c>
      <c r="I245" s="31">
        <v>0</v>
      </c>
      <c r="J245" s="31">
        <v>1296669.1170000001</v>
      </c>
      <c r="K245" s="31">
        <v>0</v>
      </c>
      <c r="L245" s="31">
        <v>1307545.5090000001</v>
      </c>
      <c r="M245" s="31">
        <v>0</v>
      </c>
      <c r="N245" s="31">
        <v>1465955.477</v>
      </c>
      <c r="O245" s="31">
        <v>0</v>
      </c>
      <c r="P245" s="31">
        <v>1653200.361</v>
      </c>
      <c r="Q245" s="31">
        <v>0</v>
      </c>
      <c r="R245" s="31">
        <v>1822041.003</v>
      </c>
      <c r="S245" s="31">
        <v>0</v>
      </c>
      <c r="T245" s="31">
        <v>1956703.2180000001</v>
      </c>
      <c r="U245" s="38">
        <v>0</v>
      </c>
      <c r="V245" s="38">
        <v>2043495.4509999999</v>
      </c>
    </row>
    <row r="246" spans="1:22" ht="3" customHeight="1" x14ac:dyDescent="0.25">
      <c r="A246">
        <v>11401</v>
      </c>
      <c r="B246" t="s">
        <v>262</v>
      </c>
      <c r="C246" s="31">
        <v>0</v>
      </c>
      <c r="D246" s="31">
        <v>2014216.321</v>
      </c>
      <c r="E246" s="31">
        <v>0</v>
      </c>
      <c r="F246" s="31">
        <v>2412316.2310000001</v>
      </c>
      <c r="G246" s="31">
        <v>0</v>
      </c>
      <c r="H246" s="31">
        <v>2555632.6120000002</v>
      </c>
      <c r="I246" s="31">
        <v>0</v>
      </c>
      <c r="J246" s="31">
        <v>2734630.0359999998</v>
      </c>
      <c r="K246" s="31">
        <v>0</v>
      </c>
      <c r="L246" s="31">
        <v>2757567.4789999998</v>
      </c>
      <c r="M246" s="31">
        <v>0</v>
      </c>
      <c r="N246" s="31">
        <v>3091645.6869999999</v>
      </c>
      <c r="O246" s="31">
        <v>0</v>
      </c>
      <c r="P246" s="31">
        <v>3486538.915</v>
      </c>
      <c r="Q246" s="31">
        <v>0</v>
      </c>
      <c r="R246" s="31">
        <v>3780038.9950000001</v>
      </c>
      <c r="S246" s="31">
        <v>0</v>
      </c>
      <c r="T246" s="31">
        <v>3908539.5079999999</v>
      </c>
      <c r="U246" s="38">
        <v>0</v>
      </c>
      <c r="V246" s="38">
        <v>3945102.4029999999</v>
      </c>
    </row>
    <row r="247" spans="1:22" ht="3" customHeight="1" x14ac:dyDescent="0.25">
      <c r="A247">
        <v>11402</v>
      </c>
      <c r="B247" t="s">
        <v>423</v>
      </c>
      <c r="C247" s="31">
        <v>0</v>
      </c>
      <c r="D247" s="31">
        <v>1233129.1299999999</v>
      </c>
      <c r="E247" s="31">
        <v>0</v>
      </c>
      <c r="F247" s="31">
        <v>1380449.0390000001</v>
      </c>
      <c r="G247" s="31">
        <v>0</v>
      </c>
      <c r="H247" s="31">
        <v>1489224.632</v>
      </c>
      <c r="I247" s="31">
        <v>0</v>
      </c>
      <c r="J247" s="31">
        <v>1603632.456</v>
      </c>
      <c r="K247" s="31">
        <v>0</v>
      </c>
      <c r="L247" s="31">
        <v>1621428.345</v>
      </c>
      <c r="M247" s="31">
        <v>0</v>
      </c>
      <c r="N247" s="31">
        <v>1818004.121</v>
      </c>
      <c r="O247" s="31">
        <v>0</v>
      </c>
      <c r="P247" s="31">
        <v>2073364.149</v>
      </c>
      <c r="Q247" s="31">
        <v>0</v>
      </c>
      <c r="R247" s="31">
        <v>2299247.426</v>
      </c>
      <c r="S247" s="31">
        <v>0</v>
      </c>
      <c r="T247" s="31">
        <v>2501559.9500000002</v>
      </c>
      <c r="U247" s="38">
        <v>0</v>
      </c>
      <c r="V247" s="38">
        <v>2988138.8339999998</v>
      </c>
    </row>
    <row r="248" spans="1:22" ht="3" customHeight="1" x14ac:dyDescent="0.25">
      <c r="A248">
        <v>12101</v>
      </c>
      <c r="B248" t="s">
        <v>268</v>
      </c>
      <c r="C248" s="31">
        <v>0</v>
      </c>
      <c r="D248" s="31">
        <v>4035777.7059999998</v>
      </c>
      <c r="E248" s="31">
        <v>0</v>
      </c>
      <c r="F248" s="31">
        <v>4252116.1689999998</v>
      </c>
      <c r="G248" s="31">
        <v>0</v>
      </c>
      <c r="H248" s="31">
        <v>6344001.2199999997</v>
      </c>
      <c r="I248" s="31">
        <v>0</v>
      </c>
      <c r="J248" s="31">
        <v>7303332.8540000003</v>
      </c>
      <c r="K248" s="31">
        <v>0</v>
      </c>
      <c r="L248" s="31">
        <v>7432307.5029999996</v>
      </c>
      <c r="M248" s="31">
        <v>0</v>
      </c>
      <c r="N248" s="31">
        <v>8334081.2180000003</v>
      </c>
      <c r="O248" s="31">
        <v>0</v>
      </c>
      <c r="P248" s="31">
        <v>9398586.9480000008</v>
      </c>
      <c r="Q248" s="31">
        <v>0</v>
      </c>
      <c r="R248" s="31">
        <v>10189769.471000001</v>
      </c>
      <c r="S248" s="31">
        <v>0</v>
      </c>
      <c r="T248" s="31">
        <v>11081574.266000001</v>
      </c>
      <c r="U248" s="38">
        <v>0</v>
      </c>
      <c r="V248" s="38">
        <v>11185237.029999999</v>
      </c>
    </row>
    <row r="249" spans="1:22" ht="3" customHeight="1" x14ac:dyDescent="0.25">
      <c r="A249">
        <v>12102</v>
      </c>
      <c r="B249" t="s">
        <v>269</v>
      </c>
      <c r="C249" s="31">
        <v>0</v>
      </c>
      <c r="D249" s="31">
        <v>866956.82799999998</v>
      </c>
      <c r="E249" s="31">
        <v>0</v>
      </c>
      <c r="F249" s="31">
        <v>914228.83400000003</v>
      </c>
      <c r="G249" s="31">
        <v>0</v>
      </c>
      <c r="H249" s="31">
        <v>1001362.651</v>
      </c>
      <c r="I249" s="31">
        <v>0</v>
      </c>
      <c r="J249" s="31">
        <v>1079920.848</v>
      </c>
      <c r="K249" s="31">
        <v>0</v>
      </c>
      <c r="L249" s="31">
        <v>1091320.4210000001</v>
      </c>
      <c r="M249" s="31">
        <v>0</v>
      </c>
      <c r="N249" s="31">
        <v>1223588.578</v>
      </c>
      <c r="O249" s="31">
        <v>0</v>
      </c>
      <c r="P249" s="31">
        <v>1430775.578</v>
      </c>
      <c r="Q249" s="31">
        <v>0</v>
      </c>
      <c r="R249" s="31">
        <v>1643378.179</v>
      </c>
      <c r="S249" s="31">
        <v>0</v>
      </c>
      <c r="T249" s="31">
        <v>1784575.5889999999</v>
      </c>
      <c r="U249" s="38">
        <v>0</v>
      </c>
      <c r="V249" s="38">
        <v>1865518.0789999999</v>
      </c>
    </row>
    <row r="250" spans="1:22" ht="3" customHeight="1" x14ac:dyDescent="0.25">
      <c r="A250">
        <v>12103</v>
      </c>
      <c r="B250" t="s">
        <v>424</v>
      </c>
      <c r="C250" s="31">
        <v>0</v>
      </c>
      <c r="D250" s="31">
        <v>791518.20400000003</v>
      </c>
      <c r="E250" s="31">
        <v>0</v>
      </c>
      <c r="F250" s="31">
        <v>852148.68500000006</v>
      </c>
      <c r="G250" s="31">
        <v>0</v>
      </c>
      <c r="H250" s="31">
        <v>933225.89399999997</v>
      </c>
      <c r="I250" s="31">
        <v>0</v>
      </c>
      <c r="J250" s="31">
        <v>1020605.004</v>
      </c>
      <c r="K250" s="31">
        <v>0</v>
      </c>
      <c r="L250" s="31">
        <v>1034866.159</v>
      </c>
      <c r="M250" s="31">
        <v>0</v>
      </c>
      <c r="N250" s="31">
        <v>1160375.692</v>
      </c>
      <c r="O250" s="31">
        <v>0</v>
      </c>
      <c r="P250" s="31">
        <v>1390444.7960000001</v>
      </c>
      <c r="Q250" s="31">
        <v>0</v>
      </c>
      <c r="R250" s="31">
        <v>1624873.41</v>
      </c>
      <c r="S250" s="31">
        <v>0</v>
      </c>
      <c r="T250" s="31">
        <v>1775937.7279999999</v>
      </c>
      <c r="U250" s="38">
        <v>0</v>
      </c>
      <c r="V250" s="38">
        <v>1859902.348</v>
      </c>
    </row>
    <row r="251" spans="1:22" ht="3" customHeight="1" x14ac:dyDescent="0.25">
      <c r="A251">
        <v>12104</v>
      </c>
      <c r="B251" t="s">
        <v>267</v>
      </c>
      <c r="C251" s="31">
        <v>0</v>
      </c>
      <c r="D251" s="31">
        <v>795562.77399999998</v>
      </c>
      <c r="E251" s="31">
        <v>0</v>
      </c>
      <c r="F251" s="31">
        <v>855969.81599999999</v>
      </c>
      <c r="G251" s="31">
        <v>0</v>
      </c>
      <c r="H251" s="31">
        <v>943584.07299999997</v>
      </c>
      <c r="I251" s="31">
        <v>0</v>
      </c>
      <c r="J251" s="31">
        <v>1030198.873</v>
      </c>
      <c r="K251" s="31">
        <v>0</v>
      </c>
      <c r="L251" s="31">
        <v>1044358.602</v>
      </c>
      <c r="M251" s="31">
        <v>0</v>
      </c>
      <c r="N251" s="31">
        <v>1171013.5719999999</v>
      </c>
      <c r="O251" s="31">
        <v>0</v>
      </c>
      <c r="P251" s="31">
        <v>1401167.2579999999</v>
      </c>
      <c r="Q251" s="31">
        <v>0</v>
      </c>
      <c r="R251" s="31">
        <v>1636657.933</v>
      </c>
      <c r="S251" s="31">
        <v>0</v>
      </c>
      <c r="T251" s="31">
        <v>1789227.686</v>
      </c>
      <c r="U251" s="38">
        <v>0</v>
      </c>
      <c r="V251" s="38">
        <v>1876555.5490000001</v>
      </c>
    </row>
    <row r="252" spans="1:22" ht="3" customHeight="1" x14ac:dyDescent="0.25">
      <c r="A252">
        <v>12201</v>
      </c>
      <c r="B252" t="s">
        <v>273</v>
      </c>
      <c r="C252" s="31">
        <v>0</v>
      </c>
      <c r="D252" s="31">
        <v>1165615.8759999999</v>
      </c>
      <c r="E252" s="31">
        <v>0</v>
      </c>
      <c r="F252" s="31">
        <v>1228099.1710000001</v>
      </c>
      <c r="G252" s="31">
        <v>0</v>
      </c>
      <c r="H252" s="31">
        <v>1313682.6470000001</v>
      </c>
      <c r="I252" s="31">
        <v>0</v>
      </c>
      <c r="J252" s="31">
        <v>1405693.6059999999</v>
      </c>
      <c r="K252" s="31">
        <v>0</v>
      </c>
      <c r="L252" s="31">
        <v>1417484.6950000001</v>
      </c>
      <c r="M252" s="31">
        <v>0</v>
      </c>
      <c r="N252" s="31">
        <v>1589213.5160000001</v>
      </c>
      <c r="O252" s="31">
        <v>0</v>
      </c>
      <c r="P252" s="31">
        <v>1792202.96</v>
      </c>
      <c r="Q252" s="31">
        <v>0</v>
      </c>
      <c r="R252" s="31">
        <v>1943072.4809999999</v>
      </c>
      <c r="S252" s="31">
        <v>0</v>
      </c>
      <c r="T252" s="31">
        <v>2036339.21</v>
      </c>
      <c r="U252" s="38">
        <v>0</v>
      </c>
      <c r="V252" s="38">
        <v>2275995.2259999998</v>
      </c>
    </row>
    <row r="253" spans="1:22" ht="3" customHeight="1" x14ac:dyDescent="0.25">
      <c r="A253">
        <v>12202</v>
      </c>
      <c r="B253" t="s">
        <v>472</v>
      </c>
      <c r="C253" s="31">
        <v>0</v>
      </c>
      <c r="D253" s="31">
        <v>775017.38800000004</v>
      </c>
      <c r="E253" s="31">
        <v>0</v>
      </c>
      <c r="F253" s="31">
        <v>836521.951</v>
      </c>
      <c r="G253" s="31">
        <v>0</v>
      </c>
      <c r="H253" s="31">
        <v>905191.79099999997</v>
      </c>
      <c r="I253" s="31">
        <v>0</v>
      </c>
      <c r="J253" s="31">
        <v>994392.31700000004</v>
      </c>
      <c r="K253" s="31">
        <v>0</v>
      </c>
      <c r="L253" s="31">
        <v>1009655.903</v>
      </c>
      <c r="M253" s="31">
        <v>0</v>
      </c>
      <c r="N253" s="31">
        <v>1132140.9809999999</v>
      </c>
      <c r="O253" s="31">
        <v>0</v>
      </c>
      <c r="P253" s="31">
        <v>1370079.2220000001</v>
      </c>
      <c r="Q253" s="31">
        <v>0</v>
      </c>
      <c r="R253" s="31">
        <v>1609870.58</v>
      </c>
      <c r="S253" s="31">
        <v>0</v>
      </c>
      <c r="T253" s="31">
        <v>1763076.0419999999</v>
      </c>
      <c r="U253" s="38">
        <v>0</v>
      </c>
      <c r="V253" s="38">
        <v>1848557.81</v>
      </c>
    </row>
    <row r="254" spans="1:22" ht="3" customHeight="1" x14ac:dyDescent="0.25">
      <c r="A254">
        <v>12301</v>
      </c>
      <c r="B254" t="s">
        <v>270</v>
      </c>
      <c r="C254" s="31">
        <v>0</v>
      </c>
      <c r="D254" s="31">
        <v>1302372.1769999999</v>
      </c>
      <c r="E254" s="31">
        <v>0</v>
      </c>
      <c r="F254" s="31">
        <v>1372185.845</v>
      </c>
      <c r="G254" s="31">
        <v>0</v>
      </c>
      <c r="H254" s="31">
        <v>1650144.682</v>
      </c>
      <c r="I254" s="31">
        <v>0</v>
      </c>
      <c r="J254" s="31">
        <v>1768860.2720000001</v>
      </c>
      <c r="K254" s="31">
        <v>0</v>
      </c>
      <c r="L254" s="31">
        <v>1783696.676</v>
      </c>
      <c r="M254" s="31">
        <v>0</v>
      </c>
      <c r="N254" s="31">
        <v>1999791.415</v>
      </c>
      <c r="O254" s="31">
        <v>0</v>
      </c>
      <c r="P254" s="31">
        <v>2255222.79</v>
      </c>
      <c r="Q254" s="31">
        <v>0</v>
      </c>
      <c r="R254" s="31">
        <v>2445070.3539999998</v>
      </c>
      <c r="S254" s="31">
        <v>0</v>
      </c>
      <c r="T254" s="31">
        <v>2560597.375</v>
      </c>
      <c r="U254" s="38">
        <v>0</v>
      </c>
      <c r="V254" s="38">
        <v>2640765.5759999999</v>
      </c>
    </row>
    <row r="255" spans="1:22" ht="3" customHeight="1" x14ac:dyDescent="0.25">
      <c r="A255">
        <v>12302</v>
      </c>
      <c r="B255" t="s">
        <v>271</v>
      </c>
      <c r="C255" s="31">
        <v>0</v>
      </c>
      <c r="D255" s="31">
        <v>838881.44499999995</v>
      </c>
      <c r="E255" s="31">
        <v>0</v>
      </c>
      <c r="F255" s="31">
        <v>897870.50800000003</v>
      </c>
      <c r="G255" s="31">
        <v>0</v>
      </c>
      <c r="H255" s="31">
        <v>985983.47400000005</v>
      </c>
      <c r="I255" s="31">
        <v>0</v>
      </c>
      <c r="J255" s="31">
        <v>1074175.2339999999</v>
      </c>
      <c r="K255" s="31">
        <v>0</v>
      </c>
      <c r="L255" s="31">
        <v>1088281.226</v>
      </c>
      <c r="M255" s="31">
        <v>0</v>
      </c>
      <c r="N255" s="31">
        <v>1220244.8060000001</v>
      </c>
      <c r="O255" s="31">
        <v>0</v>
      </c>
      <c r="P255" s="31">
        <v>1452240.2109999999</v>
      </c>
      <c r="Q255" s="31">
        <v>0</v>
      </c>
      <c r="R255" s="31">
        <v>1689907.148</v>
      </c>
      <c r="S255" s="31">
        <v>0</v>
      </c>
      <c r="T255" s="31">
        <v>1844267.0689999999</v>
      </c>
      <c r="U255" s="38">
        <v>0</v>
      </c>
      <c r="V255" s="38">
        <v>1953097.74</v>
      </c>
    </row>
    <row r="256" spans="1:22" ht="3" customHeight="1" x14ac:dyDescent="0.25">
      <c r="A256">
        <v>12303</v>
      </c>
      <c r="B256" t="s">
        <v>272</v>
      </c>
      <c r="C256" s="31">
        <v>0</v>
      </c>
      <c r="D256" s="31">
        <v>808628.38300000003</v>
      </c>
      <c r="E256" s="31">
        <v>0</v>
      </c>
      <c r="F256" s="31">
        <v>868862.62699999998</v>
      </c>
      <c r="G256" s="31">
        <v>0</v>
      </c>
      <c r="H256" s="31">
        <v>979686.24699999997</v>
      </c>
      <c r="I256" s="31">
        <v>0</v>
      </c>
      <c r="J256" s="31">
        <v>1080029.5220000001</v>
      </c>
      <c r="K256" s="31">
        <v>0</v>
      </c>
      <c r="L256" s="31">
        <v>1097310.2609999999</v>
      </c>
      <c r="M256" s="31">
        <v>0</v>
      </c>
      <c r="N256" s="31">
        <v>1230431.8119999999</v>
      </c>
      <c r="O256" s="31">
        <v>0</v>
      </c>
      <c r="P256" s="31">
        <v>1455973.5379999999</v>
      </c>
      <c r="Q256" s="31">
        <v>0</v>
      </c>
      <c r="R256" s="31">
        <v>1699314.6429999999</v>
      </c>
      <c r="S256" s="31">
        <v>0</v>
      </c>
      <c r="T256" s="31">
        <v>1890109.459</v>
      </c>
      <c r="U256" s="38">
        <v>0</v>
      </c>
      <c r="V256" s="38">
        <v>1970593.9820000001</v>
      </c>
    </row>
    <row r="257" spans="1:22" ht="3" customHeight="1" x14ac:dyDescent="0.25">
      <c r="A257">
        <v>12401</v>
      </c>
      <c r="B257" t="s">
        <v>266</v>
      </c>
      <c r="C257" s="31">
        <v>0</v>
      </c>
      <c r="D257" s="31">
        <v>2107366.6949999998</v>
      </c>
      <c r="E257" s="31">
        <v>0</v>
      </c>
      <c r="F257" s="31">
        <v>2220332.4019999998</v>
      </c>
      <c r="G257" s="31">
        <v>0</v>
      </c>
      <c r="H257" s="31">
        <v>2881629.625</v>
      </c>
      <c r="I257" s="31">
        <v>0</v>
      </c>
      <c r="J257" s="31">
        <v>3375702.8530000001</v>
      </c>
      <c r="K257" s="31">
        <v>0</v>
      </c>
      <c r="L257" s="31">
        <v>3471163.5750000002</v>
      </c>
      <c r="M257" s="31">
        <v>0</v>
      </c>
      <c r="N257" s="31">
        <v>3893409.05</v>
      </c>
      <c r="O257" s="31">
        <v>0</v>
      </c>
      <c r="P257" s="31">
        <v>4606718.023</v>
      </c>
      <c r="Q257" s="31">
        <v>0</v>
      </c>
      <c r="R257" s="31">
        <v>4994516.2350000003</v>
      </c>
      <c r="S257" s="31">
        <v>0</v>
      </c>
      <c r="T257" s="31">
        <v>5677577.3760000002</v>
      </c>
      <c r="U257" s="38">
        <v>0</v>
      </c>
      <c r="V257" s="38">
        <v>6481094.2479999997</v>
      </c>
    </row>
    <row r="258" spans="1:22" ht="3" customHeight="1" x14ac:dyDescent="0.25">
      <c r="A258">
        <v>12402</v>
      </c>
      <c r="B258" t="s">
        <v>321</v>
      </c>
      <c r="C258" s="31">
        <v>0</v>
      </c>
      <c r="D258" s="31">
        <v>891719.68500000006</v>
      </c>
      <c r="E258" s="31">
        <v>0</v>
      </c>
      <c r="F258" s="31">
        <v>939520.45299999998</v>
      </c>
      <c r="G258" s="31">
        <v>0</v>
      </c>
      <c r="H258" s="31">
        <v>1011835.091</v>
      </c>
      <c r="I258" s="31">
        <v>0</v>
      </c>
      <c r="J258" s="31">
        <v>1089540.895</v>
      </c>
      <c r="K258" s="31">
        <v>0</v>
      </c>
      <c r="L258" s="31">
        <v>1100577.2760000001</v>
      </c>
      <c r="M258" s="31">
        <v>0</v>
      </c>
      <c r="N258" s="31">
        <v>1233957.4069999999</v>
      </c>
      <c r="O258" s="31">
        <v>0</v>
      </c>
      <c r="P258" s="31">
        <v>1438910.523</v>
      </c>
      <c r="Q258" s="31">
        <v>0</v>
      </c>
      <c r="R258" s="31">
        <v>1653887.3929999999</v>
      </c>
      <c r="S258" s="31">
        <v>0</v>
      </c>
      <c r="T258" s="31">
        <v>1796414.9040000001</v>
      </c>
      <c r="U258" s="38">
        <v>0</v>
      </c>
      <c r="V258" s="38">
        <v>1879453.74</v>
      </c>
    </row>
    <row r="259" spans="1:22" ht="3" customHeight="1" x14ac:dyDescent="0.25">
      <c r="A259">
        <v>13101</v>
      </c>
      <c r="B259" t="s">
        <v>274</v>
      </c>
      <c r="C259" s="31">
        <v>0</v>
      </c>
      <c r="D259" s="31">
        <v>1120307.784</v>
      </c>
      <c r="E259" s="31">
        <v>0</v>
      </c>
      <c r="F259" s="31">
        <v>1655239.88</v>
      </c>
      <c r="G259" s="31">
        <v>0</v>
      </c>
      <c r="H259" s="31">
        <v>4193972.5720000002</v>
      </c>
      <c r="I259" s="31">
        <v>0</v>
      </c>
      <c r="J259" s="31">
        <v>4487720.1459999997</v>
      </c>
      <c r="K259" s="31">
        <v>0</v>
      </c>
      <c r="L259" s="31">
        <v>4710666.8090000004</v>
      </c>
      <c r="M259" s="31">
        <v>0</v>
      </c>
      <c r="N259" s="31">
        <v>5286414.0410000002</v>
      </c>
      <c r="O259" s="31">
        <v>0</v>
      </c>
      <c r="P259" s="31">
        <v>8264651.0729999999</v>
      </c>
      <c r="Q259" s="31">
        <v>0</v>
      </c>
      <c r="R259" s="31">
        <v>12194988.696</v>
      </c>
      <c r="S259" s="31">
        <v>0</v>
      </c>
      <c r="T259" s="31">
        <v>14431124.450999999</v>
      </c>
      <c r="U259" s="38">
        <v>0</v>
      </c>
      <c r="V259" s="38">
        <v>15178178.503</v>
      </c>
    </row>
    <row r="260" spans="1:22" ht="3" customHeight="1" x14ac:dyDescent="0.25">
      <c r="A260">
        <v>13102</v>
      </c>
      <c r="B260" t="s">
        <v>298</v>
      </c>
      <c r="C260" s="31">
        <v>0</v>
      </c>
      <c r="D260" s="31">
        <v>2614460.0970000001</v>
      </c>
      <c r="E260" s="31">
        <v>0</v>
      </c>
      <c r="F260" s="31">
        <v>2863657.6340000001</v>
      </c>
      <c r="G260" s="31">
        <v>0</v>
      </c>
      <c r="H260" s="31">
        <v>3355894.9959999998</v>
      </c>
      <c r="I260" s="31">
        <v>0</v>
      </c>
      <c r="J260" s="31">
        <v>3677349.7650000001</v>
      </c>
      <c r="K260" s="31">
        <v>0</v>
      </c>
      <c r="L260" s="31">
        <v>3714799.523</v>
      </c>
      <c r="M260" s="31">
        <v>0</v>
      </c>
      <c r="N260" s="31">
        <v>4164879.5660000001</v>
      </c>
      <c r="O260" s="31">
        <v>0</v>
      </c>
      <c r="P260" s="31">
        <v>4801096.4809999997</v>
      </c>
      <c r="Q260" s="31">
        <v>0</v>
      </c>
      <c r="R260" s="31">
        <v>5491696.2199999997</v>
      </c>
      <c r="S260" s="31">
        <v>0</v>
      </c>
      <c r="T260" s="31">
        <v>5678382.8770000003</v>
      </c>
      <c r="U260" s="38">
        <v>0</v>
      </c>
      <c r="V260" s="38">
        <v>5794477.7050000001</v>
      </c>
    </row>
    <row r="261" spans="1:22" ht="3" customHeight="1" x14ac:dyDescent="0.25">
      <c r="A261">
        <v>13103</v>
      </c>
      <c r="B261" t="s">
        <v>290</v>
      </c>
      <c r="C261" s="31">
        <v>0</v>
      </c>
      <c r="D261" s="31">
        <v>12330811.142000001</v>
      </c>
      <c r="E261" s="31">
        <v>0</v>
      </c>
      <c r="F261" s="31">
        <v>12991804.49</v>
      </c>
      <c r="G261" s="31">
        <v>0</v>
      </c>
      <c r="H261" s="31">
        <v>13846853.938999999</v>
      </c>
      <c r="I261" s="31">
        <v>0</v>
      </c>
      <c r="J261" s="31">
        <v>14816691.198999999</v>
      </c>
      <c r="K261" s="31">
        <v>0</v>
      </c>
      <c r="L261" s="31">
        <v>14940969.382999999</v>
      </c>
      <c r="M261" s="31">
        <v>0</v>
      </c>
      <c r="N261" s="31">
        <v>16751064.720000001</v>
      </c>
      <c r="O261" s="31">
        <v>0</v>
      </c>
      <c r="P261" s="31">
        <v>19153268.945</v>
      </c>
      <c r="Q261" s="31">
        <v>0</v>
      </c>
      <c r="R261" s="31">
        <v>21461833.638999999</v>
      </c>
      <c r="S261" s="31">
        <v>0</v>
      </c>
      <c r="T261" s="31">
        <v>22522704.532000002</v>
      </c>
      <c r="U261" s="38">
        <v>0</v>
      </c>
      <c r="V261" s="38">
        <v>22733393.793000001</v>
      </c>
    </row>
    <row r="262" spans="1:22" ht="3" customHeight="1" x14ac:dyDescent="0.25">
      <c r="A262">
        <v>13104</v>
      </c>
      <c r="B262" t="s">
        <v>425</v>
      </c>
      <c r="C262" s="31">
        <v>0</v>
      </c>
      <c r="D262" s="31">
        <v>7000764.6189999999</v>
      </c>
      <c r="E262" s="31">
        <v>0</v>
      </c>
      <c r="F262" s="31">
        <v>7376040.8250000002</v>
      </c>
      <c r="G262" s="31">
        <v>0</v>
      </c>
      <c r="H262" s="31">
        <v>8012889.6310000001</v>
      </c>
      <c r="I262" s="31">
        <v>0</v>
      </c>
      <c r="J262" s="31">
        <v>8574115.0079999994</v>
      </c>
      <c r="K262" s="31">
        <v>0</v>
      </c>
      <c r="L262" s="31">
        <v>8646031.2310000006</v>
      </c>
      <c r="M262" s="31">
        <v>0</v>
      </c>
      <c r="N262" s="31">
        <v>9693495.5899999999</v>
      </c>
      <c r="O262" s="31">
        <v>0</v>
      </c>
      <c r="P262" s="31">
        <v>11550743.174000001</v>
      </c>
      <c r="Q262" s="31">
        <v>0</v>
      </c>
      <c r="R262" s="31">
        <v>13488265.973999999</v>
      </c>
      <c r="S262" s="31">
        <v>0</v>
      </c>
      <c r="T262" s="31">
        <v>14581575.199999999</v>
      </c>
      <c r="U262" s="38">
        <v>0</v>
      </c>
      <c r="V262" s="38">
        <v>14717978.323999999</v>
      </c>
    </row>
    <row r="263" spans="1:22" ht="3" customHeight="1" x14ac:dyDescent="0.25">
      <c r="A263">
        <v>13105</v>
      </c>
      <c r="B263" t="s">
        <v>297</v>
      </c>
      <c r="C263" s="31">
        <v>0</v>
      </c>
      <c r="D263" s="31">
        <v>14502419.159</v>
      </c>
      <c r="E263" s="31">
        <v>0</v>
      </c>
      <c r="F263" s="31">
        <v>15279821.092</v>
      </c>
      <c r="G263" s="31">
        <v>0</v>
      </c>
      <c r="H263" s="31">
        <v>16397156.997</v>
      </c>
      <c r="I263" s="31">
        <v>0</v>
      </c>
      <c r="J263" s="31">
        <v>17545618.002999999</v>
      </c>
      <c r="K263" s="31">
        <v>0</v>
      </c>
      <c r="L263" s="31">
        <v>17692785.177000001</v>
      </c>
      <c r="M263" s="31">
        <v>0</v>
      </c>
      <c r="N263" s="31">
        <v>19836262.929000001</v>
      </c>
      <c r="O263" s="31">
        <v>0</v>
      </c>
      <c r="P263" s="31">
        <v>22369933.239</v>
      </c>
      <c r="Q263" s="31">
        <v>0</v>
      </c>
      <c r="R263" s="31">
        <v>24275595.942000002</v>
      </c>
      <c r="S263" s="31">
        <v>0</v>
      </c>
      <c r="T263" s="31">
        <v>25107357.07</v>
      </c>
      <c r="U263" s="38">
        <v>0</v>
      </c>
      <c r="V263" s="38">
        <v>25342223.909000002</v>
      </c>
    </row>
    <row r="264" spans="1:22" ht="3" customHeight="1" x14ac:dyDescent="0.25">
      <c r="A264">
        <v>13106</v>
      </c>
      <c r="B264" t="s">
        <v>426</v>
      </c>
      <c r="C264" s="31">
        <v>0</v>
      </c>
      <c r="D264" s="31">
        <v>2203304.4810000001</v>
      </c>
      <c r="E264" s="31">
        <v>0</v>
      </c>
      <c r="F264" s="31">
        <v>2822093.1469999999</v>
      </c>
      <c r="G264" s="31">
        <v>0</v>
      </c>
      <c r="H264" s="31">
        <v>3862507.5320000001</v>
      </c>
      <c r="I264" s="31">
        <v>0</v>
      </c>
      <c r="J264" s="31">
        <v>4369701.5829999996</v>
      </c>
      <c r="K264" s="31">
        <v>0</v>
      </c>
      <c r="L264" s="31">
        <v>4452390.6710000001</v>
      </c>
      <c r="M264" s="31">
        <v>0</v>
      </c>
      <c r="N264" s="31">
        <v>4993459.4850000003</v>
      </c>
      <c r="O264" s="31">
        <v>0</v>
      </c>
      <c r="P264" s="31">
        <v>7847542.75</v>
      </c>
      <c r="Q264" s="31">
        <v>0</v>
      </c>
      <c r="R264" s="31">
        <v>11449225.449999999</v>
      </c>
      <c r="S264" s="31">
        <v>0</v>
      </c>
      <c r="T264" s="31">
        <v>13094568.564999999</v>
      </c>
      <c r="U264" s="38">
        <v>0</v>
      </c>
      <c r="V264" s="38">
        <v>13714837.247</v>
      </c>
    </row>
    <row r="265" spans="1:22" ht="3" customHeight="1" x14ac:dyDescent="0.25">
      <c r="A265">
        <v>13107</v>
      </c>
      <c r="B265" t="s">
        <v>291</v>
      </c>
      <c r="C265" s="31">
        <v>0</v>
      </c>
      <c r="D265" s="31">
        <v>2231013.0929999999</v>
      </c>
      <c r="E265" s="31">
        <v>0</v>
      </c>
      <c r="F265" s="31">
        <v>2350605.952</v>
      </c>
      <c r="G265" s="31">
        <v>0</v>
      </c>
      <c r="H265" s="31">
        <v>2719172.4870000002</v>
      </c>
      <c r="I265" s="31">
        <v>0</v>
      </c>
      <c r="J265" s="31">
        <v>2909623.2889999999</v>
      </c>
      <c r="K265" s="31">
        <v>0</v>
      </c>
      <c r="L265" s="31">
        <v>2934027.54</v>
      </c>
      <c r="M265" s="31">
        <v>0</v>
      </c>
      <c r="N265" s="31">
        <v>3289484.82</v>
      </c>
      <c r="O265" s="31">
        <v>0</v>
      </c>
      <c r="P265" s="31">
        <v>3709648.5550000002</v>
      </c>
      <c r="Q265" s="31">
        <v>0</v>
      </c>
      <c r="R265" s="31">
        <v>4021930.3369999998</v>
      </c>
      <c r="S265" s="31">
        <v>0</v>
      </c>
      <c r="T265" s="31">
        <v>4158652.588</v>
      </c>
      <c r="U265" s="38">
        <v>0</v>
      </c>
      <c r="V265" s="38">
        <v>4197555.1500000004</v>
      </c>
    </row>
    <row r="266" spans="1:22" ht="3" customHeight="1" x14ac:dyDescent="0.25">
      <c r="A266">
        <v>13108</v>
      </c>
      <c r="B266" t="s">
        <v>299</v>
      </c>
      <c r="C266" s="31">
        <v>0</v>
      </c>
      <c r="D266" s="31">
        <v>2041030.621</v>
      </c>
      <c r="E266" s="31">
        <v>0</v>
      </c>
      <c r="F266" s="31">
        <v>2341090.0049999999</v>
      </c>
      <c r="G266" s="31">
        <v>0</v>
      </c>
      <c r="H266" s="31">
        <v>2895196.219</v>
      </c>
      <c r="I266" s="31">
        <v>0</v>
      </c>
      <c r="J266" s="31">
        <v>3294212.4739999999</v>
      </c>
      <c r="K266" s="31">
        <v>0</v>
      </c>
      <c r="L266" s="31">
        <v>3367551.5649999999</v>
      </c>
      <c r="M266" s="31">
        <v>0</v>
      </c>
      <c r="N266" s="31">
        <v>3777831.3709999998</v>
      </c>
      <c r="O266" s="31">
        <v>0</v>
      </c>
      <c r="P266" s="31">
        <v>6865729.2309999997</v>
      </c>
      <c r="Q266" s="31">
        <v>0</v>
      </c>
      <c r="R266" s="31">
        <v>9934869.2789999992</v>
      </c>
      <c r="S266" s="31">
        <v>0</v>
      </c>
      <c r="T266" s="31">
        <v>11479421.459000001</v>
      </c>
      <c r="U266" s="38">
        <v>0</v>
      </c>
      <c r="V266" s="38">
        <v>11586805.479</v>
      </c>
    </row>
    <row r="267" spans="1:22" ht="3" customHeight="1" x14ac:dyDescent="0.25">
      <c r="A267">
        <v>13109</v>
      </c>
      <c r="B267" t="s">
        <v>280</v>
      </c>
      <c r="C267" s="31">
        <v>0</v>
      </c>
      <c r="D267" s="31">
        <v>1809399.341</v>
      </c>
      <c r="E267" s="31">
        <v>0</v>
      </c>
      <c r="F267" s="31">
        <v>2070725.389</v>
      </c>
      <c r="G267" s="31">
        <v>0</v>
      </c>
      <c r="H267" s="31">
        <v>2641563.7519999999</v>
      </c>
      <c r="I267" s="31">
        <v>0</v>
      </c>
      <c r="J267" s="31">
        <v>2887160.8530000001</v>
      </c>
      <c r="K267" s="31">
        <v>0</v>
      </c>
      <c r="L267" s="31">
        <v>2948866.0750000002</v>
      </c>
      <c r="M267" s="31">
        <v>0</v>
      </c>
      <c r="N267" s="31">
        <v>3307103.003</v>
      </c>
      <c r="O267" s="31">
        <v>0</v>
      </c>
      <c r="P267" s="31">
        <v>4870180.4210000001</v>
      </c>
      <c r="Q267" s="31">
        <v>0</v>
      </c>
      <c r="R267" s="31">
        <v>6613763.8930000002</v>
      </c>
      <c r="S267" s="31">
        <v>0</v>
      </c>
      <c r="T267" s="31">
        <v>7076496.3609999996</v>
      </c>
      <c r="U267" s="38">
        <v>0</v>
      </c>
      <c r="V267" s="38">
        <v>7142695.5499999998</v>
      </c>
    </row>
    <row r="268" spans="1:22" ht="3" customHeight="1" x14ac:dyDescent="0.25">
      <c r="A268">
        <v>13110</v>
      </c>
      <c r="B268" t="s">
        <v>284</v>
      </c>
      <c r="C268" s="31">
        <v>0</v>
      </c>
      <c r="D268" s="31">
        <v>22894439.397</v>
      </c>
      <c r="E268" s="31">
        <v>0</v>
      </c>
      <c r="F268" s="31">
        <v>24121695.145</v>
      </c>
      <c r="G268" s="31">
        <v>0</v>
      </c>
      <c r="H268" s="31">
        <v>25682762.408</v>
      </c>
      <c r="I268" s="31">
        <v>0</v>
      </c>
      <c r="J268" s="31">
        <v>27481588.644000001</v>
      </c>
      <c r="K268" s="31">
        <v>0</v>
      </c>
      <c r="L268" s="31">
        <v>27712096.655000001</v>
      </c>
      <c r="M268" s="31">
        <v>0</v>
      </c>
      <c r="N268" s="31">
        <v>31069412.311000001</v>
      </c>
      <c r="O268" s="31">
        <v>0</v>
      </c>
      <c r="P268" s="31">
        <v>35037882.894000001</v>
      </c>
      <c r="Q268" s="31">
        <v>0</v>
      </c>
      <c r="R268" s="31">
        <v>37987405.969999999</v>
      </c>
      <c r="S268" s="31">
        <v>0</v>
      </c>
      <c r="T268" s="31">
        <v>39278763.813000001</v>
      </c>
      <c r="U268" s="38">
        <v>0</v>
      </c>
      <c r="V268" s="38">
        <v>39646198.162</v>
      </c>
    </row>
    <row r="269" spans="1:22" ht="3" customHeight="1" x14ac:dyDescent="0.25">
      <c r="A269">
        <v>13111</v>
      </c>
      <c r="B269" t="s">
        <v>285</v>
      </c>
      <c r="C269" s="31">
        <v>0</v>
      </c>
      <c r="D269" s="31">
        <v>10439127.755000001</v>
      </c>
      <c r="E269" s="31">
        <v>0</v>
      </c>
      <c r="F269" s="31">
        <v>10998717.203</v>
      </c>
      <c r="G269" s="31">
        <v>0</v>
      </c>
      <c r="H269" s="31">
        <v>11730569.241</v>
      </c>
      <c r="I269" s="31">
        <v>0</v>
      </c>
      <c r="J269" s="31">
        <v>12552181.196</v>
      </c>
      <c r="K269" s="31">
        <v>0</v>
      </c>
      <c r="L269" s="31">
        <v>12657465.548</v>
      </c>
      <c r="M269" s="31">
        <v>0</v>
      </c>
      <c r="N269" s="31">
        <v>14190915.714</v>
      </c>
      <c r="O269" s="31">
        <v>0</v>
      </c>
      <c r="P269" s="31">
        <v>16003509.834000001</v>
      </c>
      <c r="Q269" s="31">
        <v>0</v>
      </c>
      <c r="R269" s="31">
        <v>17766595.429000001</v>
      </c>
      <c r="S269" s="31">
        <v>0</v>
      </c>
      <c r="T269" s="31">
        <v>18406572.169</v>
      </c>
      <c r="U269" s="38">
        <v>0</v>
      </c>
      <c r="V269" s="38">
        <v>18578756.352000002</v>
      </c>
    </row>
    <row r="270" spans="1:22" ht="3" customHeight="1" x14ac:dyDescent="0.25">
      <c r="A270">
        <v>13112</v>
      </c>
      <c r="B270" t="s">
        <v>288</v>
      </c>
      <c r="C270" s="31">
        <v>0</v>
      </c>
      <c r="D270" s="31">
        <v>17991266.302999999</v>
      </c>
      <c r="E270" s="31">
        <v>0</v>
      </c>
      <c r="F270" s="31">
        <v>18955687.826000001</v>
      </c>
      <c r="G270" s="31">
        <v>0</v>
      </c>
      <c r="H270" s="31">
        <v>20164031.634</v>
      </c>
      <c r="I270" s="31">
        <v>0</v>
      </c>
      <c r="J270" s="31">
        <v>21576326.035</v>
      </c>
      <c r="K270" s="31">
        <v>0</v>
      </c>
      <c r="L270" s="31">
        <v>21757302.482000001</v>
      </c>
      <c r="M270" s="31">
        <v>0</v>
      </c>
      <c r="N270" s="31">
        <v>24393194.965999998</v>
      </c>
      <c r="O270" s="31">
        <v>0</v>
      </c>
      <c r="P270" s="31">
        <v>27508918.760000002</v>
      </c>
      <c r="Q270" s="31">
        <v>0</v>
      </c>
      <c r="R270" s="31">
        <v>30071572.098000001</v>
      </c>
      <c r="S270" s="31">
        <v>0</v>
      </c>
      <c r="T270" s="31">
        <v>31398211.717</v>
      </c>
      <c r="U270" s="38">
        <v>0</v>
      </c>
      <c r="V270" s="38">
        <v>31691927.199999999</v>
      </c>
    </row>
    <row r="271" spans="1:22" ht="3" customHeight="1" x14ac:dyDescent="0.25">
      <c r="A271">
        <v>13113</v>
      </c>
      <c r="B271" t="s">
        <v>286</v>
      </c>
      <c r="C271" s="31">
        <v>0</v>
      </c>
      <c r="D271" s="31">
        <v>1143320.42</v>
      </c>
      <c r="E271" s="31">
        <v>0</v>
      </c>
      <c r="F271" s="31">
        <v>1204607.7509999999</v>
      </c>
      <c r="G271" s="31">
        <v>0</v>
      </c>
      <c r="H271" s="31">
        <v>1500893.29</v>
      </c>
      <c r="I271" s="31">
        <v>0</v>
      </c>
      <c r="J271" s="31">
        <v>1606015.497</v>
      </c>
      <c r="K271" s="31">
        <v>0</v>
      </c>
      <c r="L271" s="31">
        <v>1619486.0630000001</v>
      </c>
      <c r="M271" s="31">
        <v>0</v>
      </c>
      <c r="N271" s="31">
        <v>1815686.7879999999</v>
      </c>
      <c r="O271" s="31">
        <v>0</v>
      </c>
      <c r="P271" s="31">
        <v>2047602.97</v>
      </c>
      <c r="Q271" s="31">
        <v>0</v>
      </c>
      <c r="R271" s="31">
        <v>2410384.2170000002</v>
      </c>
      <c r="S271" s="31">
        <v>0</v>
      </c>
      <c r="T271" s="31">
        <v>2637977.568</v>
      </c>
      <c r="U271" s="38">
        <v>0</v>
      </c>
      <c r="V271" s="38">
        <v>2662656.0830000001</v>
      </c>
    </row>
    <row r="272" spans="1:22" ht="3" customHeight="1" x14ac:dyDescent="0.25">
      <c r="A272">
        <v>13114</v>
      </c>
      <c r="B272" t="s">
        <v>279</v>
      </c>
      <c r="C272" s="31">
        <v>0</v>
      </c>
      <c r="D272" s="31">
        <v>2591676.2579999999</v>
      </c>
      <c r="E272" s="31">
        <v>0</v>
      </c>
      <c r="F272" s="31">
        <v>2730602.727</v>
      </c>
      <c r="G272" s="31">
        <v>0</v>
      </c>
      <c r="H272" s="31">
        <v>3454775.3730000001</v>
      </c>
      <c r="I272" s="31">
        <v>0</v>
      </c>
      <c r="J272" s="31">
        <v>3696747.83</v>
      </c>
      <c r="K272" s="31">
        <v>0</v>
      </c>
      <c r="L272" s="31">
        <v>3727755.2650000001</v>
      </c>
      <c r="M272" s="31">
        <v>0</v>
      </c>
      <c r="N272" s="31">
        <v>4179371.7310000001</v>
      </c>
      <c r="O272" s="31">
        <v>0</v>
      </c>
      <c r="P272" s="31">
        <v>4713200.3830000004</v>
      </c>
      <c r="Q272" s="31">
        <v>0</v>
      </c>
      <c r="R272" s="31">
        <v>5109961.9819999998</v>
      </c>
      <c r="S272" s="31">
        <v>0</v>
      </c>
      <c r="T272" s="31">
        <v>5283672.3990000002</v>
      </c>
      <c r="U272" s="38">
        <v>0</v>
      </c>
      <c r="V272" s="38">
        <v>5333098.5159999998</v>
      </c>
    </row>
    <row r="273" spans="1:22" ht="3" customHeight="1" x14ac:dyDescent="0.25">
      <c r="A273">
        <v>13115</v>
      </c>
      <c r="B273" t="s">
        <v>294</v>
      </c>
      <c r="C273" s="31">
        <v>0</v>
      </c>
      <c r="D273" s="31">
        <v>1344612.254</v>
      </c>
      <c r="E273" s="31">
        <v>0</v>
      </c>
      <c r="F273" s="31">
        <v>1416689.797</v>
      </c>
      <c r="G273" s="31">
        <v>0</v>
      </c>
      <c r="H273" s="31">
        <v>1607306.8759999999</v>
      </c>
      <c r="I273" s="31">
        <v>0</v>
      </c>
      <c r="J273" s="31">
        <v>1719883.0279999999</v>
      </c>
      <c r="K273" s="31">
        <v>0</v>
      </c>
      <c r="L273" s="31">
        <v>1734310.23</v>
      </c>
      <c r="M273" s="31">
        <v>0</v>
      </c>
      <c r="N273" s="31">
        <v>1944421.358</v>
      </c>
      <c r="O273" s="31">
        <v>0</v>
      </c>
      <c r="P273" s="31">
        <v>2192779.895</v>
      </c>
      <c r="Q273" s="31">
        <v>0</v>
      </c>
      <c r="R273" s="31">
        <v>2494378.4049999998</v>
      </c>
      <c r="S273" s="31">
        <v>0</v>
      </c>
      <c r="T273" s="31">
        <v>2704102.4939999999</v>
      </c>
      <c r="U273" s="38">
        <v>0</v>
      </c>
      <c r="V273" s="38">
        <v>2729398.2969999998</v>
      </c>
    </row>
    <row r="274" spans="1:22" ht="3" customHeight="1" x14ac:dyDescent="0.25">
      <c r="A274">
        <v>13116</v>
      </c>
      <c r="B274" t="s">
        <v>296</v>
      </c>
      <c r="C274" s="31">
        <v>0</v>
      </c>
      <c r="D274" s="31">
        <v>8561386.9370000008</v>
      </c>
      <c r="E274" s="31">
        <v>0</v>
      </c>
      <c r="F274" s="31">
        <v>9020319.5850000009</v>
      </c>
      <c r="G274" s="31">
        <v>0</v>
      </c>
      <c r="H274" s="31">
        <v>9696526.693</v>
      </c>
      <c r="I274" s="31">
        <v>0</v>
      </c>
      <c r="J274" s="31">
        <v>10375673.998</v>
      </c>
      <c r="K274" s="31">
        <v>0</v>
      </c>
      <c r="L274" s="31">
        <v>10462702.153000001</v>
      </c>
      <c r="M274" s="31">
        <v>0</v>
      </c>
      <c r="N274" s="31">
        <v>11730256.216</v>
      </c>
      <c r="O274" s="31">
        <v>0</v>
      </c>
      <c r="P274" s="31">
        <v>13228551.788000001</v>
      </c>
      <c r="Q274" s="31">
        <v>0</v>
      </c>
      <c r="R274" s="31">
        <v>14735411.354</v>
      </c>
      <c r="S274" s="31">
        <v>0</v>
      </c>
      <c r="T274" s="31">
        <v>15236332.535</v>
      </c>
      <c r="U274" s="38">
        <v>0</v>
      </c>
      <c r="V274" s="38">
        <v>15378861.823999999</v>
      </c>
    </row>
    <row r="275" spans="1:22" ht="3" customHeight="1" x14ac:dyDescent="0.25">
      <c r="A275">
        <v>13117</v>
      </c>
      <c r="B275" t="s">
        <v>289</v>
      </c>
      <c r="C275" s="31">
        <v>0</v>
      </c>
      <c r="D275" s="31">
        <v>8033027.6140000001</v>
      </c>
      <c r="E275" s="31">
        <v>0</v>
      </c>
      <c r="F275" s="31">
        <v>8463638.5</v>
      </c>
      <c r="G275" s="31">
        <v>0</v>
      </c>
      <c r="H275" s="31">
        <v>9131863.1689999998</v>
      </c>
      <c r="I275" s="31">
        <v>0</v>
      </c>
      <c r="J275" s="31">
        <v>9771460.8739999998</v>
      </c>
      <c r="K275" s="31">
        <v>0</v>
      </c>
      <c r="L275" s="31">
        <v>9853420.3430000003</v>
      </c>
      <c r="M275" s="31">
        <v>0</v>
      </c>
      <c r="N275" s="31">
        <v>11047160.101</v>
      </c>
      <c r="O275" s="31">
        <v>0</v>
      </c>
      <c r="P275" s="31">
        <v>13078339.509</v>
      </c>
      <c r="Q275" s="31">
        <v>0</v>
      </c>
      <c r="R275" s="31">
        <v>15574204.368000001</v>
      </c>
      <c r="S275" s="31">
        <v>0</v>
      </c>
      <c r="T275" s="31">
        <v>16649135.627</v>
      </c>
      <c r="U275" s="38">
        <v>0</v>
      </c>
      <c r="V275" s="38">
        <v>16804880.283</v>
      </c>
    </row>
    <row r="276" spans="1:22" ht="3" customHeight="1" x14ac:dyDescent="0.25">
      <c r="A276">
        <v>13118</v>
      </c>
      <c r="B276" t="s">
        <v>287</v>
      </c>
      <c r="C276" s="31">
        <v>0</v>
      </c>
      <c r="D276" s="31">
        <v>2620462.62</v>
      </c>
      <c r="E276" s="31">
        <v>0</v>
      </c>
      <c r="F276" s="31">
        <v>2814678.6260000002</v>
      </c>
      <c r="G276" s="31">
        <v>0</v>
      </c>
      <c r="H276" s="31">
        <v>3302980.9840000002</v>
      </c>
      <c r="I276" s="31">
        <v>0</v>
      </c>
      <c r="J276" s="31">
        <v>3534322.122</v>
      </c>
      <c r="K276" s="31">
        <v>0</v>
      </c>
      <c r="L276" s="31">
        <v>3584508.6579999998</v>
      </c>
      <c r="M276" s="31">
        <v>0</v>
      </c>
      <c r="N276" s="31">
        <v>4019196.9279999998</v>
      </c>
      <c r="O276" s="31">
        <v>0</v>
      </c>
      <c r="P276" s="31">
        <v>4854623.1940000001</v>
      </c>
      <c r="Q276" s="31">
        <v>0</v>
      </c>
      <c r="R276" s="31">
        <v>5523187.7949999999</v>
      </c>
      <c r="S276" s="31">
        <v>0</v>
      </c>
      <c r="T276" s="31">
        <v>5822268.892</v>
      </c>
      <c r="U276" s="38">
        <v>0</v>
      </c>
      <c r="V276" s="38">
        <v>5965511.3470000001</v>
      </c>
    </row>
    <row r="277" spans="1:22" ht="3" customHeight="1" x14ac:dyDescent="0.25">
      <c r="A277">
        <v>13119</v>
      </c>
      <c r="B277" t="s">
        <v>427</v>
      </c>
      <c r="C277" s="31">
        <v>0</v>
      </c>
      <c r="D277" s="31">
        <v>40783925.696999997</v>
      </c>
      <c r="E277" s="31">
        <v>0</v>
      </c>
      <c r="F277" s="31">
        <v>42970148.351000004</v>
      </c>
      <c r="G277" s="31">
        <v>0</v>
      </c>
      <c r="H277" s="31">
        <v>45832318.255999997</v>
      </c>
      <c r="I277" s="31">
        <v>0</v>
      </c>
      <c r="J277" s="31">
        <v>49042425.527000003</v>
      </c>
      <c r="K277" s="31">
        <v>0</v>
      </c>
      <c r="L277" s="31">
        <v>49453781.495999999</v>
      </c>
      <c r="M277" s="31">
        <v>0</v>
      </c>
      <c r="N277" s="31">
        <v>55445097.002999999</v>
      </c>
      <c r="O277" s="31">
        <v>0</v>
      </c>
      <c r="P277" s="31">
        <v>62527055.288999997</v>
      </c>
      <c r="Q277" s="31">
        <v>0</v>
      </c>
      <c r="R277" s="31">
        <v>67790642.952999994</v>
      </c>
      <c r="S277" s="31">
        <v>0</v>
      </c>
      <c r="T277" s="31">
        <v>70095143.068000004</v>
      </c>
      <c r="U277" s="38">
        <v>0</v>
      </c>
      <c r="V277" s="38">
        <v>70750849.709999993</v>
      </c>
    </row>
    <row r="278" spans="1:22" ht="3" customHeight="1" x14ac:dyDescent="0.25">
      <c r="A278">
        <v>13120</v>
      </c>
      <c r="B278" t="s">
        <v>276</v>
      </c>
      <c r="C278" s="31">
        <v>0</v>
      </c>
      <c r="D278" s="31">
        <v>2444254.7740000002</v>
      </c>
      <c r="E278" s="31">
        <v>0</v>
      </c>
      <c r="F278" s="31">
        <v>2575279.537</v>
      </c>
      <c r="G278" s="31">
        <v>0</v>
      </c>
      <c r="H278" s="31">
        <v>2932779.6359999999</v>
      </c>
      <c r="I278" s="31">
        <v>0</v>
      </c>
      <c r="J278" s="31">
        <v>3138192.7250000001</v>
      </c>
      <c r="K278" s="31">
        <v>0</v>
      </c>
      <c r="L278" s="31">
        <v>3164515.179</v>
      </c>
      <c r="M278" s="31">
        <v>0</v>
      </c>
      <c r="N278" s="31">
        <v>3547895.875</v>
      </c>
      <c r="O278" s="31">
        <v>0</v>
      </c>
      <c r="P278" s="31">
        <v>4001065.952</v>
      </c>
      <c r="Q278" s="31">
        <v>0</v>
      </c>
      <c r="R278" s="31">
        <v>4337879.8329999996</v>
      </c>
      <c r="S278" s="31">
        <v>0</v>
      </c>
      <c r="T278" s="31">
        <v>4485343.8320000004</v>
      </c>
      <c r="U278" s="38">
        <v>0</v>
      </c>
      <c r="V278" s="38">
        <v>4527303.0470000003</v>
      </c>
    </row>
    <row r="279" spans="1:22" ht="3" customHeight="1" x14ac:dyDescent="0.25">
      <c r="A279">
        <v>13121</v>
      </c>
      <c r="B279" t="s">
        <v>295</v>
      </c>
      <c r="C279" s="31">
        <v>0</v>
      </c>
      <c r="D279" s="31">
        <v>6283416.2089999998</v>
      </c>
      <c r="E279" s="31">
        <v>0</v>
      </c>
      <c r="F279" s="31">
        <v>6777493.4419999998</v>
      </c>
      <c r="G279" s="31">
        <v>0</v>
      </c>
      <c r="H279" s="31">
        <v>7448084.9960000003</v>
      </c>
      <c r="I279" s="31">
        <v>0</v>
      </c>
      <c r="J279" s="31">
        <v>8208113.6279999996</v>
      </c>
      <c r="K279" s="31">
        <v>0</v>
      </c>
      <c r="L279" s="31">
        <v>8297083.0690000001</v>
      </c>
      <c r="M279" s="31">
        <v>0</v>
      </c>
      <c r="N279" s="31">
        <v>9302273.2119999994</v>
      </c>
      <c r="O279" s="31">
        <v>0</v>
      </c>
      <c r="P279" s="31">
        <v>11399103.345000001</v>
      </c>
      <c r="Q279" s="31">
        <v>0</v>
      </c>
      <c r="R279" s="31">
        <v>13316977.714</v>
      </c>
      <c r="S279" s="31">
        <v>0</v>
      </c>
      <c r="T279" s="31">
        <v>13986558.49</v>
      </c>
      <c r="U279" s="38">
        <v>0</v>
      </c>
      <c r="V279" s="38">
        <v>14117395.922</v>
      </c>
    </row>
    <row r="280" spans="1:22" ht="3" customHeight="1" x14ac:dyDescent="0.25">
      <c r="A280">
        <v>13122</v>
      </c>
      <c r="B280" t="s">
        <v>428</v>
      </c>
      <c r="C280" s="31">
        <v>0</v>
      </c>
      <c r="D280" s="31">
        <v>11360420.654999999</v>
      </c>
      <c r="E280" s="31">
        <v>0</v>
      </c>
      <c r="F280" s="31">
        <v>11969396.225</v>
      </c>
      <c r="G280" s="31">
        <v>0</v>
      </c>
      <c r="H280" s="31">
        <v>12872368.681</v>
      </c>
      <c r="I280" s="31">
        <v>0</v>
      </c>
      <c r="J280" s="31">
        <v>13773952.755000001</v>
      </c>
      <c r="K280" s="31">
        <v>0</v>
      </c>
      <c r="L280" s="31">
        <v>13889484.381999999</v>
      </c>
      <c r="M280" s="31">
        <v>0</v>
      </c>
      <c r="N280" s="31">
        <v>15572192.733999999</v>
      </c>
      <c r="O280" s="31">
        <v>0</v>
      </c>
      <c r="P280" s="31">
        <v>17561217.094000001</v>
      </c>
      <c r="Q280" s="31">
        <v>0</v>
      </c>
      <c r="R280" s="31">
        <v>19039536.989</v>
      </c>
      <c r="S280" s="31">
        <v>0</v>
      </c>
      <c r="T280" s="31">
        <v>19686774.609999999</v>
      </c>
      <c r="U280" s="38">
        <v>0</v>
      </c>
      <c r="V280" s="38">
        <v>19870936.590999998</v>
      </c>
    </row>
    <row r="281" spans="1:22" ht="3" customHeight="1" x14ac:dyDescent="0.25">
      <c r="A281">
        <v>13123</v>
      </c>
      <c r="B281" t="s">
        <v>275</v>
      </c>
      <c r="C281" s="31">
        <v>0</v>
      </c>
      <c r="D281" s="31">
        <v>1486370.5179999999</v>
      </c>
      <c r="E281" s="31">
        <v>0</v>
      </c>
      <c r="F281" s="31">
        <v>1566047.5649999999</v>
      </c>
      <c r="G281" s="31">
        <v>0</v>
      </c>
      <c r="H281" s="31">
        <v>2294541.0639999998</v>
      </c>
      <c r="I281" s="31">
        <v>0</v>
      </c>
      <c r="J281" s="31">
        <v>2455251.52</v>
      </c>
      <c r="K281" s="31">
        <v>0</v>
      </c>
      <c r="L281" s="31">
        <v>2475845.8190000001</v>
      </c>
      <c r="M281" s="31">
        <v>0</v>
      </c>
      <c r="N281" s="31">
        <v>2775794.24</v>
      </c>
      <c r="O281" s="31">
        <v>0</v>
      </c>
      <c r="P281" s="31">
        <v>3130344.1869999999</v>
      </c>
      <c r="Q281" s="31">
        <v>0</v>
      </c>
      <c r="R281" s="31">
        <v>3393859.18</v>
      </c>
      <c r="S281" s="31">
        <v>0</v>
      </c>
      <c r="T281" s="31">
        <v>3509230.6269999999</v>
      </c>
      <c r="U281" s="38">
        <v>0</v>
      </c>
      <c r="V281" s="38">
        <v>3542057.73</v>
      </c>
    </row>
    <row r="282" spans="1:22" ht="3" customHeight="1" x14ac:dyDescent="0.25">
      <c r="A282">
        <v>13124</v>
      </c>
      <c r="B282" t="s">
        <v>281</v>
      </c>
      <c r="C282" s="31">
        <v>0</v>
      </c>
      <c r="D282" s="31">
        <v>12174248.140000001</v>
      </c>
      <c r="E282" s="31">
        <v>0</v>
      </c>
      <c r="F282" s="31">
        <v>12826848.289999999</v>
      </c>
      <c r="G282" s="31">
        <v>0</v>
      </c>
      <c r="H282" s="31">
        <v>13810740.494999999</v>
      </c>
      <c r="I282" s="31">
        <v>0</v>
      </c>
      <c r="J282" s="31">
        <v>14778048.211999999</v>
      </c>
      <c r="K282" s="31">
        <v>0</v>
      </c>
      <c r="L282" s="31">
        <v>14902001.924000001</v>
      </c>
      <c r="M282" s="31">
        <v>0</v>
      </c>
      <c r="N282" s="31">
        <v>16707377.014</v>
      </c>
      <c r="O282" s="31">
        <v>0</v>
      </c>
      <c r="P282" s="31">
        <v>18841396.377</v>
      </c>
      <c r="Q282" s="31">
        <v>0</v>
      </c>
      <c r="R282" s="31">
        <v>20427483.008000001</v>
      </c>
      <c r="S282" s="31">
        <v>0</v>
      </c>
      <c r="T282" s="31">
        <v>21121902.045000002</v>
      </c>
      <c r="U282" s="38">
        <v>0</v>
      </c>
      <c r="V282" s="38">
        <v>21319487.511999998</v>
      </c>
    </row>
    <row r="283" spans="1:22" ht="3" customHeight="1" x14ac:dyDescent="0.25">
      <c r="A283">
        <v>13125</v>
      </c>
      <c r="B283" t="s">
        <v>283</v>
      </c>
      <c r="C283" s="31">
        <v>0</v>
      </c>
      <c r="D283" s="31">
        <v>5894938.2369999997</v>
      </c>
      <c r="E283" s="31">
        <v>0</v>
      </c>
      <c r="F283" s="31">
        <v>6425141.7570000002</v>
      </c>
      <c r="G283" s="31">
        <v>0</v>
      </c>
      <c r="H283" s="31">
        <v>7120943.7889999999</v>
      </c>
      <c r="I283" s="31">
        <v>0</v>
      </c>
      <c r="J283" s="31">
        <v>7835951.2779999999</v>
      </c>
      <c r="K283" s="31">
        <v>0</v>
      </c>
      <c r="L283" s="31">
        <v>7912649.2999999998</v>
      </c>
      <c r="M283" s="31">
        <v>0</v>
      </c>
      <c r="N283" s="31">
        <v>8871420.7929999996</v>
      </c>
      <c r="O283" s="31">
        <v>0</v>
      </c>
      <c r="P283" s="31">
        <v>10219397.615</v>
      </c>
      <c r="Q283" s="31">
        <v>0</v>
      </c>
      <c r="R283" s="31">
        <v>11834438.255999999</v>
      </c>
      <c r="S283" s="31">
        <v>0</v>
      </c>
      <c r="T283" s="31">
        <v>12685272.377</v>
      </c>
      <c r="U283" s="38">
        <v>0</v>
      </c>
      <c r="V283" s="38">
        <v>13262936.493000001</v>
      </c>
    </row>
    <row r="284" spans="1:22" ht="3" customHeight="1" x14ac:dyDescent="0.25">
      <c r="A284">
        <v>13126</v>
      </c>
      <c r="B284" t="s">
        <v>278</v>
      </c>
      <c r="C284" s="31">
        <v>0</v>
      </c>
      <c r="D284" s="31">
        <v>2909951.9550000001</v>
      </c>
      <c r="E284" s="31">
        <v>0</v>
      </c>
      <c r="F284" s="31">
        <v>3185438.1179999998</v>
      </c>
      <c r="G284" s="31">
        <v>0</v>
      </c>
      <c r="H284" s="31">
        <v>3846652.1460000002</v>
      </c>
      <c r="I284" s="31">
        <v>0</v>
      </c>
      <c r="J284" s="31">
        <v>4145803.9819999998</v>
      </c>
      <c r="K284" s="31">
        <v>0</v>
      </c>
      <c r="L284" s="31">
        <v>4188920.5410000002</v>
      </c>
      <c r="M284" s="31">
        <v>0</v>
      </c>
      <c r="N284" s="31">
        <v>4698027.7319999998</v>
      </c>
      <c r="O284" s="31">
        <v>0</v>
      </c>
      <c r="P284" s="31">
        <v>7597087.1279999996</v>
      </c>
      <c r="Q284" s="31">
        <v>0</v>
      </c>
      <c r="R284" s="31">
        <v>10900991.954</v>
      </c>
      <c r="S284" s="31">
        <v>0</v>
      </c>
      <c r="T284" s="31">
        <v>12105674.775</v>
      </c>
      <c r="U284" s="38">
        <v>0</v>
      </c>
      <c r="V284" s="38">
        <v>12218917.873</v>
      </c>
    </row>
    <row r="285" spans="1:22" ht="3" customHeight="1" x14ac:dyDescent="0.25">
      <c r="A285">
        <v>13127</v>
      </c>
      <c r="B285" t="s">
        <v>292</v>
      </c>
      <c r="C285" s="31">
        <v>0</v>
      </c>
      <c r="D285" s="31">
        <v>3122876.605</v>
      </c>
      <c r="E285" s="31">
        <v>0</v>
      </c>
      <c r="F285" s="31">
        <v>3455062.82</v>
      </c>
      <c r="G285" s="31">
        <v>0</v>
      </c>
      <c r="H285" s="31">
        <v>4063528.909</v>
      </c>
      <c r="I285" s="31">
        <v>0</v>
      </c>
      <c r="J285" s="31">
        <v>4554875.2829999998</v>
      </c>
      <c r="K285" s="31">
        <v>0</v>
      </c>
      <c r="L285" s="31">
        <v>4627912.7690000003</v>
      </c>
      <c r="M285" s="31">
        <v>0</v>
      </c>
      <c r="N285" s="31">
        <v>5189411.2949999999</v>
      </c>
      <c r="O285" s="31">
        <v>0</v>
      </c>
      <c r="P285" s="31">
        <v>6322717.3030000003</v>
      </c>
      <c r="Q285" s="31">
        <v>0</v>
      </c>
      <c r="R285" s="31">
        <v>8004447.7419999996</v>
      </c>
      <c r="S285" s="31">
        <v>0</v>
      </c>
      <c r="T285" s="31">
        <v>8700321.4969999995</v>
      </c>
      <c r="U285" s="38">
        <v>0</v>
      </c>
      <c r="V285" s="38">
        <v>8781707.7359999996</v>
      </c>
    </row>
    <row r="286" spans="1:22" ht="3" customHeight="1" x14ac:dyDescent="0.25">
      <c r="A286">
        <v>13128</v>
      </c>
      <c r="B286" t="s">
        <v>282</v>
      </c>
      <c r="C286" s="31">
        <v>0</v>
      </c>
      <c r="D286" s="31">
        <v>5849176.8049999997</v>
      </c>
      <c r="E286" s="31">
        <v>0</v>
      </c>
      <c r="F286" s="31">
        <v>6162722.4170000004</v>
      </c>
      <c r="G286" s="31">
        <v>0</v>
      </c>
      <c r="H286" s="31">
        <v>6540286.8959999997</v>
      </c>
      <c r="I286" s="31">
        <v>0</v>
      </c>
      <c r="J286" s="31">
        <v>6998369.8849999998</v>
      </c>
      <c r="K286" s="31">
        <v>0</v>
      </c>
      <c r="L286" s="31">
        <v>7057069.6320000002</v>
      </c>
      <c r="M286" s="31">
        <v>0</v>
      </c>
      <c r="N286" s="31">
        <v>7912032.4069999997</v>
      </c>
      <c r="O286" s="31">
        <v>0</v>
      </c>
      <c r="P286" s="31">
        <v>8922629.9220000003</v>
      </c>
      <c r="Q286" s="31">
        <v>0</v>
      </c>
      <c r="R286" s="31">
        <v>9996553.1520000007</v>
      </c>
      <c r="S286" s="31">
        <v>0</v>
      </c>
      <c r="T286" s="31">
        <v>10827871.556</v>
      </c>
      <c r="U286" s="38">
        <v>0</v>
      </c>
      <c r="V286" s="38">
        <v>11215485.725</v>
      </c>
    </row>
    <row r="287" spans="1:22" ht="3" customHeight="1" x14ac:dyDescent="0.25">
      <c r="A287">
        <v>13129</v>
      </c>
      <c r="B287" t="s">
        <v>429</v>
      </c>
      <c r="C287" s="31">
        <v>0</v>
      </c>
      <c r="D287" s="31">
        <v>3182884.51</v>
      </c>
      <c r="E287" s="31">
        <v>0</v>
      </c>
      <c r="F287" s="31">
        <v>3353503.3190000001</v>
      </c>
      <c r="G287" s="31">
        <v>0</v>
      </c>
      <c r="H287" s="31">
        <v>3714042.87</v>
      </c>
      <c r="I287" s="31">
        <v>0</v>
      </c>
      <c r="J287" s="31">
        <v>3974175.9649999999</v>
      </c>
      <c r="K287" s="31">
        <v>0</v>
      </c>
      <c r="L287" s="31">
        <v>4007509.835</v>
      </c>
      <c r="M287" s="31">
        <v>0</v>
      </c>
      <c r="N287" s="31">
        <v>4493019.2290000003</v>
      </c>
      <c r="O287" s="31">
        <v>0</v>
      </c>
      <c r="P287" s="31">
        <v>5066908.7369999997</v>
      </c>
      <c r="Q287" s="31">
        <v>0</v>
      </c>
      <c r="R287" s="31">
        <v>5979837.7230000002</v>
      </c>
      <c r="S287" s="31">
        <v>0</v>
      </c>
      <c r="T287" s="31">
        <v>6407238.9759999998</v>
      </c>
      <c r="U287" s="38">
        <v>0</v>
      </c>
      <c r="V287" s="38">
        <v>6497415.8049999997</v>
      </c>
    </row>
    <row r="288" spans="1:22" ht="3" customHeight="1" x14ac:dyDescent="0.25">
      <c r="A288">
        <v>13130</v>
      </c>
      <c r="B288" t="s">
        <v>277</v>
      </c>
      <c r="C288" s="31">
        <v>0</v>
      </c>
      <c r="D288" s="31">
        <v>1256213.193</v>
      </c>
      <c r="E288" s="31">
        <v>0</v>
      </c>
      <c r="F288" s="31">
        <v>1336558.9550000001</v>
      </c>
      <c r="G288" s="31">
        <v>0</v>
      </c>
      <c r="H288" s="31">
        <v>1749119.4990000001</v>
      </c>
      <c r="I288" s="31">
        <v>0</v>
      </c>
      <c r="J288" s="31">
        <v>1871627.3219999999</v>
      </c>
      <c r="K288" s="31">
        <v>0</v>
      </c>
      <c r="L288" s="31">
        <v>1903003.595</v>
      </c>
      <c r="M288" s="31">
        <v>0</v>
      </c>
      <c r="N288" s="31">
        <v>2134246.074</v>
      </c>
      <c r="O288" s="31">
        <v>0</v>
      </c>
      <c r="P288" s="31">
        <v>2874656.9410000001</v>
      </c>
      <c r="Q288" s="31">
        <v>0</v>
      </c>
      <c r="R288" s="31">
        <v>3580947.6850000001</v>
      </c>
      <c r="S288" s="31">
        <v>0</v>
      </c>
      <c r="T288" s="31">
        <v>4069968.4139999999</v>
      </c>
      <c r="U288" s="38">
        <v>0</v>
      </c>
      <c r="V288" s="38">
        <v>4258301.7869999995</v>
      </c>
    </row>
    <row r="289" spans="1:22" ht="3" customHeight="1" x14ac:dyDescent="0.25">
      <c r="A289">
        <v>13131</v>
      </c>
      <c r="B289" t="s">
        <v>430</v>
      </c>
      <c r="C289" s="31">
        <v>0</v>
      </c>
      <c r="D289" s="31">
        <v>7665096.057</v>
      </c>
      <c r="E289" s="31">
        <v>0</v>
      </c>
      <c r="F289" s="31">
        <v>8075983.824</v>
      </c>
      <c r="G289" s="31">
        <v>0</v>
      </c>
      <c r="H289" s="31">
        <v>8744892.0460000001</v>
      </c>
      <c r="I289" s="31">
        <v>0</v>
      </c>
      <c r="J289" s="31">
        <v>9357386.193</v>
      </c>
      <c r="K289" s="31">
        <v>0</v>
      </c>
      <c r="L289" s="31">
        <v>9435872.6620000005</v>
      </c>
      <c r="M289" s="31">
        <v>0</v>
      </c>
      <c r="N289" s="31">
        <v>10579027.325999999</v>
      </c>
      <c r="O289" s="31">
        <v>0</v>
      </c>
      <c r="P289" s="31">
        <v>11930277.706</v>
      </c>
      <c r="Q289" s="31">
        <v>0</v>
      </c>
      <c r="R289" s="31">
        <v>12934580.602</v>
      </c>
      <c r="S289" s="31">
        <v>0</v>
      </c>
      <c r="T289" s="31">
        <v>13374283.902000001</v>
      </c>
      <c r="U289" s="38">
        <v>0</v>
      </c>
      <c r="V289" s="38">
        <v>13499393.892999999</v>
      </c>
    </row>
    <row r="290" spans="1:22" ht="3" customHeight="1" x14ac:dyDescent="0.25">
      <c r="A290">
        <v>13132</v>
      </c>
      <c r="B290" t="s">
        <v>293</v>
      </c>
      <c r="C290" s="31">
        <v>0</v>
      </c>
      <c r="D290" s="31">
        <v>1172246.6470000001</v>
      </c>
      <c r="E290" s="31">
        <v>0</v>
      </c>
      <c r="F290" s="31">
        <v>1235085.632</v>
      </c>
      <c r="G290" s="31">
        <v>0</v>
      </c>
      <c r="H290" s="31">
        <v>1638900.2620000001</v>
      </c>
      <c r="I290" s="31">
        <v>0</v>
      </c>
      <c r="J290" s="31">
        <v>1753688.7</v>
      </c>
      <c r="K290" s="31">
        <v>0</v>
      </c>
      <c r="L290" s="31">
        <v>1768398.4779999999</v>
      </c>
      <c r="M290" s="31">
        <v>0</v>
      </c>
      <c r="N290" s="31">
        <v>1982639.0279999999</v>
      </c>
      <c r="O290" s="31">
        <v>0</v>
      </c>
      <c r="P290" s="31">
        <v>2235880.4049999998</v>
      </c>
      <c r="Q290" s="31">
        <v>0</v>
      </c>
      <c r="R290" s="31">
        <v>2424098.057</v>
      </c>
      <c r="S290" s="31">
        <v>0</v>
      </c>
      <c r="T290" s="31">
        <v>2506503.4700000002</v>
      </c>
      <c r="U290" s="38">
        <v>0</v>
      </c>
      <c r="V290" s="38">
        <v>2529950.0150000001</v>
      </c>
    </row>
    <row r="291" spans="1:22" ht="3" customHeight="1" x14ac:dyDescent="0.25">
      <c r="A291">
        <v>13201</v>
      </c>
      <c r="B291" t="s">
        <v>303</v>
      </c>
      <c r="C291" s="31">
        <v>0</v>
      </c>
      <c r="D291" s="31">
        <v>50139927.144000001</v>
      </c>
      <c r="E291" s="31">
        <v>0</v>
      </c>
      <c r="F291" s="31">
        <v>52827677.318999998</v>
      </c>
      <c r="G291" s="31">
        <v>0</v>
      </c>
      <c r="H291" s="31">
        <v>55754942.800999999</v>
      </c>
      <c r="I291" s="31">
        <v>0</v>
      </c>
      <c r="J291" s="31">
        <v>59660033.133000001</v>
      </c>
      <c r="K291" s="31">
        <v>0</v>
      </c>
      <c r="L291" s="31">
        <v>60160444.409000002</v>
      </c>
      <c r="M291" s="31">
        <v>0</v>
      </c>
      <c r="N291" s="31">
        <v>67448870.091000006</v>
      </c>
      <c r="O291" s="31">
        <v>0</v>
      </c>
      <c r="P291" s="31">
        <v>76064060.237000003</v>
      </c>
      <c r="Q291" s="31">
        <v>0</v>
      </c>
      <c r="R291" s="31">
        <v>82467206.378000006</v>
      </c>
      <c r="S291" s="31">
        <v>0</v>
      </c>
      <c r="T291" s="31">
        <v>85270627.679000005</v>
      </c>
      <c r="U291" s="38">
        <v>0</v>
      </c>
      <c r="V291" s="38">
        <v>86068293.695999995</v>
      </c>
    </row>
    <row r="292" spans="1:22" ht="3" customHeight="1" x14ac:dyDescent="0.25">
      <c r="A292">
        <v>13202</v>
      </c>
      <c r="B292" t="s">
        <v>304</v>
      </c>
      <c r="C292" s="31">
        <v>0</v>
      </c>
      <c r="D292" s="31">
        <v>538687.19099999999</v>
      </c>
      <c r="E292" s="31">
        <v>0</v>
      </c>
      <c r="F292" s="31">
        <v>683482.80799999996</v>
      </c>
      <c r="G292" s="31">
        <v>0</v>
      </c>
      <c r="H292" s="31">
        <v>874819.36199999996</v>
      </c>
      <c r="I292" s="31">
        <v>0</v>
      </c>
      <c r="J292" s="31">
        <v>1017434.68</v>
      </c>
      <c r="K292" s="31">
        <v>0</v>
      </c>
      <c r="L292" s="31">
        <v>1049651.7649999999</v>
      </c>
      <c r="M292" s="31">
        <v>0</v>
      </c>
      <c r="N292" s="31">
        <v>1177421.9950000001</v>
      </c>
      <c r="O292" s="31">
        <v>0</v>
      </c>
      <c r="P292" s="31">
        <v>1600488.6969999999</v>
      </c>
      <c r="Q292" s="31">
        <v>0</v>
      </c>
      <c r="R292" s="31">
        <v>2075937.385</v>
      </c>
      <c r="S292" s="31">
        <v>0</v>
      </c>
      <c r="T292" s="31">
        <v>2330487.3870000001</v>
      </c>
      <c r="U292" s="38">
        <v>0</v>
      </c>
      <c r="V292" s="38">
        <v>2392604.1039999998</v>
      </c>
    </row>
    <row r="293" spans="1:22" ht="3" customHeight="1" x14ac:dyDescent="0.25">
      <c r="A293">
        <v>13203</v>
      </c>
      <c r="B293" t="s">
        <v>431</v>
      </c>
      <c r="C293" s="31">
        <v>0</v>
      </c>
      <c r="D293" s="31">
        <v>1328903.9010000001</v>
      </c>
      <c r="E293" s="31">
        <v>0</v>
      </c>
      <c r="F293" s="31">
        <v>1400139.7050000001</v>
      </c>
      <c r="G293" s="31">
        <v>0</v>
      </c>
      <c r="H293" s="31">
        <v>1517753.662</v>
      </c>
      <c r="I293" s="31">
        <v>0</v>
      </c>
      <c r="J293" s="31">
        <v>1624058.2250000001</v>
      </c>
      <c r="K293" s="31">
        <v>0</v>
      </c>
      <c r="L293" s="31">
        <v>1637680.6810000001</v>
      </c>
      <c r="M293" s="31">
        <v>0</v>
      </c>
      <c r="N293" s="31">
        <v>1836085.2849999999</v>
      </c>
      <c r="O293" s="31">
        <v>0</v>
      </c>
      <c r="P293" s="31">
        <v>2070606.34</v>
      </c>
      <c r="Q293" s="31">
        <v>0</v>
      </c>
      <c r="R293" s="31">
        <v>2244911.6839999999</v>
      </c>
      <c r="S293" s="31">
        <v>0</v>
      </c>
      <c r="T293" s="31">
        <v>2333162.5180000002</v>
      </c>
      <c r="U293" s="38">
        <v>0</v>
      </c>
      <c r="V293" s="38">
        <v>2387982.9139999999</v>
      </c>
    </row>
    <row r="294" spans="1:22" ht="3" customHeight="1" x14ac:dyDescent="0.25">
      <c r="A294">
        <v>13301</v>
      </c>
      <c r="B294" t="s">
        <v>300</v>
      </c>
      <c r="C294" s="31">
        <v>0</v>
      </c>
      <c r="D294" s="31">
        <v>3162965.179</v>
      </c>
      <c r="E294" s="31">
        <v>0</v>
      </c>
      <c r="F294" s="31">
        <v>3332515.858</v>
      </c>
      <c r="G294" s="31">
        <v>0</v>
      </c>
      <c r="H294" s="31">
        <v>3594920.395</v>
      </c>
      <c r="I294" s="31">
        <v>0</v>
      </c>
      <c r="J294" s="31">
        <v>3931532.7250000001</v>
      </c>
      <c r="K294" s="31">
        <v>0</v>
      </c>
      <c r="L294" s="31">
        <v>3965987.702</v>
      </c>
      <c r="M294" s="31">
        <v>0</v>
      </c>
      <c r="N294" s="31">
        <v>4446827.1050000004</v>
      </c>
      <c r="O294" s="31">
        <v>0</v>
      </c>
      <c r="P294" s="31">
        <v>5266066.5750000002</v>
      </c>
      <c r="Q294" s="31">
        <v>0</v>
      </c>
      <c r="R294" s="31">
        <v>6166243.7230000002</v>
      </c>
      <c r="S294" s="31">
        <v>0</v>
      </c>
      <c r="T294" s="31">
        <v>6740647.5659999996</v>
      </c>
      <c r="U294" s="38">
        <v>0</v>
      </c>
      <c r="V294" s="38">
        <v>7046003.2949999999</v>
      </c>
    </row>
    <row r="295" spans="1:22" ht="3" customHeight="1" x14ac:dyDescent="0.25">
      <c r="A295">
        <v>13302</v>
      </c>
      <c r="B295" t="s">
        <v>301</v>
      </c>
      <c r="C295" s="31">
        <v>0</v>
      </c>
      <c r="D295" s="31">
        <v>2391990.7960000001</v>
      </c>
      <c r="E295" s="31">
        <v>0</v>
      </c>
      <c r="F295" s="31">
        <v>2579753.335</v>
      </c>
      <c r="G295" s="31">
        <v>0</v>
      </c>
      <c r="H295" s="31">
        <v>2840739.071</v>
      </c>
      <c r="I295" s="31">
        <v>0</v>
      </c>
      <c r="J295" s="31">
        <v>3174822.2080000001</v>
      </c>
      <c r="K295" s="31">
        <v>0</v>
      </c>
      <c r="L295" s="31">
        <v>3204331.497</v>
      </c>
      <c r="M295" s="31">
        <v>0</v>
      </c>
      <c r="N295" s="31">
        <v>3592747.4130000002</v>
      </c>
      <c r="O295" s="31">
        <v>0</v>
      </c>
      <c r="P295" s="31">
        <v>4286465.108</v>
      </c>
      <c r="Q295" s="31">
        <v>0</v>
      </c>
      <c r="R295" s="31">
        <v>5486298.727</v>
      </c>
      <c r="S295" s="31">
        <v>0</v>
      </c>
      <c r="T295" s="31">
        <v>6029270.3930000002</v>
      </c>
      <c r="U295" s="38">
        <v>0</v>
      </c>
      <c r="V295" s="38">
        <v>6210082.3669999996</v>
      </c>
    </row>
    <row r="296" spans="1:22" ht="3" customHeight="1" x14ac:dyDescent="0.25">
      <c r="A296">
        <v>13303</v>
      </c>
      <c r="B296" t="s">
        <v>302</v>
      </c>
      <c r="C296" s="31">
        <v>0</v>
      </c>
      <c r="D296" s="31">
        <v>1153098.2560000001</v>
      </c>
      <c r="E296" s="31">
        <v>0</v>
      </c>
      <c r="F296" s="31">
        <v>1246828.2180000001</v>
      </c>
      <c r="G296" s="31">
        <v>0</v>
      </c>
      <c r="H296" s="31">
        <v>1388409.99</v>
      </c>
      <c r="I296" s="31">
        <v>0</v>
      </c>
      <c r="J296" s="31">
        <v>1513877.449</v>
      </c>
      <c r="K296" s="31">
        <v>0</v>
      </c>
      <c r="L296" s="31">
        <v>1529005.5360000001</v>
      </c>
      <c r="M296" s="31">
        <v>0</v>
      </c>
      <c r="N296" s="31">
        <v>1714317.324</v>
      </c>
      <c r="O296" s="31">
        <v>0</v>
      </c>
      <c r="P296" s="31">
        <v>2001247.882</v>
      </c>
      <c r="Q296" s="31">
        <v>0</v>
      </c>
      <c r="R296" s="31">
        <v>2313971.2719999999</v>
      </c>
      <c r="S296" s="31">
        <v>0</v>
      </c>
      <c r="T296" s="31">
        <v>2520369.4309999999</v>
      </c>
      <c r="U296" s="38">
        <v>0</v>
      </c>
      <c r="V296" s="38">
        <v>2643874.0219999999</v>
      </c>
    </row>
    <row r="297" spans="1:22" ht="3" customHeight="1" x14ac:dyDescent="0.25">
      <c r="A297">
        <v>13401</v>
      </c>
      <c r="B297" t="s">
        <v>305</v>
      </c>
      <c r="C297" s="31">
        <v>0</v>
      </c>
      <c r="D297" s="31">
        <v>14786218.245999999</v>
      </c>
      <c r="E297" s="31">
        <v>0</v>
      </c>
      <c r="F297" s="31">
        <v>15578832.596999999</v>
      </c>
      <c r="G297" s="31">
        <v>0</v>
      </c>
      <c r="H297" s="31">
        <v>16749787.530999999</v>
      </c>
      <c r="I297" s="31">
        <v>0</v>
      </c>
      <c r="J297" s="31">
        <v>17922947.247000001</v>
      </c>
      <c r="K297" s="31">
        <v>0</v>
      </c>
      <c r="L297" s="31">
        <v>18073280.574999999</v>
      </c>
      <c r="M297" s="31">
        <v>0</v>
      </c>
      <c r="N297" s="31">
        <v>20262855.432</v>
      </c>
      <c r="O297" s="31">
        <v>0</v>
      </c>
      <c r="P297" s="31">
        <v>22851012.774999999</v>
      </c>
      <c r="Q297" s="31">
        <v>0</v>
      </c>
      <c r="R297" s="31">
        <v>24774633.421</v>
      </c>
      <c r="S297" s="31">
        <v>0</v>
      </c>
      <c r="T297" s="31">
        <v>25616831.004999999</v>
      </c>
      <c r="U297" s="38">
        <v>0</v>
      </c>
      <c r="V297" s="38">
        <v>25856464.379000001</v>
      </c>
    </row>
    <row r="298" spans="1:22" ht="3" customHeight="1" x14ac:dyDescent="0.25">
      <c r="A298">
        <v>13402</v>
      </c>
      <c r="B298" t="s">
        <v>307</v>
      </c>
      <c r="C298" s="31">
        <v>0</v>
      </c>
      <c r="D298" s="31">
        <v>2150484.9569999999</v>
      </c>
      <c r="E298" s="31">
        <v>0</v>
      </c>
      <c r="F298" s="31">
        <v>2352781.6779999998</v>
      </c>
      <c r="G298" s="31">
        <v>0</v>
      </c>
      <c r="H298" s="31">
        <v>2702286.1860000002</v>
      </c>
      <c r="I298" s="31">
        <v>0</v>
      </c>
      <c r="J298" s="31">
        <v>2961257.105</v>
      </c>
      <c r="K298" s="31">
        <v>0</v>
      </c>
      <c r="L298" s="31">
        <v>3011097.3309999998</v>
      </c>
      <c r="M298" s="31">
        <v>0</v>
      </c>
      <c r="N298" s="31">
        <v>3376738.4580000001</v>
      </c>
      <c r="O298" s="31">
        <v>0</v>
      </c>
      <c r="P298" s="31">
        <v>4601323.4029999999</v>
      </c>
      <c r="Q298" s="31">
        <v>0</v>
      </c>
      <c r="R298" s="31">
        <v>5363314.7960000001</v>
      </c>
      <c r="S298" s="31">
        <v>0</v>
      </c>
      <c r="T298" s="31">
        <v>5967308.2989999996</v>
      </c>
      <c r="U298" s="38">
        <v>0</v>
      </c>
      <c r="V298" s="38">
        <v>6085109.2810000004</v>
      </c>
    </row>
    <row r="299" spans="1:22" ht="3" customHeight="1" x14ac:dyDescent="0.25">
      <c r="A299">
        <v>13403</v>
      </c>
      <c r="B299" t="s">
        <v>306</v>
      </c>
      <c r="C299" s="31">
        <v>0</v>
      </c>
      <c r="D299" s="31">
        <v>724265.66799999995</v>
      </c>
      <c r="E299" s="31">
        <v>0</v>
      </c>
      <c r="F299" s="31">
        <v>860746.17500000005</v>
      </c>
      <c r="G299" s="31">
        <v>0</v>
      </c>
      <c r="H299" s="31">
        <v>1047277.098</v>
      </c>
      <c r="I299" s="31">
        <v>0</v>
      </c>
      <c r="J299" s="31">
        <v>1158319.905</v>
      </c>
      <c r="K299" s="31">
        <v>0</v>
      </c>
      <c r="L299" s="31">
        <v>1180187.2849999999</v>
      </c>
      <c r="M299" s="31">
        <v>0</v>
      </c>
      <c r="N299" s="31">
        <v>1323459.0449999999</v>
      </c>
      <c r="O299" s="31">
        <v>0</v>
      </c>
      <c r="P299" s="31">
        <v>1644374.72</v>
      </c>
      <c r="Q299" s="31">
        <v>0</v>
      </c>
      <c r="R299" s="31">
        <v>2049977.1040000001</v>
      </c>
      <c r="S299" s="31">
        <v>0</v>
      </c>
      <c r="T299" s="31">
        <v>2313375.182</v>
      </c>
      <c r="U299" s="38">
        <v>0</v>
      </c>
      <c r="V299" s="38">
        <v>2398706.9819999998</v>
      </c>
    </row>
    <row r="300" spans="1:22" ht="3" customHeight="1" x14ac:dyDescent="0.25">
      <c r="A300">
        <v>13404</v>
      </c>
      <c r="B300" t="s">
        <v>308</v>
      </c>
      <c r="C300" s="31">
        <v>0</v>
      </c>
      <c r="D300" s="31">
        <v>2894277.5389999999</v>
      </c>
      <c r="E300" s="31">
        <v>0</v>
      </c>
      <c r="F300" s="31">
        <v>3049425.3480000002</v>
      </c>
      <c r="G300" s="31">
        <v>0</v>
      </c>
      <c r="H300" s="31">
        <v>3275892.6519999998</v>
      </c>
      <c r="I300" s="31">
        <v>0</v>
      </c>
      <c r="J300" s="31">
        <v>3505337.122</v>
      </c>
      <c r="K300" s="31">
        <v>0</v>
      </c>
      <c r="L300" s="31">
        <v>3534738.713</v>
      </c>
      <c r="M300" s="31">
        <v>0</v>
      </c>
      <c r="N300" s="31">
        <v>3962971.4509999999</v>
      </c>
      <c r="O300" s="31">
        <v>0</v>
      </c>
      <c r="P300" s="31">
        <v>4542745.2410000004</v>
      </c>
      <c r="Q300" s="31">
        <v>0</v>
      </c>
      <c r="R300" s="31">
        <v>5257477.7079999996</v>
      </c>
      <c r="S300" s="31">
        <v>0</v>
      </c>
      <c r="T300" s="31">
        <v>5453724.1780000003</v>
      </c>
      <c r="U300" s="38">
        <v>0</v>
      </c>
      <c r="V300" s="38">
        <v>5504740.9699999997</v>
      </c>
    </row>
    <row r="301" spans="1:22" ht="3" customHeight="1" x14ac:dyDescent="0.25">
      <c r="A301">
        <v>13501</v>
      </c>
      <c r="B301" t="s">
        <v>314</v>
      </c>
      <c r="C301" s="31">
        <v>0</v>
      </c>
      <c r="D301" s="31">
        <v>7606422.051</v>
      </c>
      <c r="E301" s="31">
        <v>0</v>
      </c>
      <c r="F301" s="31">
        <v>8258563.4199999999</v>
      </c>
      <c r="G301" s="31">
        <v>0</v>
      </c>
      <c r="H301" s="31">
        <v>9185879.9590000007</v>
      </c>
      <c r="I301" s="31">
        <v>0</v>
      </c>
      <c r="J301" s="31">
        <v>10071735.058</v>
      </c>
      <c r="K301" s="31">
        <v>0</v>
      </c>
      <c r="L301" s="31">
        <v>10169301.125</v>
      </c>
      <c r="M301" s="31">
        <v>0</v>
      </c>
      <c r="N301" s="31">
        <v>11403920</v>
      </c>
      <c r="O301" s="31">
        <v>0</v>
      </c>
      <c r="P301" s="31">
        <v>14572862.673</v>
      </c>
      <c r="Q301" s="31">
        <v>0</v>
      </c>
      <c r="R301" s="31">
        <v>17645935.918000001</v>
      </c>
      <c r="S301" s="31">
        <v>0</v>
      </c>
      <c r="T301" s="31">
        <v>19578027.181000002</v>
      </c>
      <c r="U301" s="38">
        <v>0</v>
      </c>
      <c r="V301" s="38">
        <v>22537006.385000002</v>
      </c>
    </row>
    <row r="302" spans="1:22" ht="3" customHeight="1" x14ac:dyDescent="0.25">
      <c r="A302">
        <v>13502</v>
      </c>
      <c r="B302" t="s">
        <v>432</v>
      </c>
      <c r="C302" s="31">
        <v>0</v>
      </c>
      <c r="D302" s="31">
        <v>964368.277</v>
      </c>
      <c r="E302" s="31">
        <v>0</v>
      </c>
      <c r="F302" s="31">
        <v>1040859.215</v>
      </c>
      <c r="G302" s="31">
        <v>0</v>
      </c>
      <c r="H302" s="31">
        <v>1147237.32</v>
      </c>
      <c r="I302" s="31">
        <v>0</v>
      </c>
      <c r="J302" s="31">
        <v>1252690.4580000001</v>
      </c>
      <c r="K302" s="31">
        <v>0</v>
      </c>
      <c r="L302" s="31">
        <v>1269597.3330000001</v>
      </c>
      <c r="M302" s="31">
        <v>0</v>
      </c>
      <c r="N302" s="31">
        <v>1423570.2309999999</v>
      </c>
      <c r="O302" s="31">
        <v>0</v>
      </c>
      <c r="P302" s="31">
        <v>1691841.56</v>
      </c>
      <c r="Q302" s="31">
        <v>0</v>
      </c>
      <c r="R302" s="31">
        <v>1957023.8770000001</v>
      </c>
      <c r="S302" s="31">
        <v>0</v>
      </c>
      <c r="T302" s="31">
        <v>2130568.5049999999</v>
      </c>
      <c r="U302" s="38">
        <v>0</v>
      </c>
      <c r="V302" s="38">
        <v>2262274.92</v>
      </c>
    </row>
    <row r="303" spans="1:22" ht="3" customHeight="1" x14ac:dyDescent="0.25">
      <c r="A303">
        <v>13503</v>
      </c>
      <c r="B303" t="s">
        <v>433</v>
      </c>
      <c r="C303" s="31">
        <v>0</v>
      </c>
      <c r="D303" s="31">
        <v>2144669.4640000002</v>
      </c>
      <c r="E303" s="31">
        <v>0</v>
      </c>
      <c r="F303" s="31">
        <v>2259634.0780000002</v>
      </c>
      <c r="G303" s="31">
        <v>0</v>
      </c>
      <c r="H303" s="31">
        <v>2430821.8450000002</v>
      </c>
      <c r="I303" s="31">
        <v>0</v>
      </c>
      <c r="J303" s="31">
        <v>2601077.7540000002</v>
      </c>
      <c r="K303" s="31">
        <v>0</v>
      </c>
      <c r="L303" s="31">
        <v>2622894.9190000002</v>
      </c>
      <c r="M303" s="31">
        <v>0</v>
      </c>
      <c r="N303" s="31">
        <v>2940657.81</v>
      </c>
      <c r="O303" s="31">
        <v>0</v>
      </c>
      <c r="P303" s="31">
        <v>3316266.054</v>
      </c>
      <c r="Q303" s="31">
        <v>0</v>
      </c>
      <c r="R303" s="31">
        <v>3595431.96</v>
      </c>
      <c r="S303" s="31">
        <v>0</v>
      </c>
      <c r="T303" s="31">
        <v>3717656.801</v>
      </c>
      <c r="U303" s="38">
        <v>0</v>
      </c>
      <c r="V303" s="38">
        <v>3752433.713</v>
      </c>
    </row>
    <row r="304" spans="1:22" ht="3" customHeight="1" x14ac:dyDescent="0.25">
      <c r="A304">
        <v>13504</v>
      </c>
      <c r="B304" t="s">
        <v>434</v>
      </c>
      <c r="C304" s="31">
        <v>0</v>
      </c>
      <c r="D304" s="31">
        <v>1184061.3670000001</v>
      </c>
      <c r="E304" s="31">
        <v>0</v>
      </c>
      <c r="F304" s="31">
        <v>1255142.517</v>
      </c>
      <c r="G304" s="31">
        <v>0</v>
      </c>
      <c r="H304" s="31">
        <v>1371526.4180000001</v>
      </c>
      <c r="I304" s="31">
        <v>0</v>
      </c>
      <c r="J304" s="31">
        <v>1484346.345</v>
      </c>
      <c r="K304" s="31">
        <v>0</v>
      </c>
      <c r="L304" s="31">
        <v>1503759.5020000001</v>
      </c>
      <c r="M304" s="31">
        <v>0</v>
      </c>
      <c r="N304" s="31">
        <v>1686115.2180000001</v>
      </c>
      <c r="O304" s="31">
        <v>0</v>
      </c>
      <c r="P304" s="31">
        <v>2004174.4720000001</v>
      </c>
      <c r="Q304" s="31">
        <v>0</v>
      </c>
      <c r="R304" s="31">
        <v>2285597.5729999999</v>
      </c>
      <c r="S304" s="31">
        <v>0</v>
      </c>
      <c r="T304" s="31">
        <v>2461163.3870000001</v>
      </c>
      <c r="U304" s="38">
        <v>0</v>
      </c>
      <c r="V304" s="38">
        <v>2569734.375</v>
      </c>
    </row>
    <row r="305" spans="1:22" ht="3" customHeight="1" x14ac:dyDescent="0.25">
      <c r="A305">
        <v>13505</v>
      </c>
      <c r="B305" t="s">
        <v>315</v>
      </c>
      <c r="C305" s="31">
        <v>0</v>
      </c>
      <c r="D305" s="31">
        <v>1322109.4720000001</v>
      </c>
      <c r="E305" s="31">
        <v>0</v>
      </c>
      <c r="F305" s="31">
        <v>1425274.69</v>
      </c>
      <c r="G305" s="31">
        <v>0</v>
      </c>
      <c r="H305" s="31">
        <v>1566375.763</v>
      </c>
      <c r="I305" s="31">
        <v>0</v>
      </c>
      <c r="J305" s="31">
        <v>1692155.0220000001</v>
      </c>
      <c r="K305" s="31">
        <v>0</v>
      </c>
      <c r="L305" s="31">
        <v>1708195.6880000001</v>
      </c>
      <c r="M305" s="31">
        <v>0</v>
      </c>
      <c r="N305" s="31">
        <v>1915361.2949999999</v>
      </c>
      <c r="O305" s="31">
        <v>0</v>
      </c>
      <c r="P305" s="31">
        <v>2284978.159</v>
      </c>
      <c r="Q305" s="31">
        <v>0</v>
      </c>
      <c r="R305" s="31">
        <v>2607153.7769999998</v>
      </c>
      <c r="S305" s="31">
        <v>0</v>
      </c>
      <c r="T305" s="31">
        <v>2831266.7450000001</v>
      </c>
      <c r="U305" s="38">
        <v>0</v>
      </c>
      <c r="V305" s="38">
        <v>2898110.3360000001</v>
      </c>
    </row>
    <row r="306" spans="1:22" ht="3" customHeight="1" x14ac:dyDescent="0.25">
      <c r="A306">
        <v>13601</v>
      </c>
      <c r="B306" t="s">
        <v>309</v>
      </c>
      <c r="C306" s="31">
        <v>0</v>
      </c>
      <c r="D306" s="31">
        <v>4385389.2029999997</v>
      </c>
      <c r="E306" s="31">
        <v>0</v>
      </c>
      <c r="F306" s="31">
        <v>4620467.6059999997</v>
      </c>
      <c r="G306" s="31">
        <v>0</v>
      </c>
      <c r="H306" s="31">
        <v>4946131.9000000004</v>
      </c>
      <c r="I306" s="31">
        <v>0</v>
      </c>
      <c r="J306" s="31">
        <v>5292560.8080000002</v>
      </c>
      <c r="K306" s="31">
        <v>0</v>
      </c>
      <c r="L306" s="31">
        <v>5336953.5980000002</v>
      </c>
      <c r="M306" s="31">
        <v>0</v>
      </c>
      <c r="N306" s="31">
        <v>5983524.5439999998</v>
      </c>
      <c r="O306" s="31">
        <v>0</v>
      </c>
      <c r="P306" s="31">
        <v>7116461.5190000003</v>
      </c>
      <c r="Q306" s="31">
        <v>0</v>
      </c>
      <c r="R306" s="31">
        <v>8185239.0389999999</v>
      </c>
      <c r="S306" s="31">
        <v>0</v>
      </c>
      <c r="T306" s="31">
        <v>8644659.8220000006</v>
      </c>
      <c r="U306" s="38">
        <v>0</v>
      </c>
      <c r="V306" s="38">
        <v>8725526.2239999995</v>
      </c>
    </row>
    <row r="307" spans="1:22" ht="3" customHeight="1" x14ac:dyDescent="0.25">
      <c r="A307">
        <v>13602</v>
      </c>
      <c r="B307" t="s">
        <v>311</v>
      </c>
      <c r="C307" s="31">
        <v>0</v>
      </c>
      <c r="D307" s="31">
        <v>2228278.7919999999</v>
      </c>
      <c r="E307" s="31">
        <v>0</v>
      </c>
      <c r="F307" s="31">
        <v>2358904.1310000001</v>
      </c>
      <c r="G307" s="31">
        <v>0</v>
      </c>
      <c r="H307" s="31">
        <v>2540039.7540000002</v>
      </c>
      <c r="I307" s="31">
        <v>0</v>
      </c>
      <c r="J307" s="31">
        <v>2786338.9419999998</v>
      </c>
      <c r="K307" s="31">
        <v>0</v>
      </c>
      <c r="L307" s="31">
        <v>2832742.4980000001</v>
      </c>
      <c r="M307" s="31">
        <v>0</v>
      </c>
      <c r="N307" s="31">
        <v>3176450.199</v>
      </c>
      <c r="O307" s="31">
        <v>0</v>
      </c>
      <c r="P307" s="31">
        <v>3752815.4789999998</v>
      </c>
      <c r="Q307" s="31">
        <v>0</v>
      </c>
      <c r="R307" s="31">
        <v>4469593.2529999996</v>
      </c>
      <c r="S307" s="31">
        <v>0</v>
      </c>
      <c r="T307" s="31">
        <v>5031425.8</v>
      </c>
      <c r="U307" s="38">
        <v>0</v>
      </c>
      <c r="V307" s="38">
        <v>5488637.4939999999</v>
      </c>
    </row>
    <row r="308" spans="1:22" ht="3" customHeight="1" x14ac:dyDescent="0.25">
      <c r="A308">
        <v>13603</v>
      </c>
      <c r="B308" t="s">
        <v>310</v>
      </c>
      <c r="C308" s="31">
        <v>0</v>
      </c>
      <c r="D308" s="31">
        <v>2380254.9449999998</v>
      </c>
      <c r="E308" s="31">
        <v>0</v>
      </c>
      <c r="F308" s="31">
        <v>2507848.2919999999</v>
      </c>
      <c r="G308" s="31">
        <v>0</v>
      </c>
      <c r="H308" s="31">
        <v>2698804.463</v>
      </c>
      <c r="I308" s="31">
        <v>0</v>
      </c>
      <c r="J308" s="31">
        <v>2903355.6230000001</v>
      </c>
      <c r="K308" s="31">
        <v>0</v>
      </c>
      <c r="L308" s="31">
        <v>2927708.9840000002</v>
      </c>
      <c r="M308" s="31">
        <v>0</v>
      </c>
      <c r="N308" s="31">
        <v>3282400.2620000001</v>
      </c>
      <c r="O308" s="31">
        <v>0</v>
      </c>
      <c r="P308" s="31">
        <v>3716652.9819999998</v>
      </c>
      <c r="Q308" s="31">
        <v>0</v>
      </c>
      <c r="R308" s="31">
        <v>4029524.173</v>
      </c>
      <c r="S308" s="31">
        <v>0</v>
      </c>
      <c r="T308" s="31">
        <v>4166504.7790000001</v>
      </c>
      <c r="U308" s="38">
        <v>0</v>
      </c>
      <c r="V308" s="38">
        <v>4205480.8569999998</v>
      </c>
    </row>
    <row r="309" spans="1:22" ht="3" customHeight="1" x14ac:dyDescent="0.25">
      <c r="A309">
        <v>13604</v>
      </c>
      <c r="B309" t="s">
        <v>313</v>
      </c>
      <c r="C309" s="31">
        <v>0</v>
      </c>
      <c r="D309" s="31">
        <v>3187417.3139999998</v>
      </c>
      <c r="E309" s="31">
        <v>0</v>
      </c>
      <c r="F309" s="31">
        <v>3358277.9870000002</v>
      </c>
      <c r="G309" s="31">
        <v>0</v>
      </c>
      <c r="H309" s="31">
        <v>3570111.5830000001</v>
      </c>
      <c r="I309" s="31">
        <v>0</v>
      </c>
      <c r="J309" s="31">
        <v>3820163.87</v>
      </c>
      <c r="K309" s="31">
        <v>0</v>
      </c>
      <c r="L309" s="31">
        <v>3852206.696</v>
      </c>
      <c r="M309" s="31">
        <v>0</v>
      </c>
      <c r="N309" s="31">
        <v>4319682.9740000004</v>
      </c>
      <c r="O309" s="31">
        <v>0</v>
      </c>
      <c r="P309" s="31">
        <v>5806141.9950000001</v>
      </c>
      <c r="Q309" s="31">
        <v>0</v>
      </c>
      <c r="R309" s="31">
        <v>7096721.2960000001</v>
      </c>
      <c r="S309" s="31">
        <v>0</v>
      </c>
      <c r="T309" s="31">
        <v>7349791.9900000002</v>
      </c>
      <c r="U309" s="38">
        <v>0</v>
      </c>
      <c r="V309" s="38">
        <v>7418545.4189999998</v>
      </c>
    </row>
    <row r="310" spans="1:22" ht="3" customHeight="1" x14ac:dyDescent="0.25">
      <c r="A310">
        <v>13605</v>
      </c>
      <c r="B310" t="s">
        <v>312</v>
      </c>
      <c r="C310" s="31">
        <v>0</v>
      </c>
      <c r="D310" s="31">
        <v>5595329.0659999996</v>
      </c>
      <c r="E310" s="31">
        <v>0</v>
      </c>
      <c r="F310" s="31">
        <v>5895266.682</v>
      </c>
      <c r="G310" s="31">
        <v>0</v>
      </c>
      <c r="H310" s="31">
        <v>6364058.3779999996</v>
      </c>
      <c r="I310" s="31">
        <v>0</v>
      </c>
      <c r="J310" s="31">
        <v>6809798.3470000001</v>
      </c>
      <c r="K310" s="31">
        <v>0</v>
      </c>
      <c r="L310" s="31">
        <v>6866917.8720000004</v>
      </c>
      <c r="M310" s="31">
        <v>0</v>
      </c>
      <c r="N310" s="31">
        <v>7698843.5829999996</v>
      </c>
      <c r="O310" s="31">
        <v>0</v>
      </c>
      <c r="P310" s="31">
        <v>9259293.0370000005</v>
      </c>
      <c r="Q310" s="31">
        <v>0</v>
      </c>
      <c r="R310" s="31">
        <v>10777563.49</v>
      </c>
      <c r="S310" s="31">
        <v>0</v>
      </c>
      <c r="T310" s="31">
        <v>11209957.912</v>
      </c>
      <c r="U310" s="38">
        <v>0</v>
      </c>
      <c r="V310" s="38">
        <v>11314822.132999999</v>
      </c>
    </row>
    <row r="311" spans="1:22" ht="3" customHeight="1" x14ac:dyDescent="0.25">
      <c r="A311">
        <v>14101</v>
      </c>
      <c r="B311" t="s">
        <v>232</v>
      </c>
      <c r="C311" s="31">
        <v>0</v>
      </c>
      <c r="D311" s="31">
        <v>10511873.463</v>
      </c>
      <c r="E311" s="31">
        <v>0</v>
      </c>
      <c r="F311" s="31">
        <v>12325087.055</v>
      </c>
      <c r="G311" s="31">
        <v>0</v>
      </c>
      <c r="H311" s="31">
        <v>16773438.48</v>
      </c>
      <c r="I311" s="31">
        <v>0</v>
      </c>
      <c r="J311" s="31">
        <v>18201087.037</v>
      </c>
      <c r="K311" s="31">
        <v>0</v>
      </c>
      <c r="L311" s="31">
        <v>18416897.294</v>
      </c>
      <c r="M311" s="31">
        <v>0</v>
      </c>
      <c r="N311" s="31">
        <v>20649935.546999998</v>
      </c>
      <c r="O311" s="31">
        <v>0</v>
      </c>
      <c r="P311" s="31">
        <v>23287536.392000001</v>
      </c>
      <c r="Q311" s="31">
        <v>0</v>
      </c>
      <c r="R311" s="31">
        <v>26203482.686000001</v>
      </c>
      <c r="S311" s="31">
        <v>0</v>
      </c>
      <c r="T311" s="31">
        <v>29188027.833999999</v>
      </c>
      <c r="U311" s="38">
        <v>0</v>
      </c>
      <c r="V311" s="38">
        <v>29461067.521000002</v>
      </c>
    </row>
    <row r="312" spans="1:22" ht="3" customHeight="1" x14ac:dyDescent="0.25">
      <c r="A312">
        <v>14102</v>
      </c>
      <c r="B312" t="s">
        <v>236</v>
      </c>
      <c r="C312" s="31">
        <v>0</v>
      </c>
      <c r="D312" s="31">
        <v>1574325.3289999999</v>
      </c>
      <c r="E312" s="31">
        <v>0</v>
      </c>
      <c r="F312" s="31">
        <v>1658716.352</v>
      </c>
      <c r="G312" s="31">
        <v>0</v>
      </c>
      <c r="H312" s="31">
        <v>1801531.219</v>
      </c>
      <c r="I312" s="31">
        <v>0</v>
      </c>
      <c r="J312" s="31">
        <v>1927710.9550000001</v>
      </c>
      <c r="K312" s="31">
        <v>0</v>
      </c>
      <c r="L312" s="31">
        <v>1943880.4069999999</v>
      </c>
      <c r="M312" s="31">
        <v>0</v>
      </c>
      <c r="N312" s="31">
        <v>2179381.06</v>
      </c>
      <c r="O312" s="31">
        <v>0</v>
      </c>
      <c r="P312" s="31">
        <v>2457751.7400000002</v>
      </c>
      <c r="Q312" s="31">
        <v>0</v>
      </c>
      <c r="R312" s="31">
        <v>2675422.3879999998</v>
      </c>
      <c r="S312" s="31">
        <v>0</v>
      </c>
      <c r="T312" s="31">
        <v>2868327.0219999999</v>
      </c>
      <c r="U312" s="38">
        <v>0</v>
      </c>
      <c r="V312" s="38">
        <v>3162300.4750000001</v>
      </c>
    </row>
    <row r="313" spans="1:22" ht="3" customHeight="1" x14ac:dyDescent="0.25">
      <c r="A313">
        <v>14103</v>
      </c>
      <c r="B313" t="s">
        <v>233</v>
      </c>
      <c r="C313" s="31">
        <v>0</v>
      </c>
      <c r="D313" s="31">
        <v>2109173.3969999999</v>
      </c>
      <c r="E313" s="31">
        <v>0</v>
      </c>
      <c r="F313" s="31">
        <v>2231385.1770000001</v>
      </c>
      <c r="G313" s="31">
        <v>0</v>
      </c>
      <c r="H313" s="31">
        <v>2420832.7140000002</v>
      </c>
      <c r="I313" s="31">
        <v>0</v>
      </c>
      <c r="J313" s="31">
        <v>2609082.7110000001</v>
      </c>
      <c r="K313" s="31">
        <v>0</v>
      </c>
      <c r="L313" s="31">
        <v>2641280.56</v>
      </c>
      <c r="M313" s="31">
        <v>0</v>
      </c>
      <c r="N313" s="31">
        <v>2961543.446</v>
      </c>
      <c r="O313" s="31">
        <v>0</v>
      </c>
      <c r="P313" s="31">
        <v>3602316.139</v>
      </c>
      <c r="Q313" s="31">
        <v>0</v>
      </c>
      <c r="R313" s="31">
        <v>4097245.6690000002</v>
      </c>
      <c r="S313" s="31">
        <v>0</v>
      </c>
      <c r="T313" s="31">
        <v>4389694.2110000001</v>
      </c>
      <c r="U313" s="38">
        <v>0</v>
      </c>
      <c r="V313" s="38">
        <v>5137411.716</v>
      </c>
    </row>
    <row r="314" spans="1:22" ht="3" customHeight="1" x14ac:dyDescent="0.25">
      <c r="A314">
        <v>14104</v>
      </c>
      <c r="B314" t="s">
        <v>234</v>
      </c>
      <c r="C314" s="31">
        <v>0</v>
      </c>
      <c r="D314" s="31">
        <v>1893181.7290000001</v>
      </c>
      <c r="E314" s="31">
        <v>0</v>
      </c>
      <c r="F314" s="31">
        <v>2153505.4210000001</v>
      </c>
      <c r="G314" s="31">
        <v>0</v>
      </c>
      <c r="H314" s="31">
        <v>2319164.923</v>
      </c>
      <c r="I314" s="31">
        <v>0</v>
      </c>
      <c r="J314" s="31">
        <v>2497913.3670000001</v>
      </c>
      <c r="K314" s="31">
        <v>0</v>
      </c>
      <c r="L314" s="31">
        <v>2529957.1579999998</v>
      </c>
      <c r="M314" s="31">
        <v>0</v>
      </c>
      <c r="N314" s="31">
        <v>2836461.142</v>
      </c>
      <c r="O314" s="31">
        <v>0</v>
      </c>
      <c r="P314" s="31">
        <v>3198759.8990000002</v>
      </c>
      <c r="Q314" s="31">
        <v>0</v>
      </c>
      <c r="R314" s="31">
        <v>3472444.8280000002</v>
      </c>
      <c r="S314" s="31">
        <v>0</v>
      </c>
      <c r="T314" s="31">
        <v>3655376.9169999999</v>
      </c>
      <c r="U314" s="38">
        <v>0</v>
      </c>
      <c r="V314" s="38">
        <v>3689571.62</v>
      </c>
    </row>
    <row r="315" spans="1:22" ht="3" customHeight="1" x14ac:dyDescent="0.25">
      <c r="A315">
        <v>14105</v>
      </c>
      <c r="B315" t="s">
        <v>435</v>
      </c>
      <c r="C315" s="31">
        <v>0</v>
      </c>
      <c r="D315" s="31">
        <v>1207934.122</v>
      </c>
      <c r="E315" s="31">
        <v>0</v>
      </c>
      <c r="F315" s="31">
        <v>1278658.8219999999</v>
      </c>
      <c r="G315" s="31">
        <v>0</v>
      </c>
      <c r="H315" s="31">
        <v>1394963.3729999999</v>
      </c>
      <c r="I315" s="31">
        <v>0</v>
      </c>
      <c r="J315" s="31">
        <v>1504087.7409999999</v>
      </c>
      <c r="K315" s="31">
        <v>0</v>
      </c>
      <c r="L315" s="31">
        <v>1516703.689</v>
      </c>
      <c r="M315" s="31">
        <v>0</v>
      </c>
      <c r="N315" s="31">
        <v>1700488.219</v>
      </c>
      <c r="O315" s="31">
        <v>0</v>
      </c>
      <c r="P315" s="31">
        <v>2001825.4720000001</v>
      </c>
      <c r="Q315" s="31">
        <v>0</v>
      </c>
      <c r="R315" s="31">
        <v>2305397.398</v>
      </c>
      <c r="S315" s="31">
        <v>0</v>
      </c>
      <c r="T315" s="31">
        <v>2476501.4909999999</v>
      </c>
      <c r="U315" s="38">
        <v>0</v>
      </c>
      <c r="V315" s="38">
        <v>2511401.5830000001</v>
      </c>
    </row>
    <row r="316" spans="1:22" ht="3" customHeight="1" x14ac:dyDescent="0.25">
      <c r="A316">
        <v>14106</v>
      </c>
      <c r="B316" t="s">
        <v>317</v>
      </c>
      <c r="C316" s="31">
        <v>0</v>
      </c>
      <c r="D316" s="31">
        <v>1968114.365</v>
      </c>
      <c r="E316" s="31">
        <v>0</v>
      </c>
      <c r="F316" s="31">
        <v>2148783.909</v>
      </c>
      <c r="G316" s="31">
        <v>0</v>
      </c>
      <c r="H316" s="31">
        <v>2805965.068</v>
      </c>
      <c r="I316" s="31">
        <v>0</v>
      </c>
      <c r="J316" s="31">
        <v>3170297.7009999999</v>
      </c>
      <c r="K316" s="31">
        <v>0</v>
      </c>
      <c r="L316" s="31">
        <v>3236723.79</v>
      </c>
      <c r="M316" s="31">
        <v>0</v>
      </c>
      <c r="N316" s="31">
        <v>3629571.99</v>
      </c>
      <c r="O316" s="31">
        <v>0</v>
      </c>
      <c r="P316" s="31">
        <v>4235800.6979999999</v>
      </c>
      <c r="Q316" s="31">
        <v>0</v>
      </c>
      <c r="R316" s="31">
        <v>5089044.4919999996</v>
      </c>
      <c r="S316" s="31">
        <v>0</v>
      </c>
      <c r="T316" s="31">
        <v>5648691.3559999997</v>
      </c>
      <c r="U316" s="38">
        <v>0</v>
      </c>
      <c r="V316" s="38">
        <v>6216032.5310000004</v>
      </c>
    </row>
    <row r="317" spans="1:22" ht="3" customHeight="1" x14ac:dyDescent="0.25">
      <c r="A317">
        <v>14107</v>
      </c>
      <c r="B317" t="s">
        <v>238</v>
      </c>
      <c r="C317" s="31">
        <v>0</v>
      </c>
      <c r="D317" s="31">
        <v>1987191.943</v>
      </c>
      <c r="E317" s="31">
        <v>0</v>
      </c>
      <c r="F317" s="31">
        <v>2206707.0529999998</v>
      </c>
      <c r="G317" s="31">
        <v>0</v>
      </c>
      <c r="H317" s="31">
        <v>2366527.5789999999</v>
      </c>
      <c r="I317" s="31">
        <v>0</v>
      </c>
      <c r="J317" s="31">
        <v>2548602.2880000002</v>
      </c>
      <c r="K317" s="31">
        <v>0</v>
      </c>
      <c r="L317" s="31">
        <v>2573501.9109999998</v>
      </c>
      <c r="M317" s="31">
        <v>0</v>
      </c>
      <c r="N317" s="31">
        <v>2885281.2450000001</v>
      </c>
      <c r="O317" s="31">
        <v>0</v>
      </c>
      <c r="P317" s="31">
        <v>3334074.6579999998</v>
      </c>
      <c r="Q317" s="31">
        <v>0</v>
      </c>
      <c r="R317" s="31">
        <v>3662566.9350000001</v>
      </c>
      <c r="S317" s="31">
        <v>0</v>
      </c>
      <c r="T317" s="31">
        <v>3919044.568</v>
      </c>
      <c r="U317" s="38">
        <v>0</v>
      </c>
      <c r="V317" s="38">
        <v>4563167.7920000004</v>
      </c>
    </row>
    <row r="318" spans="1:22" ht="3" customHeight="1" x14ac:dyDescent="0.25">
      <c r="A318">
        <v>14108</v>
      </c>
      <c r="B318" t="s">
        <v>237</v>
      </c>
      <c r="C318" s="31">
        <v>0</v>
      </c>
      <c r="D318" s="31">
        <v>3796570.5610000002</v>
      </c>
      <c r="E318" s="31">
        <v>0</v>
      </c>
      <c r="F318" s="31">
        <v>4125336.3859999999</v>
      </c>
      <c r="G318" s="31">
        <v>0</v>
      </c>
      <c r="H318" s="31">
        <v>6389999.2549999999</v>
      </c>
      <c r="I318" s="31">
        <v>0</v>
      </c>
      <c r="J318" s="31">
        <v>7011918.9359999998</v>
      </c>
      <c r="K318" s="31">
        <v>0</v>
      </c>
      <c r="L318" s="31">
        <v>7114630.5389999999</v>
      </c>
      <c r="M318" s="31">
        <v>0</v>
      </c>
      <c r="N318" s="31">
        <v>7977629.25</v>
      </c>
      <c r="O318" s="31">
        <v>0</v>
      </c>
      <c r="P318" s="31">
        <v>8996605.0329999998</v>
      </c>
      <c r="Q318" s="31">
        <v>0</v>
      </c>
      <c r="R318" s="31">
        <v>9753947.5040000007</v>
      </c>
      <c r="S318" s="31">
        <v>0</v>
      </c>
      <c r="T318" s="31">
        <v>10085527.040999999</v>
      </c>
      <c r="U318" s="38">
        <v>0</v>
      </c>
      <c r="V318" s="38">
        <v>10179872.214</v>
      </c>
    </row>
    <row r="319" spans="1:22" ht="3" customHeight="1" x14ac:dyDescent="0.25">
      <c r="A319">
        <v>14201</v>
      </c>
      <c r="B319" t="s">
        <v>436</v>
      </c>
      <c r="C319" s="31">
        <v>0</v>
      </c>
      <c r="D319" s="31">
        <v>3470264.0660000001</v>
      </c>
      <c r="E319" s="31">
        <v>0</v>
      </c>
      <c r="F319" s="31">
        <v>3864798.466</v>
      </c>
      <c r="G319" s="31">
        <v>0</v>
      </c>
      <c r="H319" s="31">
        <v>4304048.71</v>
      </c>
      <c r="I319" s="31">
        <v>0</v>
      </c>
      <c r="J319" s="31">
        <v>4638981.1619999995</v>
      </c>
      <c r="K319" s="31">
        <v>0</v>
      </c>
      <c r="L319" s="31">
        <v>4677892.0379999997</v>
      </c>
      <c r="M319" s="31">
        <v>0</v>
      </c>
      <c r="N319" s="31">
        <v>5244617.8600000003</v>
      </c>
      <c r="O319" s="31">
        <v>0</v>
      </c>
      <c r="P319" s="31">
        <v>5914509.1519999998</v>
      </c>
      <c r="Q319" s="31">
        <v>0</v>
      </c>
      <c r="R319" s="31">
        <v>6412398.4179999996</v>
      </c>
      <c r="S319" s="31">
        <v>0</v>
      </c>
      <c r="T319" s="31">
        <v>6717124.5120000001</v>
      </c>
      <c r="U319" s="38">
        <v>0</v>
      </c>
      <c r="V319" s="38">
        <v>7507721.0410000002</v>
      </c>
    </row>
    <row r="320" spans="1:22" ht="3" customHeight="1" x14ac:dyDescent="0.25">
      <c r="A320">
        <v>14202</v>
      </c>
      <c r="B320" t="s">
        <v>235</v>
      </c>
      <c r="C320" s="31">
        <v>0</v>
      </c>
      <c r="D320" s="31">
        <v>1900024.0719999999</v>
      </c>
      <c r="E320" s="31">
        <v>0</v>
      </c>
      <c r="F320" s="31">
        <v>2001874.5859999999</v>
      </c>
      <c r="G320" s="31">
        <v>0</v>
      </c>
      <c r="H320" s="31">
        <v>2150227.219</v>
      </c>
      <c r="I320" s="31">
        <v>0</v>
      </c>
      <c r="J320" s="31">
        <v>2300829.267</v>
      </c>
      <c r="K320" s="31">
        <v>0</v>
      </c>
      <c r="L320" s="31">
        <v>2403659.585</v>
      </c>
      <c r="M320" s="31">
        <v>0</v>
      </c>
      <c r="N320" s="31">
        <v>2696624.59</v>
      </c>
      <c r="O320" s="31">
        <v>0</v>
      </c>
      <c r="P320" s="31">
        <v>3041062.9139999999</v>
      </c>
      <c r="Q320" s="31">
        <v>0</v>
      </c>
      <c r="R320" s="31">
        <v>3297062.1039999998</v>
      </c>
      <c r="S320" s="31">
        <v>0</v>
      </c>
      <c r="T320" s="31">
        <v>3409143.594</v>
      </c>
      <c r="U320" s="38">
        <v>0</v>
      </c>
      <c r="V320" s="38">
        <v>3441034.9</v>
      </c>
    </row>
    <row r="321" spans="1:22" ht="3" customHeight="1" x14ac:dyDescent="0.25">
      <c r="A321">
        <v>14203</v>
      </c>
      <c r="B321" t="s">
        <v>239</v>
      </c>
      <c r="C321" s="31">
        <v>0</v>
      </c>
      <c r="D321" s="31">
        <v>1619754.281</v>
      </c>
      <c r="E321" s="31">
        <v>0</v>
      </c>
      <c r="F321" s="31">
        <v>1793629.943</v>
      </c>
      <c r="G321" s="31">
        <v>0</v>
      </c>
      <c r="H321" s="31">
        <v>1926997.4990000001</v>
      </c>
      <c r="I321" s="31">
        <v>0</v>
      </c>
      <c r="J321" s="31">
        <v>2061964.8570000001</v>
      </c>
      <c r="K321" s="31">
        <v>0</v>
      </c>
      <c r="L321" s="31">
        <v>2079259.858</v>
      </c>
      <c r="M321" s="31">
        <v>0</v>
      </c>
      <c r="N321" s="31">
        <v>2331162.5019999999</v>
      </c>
      <c r="O321" s="31">
        <v>0</v>
      </c>
      <c r="P321" s="31">
        <v>2628920.0959999999</v>
      </c>
      <c r="Q321" s="31">
        <v>0</v>
      </c>
      <c r="R321" s="31">
        <v>2850224.6540000001</v>
      </c>
      <c r="S321" s="31">
        <v>0</v>
      </c>
      <c r="T321" s="31">
        <v>2947116.9309999999</v>
      </c>
      <c r="U321" s="38">
        <v>0</v>
      </c>
      <c r="V321" s="38">
        <v>2974686.27</v>
      </c>
    </row>
    <row r="322" spans="1:22" ht="3" customHeight="1" x14ac:dyDescent="0.25">
      <c r="A322">
        <v>14204</v>
      </c>
      <c r="B322" t="s">
        <v>437</v>
      </c>
      <c r="C322" s="31">
        <v>0</v>
      </c>
      <c r="D322" s="31">
        <v>2726167.923</v>
      </c>
      <c r="E322" s="31">
        <v>0</v>
      </c>
      <c r="F322" s="31">
        <v>2990978.49</v>
      </c>
      <c r="G322" s="31">
        <v>0</v>
      </c>
      <c r="H322" s="31">
        <v>3221070.9389999998</v>
      </c>
      <c r="I322" s="31">
        <v>0</v>
      </c>
      <c r="J322" s="31">
        <v>3446676.1129999999</v>
      </c>
      <c r="K322" s="31">
        <v>0</v>
      </c>
      <c r="L322" s="31">
        <v>3532743.6690000002</v>
      </c>
      <c r="M322" s="31">
        <v>0</v>
      </c>
      <c r="N322" s="31">
        <v>3962026.0669999998</v>
      </c>
      <c r="O322" s="31">
        <v>0</v>
      </c>
      <c r="P322" s="31">
        <v>4638404.4139999999</v>
      </c>
      <c r="Q322" s="31">
        <v>0</v>
      </c>
      <c r="R322" s="31">
        <v>5086090.0449999999</v>
      </c>
      <c r="S322" s="31">
        <v>0</v>
      </c>
      <c r="T322" s="31">
        <v>6234059.9009999996</v>
      </c>
      <c r="U322" s="38">
        <v>0</v>
      </c>
      <c r="V322" s="38">
        <v>7048245.7300000004</v>
      </c>
    </row>
    <row r="323" spans="1:22" ht="3" customHeight="1" x14ac:dyDescent="0.25">
      <c r="A323">
        <v>15101</v>
      </c>
      <c r="B323" t="s">
        <v>52</v>
      </c>
      <c r="C323" s="31">
        <v>0</v>
      </c>
      <c r="D323" s="31">
        <v>13662422.284</v>
      </c>
      <c r="E323" s="31">
        <v>0</v>
      </c>
      <c r="F323" s="31">
        <v>15844901.536</v>
      </c>
      <c r="G323" s="31">
        <v>0</v>
      </c>
      <c r="H323" s="31">
        <v>17314851.721000001</v>
      </c>
      <c r="I323" s="31">
        <v>0</v>
      </c>
      <c r="J323" s="31">
        <v>18527588.366</v>
      </c>
      <c r="K323" s="31">
        <v>0</v>
      </c>
      <c r="L323" s="31">
        <v>18699763.739</v>
      </c>
      <c r="M323" s="31">
        <v>0</v>
      </c>
      <c r="N323" s="31">
        <v>20965554.098999999</v>
      </c>
      <c r="O323" s="31">
        <v>0</v>
      </c>
      <c r="P323" s="31">
        <v>24855238.822999999</v>
      </c>
      <c r="Q323" s="31">
        <v>0</v>
      </c>
      <c r="R323" s="31">
        <v>28511672.500999998</v>
      </c>
      <c r="S323" s="31">
        <v>0</v>
      </c>
      <c r="T323" s="31">
        <v>30787949.909000002</v>
      </c>
      <c r="U323" s="38">
        <v>0</v>
      </c>
      <c r="V323" s="38">
        <v>31075956.149</v>
      </c>
    </row>
    <row r="324" spans="1:22" ht="3" customHeight="1" x14ac:dyDescent="0.25">
      <c r="A324">
        <v>15102</v>
      </c>
      <c r="B324" t="s">
        <v>53</v>
      </c>
      <c r="C324" s="31">
        <v>0</v>
      </c>
      <c r="D324" s="31">
        <v>1140481.7930000001</v>
      </c>
      <c r="E324" s="31">
        <v>0</v>
      </c>
      <c r="F324" s="31">
        <v>1201617.8359999999</v>
      </c>
      <c r="G324" s="31">
        <v>0</v>
      </c>
      <c r="H324" s="31">
        <v>1280716.932</v>
      </c>
      <c r="I324" s="31">
        <v>0</v>
      </c>
      <c r="J324" s="31">
        <v>1373271.6910000001</v>
      </c>
      <c r="K324" s="31">
        <v>0</v>
      </c>
      <c r="L324" s="31">
        <v>1385054.777</v>
      </c>
      <c r="M324" s="31">
        <v>0</v>
      </c>
      <c r="N324" s="31">
        <v>1552857.5220000001</v>
      </c>
      <c r="O324" s="31">
        <v>0</v>
      </c>
      <c r="P324" s="31">
        <v>1786145.936</v>
      </c>
      <c r="Q324" s="31">
        <v>0</v>
      </c>
      <c r="R324" s="31">
        <v>2035772.5989999999</v>
      </c>
      <c r="S324" s="31">
        <v>0</v>
      </c>
      <c r="T324" s="31">
        <v>2212077.5290000001</v>
      </c>
      <c r="U324" s="38">
        <v>0</v>
      </c>
      <c r="V324" s="38">
        <v>2311196.415</v>
      </c>
    </row>
    <row r="325" spans="1:22" ht="3" customHeight="1" x14ac:dyDescent="0.25">
      <c r="A325">
        <v>15201</v>
      </c>
      <c r="B325" t="s">
        <v>61</v>
      </c>
      <c r="C325" s="31">
        <v>0</v>
      </c>
      <c r="D325" s="31">
        <v>1616545.8559999999</v>
      </c>
      <c r="E325" s="31">
        <v>0</v>
      </c>
      <c r="F325" s="31">
        <v>1703200.513</v>
      </c>
      <c r="G325" s="31">
        <v>0</v>
      </c>
      <c r="H325" s="31">
        <v>1828916.227</v>
      </c>
      <c r="I325" s="31">
        <v>0</v>
      </c>
      <c r="J325" s="31">
        <v>1957013.7709999999</v>
      </c>
      <c r="K325" s="31">
        <v>0</v>
      </c>
      <c r="L325" s="31">
        <v>1973428.764</v>
      </c>
      <c r="M325" s="31">
        <v>0</v>
      </c>
      <c r="N325" s="31">
        <v>2212509.0660000001</v>
      </c>
      <c r="O325" s="31">
        <v>0</v>
      </c>
      <c r="P325" s="31">
        <v>2495111.335</v>
      </c>
      <c r="Q325" s="31">
        <v>0</v>
      </c>
      <c r="R325" s="31">
        <v>2775045.4249999998</v>
      </c>
      <c r="S325" s="31">
        <v>0</v>
      </c>
      <c r="T325" s="31">
        <v>3000021.0329999998</v>
      </c>
      <c r="U325" s="38">
        <v>0</v>
      </c>
      <c r="V325" s="38">
        <v>3257257.696</v>
      </c>
    </row>
    <row r="326" spans="1:22" ht="3" customHeight="1" x14ac:dyDescent="0.25">
      <c r="A326">
        <v>15202</v>
      </c>
      <c r="B326" t="s">
        <v>62</v>
      </c>
      <c r="C326" s="31">
        <v>0</v>
      </c>
      <c r="D326" s="31">
        <v>961935.34400000004</v>
      </c>
      <c r="E326" s="31">
        <v>0</v>
      </c>
      <c r="F326" s="31">
        <v>1013499.948</v>
      </c>
      <c r="G326" s="31">
        <v>0</v>
      </c>
      <c r="H326" s="31">
        <v>1090894.8319999999</v>
      </c>
      <c r="I326" s="31">
        <v>0</v>
      </c>
      <c r="J326" s="31">
        <v>1167302.071</v>
      </c>
      <c r="K326" s="31">
        <v>0</v>
      </c>
      <c r="L326" s="31">
        <v>1177092.223</v>
      </c>
      <c r="M326" s="31">
        <v>0</v>
      </c>
      <c r="N326" s="31">
        <v>1319696.209</v>
      </c>
      <c r="O326" s="31">
        <v>0</v>
      </c>
      <c r="P326" s="31">
        <v>1518789.9509999999</v>
      </c>
      <c r="Q326" s="31">
        <v>0</v>
      </c>
      <c r="R326" s="31">
        <v>1725273.4410000001</v>
      </c>
      <c r="S326" s="31">
        <v>0</v>
      </c>
      <c r="T326" s="31">
        <v>1867695.62</v>
      </c>
      <c r="U326" s="38">
        <v>0</v>
      </c>
      <c r="V326" s="38">
        <v>1986825.6939999999</v>
      </c>
    </row>
    <row r="327" spans="1:22" ht="3" customHeight="1" x14ac:dyDescent="0.25">
      <c r="A327">
        <v>16101</v>
      </c>
      <c r="B327" t="s">
        <v>401</v>
      </c>
      <c r="C327" s="31">
        <v>0</v>
      </c>
      <c r="D327" s="31">
        <v>11808607.788000001</v>
      </c>
      <c r="E327" s="31">
        <v>0</v>
      </c>
      <c r="F327" s="31">
        <v>13432876.228</v>
      </c>
      <c r="G327" s="31">
        <v>0</v>
      </c>
      <c r="H327" s="31">
        <v>14315448.296</v>
      </c>
      <c r="I327" s="31">
        <v>0</v>
      </c>
      <c r="J327" s="31">
        <v>15318105.523</v>
      </c>
      <c r="K327" s="31">
        <v>0</v>
      </c>
      <c r="L327" s="31">
        <v>15446589.854</v>
      </c>
      <c r="M327" s="31">
        <v>0</v>
      </c>
      <c r="N327" s="31">
        <v>17317942.888</v>
      </c>
      <c r="O327" s="31">
        <v>0</v>
      </c>
      <c r="P327" s="31">
        <v>19783805.835000001</v>
      </c>
      <c r="Q327" s="31">
        <v>0</v>
      </c>
      <c r="R327" s="31">
        <v>22563101.807999998</v>
      </c>
      <c r="S327" s="31">
        <v>0</v>
      </c>
      <c r="T327" s="31">
        <v>23800836.857000001</v>
      </c>
      <c r="U327" s="38">
        <v>0</v>
      </c>
      <c r="V327" s="38">
        <v>24660015.822999999</v>
      </c>
    </row>
    <row r="328" spans="1:22" ht="3" customHeight="1" x14ac:dyDescent="0.25">
      <c r="A328">
        <v>16102</v>
      </c>
      <c r="B328" t="s">
        <v>177</v>
      </c>
      <c r="C328" s="31">
        <v>0</v>
      </c>
      <c r="D328" s="31">
        <v>2281703.8149999999</v>
      </c>
      <c r="E328" s="31">
        <v>0</v>
      </c>
      <c r="F328" s="31">
        <v>2534503.7510000002</v>
      </c>
      <c r="G328" s="31">
        <v>0</v>
      </c>
      <c r="H328" s="31">
        <v>2706547.4849999999</v>
      </c>
      <c r="I328" s="31">
        <v>0</v>
      </c>
      <c r="J328" s="31">
        <v>2934442.7429999998</v>
      </c>
      <c r="K328" s="31">
        <v>0</v>
      </c>
      <c r="L328" s="31">
        <v>2971530.318</v>
      </c>
      <c r="M328" s="31">
        <v>0</v>
      </c>
      <c r="N328" s="31">
        <v>3331686.5419999999</v>
      </c>
      <c r="O328" s="31">
        <v>0</v>
      </c>
      <c r="P328" s="31">
        <v>3931821.8679999998</v>
      </c>
      <c r="Q328" s="31">
        <v>0</v>
      </c>
      <c r="R328" s="31">
        <v>4541149.6490000002</v>
      </c>
      <c r="S328" s="31">
        <v>0</v>
      </c>
      <c r="T328" s="31">
        <v>4970509.9110000003</v>
      </c>
      <c r="U328" s="38">
        <v>0</v>
      </c>
      <c r="V328" s="38">
        <v>6035667.9220000003</v>
      </c>
    </row>
    <row r="329" spans="1:22" ht="3" customHeight="1" x14ac:dyDescent="0.25">
      <c r="A329">
        <v>16103</v>
      </c>
      <c r="B329" t="s">
        <v>402</v>
      </c>
      <c r="C329" s="31">
        <v>0</v>
      </c>
      <c r="D329" s="31">
        <v>2464201.6570000001</v>
      </c>
      <c r="E329" s="31">
        <v>0</v>
      </c>
      <c r="F329" s="31">
        <v>2607910.0950000002</v>
      </c>
      <c r="G329" s="31">
        <v>0</v>
      </c>
      <c r="H329" s="31">
        <v>2818622.3169999998</v>
      </c>
      <c r="I329" s="31">
        <v>0</v>
      </c>
      <c r="J329" s="31">
        <v>3069702.889</v>
      </c>
      <c r="K329" s="31">
        <v>0</v>
      </c>
      <c r="L329" s="31">
        <v>3136432.11</v>
      </c>
      <c r="M329" s="31">
        <v>0</v>
      </c>
      <c r="N329" s="31">
        <v>3517276.2579999999</v>
      </c>
      <c r="O329" s="31">
        <v>0</v>
      </c>
      <c r="P329" s="31">
        <v>4698342.26</v>
      </c>
      <c r="Q329" s="31">
        <v>0</v>
      </c>
      <c r="R329" s="31">
        <v>5518831.1469999999</v>
      </c>
      <c r="S329" s="31">
        <v>0</v>
      </c>
      <c r="T329" s="31">
        <v>5810995.6909999996</v>
      </c>
      <c r="U329" s="38">
        <v>0</v>
      </c>
      <c r="V329" s="38">
        <v>6392111.0769999996</v>
      </c>
    </row>
    <row r="330" spans="1:22" ht="3" customHeight="1" x14ac:dyDescent="0.25">
      <c r="A330">
        <v>16104</v>
      </c>
      <c r="B330" t="s">
        <v>181</v>
      </c>
      <c r="C330" s="31">
        <v>0</v>
      </c>
      <c r="D330" s="31">
        <v>1954384.906</v>
      </c>
      <c r="E330" s="31">
        <v>0</v>
      </c>
      <c r="F330" s="31">
        <v>2059149.7509999999</v>
      </c>
      <c r="G330" s="31">
        <v>0</v>
      </c>
      <c r="H330" s="31">
        <v>2238495.227</v>
      </c>
      <c r="I330" s="31">
        <v>0</v>
      </c>
      <c r="J330" s="31">
        <v>2424161.8629999999</v>
      </c>
      <c r="K330" s="31">
        <v>0</v>
      </c>
      <c r="L330" s="31">
        <v>2453800.7960000001</v>
      </c>
      <c r="M330" s="31">
        <v>0</v>
      </c>
      <c r="N330" s="31">
        <v>2751177.87</v>
      </c>
      <c r="O330" s="31">
        <v>0</v>
      </c>
      <c r="P330" s="31">
        <v>3257257.4169999999</v>
      </c>
      <c r="Q330" s="31">
        <v>0</v>
      </c>
      <c r="R330" s="31">
        <v>3578994.702</v>
      </c>
      <c r="S330" s="31">
        <v>0</v>
      </c>
      <c r="T330" s="31">
        <v>3751726.5819999999</v>
      </c>
      <c r="U330" s="38">
        <v>0</v>
      </c>
      <c r="V330" s="38">
        <v>4264939.7910000002</v>
      </c>
    </row>
    <row r="331" spans="1:22" ht="3" customHeight="1" x14ac:dyDescent="0.25">
      <c r="A331">
        <v>16105</v>
      </c>
      <c r="B331" t="s">
        <v>180</v>
      </c>
      <c r="C331" s="31">
        <v>0</v>
      </c>
      <c r="D331" s="31">
        <v>1400780.453</v>
      </c>
      <c r="E331" s="31">
        <v>0</v>
      </c>
      <c r="F331" s="31">
        <v>1475868.7209999999</v>
      </c>
      <c r="G331" s="31">
        <v>0</v>
      </c>
      <c r="H331" s="31">
        <v>1593086.264</v>
      </c>
      <c r="I331" s="31">
        <v>0</v>
      </c>
      <c r="J331" s="31">
        <v>1704666.142</v>
      </c>
      <c r="K331" s="31">
        <v>0</v>
      </c>
      <c r="L331" s="31">
        <v>1718964.4169999999</v>
      </c>
      <c r="M331" s="31">
        <v>0</v>
      </c>
      <c r="N331" s="31">
        <v>1927215.6540000001</v>
      </c>
      <c r="O331" s="31">
        <v>0</v>
      </c>
      <c r="P331" s="31">
        <v>2198327.0010000002</v>
      </c>
      <c r="Q331" s="31">
        <v>0</v>
      </c>
      <c r="R331" s="31">
        <v>2415956.625</v>
      </c>
      <c r="S331" s="31">
        <v>0</v>
      </c>
      <c r="T331" s="31">
        <v>2585098.7489999998</v>
      </c>
      <c r="U331" s="38">
        <v>0</v>
      </c>
      <c r="V331" s="38">
        <v>2744674.0079999999</v>
      </c>
    </row>
    <row r="332" spans="1:22" ht="3" customHeight="1" x14ac:dyDescent="0.25">
      <c r="A332">
        <v>16106</v>
      </c>
      <c r="B332" t="s">
        <v>169</v>
      </c>
      <c r="C332" s="31">
        <v>0</v>
      </c>
      <c r="D332" s="31">
        <v>1728712.176</v>
      </c>
      <c r="E332" s="31">
        <v>0</v>
      </c>
      <c r="F332" s="31">
        <v>1821379.4240000001</v>
      </c>
      <c r="G332" s="31">
        <v>0</v>
      </c>
      <c r="H332" s="31">
        <v>1970798.0419999999</v>
      </c>
      <c r="I332" s="31">
        <v>0</v>
      </c>
      <c r="J332" s="31">
        <v>2108833.4249999998</v>
      </c>
      <c r="K332" s="31">
        <v>0</v>
      </c>
      <c r="L332" s="31">
        <v>2126521.3769999999</v>
      </c>
      <c r="M332" s="31">
        <v>0</v>
      </c>
      <c r="N332" s="31">
        <v>2384148.1630000002</v>
      </c>
      <c r="O332" s="31">
        <v>0</v>
      </c>
      <c r="P332" s="31">
        <v>2688673.4369999999</v>
      </c>
      <c r="Q332" s="31">
        <v>0</v>
      </c>
      <c r="R332" s="31">
        <v>2915008.0529999998</v>
      </c>
      <c r="S332" s="31">
        <v>0</v>
      </c>
      <c r="T332" s="31">
        <v>3014101.5240000002</v>
      </c>
      <c r="U332" s="38">
        <v>0</v>
      </c>
      <c r="V332" s="38">
        <v>3060546.202</v>
      </c>
    </row>
    <row r="333" spans="1:22" ht="3" customHeight="1" x14ac:dyDescent="0.25">
      <c r="A333">
        <v>16107</v>
      </c>
      <c r="B333" t="s">
        <v>404</v>
      </c>
      <c r="C333" s="31">
        <v>0</v>
      </c>
      <c r="D333" s="31">
        <v>3400544.4380000001</v>
      </c>
      <c r="E333" s="31">
        <v>0</v>
      </c>
      <c r="F333" s="31">
        <v>3781484.3620000002</v>
      </c>
      <c r="G333" s="31">
        <v>0</v>
      </c>
      <c r="H333" s="31">
        <v>5011547.6500000004</v>
      </c>
      <c r="I333" s="31">
        <v>0</v>
      </c>
      <c r="J333" s="31">
        <v>5879988.3530000001</v>
      </c>
      <c r="K333" s="31">
        <v>0</v>
      </c>
      <c r="L333" s="31">
        <v>6073190.2769999998</v>
      </c>
      <c r="M333" s="31">
        <v>0</v>
      </c>
      <c r="N333" s="31">
        <v>6812485.96</v>
      </c>
      <c r="O333" s="31">
        <v>0</v>
      </c>
      <c r="P333" s="31">
        <v>8159659.2790000001</v>
      </c>
      <c r="Q333" s="31">
        <v>0</v>
      </c>
      <c r="R333" s="31">
        <v>9742674.3729999997</v>
      </c>
      <c r="S333" s="31">
        <v>0</v>
      </c>
      <c r="T333" s="31">
        <v>11541916.108999999</v>
      </c>
      <c r="U333" s="38">
        <v>0</v>
      </c>
      <c r="V333" s="38">
        <v>12266675.546</v>
      </c>
    </row>
    <row r="334" spans="1:22" ht="3" customHeight="1" x14ac:dyDescent="0.25">
      <c r="A334">
        <v>16108</v>
      </c>
      <c r="B334" t="s">
        <v>178</v>
      </c>
      <c r="C334" s="31">
        <v>0</v>
      </c>
      <c r="D334" s="31">
        <v>2396567.9389999998</v>
      </c>
      <c r="E334" s="31">
        <v>0</v>
      </c>
      <c r="F334" s="31">
        <v>2525036.4739999999</v>
      </c>
      <c r="G334" s="31">
        <v>0</v>
      </c>
      <c r="H334" s="31">
        <v>2733110.1979999999</v>
      </c>
      <c r="I334" s="31">
        <v>0</v>
      </c>
      <c r="J334" s="31">
        <v>2953907.3429999999</v>
      </c>
      <c r="K334" s="31">
        <v>0</v>
      </c>
      <c r="L334" s="31">
        <v>2989131.821</v>
      </c>
      <c r="M334" s="31">
        <v>0</v>
      </c>
      <c r="N334" s="31">
        <v>3351668.2519999999</v>
      </c>
      <c r="O334" s="31">
        <v>0</v>
      </c>
      <c r="P334" s="31">
        <v>4155521.4330000002</v>
      </c>
      <c r="Q334" s="31">
        <v>0</v>
      </c>
      <c r="R334" s="31">
        <v>4648293.1809999999</v>
      </c>
      <c r="S334" s="31">
        <v>0</v>
      </c>
      <c r="T334" s="31">
        <v>4937355.5980000002</v>
      </c>
      <c r="U334" s="38">
        <v>0</v>
      </c>
      <c r="V334" s="38">
        <v>5894578.5930000003</v>
      </c>
    </row>
    <row r="335" spans="1:22" ht="3" customHeight="1" x14ac:dyDescent="0.25">
      <c r="A335">
        <v>16109</v>
      </c>
      <c r="B335" t="s">
        <v>179</v>
      </c>
      <c r="C335" s="31">
        <v>0</v>
      </c>
      <c r="D335" s="31">
        <v>2076494.514</v>
      </c>
      <c r="E335" s="31">
        <v>0</v>
      </c>
      <c r="F335" s="31">
        <v>2187805.9509999999</v>
      </c>
      <c r="G335" s="31">
        <v>0</v>
      </c>
      <c r="H335" s="31">
        <v>2911187.2540000002</v>
      </c>
      <c r="I335" s="31">
        <v>0</v>
      </c>
      <c r="J335" s="31">
        <v>3414268.2969999998</v>
      </c>
      <c r="K335" s="31">
        <v>0</v>
      </c>
      <c r="L335" s="31">
        <v>3526738.4029999999</v>
      </c>
      <c r="M335" s="31">
        <v>0</v>
      </c>
      <c r="N335" s="31">
        <v>3956112.1660000002</v>
      </c>
      <c r="O335" s="31">
        <v>0</v>
      </c>
      <c r="P335" s="31">
        <v>4979368.2180000003</v>
      </c>
      <c r="Q335" s="31">
        <v>0</v>
      </c>
      <c r="R335" s="31">
        <v>5964020.6339999996</v>
      </c>
      <c r="S335" s="31">
        <v>0</v>
      </c>
      <c r="T335" s="31">
        <v>6844041.3789999997</v>
      </c>
      <c r="U335" s="38">
        <v>0</v>
      </c>
      <c r="V335" s="38">
        <v>6908063.8990000002</v>
      </c>
    </row>
    <row r="336" spans="1:22" ht="3" customHeight="1" x14ac:dyDescent="0.25">
      <c r="A336">
        <v>16201</v>
      </c>
      <c r="B336" t="s">
        <v>171</v>
      </c>
      <c r="C336" s="31">
        <v>0</v>
      </c>
      <c r="D336" s="31">
        <v>1962747.862</v>
      </c>
      <c r="E336" s="31">
        <v>0</v>
      </c>
      <c r="F336" s="31">
        <v>2092294.618</v>
      </c>
      <c r="G336" s="31">
        <v>0</v>
      </c>
      <c r="H336" s="31">
        <v>2282396.111</v>
      </c>
      <c r="I336" s="31">
        <v>0</v>
      </c>
      <c r="J336" s="31">
        <v>2510678.5279999999</v>
      </c>
      <c r="K336" s="31">
        <v>0</v>
      </c>
      <c r="L336" s="31">
        <v>2553033.3790000002</v>
      </c>
      <c r="M336" s="31">
        <v>0</v>
      </c>
      <c r="N336" s="31">
        <v>2862684.8139999998</v>
      </c>
      <c r="O336" s="31">
        <v>0</v>
      </c>
      <c r="P336" s="31">
        <v>3470172.79</v>
      </c>
      <c r="Q336" s="31">
        <v>0</v>
      </c>
      <c r="R336" s="31">
        <v>3961719.5589999999</v>
      </c>
      <c r="S336" s="31">
        <v>0</v>
      </c>
      <c r="T336" s="31">
        <v>4304588.5449999999</v>
      </c>
      <c r="U336" s="38">
        <v>0</v>
      </c>
      <c r="V336" s="38">
        <v>4672878.909</v>
      </c>
    </row>
    <row r="337" spans="1:22" ht="3" customHeight="1" x14ac:dyDescent="0.25">
      <c r="A337">
        <v>16202</v>
      </c>
      <c r="B337" t="s">
        <v>174</v>
      </c>
      <c r="C337" s="31">
        <v>0</v>
      </c>
      <c r="D337" s="31">
        <v>1724660.19</v>
      </c>
      <c r="E337" s="31">
        <v>0</v>
      </c>
      <c r="F337" s="31">
        <v>1829928.175</v>
      </c>
      <c r="G337" s="31">
        <v>0</v>
      </c>
      <c r="H337" s="31">
        <v>2091411.649</v>
      </c>
      <c r="I337" s="31">
        <v>0</v>
      </c>
      <c r="J337" s="31">
        <v>2325566.0830000001</v>
      </c>
      <c r="K337" s="31">
        <v>0</v>
      </c>
      <c r="L337" s="31">
        <v>2371070.5279999999</v>
      </c>
      <c r="M337" s="31">
        <v>0</v>
      </c>
      <c r="N337" s="31">
        <v>2658896.7799999998</v>
      </c>
      <c r="O337" s="31">
        <v>0</v>
      </c>
      <c r="P337" s="31">
        <v>3111503.1359999999</v>
      </c>
      <c r="Q337" s="31">
        <v>0</v>
      </c>
      <c r="R337" s="31">
        <v>3475905.75</v>
      </c>
      <c r="S337" s="31">
        <v>0</v>
      </c>
      <c r="T337" s="31">
        <v>3813920.159</v>
      </c>
      <c r="U337" s="38">
        <v>0</v>
      </c>
      <c r="V337" s="38">
        <v>4626816.4910000004</v>
      </c>
    </row>
    <row r="338" spans="1:22" ht="3" customHeight="1" x14ac:dyDescent="0.25">
      <c r="A338">
        <v>16203</v>
      </c>
      <c r="B338" t="s">
        <v>182</v>
      </c>
      <c r="C338" s="31">
        <v>0</v>
      </c>
      <c r="D338" s="31">
        <v>2566485.1329999999</v>
      </c>
      <c r="E338" s="31">
        <v>0</v>
      </c>
      <c r="F338" s="31">
        <v>2948031.452</v>
      </c>
      <c r="G338" s="31">
        <v>0</v>
      </c>
      <c r="H338" s="31">
        <v>3165949.179</v>
      </c>
      <c r="I338" s="31">
        <v>0</v>
      </c>
      <c r="J338" s="31">
        <v>3398676.2570000002</v>
      </c>
      <c r="K338" s="31">
        <v>0</v>
      </c>
      <c r="L338" s="31">
        <v>3427183.466</v>
      </c>
      <c r="M338" s="31">
        <v>0</v>
      </c>
      <c r="N338" s="31">
        <v>3842385.0320000001</v>
      </c>
      <c r="O338" s="31">
        <v>0</v>
      </c>
      <c r="P338" s="31">
        <v>4344790.2810000004</v>
      </c>
      <c r="Q338" s="31">
        <v>0</v>
      </c>
      <c r="R338" s="31">
        <v>4772378.7980000004</v>
      </c>
      <c r="S338" s="31">
        <v>0</v>
      </c>
      <c r="T338" s="31">
        <v>5131595.5930000003</v>
      </c>
      <c r="U338" s="38">
        <v>0</v>
      </c>
      <c r="V338" s="38">
        <v>5412906.5279999999</v>
      </c>
    </row>
    <row r="339" spans="1:22" ht="3" customHeight="1" x14ac:dyDescent="0.25">
      <c r="A339">
        <v>16204</v>
      </c>
      <c r="B339" t="s">
        <v>172</v>
      </c>
      <c r="C339" s="31">
        <v>0</v>
      </c>
      <c r="D339" s="31">
        <v>1543272.398</v>
      </c>
      <c r="E339" s="31">
        <v>0</v>
      </c>
      <c r="F339" s="31">
        <v>1648545.0490000001</v>
      </c>
      <c r="G339" s="31">
        <v>0</v>
      </c>
      <c r="H339" s="31">
        <v>1772437.2830000001</v>
      </c>
      <c r="I339" s="31">
        <v>0</v>
      </c>
      <c r="J339" s="31">
        <v>1902322.192</v>
      </c>
      <c r="K339" s="31">
        <v>0</v>
      </c>
      <c r="L339" s="31">
        <v>1922391.0120000001</v>
      </c>
      <c r="M339" s="31">
        <v>0</v>
      </c>
      <c r="N339" s="31">
        <v>2155346.4470000002</v>
      </c>
      <c r="O339" s="31">
        <v>0</v>
      </c>
      <c r="P339" s="31">
        <v>2521972.2039999999</v>
      </c>
      <c r="Q339" s="31">
        <v>0</v>
      </c>
      <c r="R339" s="31">
        <v>2852027.8539999998</v>
      </c>
      <c r="S339" s="31">
        <v>0</v>
      </c>
      <c r="T339" s="31">
        <v>3088644.8149999999</v>
      </c>
      <c r="U339" s="38">
        <v>0</v>
      </c>
      <c r="V339" s="38">
        <v>3461987.1669999999</v>
      </c>
    </row>
    <row r="340" spans="1:22" ht="3" customHeight="1" x14ac:dyDescent="0.25">
      <c r="A340">
        <v>16205</v>
      </c>
      <c r="B340" t="s">
        <v>173</v>
      </c>
      <c r="C340" s="31">
        <v>0</v>
      </c>
      <c r="D340" s="31">
        <v>1366913.0020000001</v>
      </c>
      <c r="E340" s="31">
        <v>0</v>
      </c>
      <c r="F340" s="31">
        <v>1461124.31</v>
      </c>
      <c r="G340" s="31">
        <v>0</v>
      </c>
      <c r="H340" s="31">
        <v>1660129.031</v>
      </c>
      <c r="I340" s="31">
        <v>0</v>
      </c>
      <c r="J340" s="31">
        <v>1804576.061</v>
      </c>
      <c r="K340" s="31">
        <v>0</v>
      </c>
      <c r="L340" s="31">
        <v>1825253.297</v>
      </c>
      <c r="M340" s="31">
        <v>0</v>
      </c>
      <c r="N340" s="31">
        <v>2046445.692</v>
      </c>
      <c r="O340" s="31">
        <v>0</v>
      </c>
      <c r="P340" s="31">
        <v>2407708.682</v>
      </c>
      <c r="Q340" s="31">
        <v>0</v>
      </c>
      <c r="R340" s="31">
        <v>2741628.6869999999</v>
      </c>
      <c r="S340" s="31">
        <v>0</v>
      </c>
      <c r="T340" s="31">
        <v>2960134.014</v>
      </c>
      <c r="U340" s="38">
        <v>0</v>
      </c>
      <c r="V340" s="38">
        <v>3300533.088</v>
      </c>
    </row>
    <row r="341" spans="1:22" ht="3" customHeight="1" x14ac:dyDescent="0.25">
      <c r="A341">
        <v>16206</v>
      </c>
      <c r="B341" t="s">
        <v>33</v>
      </c>
      <c r="C341" s="31">
        <v>0</v>
      </c>
      <c r="D341" s="31">
        <v>1350437.193</v>
      </c>
      <c r="E341" s="31">
        <v>0</v>
      </c>
      <c r="F341" s="31">
        <v>1422826.899</v>
      </c>
      <c r="G341" s="31">
        <v>0</v>
      </c>
      <c r="H341" s="31">
        <v>1523370.503</v>
      </c>
      <c r="I341" s="31">
        <v>0</v>
      </c>
      <c r="J341" s="31">
        <v>1643343.2520000001</v>
      </c>
      <c r="K341" s="31">
        <v>0</v>
      </c>
      <c r="L341" s="31">
        <v>1657842.8370000001</v>
      </c>
      <c r="M341" s="31">
        <v>0</v>
      </c>
      <c r="N341" s="31">
        <v>1858712.085</v>
      </c>
      <c r="O341" s="31">
        <v>0</v>
      </c>
      <c r="P341" s="31">
        <v>2148390.3110000002</v>
      </c>
      <c r="Q341" s="31">
        <v>0</v>
      </c>
      <c r="R341" s="31">
        <v>2463248.3539999998</v>
      </c>
      <c r="S341" s="31">
        <v>0</v>
      </c>
      <c r="T341" s="31">
        <v>2692289.3220000002</v>
      </c>
      <c r="U341" s="38">
        <v>0</v>
      </c>
      <c r="V341" s="38">
        <v>2864696.764</v>
      </c>
    </row>
    <row r="342" spans="1:22" ht="3" customHeight="1" x14ac:dyDescent="0.25">
      <c r="A342">
        <v>16207</v>
      </c>
      <c r="B342" t="s">
        <v>175</v>
      </c>
      <c r="C342" s="31">
        <v>0</v>
      </c>
      <c r="D342" s="31">
        <v>1375280.1910000001</v>
      </c>
      <c r="E342" s="31">
        <v>0</v>
      </c>
      <c r="F342" s="31">
        <v>1475651.67</v>
      </c>
      <c r="G342" s="31">
        <v>0</v>
      </c>
      <c r="H342" s="31">
        <v>1640169.824</v>
      </c>
      <c r="I342" s="31">
        <v>0</v>
      </c>
      <c r="J342" s="31">
        <v>1813533.72</v>
      </c>
      <c r="K342" s="31">
        <v>0</v>
      </c>
      <c r="L342" s="31">
        <v>1842790.5549999999</v>
      </c>
      <c r="M342" s="31">
        <v>0</v>
      </c>
      <c r="N342" s="31">
        <v>2066387.8670000001</v>
      </c>
      <c r="O342" s="31">
        <v>0</v>
      </c>
      <c r="P342" s="31">
        <v>2496442.5959999999</v>
      </c>
      <c r="Q342" s="31">
        <v>0</v>
      </c>
      <c r="R342" s="31">
        <v>2917779.31</v>
      </c>
      <c r="S342" s="31">
        <v>0</v>
      </c>
      <c r="T342" s="31">
        <v>3191111.1669999999</v>
      </c>
      <c r="U342" s="38">
        <v>0</v>
      </c>
      <c r="V342" s="38">
        <v>3490461.5320000001</v>
      </c>
    </row>
    <row r="343" spans="1:22" ht="3" customHeight="1" x14ac:dyDescent="0.25">
      <c r="A343">
        <v>16301</v>
      </c>
      <c r="B343" t="s">
        <v>176</v>
      </c>
      <c r="C343" s="31">
        <v>0</v>
      </c>
      <c r="D343" s="31">
        <v>5053364.6279999996</v>
      </c>
      <c r="E343" s="31">
        <v>0</v>
      </c>
      <c r="F343" s="31">
        <v>5559164.932</v>
      </c>
      <c r="G343" s="31">
        <v>0</v>
      </c>
      <c r="H343" s="31">
        <v>6217153.2850000001</v>
      </c>
      <c r="I343" s="31">
        <v>0</v>
      </c>
      <c r="J343" s="31">
        <v>6935021.6509999996</v>
      </c>
      <c r="K343" s="31">
        <v>0</v>
      </c>
      <c r="L343" s="31">
        <v>7046644.8550000004</v>
      </c>
      <c r="M343" s="31">
        <v>0</v>
      </c>
      <c r="N343" s="31">
        <v>7901718.841</v>
      </c>
      <c r="O343" s="31">
        <v>0</v>
      </c>
      <c r="P343" s="31">
        <v>9426504.1079999991</v>
      </c>
      <c r="Q343" s="31">
        <v>0</v>
      </c>
      <c r="R343" s="31">
        <v>10939423.596000001</v>
      </c>
      <c r="S343" s="31">
        <v>0</v>
      </c>
      <c r="T343" s="31">
        <v>12155306.307</v>
      </c>
      <c r="U343" s="38">
        <v>0</v>
      </c>
      <c r="V343" s="38">
        <v>13134807.681</v>
      </c>
    </row>
    <row r="344" spans="1:22" ht="3" customHeight="1" x14ac:dyDescent="0.25">
      <c r="A344">
        <v>16302</v>
      </c>
      <c r="B344" t="s">
        <v>170</v>
      </c>
      <c r="C344" s="31">
        <v>0</v>
      </c>
      <c r="D344" s="31">
        <v>2851659.449</v>
      </c>
      <c r="E344" s="31">
        <v>0</v>
      </c>
      <c r="F344" s="31">
        <v>3004522.3990000002</v>
      </c>
      <c r="G344" s="31">
        <v>0</v>
      </c>
      <c r="H344" s="31">
        <v>4710045.7570000002</v>
      </c>
      <c r="I344" s="31">
        <v>0</v>
      </c>
      <c r="J344" s="31">
        <v>5540643.5619999999</v>
      </c>
      <c r="K344" s="31">
        <v>0</v>
      </c>
      <c r="L344" s="31">
        <v>5696987.9340000004</v>
      </c>
      <c r="M344" s="31">
        <v>0</v>
      </c>
      <c r="N344" s="31">
        <v>6390143.5269999998</v>
      </c>
      <c r="O344" s="31">
        <v>0</v>
      </c>
      <c r="P344" s="31">
        <v>7206352.0719999997</v>
      </c>
      <c r="Q344" s="31">
        <v>0</v>
      </c>
      <c r="R344" s="31">
        <v>7812989.2189999996</v>
      </c>
      <c r="S344" s="31">
        <v>0</v>
      </c>
      <c r="T344" s="31">
        <v>8078587.1509999996</v>
      </c>
      <c r="U344" s="38">
        <v>0</v>
      </c>
      <c r="V344" s="38">
        <v>8154158.148</v>
      </c>
    </row>
    <row r="345" spans="1:22" ht="3" customHeight="1" x14ac:dyDescent="0.25">
      <c r="A345">
        <v>16303</v>
      </c>
      <c r="B345" t="s">
        <v>403</v>
      </c>
      <c r="C345" s="31">
        <v>0</v>
      </c>
      <c r="D345" s="31">
        <v>1914219.1029999999</v>
      </c>
      <c r="E345" s="31">
        <v>0</v>
      </c>
      <c r="F345" s="31">
        <v>2016830.5249999999</v>
      </c>
      <c r="G345" s="31">
        <v>0</v>
      </c>
      <c r="H345" s="31">
        <v>2165594.5520000001</v>
      </c>
      <c r="I345" s="31">
        <v>0</v>
      </c>
      <c r="J345" s="31">
        <v>2331150.4900000002</v>
      </c>
      <c r="K345" s="31">
        <v>0</v>
      </c>
      <c r="L345" s="31">
        <v>2356022.0389999999</v>
      </c>
      <c r="M345" s="31">
        <v>0</v>
      </c>
      <c r="N345" s="31">
        <v>2641611.068</v>
      </c>
      <c r="O345" s="31">
        <v>0</v>
      </c>
      <c r="P345" s="31">
        <v>3168016.0759999999</v>
      </c>
      <c r="Q345" s="31">
        <v>0</v>
      </c>
      <c r="R345" s="31">
        <v>3590528.3489999999</v>
      </c>
      <c r="S345" s="31">
        <v>0</v>
      </c>
      <c r="T345" s="31">
        <v>3816781.0419999999</v>
      </c>
      <c r="U345" s="38">
        <v>0</v>
      </c>
      <c r="V345" s="38">
        <v>4750138.5010000002</v>
      </c>
    </row>
    <row r="346" spans="1:22" ht="3" customHeight="1" x14ac:dyDescent="0.25">
      <c r="A346">
        <v>16304</v>
      </c>
      <c r="B346" t="s">
        <v>405</v>
      </c>
      <c r="C346" s="31">
        <v>0</v>
      </c>
      <c r="D346" s="31">
        <v>1147840.892</v>
      </c>
      <c r="E346" s="31">
        <v>0</v>
      </c>
      <c r="F346" s="31">
        <v>1209370.777</v>
      </c>
      <c r="G346" s="31">
        <v>0</v>
      </c>
      <c r="H346" s="31">
        <v>1292466.855</v>
      </c>
      <c r="I346" s="31">
        <v>0</v>
      </c>
      <c r="J346" s="31">
        <v>1386892.6980000001</v>
      </c>
      <c r="K346" s="31">
        <v>0</v>
      </c>
      <c r="L346" s="31">
        <v>1448816.942</v>
      </c>
      <c r="M346" s="31">
        <v>0</v>
      </c>
      <c r="N346" s="31">
        <v>1625621.3030000001</v>
      </c>
      <c r="O346" s="31">
        <v>0</v>
      </c>
      <c r="P346" s="31">
        <v>1840062.686</v>
      </c>
      <c r="Q346" s="31">
        <v>0</v>
      </c>
      <c r="R346" s="31">
        <v>2068008.977</v>
      </c>
      <c r="S346" s="31">
        <v>0</v>
      </c>
      <c r="T346" s="31">
        <v>2233513.3199999998</v>
      </c>
      <c r="U346" s="38">
        <v>0</v>
      </c>
      <c r="V346" s="38">
        <v>2346010.2009999999</v>
      </c>
    </row>
    <row r="347" spans="1:22" ht="3" customHeight="1" x14ac:dyDescent="0.25">
      <c r="A347">
        <v>16305</v>
      </c>
      <c r="B347" t="s">
        <v>406</v>
      </c>
      <c r="C347" s="31">
        <v>0</v>
      </c>
      <c r="D347" s="31">
        <v>1537806.6329999999</v>
      </c>
      <c r="E347" s="31">
        <v>0</v>
      </c>
      <c r="F347" s="31">
        <v>1666114.622</v>
      </c>
      <c r="G347" s="31">
        <v>0</v>
      </c>
      <c r="H347" s="31">
        <v>1798661.0619999999</v>
      </c>
      <c r="I347" s="31">
        <v>0</v>
      </c>
      <c r="J347" s="31">
        <v>1943373.625</v>
      </c>
      <c r="K347" s="31">
        <v>0</v>
      </c>
      <c r="L347" s="31">
        <v>1959909.4140000001</v>
      </c>
      <c r="M347" s="31">
        <v>0</v>
      </c>
      <c r="N347" s="31">
        <v>2197504.963</v>
      </c>
      <c r="O347" s="31">
        <v>0</v>
      </c>
      <c r="P347" s="31">
        <v>2620381.3769999999</v>
      </c>
      <c r="Q347" s="31">
        <v>0</v>
      </c>
      <c r="R347" s="31">
        <v>2881019.1159999999</v>
      </c>
      <c r="S347" s="31">
        <v>0</v>
      </c>
      <c r="T347" s="31">
        <v>3099166.7850000001</v>
      </c>
      <c r="U347" s="38">
        <v>0</v>
      </c>
      <c r="V347" s="38">
        <v>3443949.42</v>
      </c>
    </row>
  </sheetData>
  <sheetProtection algorithmName="SHA-512" hashValue="X3VxQHdq/rXkIyHgmlsdxNUhXeHrsbowEEElzUgxwh3ED//evnbkeX1Q0A67bp0FOs+TvkQsD8BkXXwqLj6gwA==" saltValue="a16G9wLkCGJCjPf+I1xJ1g==" spinCount="100000" sheet="1" objects="1" scenarios="1" selectLockedCells="1" selectUnlockedCells="1"/>
  <sortState xmlns:xlrd2="http://schemas.microsoft.com/office/spreadsheetml/2017/richdata2" ref="AE2:AG347">
    <sortCondition ref="AF2:AF347"/>
  </sortState>
  <phoneticPr fontId="3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tabColor theme="2" tint="-0.499984740745262"/>
  </sheetPr>
  <dimension ref="A1:AG357"/>
  <sheetViews>
    <sheetView showOutlineSymbols="0" showWhiteSpace="0" workbookViewId="0">
      <selection sqref="A1:XFD1048576"/>
    </sheetView>
  </sheetViews>
  <sheetFormatPr baseColWidth="10" defaultColWidth="11.140625" defaultRowHeight="3" customHeight="1" x14ac:dyDescent="0.25"/>
  <cols>
    <col min="1" max="1" width="12" style="3" customWidth="1"/>
    <col min="2" max="2" width="8.140625" style="3" customWidth="1"/>
    <col min="3" max="3" width="25" style="3" bestFit="1" customWidth="1"/>
    <col min="4" max="6" width="20" style="3" customWidth="1"/>
    <col min="7" max="9" width="18.85546875" style="3" customWidth="1"/>
    <col min="10" max="10" width="30.7109375" style="3" customWidth="1"/>
    <col min="11" max="11" width="18.140625" style="502" customWidth="1"/>
    <col min="12" max="12" width="5.5703125" style="4" customWidth="1"/>
    <col min="13" max="13" width="13.140625" style="9" customWidth="1"/>
    <col min="14" max="14" width="10.5703125" style="9" customWidth="1"/>
    <col min="15" max="15" width="23.140625" style="10" customWidth="1"/>
    <col min="16" max="16" width="15.140625" customWidth="1"/>
    <col min="17" max="17" width="29.28515625" style="3" customWidth="1"/>
    <col min="18" max="18" width="14.42578125" style="502" customWidth="1"/>
    <col min="19" max="21" width="14.5703125" style="60" customWidth="1"/>
    <col min="22" max="22" width="12.85546875" style="60" customWidth="1"/>
    <col min="23" max="23" width="6" style="53" customWidth="1"/>
    <col min="24" max="24" width="11.140625" style="53" customWidth="1"/>
    <col min="25" max="25" width="11.140625" style="53"/>
    <col min="26" max="26" width="15.140625" style="62" bestFit="1" customWidth="1"/>
    <col min="27" max="27" width="11.140625" style="53"/>
    <col min="28" max="28" width="14.140625" style="62" bestFit="1" customWidth="1"/>
    <col min="29" max="29" width="15.140625" style="62" bestFit="1" customWidth="1"/>
    <col min="30" max="30" width="11.140625" style="53"/>
    <col min="31" max="31" width="31" style="62" customWidth="1"/>
    <col min="32" max="32" width="11.5703125" style="53" bestFit="1" customWidth="1"/>
    <col min="33" max="33" width="25.85546875" style="53" customWidth="1"/>
    <col min="34" max="34" width="18.28515625" style="53" bestFit="1" customWidth="1"/>
    <col min="35" max="36" width="23.5703125" style="53" bestFit="1" customWidth="1"/>
    <col min="37" max="16384" width="11.140625" style="53"/>
  </cols>
  <sheetData>
    <row r="1" spans="1:33" ht="3" customHeight="1" x14ac:dyDescent="0.25">
      <c r="A1" s="572" t="s">
        <v>540</v>
      </c>
      <c r="B1" s="572"/>
      <c r="C1" s="572"/>
      <c r="D1" s="572"/>
      <c r="E1" s="86"/>
      <c r="F1" s="529" t="str">
        <f>"Monto Referencia para Glosa 08 para año "&amp;RIGHT(PARAMETROS!B3,4)</f>
        <v>Monto Referencia para Glosa 08 para año 2026</v>
      </c>
      <c r="G1" s="87"/>
      <c r="H1" s="87"/>
      <c r="I1" s="87"/>
      <c r="J1" s="87"/>
      <c r="K1" s="501"/>
      <c r="L1" s="88"/>
      <c r="M1" s="89"/>
      <c r="N1" s="90"/>
      <c r="O1" s="91"/>
      <c r="P1" s="92"/>
      <c r="Q1" s="92"/>
      <c r="R1" s="501"/>
      <c r="S1" s="93"/>
      <c r="T1" s="93"/>
      <c r="U1" s="93"/>
      <c r="V1" s="93"/>
    </row>
    <row r="2" spans="1:33" ht="3" customHeight="1" thickBot="1" x14ac:dyDescent="0.3">
      <c r="A2" s="2"/>
      <c r="B2" s="43"/>
      <c r="C2" s="43"/>
      <c r="D2" s="43"/>
      <c r="E2" s="43"/>
      <c r="F2" s="43"/>
      <c r="G2" s="43"/>
      <c r="H2" s="43"/>
      <c r="I2" s="43"/>
      <c r="J2" s="43">
        <f>+J5+G5</f>
        <v>2730094939.9000006</v>
      </c>
      <c r="K2" s="511">
        <f>+D5/J2</f>
        <v>0.73095026534135554</v>
      </c>
      <c r="L2" s="43"/>
      <c r="M2" s="36"/>
      <c r="N2" s="56"/>
      <c r="O2" s="57"/>
      <c r="P2" s="30"/>
      <c r="Q2" s="509">
        <f>+Q5+P5</f>
        <v>2586940383.1940017</v>
      </c>
      <c r="R2" s="510">
        <f>+J2/Q2</f>
        <v>1.0553374007518685</v>
      </c>
    </row>
    <row r="3" spans="1:33" ht="3" customHeight="1" thickBot="1" x14ac:dyDescent="0.45">
      <c r="A3" s="483"/>
      <c r="B3" s="484"/>
      <c r="C3" s="485" t="str">
        <f>+PARAMETROS!H3</f>
        <v>Ver:5 20251231</v>
      </c>
      <c r="D3" s="499" t="s">
        <v>1130</v>
      </c>
      <c r="E3" s="490"/>
      <c r="F3" s="491"/>
      <c r="G3" s="485"/>
      <c r="H3" s="485"/>
      <c r="I3" s="485"/>
      <c r="J3" s="500" t="s">
        <v>1131</v>
      </c>
      <c r="K3" s="503"/>
      <c r="L3" s="11"/>
      <c r="M3" s="477" t="s">
        <v>1129</v>
      </c>
      <c r="N3" s="477"/>
      <c r="O3" s="478"/>
      <c r="P3" s="479"/>
      <c r="Q3" s="500" t="s">
        <v>1132</v>
      </c>
      <c r="R3"/>
    </row>
    <row r="4" spans="1:33" ht="3" customHeight="1" thickBot="1" x14ac:dyDescent="0.35">
      <c r="A4" s="4"/>
      <c r="B4" s="4"/>
      <c r="C4" s="139" t="s">
        <v>708</v>
      </c>
      <c r="D4" s="492">
        <v>17</v>
      </c>
      <c r="E4" s="140">
        <f>+D4+1</f>
        <v>18</v>
      </c>
      <c r="F4" s="145">
        <f>+E4+1</f>
        <v>19</v>
      </c>
      <c r="G4" s="140"/>
      <c r="H4" s="140"/>
      <c r="I4" s="140"/>
      <c r="J4" s="497"/>
      <c r="K4" s="504"/>
      <c r="L4" s="141"/>
      <c r="M4" s="142"/>
      <c r="N4" s="143"/>
      <c r="O4" s="144"/>
      <c r="P4" s="140"/>
      <c r="Q4" s="145">
        <v>20</v>
      </c>
      <c r="R4"/>
    </row>
    <row r="5" spans="1:33" ht="3" customHeight="1" thickBot="1" x14ac:dyDescent="0.3">
      <c r="A5" s="34"/>
      <c r="B5" s="34"/>
      <c r="D5" s="493">
        <f>SUM(D7:D352)</f>
        <v>1995563620.7269976</v>
      </c>
      <c r="E5" s="480">
        <f t="shared" ref="E5:O5" si="0">SUM(E7:E352)</f>
        <v>166296968.39391664</v>
      </c>
      <c r="F5" s="494">
        <f t="shared" si="0"/>
        <v>131374604</v>
      </c>
      <c r="G5" s="3">
        <f t="shared" si="0"/>
        <v>22097766</v>
      </c>
      <c r="H5" s="3">
        <f t="shared" si="0"/>
        <v>69327851.999999985</v>
      </c>
      <c r="I5" s="3">
        <f t="shared" si="0"/>
        <v>643105701.17300022</v>
      </c>
      <c r="J5" s="498">
        <f t="shared" si="0"/>
        <v>2707997173.9000006</v>
      </c>
      <c r="K5" s="505"/>
      <c r="L5" s="3"/>
      <c r="M5" s="3">
        <f t="shared" si="0"/>
        <v>3126109</v>
      </c>
      <c r="N5" s="3">
        <f t="shared" si="0"/>
        <v>2857636</v>
      </c>
      <c r="O5" s="3">
        <f t="shared" si="0"/>
        <v>0</v>
      </c>
      <c r="P5" s="3">
        <f>SUM(P7:P352)</f>
        <v>19216532</v>
      </c>
      <c r="Q5" s="3">
        <f>SUM(Q7:Q352)</f>
        <v>2567723851.1940017</v>
      </c>
      <c r="R5"/>
    </row>
    <row r="6" spans="1:33" s="83" customFormat="1" ht="3" customHeight="1" thickBot="1" x14ac:dyDescent="0.3">
      <c r="A6" s="81" t="s">
        <v>319</v>
      </c>
      <c r="B6" s="81" t="s">
        <v>340</v>
      </c>
      <c r="C6" s="489" t="s">
        <v>1</v>
      </c>
      <c r="D6" s="507" t="str">
        <f>"Anticipos pagados AÑO "&amp;" (SIN: aporte fiscal, aportes extraordinarios y Ley Nº 19.704) Montos en M$ Pago Anticipo F.C.M. - Año "&amp;RIGHT(PARAMETROS!B3,4)-1</f>
        <v>Anticipos pagados AÑO  (SIN: aporte fiscal, aportes extraordinarios y Ley Nº 19.704) Montos en M$ Pago Anticipo F.C.M. - Año 2025</v>
      </c>
      <c r="E6" s="495" t="str">
        <f>"Promedio flujo de anticipos mensuales "&amp;RIGHT(PARAMETROS!B3,4)-1&amp;" Montos en M $"</f>
        <v>Promedio flujo de anticipos mensuales 2025 Montos en M $</v>
      </c>
      <c r="F6" s="496" t="str">
        <f>CONCATENATE("Promedio flujo de anticipos mensuales pagados el año ",RIGHT(PARAMETROS!B3,4)-1,", al ",PARAMETROS!L10*100,"% Glosa 08 (M $)")</f>
        <v>Promedio flujo de anticipos mensuales pagados el año 2025, al 79% Glosa 08 (M $)</v>
      </c>
      <c r="G6" s="508" t="str">
        <f>"Compensación Ley Nº 19704 ISLA DE PASCUA Año "&amp;RIGHT(PARAMETROS!B3,4)-1&amp;" M$"</f>
        <v>Compensación Ley Nº 19704 ISLA DE PASCUA Año 2025 M$</v>
      </c>
      <c r="H6" s="482" t="s">
        <v>500</v>
      </c>
      <c r="I6" s="488" t="s">
        <v>491</v>
      </c>
      <c r="J6" s="506" t="str">
        <f>"Total FCM Estimado Cierre (neto Ley 19.704) (Anticipos pagados, Saldos Pagados y Aporte Fiscal M$ Pagado - Año "&amp;RIGHT(PARAMETROS!B3,4)-1</f>
        <v>Total FCM Estimado Cierre (neto Ley 19.704) (Anticipos pagados, Saldos Pagados y Aporte Fiscal M$ Pagado - Año 2025</v>
      </c>
      <c r="K6" s="58">
        <f>SUM(K7:K352)</f>
        <v>-22097766</v>
      </c>
      <c r="L6" s="29"/>
      <c r="M6" s="82" t="s">
        <v>319</v>
      </c>
      <c r="N6" s="82" t="s">
        <v>340</v>
      </c>
      <c r="O6" s="82" t="s">
        <v>1</v>
      </c>
      <c r="P6" s="486" t="str">
        <f>"Compensación Ley Nº 19704 ISLA DE PASCUA Año "&amp;RIGHT(PARAMETROS!B3,4)-2&amp;" M$"</f>
        <v>Compensación Ley Nº 19704 ISLA DE PASCUA Año 2024 M$</v>
      </c>
      <c r="Q6" s="487" t="str">
        <f>"Total FCM Estimado Cierre (neto Ley 19.704) (Anticipos pagados, Saldos Pagados y Aporte Fiscal M$ Pagado - Año "&amp;RIGHT(PARAMETROS!B3,4)-2</f>
        <v>Total FCM Estimado Cierre (neto Ley 19.704) (Anticipos pagados, Saldos Pagados y Aporte Fiscal M$ Pagado - Año 2024</v>
      </c>
      <c r="R6" s="58">
        <f>SUM(R7:R352)</f>
        <v>19216532</v>
      </c>
      <c r="S6" s="59"/>
      <c r="T6" s="59"/>
      <c r="U6" s="59"/>
      <c r="V6" s="59"/>
      <c r="Z6" s="475"/>
      <c r="AB6" s="475"/>
      <c r="AC6" s="475"/>
      <c r="AE6" s="475"/>
    </row>
    <row r="7" spans="1:33" ht="3" customHeight="1" x14ac:dyDescent="0.25">
      <c r="A7">
        <v>1101</v>
      </c>
      <c r="B7">
        <v>1201</v>
      </c>
      <c r="C7" s="4" t="s">
        <v>54</v>
      </c>
      <c r="D7" s="137">
        <v>5559296.7740000002</v>
      </c>
      <c r="E7" s="138">
        <f t="shared" ref="E7:E70" si="1">D7/12</f>
        <v>463274.73116666666</v>
      </c>
      <c r="F7" s="138">
        <f>ROUND(E7*PARAMETROS!$L$10,0)</f>
        <v>365987</v>
      </c>
      <c r="G7" s="481">
        <v>0</v>
      </c>
      <c r="H7" s="481">
        <v>193251.226</v>
      </c>
      <c r="I7" s="481">
        <v>1795987.672</v>
      </c>
      <c r="J7" s="481">
        <f>+D7+G7+H7+I7-G7</f>
        <v>7548535.6720000003</v>
      </c>
      <c r="K7" s="502">
        <f>+J7-_CIERRE!U2-_CIERRE!V2</f>
        <v>0</v>
      </c>
      <c r="M7" s="32">
        <v>1101</v>
      </c>
      <c r="N7" s="33">
        <v>1201</v>
      </c>
      <c r="O7" s="4" t="s">
        <v>54</v>
      </c>
      <c r="P7" s="61">
        <f>+_CIERRE!S2</f>
        <v>0</v>
      </c>
      <c r="Q7" s="61">
        <f>+_CIERRE!T2</f>
        <v>7042583.4210000001</v>
      </c>
      <c r="R7" s="502">
        <f>+Q7+P7-_CIERRE!T2</f>
        <v>0</v>
      </c>
      <c r="U7" s="61"/>
      <c r="V7" s="61"/>
      <c r="AF7" s="62"/>
      <c r="AG7" s="476"/>
    </row>
    <row r="8" spans="1:33" ht="3" customHeight="1" x14ac:dyDescent="0.25">
      <c r="A8">
        <v>1107</v>
      </c>
      <c r="B8">
        <v>1211</v>
      </c>
      <c r="C8" s="3" t="s">
        <v>60</v>
      </c>
      <c r="D8" s="137">
        <v>14351249.559</v>
      </c>
      <c r="E8" s="138">
        <f t="shared" si="1"/>
        <v>1195937.46325</v>
      </c>
      <c r="F8" s="138">
        <f>ROUND(E8*PARAMETROS!$L$10,0)</f>
        <v>944791</v>
      </c>
      <c r="G8" s="481">
        <v>0</v>
      </c>
      <c r="H8" s="481">
        <v>499573.70799999998</v>
      </c>
      <c r="I8" s="481">
        <v>4662895.4040000001</v>
      </c>
      <c r="J8" s="481">
        <f t="shared" ref="J8:J71" si="2">+D8+G8+H8+I8-G8</f>
        <v>19513718.671</v>
      </c>
      <c r="K8" s="502">
        <f>+J8-_CIERRE!U3-_CIERRE!V3</f>
        <v>0</v>
      </c>
      <c r="M8" s="32">
        <v>1107</v>
      </c>
      <c r="N8" s="33">
        <v>1211</v>
      </c>
      <c r="O8" s="4" t="s">
        <v>60</v>
      </c>
      <c r="P8" s="61">
        <f>+_CIERRE!S3</f>
        <v>0</v>
      </c>
      <c r="Q8" s="61">
        <f>+_CIERRE!T3</f>
        <v>18343696.063999999</v>
      </c>
      <c r="R8" s="502">
        <f>+Q8+P8-_CIERRE!T3</f>
        <v>0</v>
      </c>
      <c r="S8" s="61"/>
      <c r="T8" s="61"/>
      <c r="U8" s="61"/>
      <c r="V8" s="61"/>
      <c r="AF8" s="62"/>
      <c r="AG8" s="476"/>
    </row>
    <row r="9" spans="1:33" ht="3" customHeight="1" x14ac:dyDescent="0.25">
      <c r="A9">
        <v>1401</v>
      </c>
      <c r="B9">
        <v>1204</v>
      </c>
      <c r="C9" s="3" t="s">
        <v>56</v>
      </c>
      <c r="D9" s="137">
        <v>3051310.0759999999</v>
      </c>
      <c r="E9" s="138">
        <f t="shared" si="1"/>
        <v>254275.83966666667</v>
      </c>
      <c r="F9" s="138">
        <f>ROUND(E9*PARAMETROS!$L$10,0)</f>
        <v>200878</v>
      </c>
      <c r="G9" s="481">
        <v>0</v>
      </c>
      <c r="H9" s="481">
        <v>106138.594</v>
      </c>
      <c r="I9" s="481">
        <v>988402.37399999995</v>
      </c>
      <c r="J9" s="481">
        <f t="shared" si="2"/>
        <v>4145851.0439999998</v>
      </c>
      <c r="K9" s="502">
        <f>+J9-_CIERRE!U4-_CIERRE!V4</f>
        <v>0</v>
      </c>
      <c r="M9" s="32">
        <v>1401</v>
      </c>
      <c r="N9" s="33">
        <v>1204</v>
      </c>
      <c r="O9" s="4" t="s">
        <v>56</v>
      </c>
      <c r="P9" s="61">
        <f>+_CIERRE!S4</f>
        <v>0</v>
      </c>
      <c r="Q9" s="61">
        <f>+_CIERRE!T4</f>
        <v>3876729.787</v>
      </c>
      <c r="R9" s="502">
        <f>+Q9+P9-_CIERRE!T4</f>
        <v>0</v>
      </c>
      <c r="S9" s="61"/>
      <c r="T9" s="61"/>
      <c r="U9" s="61"/>
      <c r="V9" s="61"/>
      <c r="AF9" s="62"/>
      <c r="AG9" s="476"/>
    </row>
    <row r="10" spans="1:33" ht="3" customHeight="1" x14ac:dyDescent="0.25">
      <c r="A10">
        <v>1402</v>
      </c>
      <c r="B10">
        <v>1208</v>
      </c>
      <c r="C10" s="3" t="s">
        <v>58</v>
      </c>
      <c r="D10" s="137">
        <v>1910948.2960000001</v>
      </c>
      <c r="E10" s="138">
        <f t="shared" si="1"/>
        <v>159245.69133333335</v>
      </c>
      <c r="F10" s="138">
        <f>ROUND(E10*PARAMETROS!$L$10,0)</f>
        <v>125804</v>
      </c>
      <c r="G10" s="481">
        <v>0</v>
      </c>
      <c r="H10" s="481">
        <v>66403.070000000007</v>
      </c>
      <c r="I10" s="481">
        <v>616402.06700000004</v>
      </c>
      <c r="J10" s="481">
        <f t="shared" si="2"/>
        <v>2593753.4330000002</v>
      </c>
      <c r="K10" s="502">
        <f>+J10-_CIERRE!U5-_CIERRE!V5</f>
        <v>0</v>
      </c>
      <c r="M10" s="32">
        <v>1402</v>
      </c>
      <c r="N10" s="33">
        <v>1208</v>
      </c>
      <c r="O10" s="4" t="s">
        <v>58</v>
      </c>
      <c r="P10" s="61">
        <f>+_CIERRE!S5</f>
        <v>0</v>
      </c>
      <c r="Q10" s="61">
        <f>+_CIERRE!T5</f>
        <v>2498460.102</v>
      </c>
      <c r="R10" s="502">
        <f>+Q10+P10-_CIERRE!T5</f>
        <v>0</v>
      </c>
      <c r="S10" s="61"/>
      <c r="T10" s="61"/>
      <c r="U10" s="61"/>
      <c r="V10" s="61"/>
      <c r="AF10" s="62"/>
      <c r="AG10" s="476"/>
    </row>
    <row r="11" spans="1:33" ht="3" customHeight="1" x14ac:dyDescent="0.25">
      <c r="A11">
        <v>1403</v>
      </c>
      <c r="B11">
        <v>1210</v>
      </c>
      <c r="C11" s="3" t="s">
        <v>59</v>
      </c>
      <c r="D11" s="137">
        <v>1668947.017</v>
      </c>
      <c r="E11" s="138">
        <f t="shared" si="1"/>
        <v>139078.91808333332</v>
      </c>
      <c r="F11" s="138">
        <f>ROUND(E11*PARAMETROS!$L$10,0)</f>
        <v>109872</v>
      </c>
      <c r="G11" s="481">
        <v>0</v>
      </c>
      <c r="H11" s="481">
        <v>57982.339</v>
      </c>
      <c r="I11" s="481">
        <v>537903.43999999994</v>
      </c>
      <c r="J11" s="481">
        <f t="shared" si="2"/>
        <v>2264832.7960000001</v>
      </c>
      <c r="K11" s="502">
        <f>+J11-_CIERRE!U6-_CIERRE!V6</f>
        <v>0</v>
      </c>
      <c r="M11" s="32">
        <v>1403</v>
      </c>
      <c r="N11" s="33">
        <v>1210</v>
      </c>
      <c r="O11" s="4" t="s">
        <v>59</v>
      </c>
      <c r="P11" s="61">
        <f>+_CIERRE!S6</f>
        <v>0</v>
      </c>
      <c r="Q11" s="61">
        <f>+_CIERRE!T6</f>
        <v>1972637.115</v>
      </c>
      <c r="R11" s="502">
        <f>+Q11+P11-_CIERRE!T6</f>
        <v>0</v>
      </c>
      <c r="S11" s="61"/>
      <c r="T11" s="61"/>
      <c r="U11" s="61"/>
      <c r="V11" s="61"/>
      <c r="AF11" s="62"/>
      <c r="AG11" s="476"/>
    </row>
    <row r="12" spans="1:33" ht="3" customHeight="1" x14ac:dyDescent="0.25">
      <c r="A12">
        <v>1404</v>
      </c>
      <c r="B12">
        <v>1206</v>
      </c>
      <c r="C12" s="3" t="s">
        <v>57</v>
      </c>
      <c r="D12" s="137">
        <v>2411239.673</v>
      </c>
      <c r="E12" s="138">
        <f t="shared" si="1"/>
        <v>200936.63941666667</v>
      </c>
      <c r="F12" s="138">
        <f>ROUND(E12*PARAMETROS!$L$10,0)</f>
        <v>158740</v>
      </c>
      <c r="G12" s="481">
        <v>0</v>
      </c>
      <c r="H12" s="481">
        <v>83759.854999999996</v>
      </c>
      <c r="I12" s="481">
        <v>776722.93500000006</v>
      </c>
      <c r="J12" s="481">
        <f t="shared" si="2"/>
        <v>3271722.463</v>
      </c>
      <c r="K12" s="502">
        <f>+J12-_CIERRE!U7-_CIERRE!V7</f>
        <v>0</v>
      </c>
      <c r="M12" s="32">
        <v>1404</v>
      </c>
      <c r="N12" s="33">
        <v>1206</v>
      </c>
      <c r="O12" s="4" t="s">
        <v>57</v>
      </c>
      <c r="P12" s="61">
        <f>+_CIERRE!S7</f>
        <v>0</v>
      </c>
      <c r="Q12" s="61">
        <f>+_CIERRE!T7</f>
        <v>2758937.4</v>
      </c>
      <c r="R12" s="502">
        <f>+Q12+P12-_CIERRE!T7</f>
        <v>0</v>
      </c>
      <c r="S12" s="61"/>
      <c r="T12" s="61"/>
      <c r="U12" s="61"/>
      <c r="V12" s="61"/>
      <c r="AF12" s="62"/>
      <c r="AG12" s="476"/>
    </row>
    <row r="13" spans="1:33" ht="3" customHeight="1" x14ac:dyDescent="0.25">
      <c r="A13">
        <v>1405</v>
      </c>
      <c r="B13">
        <v>1203</v>
      </c>
      <c r="C13" s="3" t="s">
        <v>55</v>
      </c>
      <c r="D13" s="137">
        <v>2641616.2420000001</v>
      </c>
      <c r="E13" s="138">
        <f t="shared" si="1"/>
        <v>220134.68683333334</v>
      </c>
      <c r="F13" s="138">
        <f>ROUND(E13*PARAMETROS!$L$10,0)</f>
        <v>173906</v>
      </c>
      <c r="G13" s="481">
        <v>0</v>
      </c>
      <c r="H13" s="481">
        <v>91698.26</v>
      </c>
      <c r="I13" s="481">
        <v>848486.78099999996</v>
      </c>
      <c r="J13" s="481">
        <f t="shared" si="2"/>
        <v>3581801.2829999998</v>
      </c>
      <c r="K13" s="502">
        <f>+J13-_CIERRE!U8-_CIERRE!V8</f>
        <v>0</v>
      </c>
      <c r="M13" s="32">
        <v>1405</v>
      </c>
      <c r="N13" s="33">
        <v>1203</v>
      </c>
      <c r="O13" s="4" t="s">
        <v>55</v>
      </c>
      <c r="P13" s="61">
        <f>+_CIERRE!S8</f>
        <v>0</v>
      </c>
      <c r="Q13" s="61">
        <f>+_CIERRE!T8</f>
        <v>2423232.9160000002</v>
      </c>
      <c r="R13" s="502">
        <f>+Q13+P13-_CIERRE!T8</f>
        <v>0</v>
      </c>
      <c r="S13" s="61"/>
      <c r="T13" s="61"/>
      <c r="U13" s="61"/>
      <c r="V13" s="61"/>
      <c r="AF13" s="62"/>
      <c r="AG13" s="476"/>
    </row>
    <row r="14" spans="1:33" ht="3" customHeight="1" x14ac:dyDescent="0.25">
      <c r="A14">
        <v>2101</v>
      </c>
      <c r="B14">
        <v>2201</v>
      </c>
      <c r="C14" s="3" t="s">
        <v>64</v>
      </c>
      <c r="D14" s="137">
        <v>15984806.787</v>
      </c>
      <c r="E14" s="138">
        <f t="shared" si="1"/>
        <v>1332067.2322500001</v>
      </c>
      <c r="F14" s="138">
        <f>ROUND(E14*PARAMETROS!$L$10,0)</f>
        <v>1052333</v>
      </c>
      <c r="G14" s="481">
        <v>0</v>
      </c>
      <c r="H14" s="481">
        <v>556506.62699999998</v>
      </c>
      <c r="I14" s="481">
        <v>5196246.2630000003</v>
      </c>
      <c r="J14" s="481">
        <f t="shared" si="2"/>
        <v>21737559.677000001</v>
      </c>
      <c r="K14" s="502">
        <f>+J14-_CIERRE!U9-_CIERRE!V9</f>
        <v>0</v>
      </c>
      <c r="M14" s="32">
        <v>2101</v>
      </c>
      <c r="N14" s="33">
        <v>2201</v>
      </c>
      <c r="O14" s="4" t="s">
        <v>64</v>
      </c>
      <c r="P14" s="61">
        <f>+_CIERRE!S9</f>
        <v>0</v>
      </c>
      <c r="Q14" s="61">
        <f>+_CIERRE!T9</f>
        <v>18468262.109999999</v>
      </c>
      <c r="R14" s="502">
        <f>+Q14+P14-_CIERRE!T9</f>
        <v>0</v>
      </c>
      <c r="S14" s="61"/>
      <c r="T14" s="61"/>
      <c r="U14" s="61"/>
      <c r="V14" s="61"/>
      <c r="AF14" s="62"/>
      <c r="AG14" s="476"/>
    </row>
    <row r="15" spans="1:33" ht="3" customHeight="1" x14ac:dyDescent="0.25">
      <c r="A15">
        <v>2102</v>
      </c>
      <c r="B15">
        <v>2203</v>
      </c>
      <c r="C15" s="3" t="s">
        <v>66</v>
      </c>
      <c r="D15" s="137">
        <v>2139905.7560000001</v>
      </c>
      <c r="E15" s="138">
        <f t="shared" si="1"/>
        <v>178325.47966666668</v>
      </c>
      <c r="F15" s="138">
        <f>ROUND(E15*PARAMETROS!$L$10,0)</f>
        <v>140877</v>
      </c>
      <c r="G15" s="481">
        <v>0</v>
      </c>
      <c r="H15" s="481">
        <v>74321.823999999993</v>
      </c>
      <c r="I15" s="481">
        <v>688837.94400000002</v>
      </c>
      <c r="J15" s="481">
        <f t="shared" si="2"/>
        <v>2903065.5240000002</v>
      </c>
      <c r="K15" s="502">
        <f>+J15-_CIERRE!U10-_CIERRE!V10</f>
        <v>0</v>
      </c>
      <c r="M15" s="32">
        <v>2102</v>
      </c>
      <c r="N15" s="33">
        <v>2203</v>
      </c>
      <c r="O15" s="4" t="s">
        <v>66</v>
      </c>
      <c r="P15" s="61">
        <f>+_CIERRE!S10</f>
        <v>0</v>
      </c>
      <c r="Q15" s="61">
        <f>+_CIERRE!T10</f>
        <v>2759543.088</v>
      </c>
      <c r="R15" s="502">
        <f>+Q15+P15-_CIERRE!T10</f>
        <v>0</v>
      </c>
      <c r="S15" s="61"/>
      <c r="T15" s="61"/>
      <c r="U15" s="61"/>
      <c r="V15" s="61"/>
      <c r="AF15" s="62"/>
      <c r="AG15" s="476"/>
    </row>
    <row r="16" spans="1:33" ht="3" customHeight="1" x14ac:dyDescent="0.25">
      <c r="A16">
        <v>2103</v>
      </c>
      <c r="B16">
        <v>2206</v>
      </c>
      <c r="C16" s="3" t="s">
        <v>67</v>
      </c>
      <c r="D16" s="137">
        <v>1546442.727</v>
      </c>
      <c r="E16" s="138">
        <f t="shared" si="1"/>
        <v>128870.22725</v>
      </c>
      <c r="F16" s="138">
        <f>ROUND(E16*PARAMETROS!$L$10,0)</f>
        <v>101807</v>
      </c>
      <c r="G16" s="481">
        <v>0</v>
      </c>
      <c r="H16" s="481">
        <v>53710.631999999998</v>
      </c>
      <c r="I16" s="481">
        <v>497823.11499999999</v>
      </c>
      <c r="J16" s="481">
        <f t="shared" si="2"/>
        <v>2097976.4739999999</v>
      </c>
      <c r="K16" s="502">
        <f>+J16-_CIERRE!U11-_CIERRE!V11</f>
        <v>0</v>
      </c>
      <c r="M16" s="32">
        <v>2103</v>
      </c>
      <c r="N16" s="33">
        <v>2206</v>
      </c>
      <c r="O16" s="4" t="s">
        <v>67</v>
      </c>
      <c r="P16" s="61">
        <f>+_CIERRE!S11</f>
        <v>0</v>
      </c>
      <c r="Q16" s="61">
        <f>+_CIERRE!T11</f>
        <v>2061277.3870000001</v>
      </c>
      <c r="R16" s="502">
        <f>+Q16+P16-_CIERRE!T11</f>
        <v>0</v>
      </c>
      <c r="S16" s="61"/>
      <c r="T16" s="61"/>
      <c r="U16" s="61"/>
      <c r="V16" s="61"/>
      <c r="AF16" s="62"/>
      <c r="AG16" s="476"/>
    </row>
    <row r="17" spans="1:33" ht="3" customHeight="1" x14ac:dyDescent="0.25">
      <c r="A17">
        <v>2104</v>
      </c>
      <c r="B17">
        <v>2202</v>
      </c>
      <c r="C17" s="3" t="s">
        <v>65</v>
      </c>
      <c r="D17" s="137">
        <v>2267500.8289999999</v>
      </c>
      <c r="E17" s="138">
        <f t="shared" si="1"/>
        <v>188958.40241666665</v>
      </c>
      <c r="F17" s="138">
        <f>ROUND(E17*PARAMETROS!$L$10,0)</f>
        <v>149277</v>
      </c>
      <c r="G17" s="481">
        <v>0</v>
      </c>
      <c r="H17" s="481">
        <v>78819.790999999997</v>
      </c>
      <c r="I17" s="481">
        <v>732438.29500000004</v>
      </c>
      <c r="J17" s="481">
        <f t="shared" si="2"/>
        <v>3078758.915</v>
      </c>
      <c r="K17" s="502">
        <f>+J17-_CIERRE!U12-_CIERRE!V12</f>
        <v>0</v>
      </c>
      <c r="M17" s="32">
        <v>2104</v>
      </c>
      <c r="N17" s="33">
        <v>2202</v>
      </c>
      <c r="O17" s="4" t="s">
        <v>65</v>
      </c>
      <c r="P17" s="61">
        <f>+_CIERRE!S12</f>
        <v>0</v>
      </c>
      <c r="Q17" s="61">
        <f>+_CIERRE!T12</f>
        <v>2709399.5350000001</v>
      </c>
      <c r="R17" s="502">
        <f>+Q17+P17-_CIERRE!T12</f>
        <v>0</v>
      </c>
      <c r="S17" s="61"/>
      <c r="T17" s="61"/>
      <c r="U17" s="61"/>
      <c r="V17" s="61"/>
      <c r="AF17" s="62"/>
      <c r="AG17" s="476"/>
    </row>
    <row r="18" spans="1:33" ht="3" customHeight="1" x14ac:dyDescent="0.25">
      <c r="A18">
        <v>2201</v>
      </c>
      <c r="B18">
        <v>2301</v>
      </c>
      <c r="C18" s="3" t="s">
        <v>68</v>
      </c>
      <c r="D18" s="137">
        <v>10298830.237</v>
      </c>
      <c r="E18" s="138">
        <f t="shared" si="1"/>
        <v>858235.85308333335</v>
      </c>
      <c r="F18" s="138">
        <f>ROUND(E18*PARAMETROS!$L$10,0)</f>
        <v>678006</v>
      </c>
      <c r="G18" s="481">
        <v>0</v>
      </c>
      <c r="H18" s="481">
        <v>358130.01699999999</v>
      </c>
      <c r="I18" s="481">
        <v>3331862.3829999999</v>
      </c>
      <c r="J18" s="481">
        <f t="shared" si="2"/>
        <v>13988822.637</v>
      </c>
      <c r="K18" s="502">
        <f>+J18-_CIERRE!U13-_CIERRE!V13</f>
        <v>0</v>
      </c>
      <c r="M18" s="32">
        <v>2201</v>
      </c>
      <c r="N18" s="33">
        <v>2301</v>
      </c>
      <c r="O18" s="4" t="s">
        <v>68</v>
      </c>
      <c r="P18" s="61">
        <f>+_CIERRE!S13</f>
        <v>0</v>
      </c>
      <c r="Q18" s="61">
        <f>+_CIERRE!T13</f>
        <v>11951375.767999999</v>
      </c>
      <c r="R18" s="502">
        <f>+Q18+P18-_CIERRE!T13</f>
        <v>0</v>
      </c>
      <c r="S18" s="61"/>
      <c r="T18" s="61"/>
      <c r="U18" s="61"/>
      <c r="V18" s="61"/>
      <c r="AF18" s="62"/>
      <c r="AG18" s="476"/>
    </row>
    <row r="19" spans="1:33" ht="3" customHeight="1" x14ac:dyDescent="0.25">
      <c r="A19">
        <v>2202</v>
      </c>
      <c r="B19">
        <v>2302</v>
      </c>
      <c r="C19" s="3" t="s">
        <v>27</v>
      </c>
      <c r="D19" s="137">
        <v>1613132.375</v>
      </c>
      <c r="E19" s="138">
        <f t="shared" si="1"/>
        <v>134427.69791666666</v>
      </c>
      <c r="F19" s="138">
        <f>ROUND(E19*PARAMETROS!$L$10,0)</f>
        <v>106198</v>
      </c>
      <c r="G19" s="481">
        <v>0</v>
      </c>
      <c r="H19" s="481">
        <v>56042.400999999998</v>
      </c>
      <c r="I19" s="481">
        <v>519882.89600000001</v>
      </c>
      <c r="J19" s="481">
        <f t="shared" si="2"/>
        <v>2189057.6720000003</v>
      </c>
      <c r="K19" s="502">
        <f>+J19-_CIERRE!U14-_CIERRE!V14</f>
        <v>0</v>
      </c>
      <c r="M19" s="32">
        <v>2202</v>
      </c>
      <c r="N19" s="33">
        <v>2302</v>
      </c>
      <c r="O19" s="4" t="s">
        <v>27</v>
      </c>
      <c r="P19" s="61">
        <f>+_CIERRE!S14</f>
        <v>0</v>
      </c>
      <c r="Q19" s="61">
        <f>+_CIERRE!T14</f>
        <v>2168769.9679999999</v>
      </c>
      <c r="R19" s="502">
        <f>+Q19+P19-_CIERRE!T14</f>
        <v>0</v>
      </c>
      <c r="S19" s="61"/>
      <c r="T19" s="61"/>
      <c r="U19" s="61"/>
      <c r="V19" s="61"/>
      <c r="AF19" s="62"/>
      <c r="AG19" s="476"/>
    </row>
    <row r="20" spans="1:33" ht="3" customHeight="1" x14ac:dyDescent="0.25">
      <c r="A20">
        <v>2203</v>
      </c>
      <c r="B20">
        <v>2303</v>
      </c>
      <c r="C20" s="3" t="s">
        <v>69</v>
      </c>
      <c r="D20" s="137">
        <v>5705758.7259999998</v>
      </c>
      <c r="E20" s="138">
        <f t="shared" si="1"/>
        <v>475479.89383333334</v>
      </c>
      <c r="F20" s="138">
        <f>ROUND(E20*PARAMETROS!$L$10,0)</f>
        <v>375629</v>
      </c>
      <c r="G20" s="481">
        <v>0</v>
      </c>
      <c r="H20" s="481">
        <v>198097.35500000001</v>
      </c>
      <c r="I20" s="481">
        <v>1833972.5560000001</v>
      </c>
      <c r="J20" s="481">
        <f t="shared" si="2"/>
        <v>7737828.6370000001</v>
      </c>
      <c r="K20" s="502">
        <f>+J20-_CIERRE!U15-_CIERRE!V15</f>
        <v>0</v>
      </c>
      <c r="M20" s="32">
        <v>2203</v>
      </c>
      <c r="N20" s="33">
        <v>2303</v>
      </c>
      <c r="O20" s="4" t="s">
        <v>69</v>
      </c>
      <c r="P20" s="61">
        <f>+_CIERRE!S15</f>
        <v>0</v>
      </c>
      <c r="Q20" s="61">
        <f>+_CIERRE!T15</f>
        <v>6683005.2939999998</v>
      </c>
      <c r="R20" s="502">
        <f>+Q20+P20-_CIERRE!T15</f>
        <v>0</v>
      </c>
      <c r="S20" s="61"/>
      <c r="T20" s="61"/>
      <c r="U20" s="61"/>
      <c r="V20" s="61"/>
      <c r="AF20" s="62"/>
      <c r="AG20" s="476"/>
    </row>
    <row r="21" spans="1:33" ht="3" customHeight="1" x14ac:dyDescent="0.25">
      <c r="A21">
        <v>2301</v>
      </c>
      <c r="B21">
        <v>2101</v>
      </c>
      <c r="C21" s="3" t="s">
        <v>63</v>
      </c>
      <c r="D21" s="137">
        <v>4544654.335</v>
      </c>
      <c r="E21" s="138">
        <f t="shared" si="1"/>
        <v>378721.19458333333</v>
      </c>
      <c r="F21" s="138">
        <f>ROUND(E21*PARAMETROS!$L$10,0)</f>
        <v>299190</v>
      </c>
      <c r="G21" s="481">
        <v>0</v>
      </c>
      <c r="H21" s="481">
        <v>158059.20199999999</v>
      </c>
      <c r="I21" s="481">
        <v>1471196.02</v>
      </c>
      <c r="J21" s="481">
        <f t="shared" si="2"/>
        <v>6173909.557</v>
      </c>
      <c r="K21" s="502">
        <f>+J21-_CIERRE!U16-_CIERRE!V16</f>
        <v>0</v>
      </c>
      <c r="M21" s="32">
        <v>2301</v>
      </c>
      <c r="N21" s="33">
        <v>2101</v>
      </c>
      <c r="O21" s="4" t="s">
        <v>63</v>
      </c>
      <c r="P21" s="61">
        <f>+_CIERRE!S16</f>
        <v>0</v>
      </c>
      <c r="Q21" s="61">
        <f>+_CIERRE!T16</f>
        <v>5676553.6600000001</v>
      </c>
      <c r="R21" s="502">
        <f>+Q21+P21-_CIERRE!T16</f>
        <v>0</v>
      </c>
      <c r="S21" s="61"/>
      <c r="T21" s="61"/>
      <c r="U21" s="61"/>
      <c r="V21" s="61"/>
      <c r="AF21" s="62"/>
      <c r="AG21" s="476"/>
    </row>
    <row r="22" spans="1:33" ht="3" customHeight="1" x14ac:dyDescent="0.25">
      <c r="A22">
        <v>2302</v>
      </c>
      <c r="B22">
        <v>2103</v>
      </c>
      <c r="C22" s="3" t="s">
        <v>374</v>
      </c>
      <c r="D22" s="137">
        <v>1508526.4669999999</v>
      </c>
      <c r="E22" s="138">
        <f t="shared" si="1"/>
        <v>125710.53891666666</v>
      </c>
      <c r="F22" s="138">
        <f>ROUND(E22*PARAMETROS!$L$10,0)</f>
        <v>99311</v>
      </c>
      <c r="G22" s="481">
        <v>0</v>
      </c>
      <c r="H22" s="481">
        <v>52358.957999999999</v>
      </c>
      <c r="I22" s="481">
        <v>484294.82199999999</v>
      </c>
      <c r="J22" s="481">
        <f t="shared" si="2"/>
        <v>2045180.247</v>
      </c>
      <c r="K22" s="502">
        <f>+J22-_CIERRE!U17-_CIERRE!V17</f>
        <v>0</v>
      </c>
      <c r="M22" s="32">
        <v>2302</v>
      </c>
      <c r="N22" s="33">
        <v>2103</v>
      </c>
      <c r="O22" s="4" t="s">
        <v>374</v>
      </c>
      <c r="P22" s="61">
        <f>+_CIERRE!S17</f>
        <v>0</v>
      </c>
      <c r="Q22" s="61">
        <f>+_CIERRE!T17</f>
        <v>1974218.2339999999</v>
      </c>
      <c r="R22" s="502">
        <f>+Q22+P22-_CIERRE!T17</f>
        <v>0</v>
      </c>
      <c r="S22" s="61"/>
      <c r="T22" s="61"/>
      <c r="U22" s="61"/>
      <c r="V22" s="61"/>
      <c r="AF22" s="62"/>
      <c r="AG22" s="476"/>
    </row>
    <row r="23" spans="1:33" ht="3" customHeight="1" x14ac:dyDescent="0.25">
      <c r="A23">
        <v>3101</v>
      </c>
      <c r="B23">
        <v>3201</v>
      </c>
      <c r="C23" s="3" t="s">
        <v>375</v>
      </c>
      <c r="D23" s="137">
        <v>12255380.461999999</v>
      </c>
      <c r="E23" s="138">
        <f t="shared" si="1"/>
        <v>1021281.7051666667</v>
      </c>
      <c r="F23" s="138">
        <f>ROUND(E23*PARAMETROS!$L$10,0)</f>
        <v>806813</v>
      </c>
      <c r="G23" s="481">
        <v>0</v>
      </c>
      <c r="H23" s="481">
        <v>425829.65399999998</v>
      </c>
      <c r="I23" s="481">
        <v>3952010.6680000001</v>
      </c>
      <c r="J23" s="481">
        <f t="shared" si="2"/>
        <v>16633220.783999998</v>
      </c>
      <c r="K23" s="502">
        <f>+J23-_CIERRE!U18-_CIERRE!V18</f>
        <v>0</v>
      </c>
      <c r="M23" s="32">
        <v>3101</v>
      </c>
      <c r="N23" s="33">
        <v>3201</v>
      </c>
      <c r="O23" s="4" t="s">
        <v>375</v>
      </c>
      <c r="P23" s="61">
        <f>+_CIERRE!S18</f>
        <v>0</v>
      </c>
      <c r="Q23" s="61">
        <f>+_CIERRE!T18</f>
        <v>16441420.776000001</v>
      </c>
      <c r="R23" s="502">
        <f>+Q23+P23-_CIERRE!T18</f>
        <v>0</v>
      </c>
      <c r="S23" s="61"/>
      <c r="T23" s="61"/>
      <c r="U23" s="61"/>
      <c r="V23" s="61"/>
      <c r="AF23" s="62"/>
      <c r="AG23" s="476"/>
    </row>
    <row r="24" spans="1:33" ht="3" customHeight="1" x14ac:dyDescent="0.25">
      <c r="A24">
        <v>3102</v>
      </c>
      <c r="B24">
        <v>3202</v>
      </c>
      <c r="C24" s="3" t="s">
        <v>72</v>
      </c>
      <c r="D24" s="137">
        <v>7413729.7390000001</v>
      </c>
      <c r="E24" s="138">
        <f t="shared" si="1"/>
        <v>617810.8115833333</v>
      </c>
      <c r="F24" s="138">
        <f>ROUND(E24*PARAMETROS!$L$10,0)</f>
        <v>488071</v>
      </c>
      <c r="G24" s="481">
        <v>0</v>
      </c>
      <c r="H24" s="481">
        <v>257467.52299999999</v>
      </c>
      <c r="I24" s="481">
        <v>2385674.1069999998</v>
      </c>
      <c r="J24" s="481">
        <f t="shared" si="2"/>
        <v>10056871.368999999</v>
      </c>
      <c r="K24" s="502">
        <f>+J24-_CIERRE!U19-_CIERRE!V19</f>
        <v>0</v>
      </c>
      <c r="M24" s="32">
        <v>3102</v>
      </c>
      <c r="N24" s="33">
        <v>3202</v>
      </c>
      <c r="O24" s="4" t="s">
        <v>72</v>
      </c>
      <c r="P24" s="61">
        <f>+_CIERRE!S19</f>
        <v>0</v>
      </c>
      <c r="Q24" s="61">
        <f>+_CIERRE!T19</f>
        <v>9403813.534</v>
      </c>
      <c r="R24" s="502">
        <f>+Q24+P24-_CIERRE!T19</f>
        <v>0</v>
      </c>
      <c r="S24" s="61"/>
      <c r="T24" s="61"/>
      <c r="U24" s="61"/>
      <c r="V24" s="61"/>
      <c r="AF24" s="62"/>
      <c r="AG24" s="476"/>
    </row>
    <row r="25" spans="1:33" ht="3" customHeight="1" x14ac:dyDescent="0.25">
      <c r="A25">
        <v>3103</v>
      </c>
      <c r="B25">
        <v>3203</v>
      </c>
      <c r="C25" s="3" t="s">
        <v>73</v>
      </c>
      <c r="D25" s="137">
        <v>1979125.38</v>
      </c>
      <c r="E25" s="138">
        <f t="shared" si="1"/>
        <v>164927.11499999999</v>
      </c>
      <c r="F25" s="138">
        <f>ROUND(E25*PARAMETROS!$L$10,0)</f>
        <v>130292</v>
      </c>
      <c r="G25" s="481">
        <v>0</v>
      </c>
      <c r="H25" s="481">
        <v>68744.210999999996</v>
      </c>
      <c r="I25" s="481">
        <v>637329.57499999995</v>
      </c>
      <c r="J25" s="481">
        <f t="shared" si="2"/>
        <v>2685199.1659999997</v>
      </c>
      <c r="K25" s="502">
        <f>+J25-_CIERRE!U20-_CIERRE!V20</f>
        <v>0</v>
      </c>
      <c r="M25" s="32">
        <v>3103</v>
      </c>
      <c r="N25" s="33">
        <v>3203</v>
      </c>
      <c r="O25" s="4" t="s">
        <v>73</v>
      </c>
      <c r="P25" s="61">
        <f>+_CIERRE!S20</f>
        <v>0</v>
      </c>
      <c r="Q25" s="61">
        <f>+_CIERRE!T20</f>
        <v>2585015.3560000001</v>
      </c>
      <c r="R25" s="502">
        <f>+Q25+P25-_CIERRE!T20</f>
        <v>0</v>
      </c>
      <c r="S25" s="61"/>
      <c r="T25" s="61"/>
      <c r="U25" s="61"/>
      <c r="V25" s="61"/>
      <c r="AF25" s="62"/>
      <c r="AG25" s="476"/>
    </row>
    <row r="26" spans="1:33" ht="3" customHeight="1" x14ac:dyDescent="0.25">
      <c r="A26">
        <v>3201</v>
      </c>
      <c r="B26">
        <v>3101</v>
      </c>
      <c r="C26" s="3" t="s">
        <v>70</v>
      </c>
      <c r="D26" s="137">
        <v>2786396.3420000002</v>
      </c>
      <c r="E26" s="138">
        <f t="shared" si="1"/>
        <v>232199.69516666667</v>
      </c>
      <c r="F26" s="138">
        <f>ROUND(E26*PARAMETROS!$L$10,0)</f>
        <v>183438</v>
      </c>
      <c r="G26" s="481">
        <v>0</v>
      </c>
      <c r="H26" s="481">
        <v>96839.876000000004</v>
      </c>
      <c r="I26" s="481">
        <v>899401.73199999996</v>
      </c>
      <c r="J26" s="481">
        <f t="shared" si="2"/>
        <v>3782637.95</v>
      </c>
      <c r="K26" s="502">
        <f>+J26-_CIERRE!U21-_CIERRE!V21</f>
        <v>0</v>
      </c>
      <c r="M26" s="32">
        <v>3201</v>
      </c>
      <c r="N26" s="33">
        <v>3101</v>
      </c>
      <c r="O26" s="4" t="s">
        <v>70</v>
      </c>
      <c r="P26" s="61">
        <f>+_CIERRE!S21</f>
        <v>0</v>
      </c>
      <c r="Q26" s="61">
        <f>+_CIERRE!T21</f>
        <v>2931625.85</v>
      </c>
      <c r="R26" s="502">
        <f>+Q26+P26-_CIERRE!T21</f>
        <v>0</v>
      </c>
      <c r="S26" s="61"/>
      <c r="T26" s="61"/>
      <c r="U26" s="61"/>
      <c r="V26" s="61"/>
      <c r="AF26" s="62"/>
      <c r="AG26" s="476"/>
    </row>
    <row r="27" spans="1:33" ht="3" customHeight="1" x14ac:dyDescent="0.25">
      <c r="A27">
        <v>3202</v>
      </c>
      <c r="B27">
        <v>3102</v>
      </c>
      <c r="C27" s="3" t="s">
        <v>71</v>
      </c>
      <c r="D27" s="137">
        <v>2093061.2520000001</v>
      </c>
      <c r="E27" s="138">
        <f t="shared" si="1"/>
        <v>174421.77100000001</v>
      </c>
      <c r="F27" s="138">
        <f>ROUND(E27*PARAMETROS!$L$10,0)</f>
        <v>137793</v>
      </c>
      <c r="G27" s="481">
        <v>0</v>
      </c>
      <c r="H27" s="481">
        <v>72706.054999999993</v>
      </c>
      <c r="I27" s="481">
        <v>674185.33299999998</v>
      </c>
      <c r="J27" s="481">
        <f t="shared" si="2"/>
        <v>2839952.64</v>
      </c>
      <c r="K27" s="502">
        <f>+J27-_CIERRE!U22-_CIERRE!V22</f>
        <v>0</v>
      </c>
      <c r="M27" s="32">
        <v>3202</v>
      </c>
      <c r="N27" s="33">
        <v>3102</v>
      </c>
      <c r="O27" s="4" t="s">
        <v>71</v>
      </c>
      <c r="P27" s="61">
        <f>+_CIERRE!S22</f>
        <v>0</v>
      </c>
      <c r="Q27" s="61">
        <f>+_CIERRE!T22</f>
        <v>2454439.8289999999</v>
      </c>
      <c r="R27" s="502">
        <f>+Q27+P27-_CIERRE!T22</f>
        <v>0</v>
      </c>
      <c r="S27" s="61"/>
      <c r="T27" s="61"/>
      <c r="U27" s="61"/>
      <c r="V27" s="61"/>
      <c r="AF27" s="62"/>
      <c r="AG27" s="476"/>
    </row>
    <row r="28" spans="1:33" ht="3" customHeight="1" x14ac:dyDescent="0.25">
      <c r="A28">
        <v>3301</v>
      </c>
      <c r="B28">
        <v>3301</v>
      </c>
      <c r="C28" s="3" t="s">
        <v>74</v>
      </c>
      <c r="D28" s="137">
        <v>7493541.0750000002</v>
      </c>
      <c r="E28" s="138">
        <f t="shared" si="1"/>
        <v>624461.75624999998</v>
      </c>
      <c r="F28" s="138">
        <f>ROUND(E28*PARAMETROS!$L$10,0)</f>
        <v>493325</v>
      </c>
      <c r="G28" s="481">
        <v>0</v>
      </c>
      <c r="H28" s="481">
        <v>260623.42300000001</v>
      </c>
      <c r="I28" s="481">
        <v>2425979.2480000001</v>
      </c>
      <c r="J28" s="481">
        <f t="shared" si="2"/>
        <v>10180143.746000001</v>
      </c>
      <c r="K28" s="502">
        <f>+J28-_CIERRE!U23-_CIERRE!V23</f>
        <v>0</v>
      </c>
      <c r="M28" s="32">
        <v>3301</v>
      </c>
      <c r="N28" s="33">
        <v>3301</v>
      </c>
      <c r="O28" s="4" t="s">
        <v>74</v>
      </c>
      <c r="P28" s="61">
        <f>+_CIERRE!S23</f>
        <v>0</v>
      </c>
      <c r="Q28" s="61">
        <f>+_CIERRE!T23</f>
        <v>8834996.1009999998</v>
      </c>
      <c r="R28" s="502">
        <f>+Q28+P28-_CIERRE!T23</f>
        <v>0</v>
      </c>
      <c r="S28" s="61"/>
      <c r="T28" s="61"/>
      <c r="U28" s="61"/>
      <c r="V28" s="61"/>
      <c r="AF28" s="62"/>
      <c r="AG28" s="476"/>
    </row>
    <row r="29" spans="1:33" ht="3" customHeight="1" x14ac:dyDescent="0.25">
      <c r="A29">
        <v>3302</v>
      </c>
      <c r="B29">
        <v>3304</v>
      </c>
      <c r="C29" s="3" t="s">
        <v>77</v>
      </c>
      <c r="D29" s="137">
        <v>2125846.986</v>
      </c>
      <c r="E29" s="138">
        <f t="shared" si="1"/>
        <v>177153.9155</v>
      </c>
      <c r="F29" s="138">
        <f>ROUND(E29*PARAMETROS!$L$10,0)</f>
        <v>139952</v>
      </c>
      <c r="G29" s="481">
        <v>0</v>
      </c>
      <c r="H29" s="481">
        <v>73904.11</v>
      </c>
      <c r="I29" s="481">
        <v>686997.85800000001</v>
      </c>
      <c r="J29" s="481">
        <f t="shared" si="2"/>
        <v>2886748.9539999999</v>
      </c>
      <c r="K29" s="502">
        <f>+J29-_CIERRE!U24-_CIERRE!V24</f>
        <v>0</v>
      </c>
      <c r="M29" s="32">
        <v>3302</v>
      </c>
      <c r="N29" s="33">
        <v>3304</v>
      </c>
      <c r="O29" s="4" t="s">
        <v>77</v>
      </c>
      <c r="P29" s="61">
        <f>+_CIERRE!S24</f>
        <v>0</v>
      </c>
      <c r="Q29" s="61">
        <f>+_CIERRE!T24</f>
        <v>2717643.8829999999</v>
      </c>
      <c r="R29" s="502">
        <f>+Q29+P29-_CIERRE!T24</f>
        <v>0</v>
      </c>
      <c r="S29" s="61"/>
      <c r="T29" s="61"/>
      <c r="U29" s="61"/>
      <c r="V29" s="61"/>
      <c r="AF29" s="62"/>
      <c r="AG29" s="476"/>
    </row>
    <row r="30" spans="1:33" ht="3" customHeight="1" x14ac:dyDescent="0.25">
      <c r="A30">
        <v>3303</v>
      </c>
      <c r="B30">
        <v>3302</v>
      </c>
      <c r="C30" s="3" t="s">
        <v>75</v>
      </c>
      <c r="D30" s="137">
        <v>2061809.8259999999</v>
      </c>
      <c r="E30" s="138">
        <f t="shared" si="1"/>
        <v>171817.48549999998</v>
      </c>
      <c r="F30" s="138">
        <f>ROUND(E30*PARAMETROS!$L$10,0)</f>
        <v>135736</v>
      </c>
      <c r="G30" s="481">
        <v>0</v>
      </c>
      <c r="H30" s="481">
        <v>71683.035000000003</v>
      </c>
      <c r="I30" s="481">
        <v>666499.38100000005</v>
      </c>
      <c r="J30" s="481">
        <f t="shared" si="2"/>
        <v>2799992.2420000001</v>
      </c>
      <c r="K30" s="502">
        <f>+J30-_CIERRE!U25-_CIERRE!V25</f>
        <v>0</v>
      </c>
      <c r="M30" s="32">
        <v>3303</v>
      </c>
      <c r="N30" s="33">
        <v>3302</v>
      </c>
      <c r="O30" s="4" t="s">
        <v>75</v>
      </c>
      <c r="P30" s="61">
        <f>+_CIERRE!S25</f>
        <v>0</v>
      </c>
      <c r="Q30" s="61">
        <f>+_CIERRE!T25</f>
        <v>2644144.5520000001</v>
      </c>
      <c r="R30" s="502">
        <f>+Q30+P30-_CIERRE!T25</f>
        <v>0</v>
      </c>
      <c r="S30" s="61"/>
      <c r="T30" s="61"/>
      <c r="U30" s="61"/>
      <c r="V30" s="61"/>
      <c r="AF30" s="62"/>
      <c r="AG30" s="476"/>
    </row>
    <row r="31" spans="1:33" ht="3" customHeight="1" x14ac:dyDescent="0.25">
      <c r="A31">
        <v>3304</v>
      </c>
      <c r="B31">
        <v>3303</v>
      </c>
      <c r="C31" s="3" t="s">
        <v>76</v>
      </c>
      <c r="D31" s="137">
        <v>2960258.4419999998</v>
      </c>
      <c r="E31" s="138">
        <f t="shared" si="1"/>
        <v>246688.20349999997</v>
      </c>
      <c r="F31" s="138">
        <f>ROUND(E31*PARAMETROS!$L$10,0)</f>
        <v>194884</v>
      </c>
      <c r="G31" s="481">
        <v>0</v>
      </c>
      <c r="H31" s="481">
        <v>102893.606</v>
      </c>
      <c r="I31" s="481">
        <v>955948.30200000003</v>
      </c>
      <c r="J31" s="481">
        <f t="shared" si="2"/>
        <v>4019100.35</v>
      </c>
      <c r="K31" s="502">
        <f>+J31-_CIERRE!U26-_CIERRE!V26</f>
        <v>0</v>
      </c>
      <c r="M31" s="32">
        <v>3304</v>
      </c>
      <c r="N31" s="33">
        <v>3303</v>
      </c>
      <c r="O31" s="4" t="s">
        <v>76</v>
      </c>
      <c r="P31" s="61">
        <f>+_CIERRE!S26</f>
        <v>0</v>
      </c>
      <c r="Q31" s="61">
        <f>+_CIERRE!T26</f>
        <v>3414152.7409999999</v>
      </c>
      <c r="R31" s="502">
        <f>+Q31+P31-_CIERRE!T26</f>
        <v>0</v>
      </c>
      <c r="S31" s="61"/>
      <c r="T31" s="61"/>
      <c r="U31" s="61"/>
      <c r="V31" s="61"/>
      <c r="AF31" s="62"/>
      <c r="AG31" s="476"/>
    </row>
    <row r="32" spans="1:33" ht="3" customHeight="1" x14ac:dyDescent="0.25">
      <c r="A32">
        <v>4101</v>
      </c>
      <c r="B32">
        <v>4101</v>
      </c>
      <c r="C32" s="3" t="s">
        <v>78</v>
      </c>
      <c r="D32" s="137">
        <v>11509607.446</v>
      </c>
      <c r="E32" s="138">
        <f t="shared" si="1"/>
        <v>959133.95383333333</v>
      </c>
      <c r="F32" s="138">
        <f>ROUND(E32*PARAMETROS!$L$10,0)</f>
        <v>757716</v>
      </c>
      <c r="G32" s="481">
        <v>0</v>
      </c>
      <c r="H32" s="481">
        <v>399859.34499999997</v>
      </c>
      <c r="I32" s="481">
        <v>3709334.8130000001</v>
      </c>
      <c r="J32" s="481">
        <f t="shared" si="2"/>
        <v>15618801.604000002</v>
      </c>
      <c r="K32" s="502">
        <f>+J32-_CIERRE!U27-_CIERRE!V27</f>
        <v>0</v>
      </c>
      <c r="M32" s="32">
        <v>4101</v>
      </c>
      <c r="N32" s="33">
        <v>4101</v>
      </c>
      <c r="O32" s="4" t="s">
        <v>78</v>
      </c>
      <c r="P32" s="61">
        <f>+_CIERRE!S27</f>
        <v>0</v>
      </c>
      <c r="Q32" s="61">
        <f>+_CIERRE!T27</f>
        <v>15474048.626</v>
      </c>
      <c r="R32" s="502">
        <f>+Q32+P32-_CIERRE!T27</f>
        <v>0</v>
      </c>
      <c r="S32" s="61"/>
      <c r="T32" s="61"/>
      <c r="U32" s="61"/>
      <c r="V32" s="61"/>
      <c r="AF32" s="62"/>
      <c r="AG32" s="476"/>
    </row>
    <row r="33" spans="1:33" ht="3" customHeight="1" x14ac:dyDescent="0.25">
      <c r="A33">
        <v>4102</v>
      </c>
      <c r="B33">
        <v>4103</v>
      </c>
      <c r="C33" s="3" t="s">
        <v>80</v>
      </c>
      <c r="D33" s="137">
        <v>23533996.602000002</v>
      </c>
      <c r="E33" s="138">
        <f t="shared" si="1"/>
        <v>1961166.3835000002</v>
      </c>
      <c r="F33" s="138">
        <f>ROUND(E33*PARAMETROS!$L$10,0)</f>
        <v>1549321</v>
      </c>
      <c r="G33" s="481">
        <v>0</v>
      </c>
      <c r="H33" s="481">
        <v>817725.26800000004</v>
      </c>
      <c r="I33" s="481">
        <v>7589232.2450000001</v>
      </c>
      <c r="J33" s="481">
        <f t="shared" si="2"/>
        <v>31940954.115000002</v>
      </c>
      <c r="K33" s="502">
        <f>+J33-_CIERRE!U28-_CIERRE!V28</f>
        <v>0</v>
      </c>
      <c r="M33" s="32">
        <v>4102</v>
      </c>
      <c r="N33" s="33">
        <v>4103</v>
      </c>
      <c r="O33" s="4" t="s">
        <v>80</v>
      </c>
      <c r="P33" s="61">
        <f>+_CIERRE!S28</f>
        <v>0</v>
      </c>
      <c r="Q33" s="61">
        <f>+_CIERRE!T28</f>
        <v>30386022</v>
      </c>
      <c r="R33" s="502">
        <f>+Q33+P33-_CIERRE!T28</f>
        <v>0</v>
      </c>
      <c r="S33" s="61"/>
      <c r="T33" s="61"/>
      <c r="U33" s="61"/>
      <c r="V33" s="61"/>
      <c r="AF33" s="62"/>
      <c r="AG33" s="476"/>
    </row>
    <row r="34" spans="1:33" ht="3" customHeight="1" x14ac:dyDescent="0.25">
      <c r="A34">
        <v>4103</v>
      </c>
      <c r="B34">
        <v>4104</v>
      </c>
      <c r="C34" s="3" t="s">
        <v>81</v>
      </c>
      <c r="D34" s="137">
        <v>2617240.3280000002</v>
      </c>
      <c r="E34" s="138">
        <f t="shared" si="1"/>
        <v>218103.36066666667</v>
      </c>
      <c r="F34" s="138">
        <f>ROUND(E34*PARAMETROS!$L$10,0)</f>
        <v>172302</v>
      </c>
      <c r="G34" s="481">
        <v>0</v>
      </c>
      <c r="H34" s="481">
        <v>90982.895000000004</v>
      </c>
      <c r="I34" s="481">
        <v>845634.755</v>
      </c>
      <c r="J34" s="481">
        <f t="shared" si="2"/>
        <v>3553857.9780000001</v>
      </c>
      <c r="K34" s="502">
        <f>+J34-_CIERRE!U29-_CIERRE!V29</f>
        <v>0</v>
      </c>
      <c r="M34" s="32">
        <v>4103</v>
      </c>
      <c r="N34" s="33">
        <v>4104</v>
      </c>
      <c r="O34" s="4" t="s">
        <v>81</v>
      </c>
      <c r="P34" s="61">
        <f>+_CIERRE!S29</f>
        <v>0</v>
      </c>
      <c r="Q34" s="61">
        <f>+_CIERRE!T29</f>
        <v>3470435.696</v>
      </c>
      <c r="R34" s="502">
        <f>+Q34+P34-_CIERRE!T29</f>
        <v>0</v>
      </c>
      <c r="S34" s="61"/>
      <c r="T34" s="61"/>
      <c r="U34" s="61"/>
      <c r="V34" s="61"/>
      <c r="AF34" s="62"/>
      <c r="AG34" s="476"/>
    </row>
    <row r="35" spans="1:33" ht="3" customHeight="1" x14ac:dyDescent="0.25">
      <c r="A35">
        <v>4104</v>
      </c>
      <c r="B35">
        <v>4102</v>
      </c>
      <c r="C35" s="3" t="s">
        <v>79</v>
      </c>
      <c r="D35" s="137">
        <v>2256375.7749999999</v>
      </c>
      <c r="E35" s="138">
        <f t="shared" si="1"/>
        <v>188031.31458333333</v>
      </c>
      <c r="F35" s="138">
        <f>ROUND(E35*PARAMETROS!$L$10,0)</f>
        <v>148545</v>
      </c>
      <c r="G35" s="481">
        <v>0</v>
      </c>
      <c r="H35" s="481">
        <v>78372.976999999999</v>
      </c>
      <c r="I35" s="481">
        <v>726556.66899999999</v>
      </c>
      <c r="J35" s="481">
        <f t="shared" si="2"/>
        <v>3061305.4210000001</v>
      </c>
      <c r="K35" s="502">
        <f>+J35-_CIERRE!U30-_CIERRE!V30</f>
        <v>0</v>
      </c>
      <c r="M35" s="32">
        <v>4104</v>
      </c>
      <c r="N35" s="33">
        <v>4102</v>
      </c>
      <c r="O35" s="4" t="s">
        <v>79</v>
      </c>
      <c r="P35" s="61">
        <f>+_CIERRE!S30</f>
        <v>0</v>
      </c>
      <c r="Q35" s="61">
        <f>+_CIERRE!T30</f>
        <v>2683163.4270000001</v>
      </c>
      <c r="R35" s="502">
        <f>+Q35+P35-_CIERRE!T30</f>
        <v>0</v>
      </c>
      <c r="S35" s="61"/>
      <c r="T35" s="61"/>
      <c r="U35" s="61"/>
      <c r="V35" s="61"/>
      <c r="AF35" s="62"/>
      <c r="AG35" s="476"/>
    </row>
    <row r="36" spans="1:33" ht="3" customHeight="1" x14ac:dyDescent="0.25">
      <c r="A36">
        <v>4105</v>
      </c>
      <c r="B36">
        <v>4106</v>
      </c>
      <c r="C36" s="3" t="s">
        <v>28</v>
      </c>
      <c r="D36" s="137">
        <v>2603980.2170000002</v>
      </c>
      <c r="E36" s="138">
        <f t="shared" si="1"/>
        <v>216998.35141666667</v>
      </c>
      <c r="F36" s="138">
        <f>ROUND(E36*PARAMETROS!$L$10,0)</f>
        <v>171429</v>
      </c>
      <c r="G36" s="481">
        <v>0</v>
      </c>
      <c r="H36" s="481">
        <v>90465.107999999993</v>
      </c>
      <c r="I36" s="481">
        <v>839189.03</v>
      </c>
      <c r="J36" s="481">
        <f t="shared" si="2"/>
        <v>3533634.3550000004</v>
      </c>
      <c r="K36" s="502">
        <f>+J36-_CIERRE!U31-_CIERRE!V31</f>
        <v>0</v>
      </c>
      <c r="M36" s="32">
        <v>4105</v>
      </c>
      <c r="N36" s="33">
        <v>4106</v>
      </c>
      <c r="O36" s="4" t="s">
        <v>28</v>
      </c>
      <c r="P36" s="61">
        <f>+_CIERRE!S31</f>
        <v>0</v>
      </c>
      <c r="Q36" s="61">
        <f>+_CIERRE!T31</f>
        <v>3402026.09</v>
      </c>
      <c r="R36" s="502">
        <f>+Q36+P36-_CIERRE!T31</f>
        <v>0</v>
      </c>
      <c r="S36" s="61"/>
      <c r="T36" s="61"/>
      <c r="U36" s="61"/>
      <c r="V36" s="61"/>
      <c r="AF36" s="62"/>
      <c r="AG36" s="476"/>
    </row>
    <row r="37" spans="1:33" ht="3" customHeight="1" x14ac:dyDescent="0.25">
      <c r="A37">
        <v>4106</v>
      </c>
      <c r="B37">
        <v>4105</v>
      </c>
      <c r="C37" s="3" t="s">
        <v>82</v>
      </c>
      <c r="D37" s="137">
        <v>6823488.3720000004</v>
      </c>
      <c r="E37" s="138">
        <f t="shared" si="1"/>
        <v>568624.03100000008</v>
      </c>
      <c r="F37" s="138">
        <f>ROUND(E37*PARAMETROS!$L$10,0)</f>
        <v>449213</v>
      </c>
      <c r="G37" s="481">
        <v>0</v>
      </c>
      <c r="H37" s="481">
        <v>237141.61199999999</v>
      </c>
      <c r="I37" s="481">
        <v>2202297.514</v>
      </c>
      <c r="J37" s="481">
        <f t="shared" si="2"/>
        <v>9262927.4979999997</v>
      </c>
      <c r="K37" s="502">
        <f>+J37-_CIERRE!U32-_CIERRE!V32</f>
        <v>0</v>
      </c>
      <c r="M37" s="32">
        <v>4106</v>
      </c>
      <c r="N37" s="33">
        <v>4105</v>
      </c>
      <c r="O37" s="4" t="s">
        <v>82</v>
      </c>
      <c r="P37" s="61">
        <f>+_CIERRE!S32</f>
        <v>0</v>
      </c>
      <c r="Q37" s="61">
        <f>+_CIERRE!T32</f>
        <v>8919989.8159999996</v>
      </c>
      <c r="R37" s="502">
        <f>+Q37+P37-_CIERRE!T32</f>
        <v>0</v>
      </c>
      <c r="S37" s="61"/>
      <c r="T37" s="61"/>
      <c r="U37" s="61"/>
      <c r="V37" s="61"/>
      <c r="AF37" s="62"/>
      <c r="AG37" s="476"/>
    </row>
    <row r="38" spans="1:33" ht="3" customHeight="1" x14ac:dyDescent="0.25">
      <c r="A38">
        <v>4201</v>
      </c>
      <c r="B38">
        <v>4301</v>
      </c>
      <c r="C38" s="3" t="s">
        <v>86</v>
      </c>
      <c r="D38" s="137">
        <v>5519345.7709999997</v>
      </c>
      <c r="E38" s="138">
        <f t="shared" si="1"/>
        <v>459945.48091666662</v>
      </c>
      <c r="F38" s="138">
        <f>ROUND(E38*PARAMETROS!$L$10,0)</f>
        <v>363357</v>
      </c>
      <c r="G38" s="481">
        <v>0</v>
      </c>
      <c r="H38" s="481">
        <v>191753.92499999999</v>
      </c>
      <c r="I38" s="481">
        <v>1778951.5789999999</v>
      </c>
      <c r="J38" s="481">
        <f t="shared" si="2"/>
        <v>7490051.2749999994</v>
      </c>
      <c r="K38" s="502">
        <f>+J38-_CIERRE!U33-_CIERRE!V33</f>
        <v>0</v>
      </c>
      <c r="M38" s="32">
        <v>4201</v>
      </c>
      <c r="N38" s="33">
        <v>4301</v>
      </c>
      <c r="O38" s="4" t="s">
        <v>86</v>
      </c>
      <c r="P38" s="61">
        <f>+_CIERRE!S33</f>
        <v>0</v>
      </c>
      <c r="Q38" s="61">
        <f>+_CIERRE!T33</f>
        <v>6931629.1679999996</v>
      </c>
      <c r="R38" s="502">
        <f>+Q38+P38-_CIERRE!T33</f>
        <v>0</v>
      </c>
      <c r="S38" s="61"/>
      <c r="T38" s="61"/>
      <c r="U38" s="61"/>
      <c r="V38" s="61"/>
      <c r="AF38" s="62"/>
      <c r="AG38" s="476"/>
    </row>
    <row r="39" spans="1:33" ht="3" customHeight="1" x14ac:dyDescent="0.25">
      <c r="A39">
        <v>4202</v>
      </c>
      <c r="B39">
        <v>4304</v>
      </c>
      <c r="C39" s="3" t="s">
        <v>89</v>
      </c>
      <c r="D39" s="137">
        <v>2972573.0159999998</v>
      </c>
      <c r="E39" s="138">
        <f t="shared" si="1"/>
        <v>247714.41799999998</v>
      </c>
      <c r="F39" s="138">
        <f>ROUND(E39*PARAMETROS!$L$10,0)</f>
        <v>195694</v>
      </c>
      <c r="G39" s="481">
        <v>0</v>
      </c>
      <c r="H39" s="481">
        <v>103287.107</v>
      </c>
      <c r="I39" s="481">
        <v>958611.25100000005</v>
      </c>
      <c r="J39" s="481">
        <f t="shared" si="2"/>
        <v>4034471.3739999998</v>
      </c>
      <c r="K39" s="502">
        <f>+J39-_CIERRE!U34-_CIERRE!V34</f>
        <v>0</v>
      </c>
      <c r="M39" s="32">
        <v>4202</v>
      </c>
      <c r="N39" s="33">
        <v>4304</v>
      </c>
      <c r="O39" s="4" t="s">
        <v>89</v>
      </c>
      <c r="P39" s="61">
        <f>+_CIERRE!S34</f>
        <v>0</v>
      </c>
      <c r="Q39" s="61">
        <f>+_CIERRE!T34</f>
        <v>2855755.307</v>
      </c>
      <c r="R39" s="502">
        <f>+Q39+P39-_CIERRE!T34</f>
        <v>0</v>
      </c>
      <c r="S39" s="61"/>
      <c r="T39" s="61"/>
      <c r="U39" s="61"/>
      <c r="V39" s="61"/>
      <c r="AF39" s="62"/>
      <c r="AG39" s="476"/>
    </row>
    <row r="40" spans="1:33" ht="3" customHeight="1" x14ac:dyDescent="0.25">
      <c r="A40">
        <v>4203</v>
      </c>
      <c r="B40">
        <v>4303</v>
      </c>
      <c r="C40" s="3" t="s">
        <v>88</v>
      </c>
      <c r="D40" s="137">
        <v>9151523.4979999997</v>
      </c>
      <c r="E40" s="138">
        <f t="shared" si="1"/>
        <v>762626.95816666668</v>
      </c>
      <c r="F40" s="138">
        <f>ROUND(E40*PARAMETROS!$L$10,0)</f>
        <v>602475</v>
      </c>
      <c r="G40" s="481">
        <v>0</v>
      </c>
      <c r="H40" s="481">
        <v>317834.96899999998</v>
      </c>
      <c r="I40" s="481">
        <v>2945511.318</v>
      </c>
      <c r="J40" s="481">
        <f t="shared" si="2"/>
        <v>12414869.785</v>
      </c>
      <c r="K40" s="502">
        <f>+J40-_CIERRE!U35-_CIERRE!V35</f>
        <v>0</v>
      </c>
      <c r="M40" s="32">
        <v>4203</v>
      </c>
      <c r="N40" s="33">
        <v>4303</v>
      </c>
      <c r="O40" s="4" t="s">
        <v>88</v>
      </c>
      <c r="P40" s="61">
        <f>+_CIERRE!S35</f>
        <v>0</v>
      </c>
      <c r="Q40" s="61">
        <f>+_CIERRE!T35</f>
        <v>11116533.354</v>
      </c>
      <c r="R40" s="502">
        <f>+Q40+P40-_CIERRE!T35</f>
        <v>0</v>
      </c>
      <c r="S40" s="61"/>
      <c r="T40" s="61"/>
      <c r="U40" s="61"/>
      <c r="V40" s="61"/>
      <c r="AF40" s="62"/>
      <c r="AG40" s="476"/>
    </row>
    <row r="41" spans="1:33" ht="3" customHeight="1" x14ac:dyDescent="0.25">
      <c r="A41">
        <v>4204</v>
      </c>
      <c r="B41">
        <v>4302</v>
      </c>
      <c r="C41" s="3" t="s">
        <v>87</v>
      </c>
      <c r="D41" s="137">
        <v>4509682.1349999998</v>
      </c>
      <c r="E41" s="138">
        <f t="shared" si="1"/>
        <v>375806.8445833333</v>
      </c>
      <c r="F41" s="138">
        <f>ROUND(E41*PARAMETROS!$L$10,0)</f>
        <v>296887</v>
      </c>
      <c r="G41" s="481">
        <v>0</v>
      </c>
      <c r="H41" s="481">
        <v>156723.21299999999</v>
      </c>
      <c r="I41" s="481">
        <v>1455319.81</v>
      </c>
      <c r="J41" s="481">
        <f t="shared" si="2"/>
        <v>6121725.1579999998</v>
      </c>
      <c r="K41" s="502">
        <f>+J41-_CIERRE!U36-_CIERRE!V36</f>
        <v>0</v>
      </c>
      <c r="M41" s="32">
        <v>4204</v>
      </c>
      <c r="N41" s="33">
        <v>4302</v>
      </c>
      <c r="O41" s="4" t="s">
        <v>87</v>
      </c>
      <c r="P41" s="61">
        <f>+_CIERRE!S36</f>
        <v>0</v>
      </c>
      <c r="Q41" s="61">
        <f>+_CIERRE!T36</f>
        <v>4891018.8169999998</v>
      </c>
      <c r="R41" s="502">
        <f>+Q41+P41-_CIERRE!T36</f>
        <v>0</v>
      </c>
      <c r="S41" s="61"/>
      <c r="T41" s="61"/>
      <c r="U41" s="61"/>
      <c r="V41" s="61"/>
      <c r="AF41" s="62"/>
      <c r="AG41" s="476"/>
    </row>
    <row r="42" spans="1:33" ht="3" customHeight="1" x14ac:dyDescent="0.25">
      <c r="A42">
        <v>4301</v>
      </c>
      <c r="B42">
        <v>4201</v>
      </c>
      <c r="C42" s="3" t="s">
        <v>83</v>
      </c>
      <c r="D42" s="137">
        <v>14778658.675000001</v>
      </c>
      <c r="E42" s="138">
        <f t="shared" si="1"/>
        <v>1231554.8895833334</v>
      </c>
      <c r="F42" s="138">
        <f>ROUND(E42*PARAMETROS!$L$10,0)</f>
        <v>972928</v>
      </c>
      <c r="G42" s="481">
        <v>0</v>
      </c>
      <c r="H42" s="481">
        <v>513866.37099999998</v>
      </c>
      <c r="I42" s="481">
        <v>4779474.2769999998</v>
      </c>
      <c r="J42" s="481">
        <f t="shared" si="2"/>
        <v>20071999.322999999</v>
      </c>
      <c r="K42" s="502">
        <f>+J42-_CIERRE!U37-_CIERRE!V37</f>
        <v>0</v>
      </c>
      <c r="M42" s="32">
        <v>4301</v>
      </c>
      <c r="N42" s="33">
        <v>4201</v>
      </c>
      <c r="O42" s="4" t="s">
        <v>83</v>
      </c>
      <c r="P42" s="61">
        <f>+_CIERRE!S37</f>
        <v>0</v>
      </c>
      <c r="Q42" s="61">
        <f>+_CIERRE!T37</f>
        <v>19347446.850000001</v>
      </c>
      <c r="R42" s="502">
        <f>+Q42+P42-_CIERRE!T37</f>
        <v>0</v>
      </c>
      <c r="S42" s="61"/>
      <c r="T42" s="61"/>
      <c r="U42" s="61"/>
      <c r="V42" s="61"/>
      <c r="AF42" s="62"/>
      <c r="AG42" s="476"/>
    </row>
    <row r="43" spans="1:33" ht="3" customHeight="1" x14ac:dyDescent="0.25">
      <c r="A43">
        <v>4302</v>
      </c>
      <c r="B43">
        <v>4205</v>
      </c>
      <c r="C43" s="3" t="s">
        <v>376</v>
      </c>
      <c r="D43" s="137">
        <v>3891199.1970000002</v>
      </c>
      <c r="E43" s="138">
        <f t="shared" si="1"/>
        <v>324266.59974999999</v>
      </c>
      <c r="F43" s="138">
        <f>ROUND(E43*PARAMETROS!$L$10,0)</f>
        <v>256171</v>
      </c>
      <c r="G43" s="481">
        <v>0</v>
      </c>
      <c r="H43" s="481">
        <v>135215.158</v>
      </c>
      <c r="I43" s="481">
        <v>1255189.669</v>
      </c>
      <c r="J43" s="481">
        <f t="shared" si="2"/>
        <v>5281604.0240000002</v>
      </c>
      <c r="K43" s="502">
        <f>+J43-_CIERRE!U38-_CIERRE!V38</f>
        <v>0</v>
      </c>
      <c r="M43" s="32">
        <v>4302</v>
      </c>
      <c r="N43" s="33">
        <v>4205</v>
      </c>
      <c r="O43" s="4" t="s">
        <v>376</v>
      </c>
      <c r="P43" s="61">
        <f>+_CIERRE!S38</f>
        <v>0</v>
      </c>
      <c r="Q43" s="61">
        <f>+_CIERRE!T38</f>
        <v>4873889.2589999996</v>
      </c>
      <c r="R43" s="502">
        <f>+Q43+P43-_CIERRE!T38</f>
        <v>0</v>
      </c>
      <c r="S43" s="61"/>
      <c r="T43" s="61"/>
      <c r="U43" s="61"/>
      <c r="V43" s="61"/>
      <c r="AF43" s="62"/>
      <c r="AG43" s="476"/>
    </row>
    <row r="44" spans="1:33" ht="3" customHeight="1" x14ac:dyDescent="0.25">
      <c r="A44">
        <v>4303</v>
      </c>
      <c r="B44">
        <v>4203</v>
      </c>
      <c r="C44" s="3" t="s">
        <v>84</v>
      </c>
      <c r="D44" s="137">
        <v>6561143.2640000004</v>
      </c>
      <c r="E44" s="138">
        <f t="shared" si="1"/>
        <v>546761.93866666674</v>
      </c>
      <c r="F44" s="138">
        <f>ROUND(E44*PARAMETROS!$L$10,0)</f>
        <v>431942</v>
      </c>
      <c r="G44" s="481">
        <v>0</v>
      </c>
      <c r="H44" s="481">
        <v>228044.51699999999</v>
      </c>
      <c r="I44" s="481">
        <v>2118400.0260000001</v>
      </c>
      <c r="J44" s="481">
        <f t="shared" si="2"/>
        <v>8907587.807</v>
      </c>
      <c r="K44" s="502">
        <f>+J44-_CIERRE!U39-_CIERRE!V39</f>
        <v>0</v>
      </c>
      <c r="M44" s="32">
        <v>4303</v>
      </c>
      <c r="N44" s="33">
        <v>4203</v>
      </c>
      <c r="O44" s="4" t="s">
        <v>84</v>
      </c>
      <c r="P44" s="61">
        <f>+_CIERRE!S39</f>
        <v>0</v>
      </c>
      <c r="Q44" s="61">
        <f>+_CIERRE!T39</f>
        <v>8319495.6169999996</v>
      </c>
      <c r="R44" s="502">
        <f>+Q44+P44-_CIERRE!T39</f>
        <v>0</v>
      </c>
      <c r="S44" s="61"/>
      <c r="T44" s="61"/>
      <c r="U44" s="61"/>
      <c r="V44" s="61"/>
      <c r="AF44" s="62"/>
      <c r="AG44" s="476"/>
    </row>
    <row r="45" spans="1:33" ht="3" customHeight="1" x14ac:dyDescent="0.25">
      <c r="A45">
        <v>4304</v>
      </c>
      <c r="B45">
        <v>4204</v>
      </c>
      <c r="C45" s="3" t="s">
        <v>85</v>
      </c>
      <c r="D45" s="137">
        <v>3106024.6860000002</v>
      </c>
      <c r="E45" s="138">
        <f t="shared" si="1"/>
        <v>258835.39050000001</v>
      </c>
      <c r="F45" s="138">
        <f>ROUND(E45*PARAMETROS!$L$10,0)</f>
        <v>204480</v>
      </c>
      <c r="G45" s="481">
        <v>0</v>
      </c>
      <c r="H45" s="481">
        <v>107979.09699999999</v>
      </c>
      <c r="I45" s="481">
        <v>1003740.878</v>
      </c>
      <c r="J45" s="481">
        <f t="shared" si="2"/>
        <v>4217744.6610000003</v>
      </c>
      <c r="K45" s="502">
        <f>+J45-_CIERRE!U40-_CIERRE!V40</f>
        <v>0</v>
      </c>
      <c r="M45" s="32">
        <v>4304</v>
      </c>
      <c r="N45" s="33">
        <v>4204</v>
      </c>
      <c r="O45" s="4" t="s">
        <v>85</v>
      </c>
      <c r="P45" s="61">
        <f>+_CIERRE!S40</f>
        <v>0</v>
      </c>
      <c r="Q45" s="61">
        <f>+_CIERRE!T40</f>
        <v>3829124.6</v>
      </c>
      <c r="R45" s="502">
        <f>+Q45+P45-_CIERRE!T40</f>
        <v>0</v>
      </c>
      <c r="S45" s="61"/>
      <c r="T45" s="61"/>
      <c r="U45" s="61"/>
      <c r="V45" s="61"/>
      <c r="AF45" s="62"/>
      <c r="AG45" s="476"/>
    </row>
    <row r="46" spans="1:33" ht="3" customHeight="1" x14ac:dyDescent="0.25">
      <c r="A46">
        <v>4305</v>
      </c>
      <c r="B46">
        <v>4206</v>
      </c>
      <c r="C46" s="3" t="s">
        <v>377</v>
      </c>
      <c r="D46" s="137">
        <v>2286696.2459999998</v>
      </c>
      <c r="E46" s="138">
        <f t="shared" si="1"/>
        <v>190558.02049999998</v>
      </c>
      <c r="F46" s="138">
        <f>ROUND(E46*PARAMETROS!$L$10,0)</f>
        <v>150541</v>
      </c>
      <c r="G46" s="481">
        <v>0</v>
      </c>
      <c r="H46" s="481">
        <v>79414.191999999995</v>
      </c>
      <c r="I46" s="481">
        <v>735866.48400000005</v>
      </c>
      <c r="J46" s="481">
        <f t="shared" si="2"/>
        <v>3101976.9219999998</v>
      </c>
      <c r="K46" s="502">
        <f>+J46-_CIERRE!U41-_CIERRE!V41</f>
        <v>0</v>
      </c>
      <c r="M46" s="32">
        <v>4305</v>
      </c>
      <c r="N46" s="33">
        <v>4206</v>
      </c>
      <c r="O46" s="4" t="s">
        <v>377</v>
      </c>
      <c r="P46" s="61">
        <f>+_CIERRE!S41</f>
        <v>0</v>
      </c>
      <c r="Q46" s="61">
        <f>+_CIERRE!T41</f>
        <v>2675397.1970000002</v>
      </c>
      <c r="R46" s="502">
        <f>+Q46+P46-_CIERRE!T41</f>
        <v>0</v>
      </c>
      <c r="S46" s="61"/>
      <c r="T46" s="61"/>
      <c r="U46" s="61"/>
      <c r="V46" s="61"/>
      <c r="AF46" s="62"/>
      <c r="AG46" s="476"/>
    </row>
    <row r="47" spans="1:33" ht="3" customHeight="1" x14ac:dyDescent="0.25">
      <c r="A47">
        <v>5101</v>
      </c>
      <c r="B47">
        <v>5301</v>
      </c>
      <c r="C47" s="3" t="s">
        <v>378</v>
      </c>
      <c r="D47" s="137">
        <v>30009878.239</v>
      </c>
      <c r="E47" s="138">
        <f t="shared" si="1"/>
        <v>2500823.1865833332</v>
      </c>
      <c r="F47" s="138">
        <f>ROUND(E47*PARAMETROS!$L$10,0)</f>
        <v>1975650</v>
      </c>
      <c r="G47" s="481">
        <v>0</v>
      </c>
      <c r="H47" s="481">
        <v>1042230.461</v>
      </c>
      <c r="I47" s="481">
        <v>9658183.6710000001</v>
      </c>
      <c r="J47" s="481">
        <f t="shared" si="2"/>
        <v>40710292.370999999</v>
      </c>
      <c r="K47" s="502">
        <f>+J47-_CIERRE!U42-_CIERRE!V42</f>
        <v>0</v>
      </c>
      <c r="M47" s="32">
        <v>5101</v>
      </c>
      <c r="N47" s="33">
        <v>5301</v>
      </c>
      <c r="O47" s="4" t="s">
        <v>378</v>
      </c>
      <c r="P47" s="61">
        <f>+_CIERRE!S42</f>
        <v>0</v>
      </c>
      <c r="Q47" s="61">
        <f>+_CIERRE!T42</f>
        <v>39387383.501999997</v>
      </c>
      <c r="R47" s="502">
        <f>+Q47+P47-_CIERRE!T42</f>
        <v>0</v>
      </c>
      <c r="S47" s="61"/>
      <c r="T47" s="61"/>
      <c r="U47" s="61"/>
      <c r="V47" s="61"/>
      <c r="AF47" s="62"/>
      <c r="AG47" s="476"/>
    </row>
    <row r="48" spans="1:33" ht="3" customHeight="1" x14ac:dyDescent="0.25">
      <c r="A48">
        <v>5102</v>
      </c>
      <c r="B48">
        <v>5305</v>
      </c>
      <c r="C48" s="3" t="s">
        <v>97</v>
      </c>
      <c r="D48" s="137">
        <v>2260877.9569999999</v>
      </c>
      <c r="E48" s="138">
        <f t="shared" si="1"/>
        <v>188406.49641666666</v>
      </c>
      <c r="F48" s="138">
        <f>ROUND(E48*PARAMETROS!$L$10,0)</f>
        <v>148841</v>
      </c>
      <c r="G48" s="481">
        <v>0</v>
      </c>
      <c r="H48" s="481">
        <v>78634.773000000001</v>
      </c>
      <c r="I48" s="481">
        <v>732019.96799999999</v>
      </c>
      <c r="J48" s="481">
        <f t="shared" si="2"/>
        <v>3071532.6979999999</v>
      </c>
      <c r="K48" s="502">
        <f>+J48-_CIERRE!U43-_CIERRE!V43</f>
        <v>0</v>
      </c>
      <c r="M48" s="32">
        <v>5102</v>
      </c>
      <c r="N48" s="33">
        <v>5305</v>
      </c>
      <c r="O48" s="4" t="s">
        <v>97</v>
      </c>
      <c r="P48" s="61">
        <f>+_CIERRE!S43</f>
        <v>0</v>
      </c>
      <c r="Q48" s="61">
        <f>+_CIERRE!T43</f>
        <v>2885187.841</v>
      </c>
      <c r="R48" s="502">
        <f>+Q48+P48-_CIERRE!T43</f>
        <v>0</v>
      </c>
      <c r="S48" s="61"/>
      <c r="T48" s="61"/>
      <c r="U48" s="61"/>
      <c r="V48" s="61"/>
      <c r="AF48" s="62"/>
      <c r="AG48" s="476"/>
    </row>
    <row r="49" spans="1:33" ht="3" customHeight="1" x14ac:dyDescent="0.25">
      <c r="A49">
        <v>5103</v>
      </c>
      <c r="B49">
        <v>5309</v>
      </c>
      <c r="C49" s="3" t="s">
        <v>379</v>
      </c>
      <c r="D49" s="137">
        <v>1900489.2649999999</v>
      </c>
      <c r="E49" s="138">
        <f t="shared" si="1"/>
        <v>158374.10541666666</v>
      </c>
      <c r="F49" s="138">
        <f>ROUND(E49*PARAMETROS!$L$10,0)</f>
        <v>125116</v>
      </c>
      <c r="G49" s="481">
        <v>0</v>
      </c>
      <c r="H49" s="481">
        <v>65907.896999999997</v>
      </c>
      <c r="I49" s="481">
        <v>608014.13199999998</v>
      </c>
      <c r="J49" s="481">
        <f t="shared" si="2"/>
        <v>2574411.2939999998</v>
      </c>
      <c r="K49" s="502">
        <f>+J49-_CIERRE!U44-_CIERRE!V44</f>
        <v>0</v>
      </c>
      <c r="M49" s="32">
        <v>5103</v>
      </c>
      <c r="N49" s="33">
        <v>5309</v>
      </c>
      <c r="O49" s="4" t="s">
        <v>379</v>
      </c>
      <c r="P49" s="61">
        <f>+_CIERRE!S44</f>
        <v>0</v>
      </c>
      <c r="Q49" s="61">
        <f>+_CIERRE!T44</f>
        <v>2550551.7149999999</v>
      </c>
      <c r="R49" s="502">
        <f>+Q49+P49-_CIERRE!T44</f>
        <v>0</v>
      </c>
      <c r="S49" s="61"/>
      <c r="T49" s="61"/>
      <c r="U49" s="61"/>
      <c r="V49" s="61"/>
      <c r="AF49" s="62"/>
      <c r="AG49" s="476"/>
    </row>
    <row r="50" spans="1:33" ht="3" customHeight="1" x14ac:dyDescent="0.25">
      <c r="A50">
        <v>5104</v>
      </c>
      <c r="B50">
        <v>5308</v>
      </c>
      <c r="C50" s="3" t="s">
        <v>380</v>
      </c>
      <c r="D50" s="137">
        <v>1557742.7720000001</v>
      </c>
      <c r="E50" s="138">
        <f t="shared" si="1"/>
        <v>129811.89766666667</v>
      </c>
      <c r="F50" s="138">
        <f>ROUND(E50*PARAMETROS!$L$10,0)</f>
        <v>102551</v>
      </c>
      <c r="G50" s="481">
        <v>0</v>
      </c>
      <c r="H50" s="481">
        <v>54108.762999999999</v>
      </c>
      <c r="I50" s="481">
        <v>501676.59700000001</v>
      </c>
      <c r="J50" s="481">
        <f t="shared" si="2"/>
        <v>2113528.1320000002</v>
      </c>
      <c r="K50" s="502">
        <f>+J50-_CIERRE!U45-_CIERRE!V45</f>
        <v>0</v>
      </c>
      <c r="M50" s="32">
        <v>5104</v>
      </c>
      <c r="N50" s="33">
        <v>5308</v>
      </c>
      <c r="O50" s="4" t="s">
        <v>380</v>
      </c>
      <c r="P50" s="61">
        <f>+_CIERRE!S45</f>
        <v>0</v>
      </c>
      <c r="Q50" s="61">
        <f>+_CIERRE!T45</f>
        <v>2064978.899</v>
      </c>
      <c r="R50" s="502">
        <f>+Q50+P50-_CIERRE!T45</f>
        <v>0</v>
      </c>
      <c r="S50" s="61"/>
      <c r="T50" s="61"/>
      <c r="U50" s="61"/>
      <c r="V50" s="61"/>
      <c r="AF50" s="62"/>
      <c r="AG50" s="476"/>
    </row>
    <row r="51" spans="1:33" ht="3" customHeight="1" x14ac:dyDescent="0.25">
      <c r="A51">
        <v>5105</v>
      </c>
      <c r="B51">
        <v>5307</v>
      </c>
      <c r="C51" s="3" t="s">
        <v>381</v>
      </c>
      <c r="D51" s="137">
        <v>2170736.8280000002</v>
      </c>
      <c r="E51" s="138">
        <f t="shared" si="1"/>
        <v>180894.73566666667</v>
      </c>
      <c r="F51" s="138">
        <f>ROUND(E51*PARAMETROS!$L$10,0)</f>
        <v>142907</v>
      </c>
      <c r="G51" s="481">
        <v>0</v>
      </c>
      <c r="H51" s="481">
        <v>75277.962</v>
      </c>
      <c r="I51" s="481">
        <v>694397.81700000004</v>
      </c>
      <c r="J51" s="481">
        <f t="shared" si="2"/>
        <v>2940412.6069999998</v>
      </c>
      <c r="K51" s="502">
        <f>+J51-_CIERRE!U46-_CIERRE!V46</f>
        <v>0</v>
      </c>
      <c r="M51" s="32">
        <v>5105</v>
      </c>
      <c r="N51" s="33">
        <v>5307</v>
      </c>
      <c r="O51" s="4" t="s">
        <v>381</v>
      </c>
      <c r="P51" s="61">
        <f>+_CIERRE!S46</f>
        <v>0</v>
      </c>
      <c r="Q51" s="61">
        <f>+_CIERRE!T46</f>
        <v>2896860.3620000002</v>
      </c>
      <c r="R51" s="502">
        <f>+Q51+P51-_CIERRE!T46</f>
        <v>0</v>
      </c>
      <c r="S51" s="61"/>
      <c r="T51" s="61"/>
      <c r="U51" s="61"/>
      <c r="V51" s="61"/>
      <c r="AF51" s="62"/>
      <c r="AG51" s="476"/>
    </row>
    <row r="52" spans="1:33" ht="3" customHeight="1" x14ac:dyDescent="0.25">
      <c r="A52">
        <v>5107</v>
      </c>
      <c r="B52">
        <v>5306</v>
      </c>
      <c r="C52" s="3" t="s">
        <v>98</v>
      </c>
      <c r="D52" s="137">
        <v>13288068.967</v>
      </c>
      <c r="E52" s="138">
        <f t="shared" si="1"/>
        <v>1107339.0805833333</v>
      </c>
      <c r="F52" s="138">
        <f>ROUND(E52*PARAMETROS!$L$10,0)</f>
        <v>874798</v>
      </c>
      <c r="G52" s="481">
        <v>0</v>
      </c>
      <c r="H52" s="481">
        <v>461645.50400000002</v>
      </c>
      <c r="I52" s="481">
        <v>4282500.2479999997</v>
      </c>
      <c r="J52" s="481">
        <f t="shared" si="2"/>
        <v>18032214.719000001</v>
      </c>
      <c r="K52" s="502">
        <f>+J52-_CIERRE!U47-_CIERRE!V47</f>
        <v>0</v>
      </c>
      <c r="M52" s="32">
        <v>5107</v>
      </c>
      <c r="N52" s="33">
        <v>5306</v>
      </c>
      <c r="O52" s="4" t="s">
        <v>98</v>
      </c>
      <c r="P52" s="61">
        <f>+_CIERRE!S47</f>
        <v>0</v>
      </c>
      <c r="Q52" s="61">
        <f>+_CIERRE!T47</f>
        <v>17865094.568999998</v>
      </c>
      <c r="R52" s="502">
        <f>+Q52+P52-_CIERRE!T47</f>
        <v>0</v>
      </c>
      <c r="S52" s="61"/>
      <c r="T52" s="61"/>
      <c r="U52" s="61"/>
      <c r="V52" s="61"/>
      <c r="AF52" s="62"/>
      <c r="AG52" s="476"/>
    </row>
    <row r="53" spans="1:33" ht="3" customHeight="1" x14ac:dyDescent="0.25">
      <c r="A53">
        <v>5109</v>
      </c>
      <c r="B53">
        <v>5302</v>
      </c>
      <c r="C53" s="3" t="s">
        <v>95</v>
      </c>
      <c r="D53" s="137">
        <v>9916583.568</v>
      </c>
      <c r="E53" s="138">
        <f t="shared" si="1"/>
        <v>826381.96400000004</v>
      </c>
      <c r="F53" s="138">
        <f>ROUND(E53*PARAMETROS!$L$10,0)</f>
        <v>652842</v>
      </c>
      <c r="G53" s="481">
        <v>0</v>
      </c>
      <c r="H53" s="481">
        <v>344400.85</v>
      </c>
      <c r="I53" s="481">
        <v>3191566.2560000001</v>
      </c>
      <c r="J53" s="481">
        <f t="shared" si="2"/>
        <v>13452550.673999999</v>
      </c>
      <c r="K53" s="502">
        <f>+J53-_CIERRE!U48-_CIERRE!V48</f>
        <v>0</v>
      </c>
      <c r="M53" s="32">
        <v>5109</v>
      </c>
      <c r="N53" s="33">
        <v>5302</v>
      </c>
      <c r="O53" s="4" t="s">
        <v>95</v>
      </c>
      <c r="P53" s="61">
        <f>+_CIERRE!S48</f>
        <v>0</v>
      </c>
      <c r="Q53" s="61">
        <f>+_CIERRE!T48</f>
        <v>12721170.834000001</v>
      </c>
      <c r="R53" s="502">
        <f>+Q53+P53-_CIERRE!T48</f>
        <v>0</v>
      </c>
      <c r="S53" s="61"/>
      <c r="T53" s="61"/>
      <c r="U53" s="61"/>
      <c r="V53" s="61"/>
      <c r="AF53" s="62"/>
      <c r="AG53" s="476"/>
    </row>
    <row r="54" spans="1:33" ht="3" customHeight="1" x14ac:dyDescent="0.25">
      <c r="A54">
        <v>5201</v>
      </c>
      <c r="B54">
        <v>5101</v>
      </c>
      <c r="C54" s="8" t="s">
        <v>504</v>
      </c>
      <c r="D54" s="137">
        <v>4256961.8370000003</v>
      </c>
      <c r="E54" s="138">
        <f t="shared" si="1"/>
        <v>354746.81975000002</v>
      </c>
      <c r="F54" s="138">
        <f>ROUND(E54*PARAMETROS!$L$10,0)</f>
        <v>280250</v>
      </c>
      <c r="G54" s="481">
        <v>22097766</v>
      </c>
      <c r="H54" s="481">
        <v>147892.61600000001</v>
      </c>
      <c r="I54" s="481">
        <v>1371940.5090000001</v>
      </c>
      <c r="J54" s="481">
        <f t="shared" si="2"/>
        <v>5776794.9620000012</v>
      </c>
      <c r="K54" s="502">
        <f>+J54-_CIERRE!U49-_CIERRE!V49</f>
        <v>-22097766</v>
      </c>
      <c r="M54" s="32">
        <v>5201</v>
      </c>
      <c r="N54" s="33">
        <v>5101</v>
      </c>
      <c r="O54" s="34" t="s">
        <v>504</v>
      </c>
      <c r="P54" s="61">
        <f>+_CIERRE!S49</f>
        <v>19216532</v>
      </c>
      <c r="Q54" s="61">
        <f>+_CIERRE!T49</f>
        <v>5723257.0060000001</v>
      </c>
      <c r="R54" s="502">
        <f>+Q54+P54-_CIERRE!T49</f>
        <v>19216532</v>
      </c>
      <c r="S54" s="61"/>
      <c r="T54" s="61"/>
      <c r="U54" s="61"/>
      <c r="V54" s="61"/>
      <c r="AF54" s="62"/>
      <c r="AG54" s="476"/>
    </row>
    <row r="55" spans="1:33" ht="3" customHeight="1" x14ac:dyDescent="0.25">
      <c r="A55">
        <v>5301</v>
      </c>
      <c r="B55">
        <v>5701</v>
      </c>
      <c r="C55" s="3" t="s">
        <v>115</v>
      </c>
      <c r="D55" s="137">
        <v>7889657.1289999997</v>
      </c>
      <c r="E55" s="138">
        <f t="shared" si="1"/>
        <v>657471.42741666664</v>
      </c>
      <c r="F55" s="138">
        <f>ROUND(E55*PARAMETROS!$L$10,0)</f>
        <v>519402</v>
      </c>
      <c r="G55" s="481">
        <v>0</v>
      </c>
      <c r="H55" s="481">
        <v>274226.90999999997</v>
      </c>
      <c r="I55" s="481">
        <v>2547621.1940000001</v>
      </c>
      <c r="J55" s="481">
        <f t="shared" si="2"/>
        <v>10711505.232999999</v>
      </c>
      <c r="K55" s="502">
        <f>+J55-_CIERRE!U50-_CIERRE!V50</f>
        <v>0</v>
      </c>
      <c r="M55" s="32">
        <v>5301</v>
      </c>
      <c r="N55" s="33">
        <v>5701</v>
      </c>
      <c r="O55" s="4" t="s">
        <v>115</v>
      </c>
      <c r="P55" s="61">
        <f>+_CIERRE!S50</f>
        <v>0</v>
      </c>
      <c r="Q55" s="61">
        <f>+_CIERRE!T50</f>
        <v>9901823.5739999991</v>
      </c>
      <c r="R55" s="502">
        <f>+Q55+P55-_CIERRE!T50</f>
        <v>0</v>
      </c>
      <c r="S55" s="61"/>
      <c r="T55" s="61"/>
      <c r="U55" s="61"/>
      <c r="V55" s="61"/>
      <c r="AF55" s="62"/>
      <c r="AG55" s="476"/>
    </row>
    <row r="56" spans="1:33" ht="3" customHeight="1" x14ac:dyDescent="0.25">
      <c r="A56">
        <v>5302</v>
      </c>
      <c r="B56">
        <v>5702</v>
      </c>
      <c r="C56" s="3" t="s">
        <v>116</v>
      </c>
      <c r="D56" s="137">
        <v>2054369.078</v>
      </c>
      <c r="E56" s="138">
        <f t="shared" si="1"/>
        <v>171197.42316666667</v>
      </c>
      <c r="F56" s="138">
        <f>ROUND(E56*PARAMETROS!$L$10,0)</f>
        <v>135246</v>
      </c>
      <c r="G56" s="481">
        <v>0</v>
      </c>
      <c r="H56" s="481">
        <v>71366.099000000002</v>
      </c>
      <c r="I56" s="481">
        <v>661876.53099999996</v>
      </c>
      <c r="J56" s="481">
        <f t="shared" si="2"/>
        <v>2787611.7080000001</v>
      </c>
      <c r="K56" s="502">
        <f>+J56-_CIERRE!U51-_CIERRE!V51</f>
        <v>0</v>
      </c>
      <c r="M56" s="32">
        <v>5302</v>
      </c>
      <c r="N56" s="33">
        <v>5702</v>
      </c>
      <c r="O56" s="4" t="s">
        <v>116</v>
      </c>
      <c r="P56" s="61">
        <f>+_CIERRE!S51</f>
        <v>0</v>
      </c>
      <c r="Q56" s="61">
        <f>+_CIERRE!T51</f>
        <v>2659000.6189999999</v>
      </c>
      <c r="R56" s="502">
        <f>+Q56+P56-_CIERRE!T51</f>
        <v>0</v>
      </c>
      <c r="S56" s="61"/>
      <c r="T56" s="61"/>
      <c r="U56" s="61"/>
      <c r="V56" s="61"/>
      <c r="AF56" s="62"/>
      <c r="AG56" s="476"/>
    </row>
    <row r="57" spans="1:33" ht="3" customHeight="1" x14ac:dyDescent="0.25">
      <c r="A57">
        <v>5303</v>
      </c>
      <c r="B57">
        <v>5704</v>
      </c>
      <c r="C57" s="3" t="s">
        <v>118</v>
      </c>
      <c r="D57" s="137">
        <v>1801155.818</v>
      </c>
      <c r="E57" s="138">
        <f t="shared" si="1"/>
        <v>150096.31816666666</v>
      </c>
      <c r="F57" s="138">
        <f>ROUND(E57*PARAMETROS!$L$10,0)</f>
        <v>118576</v>
      </c>
      <c r="G57" s="481">
        <v>0</v>
      </c>
      <c r="H57" s="481">
        <v>62580.966999999997</v>
      </c>
      <c r="I57" s="481">
        <v>580722.05299999996</v>
      </c>
      <c r="J57" s="481">
        <f t="shared" si="2"/>
        <v>2444458.838</v>
      </c>
      <c r="K57" s="502">
        <f>+J57-_CIERRE!U52-_CIERRE!V52</f>
        <v>0</v>
      </c>
      <c r="M57" s="32">
        <v>5303</v>
      </c>
      <c r="N57" s="33">
        <v>5704</v>
      </c>
      <c r="O57" s="4" t="s">
        <v>118</v>
      </c>
      <c r="P57" s="61">
        <f>+_CIERRE!S52</f>
        <v>0</v>
      </c>
      <c r="Q57" s="61">
        <f>+_CIERRE!T52</f>
        <v>2331167.9649999999</v>
      </c>
      <c r="R57" s="502">
        <f>+Q57+P57-_CIERRE!T52</f>
        <v>0</v>
      </c>
      <c r="S57" s="61"/>
      <c r="T57" s="61"/>
      <c r="U57" s="61"/>
      <c r="V57" s="61"/>
      <c r="AF57" s="62"/>
      <c r="AG57" s="476"/>
    </row>
    <row r="58" spans="1:33" ht="3" customHeight="1" x14ac:dyDescent="0.25">
      <c r="A58">
        <v>5304</v>
      </c>
      <c r="B58">
        <v>5703</v>
      </c>
      <c r="C58" s="3" t="s">
        <v>117</v>
      </c>
      <c r="D58" s="137">
        <v>3289223.5219999999</v>
      </c>
      <c r="E58" s="138">
        <f t="shared" si="1"/>
        <v>274101.96016666666</v>
      </c>
      <c r="F58" s="138">
        <f>ROUND(E58*PARAMETROS!$L$10,0)</f>
        <v>216541</v>
      </c>
      <c r="G58" s="481">
        <v>0</v>
      </c>
      <c r="H58" s="481">
        <v>114314.92600000001</v>
      </c>
      <c r="I58" s="481">
        <v>1061686.196</v>
      </c>
      <c r="J58" s="481">
        <f t="shared" si="2"/>
        <v>4465224.6439999994</v>
      </c>
      <c r="K58" s="502">
        <f>+J58-_CIERRE!U53-_CIERRE!V53</f>
        <v>0</v>
      </c>
      <c r="M58" s="32">
        <v>5304</v>
      </c>
      <c r="N58" s="33">
        <v>5703</v>
      </c>
      <c r="O58" s="4" t="s">
        <v>117</v>
      </c>
      <c r="P58" s="61">
        <f>+_CIERRE!S53</f>
        <v>0</v>
      </c>
      <c r="Q58" s="61">
        <f>+_CIERRE!T53</f>
        <v>4214427.9330000002</v>
      </c>
      <c r="R58" s="502">
        <f>+Q58+P58-_CIERRE!T53</f>
        <v>0</v>
      </c>
      <c r="S58" s="61"/>
      <c r="T58" s="61"/>
      <c r="U58" s="61"/>
      <c r="V58" s="61"/>
      <c r="AF58" s="62"/>
      <c r="AG58" s="476"/>
    </row>
    <row r="59" spans="1:33" ht="3" customHeight="1" x14ac:dyDescent="0.25">
      <c r="A59">
        <v>5401</v>
      </c>
      <c r="B59">
        <v>5201</v>
      </c>
      <c r="C59" s="3" t="s">
        <v>90</v>
      </c>
      <c r="D59" s="137">
        <v>7308441.3770000003</v>
      </c>
      <c r="E59" s="138">
        <f t="shared" si="1"/>
        <v>609036.78141666669</v>
      </c>
      <c r="F59" s="138">
        <f>ROUND(E59*PARAMETROS!$L$10,0)</f>
        <v>481139</v>
      </c>
      <c r="G59" s="481">
        <v>0</v>
      </c>
      <c r="H59" s="481">
        <v>253761.864</v>
      </c>
      <c r="I59" s="481">
        <v>2349923.108</v>
      </c>
      <c r="J59" s="481">
        <f t="shared" si="2"/>
        <v>9912126.3489999995</v>
      </c>
      <c r="K59" s="502">
        <f>+J59-_CIERRE!U54-_CIERRE!V54</f>
        <v>0</v>
      </c>
      <c r="M59" s="32">
        <v>5401</v>
      </c>
      <c r="N59" s="33">
        <v>5201</v>
      </c>
      <c r="O59" s="4" t="s">
        <v>90</v>
      </c>
      <c r="P59" s="61">
        <f>+_CIERRE!S54</f>
        <v>0</v>
      </c>
      <c r="Q59" s="61">
        <f>+_CIERRE!T54</f>
        <v>7660051.5259999996</v>
      </c>
      <c r="R59" s="502">
        <f>+Q59+P59-_CIERRE!T54</f>
        <v>0</v>
      </c>
      <c r="S59" s="61"/>
      <c r="T59" s="61"/>
      <c r="U59" s="61"/>
      <c r="V59" s="61"/>
      <c r="AF59" s="62"/>
      <c r="AG59" s="476"/>
    </row>
    <row r="60" spans="1:33" ht="3" customHeight="1" x14ac:dyDescent="0.25">
      <c r="A60">
        <v>5402</v>
      </c>
      <c r="B60">
        <v>5203</v>
      </c>
      <c r="C60" s="3" t="s">
        <v>92</v>
      </c>
      <c r="D60" s="137">
        <v>3363859.8059999999</v>
      </c>
      <c r="E60" s="138">
        <f t="shared" si="1"/>
        <v>280321.65049999999</v>
      </c>
      <c r="F60" s="138">
        <f>ROUND(E60*PARAMETROS!$L$10,0)</f>
        <v>221454</v>
      </c>
      <c r="G60" s="481">
        <v>0</v>
      </c>
      <c r="H60" s="481">
        <v>116948.27800000001</v>
      </c>
      <c r="I60" s="481">
        <v>1087278.378</v>
      </c>
      <c r="J60" s="481">
        <f t="shared" si="2"/>
        <v>4568086.4619999994</v>
      </c>
      <c r="K60" s="502">
        <f>+J60-_CIERRE!U55-_CIERRE!V55</f>
        <v>0</v>
      </c>
      <c r="M60" s="32">
        <v>5402</v>
      </c>
      <c r="N60" s="33">
        <v>5203</v>
      </c>
      <c r="O60" s="4" t="s">
        <v>92</v>
      </c>
      <c r="P60" s="61">
        <f>+_CIERRE!S55</f>
        <v>0</v>
      </c>
      <c r="Q60" s="61">
        <f>+_CIERRE!T55</f>
        <v>4208989.4560000002</v>
      </c>
      <c r="R60" s="502">
        <f>+Q60+P60-_CIERRE!T55</f>
        <v>0</v>
      </c>
      <c r="S60" s="61"/>
      <c r="T60" s="61"/>
      <c r="U60" s="61"/>
      <c r="V60" s="61"/>
      <c r="AF60" s="62"/>
      <c r="AG60" s="476"/>
    </row>
    <row r="61" spans="1:33" ht="3" customHeight="1" x14ac:dyDescent="0.25">
      <c r="A61">
        <v>5403</v>
      </c>
      <c r="B61">
        <v>5205</v>
      </c>
      <c r="C61" s="3" t="s">
        <v>94</v>
      </c>
      <c r="D61" s="137">
        <v>1568407.111</v>
      </c>
      <c r="E61" s="138">
        <f t="shared" si="1"/>
        <v>130700.59258333333</v>
      </c>
      <c r="F61" s="138">
        <f>ROUND(E61*PARAMETROS!$L$10,0)</f>
        <v>103253</v>
      </c>
      <c r="G61" s="481">
        <v>0</v>
      </c>
      <c r="H61" s="481">
        <v>54475.589</v>
      </c>
      <c r="I61" s="481">
        <v>504974.35800000001</v>
      </c>
      <c r="J61" s="481">
        <f t="shared" si="2"/>
        <v>2127857.0580000002</v>
      </c>
      <c r="K61" s="502">
        <f>+J61-_CIERRE!U56-_CIERRE!V56</f>
        <v>0</v>
      </c>
      <c r="M61" s="32">
        <v>5403</v>
      </c>
      <c r="N61" s="33">
        <v>5205</v>
      </c>
      <c r="O61" s="4" t="s">
        <v>94</v>
      </c>
      <c r="P61" s="61">
        <f>+_CIERRE!S56</f>
        <v>0</v>
      </c>
      <c r="Q61" s="61">
        <f>+_CIERRE!T56</f>
        <v>2035207.371</v>
      </c>
      <c r="R61" s="502">
        <f>+Q61+P61-_CIERRE!T56</f>
        <v>0</v>
      </c>
      <c r="S61" s="61"/>
      <c r="T61" s="61"/>
      <c r="U61" s="61"/>
      <c r="V61" s="61"/>
      <c r="AF61" s="62"/>
      <c r="AG61" s="476"/>
    </row>
    <row r="62" spans="1:33" ht="3" customHeight="1" x14ac:dyDescent="0.25">
      <c r="A62">
        <v>5404</v>
      </c>
      <c r="B62">
        <v>5202</v>
      </c>
      <c r="C62" s="3" t="s">
        <v>91</v>
      </c>
      <c r="D62" s="137">
        <v>2302268.4419999998</v>
      </c>
      <c r="E62" s="138">
        <f t="shared" si="1"/>
        <v>191855.70349999997</v>
      </c>
      <c r="F62" s="138">
        <f>ROUND(E62*PARAMETROS!$L$10,0)</f>
        <v>151566</v>
      </c>
      <c r="G62" s="481">
        <v>0</v>
      </c>
      <c r="H62" s="481">
        <v>79932.168999999994</v>
      </c>
      <c r="I62" s="481">
        <v>740009.4</v>
      </c>
      <c r="J62" s="481">
        <f t="shared" si="2"/>
        <v>3122210.0109999995</v>
      </c>
      <c r="K62" s="502">
        <f>+J62-_CIERRE!U57-_CIERRE!V57</f>
        <v>0</v>
      </c>
      <c r="M62" s="32">
        <v>5404</v>
      </c>
      <c r="N62" s="33">
        <v>5202</v>
      </c>
      <c r="O62" s="4" t="s">
        <v>91</v>
      </c>
      <c r="P62" s="61">
        <f>+_CIERRE!S57</f>
        <v>0</v>
      </c>
      <c r="Q62" s="61">
        <f>+_CIERRE!T57</f>
        <v>2857616.4330000002</v>
      </c>
      <c r="R62" s="502">
        <f>+Q62+P62-_CIERRE!T57</f>
        <v>0</v>
      </c>
      <c r="S62" s="61"/>
      <c r="T62" s="61"/>
      <c r="U62" s="61"/>
      <c r="V62" s="61"/>
      <c r="AF62" s="62"/>
      <c r="AG62" s="476"/>
    </row>
    <row r="63" spans="1:33" ht="3" customHeight="1" x14ac:dyDescent="0.25">
      <c r="A63">
        <v>5405</v>
      </c>
      <c r="B63">
        <v>5204</v>
      </c>
      <c r="C63" s="3" t="s">
        <v>93</v>
      </c>
      <c r="D63" s="137">
        <v>1498823.581</v>
      </c>
      <c r="E63" s="138">
        <f t="shared" si="1"/>
        <v>124901.96508333333</v>
      </c>
      <c r="F63" s="138">
        <f>ROUND(E63*PARAMETROS!$L$10,0)</f>
        <v>98673</v>
      </c>
      <c r="G63" s="481">
        <v>0</v>
      </c>
      <c r="H63" s="481">
        <v>52056.709000000003</v>
      </c>
      <c r="I63" s="481">
        <v>482492.908</v>
      </c>
      <c r="J63" s="481">
        <f t="shared" si="2"/>
        <v>2033373.1980000001</v>
      </c>
      <c r="K63" s="502">
        <f>+J63-_CIERRE!U58-_CIERRE!V58</f>
        <v>0</v>
      </c>
      <c r="M63" s="32">
        <v>5405</v>
      </c>
      <c r="N63" s="33">
        <v>5204</v>
      </c>
      <c r="O63" s="4" t="s">
        <v>93</v>
      </c>
      <c r="P63" s="61">
        <f>+_CIERRE!S58</f>
        <v>0</v>
      </c>
      <c r="Q63" s="61">
        <f>+_CIERRE!T58</f>
        <v>1949449.851</v>
      </c>
      <c r="R63" s="502">
        <f>+Q63+P63-_CIERRE!T58</f>
        <v>0</v>
      </c>
      <c r="S63" s="61"/>
      <c r="T63" s="61"/>
      <c r="U63" s="61"/>
      <c r="V63" s="61"/>
      <c r="AF63" s="62"/>
      <c r="AG63" s="476"/>
    </row>
    <row r="64" spans="1:33" ht="3" customHeight="1" x14ac:dyDescent="0.25">
      <c r="A64">
        <v>5501</v>
      </c>
      <c r="B64">
        <v>5501</v>
      </c>
      <c r="C64" s="3" t="s">
        <v>105</v>
      </c>
      <c r="D64" s="137">
        <v>9479941.1699999999</v>
      </c>
      <c r="E64" s="138">
        <f t="shared" si="1"/>
        <v>789995.09750000003</v>
      </c>
      <c r="F64" s="138">
        <f>ROUND(E64*PARAMETROS!$L$10,0)</f>
        <v>624096</v>
      </c>
      <c r="G64" s="481">
        <v>0</v>
      </c>
      <c r="H64" s="481">
        <v>329345.98800000001</v>
      </c>
      <c r="I64" s="481">
        <v>3055210.6949999998</v>
      </c>
      <c r="J64" s="481">
        <f t="shared" si="2"/>
        <v>12864497.853</v>
      </c>
      <c r="K64" s="502">
        <f>+J64-_CIERRE!U59-_CIERRE!V59</f>
        <v>0</v>
      </c>
      <c r="M64" s="32">
        <v>5501</v>
      </c>
      <c r="N64" s="33">
        <v>5501</v>
      </c>
      <c r="O64" s="4" t="s">
        <v>105</v>
      </c>
      <c r="P64" s="61">
        <f>+_CIERRE!S59</f>
        <v>0</v>
      </c>
      <c r="Q64" s="61">
        <f>+_CIERRE!T59</f>
        <v>12745271.639</v>
      </c>
      <c r="R64" s="502">
        <f>+Q64+P64-_CIERRE!T59</f>
        <v>0</v>
      </c>
      <c r="S64" s="61"/>
      <c r="T64" s="61"/>
      <c r="U64" s="61"/>
      <c r="V64" s="61"/>
      <c r="AF64" s="62"/>
      <c r="AG64" s="476"/>
    </row>
    <row r="65" spans="1:33" ht="3" customHeight="1" x14ac:dyDescent="0.25">
      <c r="A65">
        <v>5502</v>
      </c>
      <c r="B65">
        <v>5504</v>
      </c>
      <c r="C65" s="3" t="s">
        <v>108</v>
      </c>
      <c r="D65" s="137">
        <v>6246648.0159999998</v>
      </c>
      <c r="E65" s="138">
        <f t="shared" si="1"/>
        <v>520554.00133333332</v>
      </c>
      <c r="F65" s="138">
        <f>ROUND(E65*PARAMETROS!$L$10,0)</f>
        <v>411238</v>
      </c>
      <c r="G65" s="481">
        <v>0</v>
      </c>
      <c r="H65" s="481">
        <v>217017.00700000001</v>
      </c>
      <c r="I65" s="481">
        <v>2013179.7749999999</v>
      </c>
      <c r="J65" s="481">
        <f t="shared" si="2"/>
        <v>8476844.7980000004</v>
      </c>
      <c r="K65" s="502">
        <f>+J65-_CIERRE!U60-_CIERRE!V60</f>
        <v>0</v>
      </c>
      <c r="M65" s="32">
        <v>5502</v>
      </c>
      <c r="N65" s="33">
        <v>5504</v>
      </c>
      <c r="O65" s="4" t="s">
        <v>108</v>
      </c>
      <c r="P65" s="61">
        <f>+_CIERRE!S60</f>
        <v>0</v>
      </c>
      <c r="Q65" s="61">
        <f>+_CIERRE!T60</f>
        <v>8398283.3200000003</v>
      </c>
      <c r="R65" s="502">
        <f>+Q65+P65-_CIERRE!T60</f>
        <v>0</v>
      </c>
      <c r="S65" s="61"/>
      <c r="T65" s="61"/>
      <c r="U65" s="61"/>
      <c r="V65" s="61"/>
      <c r="AF65" s="62"/>
      <c r="AG65" s="476"/>
    </row>
    <row r="66" spans="1:33" ht="3" customHeight="1" x14ac:dyDescent="0.25">
      <c r="A66">
        <v>5503</v>
      </c>
      <c r="B66">
        <v>5503</v>
      </c>
      <c r="C66" s="3" t="s">
        <v>107</v>
      </c>
      <c r="D66" s="137">
        <v>2839445.0269999998</v>
      </c>
      <c r="E66" s="138">
        <f t="shared" si="1"/>
        <v>236620.41891666665</v>
      </c>
      <c r="F66" s="138">
        <f>ROUND(E66*PARAMETROS!$L$10,0)</f>
        <v>186930</v>
      </c>
      <c r="G66" s="481">
        <v>0</v>
      </c>
      <c r="H66" s="481">
        <v>98654.111999999994</v>
      </c>
      <c r="I66" s="481">
        <v>915403.13899999997</v>
      </c>
      <c r="J66" s="481">
        <f t="shared" si="2"/>
        <v>3853502.2779999999</v>
      </c>
      <c r="K66" s="502">
        <f>+J66-_CIERRE!U61-_CIERRE!V61</f>
        <v>0</v>
      </c>
      <c r="M66" s="32">
        <v>5503</v>
      </c>
      <c r="N66" s="33">
        <v>5503</v>
      </c>
      <c r="O66" s="4" t="s">
        <v>107</v>
      </c>
      <c r="P66" s="61">
        <f>+_CIERRE!S61</f>
        <v>0</v>
      </c>
      <c r="Q66" s="61">
        <f>+_CIERRE!T61</f>
        <v>3519412.713</v>
      </c>
      <c r="R66" s="502">
        <f>+Q66+P66-_CIERRE!T61</f>
        <v>0</v>
      </c>
      <c r="S66" s="61"/>
      <c r="T66" s="61"/>
      <c r="U66" s="61"/>
      <c r="V66" s="61"/>
      <c r="AF66" s="62"/>
      <c r="AG66" s="476"/>
    </row>
    <row r="67" spans="1:33" ht="3" customHeight="1" x14ac:dyDescent="0.25">
      <c r="A67">
        <v>5504</v>
      </c>
      <c r="B67">
        <v>5505</v>
      </c>
      <c r="C67" s="3" t="s">
        <v>109</v>
      </c>
      <c r="D67" s="137">
        <v>2898347.5759999999</v>
      </c>
      <c r="E67" s="138">
        <f t="shared" si="1"/>
        <v>241528.96466666667</v>
      </c>
      <c r="F67" s="138">
        <f>ROUND(E67*PARAMETROS!$L$10,0)</f>
        <v>190808</v>
      </c>
      <c r="G67" s="481">
        <v>0</v>
      </c>
      <c r="H67" s="481">
        <v>100599.617</v>
      </c>
      <c r="I67" s="481">
        <v>930548.13300000003</v>
      </c>
      <c r="J67" s="481">
        <f t="shared" si="2"/>
        <v>3929495.3259999999</v>
      </c>
      <c r="K67" s="502">
        <f>+J67-_CIERRE!U62-_CIERRE!V62</f>
        <v>0</v>
      </c>
      <c r="M67" s="32">
        <v>5504</v>
      </c>
      <c r="N67" s="33">
        <v>5505</v>
      </c>
      <c r="O67" s="4" t="s">
        <v>109</v>
      </c>
      <c r="P67" s="61">
        <f>+_CIERRE!S62</f>
        <v>0</v>
      </c>
      <c r="Q67" s="61">
        <f>+_CIERRE!T62</f>
        <v>3652236.497</v>
      </c>
      <c r="R67" s="502">
        <f>+Q67+P67-_CIERRE!T62</f>
        <v>0</v>
      </c>
      <c r="S67" s="61"/>
      <c r="T67" s="61"/>
      <c r="U67" s="61"/>
      <c r="V67" s="61"/>
      <c r="AF67" s="62"/>
      <c r="AG67" s="476"/>
    </row>
    <row r="68" spans="1:33" ht="3" customHeight="1" x14ac:dyDescent="0.25">
      <c r="A68">
        <v>5506</v>
      </c>
      <c r="B68">
        <v>5502</v>
      </c>
      <c r="C68" s="3" t="s">
        <v>106</v>
      </c>
      <c r="D68" s="137">
        <v>3218586.35</v>
      </c>
      <c r="E68" s="138">
        <f t="shared" si="1"/>
        <v>268215.52916666667</v>
      </c>
      <c r="F68" s="138">
        <f>ROUND(E68*PARAMETROS!$L$10,0)</f>
        <v>211890</v>
      </c>
      <c r="G68" s="481">
        <v>0</v>
      </c>
      <c r="H68" s="481">
        <v>111728.553</v>
      </c>
      <c r="I68" s="481">
        <v>1033884.3689999999</v>
      </c>
      <c r="J68" s="481">
        <f t="shared" si="2"/>
        <v>4364199.2719999999</v>
      </c>
      <c r="K68" s="502">
        <f>+J68-_CIERRE!U63-_CIERRE!V63</f>
        <v>0</v>
      </c>
      <c r="M68" s="32">
        <v>5506</v>
      </c>
      <c r="N68" s="33">
        <v>5502</v>
      </c>
      <c r="O68" s="4" t="s">
        <v>106</v>
      </c>
      <c r="P68" s="61">
        <f>+_CIERRE!S63</f>
        <v>0</v>
      </c>
      <c r="Q68" s="61">
        <f>+_CIERRE!T63</f>
        <v>3960110.0520000001</v>
      </c>
      <c r="R68" s="502">
        <f>+Q68+P68-_CIERRE!T63</f>
        <v>0</v>
      </c>
      <c r="S68" s="61"/>
      <c r="T68" s="61"/>
      <c r="U68" s="61"/>
      <c r="V68" s="61"/>
      <c r="AF68" s="62"/>
      <c r="AG68" s="476"/>
    </row>
    <row r="69" spans="1:33" ht="3" customHeight="1" x14ac:dyDescent="0.25">
      <c r="A69">
        <v>5601</v>
      </c>
      <c r="B69">
        <v>5401</v>
      </c>
      <c r="C69" s="3" t="s">
        <v>99</v>
      </c>
      <c r="D69" s="137">
        <v>9663049.9279999994</v>
      </c>
      <c r="E69" s="138">
        <f t="shared" si="1"/>
        <v>805254.16066666658</v>
      </c>
      <c r="F69" s="138">
        <f>ROUND(E69*PARAMETROS!$L$10,0)</f>
        <v>636151</v>
      </c>
      <c r="G69" s="481">
        <v>0</v>
      </c>
      <c r="H69" s="481">
        <v>335609.29</v>
      </c>
      <c r="I69" s="481">
        <v>3110487.39</v>
      </c>
      <c r="J69" s="481">
        <f t="shared" si="2"/>
        <v>13109146.607999999</v>
      </c>
      <c r="K69" s="502">
        <f>+J69-_CIERRE!U64-_CIERRE!V64</f>
        <v>0</v>
      </c>
      <c r="M69" s="32">
        <v>5601</v>
      </c>
      <c r="N69" s="33">
        <v>5401</v>
      </c>
      <c r="O69" s="4" t="s">
        <v>99</v>
      </c>
      <c r="P69" s="61">
        <f>+_CIERRE!S64</f>
        <v>0</v>
      </c>
      <c r="Q69" s="61">
        <f>+_CIERRE!T64</f>
        <v>12304345.452</v>
      </c>
      <c r="R69" s="502">
        <f>+Q69+P69-_CIERRE!T64</f>
        <v>0</v>
      </c>
      <c r="S69" s="61"/>
      <c r="T69" s="61"/>
      <c r="U69" s="61"/>
      <c r="V69" s="61"/>
      <c r="AF69" s="62"/>
      <c r="AG69" s="476"/>
    </row>
    <row r="70" spans="1:33" ht="3" customHeight="1" x14ac:dyDescent="0.25">
      <c r="A70">
        <v>5602</v>
      </c>
      <c r="B70">
        <v>5406</v>
      </c>
      <c r="C70" s="3" t="s">
        <v>104</v>
      </c>
      <c r="D70" s="137">
        <v>1822419.031</v>
      </c>
      <c r="E70" s="138">
        <f t="shared" si="1"/>
        <v>151868.25258333332</v>
      </c>
      <c r="F70" s="138">
        <f>ROUND(E70*PARAMETROS!$L$10,0)</f>
        <v>119976</v>
      </c>
      <c r="G70" s="481">
        <v>0</v>
      </c>
      <c r="H70" s="481">
        <v>63311.794999999998</v>
      </c>
      <c r="I70" s="481">
        <v>587274.74300000002</v>
      </c>
      <c r="J70" s="481">
        <f t="shared" si="2"/>
        <v>2473005.5690000001</v>
      </c>
      <c r="K70" s="502">
        <f>+J70-_CIERRE!U65-_CIERRE!V65</f>
        <v>0</v>
      </c>
      <c r="M70" s="32">
        <v>5602</v>
      </c>
      <c r="N70" s="33">
        <v>5406</v>
      </c>
      <c r="O70" s="4" t="s">
        <v>104</v>
      </c>
      <c r="P70" s="61">
        <f>+_CIERRE!S65</f>
        <v>0</v>
      </c>
      <c r="Q70" s="61">
        <f>+_CIERRE!T65</f>
        <v>2362849.7059999998</v>
      </c>
      <c r="R70" s="502">
        <f>+Q70+P70-_CIERRE!T65</f>
        <v>0</v>
      </c>
      <c r="S70" s="61"/>
      <c r="T70" s="61"/>
      <c r="U70" s="61"/>
      <c r="V70" s="61"/>
      <c r="AF70" s="62"/>
      <c r="AG70" s="476"/>
    </row>
    <row r="71" spans="1:33" ht="3" customHeight="1" x14ac:dyDescent="0.25">
      <c r="A71">
        <v>5603</v>
      </c>
      <c r="B71">
        <v>5403</v>
      </c>
      <c r="C71" s="3" t="s">
        <v>101</v>
      </c>
      <c r="D71" s="137">
        <v>11236571.761</v>
      </c>
      <c r="E71" s="138">
        <f t="shared" ref="E71:E134" si="3">D71/12</f>
        <v>936380.98008333333</v>
      </c>
      <c r="F71" s="138">
        <f>ROUND(E71*PARAMETROS!$L$10,0)</f>
        <v>739741</v>
      </c>
      <c r="G71" s="481">
        <v>0</v>
      </c>
      <c r="H71" s="481">
        <v>390227.39899999998</v>
      </c>
      <c r="I71" s="481">
        <v>3615772.17</v>
      </c>
      <c r="J71" s="481">
        <f t="shared" si="2"/>
        <v>15242571.33</v>
      </c>
      <c r="K71" s="502">
        <f>+J71-_CIERRE!U66-_CIERRE!V66</f>
        <v>0</v>
      </c>
      <c r="M71" s="32">
        <v>5603</v>
      </c>
      <c r="N71" s="33">
        <v>5403</v>
      </c>
      <c r="O71" s="4" t="s">
        <v>101</v>
      </c>
      <c r="P71" s="61">
        <f>+_CIERRE!S66</f>
        <v>0</v>
      </c>
      <c r="Q71" s="61">
        <f>+_CIERRE!T66</f>
        <v>14938002.812000001</v>
      </c>
      <c r="R71" s="502">
        <f>+Q71+P71-_CIERRE!T66</f>
        <v>0</v>
      </c>
      <c r="S71" s="61"/>
      <c r="T71" s="61"/>
      <c r="U71" s="61"/>
      <c r="V71" s="61"/>
      <c r="AF71" s="62"/>
      <c r="AG71" s="476"/>
    </row>
    <row r="72" spans="1:33" ht="3" customHeight="1" x14ac:dyDescent="0.25">
      <c r="A72">
        <v>5604</v>
      </c>
      <c r="B72">
        <v>5405</v>
      </c>
      <c r="C72" s="3" t="s">
        <v>103</v>
      </c>
      <c r="D72" s="137">
        <v>15640618.529999999</v>
      </c>
      <c r="E72" s="138">
        <f t="shared" si="3"/>
        <v>1303384.8774999999</v>
      </c>
      <c r="F72" s="138">
        <f>ROUND(E72*PARAMETROS!$L$10,0)</f>
        <v>1029674</v>
      </c>
      <c r="G72" s="481">
        <v>0</v>
      </c>
      <c r="H72" s="481">
        <v>543263.04599999997</v>
      </c>
      <c r="I72" s="481">
        <v>5036375.0669999998</v>
      </c>
      <c r="J72" s="481">
        <f t="shared" ref="J72:J135" si="4">+D72+G72+H72+I72-G72</f>
        <v>21220256.642999999</v>
      </c>
      <c r="K72" s="502">
        <f>+J72-_CIERRE!U67-_CIERRE!V67</f>
        <v>0</v>
      </c>
      <c r="M72" s="32">
        <v>5604</v>
      </c>
      <c r="N72" s="33">
        <v>5405</v>
      </c>
      <c r="O72" s="4" t="s">
        <v>103</v>
      </c>
      <c r="P72" s="61">
        <f>+_CIERRE!S67</f>
        <v>0</v>
      </c>
      <c r="Q72" s="61">
        <f>+_CIERRE!T67</f>
        <v>18809598.028999999</v>
      </c>
      <c r="R72" s="502">
        <f>+Q72+P72-_CIERRE!T67</f>
        <v>0</v>
      </c>
      <c r="S72" s="61"/>
      <c r="T72" s="61"/>
      <c r="U72" s="61"/>
      <c r="V72" s="61"/>
      <c r="AF72" s="62"/>
      <c r="AG72" s="476"/>
    </row>
    <row r="73" spans="1:33" ht="3" customHeight="1" x14ac:dyDescent="0.25">
      <c r="A73">
        <v>5605</v>
      </c>
      <c r="B73">
        <v>5404</v>
      </c>
      <c r="C73" s="3" t="s">
        <v>102</v>
      </c>
      <c r="D73" s="137">
        <v>15993531.819</v>
      </c>
      <c r="E73" s="138">
        <f t="shared" si="3"/>
        <v>1332794.31825</v>
      </c>
      <c r="F73" s="138">
        <f>ROUND(E73*PARAMETROS!$L$10,0)</f>
        <v>1052908</v>
      </c>
      <c r="G73" s="481">
        <v>0</v>
      </c>
      <c r="H73" s="481">
        <v>555249.59400000004</v>
      </c>
      <c r="I73" s="481">
        <v>5139678.2549999999</v>
      </c>
      <c r="J73" s="481">
        <f t="shared" si="4"/>
        <v>21688459.668000001</v>
      </c>
      <c r="K73" s="502">
        <f>+J73-_CIERRE!U68-_CIERRE!V68</f>
        <v>0</v>
      </c>
      <c r="M73" s="32">
        <v>5605</v>
      </c>
      <c r="N73" s="33">
        <v>5404</v>
      </c>
      <c r="O73" s="4" t="s">
        <v>102</v>
      </c>
      <c r="P73" s="61">
        <f>+_CIERRE!S68</f>
        <v>0</v>
      </c>
      <c r="Q73" s="61">
        <f>+_CIERRE!T68</f>
        <v>17731237.168000001</v>
      </c>
      <c r="R73" s="502">
        <f>+Q73+P73-_CIERRE!T68</f>
        <v>0</v>
      </c>
      <c r="S73" s="61"/>
      <c r="T73" s="61"/>
      <c r="U73" s="61"/>
      <c r="V73" s="61"/>
      <c r="AF73" s="62"/>
      <c r="AG73" s="476"/>
    </row>
    <row r="74" spans="1:33" ht="3" customHeight="1" x14ac:dyDescent="0.25">
      <c r="A74">
        <v>5606</v>
      </c>
      <c r="B74">
        <v>5402</v>
      </c>
      <c r="C74" s="3" t="s">
        <v>100</v>
      </c>
      <c r="D74" s="137">
        <v>1914113.497</v>
      </c>
      <c r="E74" s="138">
        <f t="shared" si="3"/>
        <v>159509.45808333333</v>
      </c>
      <c r="F74" s="138">
        <f>ROUND(E74*PARAMETROS!$L$10,0)</f>
        <v>126012</v>
      </c>
      <c r="G74" s="481">
        <v>0</v>
      </c>
      <c r="H74" s="481">
        <v>66508.542000000001</v>
      </c>
      <c r="I74" s="481">
        <v>617250.88100000005</v>
      </c>
      <c r="J74" s="481">
        <f t="shared" si="4"/>
        <v>2597872.92</v>
      </c>
      <c r="K74" s="502">
        <f>+J74-_CIERRE!U69-_CIERRE!V69</f>
        <v>0</v>
      </c>
      <c r="M74" s="32">
        <v>5606</v>
      </c>
      <c r="N74" s="33">
        <v>5402</v>
      </c>
      <c r="O74" s="4" t="s">
        <v>100</v>
      </c>
      <c r="P74" s="61">
        <f>+_CIERRE!S69</f>
        <v>0</v>
      </c>
      <c r="Q74" s="61">
        <f>+_CIERRE!T69</f>
        <v>2473739.514</v>
      </c>
      <c r="R74" s="502">
        <f>+Q74+P74-_CIERRE!T69</f>
        <v>0</v>
      </c>
      <c r="S74" s="61"/>
      <c r="T74" s="61"/>
      <c r="U74" s="61"/>
      <c r="V74" s="61"/>
      <c r="AF74" s="62"/>
      <c r="AG74" s="476"/>
    </row>
    <row r="75" spans="1:33" ht="3" customHeight="1" x14ac:dyDescent="0.25">
      <c r="A75">
        <v>5701</v>
      </c>
      <c r="B75">
        <v>5601</v>
      </c>
      <c r="C75" s="3" t="s">
        <v>111</v>
      </c>
      <c r="D75" s="137">
        <v>8967904.1119999997</v>
      </c>
      <c r="E75" s="138">
        <f t="shared" si="3"/>
        <v>747325.34266666661</v>
      </c>
      <c r="F75" s="138">
        <f>ROUND(E75*PARAMETROS!$L$10,0)</f>
        <v>590387</v>
      </c>
      <c r="G75" s="481">
        <v>0</v>
      </c>
      <c r="H75" s="481">
        <v>311557.12599999999</v>
      </c>
      <c r="I75" s="481">
        <v>2890190.568</v>
      </c>
      <c r="J75" s="481">
        <f t="shared" si="4"/>
        <v>12169651.806</v>
      </c>
      <c r="K75" s="502">
        <f>+J75-_CIERRE!U70-_CIERRE!V70</f>
        <v>0</v>
      </c>
      <c r="M75" s="32">
        <v>5701</v>
      </c>
      <c r="N75" s="33">
        <v>5601</v>
      </c>
      <c r="O75" s="4" t="s">
        <v>111</v>
      </c>
      <c r="P75" s="61">
        <f>+_CIERRE!S70</f>
        <v>0</v>
      </c>
      <c r="Q75" s="61">
        <f>+_CIERRE!T70</f>
        <v>12056865.558</v>
      </c>
      <c r="R75" s="502">
        <f>+Q75+P75-_CIERRE!T70</f>
        <v>0</v>
      </c>
      <c r="S75" s="61"/>
      <c r="T75" s="61"/>
      <c r="U75" s="61"/>
      <c r="V75" s="61"/>
      <c r="AF75" s="62"/>
      <c r="AG75" s="476"/>
    </row>
    <row r="76" spans="1:33" ht="3" customHeight="1" x14ac:dyDescent="0.25">
      <c r="A76">
        <v>5702</v>
      </c>
      <c r="B76">
        <v>5603</v>
      </c>
      <c r="C76" s="3" t="s">
        <v>113</v>
      </c>
      <c r="D76" s="137">
        <v>2616538.6949999998</v>
      </c>
      <c r="E76" s="138">
        <f t="shared" si="3"/>
        <v>218044.89124999999</v>
      </c>
      <c r="F76" s="138">
        <f>ROUND(E76*PARAMETROS!$L$10,0)</f>
        <v>172255</v>
      </c>
      <c r="G76" s="481">
        <v>0</v>
      </c>
      <c r="H76" s="481">
        <v>91002.573000000004</v>
      </c>
      <c r="I76" s="481">
        <v>847087.16599999997</v>
      </c>
      <c r="J76" s="481">
        <f t="shared" si="4"/>
        <v>3554628.4339999994</v>
      </c>
      <c r="K76" s="502">
        <f>+J76-_CIERRE!U71-_CIERRE!V71</f>
        <v>0</v>
      </c>
      <c r="M76" s="32">
        <v>5702</v>
      </c>
      <c r="N76" s="33">
        <v>5603</v>
      </c>
      <c r="O76" s="4" t="s">
        <v>113</v>
      </c>
      <c r="P76" s="61">
        <f>+_CIERRE!S71</f>
        <v>0</v>
      </c>
      <c r="Q76" s="61">
        <f>+_CIERRE!T71</f>
        <v>3320782.5819999999</v>
      </c>
      <c r="R76" s="502">
        <f>+Q76+P76-_CIERRE!T71</f>
        <v>0</v>
      </c>
      <c r="S76" s="61"/>
      <c r="T76" s="61"/>
      <c r="U76" s="61"/>
      <c r="V76" s="61"/>
      <c r="AF76" s="62"/>
      <c r="AG76" s="476"/>
    </row>
    <row r="77" spans="1:33" ht="3" customHeight="1" x14ac:dyDescent="0.25">
      <c r="A77">
        <v>5703</v>
      </c>
      <c r="B77">
        <v>5606</v>
      </c>
      <c r="C77" s="3" t="s">
        <v>0</v>
      </c>
      <c r="D77" s="137">
        <v>3990872.463</v>
      </c>
      <c r="E77" s="138">
        <f t="shared" si="3"/>
        <v>332572.70525</v>
      </c>
      <c r="F77" s="138">
        <f>ROUND(E77*PARAMETROS!$L$10,0)</f>
        <v>262732</v>
      </c>
      <c r="G77" s="481">
        <v>0</v>
      </c>
      <c r="H77" s="481">
        <v>138665.26699999999</v>
      </c>
      <c r="I77" s="481">
        <v>1286829.1100000001</v>
      </c>
      <c r="J77" s="481">
        <f t="shared" si="4"/>
        <v>5416366.8399999999</v>
      </c>
      <c r="K77" s="502">
        <f>+J77-_CIERRE!U72-_CIERRE!V72</f>
        <v>0</v>
      </c>
      <c r="M77" s="32">
        <v>5703</v>
      </c>
      <c r="N77" s="33">
        <v>5606</v>
      </c>
      <c r="O77" s="4" t="s">
        <v>0</v>
      </c>
      <c r="P77" s="61">
        <f>+_CIERRE!S72</f>
        <v>0</v>
      </c>
      <c r="Q77" s="61">
        <f>+_CIERRE!T72</f>
        <v>4749461.3969999999</v>
      </c>
      <c r="R77" s="502">
        <f>+Q77+P77-_CIERRE!T72</f>
        <v>0</v>
      </c>
      <c r="S77" s="61"/>
      <c r="T77" s="61"/>
      <c r="U77" s="61"/>
      <c r="V77" s="61"/>
      <c r="AF77" s="62"/>
      <c r="AG77" s="476"/>
    </row>
    <row r="78" spans="1:33" ht="3" customHeight="1" x14ac:dyDescent="0.25">
      <c r="A78">
        <v>5704</v>
      </c>
      <c r="B78">
        <v>5602</v>
      </c>
      <c r="C78" s="3" t="s">
        <v>112</v>
      </c>
      <c r="D78" s="137">
        <v>1660206.398</v>
      </c>
      <c r="E78" s="138">
        <f t="shared" si="3"/>
        <v>138350.53316666666</v>
      </c>
      <c r="F78" s="138">
        <f>ROUND(E78*PARAMETROS!$L$10,0)</f>
        <v>109297</v>
      </c>
      <c r="G78" s="481">
        <v>0</v>
      </c>
      <c r="H78" s="481">
        <v>57703.822</v>
      </c>
      <c r="I78" s="481">
        <v>536044.174</v>
      </c>
      <c r="J78" s="481">
        <f t="shared" si="4"/>
        <v>2253954.3939999999</v>
      </c>
      <c r="K78" s="502">
        <f>+J78-_CIERRE!U73-_CIERRE!V73</f>
        <v>0</v>
      </c>
      <c r="M78" s="32">
        <v>5704</v>
      </c>
      <c r="N78" s="33">
        <v>5602</v>
      </c>
      <c r="O78" s="4" t="s">
        <v>112</v>
      </c>
      <c r="P78" s="61">
        <f>+_CIERRE!S73</f>
        <v>0</v>
      </c>
      <c r="Q78" s="61">
        <f>+_CIERRE!T73</f>
        <v>2141183.8670000001</v>
      </c>
      <c r="R78" s="502">
        <f>+Q78+P78-_CIERRE!T73</f>
        <v>0</v>
      </c>
      <c r="S78" s="61"/>
      <c r="T78" s="61"/>
      <c r="U78" s="61"/>
      <c r="V78" s="61"/>
      <c r="AF78" s="62"/>
      <c r="AG78" s="476"/>
    </row>
    <row r="79" spans="1:33" ht="3" customHeight="1" x14ac:dyDescent="0.25">
      <c r="A79">
        <v>5705</v>
      </c>
      <c r="B79">
        <v>5604</v>
      </c>
      <c r="C79" s="3" t="s">
        <v>114</v>
      </c>
      <c r="D79" s="137">
        <v>3399071.9810000001</v>
      </c>
      <c r="E79" s="138">
        <f t="shared" si="3"/>
        <v>283255.9984166667</v>
      </c>
      <c r="F79" s="138">
        <f>ROUND(E79*PARAMETROS!$L$10,0)</f>
        <v>223772</v>
      </c>
      <c r="G79" s="481">
        <v>0</v>
      </c>
      <c r="H79" s="481">
        <v>118115.726</v>
      </c>
      <c r="I79" s="481">
        <v>1096500.541</v>
      </c>
      <c r="J79" s="481">
        <f t="shared" si="4"/>
        <v>4613688.2479999997</v>
      </c>
      <c r="K79" s="502">
        <f>+J79-_CIERRE!U74-_CIERRE!V74</f>
        <v>0</v>
      </c>
      <c r="M79" s="32">
        <v>5705</v>
      </c>
      <c r="N79" s="33">
        <v>5604</v>
      </c>
      <c r="O79" s="4" t="s">
        <v>114</v>
      </c>
      <c r="P79" s="61">
        <f>+_CIERRE!S74</f>
        <v>0</v>
      </c>
      <c r="Q79" s="61">
        <f>+_CIERRE!T74</f>
        <v>4303901.3140000002</v>
      </c>
      <c r="R79" s="502">
        <f>+Q79+P79-_CIERRE!T74</f>
        <v>0</v>
      </c>
      <c r="S79" s="61"/>
      <c r="T79" s="61"/>
      <c r="U79" s="61"/>
      <c r="V79" s="61"/>
      <c r="AF79" s="62"/>
      <c r="AG79" s="476"/>
    </row>
    <row r="80" spans="1:33" ht="3" customHeight="1" x14ac:dyDescent="0.25">
      <c r="A80">
        <v>5706</v>
      </c>
      <c r="B80">
        <v>5605</v>
      </c>
      <c r="C80" s="3" t="s">
        <v>382</v>
      </c>
      <c r="D80" s="137">
        <v>2728331.7069999999</v>
      </c>
      <c r="E80" s="138">
        <f t="shared" si="3"/>
        <v>227360.97558333332</v>
      </c>
      <c r="F80" s="138">
        <f>ROUND(E80*PARAMETROS!$L$10,0)</f>
        <v>179615</v>
      </c>
      <c r="G80" s="481">
        <v>0</v>
      </c>
      <c r="H80" s="481">
        <v>94792.148000000001</v>
      </c>
      <c r="I80" s="481">
        <v>879528.549</v>
      </c>
      <c r="J80" s="481">
        <f t="shared" si="4"/>
        <v>3702652.4040000001</v>
      </c>
      <c r="K80" s="502">
        <f>+J80-_CIERRE!U75-_CIERRE!V75</f>
        <v>0</v>
      </c>
      <c r="M80" s="32">
        <v>5706</v>
      </c>
      <c r="N80" s="33">
        <v>5605</v>
      </c>
      <c r="O80" s="4" t="s">
        <v>382</v>
      </c>
      <c r="P80" s="61">
        <f>+_CIERRE!S75</f>
        <v>0</v>
      </c>
      <c r="Q80" s="61">
        <f>+_CIERRE!T75</f>
        <v>3268942.0389999999</v>
      </c>
      <c r="R80" s="502">
        <f>+Q80+P80-_CIERRE!T75</f>
        <v>0</v>
      </c>
      <c r="S80" s="61"/>
      <c r="T80" s="61"/>
      <c r="U80" s="61"/>
      <c r="V80" s="61"/>
      <c r="AF80" s="62"/>
      <c r="AG80" s="476"/>
    </row>
    <row r="81" spans="1:33" ht="3" customHeight="1" x14ac:dyDescent="0.25">
      <c r="A81">
        <v>5801</v>
      </c>
      <c r="B81">
        <v>5304</v>
      </c>
      <c r="C81" s="3" t="s">
        <v>383</v>
      </c>
      <c r="D81" s="137">
        <v>15719065.389</v>
      </c>
      <c r="E81" s="138">
        <f t="shared" si="3"/>
        <v>1309922.1157500001</v>
      </c>
      <c r="F81" s="138">
        <f>ROUND(E81*PARAMETROS!$L$10,0)</f>
        <v>1034838</v>
      </c>
      <c r="G81" s="481">
        <v>0</v>
      </c>
      <c r="H81" s="481">
        <v>546065.18099999998</v>
      </c>
      <c r="I81" s="481">
        <v>5064580.1399999997</v>
      </c>
      <c r="J81" s="481">
        <f t="shared" si="4"/>
        <v>21329710.710000001</v>
      </c>
      <c r="K81" s="502">
        <f>+J81-_CIERRE!U76-_CIERRE!V76</f>
        <v>0</v>
      </c>
      <c r="M81" s="32">
        <v>5801</v>
      </c>
      <c r="N81" s="33">
        <v>5304</v>
      </c>
      <c r="O81" s="4" t="s">
        <v>383</v>
      </c>
      <c r="P81" s="61">
        <f>+_CIERRE!S76</f>
        <v>0</v>
      </c>
      <c r="Q81" s="61">
        <f>+_CIERRE!T76</f>
        <v>20762863.993000001</v>
      </c>
      <c r="R81" s="502">
        <f>+Q81+P81-_CIERRE!T76</f>
        <v>0</v>
      </c>
      <c r="S81" s="61"/>
      <c r="T81" s="61"/>
      <c r="U81" s="61"/>
      <c r="V81" s="61"/>
      <c r="AF81" s="62"/>
      <c r="AG81" s="476"/>
    </row>
    <row r="82" spans="1:33" ht="3" customHeight="1" x14ac:dyDescent="0.25">
      <c r="A82">
        <v>5802</v>
      </c>
      <c r="B82">
        <v>5506</v>
      </c>
      <c r="C82" s="3" t="s">
        <v>110</v>
      </c>
      <c r="D82" s="137">
        <v>5892515.4500000002</v>
      </c>
      <c r="E82" s="138">
        <f t="shared" si="3"/>
        <v>491042.95416666666</v>
      </c>
      <c r="F82" s="138">
        <f>ROUND(E82*PARAMETROS!$L$10,0)</f>
        <v>387924</v>
      </c>
      <c r="G82" s="481">
        <v>0</v>
      </c>
      <c r="H82" s="481">
        <v>204713.96299999999</v>
      </c>
      <c r="I82" s="481">
        <v>1899049.362</v>
      </c>
      <c r="J82" s="481">
        <f t="shared" si="4"/>
        <v>7996278.7750000004</v>
      </c>
      <c r="K82" s="502">
        <f>+J82-_CIERRE!U77-_CIERRE!V77</f>
        <v>0</v>
      </c>
      <c r="M82" s="32">
        <v>5802</v>
      </c>
      <c r="N82" s="33">
        <v>5506</v>
      </c>
      <c r="O82" s="4" t="s">
        <v>110</v>
      </c>
      <c r="P82" s="61">
        <f>+_CIERRE!S77</f>
        <v>0</v>
      </c>
      <c r="Q82" s="61">
        <f>+_CIERRE!T77</f>
        <v>7922170.7010000004</v>
      </c>
      <c r="R82" s="502">
        <f>+Q82+P82-_CIERRE!T77</f>
        <v>0</v>
      </c>
      <c r="S82" s="61"/>
      <c r="T82" s="61"/>
      <c r="U82" s="61"/>
      <c r="V82" s="61"/>
      <c r="AF82" s="62"/>
      <c r="AG82" s="476"/>
    </row>
    <row r="83" spans="1:33" ht="3" customHeight="1" x14ac:dyDescent="0.25">
      <c r="A83">
        <v>5803</v>
      </c>
      <c r="B83">
        <v>5507</v>
      </c>
      <c r="C83" s="3" t="s">
        <v>384</v>
      </c>
      <c r="D83" s="137">
        <v>2362523.798</v>
      </c>
      <c r="E83" s="138">
        <f t="shared" si="3"/>
        <v>196876.98316666667</v>
      </c>
      <c r="F83" s="138">
        <f>ROUND(E83*PARAMETROS!$L$10,0)</f>
        <v>155533</v>
      </c>
      <c r="G83" s="481">
        <v>0</v>
      </c>
      <c r="H83" s="481">
        <v>82077.275999999998</v>
      </c>
      <c r="I83" s="481">
        <v>761397.973</v>
      </c>
      <c r="J83" s="481">
        <f t="shared" si="4"/>
        <v>3205999.0470000003</v>
      </c>
      <c r="K83" s="502">
        <f>+J83-_CIERRE!U78-_CIERRE!V78</f>
        <v>0</v>
      </c>
      <c r="M83" s="32">
        <v>5803</v>
      </c>
      <c r="N83" s="33">
        <v>5507</v>
      </c>
      <c r="O83" s="4" t="s">
        <v>384</v>
      </c>
      <c r="P83" s="61">
        <f>+_CIERRE!S78</f>
        <v>0</v>
      </c>
      <c r="Q83" s="61">
        <f>+_CIERRE!T78</f>
        <v>3176285.8059999999</v>
      </c>
      <c r="R83" s="502">
        <f>+Q83+P83-_CIERRE!T78</f>
        <v>0</v>
      </c>
      <c r="S83" s="61"/>
      <c r="T83" s="61"/>
      <c r="U83" s="61"/>
      <c r="V83" s="61"/>
      <c r="AF83" s="62"/>
      <c r="AG83" s="476"/>
    </row>
    <row r="84" spans="1:33" ht="3" customHeight="1" x14ac:dyDescent="0.25">
      <c r="A84">
        <v>5804</v>
      </c>
      <c r="B84">
        <v>5303</v>
      </c>
      <c r="C84" s="3" t="s">
        <v>96</v>
      </c>
      <c r="D84" s="137">
        <v>14619187.832</v>
      </c>
      <c r="E84" s="138">
        <f t="shared" si="3"/>
        <v>1218265.6526666668</v>
      </c>
      <c r="F84" s="138">
        <f>ROUND(E84*PARAMETROS!$L$10,0)</f>
        <v>962430</v>
      </c>
      <c r="G84" s="481">
        <v>0</v>
      </c>
      <c r="H84" s="481">
        <v>507890.37400000001</v>
      </c>
      <c r="I84" s="481">
        <v>4711495.3820000002</v>
      </c>
      <c r="J84" s="481">
        <f t="shared" si="4"/>
        <v>19838573.588</v>
      </c>
      <c r="K84" s="502">
        <f>+J84-_CIERRE!U79-_CIERRE!V79</f>
        <v>0</v>
      </c>
      <c r="M84" s="32">
        <v>5804</v>
      </c>
      <c r="N84" s="33">
        <v>5303</v>
      </c>
      <c r="O84" s="4" t="s">
        <v>96</v>
      </c>
      <c r="P84" s="61">
        <f>+_CIERRE!S79</f>
        <v>0</v>
      </c>
      <c r="Q84" s="61">
        <f>+_CIERRE!T79</f>
        <v>19654713.499000002</v>
      </c>
      <c r="R84" s="502">
        <f>+Q84+P84-_CIERRE!T79</f>
        <v>0</v>
      </c>
      <c r="S84" s="61"/>
      <c r="T84" s="61"/>
      <c r="U84" s="61"/>
      <c r="V84" s="61"/>
      <c r="AF84" s="62"/>
      <c r="AG84" s="476"/>
    </row>
    <row r="85" spans="1:33" ht="3" customHeight="1" x14ac:dyDescent="0.25">
      <c r="A85">
        <v>6101</v>
      </c>
      <c r="B85">
        <v>6101</v>
      </c>
      <c r="C85" s="3" t="s">
        <v>119</v>
      </c>
      <c r="D85" s="137">
        <v>20215962.734000001</v>
      </c>
      <c r="E85" s="138">
        <f t="shared" si="3"/>
        <v>1684663.5611666667</v>
      </c>
      <c r="F85" s="138">
        <f>ROUND(E85*PARAMETROS!$L$10,0)</f>
        <v>1330884</v>
      </c>
      <c r="G85" s="481">
        <v>0</v>
      </c>
      <c r="H85" s="481">
        <v>702596.071</v>
      </c>
      <c r="I85" s="481">
        <v>6525364.335</v>
      </c>
      <c r="J85" s="481">
        <f t="shared" si="4"/>
        <v>27443923.140000001</v>
      </c>
      <c r="K85" s="502">
        <f>+J85-_CIERRE!U80-_CIERRE!V80</f>
        <v>0</v>
      </c>
      <c r="M85" s="32">
        <v>6101</v>
      </c>
      <c r="N85" s="33">
        <v>6101</v>
      </c>
      <c r="O85" s="4" t="s">
        <v>119</v>
      </c>
      <c r="P85" s="61">
        <f>+_CIERRE!S80</f>
        <v>0</v>
      </c>
      <c r="Q85" s="61">
        <f>+_CIERRE!T80</f>
        <v>25943786.555</v>
      </c>
      <c r="R85" s="502">
        <f>+Q85+P85-_CIERRE!T80</f>
        <v>0</v>
      </c>
      <c r="S85" s="61"/>
      <c r="T85" s="61"/>
      <c r="U85" s="61"/>
      <c r="V85" s="61"/>
      <c r="AF85" s="62"/>
      <c r="AG85" s="476"/>
    </row>
    <row r="86" spans="1:33" ht="3" customHeight="1" x14ac:dyDescent="0.25">
      <c r="A86">
        <v>6102</v>
      </c>
      <c r="B86">
        <v>6107</v>
      </c>
      <c r="C86" s="3" t="s">
        <v>124</v>
      </c>
      <c r="D86" s="137">
        <v>2110206.6540000001</v>
      </c>
      <c r="E86" s="138">
        <f t="shared" si="3"/>
        <v>175850.5545</v>
      </c>
      <c r="F86" s="138">
        <f>ROUND(E86*PARAMETROS!$L$10,0)</f>
        <v>138922</v>
      </c>
      <c r="G86" s="481">
        <v>0</v>
      </c>
      <c r="H86" s="481">
        <v>73311.433999999994</v>
      </c>
      <c r="I86" s="481">
        <v>680080.79500000004</v>
      </c>
      <c r="J86" s="481">
        <f t="shared" si="4"/>
        <v>2863598.8829999999</v>
      </c>
      <c r="K86" s="502">
        <f>+J86-_CIERRE!U81-_CIERRE!V81</f>
        <v>0</v>
      </c>
      <c r="M86" s="32">
        <v>6102</v>
      </c>
      <c r="N86" s="33">
        <v>6107</v>
      </c>
      <c r="O86" s="4" t="s">
        <v>124</v>
      </c>
      <c r="P86" s="61">
        <f>+_CIERRE!S81</f>
        <v>0</v>
      </c>
      <c r="Q86" s="61">
        <f>+_CIERRE!T81</f>
        <v>2837060.2549999999</v>
      </c>
      <c r="R86" s="502">
        <f>+Q86+P86-_CIERRE!T81</f>
        <v>0</v>
      </c>
      <c r="S86" s="61"/>
      <c r="T86" s="61"/>
      <c r="U86" s="61"/>
      <c r="V86" s="61"/>
      <c r="AF86" s="62"/>
      <c r="AG86" s="476"/>
    </row>
    <row r="87" spans="1:33" ht="3" customHeight="1" x14ac:dyDescent="0.25">
      <c r="A87">
        <v>6103</v>
      </c>
      <c r="B87">
        <v>6116</v>
      </c>
      <c r="C87" s="3" t="s">
        <v>131</v>
      </c>
      <c r="D87" s="137">
        <v>2139955.301</v>
      </c>
      <c r="E87" s="138">
        <f t="shared" si="3"/>
        <v>178329.60841666666</v>
      </c>
      <c r="F87" s="138">
        <f>ROUND(E87*PARAMETROS!$L$10,0)</f>
        <v>140880</v>
      </c>
      <c r="G87" s="481">
        <v>0</v>
      </c>
      <c r="H87" s="481">
        <v>74346.259999999995</v>
      </c>
      <c r="I87" s="481">
        <v>689717.94700000004</v>
      </c>
      <c r="J87" s="481">
        <f t="shared" si="4"/>
        <v>2904019.5079999999</v>
      </c>
      <c r="K87" s="502">
        <f>+J87-_CIERRE!U82-_CIERRE!V82</f>
        <v>0</v>
      </c>
      <c r="M87" s="32">
        <v>6103</v>
      </c>
      <c r="N87" s="33">
        <v>6116</v>
      </c>
      <c r="O87" s="4" t="s">
        <v>131</v>
      </c>
      <c r="P87" s="61">
        <f>+_CIERRE!S82</f>
        <v>0</v>
      </c>
      <c r="Q87" s="61">
        <f>+_CIERRE!T82</f>
        <v>2610967.3939999999</v>
      </c>
      <c r="R87" s="502">
        <f>+Q87+P87-_CIERRE!T82</f>
        <v>0</v>
      </c>
      <c r="S87" s="61"/>
      <c r="T87" s="61"/>
      <c r="U87" s="61"/>
      <c r="V87" s="61"/>
      <c r="AF87" s="62"/>
      <c r="AG87" s="476"/>
    </row>
    <row r="88" spans="1:33" ht="3" customHeight="1" x14ac:dyDescent="0.25">
      <c r="A88">
        <v>6104</v>
      </c>
      <c r="B88">
        <v>6106</v>
      </c>
      <c r="C88" s="3" t="s">
        <v>123</v>
      </c>
      <c r="D88" s="137">
        <v>3970631.861</v>
      </c>
      <c r="E88" s="138">
        <f t="shared" si="3"/>
        <v>330885.98841666669</v>
      </c>
      <c r="F88" s="138">
        <f>ROUND(E88*PARAMETROS!$L$10,0)</f>
        <v>261400</v>
      </c>
      <c r="G88" s="481">
        <v>0</v>
      </c>
      <c r="H88" s="481">
        <v>138015.03099999999</v>
      </c>
      <c r="I88" s="481">
        <v>1282320.8470000001</v>
      </c>
      <c r="J88" s="481">
        <f t="shared" si="4"/>
        <v>5390967.7390000001</v>
      </c>
      <c r="K88" s="502">
        <f>+J88-_CIERRE!U83-_CIERRE!V83</f>
        <v>0</v>
      </c>
      <c r="M88" s="32">
        <v>6104</v>
      </c>
      <c r="N88" s="33">
        <v>6106</v>
      </c>
      <c r="O88" s="4" t="s">
        <v>123</v>
      </c>
      <c r="P88" s="61">
        <f>+_CIERRE!S83</f>
        <v>0</v>
      </c>
      <c r="Q88" s="61">
        <f>+_CIERRE!T83</f>
        <v>4925661.6310000001</v>
      </c>
      <c r="R88" s="502">
        <f>+Q88+P88-_CIERRE!T83</f>
        <v>0</v>
      </c>
      <c r="S88" s="61"/>
      <c r="T88" s="61"/>
      <c r="U88" s="61"/>
      <c r="V88" s="61"/>
      <c r="AF88" s="62"/>
      <c r="AG88" s="476"/>
    </row>
    <row r="89" spans="1:33" ht="3" customHeight="1" x14ac:dyDescent="0.25">
      <c r="A89">
        <v>6105</v>
      </c>
      <c r="B89">
        <v>6105</v>
      </c>
      <c r="C89" s="3" t="s">
        <v>122</v>
      </c>
      <c r="D89" s="137">
        <v>3385011.3689999999</v>
      </c>
      <c r="E89" s="138">
        <f t="shared" si="3"/>
        <v>282084.28074999998</v>
      </c>
      <c r="F89" s="138">
        <f>ROUND(E89*PARAMETROS!$L$10,0)</f>
        <v>222847</v>
      </c>
      <c r="G89" s="481">
        <v>0</v>
      </c>
      <c r="H89" s="481">
        <v>117690.408</v>
      </c>
      <c r="I89" s="481">
        <v>1094372.416</v>
      </c>
      <c r="J89" s="481">
        <f t="shared" si="4"/>
        <v>4597074.193</v>
      </c>
      <c r="K89" s="502">
        <f>+J89-_CIERRE!U84-_CIERRE!V84</f>
        <v>0</v>
      </c>
      <c r="M89" s="32">
        <v>6105</v>
      </c>
      <c r="N89" s="33">
        <v>6105</v>
      </c>
      <c r="O89" s="4" t="s">
        <v>122</v>
      </c>
      <c r="P89" s="61">
        <f>+_CIERRE!S84</f>
        <v>0</v>
      </c>
      <c r="Q89" s="61">
        <f>+_CIERRE!T84</f>
        <v>4231781.818</v>
      </c>
      <c r="R89" s="502">
        <f>+Q89+P89-_CIERRE!T84</f>
        <v>0</v>
      </c>
      <c r="S89" s="61"/>
      <c r="T89" s="61"/>
      <c r="U89" s="61"/>
      <c r="V89" s="61"/>
      <c r="AF89" s="62"/>
      <c r="AG89" s="476"/>
    </row>
    <row r="90" spans="1:33" ht="3" customHeight="1" x14ac:dyDescent="0.25">
      <c r="A90">
        <v>6106</v>
      </c>
      <c r="B90">
        <v>6103</v>
      </c>
      <c r="C90" s="3" t="s">
        <v>120</v>
      </c>
      <c r="D90" s="137">
        <v>4580929.4780000001</v>
      </c>
      <c r="E90" s="138">
        <f t="shared" si="3"/>
        <v>381744.12316666666</v>
      </c>
      <c r="F90" s="138">
        <f>ROUND(E90*PARAMETROS!$L$10,0)</f>
        <v>301578</v>
      </c>
      <c r="G90" s="481">
        <v>0</v>
      </c>
      <c r="H90" s="481">
        <v>159074.647</v>
      </c>
      <c r="I90" s="481">
        <v>1473568.888</v>
      </c>
      <c r="J90" s="481">
        <f t="shared" si="4"/>
        <v>6213573.0130000003</v>
      </c>
      <c r="K90" s="502">
        <f>+J90-_CIERRE!U85-_CIERRE!V85</f>
        <v>0</v>
      </c>
      <c r="M90" s="32">
        <v>6106</v>
      </c>
      <c r="N90" s="33">
        <v>6103</v>
      </c>
      <c r="O90" s="4" t="s">
        <v>120</v>
      </c>
      <c r="P90" s="61">
        <f>+_CIERRE!S85</f>
        <v>0</v>
      </c>
      <c r="Q90" s="61">
        <f>+_CIERRE!T85</f>
        <v>5804282.3810000001</v>
      </c>
      <c r="R90" s="502">
        <f>+Q90+P90-_CIERRE!T85</f>
        <v>0</v>
      </c>
      <c r="S90" s="61"/>
      <c r="T90" s="61"/>
      <c r="U90" s="61"/>
      <c r="V90" s="61"/>
      <c r="AF90" s="62"/>
      <c r="AG90" s="476"/>
    </row>
    <row r="91" spans="1:33" ht="3" customHeight="1" x14ac:dyDescent="0.25">
      <c r="A91">
        <v>6107</v>
      </c>
      <c r="B91">
        <v>6109</v>
      </c>
      <c r="C91" s="3" t="s">
        <v>126</v>
      </c>
      <c r="D91" s="137">
        <v>2437841.4029999999</v>
      </c>
      <c r="E91" s="138">
        <f t="shared" si="3"/>
        <v>203153.45024999999</v>
      </c>
      <c r="F91" s="138">
        <f>ROUND(E91*PARAMETROS!$L$10,0)</f>
        <v>160491</v>
      </c>
      <c r="G91" s="481">
        <v>0</v>
      </c>
      <c r="H91" s="481">
        <v>84717.123999999996</v>
      </c>
      <c r="I91" s="481">
        <v>786554.86199999996</v>
      </c>
      <c r="J91" s="481">
        <f t="shared" si="4"/>
        <v>3309113.3889999995</v>
      </c>
      <c r="K91" s="502">
        <f>+J91-_CIERRE!U86-_CIERRE!V86</f>
        <v>0</v>
      </c>
      <c r="M91" s="32">
        <v>6107</v>
      </c>
      <c r="N91" s="33">
        <v>6109</v>
      </c>
      <c r="O91" s="4" t="s">
        <v>126</v>
      </c>
      <c r="P91" s="61">
        <f>+_CIERRE!S86</f>
        <v>0</v>
      </c>
      <c r="Q91" s="61">
        <f>+_CIERRE!T86</f>
        <v>3151169.3569999998</v>
      </c>
      <c r="R91" s="502">
        <f>+Q91+P91-_CIERRE!T86</f>
        <v>0</v>
      </c>
      <c r="S91" s="61"/>
      <c r="T91" s="61"/>
      <c r="U91" s="61"/>
      <c r="V91" s="61"/>
      <c r="AF91" s="62"/>
      <c r="AG91" s="476"/>
    </row>
    <row r="92" spans="1:33" ht="3" customHeight="1" x14ac:dyDescent="0.25">
      <c r="A92">
        <v>6108</v>
      </c>
      <c r="B92">
        <v>6102</v>
      </c>
      <c r="C92" s="3" t="s">
        <v>385</v>
      </c>
      <c r="D92" s="137">
        <v>2571054.068</v>
      </c>
      <c r="E92" s="138">
        <f t="shared" si="3"/>
        <v>214254.50566666666</v>
      </c>
      <c r="F92" s="138">
        <f>ROUND(E92*PARAMETROS!$L$10,0)</f>
        <v>169261</v>
      </c>
      <c r="G92" s="481">
        <v>0</v>
      </c>
      <c r="H92" s="481">
        <v>89214.599000000002</v>
      </c>
      <c r="I92" s="481">
        <v>824518.40099999995</v>
      </c>
      <c r="J92" s="481">
        <f t="shared" si="4"/>
        <v>3484787.068</v>
      </c>
      <c r="K92" s="502">
        <f>+J92-_CIERRE!U87-_CIERRE!V87</f>
        <v>0</v>
      </c>
      <c r="M92" s="32">
        <v>6108</v>
      </c>
      <c r="N92" s="33">
        <v>6102</v>
      </c>
      <c r="O92" s="4" t="s">
        <v>385</v>
      </c>
      <c r="P92" s="61">
        <f>+_CIERRE!S87</f>
        <v>0</v>
      </c>
      <c r="Q92" s="61">
        <f>+_CIERRE!T87</f>
        <v>3358081.4339999999</v>
      </c>
      <c r="R92" s="502">
        <f>+Q92+P92-_CIERRE!T87</f>
        <v>0</v>
      </c>
      <c r="S92" s="61"/>
      <c r="T92" s="61"/>
      <c r="U92" s="61"/>
      <c r="V92" s="61"/>
      <c r="AF92" s="62"/>
      <c r="AG92" s="476"/>
    </row>
    <row r="93" spans="1:33" ht="3" customHeight="1" x14ac:dyDescent="0.25">
      <c r="A93">
        <v>6109</v>
      </c>
      <c r="B93">
        <v>6115</v>
      </c>
      <c r="C93" s="3" t="s">
        <v>130</v>
      </c>
      <c r="D93" s="137">
        <v>2940844.4739999999</v>
      </c>
      <c r="E93" s="138">
        <f t="shared" si="3"/>
        <v>245070.37283333333</v>
      </c>
      <c r="F93" s="138">
        <f>ROUND(E93*PARAMETROS!$L$10,0)</f>
        <v>193606</v>
      </c>
      <c r="G93" s="481">
        <v>0</v>
      </c>
      <c r="H93" s="481">
        <v>102204.728</v>
      </c>
      <c r="I93" s="481">
        <v>949142.723</v>
      </c>
      <c r="J93" s="481">
        <f t="shared" si="4"/>
        <v>3992191.9249999998</v>
      </c>
      <c r="K93" s="502">
        <f>+J93-_CIERRE!U88-_CIERRE!V88</f>
        <v>0</v>
      </c>
      <c r="M93" s="32">
        <v>6109</v>
      </c>
      <c r="N93" s="33">
        <v>6115</v>
      </c>
      <c r="O93" s="4" t="s">
        <v>130</v>
      </c>
      <c r="P93" s="61">
        <f>+_CIERRE!S88</f>
        <v>0</v>
      </c>
      <c r="Q93" s="61">
        <f>+_CIERRE!T88</f>
        <v>3733020.54</v>
      </c>
      <c r="R93" s="502">
        <f>+Q93+P93-_CIERRE!T88</f>
        <v>0</v>
      </c>
      <c r="S93" s="61"/>
      <c r="T93" s="61"/>
      <c r="U93" s="61"/>
      <c r="V93" s="61"/>
      <c r="AF93" s="62"/>
      <c r="AG93" s="476"/>
    </row>
    <row r="94" spans="1:33" ht="3" customHeight="1" x14ac:dyDescent="0.25">
      <c r="A94">
        <v>6110</v>
      </c>
      <c r="B94">
        <v>6104</v>
      </c>
      <c r="C94" s="3" t="s">
        <v>121</v>
      </c>
      <c r="D94" s="137">
        <v>2462365.79</v>
      </c>
      <c r="E94" s="138">
        <f t="shared" si="3"/>
        <v>205197.14916666667</v>
      </c>
      <c r="F94" s="138">
        <f>ROUND(E94*PARAMETROS!$L$10,0)</f>
        <v>162106</v>
      </c>
      <c r="G94" s="481">
        <v>0</v>
      </c>
      <c r="H94" s="481">
        <v>85525.819000000003</v>
      </c>
      <c r="I94" s="481">
        <v>792808.97600000002</v>
      </c>
      <c r="J94" s="481">
        <f t="shared" si="4"/>
        <v>3340700.585</v>
      </c>
      <c r="K94" s="502">
        <f>+J94-_CIERRE!U89-_CIERRE!V89</f>
        <v>0</v>
      </c>
      <c r="M94" s="32">
        <v>6110</v>
      </c>
      <c r="N94" s="33">
        <v>6104</v>
      </c>
      <c r="O94" s="4" t="s">
        <v>121</v>
      </c>
      <c r="P94" s="61">
        <f>+_CIERRE!S89</f>
        <v>0</v>
      </c>
      <c r="Q94" s="61">
        <f>+_CIERRE!T89</f>
        <v>3227871.952</v>
      </c>
      <c r="R94" s="502">
        <f>+Q94+P94-_CIERRE!T89</f>
        <v>0</v>
      </c>
      <c r="S94" s="61"/>
      <c r="T94" s="61"/>
      <c r="U94" s="61"/>
      <c r="V94" s="61"/>
      <c r="AF94" s="62"/>
      <c r="AG94" s="476"/>
    </row>
    <row r="95" spans="1:33" ht="3" customHeight="1" x14ac:dyDescent="0.25">
      <c r="A95">
        <v>6111</v>
      </c>
      <c r="B95">
        <v>6114</v>
      </c>
      <c r="C95" s="3" t="s">
        <v>129</v>
      </c>
      <c r="D95" s="137">
        <v>1874918.639</v>
      </c>
      <c r="E95" s="138">
        <f t="shared" si="3"/>
        <v>156243.21991666665</v>
      </c>
      <c r="F95" s="138">
        <f>ROUND(E95*PARAMETROS!$L$10,0)</f>
        <v>123432</v>
      </c>
      <c r="G95" s="481">
        <v>0</v>
      </c>
      <c r="H95" s="481">
        <v>65160.769</v>
      </c>
      <c r="I95" s="481">
        <v>605148.40800000005</v>
      </c>
      <c r="J95" s="481">
        <f t="shared" si="4"/>
        <v>2545227.8160000001</v>
      </c>
      <c r="K95" s="502">
        <f>+J95-_CIERRE!U90-_CIERRE!V90</f>
        <v>0</v>
      </c>
      <c r="M95" s="32">
        <v>6111</v>
      </c>
      <c r="N95" s="33">
        <v>6114</v>
      </c>
      <c r="O95" s="4" t="s">
        <v>129</v>
      </c>
      <c r="P95" s="61">
        <f>+_CIERRE!S90</f>
        <v>0</v>
      </c>
      <c r="Q95" s="61">
        <f>+_CIERRE!T90</f>
        <v>2469516.7119999998</v>
      </c>
      <c r="R95" s="502">
        <f>+Q95+P95-_CIERRE!T90</f>
        <v>0</v>
      </c>
      <c r="S95" s="61"/>
      <c r="T95" s="61"/>
      <c r="U95" s="61"/>
      <c r="V95" s="61"/>
      <c r="AF95" s="62"/>
      <c r="AG95" s="476"/>
    </row>
    <row r="96" spans="1:33" ht="3" customHeight="1" x14ac:dyDescent="0.25">
      <c r="A96">
        <v>6112</v>
      </c>
      <c r="B96">
        <v>6108</v>
      </c>
      <c r="C96" s="3" t="s">
        <v>125</v>
      </c>
      <c r="D96" s="137">
        <v>2639795.6039999998</v>
      </c>
      <c r="E96" s="138">
        <f t="shared" si="3"/>
        <v>219982.96699999998</v>
      </c>
      <c r="F96" s="138">
        <f>ROUND(E96*PARAMETROS!$L$10,0)</f>
        <v>173787</v>
      </c>
      <c r="G96" s="481">
        <v>0</v>
      </c>
      <c r="H96" s="481">
        <v>91727.744000000006</v>
      </c>
      <c r="I96" s="481">
        <v>851430.74100000004</v>
      </c>
      <c r="J96" s="481">
        <f t="shared" si="4"/>
        <v>3582954.0889999997</v>
      </c>
      <c r="K96" s="502">
        <f>+J96-_CIERRE!U91-_CIERRE!V91</f>
        <v>0</v>
      </c>
      <c r="M96" s="32">
        <v>6112</v>
      </c>
      <c r="N96" s="33">
        <v>6108</v>
      </c>
      <c r="O96" s="4" t="s">
        <v>125</v>
      </c>
      <c r="P96" s="61">
        <f>+_CIERRE!S91</f>
        <v>0</v>
      </c>
      <c r="Q96" s="61">
        <f>+_CIERRE!T91</f>
        <v>3174526.7740000002</v>
      </c>
      <c r="R96" s="502">
        <f>+Q96+P96-_CIERRE!T91</f>
        <v>0</v>
      </c>
      <c r="S96" s="61"/>
      <c r="T96" s="61"/>
      <c r="U96" s="61"/>
      <c r="V96" s="61"/>
      <c r="AF96" s="62"/>
      <c r="AG96" s="476"/>
    </row>
    <row r="97" spans="1:33" ht="3" customHeight="1" x14ac:dyDescent="0.25">
      <c r="A97">
        <v>6113</v>
      </c>
      <c r="B97">
        <v>6111</v>
      </c>
      <c r="C97" s="3" t="s">
        <v>127</v>
      </c>
      <c r="D97" s="137">
        <v>3659238.2140000002</v>
      </c>
      <c r="E97" s="138">
        <f t="shared" si="3"/>
        <v>304936.51783333335</v>
      </c>
      <c r="F97" s="138">
        <f>ROUND(E97*PARAMETROS!$L$10,0)</f>
        <v>240900</v>
      </c>
      <c r="G97" s="481">
        <v>0</v>
      </c>
      <c r="H97" s="481">
        <v>127177.947</v>
      </c>
      <c r="I97" s="481">
        <v>1181247.419</v>
      </c>
      <c r="J97" s="481">
        <f t="shared" si="4"/>
        <v>4967663.58</v>
      </c>
      <c r="K97" s="502">
        <f>+J97-_CIERRE!U92-_CIERRE!V92</f>
        <v>0</v>
      </c>
      <c r="M97" s="32">
        <v>6113</v>
      </c>
      <c r="N97" s="33">
        <v>6111</v>
      </c>
      <c r="O97" s="4" t="s">
        <v>127</v>
      </c>
      <c r="P97" s="61">
        <f>+_CIERRE!S92</f>
        <v>0</v>
      </c>
      <c r="Q97" s="61">
        <f>+_CIERRE!T92</f>
        <v>4049753.0260000001</v>
      </c>
      <c r="R97" s="502">
        <f>+Q97+P97-_CIERRE!T92</f>
        <v>0</v>
      </c>
      <c r="S97" s="61"/>
      <c r="T97" s="61"/>
      <c r="U97" s="61"/>
      <c r="V97" s="61"/>
      <c r="AF97" s="62"/>
      <c r="AG97" s="476"/>
    </row>
    <row r="98" spans="1:33" ht="3" customHeight="1" x14ac:dyDescent="0.25">
      <c r="A98">
        <v>6114</v>
      </c>
      <c r="B98">
        <v>6117</v>
      </c>
      <c r="C98" s="3" t="s">
        <v>132</v>
      </c>
      <c r="D98" s="137">
        <v>2611202.088</v>
      </c>
      <c r="E98" s="138">
        <f t="shared" si="3"/>
        <v>217600.174</v>
      </c>
      <c r="F98" s="138">
        <f>ROUND(E98*PARAMETROS!$L$10,0)</f>
        <v>171904</v>
      </c>
      <c r="G98" s="481">
        <v>0</v>
      </c>
      <c r="H98" s="481">
        <v>90722.126000000004</v>
      </c>
      <c r="I98" s="481">
        <v>841749.34299999999</v>
      </c>
      <c r="J98" s="481">
        <f t="shared" si="4"/>
        <v>3543673.557</v>
      </c>
      <c r="K98" s="502">
        <f>+J98-_CIERRE!U93-_CIERRE!V93</f>
        <v>0</v>
      </c>
      <c r="M98" s="32">
        <v>6114</v>
      </c>
      <c r="N98" s="33">
        <v>6117</v>
      </c>
      <c r="O98" s="4" t="s">
        <v>132</v>
      </c>
      <c r="P98" s="61">
        <f>+_CIERRE!S93</f>
        <v>0</v>
      </c>
      <c r="Q98" s="61">
        <f>+_CIERRE!T93</f>
        <v>3274724.5410000002</v>
      </c>
      <c r="R98" s="502">
        <f>+Q98+P98-_CIERRE!T93</f>
        <v>0</v>
      </c>
      <c r="S98" s="61"/>
      <c r="T98" s="61"/>
      <c r="U98" s="61"/>
      <c r="V98" s="61"/>
      <c r="AF98" s="62"/>
      <c r="AG98" s="476"/>
    </row>
    <row r="99" spans="1:33" ht="3" customHeight="1" x14ac:dyDescent="0.25">
      <c r="A99">
        <v>6115</v>
      </c>
      <c r="B99">
        <v>6112</v>
      </c>
      <c r="C99" s="3" t="s">
        <v>128</v>
      </c>
      <c r="D99" s="137">
        <v>7455548.3109999998</v>
      </c>
      <c r="E99" s="138">
        <f t="shared" si="3"/>
        <v>621295.69258333335</v>
      </c>
      <c r="F99" s="138">
        <f>ROUND(E99*PARAMETROS!$L$10,0)</f>
        <v>490824</v>
      </c>
      <c r="G99" s="481">
        <v>0</v>
      </c>
      <c r="H99" s="481">
        <v>258907.14300000001</v>
      </c>
      <c r="I99" s="481">
        <v>2398648.2209999999</v>
      </c>
      <c r="J99" s="481">
        <f t="shared" si="4"/>
        <v>10113103.675000001</v>
      </c>
      <c r="K99" s="502">
        <f>+J99-_CIERRE!U94-_CIERRE!V94</f>
        <v>0</v>
      </c>
      <c r="M99" s="32">
        <v>6115</v>
      </c>
      <c r="N99" s="33">
        <v>6112</v>
      </c>
      <c r="O99" s="4" t="s">
        <v>128</v>
      </c>
      <c r="P99" s="61">
        <f>+_CIERRE!S94</f>
        <v>0</v>
      </c>
      <c r="Q99" s="61">
        <f>+_CIERRE!T94</f>
        <v>9633603.1559999995</v>
      </c>
      <c r="R99" s="502">
        <f>+Q99+P99-_CIERRE!T94</f>
        <v>0</v>
      </c>
      <c r="S99" s="61"/>
      <c r="T99" s="61"/>
      <c r="U99" s="61"/>
      <c r="V99" s="61"/>
      <c r="AF99" s="62"/>
      <c r="AG99" s="476"/>
    </row>
    <row r="100" spans="1:33" ht="3" customHeight="1" x14ac:dyDescent="0.25">
      <c r="A100">
        <v>6116</v>
      </c>
      <c r="B100">
        <v>6113</v>
      </c>
      <c r="C100" s="3" t="s">
        <v>499</v>
      </c>
      <c r="D100" s="137">
        <v>2277542.835</v>
      </c>
      <c r="E100" s="138">
        <f t="shared" si="3"/>
        <v>189795.23624999999</v>
      </c>
      <c r="F100" s="138">
        <f>ROUND(E100*PARAMETROS!$L$10,0)</f>
        <v>149938</v>
      </c>
      <c r="G100" s="481">
        <v>0</v>
      </c>
      <c r="H100" s="481">
        <v>78979.415999999997</v>
      </c>
      <c r="I100" s="481">
        <v>728471.37</v>
      </c>
      <c r="J100" s="481">
        <f t="shared" si="4"/>
        <v>3084993.6210000003</v>
      </c>
      <c r="K100" s="502">
        <f>+J100-_CIERRE!U95-_CIERRE!V95</f>
        <v>0</v>
      </c>
      <c r="M100" s="32">
        <v>6116</v>
      </c>
      <c r="N100" s="33">
        <v>6113</v>
      </c>
      <c r="O100" s="4" t="s">
        <v>499</v>
      </c>
      <c r="P100" s="61">
        <f>+_CIERRE!S95</f>
        <v>0</v>
      </c>
      <c r="Q100" s="61">
        <f>+_CIERRE!T95</f>
        <v>3022901.5970000001</v>
      </c>
      <c r="R100" s="502">
        <f>+Q100+P100-_CIERRE!T95</f>
        <v>0</v>
      </c>
      <c r="S100" s="61"/>
      <c r="T100" s="61"/>
      <c r="U100" s="61"/>
      <c r="V100" s="61"/>
      <c r="AF100" s="62"/>
      <c r="AG100" s="476"/>
    </row>
    <row r="101" spans="1:33" ht="3" customHeight="1" x14ac:dyDescent="0.25">
      <c r="A101">
        <v>6117</v>
      </c>
      <c r="B101">
        <v>6110</v>
      </c>
      <c r="C101" s="3" t="s">
        <v>316</v>
      </c>
      <c r="D101" s="137">
        <v>7096556.1689999998</v>
      </c>
      <c r="E101" s="138">
        <f t="shared" si="3"/>
        <v>591379.68074999994</v>
      </c>
      <c r="F101" s="138">
        <f>ROUND(E101*PARAMETROS!$L$10,0)</f>
        <v>467190</v>
      </c>
      <c r="G101" s="481">
        <v>0</v>
      </c>
      <c r="H101" s="481">
        <v>246778.76800000001</v>
      </c>
      <c r="I101" s="481">
        <v>2296026.7480000001</v>
      </c>
      <c r="J101" s="481">
        <f t="shared" si="4"/>
        <v>9639361.6850000005</v>
      </c>
      <c r="K101" s="502">
        <f>+J101-_CIERRE!U96-_CIERRE!V96</f>
        <v>0</v>
      </c>
      <c r="M101" s="32">
        <v>6117</v>
      </c>
      <c r="N101" s="33">
        <v>6110</v>
      </c>
      <c r="O101" s="4" t="s">
        <v>316</v>
      </c>
      <c r="P101" s="61">
        <f>+_CIERRE!S96</f>
        <v>0</v>
      </c>
      <c r="Q101" s="61">
        <f>+_CIERRE!T96</f>
        <v>9152729.1329999994</v>
      </c>
      <c r="R101" s="502">
        <f>+Q101+P101-_CIERRE!T96</f>
        <v>0</v>
      </c>
      <c r="S101" s="61"/>
      <c r="T101" s="61"/>
      <c r="U101" s="61"/>
      <c r="V101" s="61"/>
      <c r="AF101" s="62"/>
      <c r="AG101" s="476"/>
    </row>
    <row r="102" spans="1:33" ht="3" customHeight="1" x14ac:dyDescent="0.25">
      <c r="A102">
        <v>6201</v>
      </c>
      <c r="B102">
        <v>6301</v>
      </c>
      <c r="C102" s="3" t="s">
        <v>142</v>
      </c>
      <c r="D102" s="137">
        <v>9089639.523</v>
      </c>
      <c r="E102" s="138">
        <f t="shared" si="3"/>
        <v>757469.96025</v>
      </c>
      <c r="F102" s="138">
        <f>ROUND(E102*PARAMETROS!$L$10,0)</f>
        <v>598401</v>
      </c>
      <c r="G102" s="481">
        <v>0</v>
      </c>
      <c r="H102" s="481">
        <v>315786.38099999999</v>
      </c>
      <c r="I102" s="481">
        <v>2929423.6549999998</v>
      </c>
      <c r="J102" s="481">
        <f t="shared" si="4"/>
        <v>12334849.558999998</v>
      </c>
      <c r="K102" s="502">
        <f>+J102-_CIERRE!U97-_CIERRE!V97</f>
        <v>0</v>
      </c>
      <c r="M102" s="32">
        <v>6201</v>
      </c>
      <c r="N102" s="33">
        <v>6301</v>
      </c>
      <c r="O102" s="4" t="s">
        <v>142</v>
      </c>
      <c r="P102" s="61">
        <f>+_CIERRE!S97</f>
        <v>0</v>
      </c>
      <c r="Q102" s="61">
        <f>+_CIERRE!T97</f>
        <v>12220532.187000001</v>
      </c>
      <c r="R102" s="502">
        <f>+Q102+P102-_CIERRE!T97</f>
        <v>0</v>
      </c>
      <c r="S102" s="61"/>
      <c r="T102" s="61"/>
      <c r="U102" s="61"/>
      <c r="V102" s="61"/>
      <c r="AF102" s="62"/>
      <c r="AG102" s="476"/>
    </row>
    <row r="103" spans="1:33" ht="3" customHeight="1" x14ac:dyDescent="0.25">
      <c r="A103">
        <v>6202</v>
      </c>
      <c r="B103">
        <v>6304</v>
      </c>
      <c r="C103" s="3" t="s">
        <v>145</v>
      </c>
      <c r="D103" s="137">
        <v>1512075.94</v>
      </c>
      <c r="E103" s="138">
        <f t="shared" si="3"/>
        <v>126006.32833333332</v>
      </c>
      <c r="F103" s="138">
        <f>ROUND(E103*PARAMETROS!$L$10,0)</f>
        <v>99545</v>
      </c>
      <c r="G103" s="481">
        <v>0</v>
      </c>
      <c r="H103" s="481">
        <v>52548.366000000002</v>
      </c>
      <c r="I103" s="481">
        <v>487954.098</v>
      </c>
      <c r="J103" s="481">
        <f t="shared" si="4"/>
        <v>2052578.4039999999</v>
      </c>
      <c r="K103" s="502">
        <f>+J103-_CIERRE!U98-_CIERRE!V98</f>
        <v>0</v>
      </c>
      <c r="M103" s="32">
        <v>6202</v>
      </c>
      <c r="N103" s="33">
        <v>6304</v>
      </c>
      <c r="O103" s="4" t="s">
        <v>145</v>
      </c>
      <c r="P103" s="61">
        <f>+_CIERRE!S98</f>
        <v>0</v>
      </c>
      <c r="Q103" s="61">
        <f>+_CIERRE!T98</f>
        <v>1961592.7039999999</v>
      </c>
      <c r="R103" s="502">
        <f>+Q103+P103-_CIERRE!T98</f>
        <v>0</v>
      </c>
      <c r="S103" s="61"/>
      <c r="T103" s="61"/>
      <c r="U103" s="61"/>
      <c r="V103" s="61"/>
      <c r="AF103" s="62"/>
      <c r="AG103" s="476"/>
    </row>
    <row r="104" spans="1:33" ht="3" customHeight="1" x14ac:dyDescent="0.25">
      <c r="A104">
        <v>6203</v>
      </c>
      <c r="B104">
        <v>6303</v>
      </c>
      <c r="C104" s="3" t="s">
        <v>144</v>
      </c>
      <c r="D104" s="137">
        <v>1625307.1170000001</v>
      </c>
      <c r="E104" s="138">
        <f t="shared" si="3"/>
        <v>135442.25975</v>
      </c>
      <c r="F104" s="138">
        <f>ROUND(E104*PARAMETROS!$L$10,0)</f>
        <v>106999</v>
      </c>
      <c r="G104" s="481">
        <v>0</v>
      </c>
      <c r="H104" s="481">
        <v>56479.63</v>
      </c>
      <c r="I104" s="481">
        <v>524349.35</v>
      </c>
      <c r="J104" s="481">
        <f t="shared" si="4"/>
        <v>2206136.0970000001</v>
      </c>
      <c r="K104" s="502">
        <f>+J104-_CIERRE!U99-_CIERRE!V99</f>
        <v>0</v>
      </c>
      <c r="M104" s="32">
        <v>6203</v>
      </c>
      <c r="N104" s="33">
        <v>6303</v>
      </c>
      <c r="O104" s="4" t="s">
        <v>144</v>
      </c>
      <c r="P104" s="61">
        <f>+_CIERRE!S99</f>
        <v>0</v>
      </c>
      <c r="Q104" s="61">
        <f>+_CIERRE!T99</f>
        <v>2117657.821</v>
      </c>
      <c r="R104" s="502">
        <f>+Q104+P104-_CIERRE!T99</f>
        <v>0</v>
      </c>
      <c r="S104" s="61"/>
      <c r="T104" s="61"/>
      <c r="U104" s="61"/>
      <c r="V104" s="61"/>
      <c r="AF104" s="62"/>
      <c r="AG104" s="476"/>
    </row>
    <row r="105" spans="1:33" ht="3" customHeight="1" x14ac:dyDescent="0.25">
      <c r="A105">
        <v>6204</v>
      </c>
      <c r="B105">
        <v>6305</v>
      </c>
      <c r="C105" s="3" t="s">
        <v>29</v>
      </c>
      <c r="D105" s="137">
        <v>1728028.4990000001</v>
      </c>
      <c r="E105" s="138">
        <f t="shared" si="3"/>
        <v>144002.37491666668</v>
      </c>
      <c r="F105" s="138">
        <f>ROUND(E105*PARAMETROS!$L$10,0)</f>
        <v>113762</v>
      </c>
      <c r="G105" s="481">
        <v>0</v>
      </c>
      <c r="H105" s="481">
        <v>60056.076000000001</v>
      </c>
      <c r="I105" s="481">
        <v>557749.91700000002</v>
      </c>
      <c r="J105" s="481">
        <f t="shared" si="4"/>
        <v>2345834.4920000001</v>
      </c>
      <c r="K105" s="502">
        <f>+J105-_CIERRE!U100-_CIERRE!V100</f>
        <v>0</v>
      </c>
      <c r="M105" s="32">
        <v>6204</v>
      </c>
      <c r="N105" s="33">
        <v>6305</v>
      </c>
      <c r="O105" s="4" t="s">
        <v>29</v>
      </c>
      <c r="P105" s="61">
        <f>+_CIERRE!S100</f>
        <v>0</v>
      </c>
      <c r="Q105" s="61">
        <f>+_CIERRE!T100</f>
        <v>2246527.7220000001</v>
      </c>
      <c r="R105" s="502">
        <f>+Q105+P105-_CIERRE!T100</f>
        <v>0</v>
      </c>
      <c r="S105" s="61"/>
      <c r="T105" s="61"/>
      <c r="U105" s="61"/>
      <c r="V105" s="61"/>
      <c r="AF105" s="62"/>
      <c r="AG105" s="476"/>
    </row>
    <row r="106" spans="1:33" ht="3" customHeight="1" x14ac:dyDescent="0.25">
      <c r="A106">
        <v>6205</v>
      </c>
      <c r="B106">
        <v>6302</v>
      </c>
      <c r="C106" s="3" t="s">
        <v>143</v>
      </c>
      <c r="D106" s="137">
        <v>5347109.6239999998</v>
      </c>
      <c r="E106" s="138">
        <f t="shared" si="3"/>
        <v>445592.46866666665</v>
      </c>
      <c r="F106" s="138">
        <f>ROUND(E106*PARAMETROS!$L$10,0)</f>
        <v>352018</v>
      </c>
      <c r="G106" s="481">
        <v>0</v>
      </c>
      <c r="H106" s="481">
        <v>185765.826</v>
      </c>
      <c r="I106" s="481">
        <v>1723275.0919999999</v>
      </c>
      <c r="J106" s="481">
        <f t="shared" si="4"/>
        <v>7256150.5420000004</v>
      </c>
      <c r="K106" s="502">
        <f>+J106-_CIERRE!U101-_CIERRE!V101</f>
        <v>0</v>
      </c>
      <c r="M106" s="32">
        <v>6205</v>
      </c>
      <c r="N106" s="33">
        <v>6302</v>
      </c>
      <c r="O106" s="4" t="s">
        <v>143</v>
      </c>
      <c r="P106" s="61">
        <f>+_CIERRE!S101</f>
        <v>0</v>
      </c>
      <c r="Q106" s="61">
        <f>+_CIERRE!T101</f>
        <v>7188901.8729999997</v>
      </c>
      <c r="R106" s="502">
        <f>+Q106+P106-_CIERRE!T101</f>
        <v>0</v>
      </c>
      <c r="S106" s="61"/>
      <c r="T106" s="61"/>
      <c r="U106" s="61"/>
      <c r="V106" s="61"/>
      <c r="AF106" s="62"/>
      <c r="AG106" s="476"/>
    </row>
    <row r="107" spans="1:33" ht="3" customHeight="1" x14ac:dyDescent="0.25">
      <c r="A107">
        <v>6206</v>
      </c>
      <c r="B107">
        <v>6306</v>
      </c>
      <c r="C107" s="3" t="s">
        <v>146</v>
      </c>
      <c r="D107" s="137">
        <v>2880727.4</v>
      </c>
      <c r="E107" s="138">
        <f t="shared" si="3"/>
        <v>240060.61666666667</v>
      </c>
      <c r="F107" s="138">
        <f>ROUND(E107*PARAMETROS!$L$10,0)</f>
        <v>189648</v>
      </c>
      <c r="G107" s="481">
        <v>0</v>
      </c>
      <c r="H107" s="481">
        <v>100080.371</v>
      </c>
      <c r="I107" s="481">
        <v>928405.46499999997</v>
      </c>
      <c r="J107" s="481">
        <f t="shared" si="4"/>
        <v>3909213.2359999996</v>
      </c>
      <c r="K107" s="502">
        <f>+J107-_CIERRE!U102-_CIERRE!V102</f>
        <v>0</v>
      </c>
      <c r="M107" s="32">
        <v>6206</v>
      </c>
      <c r="N107" s="33">
        <v>6306</v>
      </c>
      <c r="O107" s="4" t="s">
        <v>146</v>
      </c>
      <c r="P107" s="61">
        <f>+_CIERRE!S102</f>
        <v>0</v>
      </c>
      <c r="Q107" s="61">
        <f>+_CIERRE!T102</f>
        <v>3872983.0210000002</v>
      </c>
      <c r="R107" s="502">
        <f>+Q107+P107-_CIERRE!T102</f>
        <v>0</v>
      </c>
      <c r="S107" s="61"/>
      <c r="T107" s="61"/>
      <c r="U107" s="61"/>
      <c r="V107" s="61"/>
      <c r="AF107" s="62"/>
      <c r="AG107" s="476"/>
    </row>
    <row r="108" spans="1:33" ht="3" customHeight="1" x14ac:dyDescent="0.25">
      <c r="A108">
        <v>6301</v>
      </c>
      <c r="B108">
        <v>6201</v>
      </c>
      <c r="C108" s="3" t="s">
        <v>133</v>
      </c>
      <c r="D108" s="137">
        <v>7413542.2510000002</v>
      </c>
      <c r="E108" s="138">
        <f t="shared" si="3"/>
        <v>617795.18758333335</v>
      </c>
      <c r="F108" s="138">
        <f>ROUND(E108*PARAMETROS!$L$10,0)</f>
        <v>488058</v>
      </c>
      <c r="G108" s="481">
        <v>0</v>
      </c>
      <c r="H108" s="481">
        <v>257653.272</v>
      </c>
      <c r="I108" s="481">
        <v>2392932.1740000001</v>
      </c>
      <c r="J108" s="481">
        <f t="shared" si="4"/>
        <v>10064127.697000001</v>
      </c>
      <c r="K108" s="502">
        <f>+J108-_CIERRE!U103-_CIERRE!V103</f>
        <v>0</v>
      </c>
      <c r="M108" s="32">
        <v>6301</v>
      </c>
      <c r="N108" s="33">
        <v>6201</v>
      </c>
      <c r="O108" s="4" t="s">
        <v>133</v>
      </c>
      <c r="P108" s="61">
        <f>+_CIERRE!S103</f>
        <v>0</v>
      </c>
      <c r="Q108" s="61">
        <f>+_CIERRE!T103</f>
        <v>9128861.0999999996</v>
      </c>
      <c r="R108" s="502">
        <f>+Q108+P108-_CIERRE!T103</f>
        <v>0</v>
      </c>
      <c r="S108" s="61"/>
      <c r="T108" s="61"/>
      <c r="U108" s="61"/>
      <c r="V108" s="61"/>
      <c r="AF108" s="62"/>
      <c r="AG108" s="476"/>
    </row>
    <row r="109" spans="1:33" ht="3" customHeight="1" x14ac:dyDescent="0.25">
      <c r="A109">
        <v>6302</v>
      </c>
      <c r="B109">
        <v>6209</v>
      </c>
      <c r="C109" s="3" t="s">
        <v>386</v>
      </c>
      <c r="D109" s="137">
        <v>3167179.4739999999</v>
      </c>
      <c r="E109" s="138">
        <f t="shared" si="3"/>
        <v>263931.62283333333</v>
      </c>
      <c r="F109" s="138">
        <f>ROUND(E109*PARAMETROS!$L$10,0)</f>
        <v>208506</v>
      </c>
      <c r="G109" s="481">
        <v>0</v>
      </c>
      <c r="H109" s="481">
        <v>110025.12699999999</v>
      </c>
      <c r="I109" s="481">
        <v>1020457.394</v>
      </c>
      <c r="J109" s="481">
        <f t="shared" si="4"/>
        <v>4297661.9950000001</v>
      </c>
      <c r="K109" s="502">
        <f>+J109-_CIERRE!U104-_CIERRE!V104</f>
        <v>0</v>
      </c>
      <c r="M109" s="32">
        <v>6302</v>
      </c>
      <c r="N109" s="33">
        <v>6209</v>
      </c>
      <c r="O109" s="4" t="s">
        <v>386</v>
      </c>
      <c r="P109" s="61">
        <f>+_CIERRE!S104</f>
        <v>0</v>
      </c>
      <c r="Q109" s="61">
        <f>+_CIERRE!T104</f>
        <v>4018881.9750000001</v>
      </c>
      <c r="R109" s="502">
        <f>+Q109+P109-_CIERRE!T104</f>
        <v>0</v>
      </c>
      <c r="S109" s="61"/>
      <c r="T109" s="61"/>
      <c r="U109" s="61"/>
      <c r="V109" s="61"/>
      <c r="AF109" s="62"/>
      <c r="AG109" s="476"/>
    </row>
    <row r="110" spans="1:33" ht="3" customHeight="1" x14ac:dyDescent="0.25">
      <c r="A110">
        <v>6303</v>
      </c>
      <c r="B110">
        <v>6202</v>
      </c>
      <c r="C110" s="3" t="s">
        <v>134</v>
      </c>
      <c r="D110" s="137">
        <v>5815353.6840000004</v>
      </c>
      <c r="E110" s="138">
        <f t="shared" si="3"/>
        <v>484612.80700000003</v>
      </c>
      <c r="F110" s="138">
        <f>ROUND(E110*PARAMETROS!$L$10,0)</f>
        <v>382844</v>
      </c>
      <c r="G110" s="481">
        <v>0</v>
      </c>
      <c r="H110" s="481">
        <v>202072.42800000001</v>
      </c>
      <c r="I110" s="481">
        <v>1875672.0789999999</v>
      </c>
      <c r="J110" s="481">
        <f t="shared" si="4"/>
        <v>7893098.1910000006</v>
      </c>
      <c r="K110" s="502">
        <f>+J110-_CIERRE!U105-_CIERRE!V105</f>
        <v>0</v>
      </c>
      <c r="M110" s="32">
        <v>6303</v>
      </c>
      <c r="N110" s="33">
        <v>6202</v>
      </c>
      <c r="O110" s="4" t="s">
        <v>134</v>
      </c>
      <c r="P110" s="61">
        <f>+_CIERRE!S105</f>
        <v>0</v>
      </c>
      <c r="Q110" s="61">
        <f>+_CIERRE!T105</f>
        <v>6843141.5209999997</v>
      </c>
      <c r="R110" s="502">
        <f>+Q110+P110-_CIERRE!T105</f>
        <v>0</v>
      </c>
      <c r="S110" s="61"/>
      <c r="T110" s="61"/>
      <c r="U110" s="61"/>
      <c r="V110" s="61"/>
      <c r="AF110" s="62"/>
      <c r="AG110" s="476"/>
    </row>
    <row r="111" spans="1:33" ht="3" customHeight="1" x14ac:dyDescent="0.25">
      <c r="A111">
        <v>6304</v>
      </c>
      <c r="B111">
        <v>6206</v>
      </c>
      <c r="C111" s="3" t="s">
        <v>138</v>
      </c>
      <c r="D111" s="137">
        <v>1863535.862</v>
      </c>
      <c r="E111" s="138">
        <f t="shared" si="3"/>
        <v>155294.65516666666</v>
      </c>
      <c r="F111" s="138">
        <f>ROUND(E111*PARAMETROS!$L$10,0)</f>
        <v>122683</v>
      </c>
      <c r="G111" s="481">
        <v>0</v>
      </c>
      <c r="H111" s="481">
        <v>64763.423999999999</v>
      </c>
      <c r="I111" s="481">
        <v>601408.93200000003</v>
      </c>
      <c r="J111" s="481">
        <f t="shared" si="4"/>
        <v>2529708.2179999999</v>
      </c>
      <c r="K111" s="502">
        <f>+J111-_CIERRE!U106-_CIERRE!V106</f>
        <v>0</v>
      </c>
      <c r="M111" s="32">
        <v>6304</v>
      </c>
      <c r="N111" s="33">
        <v>6206</v>
      </c>
      <c r="O111" s="4" t="s">
        <v>138</v>
      </c>
      <c r="P111" s="61">
        <f>+_CIERRE!S106</f>
        <v>0</v>
      </c>
      <c r="Q111" s="61">
        <f>+_CIERRE!T106</f>
        <v>2415744.5469999998</v>
      </c>
      <c r="R111" s="502">
        <f>+Q111+P111-_CIERRE!T106</f>
        <v>0</v>
      </c>
      <c r="S111" s="61"/>
      <c r="T111" s="61"/>
      <c r="U111" s="61"/>
      <c r="V111" s="61"/>
      <c r="AF111" s="62"/>
      <c r="AG111" s="476"/>
    </row>
    <row r="112" spans="1:33" ht="3" customHeight="1" x14ac:dyDescent="0.25">
      <c r="A112">
        <v>6305</v>
      </c>
      <c r="B112">
        <v>6203</v>
      </c>
      <c r="C112" s="3" t="s">
        <v>135</v>
      </c>
      <c r="D112" s="137">
        <v>3021540.5809999998</v>
      </c>
      <c r="E112" s="138">
        <f t="shared" si="3"/>
        <v>251795.04841666666</v>
      </c>
      <c r="F112" s="138">
        <f>ROUND(E112*PARAMETROS!$L$10,0)</f>
        <v>198918</v>
      </c>
      <c r="G112" s="481">
        <v>0</v>
      </c>
      <c r="H112" s="481">
        <v>104987.245</v>
      </c>
      <c r="I112" s="481">
        <v>974351.06499999994</v>
      </c>
      <c r="J112" s="481">
        <f t="shared" si="4"/>
        <v>4100878.8909999998</v>
      </c>
      <c r="K112" s="502">
        <f>+J112-_CIERRE!U107-_CIERRE!V107</f>
        <v>0</v>
      </c>
      <c r="M112" s="32">
        <v>6305</v>
      </c>
      <c r="N112" s="33">
        <v>6203</v>
      </c>
      <c r="O112" s="4" t="s">
        <v>135</v>
      </c>
      <c r="P112" s="61">
        <f>+_CIERRE!S107</f>
        <v>0</v>
      </c>
      <c r="Q112" s="61">
        <f>+_CIERRE!T107</f>
        <v>3804168.7620000001</v>
      </c>
      <c r="R112" s="502">
        <f>+Q112+P112-_CIERRE!T107</f>
        <v>0</v>
      </c>
      <c r="S112" s="61"/>
      <c r="T112" s="61"/>
      <c r="U112" s="61"/>
      <c r="V112" s="61"/>
      <c r="AF112" s="62"/>
      <c r="AG112" s="476"/>
    </row>
    <row r="113" spans="1:33" ht="3" customHeight="1" x14ac:dyDescent="0.25">
      <c r="A113">
        <v>6306</v>
      </c>
      <c r="B113">
        <v>6207</v>
      </c>
      <c r="C113" s="3" t="s">
        <v>139</v>
      </c>
      <c r="D113" s="137">
        <v>1932980.6839999999</v>
      </c>
      <c r="E113" s="138">
        <f t="shared" si="3"/>
        <v>161081.72366666666</v>
      </c>
      <c r="F113" s="138">
        <f>ROUND(E113*PARAMETROS!$L$10,0)</f>
        <v>127255</v>
      </c>
      <c r="G113" s="481">
        <v>0</v>
      </c>
      <c r="H113" s="481">
        <v>67184.654999999999</v>
      </c>
      <c r="I113" s="481">
        <v>624117.01300000004</v>
      </c>
      <c r="J113" s="481">
        <f t="shared" si="4"/>
        <v>2624282.352</v>
      </c>
      <c r="K113" s="502">
        <f>+J113-_CIERRE!U108-_CIERRE!V108</f>
        <v>0</v>
      </c>
      <c r="M113" s="32">
        <v>6306</v>
      </c>
      <c r="N113" s="33">
        <v>6207</v>
      </c>
      <c r="O113" s="4" t="s">
        <v>139</v>
      </c>
      <c r="P113" s="61">
        <f>+_CIERRE!S108</f>
        <v>0</v>
      </c>
      <c r="Q113" s="61">
        <f>+_CIERRE!T108</f>
        <v>2496268.9989999998</v>
      </c>
      <c r="R113" s="502">
        <f>+Q113+P113-_CIERRE!T108</f>
        <v>0</v>
      </c>
      <c r="S113" s="61"/>
      <c r="T113" s="61"/>
      <c r="U113" s="61"/>
      <c r="V113" s="61"/>
      <c r="AF113" s="62"/>
      <c r="AG113" s="476"/>
    </row>
    <row r="114" spans="1:33" ht="3" customHeight="1" x14ac:dyDescent="0.25">
      <c r="A114">
        <v>6307</v>
      </c>
      <c r="B114">
        <v>6208</v>
      </c>
      <c r="C114" s="3" t="s">
        <v>140</v>
      </c>
      <c r="D114" s="137">
        <v>1983049.8759999999</v>
      </c>
      <c r="E114" s="138">
        <f t="shared" si="3"/>
        <v>165254.15633333332</v>
      </c>
      <c r="F114" s="138">
        <f>ROUND(E114*PARAMETROS!$L$10,0)</f>
        <v>130551</v>
      </c>
      <c r="G114" s="481">
        <v>0</v>
      </c>
      <c r="H114" s="481">
        <v>68898.524000000005</v>
      </c>
      <c r="I114" s="481">
        <v>639278.99399999995</v>
      </c>
      <c r="J114" s="481">
        <f t="shared" si="4"/>
        <v>2691227.3939999999</v>
      </c>
      <c r="K114" s="502">
        <f>+J114-_CIERRE!U109-_CIERRE!V109</f>
        <v>0</v>
      </c>
      <c r="M114" s="32">
        <v>6307</v>
      </c>
      <c r="N114" s="33">
        <v>6208</v>
      </c>
      <c r="O114" s="4" t="s">
        <v>140</v>
      </c>
      <c r="P114" s="61">
        <f>+_CIERRE!S109</f>
        <v>0</v>
      </c>
      <c r="Q114" s="61">
        <f>+_CIERRE!T109</f>
        <v>2659884.9330000002</v>
      </c>
      <c r="R114" s="502">
        <f>+Q114+P114-_CIERRE!T109</f>
        <v>0</v>
      </c>
      <c r="S114" s="61"/>
      <c r="T114" s="61"/>
      <c r="U114" s="61"/>
      <c r="V114" s="61"/>
      <c r="AF114" s="62"/>
      <c r="AG114" s="476"/>
    </row>
    <row r="115" spans="1:33" ht="3" customHeight="1" x14ac:dyDescent="0.25">
      <c r="A115">
        <v>6308</v>
      </c>
      <c r="B115">
        <v>6204</v>
      </c>
      <c r="C115" s="3" t="s">
        <v>136</v>
      </c>
      <c r="D115" s="137">
        <v>2122457.4470000002</v>
      </c>
      <c r="E115" s="138">
        <f t="shared" si="3"/>
        <v>176871.45391666668</v>
      </c>
      <c r="F115" s="138">
        <f>ROUND(E115*PARAMETROS!$L$10,0)</f>
        <v>139728</v>
      </c>
      <c r="G115" s="481">
        <v>0</v>
      </c>
      <c r="H115" s="481">
        <v>73738.513000000006</v>
      </c>
      <c r="I115" s="481">
        <v>684084.821</v>
      </c>
      <c r="J115" s="481">
        <f t="shared" si="4"/>
        <v>2880280.781</v>
      </c>
      <c r="K115" s="502">
        <f>+J115-_CIERRE!U110-_CIERRE!V110</f>
        <v>0</v>
      </c>
      <c r="M115" s="32">
        <v>6308</v>
      </c>
      <c r="N115" s="33">
        <v>6204</v>
      </c>
      <c r="O115" s="4" t="s">
        <v>136</v>
      </c>
      <c r="P115" s="61">
        <f>+_CIERRE!S110</f>
        <v>0</v>
      </c>
      <c r="Q115" s="61">
        <f>+_CIERRE!T110</f>
        <v>2526988.264</v>
      </c>
      <c r="R115" s="502">
        <f>+Q115+P115-_CIERRE!T110</f>
        <v>0</v>
      </c>
      <c r="S115" s="61"/>
      <c r="T115" s="61"/>
      <c r="U115" s="61"/>
      <c r="V115" s="61"/>
      <c r="AF115" s="62"/>
      <c r="AG115" s="476"/>
    </row>
    <row r="116" spans="1:33" ht="3" customHeight="1" x14ac:dyDescent="0.25">
      <c r="A116">
        <v>6309</v>
      </c>
      <c r="B116">
        <v>6214</v>
      </c>
      <c r="C116" s="3" t="s">
        <v>141</v>
      </c>
      <c r="D116" s="137">
        <v>1577663.023</v>
      </c>
      <c r="E116" s="138">
        <f t="shared" si="3"/>
        <v>131471.91858333335</v>
      </c>
      <c r="F116" s="138">
        <f>ROUND(E116*PARAMETROS!$L$10,0)</f>
        <v>103863</v>
      </c>
      <c r="G116" s="481">
        <v>0</v>
      </c>
      <c r="H116" s="481">
        <v>54827.205000000002</v>
      </c>
      <c r="I116" s="481">
        <v>509100.86</v>
      </c>
      <c r="J116" s="481">
        <f t="shared" si="4"/>
        <v>2141591.088</v>
      </c>
      <c r="K116" s="502">
        <f>+J116-_CIERRE!U111-_CIERRE!V111</f>
        <v>0</v>
      </c>
      <c r="M116" s="32">
        <v>6309</v>
      </c>
      <c r="N116" s="33">
        <v>6214</v>
      </c>
      <c r="O116" s="4" t="s">
        <v>141</v>
      </c>
      <c r="P116" s="61">
        <f>+_CIERRE!S111</f>
        <v>0</v>
      </c>
      <c r="Q116" s="61">
        <f>+_CIERRE!T111</f>
        <v>2056046.824</v>
      </c>
      <c r="R116" s="502">
        <f>+Q116+P116-_CIERRE!T111</f>
        <v>0</v>
      </c>
      <c r="S116" s="61"/>
      <c r="T116" s="61"/>
      <c r="U116" s="61"/>
      <c r="V116" s="61"/>
      <c r="AF116" s="62"/>
      <c r="AG116" s="476"/>
    </row>
    <row r="117" spans="1:33" ht="3" customHeight="1" x14ac:dyDescent="0.25">
      <c r="A117">
        <v>6310</v>
      </c>
      <c r="B117">
        <v>6205</v>
      </c>
      <c r="C117" s="3" t="s">
        <v>137</v>
      </c>
      <c r="D117" s="137">
        <v>4564055.8490000004</v>
      </c>
      <c r="E117" s="138">
        <f t="shared" si="3"/>
        <v>380337.9874166667</v>
      </c>
      <c r="F117" s="138">
        <f>ROUND(E117*PARAMETROS!$L$10,0)</f>
        <v>300467</v>
      </c>
      <c r="G117" s="481">
        <v>0</v>
      </c>
      <c r="H117" s="481">
        <v>158622.54300000001</v>
      </c>
      <c r="I117" s="481">
        <v>1473235.4979999999</v>
      </c>
      <c r="J117" s="481">
        <f t="shared" si="4"/>
        <v>6195913.8899999997</v>
      </c>
      <c r="K117" s="502">
        <f>+J117-_CIERRE!U112-_CIERRE!V112</f>
        <v>0</v>
      </c>
      <c r="M117" s="32">
        <v>6310</v>
      </c>
      <c r="N117" s="33">
        <v>6205</v>
      </c>
      <c r="O117" s="4" t="s">
        <v>137</v>
      </c>
      <c r="P117" s="61">
        <f>+_CIERRE!S112</f>
        <v>0</v>
      </c>
      <c r="Q117" s="61">
        <f>+_CIERRE!T112</f>
        <v>5309093.426</v>
      </c>
      <c r="R117" s="502">
        <f>+Q117+P117-_CIERRE!T112</f>
        <v>0</v>
      </c>
      <c r="S117" s="61"/>
      <c r="T117" s="61"/>
      <c r="U117" s="61"/>
      <c r="V117" s="61"/>
      <c r="AF117" s="62"/>
      <c r="AG117" s="476"/>
    </row>
    <row r="118" spans="1:33" ht="3" customHeight="1" x14ac:dyDescent="0.25">
      <c r="A118">
        <v>7101</v>
      </c>
      <c r="B118">
        <v>7201</v>
      </c>
      <c r="C118" s="3" t="s">
        <v>152</v>
      </c>
      <c r="D118" s="137">
        <v>18778200.829</v>
      </c>
      <c r="E118" s="138">
        <f t="shared" si="3"/>
        <v>1564850.0690833332</v>
      </c>
      <c r="F118" s="138">
        <f>ROUND(E118*PARAMETROS!$L$10,0)</f>
        <v>1236232</v>
      </c>
      <c r="G118" s="481">
        <v>0</v>
      </c>
      <c r="H118" s="481">
        <v>652066.75199999998</v>
      </c>
      <c r="I118" s="481">
        <v>6039942.6200000001</v>
      </c>
      <c r="J118" s="481">
        <f t="shared" si="4"/>
        <v>25470210.201000001</v>
      </c>
      <c r="K118" s="502">
        <f>+J118-_CIERRE!U113-_CIERRE!V113</f>
        <v>0</v>
      </c>
      <c r="M118" s="32">
        <v>7101</v>
      </c>
      <c r="N118" s="33">
        <v>7201</v>
      </c>
      <c r="O118" s="4" t="s">
        <v>152</v>
      </c>
      <c r="P118" s="61">
        <f>+_CIERRE!S113</f>
        <v>0</v>
      </c>
      <c r="Q118" s="61">
        <f>+_CIERRE!T113</f>
        <v>24292871.550000001</v>
      </c>
      <c r="R118" s="502">
        <f>+Q118+P118-_CIERRE!T113</f>
        <v>0</v>
      </c>
      <c r="S118" s="61"/>
      <c r="T118" s="61"/>
      <c r="U118" s="61"/>
      <c r="V118" s="61"/>
      <c r="AF118" s="62"/>
      <c r="AG118" s="476"/>
    </row>
    <row r="119" spans="1:33" ht="3" customHeight="1" x14ac:dyDescent="0.25">
      <c r="A119">
        <v>7102</v>
      </c>
      <c r="B119">
        <v>7208</v>
      </c>
      <c r="C119" s="3" t="s">
        <v>387</v>
      </c>
      <c r="D119" s="137">
        <v>9660023.4550000001</v>
      </c>
      <c r="E119" s="138">
        <f t="shared" si="3"/>
        <v>805001.95458333334</v>
      </c>
      <c r="F119" s="138">
        <f>ROUND(E119*PARAMETROS!$L$10,0)</f>
        <v>635952</v>
      </c>
      <c r="G119" s="481">
        <v>0</v>
      </c>
      <c r="H119" s="481">
        <v>335853.23599999998</v>
      </c>
      <c r="I119" s="481">
        <v>3122799.301</v>
      </c>
      <c r="J119" s="481">
        <f t="shared" si="4"/>
        <v>13118675.991999999</v>
      </c>
      <c r="K119" s="502">
        <f>+J119-_CIERRE!U114-_CIERRE!V114</f>
        <v>0</v>
      </c>
      <c r="M119" s="32">
        <v>7102</v>
      </c>
      <c r="N119" s="33">
        <v>7208</v>
      </c>
      <c r="O119" s="4" t="s">
        <v>387</v>
      </c>
      <c r="P119" s="61">
        <f>+_CIERRE!S114</f>
        <v>0</v>
      </c>
      <c r="Q119" s="61">
        <f>+_CIERRE!T114</f>
        <v>12490067.284</v>
      </c>
      <c r="R119" s="502">
        <f>+Q119+P119-_CIERRE!T114</f>
        <v>0</v>
      </c>
      <c r="S119" s="61"/>
      <c r="T119" s="61"/>
      <c r="U119" s="61"/>
      <c r="V119" s="61"/>
      <c r="AF119" s="62"/>
      <c r="AG119" s="476"/>
    </row>
    <row r="120" spans="1:33" ht="3" customHeight="1" x14ac:dyDescent="0.25">
      <c r="A120">
        <v>7103</v>
      </c>
      <c r="B120">
        <v>7207</v>
      </c>
      <c r="C120" s="3" t="s">
        <v>157</v>
      </c>
      <c r="D120" s="137">
        <v>3556133.57</v>
      </c>
      <c r="E120" s="138">
        <f t="shared" si="3"/>
        <v>296344.46416666667</v>
      </c>
      <c r="F120" s="138">
        <f>ROUND(E120*PARAMETROS!$L$10,0)</f>
        <v>234112</v>
      </c>
      <c r="G120" s="481">
        <v>0</v>
      </c>
      <c r="H120" s="481">
        <v>123566.664</v>
      </c>
      <c r="I120" s="481">
        <v>1146905.267</v>
      </c>
      <c r="J120" s="481">
        <f t="shared" si="4"/>
        <v>4826605.5010000002</v>
      </c>
      <c r="K120" s="502">
        <f>+J120-_CIERRE!U115-_CIERRE!V115</f>
        <v>0</v>
      </c>
      <c r="M120" s="32">
        <v>7103</v>
      </c>
      <c r="N120" s="33">
        <v>7207</v>
      </c>
      <c r="O120" s="4" t="s">
        <v>157</v>
      </c>
      <c r="P120" s="61">
        <f>+_CIERRE!S115</f>
        <v>0</v>
      </c>
      <c r="Q120" s="61">
        <f>+_CIERRE!T115</f>
        <v>3952526.99</v>
      </c>
      <c r="R120" s="502">
        <f>+Q120+P120-_CIERRE!T115</f>
        <v>0</v>
      </c>
      <c r="S120" s="61"/>
      <c r="T120" s="61"/>
      <c r="U120" s="61"/>
      <c r="V120" s="61"/>
      <c r="AF120" s="62"/>
      <c r="AG120" s="476"/>
    </row>
    <row r="121" spans="1:33" ht="3" customHeight="1" x14ac:dyDescent="0.25">
      <c r="A121">
        <v>7104</v>
      </c>
      <c r="B121">
        <v>7209</v>
      </c>
      <c r="C121" s="3" t="s">
        <v>158</v>
      </c>
      <c r="D121" s="137">
        <v>2516440.2119999998</v>
      </c>
      <c r="E121" s="138">
        <f t="shared" si="3"/>
        <v>209703.351</v>
      </c>
      <c r="F121" s="138">
        <f>ROUND(E121*PARAMETROS!$L$10,0)</f>
        <v>165666</v>
      </c>
      <c r="G121" s="481">
        <v>0</v>
      </c>
      <c r="H121" s="481">
        <v>87412.264999999999</v>
      </c>
      <c r="I121" s="481">
        <v>810535.34</v>
      </c>
      <c r="J121" s="481">
        <f t="shared" si="4"/>
        <v>3414387.8169999998</v>
      </c>
      <c r="K121" s="502">
        <f>+J121-_CIERRE!U116-_CIERRE!V116</f>
        <v>0</v>
      </c>
      <c r="M121" s="32">
        <v>7104</v>
      </c>
      <c r="N121" s="33">
        <v>7209</v>
      </c>
      <c r="O121" s="4" t="s">
        <v>158</v>
      </c>
      <c r="P121" s="61">
        <f>+_CIERRE!S116</f>
        <v>0</v>
      </c>
      <c r="Q121" s="61">
        <f>+_CIERRE!T116</f>
        <v>2992244.6609999998</v>
      </c>
      <c r="R121" s="502">
        <f>+Q121+P121-_CIERRE!T116</f>
        <v>0</v>
      </c>
      <c r="S121" s="61"/>
      <c r="T121" s="61"/>
      <c r="U121" s="61"/>
      <c r="V121" s="61"/>
      <c r="AF121" s="62"/>
      <c r="AG121" s="476"/>
    </row>
    <row r="122" spans="1:33" ht="3" customHeight="1" x14ac:dyDescent="0.25">
      <c r="A122">
        <v>7105</v>
      </c>
      <c r="B122">
        <v>7206</v>
      </c>
      <c r="C122" s="3" t="s">
        <v>156</v>
      </c>
      <c r="D122" s="137">
        <v>8427092.9230000004</v>
      </c>
      <c r="E122" s="138">
        <f t="shared" si="3"/>
        <v>702257.74358333333</v>
      </c>
      <c r="F122" s="138">
        <f>ROUND(E122*PARAMETROS!$L$10,0)</f>
        <v>554784</v>
      </c>
      <c r="G122" s="481">
        <v>0</v>
      </c>
      <c r="H122" s="481">
        <v>292840.25</v>
      </c>
      <c r="I122" s="481">
        <v>2718623.7829999998</v>
      </c>
      <c r="J122" s="481">
        <f t="shared" si="4"/>
        <v>11438556.956</v>
      </c>
      <c r="K122" s="502">
        <f>+J122-_CIERRE!U117-_CIERRE!V117</f>
        <v>0</v>
      </c>
      <c r="M122" s="32">
        <v>7105</v>
      </c>
      <c r="N122" s="33">
        <v>7206</v>
      </c>
      <c r="O122" s="4" t="s">
        <v>156</v>
      </c>
      <c r="P122" s="61">
        <f>+_CIERRE!S117</f>
        <v>0</v>
      </c>
      <c r="Q122" s="61">
        <f>+_CIERRE!T117</f>
        <v>10520719.58</v>
      </c>
      <c r="R122" s="502">
        <f>+Q122+P122-_CIERRE!T117</f>
        <v>0</v>
      </c>
      <c r="S122" s="61"/>
      <c r="T122" s="61"/>
      <c r="U122" s="61"/>
      <c r="V122" s="61"/>
      <c r="AF122" s="62"/>
      <c r="AG122" s="476"/>
    </row>
    <row r="123" spans="1:33" ht="3" customHeight="1" x14ac:dyDescent="0.25">
      <c r="A123">
        <v>7106</v>
      </c>
      <c r="B123">
        <v>7203</v>
      </c>
      <c r="C123" s="3" t="s">
        <v>154</v>
      </c>
      <c r="D123" s="137">
        <v>1938212.0430000001</v>
      </c>
      <c r="E123" s="138">
        <f t="shared" si="3"/>
        <v>161517.67025</v>
      </c>
      <c r="F123" s="138">
        <f>ROUND(E123*PARAMETROS!$L$10,0)</f>
        <v>127599</v>
      </c>
      <c r="G123" s="481">
        <v>0</v>
      </c>
      <c r="H123" s="481">
        <v>67369.218999999997</v>
      </c>
      <c r="I123" s="481">
        <v>625911.58299999998</v>
      </c>
      <c r="J123" s="481">
        <f t="shared" si="4"/>
        <v>2631492.8450000002</v>
      </c>
      <c r="K123" s="502">
        <f>+J123-_CIERRE!U118-_CIERRE!V118</f>
        <v>0</v>
      </c>
      <c r="M123" s="32">
        <v>7106</v>
      </c>
      <c r="N123" s="33">
        <v>7203</v>
      </c>
      <c r="O123" s="4" t="s">
        <v>154</v>
      </c>
      <c r="P123" s="61">
        <f>+_CIERRE!S118</f>
        <v>0</v>
      </c>
      <c r="Q123" s="61">
        <f>+_CIERRE!T118</f>
        <v>2502024.3689999999</v>
      </c>
      <c r="R123" s="502">
        <f>+Q123+P123-_CIERRE!T118</f>
        <v>0</v>
      </c>
      <c r="S123" s="61"/>
      <c r="T123" s="61"/>
      <c r="U123" s="61"/>
      <c r="V123" s="61"/>
      <c r="AF123" s="62"/>
      <c r="AG123" s="476"/>
    </row>
    <row r="124" spans="1:33" ht="3" customHeight="1" x14ac:dyDescent="0.25">
      <c r="A124">
        <v>7107</v>
      </c>
      <c r="B124">
        <v>7205</v>
      </c>
      <c r="C124" s="3" t="s">
        <v>155</v>
      </c>
      <c r="D124" s="137">
        <v>2011173.2209999999</v>
      </c>
      <c r="E124" s="138">
        <f t="shared" si="3"/>
        <v>167597.76841666666</v>
      </c>
      <c r="F124" s="138">
        <f>ROUND(E124*PARAMETROS!$L$10,0)</f>
        <v>132402</v>
      </c>
      <c r="G124" s="481">
        <v>0</v>
      </c>
      <c r="H124" s="481">
        <v>69911.070999999996</v>
      </c>
      <c r="I124" s="481">
        <v>649694.10900000005</v>
      </c>
      <c r="J124" s="481">
        <f t="shared" si="4"/>
        <v>2730778.4010000001</v>
      </c>
      <c r="K124" s="502">
        <f>+J124-_CIERRE!U119-_CIERRE!V119</f>
        <v>0</v>
      </c>
      <c r="M124" s="32">
        <v>7107</v>
      </c>
      <c r="N124" s="33">
        <v>7205</v>
      </c>
      <c r="O124" s="4" t="s">
        <v>155</v>
      </c>
      <c r="P124" s="61">
        <f>+_CIERRE!S119</f>
        <v>0</v>
      </c>
      <c r="Q124" s="61">
        <f>+_CIERRE!T119</f>
        <v>2572041.1549999998</v>
      </c>
      <c r="R124" s="502">
        <f>+Q124+P124-_CIERRE!T119</f>
        <v>0</v>
      </c>
      <c r="S124" s="61"/>
      <c r="T124" s="61"/>
      <c r="U124" s="61"/>
      <c r="V124" s="61"/>
      <c r="AF124" s="62"/>
      <c r="AG124" s="476"/>
    </row>
    <row r="125" spans="1:33" ht="3" customHeight="1" x14ac:dyDescent="0.25">
      <c r="A125">
        <v>7108</v>
      </c>
      <c r="B125">
        <v>7204</v>
      </c>
      <c r="C125" s="3" t="s">
        <v>388</v>
      </c>
      <c r="D125" s="137">
        <v>2175840.1159999999</v>
      </c>
      <c r="E125" s="138">
        <f t="shared" si="3"/>
        <v>181320.00966666665</v>
      </c>
      <c r="F125" s="138">
        <f>ROUND(E125*PARAMETROS!$L$10,0)</f>
        <v>143243</v>
      </c>
      <c r="G125" s="481">
        <v>0</v>
      </c>
      <c r="H125" s="481">
        <v>75619.391000000003</v>
      </c>
      <c r="I125" s="481">
        <v>702289.39</v>
      </c>
      <c r="J125" s="481">
        <f t="shared" si="4"/>
        <v>2953748.8969999999</v>
      </c>
      <c r="K125" s="502">
        <f>+J125-_CIERRE!U120-_CIERRE!V120</f>
        <v>0</v>
      </c>
      <c r="M125" s="32">
        <v>7108</v>
      </c>
      <c r="N125" s="33">
        <v>7204</v>
      </c>
      <c r="O125" s="4" t="s">
        <v>388</v>
      </c>
      <c r="P125" s="61">
        <f>+_CIERRE!S120</f>
        <v>0</v>
      </c>
      <c r="Q125" s="61">
        <f>+_CIERRE!T120</f>
        <v>2801855.071</v>
      </c>
      <c r="R125" s="502">
        <f>+Q125+P125-_CIERRE!T120</f>
        <v>0</v>
      </c>
      <c r="S125" s="61"/>
      <c r="T125" s="61"/>
      <c r="U125" s="61"/>
      <c r="V125" s="61"/>
      <c r="AF125" s="62"/>
      <c r="AG125" s="476"/>
    </row>
    <row r="126" spans="1:33" ht="3" customHeight="1" x14ac:dyDescent="0.25">
      <c r="A126">
        <v>7109</v>
      </c>
      <c r="B126">
        <v>7202</v>
      </c>
      <c r="C126" s="3" t="s">
        <v>153</v>
      </c>
      <c r="D126" s="137">
        <v>7864176.4139999999</v>
      </c>
      <c r="E126" s="138">
        <f t="shared" si="3"/>
        <v>655348.03449999995</v>
      </c>
      <c r="F126" s="138">
        <f>ROUND(E126*PARAMETROS!$L$10,0)</f>
        <v>517725</v>
      </c>
      <c r="G126" s="481">
        <v>0</v>
      </c>
      <c r="H126" s="481">
        <v>273256.07900000003</v>
      </c>
      <c r="I126" s="481">
        <v>2536151.2719999999</v>
      </c>
      <c r="J126" s="481">
        <f t="shared" si="4"/>
        <v>10673583.765000001</v>
      </c>
      <c r="K126" s="502">
        <f>+J126-_CIERRE!U121-_CIERRE!V121</f>
        <v>0</v>
      </c>
      <c r="M126" s="32">
        <v>7109</v>
      </c>
      <c r="N126" s="33">
        <v>7202</v>
      </c>
      <c r="O126" s="4" t="s">
        <v>153</v>
      </c>
      <c r="P126" s="61">
        <f>+_CIERRE!S121</f>
        <v>0</v>
      </c>
      <c r="Q126" s="61">
        <f>+_CIERRE!T121</f>
        <v>9812201.3579999991</v>
      </c>
      <c r="R126" s="502">
        <f>+Q126+P126-_CIERRE!T121</f>
        <v>0</v>
      </c>
      <c r="S126" s="61"/>
      <c r="T126" s="61"/>
      <c r="U126" s="61"/>
      <c r="V126" s="61"/>
      <c r="AF126" s="62"/>
      <c r="AG126" s="476"/>
    </row>
    <row r="127" spans="1:33" ht="3" customHeight="1" x14ac:dyDescent="0.25">
      <c r="A127">
        <v>7110</v>
      </c>
      <c r="B127">
        <v>7210</v>
      </c>
      <c r="C127" s="3" t="s">
        <v>159</v>
      </c>
      <c r="D127" s="137">
        <v>2503051.85</v>
      </c>
      <c r="E127" s="138">
        <f t="shared" si="3"/>
        <v>208587.65416666667</v>
      </c>
      <c r="F127" s="138">
        <f>ROUND(E127*PARAMETROS!$L$10,0)</f>
        <v>164784</v>
      </c>
      <c r="G127" s="481">
        <v>0</v>
      </c>
      <c r="H127" s="481">
        <v>86969.517999999996</v>
      </c>
      <c r="I127" s="481">
        <v>807071.05</v>
      </c>
      <c r="J127" s="481">
        <f t="shared" si="4"/>
        <v>3397092.4180000005</v>
      </c>
      <c r="K127" s="502">
        <f>+J127-_CIERRE!U122-_CIERRE!V122</f>
        <v>0</v>
      </c>
      <c r="M127" s="32">
        <v>7110</v>
      </c>
      <c r="N127" s="33">
        <v>7210</v>
      </c>
      <c r="O127" s="4" t="s">
        <v>159</v>
      </c>
      <c r="P127" s="61">
        <f>+_CIERRE!S122</f>
        <v>0</v>
      </c>
      <c r="Q127" s="61">
        <f>+_CIERRE!T122</f>
        <v>2836684.5559999999</v>
      </c>
      <c r="R127" s="502">
        <f>+Q127+P127-_CIERRE!T122</f>
        <v>0</v>
      </c>
      <c r="S127" s="61"/>
      <c r="T127" s="61"/>
      <c r="U127" s="61"/>
      <c r="V127" s="61"/>
      <c r="AF127" s="62"/>
      <c r="AG127" s="476"/>
    </row>
    <row r="128" spans="1:33" ht="3" customHeight="1" x14ac:dyDescent="0.25">
      <c r="A128">
        <v>7201</v>
      </c>
      <c r="B128">
        <v>7401</v>
      </c>
      <c r="C128" s="3" t="s">
        <v>166</v>
      </c>
      <c r="D128" s="137">
        <v>8353027.3890000004</v>
      </c>
      <c r="E128" s="138">
        <f t="shared" si="3"/>
        <v>696085.61575</v>
      </c>
      <c r="F128" s="138">
        <f>ROUND(E128*PARAMETROS!$L$10,0)</f>
        <v>549908</v>
      </c>
      <c r="G128" s="481">
        <v>0</v>
      </c>
      <c r="H128" s="481">
        <v>290338.74900000001</v>
      </c>
      <c r="I128" s="481">
        <v>2697479.9950000001</v>
      </c>
      <c r="J128" s="481">
        <f t="shared" si="4"/>
        <v>11340846.133000001</v>
      </c>
      <c r="K128" s="502">
        <f>+J128-_CIERRE!U123-_CIERRE!V123</f>
        <v>0</v>
      </c>
      <c r="M128" s="32">
        <v>7201</v>
      </c>
      <c r="N128" s="33">
        <v>7401</v>
      </c>
      <c r="O128" s="4" t="s">
        <v>166</v>
      </c>
      <c r="P128" s="61">
        <f>+_CIERRE!S123</f>
        <v>0</v>
      </c>
      <c r="Q128" s="61">
        <f>+_CIERRE!T123</f>
        <v>10120016.499</v>
      </c>
      <c r="R128" s="502">
        <f>+Q128+P128-_CIERRE!T123</f>
        <v>0</v>
      </c>
      <c r="S128" s="61"/>
      <c r="T128" s="61"/>
      <c r="U128" s="61"/>
      <c r="V128" s="61"/>
      <c r="AF128" s="62"/>
      <c r="AG128" s="476"/>
    </row>
    <row r="129" spans="1:33" ht="3" customHeight="1" x14ac:dyDescent="0.25">
      <c r="A129">
        <v>7202</v>
      </c>
      <c r="B129">
        <v>7403</v>
      </c>
      <c r="C129" s="3" t="s">
        <v>168</v>
      </c>
      <c r="D129" s="137">
        <v>3270492.7560000001</v>
      </c>
      <c r="E129" s="138">
        <f t="shared" si="3"/>
        <v>272541.06300000002</v>
      </c>
      <c r="F129" s="138">
        <f>ROUND(E129*PARAMETROS!$L$10,0)</f>
        <v>215307</v>
      </c>
      <c r="G129" s="481">
        <v>0</v>
      </c>
      <c r="H129" s="481">
        <v>113641.70600000001</v>
      </c>
      <c r="I129" s="481">
        <v>1054794.7320000001</v>
      </c>
      <c r="J129" s="481">
        <f t="shared" si="4"/>
        <v>4438929.1940000001</v>
      </c>
      <c r="K129" s="502">
        <f>+J129-_CIERRE!U124-_CIERRE!V124</f>
        <v>0</v>
      </c>
      <c r="M129" s="32">
        <v>7202</v>
      </c>
      <c r="N129" s="33">
        <v>7403</v>
      </c>
      <c r="O129" s="4" t="s">
        <v>168</v>
      </c>
      <c r="P129" s="61">
        <f>+_CIERRE!S124</f>
        <v>0</v>
      </c>
      <c r="Q129" s="61">
        <f>+_CIERRE!T124</f>
        <v>3826907.0060000001</v>
      </c>
      <c r="R129" s="502">
        <f>+Q129+P129-_CIERRE!T124</f>
        <v>0</v>
      </c>
      <c r="S129" s="61"/>
      <c r="T129" s="61"/>
      <c r="U129" s="61"/>
      <c r="V129" s="61"/>
      <c r="AF129" s="62"/>
      <c r="AG129" s="476"/>
    </row>
    <row r="130" spans="1:33" ht="3" customHeight="1" x14ac:dyDescent="0.25">
      <c r="A130">
        <v>7203</v>
      </c>
      <c r="B130">
        <v>7402</v>
      </c>
      <c r="C130" s="3" t="s">
        <v>167</v>
      </c>
      <c r="D130" s="137">
        <v>6877682.7910000002</v>
      </c>
      <c r="E130" s="138">
        <f t="shared" si="3"/>
        <v>573140.23258333339</v>
      </c>
      <c r="F130" s="138">
        <f>ROUND(E130*PARAMETROS!$L$10,0)</f>
        <v>452781</v>
      </c>
      <c r="G130" s="481">
        <v>0</v>
      </c>
      <c r="H130" s="481">
        <v>238957.66200000001</v>
      </c>
      <c r="I130" s="481">
        <v>2217222.2289999998</v>
      </c>
      <c r="J130" s="481">
        <f t="shared" si="4"/>
        <v>9333862.682</v>
      </c>
      <c r="K130" s="502">
        <f>+J130-_CIERRE!U125-_CIERRE!V125</f>
        <v>0</v>
      </c>
      <c r="M130" s="32">
        <v>7203</v>
      </c>
      <c r="N130" s="33">
        <v>7402</v>
      </c>
      <c r="O130" s="4" t="s">
        <v>167</v>
      </c>
      <c r="P130" s="61">
        <f>+_CIERRE!S125</f>
        <v>0</v>
      </c>
      <c r="Q130" s="61">
        <f>+_CIERRE!T125</f>
        <v>8965051.2819999997</v>
      </c>
      <c r="R130" s="502">
        <f>+Q130+P130-_CIERRE!T125</f>
        <v>0</v>
      </c>
      <c r="S130" s="61"/>
      <c r="T130" s="61"/>
      <c r="U130" s="61"/>
      <c r="V130" s="61"/>
      <c r="AF130" s="62"/>
      <c r="AG130" s="476"/>
    </row>
    <row r="131" spans="1:33" ht="3" customHeight="1" x14ac:dyDescent="0.25">
      <c r="A131">
        <v>7301</v>
      </c>
      <c r="B131">
        <v>7101</v>
      </c>
      <c r="C131" s="3" t="s">
        <v>389</v>
      </c>
      <c r="D131" s="137">
        <v>14015689.614</v>
      </c>
      <c r="E131" s="138">
        <f t="shared" si="3"/>
        <v>1167974.1344999999</v>
      </c>
      <c r="F131" s="138">
        <f>ROUND(E131*PARAMETROS!$L$10,0)</f>
        <v>922700</v>
      </c>
      <c r="G131" s="481">
        <v>0</v>
      </c>
      <c r="H131" s="481">
        <v>487113.386</v>
      </c>
      <c r="I131" s="481">
        <v>4524206.1550000003</v>
      </c>
      <c r="J131" s="481">
        <f t="shared" si="4"/>
        <v>19027009.155000001</v>
      </c>
      <c r="K131" s="502">
        <f>+J131-_CIERRE!U126-_CIERRE!V126</f>
        <v>0</v>
      </c>
      <c r="M131" s="32">
        <v>7301</v>
      </c>
      <c r="N131" s="33">
        <v>7101</v>
      </c>
      <c r="O131" s="4" t="s">
        <v>389</v>
      </c>
      <c r="P131" s="61">
        <f>+_CIERRE!S126</f>
        <v>0</v>
      </c>
      <c r="Q131" s="61">
        <f>+_CIERRE!T126</f>
        <v>17583083.122000001</v>
      </c>
      <c r="R131" s="502">
        <f>+Q131+P131-_CIERRE!T126</f>
        <v>0</v>
      </c>
      <c r="S131" s="61"/>
      <c r="T131" s="61"/>
      <c r="U131" s="61"/>
      <c r="V131" s="61"/>
      <c r="AF131" s="62"/>
      <c r="AG131" s="476"/>
    </row>
    <row r="132" spans="1:33" ht="3" customHeight="1" x14ac:dyDescent="0.25">
      <c r="A132">
        <v>7302</v>
      </c>
      <c r="B132">
        <v>7107</v>
      </c>
      <c r="C132" s="3" t="s">
        <v>390</v>
      </c>
      <c r="D132" s="137">
        <v>2566815.4190000002</v>
      </c>
      <c r="E132" s="138">
        <f t="shared" si="3"/>
        <v>213901.28491666669</v>
      </c>
      <c r="F132" s="138">
        <f>ROUND(E132*PARAMETROS!$L$10,0)</f>
        <v>168982</v>
      </c>
      <c r="G132" s="481">
        <v>0</v>
      </c>
      <c r="H132" s="481">
        <v>89154.864000000001</v>
      </c>
      <c r="I132" s="481">
        <v>826485.55500000005</v>
      </c>
      <c r="J132" s="481">
        <f t="shared" si="4"/>
        <v>3482455.8380000005</v>
      </c>
      <c r="K132" s="502">
        <f>+J132-_CIERRE!U127-_CIERRE!V127</f>
        <v>0</v>
      </c>
      <c r="M132" s="32">
        <v>7302</v>
      </c>
      <c r="N132" s="33">
        <v>7107</v>
      </c>
      <c r="O132" s="4" t="s">
        <v>390</v>
      </c>
      <c r="P132" s="61">
        <f>+_CIERRE!S127</f>
        <v>0</v>
      </c>
      <c r="Q132" s="61">
        <f>+_CIERRE!T127</f>
        <v>2872052.9279999998</v>
      </c>
      <c r="R132" s="502">
        <f>+Q132+P132-_CIERRE!T127</f>
        <v>0</v>
      </c>
      <c r="S132" s="61"/>
      <c r="T132" s="61"/>
      <c r="U132" s="61"/>
      <c r="V132" s="61"/>
      <c r="AF132" s="62"/>
      <c r="AG132" s="476"/>
    </row>
    <row r="133" spans="1:33" ht="3" customHeight="1" x14ac:dyDescent="0.25">
      <c r="A133">
        <v>7303</v>
      </c>
      <c r="B133">
        <v>7105</v>
      </c>
      <c r="C133" s="3" t="s">
        <v>391</v>
      </c>
      <c r="D133" s="137">
        <v>4491494.0829999996</v>
      </c>
      <c r="E133" s="138">
        <f t="shared" si="3"/>
        <v>374291.17358333332</v>
      </c>
      <c r="F133" s="138">
        <f>ROUND(E133*PARAMETROS!$L$10,0)</f>
        <v>295690</v>
      </c>
      <c r="G133" s="481">
        <v>0</v>
      </c>
      <c r="H133" s="481">
        <v>155990.63699999999</v>
      </c>
      <c r="I133" s="481">
        <v>1445626.0060000001</v>
      </c>
      <c r="J133" s="481">
        <f t="shared" si="4"/>
        <v>6093110.7259999998</v>
      </c>
      <c r="K133" s="502">
        <f>+J133-_CIERRE!U128-_CIERRE!V128</f>
        <v>0</v>
      </c>
      <c r="M133" s="32">
        <v>7303</v>
      </c>
      <c r="N133" s="33">
        <v>7105</v>
      </c>
      <c r="O133" s="4" t="s">
        <v>391</v>
      </c>
      <c r="P133" s="61">
        <f>+_CIERRE!S128</f>
        <v>0</v>
      </c>
      <c r="Q133" s="61">
        <f>+_CIERRE!T128</f>
        <v>5403307.9409999996</v>
      </c>
      <c r="R133" s="502">
        <f>+Q133+P133-_CIERRE!T128</f>
        <v>0</v>
      </c>
      <c r="S133" s="61"/>
      <c r="T133" s="61"/>
      <c r="U133" s="61"/>
      <c r="V133" s="61"/>
      <c r="AF133" s="62"/>
      <c r="AG133" s="476"/>
    </row>
    <row r="134" spans="1:33" ht="3" customHeight="1" x14ac:dyDescent="0.25">
      <c r="A134">
        <v>7304</v>
      </c>
      <c r="B134">
        <v>7108</v>
      </c>
      <c r="C134" s="3" t="s">
        <v>150</v>
      </c>
      <c r="D134" s="137">
        <v>7838370.1229999997</v>
      </c>
      <c r="E134" s="138">
        <f t="shared" si="3"/>
        <v>653197.51024999993</v>
      </c>
      <c r="F134" s="138">
        <f>ROUND(E134*PARAMETROS!$L$10,0)</f>
        <v>516026</v>
      </c>
      <c r="G134" s="481">
        <v>0</v>
      </c>
      <c r="H134" s="481">
        <v>272309.98800000001</v>
      </c>
      <c r="I134" s="481">
        <v>2525949.662</v>
      </c>
      <c r="J134" s="481">
        <f t="shared" si="4"/>
        <v>10636629.773</v>
      </c>
      <c r="K134" s="502">
        <f>+J134-_CIERRE!U129-_CIERRE!V129</f>
        <v>0</v>
      </c>
      <c r="M134" s="32">
        <v>7304</v>
      </c>
      <c r="N134" s="33">
        <v>7108</v>
      </c>
      <c r="O134" s="4" t="s">
        <v>150</v>
      </c>
      <c r="P134" s="61">
        <f>+_CIERRE!S129</f>
        <v>0</v>
      </c>
      <c r="Q134" s="61">
        <f>+_CIERRE!T129</f>
        <v>10419197.372</v>
      </c>
      <c r="R134" s="502">
        <f>+Q134+P134-_CIERRE!T129</f>
        <v>0</v>
      </c>
      <c r="S134" s="61"/>
      <c r="T134" s="61"/>
      <c r="U134" s="61"/>
      <c r="V134" s="61"/>
      <c r="AF134" s="62"/>
      <c r="AG134" s="476"/>
    </row>
    <row r="135" spans="1:33" ht="3" customHeight="1" x14ac:dyDescent="0.25">
      <c r="A135">
        <v>7305</v>
      </c>
      <c r="B135">
        <v>7104</v>
      </c>
      <c r="C135" s="3" t="s">
        <v>149</v>
      </c>
      <c r="D135" s="137">
        <v>2363701.8139999998</v>
      </c>
      <c r="E135" s="138">
        <f t="shared" ref="E135:E198" si="5">D135/12</f>
        <v>196975.15116666665</v>
      </c>
      <c r="F135" s="138">
        <f>ROUND(E135*PARAMETROS!$L$10,0)</f>
        <v>155610</v>
      </c>
      <c r="G135" s="481">
        <v>0</v>
      </c>
      <c r="H135" s="481">
        <v>82130.312000000005</v>
      </c>
      <c r="I135" s="481">
        <v>762238.36100000003</v>
      </c>
      <c r="J135" s="481">
        <f t="shared" si="4"/>
        <v>3208070.4869999997</v>
      </c>
      <c r="K135" s="502">
        <f>+J135-_CIERRE!U130-_CIERRE!V130</f>
        <v>0</v>
      </c>
      <c r="M135" s="32">
        <v>7305</v>
      </c>
      <c r="N135" s="33">
        <v>7104</v>
      </c>
      <c r="O135" s="4" t="s">
        <v>149</v>
      </c>
      <c r="P135" s="61">
        <f>+_CIERRE!S130</f>
        <v>0</v>
      </c>
      <c r="Q135" s="61">
        <f>+_CIERRE!T130</f>
        <v>2892288.2370000002</v>
      </c>
      <c r="R135" s="502">
        <f>+Q135+P135-_CIERRE!T130</f>
        <v>0</v>
      </c>
      <c r="S135" s="61"/>
      <c r="T135" s="61"/>
      <c r="U135" s="61"/>
      <c r="V135" s="61"/>
      <c r="AF135" s="62"/>
      <c r="AG135" s="476"/>
    </row>
    <row r="136" spans="1:33" ht="3" customHeight="1" x14ac:dyDescent="0.25">
      <c r="A136">
        <v>7306</v>
      </c>
      <c r="B136">
        <v>7103</v>
      </c>
      <c r="C136" s="3" t="s">
        <v>148</v>
      </c>
      <c r="D136" s="137">
        <v>2202763.443</v>
      </c>
      <c r="E136" s="138">
        <f t="shared" si="5"/>
        <v>183563.62025000001</v>
      </c>
      <c r="F136" s="138">
        <f>ROUND(E136*PARAMETROS!$L$10,0)</f>
        <v>145015</v>
      </c>
      <c r="G136" s="481">
        <v>0</v>
      </c>
      <c r="H136" s="481">
        <v>76527.831999999995</v>
      </c>
      <c r="I136" s="481">
        <v>709941.80799999996</v>
      </c>
      <c r="J136" s="481">
        <f t="shared" ref="J136:J199" si="6">+D136+G136+H136+I136-G136</f>
        <v>2989233.0829999996</v>
      </c>
      <c r="K136" s="502">
        <f>+J136-_CIERRE!U131-_CIERRE!V131</f>
        <v>0</v>
      </c>
      <c r="M136" s="32">
        <v>7306</v>
      </c>
      <c r="N136" s="33">
        <v>7103</v>
      </c>
      <c r="O136" s="4" t="s">
        <v>148</v>
      </c>
      <c r="P136" s="61">
        <f>+_CIERRE!S131</f>
        <v>0</v>
      </c>
      <c r="Q136" s="61">
        <f>+_CIERRE!T131</f>
        <v>2837629.2420000001</v>
      </c>
      <c r="R136" s="502">
        <f>+Q136+P136-_CIERRE!T131</f>
        <v>0</v>
      </c>
      <c r="S136" s="61"/>
      <c r="T136" s="61"/>
      <c r="U136" s="61"/>
      <c r="V136" s="61"/>
      <c r="AF136" s="62"/>
      <c r="AG136" s="476"/>
    </row>
    <row r="137" spans="1:33" ht="3" customHeight="1" x14ac:dyDescent="0.25">
      <c r="A137">
        <v>7307</v>
      </c>
      <c r="B137">
        <v>7109</v>
      </c>
      <c r="C137" s="3" t="s">
        <v>151</v>
      </c>
      <c r="D137" s="137">
        <v>2413078.6179999998</v>
      </c>
      <c r="E137" s="138">
        <f t="shared" si="5"/>
        <v>201089.88483333332</v>
      </c>
      <c r="F137" s="138">
        <f>ROUND(E137*PARAMETROS!$L$10,0)</f>
        <v>158861</v>
      </c>
      <c r="G137" s="481">
        <v>0</v>
      </c>
      <c r="H137" s="481">
        <v>83884.044999999998</v>
      </c>
      <c r="I137" s="481">
        <v>779610.30599999998</v>
      </c>
      <c r="J137" s="481">
        <f t="shared" si="6"/>
        <v>3276572.9689999996</v>
      </c>
      <c r="K137" s="502">
        <f>+J137-_CIERRE!U132-_CIERRE!V132</f>
        <v>0</v>
      </c>
      <c r="M137" s="32">
        <v>7307</v>
      </c>
      <c r="N137" s="33">
        <v>7109</v>
      </c>
      <c r="O137" s="4" t="s">
        <v>151</v>
      </c>
      <c r="P137" s="61">
        <f>+_CIERRE!S132</f>
        <v>0</v>
      </c>
      <c r="Q137" s="61">
        <f>+_CIERRE!T132</f>
        <v>3207024.625</v>
      </c>
      <c r="R137" s="502">
        <f>+Q137+P137-_CIERRE!T132</f>
        <v>0</v>
      </c>
      <c r="S137" s="61"/>
      <c r="T137" s="61"/>
      <c r="U137" s="61"/>
      <c r="V137" s="61"/>
      <c r="AF137" s="62"/>
      <c r="AG137" s="476"/>
    </row>
    <row r="138" spans="1:33" ht="3" customHeight="1" x14ac:dyDescent="0.25">
      <c r="A138">
        <v>7308</v>
      </c>
      <c r="B138">
        <v>7102</v>
      </c>
      <c r="C138" s="3" t="s">
        <v>147</v>
      </c>
      <c r="D138" s="137">
        <v>3200238.679</v>
      </c>
      <c r="E138" s="138">
        <f t="shared" si="5"/>
        <v>266686.55658333335</v>
      </c>
      <c r="F138" s="138">
        <f>ROUND(E138*PARAMETROS!$L$10,0)</f>
        <v>210682</v>
      </c>
      <c r="G138" s="481">
        <v>0</v>
      </c>
      <c r="H138" s="481">
        <v>111180.624</v>
      </c>
      <c r="I138" s="481">
        <v>1031378.074</v>
      </c>
      <c r="J138" s="481">
        <f t="shared" si="6"/>
        <v>4342797.3770000003</v>
      </c>
      <c r="K138" s="502">
        <f>+J138-_CIERRE!U133-_CIERRE!V133</f>
        <v>0</v>
      </c>
      <c r="M138" s="32">
        <v>7308</v>
      </c>
      <c r="N138" s="33">
        <v>7102</v>
      </c>
      <c r="O138" s="4" t="s">
        <v>147</v>
      </c>
      <c r="P138" s="61">
        <f>+_CIERRE!S133</f>
        <v>0</v>
      </c>
      <c r="Q138" s="61">
        <f>+_CIERRE!T133</f>
        <v>4302549.2</v>
      </c>
      <c r="R138" s="502">
        <f>+Q138+P138-_CIERRE!T133</f>
        <v>0</v>
      </c>
      <c r="S138" s="61"/>
      <c r="T138" s="61"/>
      <c r="U138" s="61"/>
      <c r="V138" s="61"/>
      <c r="AF138" s="62"/>
      <c r="AG138" s="476"/>
    </row>
    <row r="139" spans="1:33" ht="3" customHeight="1" x14ac:dyDescent="0.25">
      <c r="A139">
        <v>7309</v>
      </c>
      <c r="B139">
        <v>7106</v>
      </c>
      <c r="C139" s="3" t="s">
        <v>392</v>
      </c>
      <c r="D139" s="137">
        <v>1680472.2849999999</v>
      </c>
      <c r="E139" s="138">
        <f t="shared" si="5"/>
        <v>140039.35708333334</v>
      </c>
      <c r="F139" s="138">
        <f>ROUND(E139*PARAMETROS!$L$10,0)</f>
        <v>110631</v>
      </c>
      <c r="G139" s="481">
        <v>0</v>
      </c>
      <c r="H139" s="481">
        <v>58379.254000000001</v>
      </c>
      <c r="I139" s="481">
        <v>541484.93299999996</v>
      </c>
      <c r="J139" s="481">
        <f t="shared" si="6"/>
        <v>2280336.4720000001</v>
      </c>
      <c r="K139" s="502">
        <f>+J139-_CIERRE!U134-_CIERRE!V134</f>
        <v>0</v>
      </c>
      <c r="M139" s="32">
        <v>7309</v>
      </c>
      <c r="N139" s="33">
        <v>7106</v>
      </c>
      <c r="O139" s="4" t="s">
        <v>392</v>
      </c>
      <c r="P139" s="61">
        <f>+_CIERRE!S134</f>
        <v>0</v>
      </c>
      <c r="Q139" s="61">
        <f>+_CIERRE!T134</f>
        <v>2198479.5729999999</v>
      </c>
      <c r="R139" s="502">
        <f>+Q139+P139-_CIERRE!T134</f>
        <v>0</v>
      </c>
      <c r="S139" s="61"/>
      <c r="T139" s="61"/>
      <c r="U139" s="61"/>
      <c r="V139" s="61"/>
      <c r="AF139" s="62"/>
      <c r="AG139" s="476"/>
    </row>
    <row r="140" spans="1:33" ht="3" customHeight="1" x14ac:dyDescent="0.25">
      <c r="A140">
        <v>7401</v>
      </c>
      <c r="B140">
        <v>7301</v>
      </c>
      <c r="C140" s="3" t="s">
        <v>160</v>
      </c>
      <c r="D140" s="137">
        <v>13678623.699999999</v>
      </c>
      <c r="E140" s="138">
        <f t="shared" si="5"/>
        <v>1139885.3083333333</v>
      </c>
      <c r="F140" s="138">
        <f>ROUND(E140*PARAMETROS!$L$10,0)</f>
        <v>900509</v>
      </c>
      <c r="G140" s="481">
        <v>0</v>
      </c>
      <c r="H140" s="481">
        <v>475419.57199999999</v>
      </c>
      <c r="I140" s="481">
        <v>4416196.1069999998</v>
      </c>
      <c r="J140" s="481">
        <f t="shared" si="6"/>
        <v>18570239.379000001</v>
      </c>
      <c r="K140" s="502">
        <f>+J140-_CIERRE!U135-_CIERRE!V135</f>
        <v>0</v>
      </c>
      <c r="M140" s="32">
        <v>7401</v>
      </c>
      <c r="N140" s="33">
        <v>7301</v>
      </c>
      <c r="O140" s="4" t="s">
        <v>160</v>
      </c>
      <c r="P140" s="61">
        <f>+_CIERRE!S135</f>
        <v>0</v>
      </c>
      <c r="Q140" s="61">
        <f>+_CIERRE!T135</f>
        <v>16757754.732999999</v>
      </c>
      <c r="R140" s="502">
        <f>+Q140+P140-_CIERRE!T135</f>
        <v>0</v>
      </c>
      <c r="S140" s="61"/>
      <c r="T140" s="61"/>
      <c r="U140" s="61"/>
      <c r="V140" s="61"/>
      <c r="AF140" s="62"/>
      <c r="AG140" s="476"/>
    </row>
    <row r="141" spans="1:33" ht="3" customHeight="1" x14ac:dyDescent="0.25">
      <c r="A141">
        <v>7402</v>
      </c>
      <c r="B141">
        <v>7303</v>
      </c>
      <c r="C141" s="3" t="s">
        <v>393</v>
      </c>
      <c r="D141" s="137">
        <v>3566821.63</v>
      </c>
      <c r="E141" s="138">
        <f t="shared" si="5"/>
        <v>297235.1358333333</v>
      </c>
      <c r="F141" s="138">
        <f>ROUND(E141*PARAMETROS!$L$10,0)</f>
        <v>234816</v>
      </c>
      <c r="G141" s="481">
        <v>0</v>
      </c>
      <c r="H141" s="481">
        <v>123916.213</v>
      </c>
      <c r="I141" s="481">
        <v>1149521.0160000001</v>
      </c>
      <c r="J141" s="481">
        <f t="shared" si="6"/>
        <v>4840258.8590000002</v>
      </c>
      <c r="K141" s="502">
        <f>+J141-_CIERRE!U136-_CIERRE!V136</f>
        <v>0</v>
      </c>
      <c r="M141" s="32">
        <v>7402</v>
      </c>
      <c r="N141" s="33">
        <v>7303</v>
      </c>
      <c r="O141" s="4" t="s">
        <v>393</v>
      </c>
      <c r="P141" s="61">
        <f>+_CIERRE!S136</f>
        <v>0</v>
      </c>
      <c r="Q141" s="61">
        <f>+_CIERRE!T136</f>
        <v>4795399.983</v>
      </c>
      <c r="R141" s="502">
        <f>+Q141+P141-_CIERRE!T136</f>
        <v>0</v>
      </c>
      <c r="S141" s="61"/>
      <c r="T141" s="61"/>
      <c r="U141" s="61"/>
      <c r="V141" s="61"/>
      <c r="AF141" s="62"/>
      <c r="AG141" s="476"/>
    </row>
    <row r="142" spans="1:33" ht="3" customHeight="1" x14ac:dyDescent="0.25">
      <c r="A142">
        <v>7403</v>
      </c>
      <c r="B142">
        <v>7304</v>
      </c>
      <c r="C142" s="3" t="s">
        <v>394</v>
      </c>
      <c r="D142" s="137">
        <v>6682673.8600000003</v>
      </c>
      <c r="E142" s="138">
        <f t="shared" si="5"/>
        <v>556889.4883333334</v>
      </c>
      <c r="F142" s="138">
        <f>ROUND(E142*PARAMETROS!$L$10,0)</f>
        <v>439943</v>
      </c>
      <c r="G142" s="481">
        <v>0</v>
      </c>
      <c r="H142" s="481">
        <v>232154.53</v>
      </c>
      <c r="I142" s="481">
        <v>2153298.4169999999</v>
      </c>
      <c r="J142" s="481">
        <f t="shared" si="6"/>
        <v>9068126.807</v>
      </c>
      <c r="K142" s="502">
        <f>+J142-_CIERRE!U137-_CIERRE!V137</f>
        <v>0</v>
      </c>
      <c r="M142" s="32">
        <v>7403</v>
      </c>
      <c r="N142" s="33">
        <v>7304</v>
      </c>
      <c r="O142" s="4" t="s">
        <v>394</v>
      </c>
      <c r="P142" s="61">
        <f>+_CIERRE!S137</f>
        <v>0</v>
      </c>
      <c r="Q142" s="61">
        <f>+_CIERRE!T137</f>
        <v>7720346.0760000004</v>
      </c>
      <c r="R142" s="502">
        <f>+Q142+P142-_CIERRE!T137</f>
        <v>0</v>
      </c>
      <c r="S142" s="61"/>
      <c r="T142" s="61"/>
      <c r="U142" s="61"/>
      <c r="V142" s="61"/>
      <c r="AF142" s="62"/>
      <c r="AG142" s="476"/>
    </row>
    <row r="143" spans="1:33" ht="3" customHeight="1" x14ac:dyDescent="0.25">
      <c r="A143">
        <v>7404</v>
      </c>
      <c r="B143">
        <v>7305</v>
      </c>
      <c r="C143" s="3" t="s">
        <v>162</v>
      </c>
      <c r="D143" s="137">
        <v>7944968.0460000001</v>
      </c>
      <c r="E143" s="138">
        <f t="shared" si="5"/>
        <v>662080.67050000001</v>
      </c>
      <c r="F143" s="138">
        <f>ROUND(E143*PARAMETROS!$L$10,0)</f>
        <v>523044</v>
      </c>
      <c r="G143" s="481">
        <v>0</v>
      </c>
      <c r="H143" s="481">
        <v>275978.05099999998</v>
      </c>
      <c r="I143" s="481">
        <v>2558960.929</v>
      </c>
      <c r="J143" s="481">
        <f t="shared" si="6"/>
        <v>10779907.026000001</v>
      </c>
      <c r="K143" s="502">
        <f>+J143-_CIERRE!U138-_CIERRE!V138</f>
        <v>0</v>
      </c>
      <c r="M143" s="32">
        <v>7404</v>
      </c>
      <c r="N143" s="33">
        <v>7305</v>
      </c>
      <c r="O143" s="4" t="s">
        <v>162</v>
      </c>
      <c r="P143" s="61">
        <f>+_CIERRE!S138</f>
        <v>0</v>
      </c>
      <c r="Q143" s="61">
        <f>+_CIERRE!T138</f>
        <v>9378802.1740000006</v>
      </c>
      <c r="R143" s="502">
        <f>+Q143+P143-_CIERRE!T138</f>
        <v>0</v>
      </c>
      <c r="S143" s="61"/>
      <c r="T143" s="61"/>
      <c r="U143" s="61"/>
      <c r="V143" s="61"/>
      <c r="AF143" s="62"/>
      <c r="AG143" s="476"/>
    </row>
    <row r="144" spans="1:33" ht="3" customHeight="1" x14ac:dyDescent="0.25">
      <c r="A144">
        <v>7405</v>
      </c>
      <c r="B144">
        <v>7306</v>
      </c>
      <c r="C144" s="3" t="s">
        <v>163</v>
      </c>
      <c r="D144" s="137">
        <v>4477633.7170000002</v>
      </c>
      <c r="E144" s="138">
        <f t="shared" si="5"/>
        <v>373136.14308333333</v>
      </c>
      <c r="F144" s="138">
        <f>ROUND(E144*PARAMETROS!$L$10,0)</f>
        <v>294778</v>
      </c>
      <c r="G144" s="481">
        <v>0</v>
      </c>
      <c r="H144" s="481">
        <v>155538.85200000001</v>
      </c>
      <c r="I144" s="481">
        <v>1442289.584</v>
      </c>
      <c r="J144" s="481">
        <f t="shared" si="6"/>
        <v>6075462.1529999999</v>
      </c>
      <c r="K144" s="502">
        <f>+J144-_CIERRE!U139-_CIERRE!V139</f>
        <v>0</v>
      </c>
      <c r="M144" s="32">
        <v>7405</v>
      </c>
      <c r="N144" s="33">
        <v>7306</v>
      </c>
      <c r="O144" s="4" t="s">
        <v>163</v>
      </c>
      <c r="P144" s="61">
        <f>+_CIERRE!S139</f>
        <v>0</v>
      </c>
      <c r="Q144" s="61">
        <f>+_CIERRE!T139</f>
        <v>4946553.2079999996</v>
      </c>
      <c r="R144" s="502">
        <f>+Q144+P144-_CIERRE!T139</f>
        <v>0</v>
      </c>
      <c r="S144" s="61"/>
      <c r="T144" s="61"/>
      <c r="U144" s="61"/>
      <c r="V144" s="61"/>
      <c r="AF144" s="62"/>
      <c r="AG144" s="476"/>
    </row>
    <row r="145" spans="1:33" ht="3" customHeight="1" x14ac:dyDescent="0.25">
      <c r="A145">
        <v>7406</v>
      </c>
      <c r="B145">
        <v>7310</v>
      </c>
      <c r="C145" s="3" t="s">
        <v>165</v>
      </c>
      <c r="D145" s="137">
        <v>8237742.5719999997</v>
      </c>
      <c r="E145" s="138">
        <f t="shared" si="5"/>
        <v>686478.54766666668</v>
      </c>
      <c r="F145" s="138">
        <f>ROUND(E145*PARAMETROS!$L$10,0)</f>
        <v>542318</v>
      </c>
      <c r="G145" s="481">
        <v>0</v>
      </c>
      <c r="H145" s="481">
        <v>286266.32799999998</v>
      </c>
      <c r="I145" s="481">
        <v>2657766.0290000001</v>
      </c>
      <c r="J145" s="481">
        <f t="shared" si="6"/>
        <v>11181774.929000001</v>
      </c>
      <c r="K145" s="502">
        <f>+J145-_CIERRE!U140-_CIERRE!V140</f>
        <v>0</v>
      </c>
      <c r="M145" s="32">
        <v>7406</v>
      </c>
      <c r="N145" s="33">
        <v>7310</v>
      </c>
      <c r="O145" s="4" t="s">
        <v>165</v>
      </c>
      <c r="P145" s="61">
        <f>+_CIERRE!S140</f>
        <v>0</v>
      </c>
      <c r="Q145" s="61">
        <f>+_CIERRE!T140</f>
        <v>10246786.530999999</v>
      </c>
      <c r="R145" s="502">
        <f>+Q145+P145-_CIERRE!T140</f>
        <v>0</v>
      </c>
      <c r="S145" s="61"/>
      <c r="T145" s="61"/>
      <c r="U145" s="61"/>
      <c r="V145" s="61"/>
      <c r="AF145" s="62"/>
      <c r="AG145" s="476"/>
    </row>
    <row r="146" spans="1:33" ht="3" customHeight="1" x14ac:dyDescent="0.25">
      <c r="A146">
        <v>7407</v>
      </c>
      <c r="B146">
        <v>7309</v>
      </c>
      <c r="C146" s="3" t="s">
        <v>164</v>
      </c>
      <c r="D146" s="137">
        <v>3739209.4870000002</v>
      </c>
      <c r="E146" s="138">
        <f t="shared" si="5"/>
        <v>311600.79058333335</v>
      </c>
      <c r="F146" s="138">
        <f>ROUND(E146*PARAMETROS!$L$10,0)</f>
        <v>246165</v>
      </c>
      <c r="G146" s="481">
        <v>0</v>
      </c>
      <c r="H146" s="481">
        <v>129859.878</v>
      </c>
      <c r="I146" s="481">
        <v>1203354.2930000001</v>
      </c>
      <c r="J146" s="481">
        <f t="shared" si="6"/>
        <v>5072423.6579999998</v>
      </c>
      <c r="K146" s="502">
        <f>+J146-_CIERRE!U141-_CIERRE!V141</f>
        <v>0</v>
      </c>
      <c r="M146" s="32">
        <v>7407</v>
      </c>
      <c r="N146" s="33">
        <v>7309</v>
      </c>
      <c r="O146" s="4" t="s">
        <v>164</v>
      </c>
      <c r="P146" s="61">
        <f>+_CIERRE!S141</f>
        <v>0</v>
      </c>
      <c r="Q146" s="61">
        <f>+_CIERRE!T141</f>
        <v>4386926.9179999996</v>
      </c>
      <c r="R146" s="502">
        <f>+Q146+P146-_CIERRE!T141</f>
        <v>0</v>
      </c>
      <c r="S146" s="61"/>
      <c r="T146" s="61"/>
      <c r="U146" s="61"/>
      <c r="V146" s="61"/>
      <c r="AF146" s="62"/>
      <c r="AG146" s="476"/>
    </row>
    <row r="147" spans="1:33" ht="3" customHeight="1" x14ac:dyDescent="0.25">
      <c r="A147">
        <v>7408</v>
      </c>
      <c r="B147">
        <v>7302</v>
      </c>
      <c r="C147" s="3" t="s">
        <v>161</v>
      </c>
      <c r="D147" s="137">
        <v>3345819.2680000002</v>
      </c>
      <c r="E147" s="138">
        <f t="shared" si="5"/>
        <v>278818.27233333333</v>
      </c>
      <c r="F147" s="138">
        <f>ROUND(E147*PARAMETROS!$L$10,0)</f>
        <v>220266</v>
      </c>
      <c r="G147" s="481">
        <v>0</v>
      </c>
      <c r="H147" s="481">
        <v>116234.518</v>
      </c>
      <c r="I147" s="481">
        <v>1078152.5519999999</v>
      </c>
      <c r="J147" s="481">
        <f t="shared" si="6"/>
        <v>4540206.3380000005</v>
      </c>
      <c r="K147" s="502">
        <f>+J147-_CIERRE!U142-_CIERRE!V142</f>
        <v>0</v>
      </c>
      <c r="M147" s="32">
        <v>7408</v>
      </c>
      <c r="N147" s="33">
        <v>7302</v>
      </c>
      <c r="O147" s="4" t="s">
        <v>161</v>
      </c>
      <c r="P147" s="61">
        <f>+_CIERRE!S142</f>
        <v>0</v>
      </c>
      <c r="Q147" s="61">
        <f>+_CIERRE!T142</f>
        <v>3872731.4219999998</v>
      </c>
      <c r="R147" s="502">
        <f>+Q147+P147-_CIERRE!T142</f>
        <v>0</v>
      </c>
      <c r="S147" s="61"/>
      <c r="T147" s="61"/>
      <c r="U147" s="61"/>
      <c r="V147" s="61"/>
      <c r="AF147" s="62"/>
      <c r="AG147" s="476"/>
    </row>
    <row r="148" spans="1:33" ht="3" customHeight="1" x14ac:dyDescent="0.25">
      <c r="A148">
        <v>8101</v>
      </c>
      <c r="B148">
        <v>8201</v>
      </c>
      <c r="C148" s="3" t="s">
        <v>395</v>
      </c>
      <c r="D148" s="137">
        <v>8138251.3880000003</v>
      </c>
      <c r="E148" s="138">
        <f t="shared" si="5"/>
        <v>678187.61566666665</v>
      </c>
      <c r="F148" s="138">
        <f>ROUND(E148*PARAMETROS!$L$10,0)</f>
        <v>535768</v>
      </c>
      <c r="G148" s="481">
        <v>0</v>
      </c>
      <c r="H148" s="481">
        <v>282315.10499999998</v>
      </c>
      <c r="I148" s="481">
        <v>2606869.8560000001</v>
      </c>
      <c r="J148" s="481">
        <f t="shared" si="6"/>
        <v>11027436.349000001</v>
      </c>
      <c r="K148" s="502">
        <f>+J148-_CIERRE!U143-_CIERRE!V143</f>
        <v>0</v>
      </c>
      <c r="M148" s="32">
        <v>8101</v>
      </c>
      <c r="N148" s="33">
        <v>8201</v>
      </c>
      <c r="O148" s="4" t="s">
        <v>395</v>
      </c>
      <c r="P148" s="61">
        <f>+_CIERRE!S143</f>
        <v>0</v>
      </c>
      <c r="Q148" s="61">
        <f>+_CIERRE!T143</f>
        <v>10483327.197000001</v>
      </c>
      <c r="R148" s="502">
        <f>+Q148+P148-_CIERRE!T143</f>
        <v>0</v>
      </c>
      <c r="S148" s="61"/>
      <c r="T148" s="61"/>
      <c r="U148" s="61"/>
      <c r="V148" s="61"/>
      <c r="AF148" s="62"/>
      <c r="AG148" s="476"/>
    </row>
    <row r="149" spans="1:33" ht="3" customHeight="1" x14ac:dyDescent="0.25">
      <c r="A149">
        <v>8102</v>
      </c>
      <c r="B149">
        <v>8207</v>
      </c>
      <c r="C149" s="3" t="s">
        <v>187</v>
      </c>
      <c r="D149" s="137">
        <v>12981260.124</v>
      </c>
      <c r="E149" s="138">
        <f t="shared" si="5"/>
        <v>1081771.6769999999</v>
      </c>
      <c r="F149" s="138">
        <f>ROUND(E149*PARAMETROS!$L$10,0)</f>
        <v>854600</v>
      </c>
      <c r="G149" s="481">
        <v>0</v>
      </c>
      <c r="H149" s="481">
        <v>450986.54700000002</v>
      </c>
      <c r="I149" s="481">
        <v>4183621.4049999998</v>
      </c>
      <c r="J149" s="481">
        <f t="shared" si="6"/>
        <v>17615868.076000001</v>
      </c>
      <c r="K149" s="502">
        <f>+J149-_CIERRE!U144-_CIERRE!V144</f>
        <v>0</v>
      </c>
      <c r="M149" s="32">
        <v>8102</v>
      </c>
      <c r="N149" s="33">
        <v>8207</v>
      </c>
      <c r="O149" s="4" t="s">
        <v>187</v>
      </c>
      <c r="P149" s="61">
        <f>+_CIERRE!S144</f>
        <v>0</v>
      </c>
      <c r="Q149" s="61">
        <f>+_CIERRE!T144</f>
        <v>17452607.429000001</v>
      </c>
      <c r="R149" s="502">
        <f>+Q149+P149-_CIERRE!T144</f>
        <v>0</v>
      </c>
      <c r="S149" s="61"/>
      <c r="T149" s="61"/>
      <c r="U149" s="61"/>
      <c r="V149" s="61"/>
      <c r="AF149" s="62"/>
      <c r="AG149" s="476"/>
    </row>
    <row r="150" spans="1:33" ht="3" customHeight="1" x14ac:dyDescent="0.25">
      <c r="A150">
        <v>8103</v>
      </c>
      <c r="B150">
        <v>8211</v>
      </c>
      <c r="C150" s="3" t="s">
        <v>191</v>
      </c>
      <c r="D150" s="137">
        <v>9289611.9739999995</v>
      </c>
      <c r="E150" s="138">
        <f t="shared" si="5"/>
        <v>774134.33116666658</v>
      </c>
      <c r="F150" s="138">
        <f>ROUND(E150*PARAMETROS!$L$10,0)</f>
        <v>611566</v>
      </c>
      <c r="G150" s="481">
        <v>0</v>
      </c>
      <c r="H150" s="481">
        <v>322733.69099999999</v>
      </c>
      <c r="I150" s="481">
        <v>2993871.091</v>
      </c>
      <c r="J150" s="481">
        <f t="shared" si="6"/>
        <v>12606216.755999999</v>
      </c>
      <c r="K150" s="502">
        <f>+J150-_CIERRE!U145-_CIERRE!V145</f>
        <v>0</v>
      </c>
      <c r="M150" s="32">
        <v>8103</v>
      </c>
      <c r="N150" s="33">
        <v>8211</v>
      </c>
      <c r="O150" s="4" t="s">
        <v>191</v>
      </c>
      <c r="P150" s="61">
        <f>+_CIERRE!S145</f>
        <v>0</v>
      </c>
      <c r="Q150" s="61">
        <f>+_CIERRE!T145</f>
        <v>12489385.465</v>
      </c>
      <c r="R150" s="502">
        <f>+Q150+P150-_CIERRE!T145</f>
        <v>0</v>
      </c>
      <c r="S150" s="61"/>
      <c r="T150" s="61"/>
      <c r="U150" s="61"/>
      <c r="V150" s="61"/>
      <c r="AF150" s="62"/>
      <c r="AG150" s="476"/>
    </row>
    <row r="151" spans="1:33" ht="3" customHeight="1" x14ac:dyDescent="0.25">
      <c r="A151">
        <v>8104</v>
      </c>
      <c r="B151">
        <v>8204</v>
      </c>
      <c r="C151" s="3" t="s">
        <v>185</v>
      </c>
      <c r="D151" s="137">
        <v>3298965.7820000001</v>
      </c>
      <c r="E151" s="138">
        <f t="shared" si="5"/>
        <v>274913.8151666667</v>
      </c>
      <c r="F151" s="138">
        <f>ROUND(E151*PARAMETROS!$L$10,0)</f>
        <v>217182</v>
      </c>
      <c r="G151" s="481">
        <v>0</v>
      </c>
      <c r="H151" s="481">
        <v>114610.539</v>
      </c>
      <c r="I151" s="481">
        <v>1063196.0020000001</v>
      </c>
      <c r="J151" s="481">
        <f t="shared" si="6"/>
        <v>4476772.3229999999</v>
      </c>
      <c r="K151" s="502">
        <f>+J151-_CIERRE!U146-_CIERRE!V146</f>
        <v>0</v>
      </c>
      <c r="M151" s="32">
        <v>8104</v>
      </c>
      <c r="N151" s="33">
        <v>8204</v>
      </c>
      <c r="O151" s="4" t="s">
        <v>185</v>
      </c>
      <c r="P151" s="61">
        <f>+_CIERRE!S146</f>
        <v>0</v>
      </c>
      <c r="Q151" s="61">
        <f>+_CIERRE!T146</f>
        <v>4435282.1849999996</v>
      </c>
      <c r="R151" s="502">
        <f>+Q151+P151-_CIERRE!T146</f>
        <v>0</v>
      </c>
      <c r="S151" s="61"/>
      <c r="T151" s="61"/>
      <c r="U151" s="61"/>
      <c r="V151" s="61"/>
      <c r="AF151" s="62"/>
      <c r="AG151" s="476"/>
    </row>
    <row r="152" spans="1:33" ht="3" customHeight="1" x14ac:dyDescent="0.25">
      <c r="A152">
        <v>8105</v>
      </c>
      <c r="B152">
        <v>8203</v>
      </c>
      <c r="C152" s="3" t="s">
        <v>184</v>
      </c>
      <c r="D152" s="137">
        <v>5029720.5729999999</v>
      </c>
      <c r="E152" s="138">
        <f t="shared" si="5"/>
        <v>419143.38108333334</v>
      </c>
      <c r="F152" s="138">
        <f>ROUND(E152*PARAMETROS!$L$10,0)</f>
        <v>331123</v>
      </c>
      <c r="G152" s="481">
        <v>0</v>
      </c>
      <c r="H152" s="481">
        <v>174734.353</v>
      </c>
      <c r="I152" s="481">
        <v>1620797.406</v>
      </c>
      <c r="J152" s="481">
        <f t="shared" si="6"/>
        <v>6825252.3320000004</v>
      </c>
      <c r="K152" s="502">
        <f>+J152-_CIERRE!U147-_CIERRE!V147</f>
        <v>0</v>
      </c>
      <c r="M152" s="32">
        <v>8105</v>
      </c>
      <c r="N152" s="33">
        <v>8203</v>
      </c>
      <c r="O152" s="4" t="s">
        <v>184</v>
      </c>
      <c r="P152" s="61">
        <f>+_CIERRE!S147</f>
        <v>0</v>
      </c>
      <c r="Q152" s="61">
        <f>+_CIERRE!T147</f>
        <v>6736689.8660000004</v>
      </c>
      <c r="R152" s="502">
        <f>+Q152+P152-_CIERRE!T147</f>
        <v>0</v>
      </c>
      <c r="S152" s="61"/>
      <c r="T152" s="61"/>
      <c r="U152" s="61"/>
      <c r="V152" s="61"/>
      <c r="AF152" s="62"/>
      <c r="AG152" s="476"/>
    </row>
    <row r="153" spans="1:33" ht="3" customHeight="1" x14ac:dyDescent="0.25">
      <c r="A153">
        <v>8106</v>
      </c>
      <c r="B153">
        <v>8208</v>
      </c>
      <c r="C153" s="3" t="s">
        <v>188</v>
      </c>
      <c r="D153" s="137">
        <v>8419412.023</v>
      </c>
      <c r="E153" s="138">
        <f t="shared" si="5"/>
        <v>701617.66858333338</v>
      </c>
      <c r="F153" s="138">
        <f>ROUND(E153*PARAMETROS!$L$10,0)</f>
        <v>554278</v>
      </c>
      <c r="G153" s="481">
        <v>0</v>
      </c>
      <c r="H153" s="481">
        <v>292501.76899999997</v>
      </c>
      <c r="I153" s="481">
        <v>2713421.6540000001</v>
      </c>
      <c r="J153" s="481">
        <f t="shared" si="6"/>
        <v>11425335.445999999</v>
      </c>
      <c r="K153" s="502">
        <f>+J153-_CIERRE!U148-_CIERRE!V148</f>
        <v>0</v>
      </c>
      <c r="M153" s="32">
        <v>8106</v>
      </c>
      <c r="N153" s="33">
        <v>8208</v>
      </c>
      <c r="O153" s="4" t="s">
        <v>188</v>
      </c>
      <c r="P153" s="61">
        <f>+_CIERRE!S148</f>
        <v>0</v>
      </c>
      <c r="Q153" s="61">
        <f>+_CIERRE!T148</f>
        <v>11319447.148</v>
      </c>
      <c r="R153" s="502">
        <f>+Q153+P153-_CIERRE!T148</f>
        <v>0</v>
      </c>
      <c r="S153" s="61"/>
      <c r="T153" s="61"/>
      <c r="U153" s="61"/>
      <c r="V153" s="61"/>
      <c r="AF153" s="62"/>
      <c r="AG153" s="476"/>
    </row>
    <row r="154" spans="1:33" ht="3" customHeight="1" x14ac:dyDescent="0.25">
      <c r="A154">
        <v>8107</v>
      </c>
      <c r="B154">
        <v>8202</v>
      </c>
      <c r="C154" s="3" t="s">
        <v>183</v>
      </c>
      <c r="D154" s="137">
        <v>6274655.7970000003</v>
      </c>
      <c r="E154" s="138">
        <f t="shared" si="5"/>
        <v>522887.98308333335</v>
      </c>
      <c r="F154" s="138">
        <f>ROUND(E154*PARAMETROS!$L$10,0)</f>
        <v>413082</v>
      </c>
      <c r="G154" s="481">
        <v>0</v>
      </c>
      <c r="H154" s="481">
        <v>217906.52100000001</v>
      </c>
      <c r="I154" s="481">
        <v>2019026.912</v>
      </c>
      <c r="J154" s="481">
        <f t="shared" si="6"/>
        <v>8511589.2300000004</v>
      </c>
      <c r="K154" s="502">
        <f>+J154-_CIERRE!U149-_CIERRE!V149</f>
        <v>0</v>
      </c>
      <c r="M154" s="32">
        <v>8107</v>
      </c>
      <c r="N154" s="33">
        <v>8202</v>
      </c>
      <c r="O154" s="4" t="s">
        <v>183</v>
      </c>
      <c r="P154" s="61">
        <f>+_CIERRE!S149</f>
        <v>0</v>
      </c>
      <c r="Q154" s="61">
        <f>+_CIERRE!T149</f>
        <v>8432705.9399999995</v>
      </c>
      <c r="R154" s="502">
        <f>+Q154+P154-_CIERRE!T149</f>
        <v>0</v>
      </c>
      <c r="S154" s="61"/>
      <c r="T154" s="61"/>
      <c r="U154" s="61"/>
      <c r="V154" s="61"/>
      <c r="AF154" s="62"/>
      <c r="AG154" s="476"/>
    </row>
    <row r="155" spans="1:33" ht="3" customHeight="1" x14ac:dyDescent="0.25">
      <c r="A155">
        <v>8108</v>
      </c>
      <c r="B155">
        <v>8210</v>
      </c>
      <c r="C155" s="3" t="s">
        <v>190</v>
      </c>
      <c r="D155" s="137">
        <v>8786614.9480000008</v>
      </c>
      <c r="E155" s="138">
        <f t="shared" si="5"/>
        <v>732217.9123333334</v>
      </c>
      <c r="F155" s="138">
        <f>ROUND(E155*PARAMETROS!$L$10,0)</f>
        <v>578452</v>
      </c>
      <c r="G155" s="481">
        <v>0</v>
      </c>
      <c r="H155" s="481">
        <v>304748.17800000001</v>
      </c>
      <c r="I155" s="481">
        <v>2812327.031</v>
      </c>
      <c r="J155" s="481">
        <f t="shared" si="6"/>
        <v>11903690.157</v>
      </c>
      <c r="K155" s="502">
        <f>+J155-_CIERRE!U150-_CIERRE!V150</f>
        <v>0</v>
      </c>
      <c r="M155" s="32">
        <v>8108</v>
      </c>
      <c r="N155" s="33">
        <v>8210</v>
      </c>
      <c r="O155" s="4" t="s">
        <v>190</v>
      </c>
      <c r="P155" s="61">
        <f>+_CIERRE!S150</f>
        <v>0</v>
      </c>
      <c r="Q155" s="61">
        <f>+_CIERRE!T150</f>
        <v>10314776.454</v>
      </c>
      <c r="R155" s="502">
        <f>+Q155+P155-_CIERRE!T150</f>
        <v>0</v>
      </c>
      <c r="S155" s="61"/>
      <c r="T155" s="61"/>
      <c r="U155" s="61"/>
      <c r="V155" s="61"/>
      <c r="AF155" s="62"/>
      <c r="AG155" s="476"/>
    </row>
    <row r="156" spans="1:33" ht="3" customHeight="1" x14ac:dyDescent="0.25">
      <c r="A156">
        <v>8109</v>
      </c>
      <c r="B156">
        <v>8209</v>
      </c>
      <c r="C156" s="3" t="s">
        <v>189</v>
      </c>
      <c r="D156" s="137">
        <v>4077654.966</v>
      </c>
      <c r="E156" s="138">
        <f t="shared" si="5"/>
        <v>339804.58049999998</v>
      </c>
      <c r="F156" s="138">
        <f>ROUND(E156*PARAMETROS!$L$10,0)</f>
        <v>268446</v>
      </c>
      <c r="G156" s="481">
        <v>0</v>
      </c>
      <c r="H156" s="481">
        <v>141739.85</v>
      </c>
      <c r="I156" s="481">
        <v>1317068.767</v>
      </c>
      <c r="J156" s="481">
        <f t="shared" si="6"/>
        <v>5536463.5829999996</v>
      </c>
      <c r="K156" s="502">
        <f>+J156-_CIERRE!U151-_CIERRE!V151</f>
        <v>0</v>
      </c>
      <c r="M156" s="32">
        <v>8109</v>
      </c>
      <c r="N156" s="33">
        <v>8209</v>
      </c>
      <c r="O156" s="4" t="s">
        <v>189</v>
      </c>
      <c r="P156" s="61">
        <f>+_CIERRE!S151</f>
        <v>0</v>
      </c>
      <c r="Q156" s="61">
        <f>+_CIERRE!T151</f>
        <v>5292730.3640000001</v>
      </c>
      <c r="R156" s="502">
        <f>+Q156+P156-_CIERRE!T151</f>
        <v>0</v>
      </c>
      <c r="S156" s="61"/>
      <c r="T156" s="61"/>
      <c r="U156" s="61"/>
      <c r="V156" s="61"/>
      <c r="AF156" s="62"/>
      <c r="AG156" s="476"/>
    </row>
    <row r="157" spans="1:33" ht="3" customHeight="1" x14ac:dyDescent="0.25">
      <c r="A157">
        <v>8110</v>
      </c>
      <c r="B157">
        <v>8206</v>
      </c>
      <c r="C157" s="3" t="s">
        <v>186</v>
      </c>
      <c r="D157" s="137">
        <v>8230440.7429999998</v>
      </c>
      <c r="E157" s="138">
        <f t="shared" si="5"/>
        <v>685870.06191666669</v>
      </c>
      <c r="F157" s="138">
        <f>ROUND(E157*PARAMETROS!$L$10,0)</f>
        <v>541837</v>
      </c>
      <c r="G157" s="481">
        <v>0</v>
      </c>
      <c r="H157" s="481">
        <v>285585.94500000001</v>
      </c>
      <c r="I157" s="481">
        <v>2639171.1809999999</v>
      </c>
      <c r="J157" s="481">
        <f t="shared" si="6"/>
        <v>11155197.868999999</v>
      </c>
      <c r="K157" s="502">
        <f>+J157-_CIERRE!U152-_CIERRE!V152</f>
        <v>0</v>
      </c>
      <c r="M157" s="32">
        <v>8110</v>
      </c>
      <c r="N157" s="33">
        <v>8206</v>
      </c>
      <c r="O157" s="4" t="s">
        <v>186</v>
      </c>
      <c r="P157" s="61">
        <f>+_CIERRE!S152</f>
        <v>0</v>
      </c>
      <c r="Q157" s="61">
        <f>+_CIERRE!T152</f>
        <v>11051814.308</v>
      </c>
      <c r="R157" s="502">
        <f>+Q157+P157-_CIERRE!T152</f>
        <v>0</v>
      </c>
      <c r="S157" s="61"/>
      <c r="T157" s="61"/>
      <c r="U157" s="61"/>
      <c r="V157" s="61"/>
      <c r="AF157" s="62"/>
      <c r="AG157" s="476"/>
    </row>
    <row r="158" spans="1:33" ht="3" customHeight="1" x14ac:dyDescent="0.25">
      <c r="A158">
        <v>8111</v>
      </c>
      <c r="B158">
        <v>8205</v>
      </c>
      <c r="C158" s="3" t="s">
        <v>396</v>
      </c>
      <c r="D158" s="137">
        <v>12780587.033</v>
      </c>
      <c r="E158" s="138">
        <f t="shared" si="5"/>
        <v>1065048.9194166667</v>
      </c>
      <c r="F158" s="138">
        <f>ROUND(E158*PARAMETROS!$L$10,0)</f>
        <v>841389</v>
      </c>
      <c r="G158" s="481">
        <v>0</v>
      </c>
      <c r="H158" s="481">
        <v>443971.22200000001</v>
      </c>
      <c r="I158" s="481">
        <v>4117285.5380000002</v>
      </c>
      <c r="J158" s="481">
        <f t="shared" si="6"/>
        <v>17341843.792999998</v>
      </c>
      <c r="K158" s="502">
        <f>+J158-_CIERRE!U153-_CIERRE!V153</f>
        <v>0</v>
      </c>
      <c r="M158" s="32">
        <v>8111</v>
      </c>
      <c r="N158" s="33">
        <v>8205</v>
      </c>
      <c r="O158" s="4" t="s">
        <v>396</v>
      </c>
      <c r="P158" s="61">
        <f>+_CIERRE!S153</f>
        <v>0</v>
      </c>
      <c r="Q158" s="61">
        <f>+_CIERRE!T153</f>
        <v>16957986.750999998</v>
      </c>
      <c r="R158" s="502">
        <f>+Q158+P158-_CIERRE!T153</f>
        <v>0</v>
      </c>
      <c r="S158" s="61"/>
      <c r="T158" s="61"/>
      <c r="U158" s="61"/>
      <c r="V158" s="61"/>
      <c r="AF158" s="62"/>
      <c r="AG158" s="476"/>
    </row>
    <row r="159" spans="1:33" ht="3" customHeight="1" x14ac:dyDescent="0.25">
      <c r="A159">
        <v>8112</v>
      </c>
      <c r="B159">
        <v>8212</v>
      </c>
      <c r="C159" s="3" t="s">
        <v>397</v>
      </c>
      <c r="D159" s="137">
        <v>8065220.2960000001</v>
      </c>
      <c r="E159" s="138">
        <f t="shared" si="5"/>
        <v>672101.69133333338</v>
      </c>
      <c r="F159" s="138">
        <f>ROUND(E159*PARAMETROS!$L$10,0)</f>
        <v>530960</v>
      </c>
      <c r="G159" s="481">
        <v>0</v>
      </c>
      <c r="H159" s="481">
        <v>280196.67</v>
      </c>
      <c r="I159" s="481">
        <v>2599272.1779999998</v>
      </c>
      <c r="J159" s="481">
        <f t="shared" si="6"/>
        <v>10944689.143999999</v>
      </c>
      <c r="K159" s="502">
        <f>+J159-_CIERRE!U154-_CIERRE!V154</f>
        <v>0</v>
      </c>
      <c r="M159" s="32">
        <v>8112</v>
      </c>
      <c r="N159" s="33">
        <v>8212</v>
      </c>
      <c r="O159" s="4" t="s">
        <v>397</v>
      </c>
      <c r="P159" s="61">
        <f>+_CIERRE!S154</f>
        <v>0</v>
      </c>
      <c r="Q159" s="61">
        <f>+_CIERRE!T154</f>
        <v>10843255.887</v>
      </c>
      <c r="R159" s="502">
        <f>+Q159+P159-_CIERRE!T154</f>
        <v>0</v>
      </c>
      <c r="S159" s="61"/>
      <c r="T159" s="61"/>
      <c r="U159" s="61"/>
      <c r="V159" s="61"/>
      <c r="AF159" s="62"/>
      <c r="AG159" s="476"/>
    </row>
    <row r="160" spans="1:33" ht="3" customHeight="1" x14ac:dyDescent="0.25">
      <c r="A160">
        <v>8201</v>
      </c>
      <c r="B160">
        <v>8303</v>
      </c>
      <c r="C160" s="3" t="s">
        <v>194</v>
      </c>
      <c r="D160" s="137">
        <v>5271918.1919999998</v>
      </c>
      <c r="E160" s="138">
        <f t="shared" si="5"/>
        <v>439326.516</v>
      </c>
      <c r="F160" s="138">
        <f>ROUND(E160*PARAMETROS!$L$10,0)</f>
        <v>347068</v>
      </c>
      <c r="G160" s="481">
        <v>0</v>
      </c>
      <c r="H160" s="481">
        <v>183146.451</v>
      </c>
      <c r="I160" s="481">
        <v>1698770.5430000001</v>
      </c>
      <c r="J160" s="481">
        <f t="shared" si="6"/>
        <v>7153835.1860000007</v>
      </c>
      <c r="K160" s="502">
        <f>+J160-_CIERRE!U155-_CIERRE!V155</f>
        <v>0</v>
      </c>
      <c r="M160" s="32">
        <v>8201</v>
      </c>
      <c r="N160" s="33">
        <v>8303</v>
      </c>
      <c r="O160" s="4" t="s">
        <v>194</v>
      </c>
      <c r="P160" s="61">
        <f>+_CIERRE!S155</f>
        <v>0</v>
      </c>
      <c r="Q160" s="61">
        <f>+_CIERRE!T155</f>
        <v>6933308.2620000001</v>
      </c>
      <c r="R160" s="502">
        <f>+Q160+P160-_CIERRE!T155</f>
        <v>0</v>
      </c>
      <c r="S160" s="61"/>
      <c r="T160" s="61"/>
      <c r="U160" s="61"/>
      <c r="V160" s="61"/>
      <c r="AF160" s="62"/>
      <c r="AG160" s="476"/>
    </row>
    <row r="161" spans="1:33" ht="3" customHeight="1" x14ac:dyDescent="0.25">
      <c r="A161">
        <v>8202</v>
      </c>
      <c r="B161">
        <v>8301</v>
      </c>
      <c r="C161" s="3" t="s">
        <v>192</v>
      </c>
      <c r="D161" s="137">
        <v>7005561.0350000001</v>
      </c>
      <c r="E161" s="138">
        <f t="shared" si="5"/>
        <v>583796.75291666668</v>
      </c>
      <c r="F161" s="138">
        <f>ROUND(E161*PARAMETROS!$L$10,0)</f>
        <v>461199</v>
      </c>
      <c r="G161" s="481">
        <v>0</v>
      </c>
      <c r="H161" s="481">
        <v>243382.671</v>
      </c>
      <c r="I161" s="481">
        <v>2257763.4819999998</v>
      </c>
      <c r="J161" s="481">
        <f t="shared" si="6"/>
        <v>9506707.188000001</v>
      </c>
      <c r="K161" s="502">
        <f>+J161-_CIERRE!U156-_CIERRE!V156</f>
        <v>0</v>
      </c>
      <c r="M161" s="32">
        <v>8202</v>
      </c>
      <c r="N161" s="33">
        <v>8301</v>
      </c>
      <c r="O161" s="4" t="s">
        <v>192</v>
      </c>
      <c r="P161" s="61">
        <f>+_CIERRE!S156</f>
        <v>0</v>
      </c>
      <c r="Q161" s="61">
        <f>+_CIERRE!T156</f>
        <v>9418600.9340000004</v>
      </c>
      <c r="R161" s="502">
        <f>+Q161+P161-_CIERRE!T156</f>
        <v>0</v>
      </c>
      <c r="S161" s="61"/>
      <c r="T161" s="61"/>
      <c r="U161" s="61"/>
      <c r="V161" s="61"/>
      <c r="AF161" s="62"/>
      <c r="AG161" s="476"/>
    </row>
    <row r="162" spans="1:33" ht="3" customHeight="1" x14ac:dyDescent="0.25">
      <c r="A162">
        <v>8203</v>
      </c>
      <c r="B162">
        <v>8305</v>
      </c>
      <c r="C162" s="3" t="s">
        <v>195</v>
      </c>
      <c r="D162" s="137">
        <v>7345175.4790000003</v>
      </c>
      <c r="E162" s="138">
        <f t="shared" si="5"/>
        <v>612097.95658333332</v>
      </c>
      <c r="F162" s="138">
        <f>ROUND(E162*PARAMETROS!$L$10,0)</f>
        <v>483557</v>
      </c>
      <c r="G162" s="481">
        <v>0</v>
      </c>
      <c r="H162" s="481">
        <v>255264.96799999999</v>
      </c>
      <c r="I162" s="481">
        <v>2370398.3160000001</v>
      </c>
      <c r="J162" s="481">
        <f t="shared" si="6"/>
        <v>9970838.7630000003</v>
      </c>
      <c r="K162" s="502">
        <f>+J162-_CIERRE!U157-_CIERRE!V157</f>
        <v>0</v>
      </c>
      <c r="M162" s="32">
        <v>8203</v>
      </c>
      <c r="N162" s="33">
        <v>8305</v>
      </c>
      <c r="O162" s="4" t="s">
        <v>195</v>
      </c>
      <c r="P162" s="61">
        <f>+_CIERRE!S157</f>
        <v>0</v>
      </c>
      <c r="Q162" s="61">
        <f>+_CIERRE!T157</f>
        <v>9593301.7449999992</v>
      </c>
      <c r="R162" s="502">
        <f>+Q162+P162-_CIERRE!T157</f>
        <v>0</v>
      </c>
      <c r="S162" s="61"/>
      <c r="T162" s="61"/>
      <c r="U162" s="61"/>
      <c r="V162" s="61"/>
      <c r="AF162" s="62"/>
      <c r="AG162" s="476"/>
    </row>
    <row r="163" spans="1:33" ht="3" customHeight="1" x14ac:dyDescent="0.25">
      <c r="A163">
        <v>8204</v>
      </c>
      <c r="B163">
        <v>8306</v>
      </c>
      <c r="C163" s="3" t="s">
        <v>196</v>
      </c>
      <c r="D163" s="137">
        <v>3409832.4440000001</v>
      </c>
      <c r="E163" s="138">
        <f t="shared" si="5"/>
        <v>284152.7036666667</v>
      </c>
      <c r="F163" s="138">
        <f>ROUND(E163*PARAMETROS!$L$10,0)</f>
        <v>224481</v>
      </c>
      <c r="G163" s="481">
        <v>0</v>
      </c>
      <c r="H163" s="481">
        <v>118462.193</v>
      </c>
      <c r="I163" s="481">
        <v>1098926.2849999999</v>
      </c>
      <c r="J163" s="481">
        <f t="shared" si="6"/>
        <v>4627220.9220000003</v>
      </c>
      <c r="K163" s="502">
        <f>+J163-_CIERRE!U158-_CIERRE!V158</f>
        <v>0</v>
      </c>
      <c r="M163" s="32">
        <v>8204</v>
      </c>
      <c r="N163" s="33">
        <v>8306</v>
      </c>
      <c r="O163" s="4" t="s">
        <v>196</v>
      </c>
      <c r="P163" s="61">
        <f>+_CIERRE!S158</f>
        <v>0</v>
      </c>
      <c r="Q163" s="61">
        <f>+_CIERRE!T158</f>
        <v>4584336.9460000005</v>
      </c>
      <c r="R163" s="502">
        <f>+Q163+P163-_CIERRE!T158</f>
        <v>0</v>
      </c>
      <c r="S163" s="61"/>
      <c r="T163" s="61"/>
      <c r="U163" s="61"/>
      <c r="V163" s="61"/>
      <c r="AF163" s="62"/>
      <c r="AG163" s="476"/>
    </row>
    <row r="164" spans="1:33" ht="3" customHeight="1" x14ac:dyDescent="0.25">
      <c r="A164">
        <v>8205</v>
      </c>
      <c r="B164">
        <v>8302</v>
      </c>
      <c r="C164" s="3" t="s">
        <v>193</v>
      </c>
      <c r="D164" s="137">
        <v>5574072.0460000001</v>
      </c>
      <c r="E164" s="138">
        <f t="shared" si="5"/>
        <v>464506.00383333332</v>
      </c>
      <c r="F164" s="138">
        <f>ROUND(E164*PARAMETROS!$L$10,0)</f>
        <v>366960</v>
      </c>
      <c r="G164" s="481">
        <v>0</v>
      </c>
      <c r="H164" s="481">
        <v>193661.67600000001</v>
      </c>
      <c r="I164" s="481">
        <v>1796835.443</v>
      </c>
      <c r="J164" s="481">
        <f t="shared" si="6"/>
        <v>7564569.165</v>
      </c>
      <c r="K164" s="502">
        <f>+J164-_CIERRE!U159-_CIERRE!V159</f>
        <v>0</v>
      </c>
      <c r="M164" s="32">
        <v>8205</v>
      </c>
      <c r="N164" s="33">
        <v>8302</v>
      </c>
      <c r="O164" s="4" t="s">
        <v>193</v>
      </c>
      <c r="P164" s="61">
        <f>+_CIERRE!S159</f>
        <v>0</v>
      </c>
      <c r="Q164" s="61">
        <f>+_CIERRE!T159</f>
        <v>7482860.4720000001</v>
      </c>
      <c r="R164" s="502">
        <f>+Q164+P164-_CIERRE!T159</f>
        <v>0</v>
      </c>
      <c r="S164" s="61"/>
      <c r="T164" s="61"/>
      <c r="U164" s="61"/>
      <c r="V164" s="61"/>
      <c r="AF164" s="62"/>
      <c r="AG164" s="476"/>
    </row>
    <row r="165" spans="1:33" ht="3" customHeight="1" x14ac:dyDescent="0.25">
      <c r="A165">
        <v>8206</v>
      </c>
      <c r="B165">
        <v>8304</v>
      </c>
      <c r="C165" s="3" t="s">
        <v>30</v>
      </c>
      <c r="D165" s="137">
        <v>4275563.6359999999</v>
      </c>
      <c r="E165" s="138">
        <f t="shared" si="5"/>
        <v>356296.96966666664</v>
      </c>
      <c r="F165" s="138">
        <f>ROUND(E165*PARAMETROS!$L$10,0)</f>
        <v>281475</v>
      </c>
      <c r="G165" s="481">
        <v>0</v>
      </c>
      <c r="H165" s="481">
        <v>148540.171</v>
      </c>
      <c r="I165" s="481">
        <v>1377984.3149999999</v>
      </c>
      <c r="J165" s="481">
        <f t="shared" si="6"/>
        <v>5802088.1219999995</v>
      </c>
      <c r="K165" s="502">
        <f>+J165-_CIERRE!U160-_CIERRE!V160</f>
        <v>0</v>
      </c>
      <c r="M165" s="32">
        <v>8206</v>
      </c>
      <c r="N165" s="33">
        <v>8304</v>
      </c>
      <c r="O165" s="4" t="s">
        <v>30</v>
      </c>
      <c r="P165" s="61">
        <f>+_CIERRE!S160</f>
        <v>0</v>
      </c>
      <c r="Q165" s="61">
        <f>+_CIERRE!T160</f>
        <v>5379666.6890000002</v>
      </c>
      <c r="R165" s="502">
        <f>+Q165+P165-_CIERRE!T160</f>
        <v>0</v>
      </c>
      <c r="S165" s="61"/>
      <c r="T165" s="61"/>
      <c r="U165" s="61"/>
      <c r="V165" s="61"/>
      <c r="AF165" s="62"/>
      <c r="AG165" s="476"/>
    </row>
    <row r="166" spans="1:33" ht="3" customHeight="1" x14ac:dyDescent="0.25">
      <c r="A166">
        <v>8207</v>
      </c>
      <c r="B166">
        <v>8307</v>
      </c>
      <c r="C166" s="3" t="s">
        <v>31</v>
      </c>
      <c r="D166" s="137">
        <v>3569508.9929999998</v>
      </c>
      <c r="E166" s="138">
        <f t="shared" si="5"/>
        <v>297459.08275</v>
      </c>
      <c r="F166" s="138">
        <f>ROUND(E166*PARAMETROS!$L$10,0)</f>
        <v>234993</v>
      </c>
      <c r="G166" s="481">
        <v>0</v>
      </c>
      <c r="H166" s="481">
        <v>124009.573</v>
      </c>
      <c r="I166" s="481">
        <v>1150387.101</v>
      </c>
      <c r="J166" s="481">
        <f t="shared" si="6"/>
        <v>4843905.6669999994</v>
      </c>
      <c r="K166" s="502">
        <f>+J166-_CIERRE!U161-_CIERRE!V161</f>
        <v>0</v>
      </c>
      <c r="M166" s="32">
        <v>8207</v>
      </c>
      <c r="N166" s="33">
        <v>8307</v>
      </c>
      <c r="O166" s="4" t="s">
        <v>31</v>
      </c>
      <c r="P166" s="61">
        <f>+_CIERRE!S161</f>
        <v>0</v>
      </c>
      <c r="Q166" s="61">
        <f>+_CIERRE!T161</f>
        <v>4799012.7539999997</v>
      </c>
      <c r="R166" s="502">
        <f>+Q166+P166-_CIERRE!T161</f>
        <v>0</v>
      </c>
      <c r="S166" s="61"/>
      <c r="T166" s="61"/>
      <c r="U166" s="61"/>
      <c r="V166" s="61"/>
      <c r="AF166" s="62"/>
      <c r="AG166" s="476"/>
    </row>
    <row r="167" spans="1:33" ht="3" customHeight="1" x14ac:dyDescent="0.25">
      <c r="A167">
        <v>8301</v>
      </c>
      <c r="B167">
        <v>8401</v>
      </c>
      <c r="C167" s="3" t="s">
        <v>32</v>
      </c>
      <c r="D167" s="137">
        <v>22073516.274</v>
      </c>
      <c r="E167" s="138">
        <f t="shared" si="5"/>
        <v>1839459.6895000001</v>
      </c>
      <c r="F167" s="138">
        <f>ROUND(E167*PARAMETROS!$L$10,0)</f>
        <v>1453173</v>
      </c>
      <c r="G167" s="481">
        <v>0</v>
      </c>
      <c r="H167" s="481">
        <v>766797.22699999996</v>
      </c>
      <c r="I167" s="481">
        <v>7111353.8969999999</v>
      </c>
      <c r="J167" s="481">
        <f t="shared" si="6"/>
        <v>29951667.398000002</v>
      </c>
      <c r="K167" s="502">
        <f>+J167-_CIERRE!U162-_CIERRE!V162</f>
        <v>0</v>
      </c>
      <c r="M167" s="32">
        <v>8301</v>
      </c>
      <c r="N167" s="33">
        <v>8401</v>
      </c>
      <c r="O167" s="4" t="s">
        <v>32</v>
      </c>
      <c r="P167" s="61">
        <f>+_CIERRE!S162</f>
        <v>0</v>
      </c>
      <c r="Q167" s="61">
        <f>+_CIERRE!T162</f>
        <v>27293486.070999999</v>
      </c>
      <c r="R167" s="502">
        <f>+Q167+P167-_CIERRE!T162</f>
        <v>0</v>
      </c>
      <c r="S167" s="61"/>
      <c r="T167" s="61"/>
      <c r="U167" s="61"/>
      <c r="V167" s="61"/>
      <c r="AF167" s="62"/>
      <c r="AG167" s="476"/>
    </row>
    <row r="168" spans="1:33" ht="3" customHeight="1" x14ac:dyDescent="0.25">
      <c r="A168">
        <v>8302</v>
      </c>
      <c r="B168">
        <v>8413</v>
      </c>
      <c r="C168" s="3" t="s">
        <v>206</v>
      </c>
      <c r="D168" s="137">
        <v>3361477.7740000002</v>
      </c>
      <c r="E168" s="138">
        <f t="shared" si="5"/>
        <v>280123.14783333335</v>
      </c>
      <c r="F168" s="138">
        <f>ROUND(E168*PARAMETROS!$L$10,0)</f>
        <v>221297</v>
      </c>
      <c r="G168" s="481">
        <v>0</v>
      </c>
      <c r="H168" s="481">
        <v>116782.287</v>
      </c>
      <c r="I168" s="481">
        <v>1083342.4650000001</v>
      </c>
      <c r="J168" s="481">
        <f t="shared" si="6"/>
        <v>4561602.5260000005</v>
      </c>
      <c r="K168" s="502">
        <f>+J168-_CIERRE!U163-_CIERRE!V163</f>
        <v>0</v>
      </c>
      <c r="M168" s="32">
        <v>8302</v>
      </c>
      <c r="N168" s="33">
        <v>8413</v>
      </c>
      <c r="O168" s="4" t="s">
        <v>206</v>
      </c>
      <c r="P168" s="61">
        <f>+_CIERRE!S163</f>
        <v>0</v>
      </c>
      <c r="Q168" s="61">
        <f>+_CIERRE!T163</f>
        <v>4519326.0999999996</v>
      </c>
      <c r="R168" s="502">
        <f>+Q168+P168-_CIERRE!T163</f>
        <v>0</v>
      </c>
      <c r="S168" s="61"/>
      <c r="T168" s="61"/>
      <c r="U168" s="61"/>
      <c r="V168" s="61"/>
      <c r="AF168" s="62"/>
      <c r="AG168" s="476"/>
    </row>
    <row r="169" spans="1:33" ht="3" customHeight="1" x14ac:dyDescent="0.25">
      <c r="A169">
        <v>8303</v>
      </c>
      <c r="B169">
        <v>8410</v>
      </c>
      <c r="C169" s="3" t="s">
        <v>203</v>
      </c>
      <c r="D169" s="137">
        <v>7366208.1189999999</v>
      </c>
      <c r="E169" s="138">
        <f t="shared" si="5"/>
        <v>613850.67658333329</v>
      </c>
      <c r="F169" s="138">
        <f>ROUND(E169*PARAMETROS!$L$10,0)</f>
        <v>484942</v>
      </c>
      <c r="G169" s="481">
        <v>0</v>
      </c>
      <c r="H169" s="481">
        <v>255912.041</v>
      </c>
      <c r="I169" s="481">
        <v>2373993.4070000001</v>
      </c>
      <c r="J169" s="481">
        <f t="shared" si="6"/>
        <v>9996113.5669999998</v>
      </c>
      <c r="K169" s="502">
        <f>+J169-_CIERRE!U164-_CIERRE!V164</f>
        <v>0</v>
      </c>
      <c r="M169" s="32">
        <v>8303</v>
      </c>
      <c r="N169" s="33">
        <v>8410</v>
      </c>
      <c r="O169" s="4" t="s">
        <v>203</v>
      </c>
      <c r="P169" s="61">
        <f>+_CIERRE!S164</f>
        <v>0</v>
      </c>
      <c r="Q169" s="61">
        <f>+_CIERRE!T164</f>
        <v>9903470.9649999999</v>
      </c>
      <c r="R169" s="502">
        <f>+Q169+P169-_CIERRE!T164</f>
        <v>0</v>
      </c>
      <c r="S169" s="61"/>
      <c r="T169" s="61"/>
      <c r="U169" s="61"/>
      <c r="V169" s="61"/>
      <c r="AF169" s="62"/>
      <c r="AG169" s="476"/>
    </row>
    <row r="170" spans="1:33" ht="3" customHeight="1" x14ac:dyDescent="0.25">
      <c r="A170">
        <v>8304</v>
      </c>
      <c r="B170">
        <v>8403</v>
      </c>
      <c r="C170" s="3" t="s">
        <v>197</v>
      </c>
      <c r="D170" s="137">
        <v>4797427.2120000003</v>
      </c>
      <c r="E170" s="138">
        <f t="shared" si="5"/>
        <v>399785.60100000002</v>
      </c>
      <c r="F170" s="138">
        <f>ROUND(E170*PARAMETROS!$L$10,0)</f>
        <v>315831</v>
      </c>
      <c r="G170" s="481">
        <v>0</v>
      </c>
      <c r="H170" s="481">
        <v>166751.88200000001</v>
      </c>
      <c r="I170" s="481">
        <v>1549272.175</v>
      </c>
      <c r="J170" s="481">
        <f t="shared" si="6"/>
        <v>6513451.2690000003</v>
      </c>
      <c r="K170" s="502">
        <f>+J170-_CIERRE!U165-_CIERRE!V165</f>
        <v>0</v>
      </c>
      <c r="M170" s="32">
        <v>8304</v>
      </c>
      <c r="N170" s="33">
        <v>8403</v>
      </c>
      <c r="O170" s="4" t="s">
        <v>197</v>
      </c>
      <c r="P170" s="61">
        <f>+_CIERRE!S165</f>
        <v>0</v>
      </c>
      <c r="Q170" s="61">
        <f>+_CIERRE!T165</f>
        <v>6186522.2850000001</v>
      </c>
      <c r="R170" s="502">
        <f>+Q170+P170-_CIERRE!T165</f>
        <v>0</v>
      </c>
      <c r="S170" s="61"/>
      <c r="T170" s="61"/>
      <c r="U170" s="61"/>
      <c r="V170" s="61"/>
      <c r="AF170" s="62"/>
      <c r="AG170" s="476"/>
    </row>
    <row r="171" spans="1:33" ht="3" customHeight="1" x14ac:dyDescent="0.25">
      <c r="A171">
        <v>8305</v>
      </c>
      <c r="B171">
        <v>8407</v>
      </c>
      <c r="C171" s="3" t="s">
        <v>398</v>
      </c>
      <c r="D171" s="137">
        <v>4046976.179</v>
      </c>
      <c r="E171" s="138">
        <f t="shared" si="5"/>
        <v>337248.01491666667</v>
      </c>
      <c r="F171" s="138">
        <f>ROUND(E171*PARAMETROS!$L$10,0)</f>
        <v>266426</v>
      </c>
      <c r="G171" s="481">
        <v>0</v>
      </c>
      <c r="H171" s="481">
        <v>140597.429</v>
      </c>
      <c r="I171" s="481">
        <v>1304265.993</v>
      </c>
      <c r="J171" s="481">
        <f t="shared" si="6"/>
        <v>5491839.6009999998</v>
      </c>
      <c r="K171" s="502">
        <f>+J171-_CIERRE!U166-_CIERRE!V166</f>
        <v>0</v>
      </c>
      <c r="M171" s="32">
        <v>8305</v>
      </c>
      <c r="N171" s="33">
        <v>8407</v>
      </c>
      <c r="O171" s="4" t="s">
        <v>398</v>
      </c>
      <c r="P171" s="61">
        <f>+_CIERRE!S166</f>
        <v>0</v>
      </c>
      <c r="Q171" s="61">
        <f>+_CIERRE!T166</f>
        <v>5440942.4040000001</v>
      </c>
      <c r="R171" s="502">
        <f>+Q171+P171-_CIERRE!T166</f>
        <v>0</v>
      </c>
      <c r="S171" s="61"/>
      <c r="T171" s="61"/>
      <c r="U171" s="61"/>
      <c r="V171" s="61"/>
      <c r="AF171" s="62"/>
      <c r="AG171" s="476"/>
    </row>
    <row r="172" spans="1:33" ht="3" customHeight="1" x14ac:dyDescent="0.25">
      <c r="A172">
        <v>8306</v>
      </c>
      <c r="B172">
        <v>8405</v>
      </c>
      <c r="C172" s="3" t="s">
        <v>199</v>
      </c>
      <c r="D172" s="137">
        <v>4485738.7089999998</v>
      </c>
      <c r="E172" s="138">
        <f t="shared" si="5"/>
        <v>373811.5590833333</v>
      </c>
      <c r="F172" s="138">
        <f>ROUND(E172*PARAMETROS!$L$10,0)</f>
        <v>295311</v>
      </c>
      <c r="G172" s="481">
        <v>0</v>
      </c>
      <c r="H172" s="481">
        <v>155875.53599999999</v>
      </c>
      <c r="I172" s="481">
        <v>1446999.3910000001</v>
      </c>
      <c r="J172" s="481">
        <f t="shared" si="6"/>
        <v>6088613.6359999999</v>
      </c>
      <c r="K172" s="502">
        <f>+J172-_CIERRE!U167-_CIERRE!V167</f>
        <v>0</v>
      </c>
      <c r="M172" s="32">
        <v>8306</v>
      </c>
      <c r="N172" s="33">
        <v>8405</v>
      </c>
      <c r="O172" s="4" t="s">
        <v>199</v>
      </c>
      <c r="P172" s="61">
        <f>+_CIERRE!S167</f>
        <v>0</v>
      </c>
      <c r="Q172" s="61">
        <f>+_CIERRE!T167</f>
        <v>5340493.1629999997</v>
      </c>
      <c r="R172" s="502">
        <f>+Q172+P172-_CIERRE!T167</f>
        <v>0</v>
      </c>
      <c r="S172" s="61"/>
      <c r="T172" s="61"/>
      <c r="U172" s="61"/>
      <c r="V172" s="61"/>
      <c r="AF172" s="62"/>
      <c r="AG172" s="476"/>
    </row>
    <row r="173" spans="1:33" ht="3" customHeight="1" x14ac:dyDescent="0.25">
      <c r="A173">
        <v>8307</v>
      </c>
      <c r="B173">
        <v>8406</v>
      </c>
      <c r="C173" s="3" t="s">
        <v>200</v>
      </c>
      <c r="D173" s="137">
        <v>2470370.8020000001</v>
      </c>
      <c r="E173" s="138">
        <f t="shared" si="5"/>
        <v>205864.2335</v>
      </c>
      <c r="F173" s="138">
        <f>ROUND(E173*PARAMETROS!$L$10,0)</f>
        <v>162633</v>
      </c>
      <c r="G173" s="481">
        <v>0</v>
      </c>
      <c r="H173" s="481">
        <v>85817.212</v>
      </c>
      <c r="I173" s="481">
        <v>795895.09900000005</v>
      </c>
      <c r="J173" s="481">
        <f t="shared" si="6"/>
        <v>3352083.1129999999</v>
      </c>
      <c r="K173" s="502">
        <f>+J173-_CIERRE!U168-_CIERRE!V168</f>
        <v>0</v>
      </c>
      <c r="M173" s="32">
        <v>8307</v>
      </c>
      <c r="N173" s="33">
        <v>8406</v>
      </c>
      <c r="O173" s="4" t="s">
        <v>200</v>
      </c>
      <c r="P173" s="61">
        <f>+_CIERRE!S168</f>
        <v>0</v>
      </c>
      <c r="Q173" s="61">
        <f>+_CIERRE!T168</f>
        <v>3069321.588</v>
      </c>
      <c r="R173" s="502">
        <f>+Q173+P173-_CIERRE!T168</f>
        <v>0</v>
      </c>
      <c r="S173" s="61"/>
      <c r="T173" s="61"/>
      <c r="U173" s="61"/>
      <c r="V173" s="61"/>
      <c r="AF173" s="62"/>
      <c r="AG173" s="476"/>
    </row>
    <row r="174" spans="1:33" ht="3" customHeight="1" x14ac:dyDescent="0.25">
      <c r="A174">
        <v>8308</v>
      </c>
      <c r="B174">
        <v>8408</v>
      </c>
      <c r="C174" s="3" t="s">
        <v>201</v>
      </c>
      <c r="D174" s="137">
        <v>1730287.077</v>
      </c>
      <c r="E174" s="138">
        <f t="shared" si="5"/>
        <v>144190.58975000001</v>
      </c>
      <c r="F174" s="138">
        <f>ROUND(E174*PARAMETROS!$L$10,0)</f>
        <v>113911</v>
      </c>
      <c r="G174" s="481">
        <v>0</v>
      </c>
      <c r="H174" s="481">
        <v>60114.334000000003</v>
      </c>
      <c r="I174" s="481">
        <v>557707.75800000003</v>
      </c>
      <c r="J174" s="481">
        <f t="shared" si="6"/>
        <v>2348109.1690000002</v>
      </c>
      <c r="K174" s="502">
        <f>+J174-_CIERRE!U169-_CIERRE!V169</f>
        <v>0</v>
      </c>
      <c r="M174" s="32">
        <v>8308</v>
      </c>
      <c r="N174" s="33">
        <v>8408</v>
      </c>
      <c r="O174" s="4" t="s">
        <v>201</v>
      </c>
      <c r="P174" s="61">
        <f>+_CIERRE!S169</f>
        <v>0</v>
      </c>
      <c r="Q174" s="61">
        <f>+_CIERRE!T169</f>
        <v>2259662.0520000001</v>
      </c>
      <c r="R174" s="502">
        <f>+Q174+P174-_CIERRE!T169</f>
        <v>0</v>
      </c>
      <c r="S174" s="61"/>
      <c r="T174" s="61"/>
      <c r="U174" s="61"/>
      <c r="V174" s="61"/>
      <c r="AF174" s="62"/>
      <c r="AG174" s="476"/>
    </row>
    <row r="175" spans="1:33" ht="3" customHeight="1" x14ac:dyDescent="0.25">
      <c r="A175">
        <v>8309</v>
      </c>
      <c r="B175">
        <v>8404</v>
      </c>
      <c r="C175" s="3" t="s">
        <v>198</v>
      </c>
      <c r="D175" s="137">
        <v>2414465.4989999998</v>
      </c>
      <c r="E175" s="138">
        <f t="shared" si="5"/>
        <v>201205.45825</v>
      </c>
      <c r="F175" s="138">
        <f>ROUND(E175*PARAMETROS!$L$10,0)</f>
        <v>158952</v>
      </c>
      <c r="G175" s="481">
        <v>0</v>
      </c>
      <c r="H175" s="481">
        <v>83911.823999999993</v>
      </c>
      <c r="I175" s="481">
        <v>779280.01399999997</v>
      </c>
      <c r="J175" s="481">
        <f t="shared" si="6"/>
        <v>3277657.3369999998</v>
      </c>
      <c r="K175" s="502">
        <f>+J175-_CIERRE!U170-_CIERRE!V170</f>
        <v>0</v>
      </c>
      <c r="M175" s="32">
        <v>8309</v>
      </c>
      <c r="N175" s="33">
        <v>8404</v>
      </c>
      <c r="O175" s="4" t="s">
        <v>198</v>
      </c>
      <c r="P175" s="61">
        <f>+_CIERRE!S170</f>
        <v>0</v>
      </c>
      <c r="Q175" s="61">
        <f>+_CIERRE!T170</f>
        <v>3209085.9380000001</v>
      </c>
      <c r="R175" s="502">
        <f>+Q175+P175-_CIERRE!T170</f>
        <v>0</v>
      </c>
      <c r="S175" s="61"/>
      <c r="T175" s="61"/>
      <c r="U175" s="61"/>
      <c r="V175" s="61"/>
      <c r="AF175" s="62"/>
      <c r="AG175" s="476"/>
    </row>
    <row r="176" spans="1:33" ht="3" customHeight="1" x14ac:dyDescent="0.25">
      <c r="A176">
        <v>8310</v>
      </c>
      <c r="B176">
        <v>8411</v>
      </c>
      <c r="C176" s="3" t="s">
        <v>204</v>
      </c>
      <c r="D176" s="137">
        <v>2178400.5040000002</v>
      </c>
      <c r="E176" s="138">
        <f t="shared" si="5"/>
        <v>181533.37533333336</v>
      </c>
      <c r="F176" s="138">
        <f>ROUND(E176*PARAMETROS!$L$10,0)</f>
        <v>143411</v>
      </c>
      <c r="G176" s="481">
        <v>0</v>
      </c>
      <c r="H176" s="481">
        <v>75680.398000000001</v>
      </c>
      <c r="I176" s="481">
        <v>702052.66799999995</v>
      </c>
      <c r="J176" s="481">
        <f t="shared" si="6"/>
        <v>2956133.5700000003</v>
      </c>
      <c r="K176" s="502">
        <f>+J176-_CIERRE!U171-_CIERRE!V171</f>
        <v>0</v>
      </c>
      <c r="M176" s="32">
        <v>8310</v>
      </c>
      <c r="N176" s="33">
        <v>8411</v>
      </c>
      <c r="O176" s="4" t="s">
        <v>204</v>
      </c>
      <c r="P176" s="61">
        <f>+_CIERRE!S171</f>
        <v>0</v>
      </c>
      <c r="Q176" s="61">
        <f>+_CIERRE!T171</f>
        <v>2927465.3220000002</v>
      </c>
      <c r="R176" s="502">
        <f>+Q176+P176-_CIERRE!T171</f>
        <v>0</v>
      </c>
      <c r="S176" s="61"/>
      <c r="T176" s="61"/>
      <c r="U176" s="61"/>
      <c r="V176" s="61"/>
      <c r="AF176" s="62"/>
      <c r="AG176" s="476"/>
    </row>
    <row r="177" spans="1:33" ht="3" customHeight="1" x14ac:dyDescent="0.25">
      <c r="A177">
        <v>8311</v>
      </c>
      <c r="B177">
        <v>8402</v>
      </c>
      <c r="C177" s="3" t="s">
        <v>399</v>
      </c>
      <c r="D177" s="137">
        <v>2634948.3990000002</v>
      </c>
      <c r="E177" s="138">
        <f t="shared" si="5"/>
        <v>219579.03325000001</v>
      </c>
      <c r="F177" s="138">
        <f>ROUND(E177*PARAMETROS!$L$10,0)</f>
        <v>173467</v>
      </c>
      <c r="G177" s="481">
        <v>0</v>
      </c>
      <c r="H177" s="481">
        <v>91595.153000000006</v>
      </c>
      <c r="I177" s="481">
        <v>851231.10100000002</v>
      </c>
      <c r="J177" s="481">
        <f t="shared" si="6"/>
        <v>3577774.6529999999</v>
      </c>
      <c r="K177" s="502">
        <f>+J177-_CIERRE!U172-_CIERRE!V172</f>
        <v>0</v>
      </c>
      <c r="M177" s="32">
        <v>8311</v>
      </c>
      <c r="N177" s="33">
        <v>8402</v>
      </c>
      <c r="O177" s="4" t="s">
        <v>399</v>
      </c>
      <c r="P177" s="61">
        <f>+_CIERRE!S172</f>
        <v>0</v>
      </c>
      <c r="Q177" s="61">
        <f>+_CIERRE!T172</f>
        <v>3479306.7949999999</v>
      </c>
      <c r="R177" s="502">
        <f>+Q177+P177-_CIERRE!T172</f>
        <v>0</v>
      </c>
      <c r="S177" s="61"/>
      <c r="T177" s="61"/>
      <c r="U177" s="61"/>
      <c r="V177" s="61"/>
      <c r="AF177" s="62"/>
      <c r="AG177" s="476"/>
    </row>
    <row r="178" spans="1:33" ht="3" customHeight="1" x14ac:dyDescent="0.25">
      <c r="A178">
        <v>8312</v>
      </c>
      <c r="B178">
        <v>8412</v>
      </c>
      <c r="C178" s="3" t="s">
        <v>205</v>
      </c>
      <c r="D178" s="137">
        <v>3471860.03</v>
      </c>
      <c r="E178" s="138">
        <f t="shared" si="5"/>
        <v>289321.66916666663</v>
      </c>
      <c r="F178" s="138">
        <f>ROUND(E178*PARAMETROS!$L$10,0)</f>
        <v>228564</v>
      </c>
      <c r="G178" s="481">
        <v>0</v>
      </c>
      <c r="H178" s="481">
        <v>120612.321</v>
      </c>
      <c r="I178" s="481">
        <v>1118733.7069999999</v>
      </c>
      <c r="J178" s="481">
        <f t="shared" si="6"/>
        <v>4711206.0580000002</v>
      </c>
      <c r="K178" s="502">
        <f>+J178-_CIERRE!U173-_CIERRE!V173</f>
        <v>0</v>
      </c>
      <c r="M178" s="32">
        <v>8312</v>
      </c>
      <c r="N178" s="33">
        <v>8412</v>
      </c>
      <c r="O178" s="4" t="s">
        <v>205</v>
      </c>
      <c r="P178" s="61">
        <f>+_CIERRE!S173</f>
        <v>0</v>
      </c>
      <c r="Q178" s="61">
        <f>+_CIERRE!T173</f>
        <v>3926504.1669999999</v>
      </c>
      <c r="R178" s="502">
        <f>+Q178+P178-_CIERRE!T173</f>
        <v>0</v>
      </c>
      <c r="S178" s="61"/>
      <c r="T178" s="61"/>
      <c r="U178" s="61"/>
      <c r="V178" s="61"/>
      <c r="AF178" s="62"/>
      <c r="AG178" s="476"/>
    </row>
    <row r="179" spans="1:33" ht="3" customHeight="1" x14ac:dyDescent="0.25">
      <c r="A179">
        <v>8313</v>
      </c>
      <c r="B179">
        <v>8409</v>
      </c>
      <c r="C179" s="3" t="s">
        <v>202</v>
      </c>
      <c r="D179" s="137">
        <v>6808300.2350000003</v>
      </c>
      <c r="E179" s="138">
        <f t="shared" si="5"/>
        <v>567358.35291666666</v>
      </c>
      <c r="F179" s="138">
        <f>ROUND(E179*PARAMETROS!$L$10,0)</f>
        <v>448213</v>
      </c>
      <c r="G179" s="481">
        <v>0</v>
      </c>
      <c r="H179" s="481">
        <v>236532.78200000001</v>
      </c>
      <c r="I179" s="481">
        <v>2194312.5610000002</v>
      </c>
      <c r="J179" s="481">
        <f t="shared" si="6"/>
        <v>9239145.5779999997</v>
      </c>
      <c r="K179" s="502">
        <f>+J179-_CIERRE!U174-_CIERRE!V174</f>
        <v>0</v>
      </c>
      <c r="M179" s="32">
        <v>8313</v>
      </c>
      <c r="N179" s="33">
        <v>8409</v>
      </c>
      <c r="O179" s="4" t="s">
        <v>202</v>
      </c>
      <c r="P179" s="61">
        <f>+_CIERRE!S174</f>
        <v>0</v>
      </c>
      <c r="Q179" s="61">
        <f>+_CIERRE!T174</f>
        <v>8092827.4589999998</v>
      </c>
      <c r="R179" s="502">
        <f>+Q179+P179-_CIERRE!T174</f>
        <v>0</v>
      </c>
      <c r="S179" s="61"/>
      <c r="T179" s="61"/>
      <c r="U179" s="61"/>
      <c r="V179" s="61"/>
      <c r="AF179" s="62"/>
      <c r="AG179" s="476"/>
    </row>
    <row r="180" spans="1:33" ht="3" customHeight="1" x14ac:dyDescent="0.25">
      <c r="A180">
        <v>8314</v>
      </c>
      <c r="B180">
        <v>8414</v>
      </c>
      <c r="C180" s="3" t="s">
        <v>400</v>
      </c>
      <c r="D180" s="137">
        <v>2235463.6519999998</v>
      </c>
      <c r="E180" s="138">
        <f t="shared" si="5"/>
        <v>186288.63766666665</v>
      </c>
      <c r="F180" s="138">
        <f>ROUND(E180*PARAMETROS!$L$10,0)</f>
        <v>147168</v>
      </c>
      <c r="G180" s="481">
        <v>0</v>
      </c>
      <c r="H180" s="481">
        <v>77702.600000000006</v>
      </c>
      <c r="I180" s="481">
        <v>721955.08100000001</v>
      </c>
      <c r="J180" s="481">
        <f t="shared" si="6"/>
        <v>3035121.3329999996</v>
      </c>
      <c r="K180" s="502">
        <f>+J180-_CIERRE!U175-_CIERRE!V175</f>
        <v>0</v>
      </c>
      <c r="M180" s="32">
        <v>8314</v>
      </c>
      <c r="N180" s="33">
        <v>8414</v>
      </c>
      <c r="O180" s="4" t="s">
        <v>400</v>
      </c>
      <c r="P180" s="61">
        <f>+_CIERRE!S175</f>
        <v>0</v>
      </c>
      <c r="Q180" s="61">
        <f>+_CIERRE!T175</f>
        <v>2959172.767</v>
      </c>
      <c r="R180" s="502">
        <f>+Q180+P180-_CIERRE!T175</f>
        <v>0</v>
      </c>
      <c r="S180" s="61"/>
      <c r="T180" s="61"/>
      <c r="U180" s="61"/>
      <c r="V180" s="61"/>
      <c r="AF180" s="62"/>
      <c r="AG180" s="476"/>
    </row>
    <row r="181" spans="1:33" ht="3" customHeight="1" x14ac:dyDescent="0.25">
      <c r="A181">
        <v>9101</v>
      </c>
      <c r="B181">
        <v>9201</v>
      </c>
      <c r="C181" s="3" t="s">
        <v>215</v>
      </c>
      <c r="D181" s="137">
        <v>25821333.111000001</v>
      </c>
      <c r="E181" s="138">
        <f t="shared" si="5"/>
        <v>2151777.7592500001</v>
      </c>
      <c r="F181" s="138">
        <f>ROUND(E181*PARAMETROS!$L$10,0)</f>
        <v>1699904</v>
      </c>
      <c r="G181" s="481">
        <v>0</v>
      </c>
      <c r="H181" s="481">
        <v>897068.06299999997</v>
      </c>
      <c r="I181" s="481">
        <v>8321740.7869999995</v>
      </c>
      <c r="J181" s="481">
        <f t="shared" si="6"/>
        <v>35040141.961000003</v>
      </c>
      <c r="K181" s="502">
        <f>+J181-_CIERRE!U176-_CIERRE!V176</f>
        <v>0</v>
      </c>
      <c r="M181" s="32">
        <v>9101</v>
      </c>
      <c r="N181" s="33">
        <v>9201</v>
      </c>
      <c r="O181" s="4" t="s">
        <v>215</v>
      </c>
      <c r="P181" s="61">
        <f>+_CIERRE!S176</f>
        <v>0</v>
      </c>
      <c r="Q181" s="61">
        <f>+_CIERRE!T176</f>
        <v>34715395.973999999</v>
      </c>
      <c r="R181" s="502">
        <f>+Q181+P181-_CIERRE!T176</f>
        <v>0</v>
      </c>
      <c r="S181" s="61"/>
      <c r="T181" s="61"/>
      <c r="U181" s="61"/>
      <c r="V181" s="61"/>
      <c r="AF181" s="62"/>
      <c r="AG181" s="476"/>
    </row>
    <row r="182" spans="1:33" ht="3" customHeight="1" x14ac:dyDescent="0.25">
      <c r="A182">
        <v>9102</v>
      </c>
      <c r="B182">
        <v>9209</v>
      </c>
      <c r="C182" s="3" t="s">
        <v>222</v>
      </c>
      <c r="D182" s="137">
        <v>6558403.801</v>
      </c>
      <c r="E182" s="138">
        <f t="shared" si="5"/>
        <v>546533.65008333337</v>
      </c>
      <c r="F182" s="138">
        <f>ROUND(E182*PARAMETROS!$L$10,0)</f>
        <v>431762</v>
      </c>
      <c r="G182" s="481">
        <v>0</v>
      </c>
      <c r="H182" s="481">
        <v>227966.30499999999</v>
      </c>
      <c r="I182" s="481">
        <v>2118162.1320000002</v>
      </c>
      <c r="J182" s="481">
        <f t="shared" si="6"/>
        <v>8904532.2379999999</v>
      </c>
      <c r="K182" s="502">
        <f>+J182-_CIERRE!U177-_CIERRE!V177</f>
        <v>0</v>
      </c>
      <c r="M182" s="32">
        <v>9102</v>
      </c>
      <c r="N182" s="33">
        <v>9209</v>
      </c>
      <c r="O182" s="4" t="s">
        <v>222</v>
      </c>
      <c r="P182" s="61">
        <f>+_CIERRE!S177</f>
        <v>0</v>
      </c>
      <c r="Q182" s="61">
        <f>+_CIERRE!T177</f>
        <v>8475223.8450000007</v>
      </c>
      <c r="R182" s="502">
        <f>+Q182+P182-_CIERRE!T177</f>
        <v>0</v>
      </c>
      <c r="S182" s="61"/>
      <c r="T182" s="61"/>
      <c r="U182" s="61"/>
      <c r="V182" s="61"/>
      <c r="AF182" s="62"/>
      <c r="AG182" s="476"/>
    </row>
    <row r="183" spans="1:33" ht="3" customHeight="1" x14ac:dyDescent="0.25">
      <c r="A183">
        <v>9103</v>
      </c>
      <c r="B183">
        <v>9204</v>
      </c>
      <c r="C183" s="3" t="s">
        <v>217</v>
      </c>
      <c r="D183" s="137">
        <v>4234723.5530000003</v>
      </c>
      <c r="E183" s="138">
        <f t="shared" si="5"/>
        <v>352893.62941666669</v>
      </c>
      <c r="F183" s="138">
        <f>ROUND(E183*PARAMETROS!$L$10,0)</f>
        <v>278786</v>
      </c>
      <c r="G183" s="481">
        <v>0</v>
      </c>
      <c r="H183" s="481">
        <v>147119.07999999999</v>
      </c>
      <c r="I183" s="481">
        <v>1364737.115</v>
      </c>
      <c r="J183" s="481">
        <f t="shared" si="6"/>
        <v>5746579.7480000006</v>
      </c>
      <c r="K183" s="502">
        <f>+J183-_CIERRE!U178-_CIERRE!V178</f>
        <v>0</v>
      </c>
      <c r="M183" s="32">
        <v>9103</v>
      </c>
      <c r="N183" s="33">
        <v>9204</v>
      </c>
      <c r="O183" s="4" t="s">
        <v>217</v>
      </c>
      <c r="P183" s="61">
        <f>+_CIERRE!S178</f>
        <v>0</v>
      </c>
      <c r="Q183" s="61">
        <f>+_CIERRE!T178</f>
        <v>4886561.432</v>
      </c>
      <c r="R183" s="502">
        <f>+Q183+P183-_CIERRE!T178</f>
        <v>0</v>
      </c>
      <c r="S183" s="61"/>
      <c r="T183" s="61"/>
      <c r="U183" s="61"/>
      <c r="V183" s="61"/>
      <c r="AF183" s="62"/>
      <c r="AG183" s="476"/>
    </row>
    <row r="184" spans="1:33" ht="3" customHeight="1" x14ac:dyDescent="0.25">
      <c r="A184">
        <v>9104</v>
      </c>
      <c r="B184">
        <v>9218</v>
      </c>
      <c r="C184" s="3" t="s">
        <v>228</v>
      </c>
      <c r="D184" s="137">
        <v>2499595.0580000002</v>
      </c>
      <c r="E184" s="138">
        <f t="shared" si="5"/>
        <v>208299.58816666668</v>
      </c>
      <c r="F184" s="138">
        <f>ROUND(E184*PARAMETROS!$L$10,0)</f>
        <v>164557</v>
      </c>
      <c r="G184" s="481">
        <v>0</v>
      </c>
      <c r="H184" s="481">
        <v>86826.975999999995</v>
      </c>
      <c r="I184" s="481">
        <v>805104.21699999995</v>
      </c>
      <c r="J184" s="481">
        <f t="shared" si="6"/>
        <v>3391526.2510000002</v>
      </c>
      <c r="K184" s="502">
        <f>+J184-_CIERRE!U179-_CIERRE!V179</f>
        <v>0</v>
      </c>
      <c r="M184" s="32">
        <v>9104</v>
      </c>
      <c r="N184" s="33">
        <v>9218</v>
      </c>
      <c r="O184" s="4" t="s">
        <v>228</v>
      </c>
      <c r="P184" s="61">
        <f>+_CIERRE!S179</f>
        <v>0</v>
      </c>
      <c r="Q184" s="61">
        <f>+_CIERRE!T179</f>
        <v>3144135.6150000002</v>
      </c>
      <c r="R184" s="502">
        <f>+Q184+P184-_CIERRE!T179</f>
        <v>0</v>
      </c>
      <c r="S184" s="61"/>
      <c r="T184" s="61"/>
      <c r="U184" s="61"/>
      <c r="V184" s="61"/>
      <c r="AF184" s="62"/>
      <c r="AG184" s="476"/>
    </row>
    <row r="185" spans="1:33" ht="3" customHeight="1" x14ac:dyDescent="0.25">
      <c r="A185">
        <v>9105</v>
      </c>
      <c r="B185">
        <v>9203</v>
      </c>
      <c r="C185" s="3" t="s">
        <v>216</v>
      </c>
      <c r="D185" s="137">
        <v>4946432.2539999997</v>
      </c>
      <c r="E185" s="138">
        <f t="shared" si="5"/>
        <v>412202.68783333333</v>
      </c>
      <c r="F185" s="138">
        <f>ROUND(E185*PARAMETROS!$L$10,0)</f>
        <v>325640</v>
      </c>
      <c r="G185" s="481">
        <v>0</v>
      </c>
      <c r="H185" s="481">
        <v>171928.84099999999</v>
      </c>
      <c r="I185" s="481">
        <v>1597305.8940000001</v>
      </c>
      <c r="J185" s="481">
        <f t="shared" si="6"/>
        <v>6715666.9890000001</v>
      </c>
      <c r="K185" s="502">
        <f>+J185-_CIERRE!U180-_CIERRE!V180</f>
        <v>0</v>
      </c>
      <c r="M185" s="32">
        <v>9105</v>
      </c>
      <c r="N185" s="33">
        <v>9203</v>
      </c>
      <c r="O185" s="4" t="s">
        <v>216</v>
      </c>
      <c r="P185" s="61">
        <f>+_CIERRE!S180</f>
        <v>0</v>
      </c>
      <c r="Q185" s="61">
        <f>+_CIERRE!T180</f>
        <v>6319236.2570000002</v>
      </c>
      <c r="R185" s="502">
        <f>+Q185+P185-_CIERRE!T180</f>
        <v>0</v>
      </c>
      <c r="S185" s="61"/>
      <c r="T185" s="61"/>
      <c r="U185" s="61"/>
      <c r="V185" s="61"/>
      <c r="AF185" s="62"/>
      <c r="AG185" s="476"/>
    </row>
    <row r="186" spans="1:33" ht="3" customHeight="1" x14ac:dyDescent="0.25">
      <c r="A186">
        <v>9106</v>
      </c>
      <c r="B186">
        <v>9207</v>
      </c>
      <c r="C186" s="3" t="s">
        <v>220</v>
      </c>
      <c r="D186" s="137">
        <v>3499945.0150000001</v>
      </c>
      <c r="E186" s="138">
        <f t="shared" si="5"/>
        <v>291662.08458333334</v>
      </c>
      <c r="F186" s="138">
        <f>ROUND(E186*PARAMETROS!$L$10,0)</f>
        <v>230413</v>
      </c>
      <c r="G186" s="481">
        <v>0</v>
      </c>
      <c r="H186" s="481">
        <v>121619.535</v>
      </c>
      <c r="I186" s="481">
        <v>1128985.5220000001</v>
      </c>
      <c r="J186" s="481">
        <f t="shared" si="6"/>
        <v>4750550.0720000006</v>
      </c>
      <c r="K186" s="502">
        <f>+J186-_CIERRE!U181-_CIERRE!V181</f>
        <v>0</v>
      </c>
      <c r="M186" s="32">
        <v>9106</v>
      </c>
      <c r="N186" s="33">
        <v>9207</v>
      </c>
      <c r="O186" s="4" t="s">
        <v>220</v>
      </c>
      <c r="P186" s="61">
        <f>+_CIERRE!S181</f>
        <v>0</v>
      </c>
      <c r="Q186" s="61">
        <f>+_CIERRE!T181</f>
        <v>4501405.5650000004</v>
      </c>
      <c r="R186" s="502">
        <f>+Q186+P186-_CIERRE!T181</f>
        <v>0</v>
      </c>
      <c r="S186" s="61"/>
      <c r="T186" s="61"/>
      <c r="U186" s="61"/>
      <c r="V186" s="61"/>
      <c r="AF186" s="62"/>
      <c r="AG186" s="476"/>
    </row>
    <row r="187" spans="1:33" ht="3" customHeight="1" x14ac:dyDescent="0.25">
      <c r="A187">
        <v>9107</v>
      </c>
      <c r="B187">
        <v>9212</v>
      </c>
      <c r="C187" s="3" t="s">
        <v>224</v>
      </c>
      <c r="D187" s="137">
        <v>3840684.423</v>
      </c>
      <c r="E187" s="138">
        <f t="shared" si="5"/>
        <v>320057.03525000002</v>
      </c>
      <c r="F187" s="138">
        <f>ROUND(E187*PARAMETROS!$L$10,0)</f>
        <v>252845</v>
      </c>
      <c r="G187" s="481">
        <v>0</v>
      </c>
      <c r="H187" s="481">
        <v>133429.06700000001</v>
      </c>
      <c r="I187" s="481">
        <v>1237724.0149999999</v>
      </c>
      <c r="J187" s="481">
        <f t="shared" si="6"/>
        <v>5211837.5049999999</v>
      </c>
      <c r="K187" s="502">
        <f>+J187-_CIERRE!U182-_CIERRE!V182</f>
        <v>0</v>
      </c>
      <c r="M187" s="32">
        <v>9107</v>
      </c>
      <c r="N187" s="33">
        <v>9212</v>
      </c>
      <c r="O187" s="4" t="s">
        <v>224</v>
      </c>
      <c r="P187" s="61">
        <f>+_CIERRE!S182</f>
        <v>0</v>
      </c>
      <c r="Q187" s="61">
        <f>+_CIERRE!T182</f>
        <v>4790820.5520000001</v>
      </c>
      <c r="R187" s="502">
        <f>+Q187+P187-_CIERRE!T182</f>
        <v>0</v>
      </c>
      <c r="S187" s="61"/>
      <c r="T187" s="61"/>
      <c r="U187" s="61"/>
      <c r="V187" s="61"/>
      <c r="AF187" s="62"/>
      <c r="AG187" s="476"/>
    </row>
    <row r="188" spans="1:33" ht="3" customHeight="1" x14ac:dyDescent="0.25">
      <c r="A188">
        <v>9108</v>
      </c>
      <c r="B188">
        <v>9205</v>
      </c>
      <c r="C188" s="3" t="s">
        <v>218</v>
      </c>
      <c r="D188" s="137">
        <v>5038179.1359999999</v>
      </c>
      <c r="E188" s="138">
        <f t="shared" si="5"/>
        <v>419848.26133333333</v>
      </c>
      <c r="F188" s="138">
        <f>ROUND(E188*PARAMETROS!$L$10,0)</f>
        <v>331680</v>
      </c>
      <c r="G188" s="481">
        <v>0</v>
      </c>
      <c r="H188" s="481">
        <v>174849.44899999999</v>
      </c>
      <c r="I188" s="481">
        <v>1616721.0209999999</v>
      </c>
      <c r="J188" s="481">
        <f t="shared" si="6"/>
        <v>6829749.6059999997</v>
      </c>
      <c r="K188" s="502">
        <f>+J188-_CIERRE!U183-_CIERRE!V183</f>
        <v>0</v>
      </c>
      <c r="M188" s="32">
        <v>9108</v>
      </c>
      <c r="N188" s="33">
        <v>9205</v>
      </c>
      <c r="O188" s="4" t="s">
        <v>218</v>
      </c>
      <c r="P188" s="61">
        <f>+_CIERRE!S183</f>
        <v>0</v>
      </c>
      <c r="Q188" s="61">
        <f>+_CIERRE!T183</f>
        <v>6070880.1679999996</v>
      </c>
      <c r="R188" s="502">
        <f>+Q188+P188-_CIERRE!T183</f>
        <v>0</v>
      </c>
      <c r="S188" s="61"/>
      <c r="T188" s="61"/>
      <c r="U188" s="61"/>
      <c r="V188" s="61"/>
      <c r="AF188" s="62"/>
      <c r="AG188" s="476"/>
    </row>
    <row r="189" spans="1:33" ht="3" customHeight="1" x14ac:dyDescent="0.25">
      <c r="A189">
        <v>9109</v>
      </c>
      <c r="B189">
        <v>9214</v>
      </c>
      <c r="C189" s="3" t="s">
        <v>225</v>
      </c>
      <c r="D189" s="137">
        <v>4980591.3770000003</v>
      </c>
      <c r="E189" s="138">
        <f t="shared" si="5"/>
        <v>415049.28141666669</v>
      </c>
      <c r="F189" s="138">
        <f>ROUND(E189*PARAMETROS!$L$10,0)</f>
        <v>327889</v>
      </c>
      <c r="G189" s="481">
        <v>0</v>
      </c>
      <c r="H189" s="481">
        <v>173045.15100000001</v>
      </c>
      <c r="I189" s="481">
        <v>1605635.0589999999</v>
      </c>
      <c r="J189" s="481">
        <f t="shared" si="6"/>
        <v>6759271.5869999994</v>
      </c>
      <c r="K189" s="502">
        <f>+J189-_CIERRE!U184-_CIERRE!V184</f>
        <v>0</v>
      </c>
      <c r="M189" s="32">
        <v>9109</v>
      </c>
      <c r="N189" s="33">
        <v>9214</v>
      </c>
      <c r="O189" s="4" t="s">
        <v>225</v>
      </c>
      <c r="P189" s="61">
        <f>+_CIERRE!S184</f>
        <v>0</v>
      </c>
      <c r="Q189" s="61">
        <f>+_CIERRE!T184</f>
        <v>5862330.7240000004</v>
      </c>
      <c r="R189" s="502">
        <f>+Q189+P189-_CIERRE!T184</f>
        <v>0</v>
      </c>
      <c r="S189" s="61"/>
      <c r="T189" s="61"/>
      <c r="U189" s="61"/>
      <c r="V189" s="61"/>
      <c r="AF189" s="62"/>
      <c r="AG189" s="476"/>
    </row>
    <row r="190" spans="1:33" ht="3" customHeight="1" x14ac:dyDescent="0.25">
      <c r="A190">
        <v>9110</v>
      </c>
      <c r="B190">
        <v>9217</v>
      </c>
      <c r="C190" s="3" t="s">
        <v>227</v>
      </c>
      <c r="D190" s="137">
        <v>3534537.125</v>
      </c>
      <c r="E190" s="138">
        <f t="shared" si="5"/>
        <v>294544.76041666669</v>
      </c>
      <c r="F190" s="138">
        <f>ROUND(E190*PARAMETROS!$L$10,0)</f>
        <v>232690</v>
      </c>
      <c r="G190" s="481">
        <v>0</v>
      </c>
      <c r="H190" s="481">
        <v>122804.863</v>
      </c>
      <c r="I190" s="481">
        <v>1139506.415</v>
      </c>
      <c r="J190" s="481">
        <f t="shared" si="6"/>
        <v>4796848.4029999999</v>
      </c>
      <c r="K190" s="502">
        <f>+J190-_CIERRE!U185-_CIERRE!V185</f>
        <v>0</v>
      </c>
      <c r="M190" s="32">
        <v>9110</v>
      </c>
      <c r="N190" s="33">
        <v>9217</v>
      </c>
      <c r="O190" s="4" t="s">
        <v>227</v>
      </c>
      <c r="P190" s="61">
        <f>+_CIERRE!S185</f>
        <v>0</v>
      </c>
      <c r="Q190" s="61">
        <f>+_CIERRE!T185</f>
        <v>4338389.9400000004</v>
      </c>
      <c r="R190" s="502">
        <f>+Q190+P190-_CIERRE!T185</f>
        <v>0</v>
      </c>
      <c r="S190" s="61"/>
      <c r="T190" s="61"/>
      <c r="U190" s="61"/>
      <c r="V190" s="61"/>
      <c r="AF190" s="62"/>
      <c r="AG190" s="476"/>
    </row>
    <row r="191" spans="1:33" ht="3" customHeight="1" x14ac:dyDescent="0.25">
      <c r="A191">
        <v>9111</v>
      </c>
      <c r="B191">
        <v>9208</v>
      </c>
      <c r="C191" s="3" t="s">
        <v>221</v>
      </c>
      <c r="D191" s="137">
        <v>6776929.9589999998</v>
      </c>
      <c r="E191" s="138">
        <f t="shared" si="5"/>
        <v>564744.16324999998</v>
      </c>
      <c r="F191" s="138">
        <f>ROUND(E191*PARAMETROS!$L$10,0)</f>
        <v>446148</v>
      </c>
      <c r="G191" s="481">
        <v>0</v>
      </c>
      <c r="H191" s="481">
        <v>235444.761</v>
      </c>
      <c r="I191" s="481">
        <v>2184272.4029999999</v>
      </c>
      <c r="J191" s="481">
        <f t="shared" si="6"/>
        <v>9196647.1229999997</v>
      </c>
      <c r="K191" s="502">
        <f>+J191-_CIERRE!U186-_CIERRE!V186</f>
        <v>0</v>
      </c>
      <c r="M191" s="32">
        <v>9111</v>
      </c>
      <c r="N191" s="33">
        <v>9208</v>
      </c>
      <c r="O191" s="4" t="s">
        <v>221</v>
      </c>
      <c r="P191" s="61">
        <f>+_CIERRE!S186</f>
        <v>0</v>
      </c>
      <c r="Q191" s="61">
        <f>+_CIERRE!T186</f>
        <v>8669946.0439999998</v>
      </c>
      <c r="R191" s="502">
        <f>+Q191+P191-_CIERRE!T186</f>
        <v>0</v>
      </c>
      <c r="S191" s="61"/>
      <c r="T191" s="61"/>
      <c r="U191" s="61"/>
      <c r="V191" s="61"/>
      <c r="AF191" s="62"/>
      <c r="AG191" s="476"/>
    </row>
    <row r="192" spans="1:33" ht="3" customHeight="1" x14ac:dyDescent="0.25">
      <c r="A192">
        <v>9112</v>
      </c>
      <c r="B192">
        <v>9220</v>
      </c>
      <c r="C192" s="3" t="s">
        <v>230</v>
      </c>
      <c r="D192" s="137">
        <v>11360550.907</v>
      </c>
      <c r="E192" s="138">
        <f t="shared" si="5"/>
        <v>946712.57558333327</v>
      </c>
      <c r="F192" s="138">
        <f>ROUND(E192*PARAMETROS!$L$10,0)</f>
        <v>747903</v>
      </c>
      <c r="G192" s="481">
        <v>0</v>
      </c>
      <c r="H192" s="481">
        <v>394767.79399999999</v>
      </c>
      <c r="I192" s="481">
        <v>3664603.3790000002</v>
      </c>
      <c r="J192" s="481">
        <f t="shared" si="6"/>
        <v>15419922.08</v>
      </c>
      <c r="K192" s="502">
        <f>+J192-_CIERRE!U187-_CIERRE!V187</f>
        <v>0</v>
      </c>
      <c r="M192" s="32">
        <v>9112</v>
      </c>
      <c r="N192" s="33">
        <v>9220</v>
      </c>
      <c r="O192" s="4" t="s">
        <v>230</v>
      </c>
      <c r="P192" s="61">
        <f>+_CIERRE!S187</f>
        <v>0</v>
      </c>
      <c r="Q192" s="61">
        <f>+_CIERRE!T187</f>
        <v>14351633</v>
      </c>
      <c r="R192" s="502">
        <f>+Q192+P192-_CIERRE!T187</f>
        <v>0</v>
      </c>
      <c r="S192" s="61"/>
      <c r="T192" s="61"/>
      <c r="U192" s="61"/>
      <c r="V192" s="61"/>
      <c r="AF192" s="62"/>
      <c r="AG192" s="476"/>
    </row>
    <row r="193" spans="1:33" ht="3" customHeight="1" x14ac:dyDescent="0.25">
      <c r="A193">
        <v>9113</v>
      </c>
      <c r="B193">
        <v>9206</v>
      </c>
      <c r="C193" s="3" t="s">
        <v>219</v>
      </c>
      <c r="D193" s="137">
        <v>2485675.5079999999</v>
      </c>
      <c r="E193" s="138">
        <f t="shared" si="5"/>
        <v>207139.62566666666</v>
      </c>
      <c r="F193" s="138">
        <f>ROUND(E193*PARAMETROS!$L$10,0)</f>
        <v>163640</v>
      </c>
      <c r="G193" s="481">
        <v>0</v>
      </c>
      <c r="H193" s="481">
        <v>86374.614000000001</v>
      </c>
      <c r="I193" s="481">
        <v>801806.51100000006</v>
      </c>
      <c r="J193" s="481">
        <f t="shared" si="6"/>
        <v>3373856.6329999999</v>
      </c>
      <c r="K193" s="502">
        <f>+J193-_CIERRE!U188-_CIERRE!V188</f>
        <v>0</v>
      </c>
      <c r="M193" s="32">
        <v>9113</v>
      </c>
      <c r="N193" s="33">
        <v>9206</v>
      </c>
      <c r="O193" s="4" t="s">
        <v>219</v>
      </c>
      <c r="P193" s="61">
        <f>+_CIERRE!S188</f>
        <v>0</v>
      </c>
      <c r="Q193" s="61">
        <f>+_CIERRE!T188</f>
        <v>3210021.8390000002</v>
      </c>
      <c r="R193" s="502">
        <f>+Q193+P193-_CIERRE!T188</f>
        <v>0</v>
      </c>
      <c r="S193" s="61"/>
      <c r="T193" s="61"/>
      <c r="U193" s="61"/>
      <c r="V193" s="61"/>
      <c r="AF193" s="62"/>
      <c r="AG193" s="476"/>
    </row>
    <row r="194" spans="1:33" ht="3" customHeight="1" x14ac:dyDescent="0.25">
      <c r="A194">
        <v>9114</v>
      </c>
      <c r="B194">
        <v>9211</v>
      </c>
      <c r="C194" s="3" t="s">
        <v>407</v>
      </c>
      <c r="D194" s="137">
        <v>5606071.9469999997</v>
      </c>
      <c r="E194" s="138">
        <f t="shared" si="5"/>
        <v>467172.66224999999</v>
      </c>
      <c r="F194" s="138">
        <f>ROUND(E194*PARAMETROS!$L$10,0)</f>
        <v>369066</v>
      </c>
      <c r="G194" s="481">
        <v>0</v>
      </c>
      <c r="H194" s="481">
        <v>194775.837</v>
      </c>
      <c r="I194" s="481">
        <v>1807241.2819999999</v>
      </c>
      <c r="J194" s="481">
        <f t="shared" si="6"/>
        <v>7608089.0659999996</v>
      </c>
      <c r="K194" s="502">
        <f>+J194-_CIERRE!U189-_CIERRE!V189</f>
        <v>0</v>
      </c>
      <c r="M194" s="32">
        <v>9114</v>
      </c>
      <c r="N194" s="33">
        <v>9211</v>
      </c>
      <c r="O194" s="4" t="s">
        <v>407</v>
      </c>
      <c r="P194" s="61">
        <f>+_CIERRE!S189</f>
        <v>0</v>
      </c>
      <c r="Q194" s="61">
        <f>+_CIERRE!T189</f>
        <v>7185198.142</v>
      </c>
      <c r="R194" s="502">
        <f>+Q194+P194-_CIERRE!T189</f>
        <v>0</v>
      </c>
      <c r="S194" s="61"/>
      <c r="T194" s="61"/>
      <c r="U194" s="61"/>
      <c r="V194" s="61"/>
      <c r="AF194" s="62"/>
      <c r="AG194" s="476"/>
    </row>
    <row r="195" spans="1:33" ht="3" customHeight="1" x14ac:dyDescent="0.25">
      <c r="A195">
        <v>9115</v>
      </c>
      <c r="B195">
        <v>9216</v>
      </c>
      <c r="C195" s="3" t="s">
        <v>408</v>
      </c>
      <c r="D195" s="137">
        <v>2311873.7999999998</v>
      </c>
      <c r="E195" s="138">
        <f t="shared" si="5"/>
        <v>192656.15</v>
      </c>
      <c r="F195" s="138">
        <f>ROUND(E195*PARAMETROS!$L$10,0)</f>
        <v>152198</v>
      </c>
      <c r="G195" s="481">
        <v>0</v>
      </c>
      <c r="H195" s="481">
        <v>80268.247000000003</v>
      </c>
      <c r="I195" s="481">
        <v>743195.08700000006</v>
      </c>
      <c r="J195" s="481">
        <f t="shared" si="6"/>
        <v>3135337.1339999996</v>
      </c>
      <c r="K195" s="502">
        <f>+J195-_CIERRE!U190-_CIERRE!V190</f>
        <v>0</v>
      </c>
      <c r="M195" s="32">
        <v>9115</v>
      </c>
      <c r="N195" s="33">
        <v>9216</v>
      </c>
      <c r="O195" s="4" t="s">
        <v>408</v>
      </c>
      <c r="P195" s="61">
        <f>+_CIERRE!S190</f>
        <v>0</v>
      </c>
      <c r="Q195" s="61">
        <f>+_CIERRE!T190</f>
        <v>3031366.585</v>
      </c>
      <c r="R195" s="502">
        <f>+Q195+P195-_CIERRE!T190</f>
        <v>0</v>
      </c>
      <c r="S195" s="61"/>
      <c r="T195" s="61"/>
      <c r="U195" s="61"/>
      <c r="V195" s="61"/>
      <c r="AF195" s="62"/>
      <c r="AG195" s="476"/>
    </row>
    <row r="196" spans="1:33" ht="3" customHeight="1" x14ac:dyDescent="0.25">
      <c r="A196">
        <v>9116</v>
      </c>
      <c r="B196">
        <v>9210</v>
      </c>
      <c r="C196" s="3" t="s">
        <v>223</v>
      </c>
      <c r="D196" s="137">
        <v>4542957.1239999998</v>
      </c>
      <c r="E196" s="138">
        <f t="shared" si="5"/>
        <v>378579.76033333334</v>
      </c>
      <c r="F196" s="138">
        <f>ROUND(E196*PARAMETROS!$L$10,0)</f>
        <v>299078</v>
      </c>
      <c r="G196" s="481">
        <v>0</v>
      </c>
      <c r="H196" s="481">
        <v>157971.54999999999</v>
      </c>
      <c r="I196" s="481">
        <v>1469556.487</v>
      </c>
      <c r="J196" s="481">
        <f t="shared" si="6"/>
        <v>6170485.1609999994</v>
      </c>
      <c r="K196" s="502">
        <f>+J196-_CIERRE!U191-_CIERRE!V191</f>
        <v>0</v>
      </c>
      <c r="M196" s="32">
        <v>9116</v>
      </c>
      <c r="N196" s="33">
        <v>9210</v>
      </c>
      <c r="O196" s="4" t="s">
        <v>223</v>
      </c>
      <c r="P196" s="61">
        <f>+_CIERRE!S191</f>
        <v>0</v>
      </c>
      <c r="Q196" s="61">
        <f>+_CIERRE!T191</f>
        <v>5498051.7220000001</v>
      </c>
      <c r="R196" s="502">
        <f>+Q196+P196-_CIERRE!T191</f>
        <v>0</v>
      </c>
      <c r="S196" s="61"/>
      <c r="T196" s="61"/>
      <c r="U196" s="61"/>
      <c r="V196" s="61"/>
      <c r="AF196" s="62"/>
      <c r="AG196" s="476"/>
    </row>
    <row r="197" spans="1:33" ht="3" customHeight="1" x14ac:dyDescent="0.25">
      <c r="A197">
        <v>9117</v>
      </c>
      <c r="B197">
        <v>9219</v>
      </c>
      <c r="C197" s="3" t="s">
        <v>229</v>
      </c>
      <c r="D197" s="137">
        <v>4465999.665</v>
      </c>
      <c r="E197" s="138">
        <f t="shared" si="5"/>
        <v>372166.63874999998</v>
      </c>
      <c r="F197" s="138">
        <f>ROUND(E197*PARAMETROS!$L$10,0)</f>
        <v>294012</v>
      </c>
      <c r="G197" s="481">
        <v>0</v>
      </c>
      <c r="H197" s="481">
        <v>155245.89499999999</v>
      </c>
      <c r="I197" s="481">
        <v>1442773.6669999999</v>
      </c>
      <c r="J197" s="481">
        <f t="shared" si="6"/>
        <v>6064019.227</v>
      </c>
      <c r="K197" s="502">
        <f>+J197-_CIERRE!U192-_CIERRE!V192</f>
        <v>0</v>
      </c>
      <c r="M197" s="32">
        <v>9117</v>
      </c>
      <c r="N197" s="33">
        <v>9219</v>
      </c>
      <c r="O197" s="4" t="s">
        <v>229</v>
      </c>
      <c r="P197" s="61">
        <f>+_CIERRE!S192</f>
        <v>0</v>
      </c>
      <c r="Q197" s="61">
        <f>+_CIERRE!T192</f>
        <v>5252017.68</v>
      </c>
      <c r="R197" s="502">
        <f>+Q197+P197-_CIERRE!T192</f>
        <v>0</v>
      </c>
      <c r="S197" s="61"/>
      <c r="T197" s="61"/>
      <c r="U197" s="61"/>
      <c r="V197" s="61"/>
      <c r="AF197" s="62"/>
      <c r="AG197" s="476"/>
    </row>
    <row r="198" spans="1:33" ht="3" customHeight="1" x14ac:dyDescent="0.25">
      <c r="A198">
        <v>9118</v>
      </c>
      <c r="B198">
        <v>9213</v>
      </c>
      <c r="C198" s="3" t="s">
        <v>409</v>
      </c>
      <c r="D198" s="137">
        <v>3713001.0920000002</v>
      </c>
      <c r="E198" s="138">
        <f t="shared" si="5"/>
        <v>309416.7576666667</v>
      </c>
      <c r="F198" s="138">
        <f>ROUND(E198*PARAMETROS!$L$10,0)</f>
        <v>244439</v>
      </c>
      <c r="G198" s="481">
        <v>0</v>
      </c>
      <c r="H198" s="481">
        <v>129046.765</v>
      </c>
      <c r="I198" s="481">
        <v>1198614.1740000001</v>
      </c>
      <c r="J198" s="481">
        <f t="shared" si="6"/>
        <v>5040662.0310000004</v>
      </c>
      <c r="K198" s="502">
        <f>+J198-_CIERRE!U193-_CIERRE!V193</f>
        <v>0</v>
      </c>
      <c r="M198" s="32">
        <v>9118</v>
      </c>
      <c r="N198" s="33">
        <v>9213</v>
      </c>
      <c r="O198" s="4" t="s">
        <v>409</v>
      </c>
      <c r="P198" s="61">
        <f>+_CIERRE!S193</f>
        <v>0</v>
      </c>
      <c r="Q198" s="61">
        <f>+_CIERRE!T193</f>
        <v>4778553.6279999996</v>
      </c>
      <c r="R198" s="502">
        <f>+Q198+P198-_CIERRE!T193</f>
        <v>0</v>
      </c>
      <c r="S198" s="61"/>
      <c r="T198" s="61"/>
      <c r="U198" s="61"/>
      <c r="V198" s="61"/>
      <c r="AF198" s="62"/>
      <c r="AG198" s="476"/>
    </row>
    <row r="199" spans="1:33" ht="3" customHeight="1" x14ac:dyDescent="0.25">
      <c r="A199">
        <v>9119</v>
      </c>
      <c r="B199">
        <v>9202</v>
      </c>
      <c r="C199" s="3" t="s">
        <v>410</v>
      </c>
      <c r="D199" s="137">
        <v>5807373.3430000003</v>
      </c>
      <c r="E199" s="138">
        <f t="shared" ref="E199:E262" si="7">D199/12</f>
        <v>483947.77858333336</v>
      </c>
      <c r="F199" s="138">
        <f>ROUND(E199*PARAMETROS!$L$10,0)</f>
        <v>382319</v>
      </c>
      <c r="G199" s="481">
        <v>0</v>
      </c>
      <c r="H199" s="481">
        <v>201752.52</v>
      </c>
      <c r="I199" s="481">
        <v>1871476.139</v>
      </c>
      <c r="J199" s="481">
        <f t="shared" si="6"/>
        <v>7880602.0020000003</v>
      </c>
      <c r="K199" s="502">
        <f>+J199-_CIERRE!U194-_CIERRE!V194</f>
        <v>0</v>
      </c>
      <c r="M199" s="32">
        <v>9119</v>
      </c>
      <c r="N199" s="33">
        <v>9202</v>
      </c>
      <c r="O199" s="4" t="s">
        <v>410</v>
      </c>
      <c r="P199" s="61">
        <f>+_CIERRE!S194</f>
        <v>0</v>
      </c>
      <c r="Q199" s="61">
        <f>+_CIERRE!T194</f>
        <v>6955318.1849999996</v>
      </c>
      <c r="R199" s="502">
        <f>+Q199+P199-_CIERRE!T194</f>
        <v>0</v>
      </c>
      <c r="S199" s="61"/>
      <c r="T199" s="61"/>
      <c r="U199" s="61"/>
      <c r="V199" s="61"/>
      <c r="AF199" s="62"/>
      <c r="AG199" s="476"/>
    </row>
    <row r="200" spans="1:33" ht="3" customHeight="1" x14ac:dyDescent="0.25">
      <c r="A200">
        <v>9120</v>
      </c>
      <c r="B200">
        <v>9215</v>
      </c>
      <c r="C200" s="3" t="s">
        <v>226</v>
      </c>
      <c r="D200" s="137">
        <v>4610853.068</v>
      </c>
      <c r="E200" s="138">
        <f t="shared" si="7"/>
        <v>384237.75566666666</v>
      </c>
      <c r="F200" s="138">
        <f>ROUND(E200*PARAMETROS!$L$10,0)</f>
        <v>303548</v>
      </c>
      <c r="G200" s="481">
        <v>0</v>
      </c>
      <c r="H200" s="481">
        <v>160187.27799999999</v>
      </c>
      <c r="I200" s="481">
        <v>1485993.149</v>
      </c>
      <c r="J200" s="481">
        <f t="shared" ref="J200:J263" si="8">+D200+G200+H200+I200-G200</f>
        <v>6257033.4950000001</v>
      </c>
      <c r="K200" s="502">
        <f>+J200-_CIERRE!U195-_CIERRE!V195</f>
        <v>0</v>
      </c>
      <c r="M200" s="32">
        <v>9120</v>
      </c>
      <c r="N200" s="33">
        <v>9215</v>
      </c>
      <c r="O200" s="4" t="s">
        <v>226</v>
      </c>
      <c r="P200" s="61">
        <f>+_CIERRE!S195</f>
        <v>0</v>
      </c>
      <c r="Q200" s="61">
        <f>+_CIERRE!T195</f>
        <v>6199043.8190000001</v>
      </c>
      <c r="R200" s="502">
        <f>+Q200+P200-_CIERRE!T195</f>
        <v>0</v>
      </c>
      <c r="S200" s="61"/>
      <c r="T200" s="61"/>
      <c r="U200" s="61"/>
      <c r="V200" s="61"/>
      <c r="AF200" s="62"/>
      <c r="AG200" s="476"/>
    </row>
    <row r="201" spans="1:33" ht="3" customHeight="1" x14ac:dyDescent="0.25">
      <c r="A201">
        <v>9121</v>
      </c>
      <c r="B201">
        <v>9221</v>
      </c>
      <c r="C201" s="3" t="s">
        <v>231</v>
      </c>
      <c r="D201" s="137">
        <v>3500647.3160000001</v>
      </c>
      <c r="E201" s="138">
        <f t="shared" si="7"/>
        <v>291720.60966666666</v>
      </c>
      <c r="F201" s="138">
        <f>ROUND(E201*PARAMETROS!$L$10,0)</f>
        <v>230459</v>
      </c>
      <c r="G201" s="481">
        <v>0</v>
      </c>
      <c r="H201" s="481">
        <v>121682.52800000001</v>
      </c>
      <c r="I201" s="481">
        <v>1130679.898</v>
      </c>
      <c r="J201" s="481">
        <f t="shared" si="8"/>
        <v>4753009.7420000006</v>
      </c>
      <c r="K201" s="502">
        <f>+J201-_CIERRE!U196-_CIERRE!V196</f>
        <v>0</v>
      </c>
      <c r="M201" s="32">
        <v>9121</v>
      </c>
      <c r="N201" s="33">
        <v>9221</v>
      </c>
      <c r="O201" s="4" t="s">
        <v>231</v>
      </c>
      <c r="P201" s="61">
        <f>+_CIERRE!S196</f>
        <v>0</v>
      </c>
      <c r="Q201" s="61">
        <f>+_CIERRE!T196</f>
        <v>4272819.62</v>
      </c>
      <c r="R201" s="502">
        <f>+Q201+P201-_CIERRE!T196</f>
        <v>0</v>
      </c>
      <c r="S201" s="61"/>
      <c r="T201" s="61"/>
      <c r="U201" s="61"/>
      <c r="V201" s="61"/>
      <c r="AF201" s="62"/>
      <c r="AG201" s="476"/>
    </row>
    <row r="202" spans="1:33" ht="3" customHeight="1" x14ac:dyDescent="0.25">
      <c r="A202">
        <v>9201</v>
      </c>
      <c r="B202">
        <v>9101</v>
      </c>
      <c r="C202" s="3" t="s">
        <v>207</v>
      </c>
      <c r="D202" s="137">
        <v>9219539.4220000003</v>
      </c>
      <c r="E202" s="138">
        <f t="shared" si="7"/>
        <v>768294.95183333335</v>
      </c>
      <c r="F202" s="138">
        <f>ROUND(E202*PARAMETROS!$L$10,0)</f>
        <v>606953</v>
      </c>
      <c r="G202" s="481">
        <v>0</v>
      </c>
      <c r="H202" s="481">
        <v>320277.90000000002</v>
      </c>
      <c r="I202" s="481">
        <v>2970474.1850000001</v>
      </c>
      <c r="J202" s="481">
        <f t="shared" si="8"/>
        <v>12510291.507000001</v>
      </c>
      <c r="K202" s="502">
        <f>+J202-_CIERRE!U197-_CIERRE!V197</f>
        <v>0</v>
      </c>
      <c r="M202" s="32">
        <v>9201</v>
      </c>
      <c r="N202" s="33">
        <v>9101</v>
      </c>
      <c r="O202" s="4" t="s">
        <v>207</v>
      </c>
      <c r="P202" s="61">
        <f>+_CIERRE!S197</f>
        <v>0</v>
      </c>
      <c r="Q202" s="61">
        <f>+_CIERRE!T197</f>
        <v>12029534.273</v>
      </c>
      <c r="R202" s="502">
        <f>+Q202+P202-_CIERRE!T197</f>
        <v>0</v>
      </c>
      <c r="S202" s="61"/>
      <c r="T202" s="61"/>
      <c r="U202" s="61"/>
      <c r="V202" s="61"/>
      <c r="AF202" s="62"/>
      <c r="AG202" s="476"/>
    </row>
    <row r="203" spans="1:33" ht="3" customHeight="1" x14ac:dyDescent="0.25">
      <c r="A203">
        <v>9202</v>
      </c>
      <c r="B203">
        <v>9105</v>
      </c>
      <c r="C203" s="3" t="s">
        <v>210</v>
      </c>
      <c r="D203" s="137">
        <v>4202428.1960000005</v>
      </c>
      <c r="E203" s="138">
        <f t="shared" si="7"/>
        <v>350202.34966666671</v>
      </c>
      <c r="F203" s="138">
        <f>ROUND(E203*PARAMETROS!$L$10,0)</f>
        <v>276660</v>
      </c>
      <c r="G203" s="481">
        <v>0</v>
      </c>
      <c r="H203" s="481">
        <v>146023.935</v>
      </c>
      <c r="I203" s="481">
        <v>1355350.3810000001</v>
      </c>
      <c r="J203" s="481">
        <f t="shared" si="8"/>
        <v>5703802.5120000001</v>
      </c>
      <c r="K203" s="502">
        <f>+J203-_CIERRE!U198-_CIERRE!V198</f>
        <v>0</v>
      </c>
      <c r="M203" s="32">
        <v>9202</v>
      </c>
      <c r="N203" s="33">
        <v>9105</v>
      </c>
      <c r="O203" s="4" t="s">
        <v>210</v>
      </c>
      <c r="P203" s="61">
        <f>+_CIERRE!S198</f>
        <v>0</v>
      </c>
      <c r="Q203" s="61">
        <f>+_CIERRE!T198</f>
        <v>5354068.0520000001</v>
      </c>
      <c r="R203" s="502">
        <f>+Q203+P203-_CIERRE!T198</f>
        <v>0</v>
      </c>
      <c r="S203" s="61"/>
      <c r="T203" s="61"/>
      <c r="U203" s="61"/>
      <c r="V203" s="61"/>
      <c r="AF203" s="62"/>
      <c r="AG203" s="476"/>
    </row>
    <row r="204" spans="1:33" ht="3" customHeight="1" x14ac:dyDescent="0.25">
      <c r="A204">
        <v>9203</v>
      </c>
      <c r="B204">
        <v>9110</v>
      </c>
      <c r="C204" s="3" t="s">
        <v>411</v>
      </c>
      <c r="D204" s="137">
        <v>5690552.1500000004</v>
      </c>
      <c r="E204" s="138">
        <f t="shared" si="7"/>
        <v>474212.6791666667</v>
      </c>
      <c r="F204" s="138">
        <f>ROUND(E204*PARAMETROS!$L$10,0)</f>
        <v>374628</v>
      </c>
      <c r="G204" s="481">
        <v>0</v>
      </c>
      <c r="H204" s="481">
        <v>197592.005</v>
      </c>
      <c r="I204" s="481">
        <v>1829946.1569999999</v>
      </c>
      <c r="J204" s="481">
        <f t="shared" si="8"/>
        <v>7718090.3119999999</v>
      </c>
      <c r="K204" s="502">
        <f>+J204-_CIERRE!U199-_CIERRE!V199</f>
        <v>0</v>
      </c>
      <c r="M204" s="32">
        <v>9203</v>
      </c>
      <c r="N204" s="33">
        <v>9110</v>
      </c>
      <c r="O204" s="4" t="s">
        <v>411</v>
      </c>
      <c r="P204" s="61">
        <f>+_CIERRE!S199</f>
        <v>0</v>
      </c>
      <c r="Q204" s="61">
        <f>+_CIERRE!T199</f>
        <v>6602246.1670000004</v>
      </c>
      <c r="R204" s="502">
        <f>+Q204+P204-_CIERRE!T199</f>
        <v>0</v>
      </c>
      <c r="S204" s="61"/>
      <c r="T204" s="61"/>
      <c r="U204" s="61"/>
      <c r="V204" s="61"/>
      <c r="AF204" s="62"/>
      <c r="AG204" s="476"/>
    </row>
    <row r="205" spans="1:33" ht="3" customHeight="1" x14ac:dyDescent="0.25">
      <c r="A205">
        <v>9204</v>
      </c>
      <c r="B205">
        <v>9106</v>
      </c>
      <c r="C205" s="3" t="s">
        <v>211</v>
      </c>
      <c r="D205" s="137">
        <v>2786213.892</v>
      </c>
      <c r="E205" s="138">
        <f t="shared" si="7"/>
        <v>232184.49100000001</v>
      </c>
      <c r="F205" s="138">
        <f>ROUND(E205*PARAMETROS!$L$10,0)</f>
        <v>183426</v>
      </c>
      <c r="G205" s="481">
        <v>0</v>
      </c>
      <c r="H205" s="481">
        <v>96820.642000000007</v>
      </c>
      <c r="I205" s="481">
        <v>898849.94700000004</v>
      </c>
      <c r="J205" s="481">
        <f t="shared" si="8"/>
        <v>3781884.4810000001</v>
      </c>
      <c r="K205" s="502">
        <f>+J205-_CIERRE!U200-_CIERRE!V200</f>
        <v>0</v>
      </c>
      <c r="M205" s="32">
        <v>9204</v>
      </c>
      <c r="N205" s="33">
        <v>9106</v>
      </c>
      <c r="O205" s="4" t="s">
        <v>211</v>
      </c>
      <c r="P205" s="61">
        <f>+_CIERRE!S200</f>
        <v>0</v>
      </c>
      <c r="Q205" s="61">
        <f>+_CIERRE!T200</f>
        <v>3509255.9750000001</v>
      </c>
      <c r="R205" s="502">
        <f>+Q205+P205-_CIERRE!T200</f>
        <v>0</v>
      </c>
      <c r="S205" s="61"/>
      <c r="T205" s="61"/>
      <c r="U205" s="61"/>
      <c r="V205" s="61"/>
      <c r="AF205" s="62"/>
      <c r="AG205" s="476"/>
    </row>
    <row r="206" spans="1:33" ht="3" customHeight="1" x14ac:dyDescent="0.25">
      <c r="A206">
        <v>9205</v>
      </c>
      <c r="B206">
        <v>9111</v>
      </c>
      <c r="C206" s="3" t="s">
        <v>214</v>
      </c>
      <c r="D206" s="137">
        <v>3927849.0929999999</v>
      </c>
      <c r="E206" s="138">
        <f t="shared" si="7"/>
        <v>327320.75774999999</v>
      </c>
      <c r="F206" s="138">
        <f>ROUND(E206*PARAMETROS!$L$10,0)</f>
        <v>258583</v>
      </c>
      <c r="G206" s="481">
        <v>0</v>
      </c>
      <c r="H206" s="481">
        <v>136507.36199999999</v>
      </c>
      <c r="I206" s="481">
        <v>1267723.3400000001</v>
      </c>
      <c r="J206" s="481">
        <f t="shared" si="8"/>
        <v>5332079.7949999999</v>
      </c>
      <c r="K206" s="502">
        <f>+J206-_CIERRE!U201-_CIERRE!V201</f>
        <v>0</v>
      </c>
      <c r="M206" s="32">
        <v>9205</v>
      </c>
      <c r="N206" s="33">
        <v>9111</v>
      </c>
      <c r="O206" s="4" t="s">
        <v>214</v>
      </c>
      <c r="P206" s="61">
        <f>+_CIERRE!S201</f>
        <v>0</v>
      </c>
      <c r="Q206" s="61">
        <f>+_CIERRE!T201</f>
        <v>4951773.5140000004</v>
      </c>
      <c r="R206" s="502">
        <f>+Q206+P206-_CIERRE!T201</f>
        <v>0</v>
      </c>
      <c r="S206" s="61"/>
      <c r="T206" s="61"/>
      <c r="U206" s="61"/>
      <c r="V206" s="61"/>
      <c r="AF206" s="62"/>
      <c r="AG206" s="476"/>
    </row>
    <row r="207" spans="1:33" ht="3" customHeight="1" x14ac:dyDescent="0.25">
      <c r="A207">
        <v>9206</v>
      </c>
      <c r="B207">
        <v>9103</v>
      </c>
      <c r="C207" s="3" t="s">
        <v>208</v>
      </c>
      <c r="D207" s="137">
        <v>2595866.156</v>
      </c>
      <c r="E207" s="138">
        <f t="shared" si="7"/>
        <v>216322.17966666666</v>
      </c>
      <c r="F207" s="138">
        <f>ROUND(E207*PARAMETROS!$L$10,0)</f>
        <v>170895</v>
      </c>
      <c r="G207" s="481">
        <v>0</v>
      </c>
      <c r="H207" s="481">
        <v>90251.865000000005</v>
      </c>
      <c r="I207" s="481">
        <v>839187.37300000002</v>
      </c>
      <c r="J207" s="481">
        <f t="shared" si="8"/>
        <v>3525305.3940000003</v>
      </c>
      <c r="K207" s="502">
        <f>+J207-_CIERRE!U202-_CIERRE!V202</f>
        <v>0</v>
      </c>
      <c r="M207" s="32">
        <v>9206</v>
      </c>
      <c r="N207" s="33">
        <v>9103</v>
      </c>
      <c r="O207" s="4" t="s">
        <v>208</v>
      </c>
      <c r="P207" s="61">
        <f>+_CIERRE!S202</f>
        <v>0</v>
      </c>
      <c r="Q207" s="61">
        <f>+_CIERRE!T202</f>
        <v>3301663.824</v>
      </c>
      <c r="R207" s="502">
        <f>+Q207+P207-_CIERRE!T202</f>
        <v>0</v>
      </c>
      <c r="S207" s="61"/>
      <c r="T207" s="61"/>
      <c r="U207" s="61"/>
      <c r="V207" s="61"/>
      <c r="AF207" s="62"/>
      <c r="AG207" s="476"/>
    </row>
    <row r="208" spans="1:33" ht="3" customHeight="1" x14ac:dyDescent="0.25">
      <c r="A208">
        <v>9207</v>
      </c>
      <c r="B208">
        <v>9108</v>
      </c>
      <c r="C208" s="3" t="s">
        <v>212</v>
      </c>
      <c r="D208" s="137">
        <v>3082071.0720000002</v>
      </c>
      <c r="E208" s="138">
        <f t="shared" si="7"/>
        <v>256839.25600000002</v>
      </c>
      <c r="F208" s="138">
        <f>ROUND(E208*PARAMETROS!$L$10,0)</f>
        <v>202903</v>
      </c>
      <c r="G208" s="481">
        <v>0</v>
      </c>
      <c r="H208" s="481">
        <v>107164.637</v>
      </c>
      <c r="I208" s="481">
        <v>996694.92500000005</v>
      </c>
      <c r="J208" s="481">
        <f t="shared" si="8"/>
        <v>4185930.6340000005</v>
      </c>
      <c r="K208" s="502">
        <f>+J208-_CIERRE!U203-_CIERRE!V203</f>
        <v>0</v>
      </c>
      <c r="M208" s="32">
        <v>9207</v>
      </c>
      <c r="N208" s="33">
        <v>9108</v>
      </c>
      <c r="O208" s="4" t="s">
        <v>212</v>
      </c>
      <c r="P208" s="61">
        <f>+_CIERRE!S203</f>
        <v>0</v>
      </c>
      <c r="Q208" s="61">
        <f>+_CIERRE!T203</f>
        <v>3811424.1880000001</v>
      </c>
      <c r="R208" s="502">
        <f>+Q208+P208-_CIERRE!T203</f>
        <v>0</v>
      </c>
      <c r="S208" s="61"/>
      <c r="T208" s="61"/>
      <c r="U208" s="61"/>
      <c r="V208" s="61"/>
      <c r="AF208" s="62"/>
      <c r="AG208" s="476"/>
    </row>
    <row r="209" spans="1:33" ht="3" customHeight="1" x14ac:dyDescent="0.25">
      <c r="A209">
        <v>9208</v>
      </c>
      <c r="B209">
        <v>9102</v>
      </c>
      <c r="C209" s="3" t="s">
        <v>412</v>
      </c>
      <c r="D209" s="137">
        <v>3499176.9939999999</v>
      </c>
      <c r="E209" s="138">
        <f t="shared" si="7"/>
        <v>291598.08283333335</v>
      </c>
      <c r="F209" s="138">
        <f>ROUND(E209*PARAMETROS!$L$10,0)</f>
        <v>230362</v>
      </c>
      <c r="G209" s="481">
        <v>0</v>
      </c>
      <c r="H209" s="481">
        <v>121540.38099999999</v>
      </c>
      <c r="I209" s="481">
        <v>1126740.267</v>
      </c>
      <c r="J209" s="481">
        <f t="shared" si="8"/>
        <v>4747457.642</v>
      </c>
      <c r="K209" s="502">
        <f>+J209-_CIERRE!U204-_CIERRE!V204</f>
        <v>0</v>
      </c>
      <c r="M209" s="32">
        <v>9208</v>
      </c>
      <c r="N209" s="33">
        <v>9102</v>
      </c>
      <c r="O209" s="4" t="s">
        <v>412</v>
      </c>
      <c r="P209" s="61">
        <f>+_CIERRE!S204</f>
        <v>0</v>
      </c>
      <c r="Q209" s="61">
        <f>+_CIERRE!T204</f>
        <v>4360310.5489999996</v>
      </c>
      <c r="R209" s="502">
        <f>+Q209+P209-_CIERRE!T204</f>
        <v>0</v>
      </c>
      <c r="S209" s="61"/>
      <c r="T209" s="61"/>
      <c r="U209" s="61"/>
      <c r="V209" s="61"/>
      <c r="AF209" s="62"/>
      <c r="AG209" s="476"/>
    </row>
    <row r="210" spans="1:33" ht="3" customHeight="1" x14ac:dyDescent="0.25">
      <c r="A210">
        <v>9209</v>
      </c>
      <c r="B210">
        <v>9104</v>
      </c>
      <c r="C210" s="3" t="s">
        <v>209</v>
      </c>
      <c r="D210" s="137">
        <v>2530947.2379999999</v>
      </c>
      <c r="E210" s="138">
        <f t="shared" si="7"/>
        <v>210912.26983333332</v>
      </c>
      <c r="F210" s="138">
        <f>ROUND(E210*PARAMETROS!$L$10,0)</f>
        <v>166621</v>
      </c>
      <c r="G210" s="481">
        <v>0</v>
      </c>
      <c r="H210" s="481">
        <v>87942.453999999998</v>
      </c>
      <c r="I210" s="481">
        <v>816208.54399999999</v>
      </c>
      <c r="J210" s="481">
        <f t="shared" si="8"/>
        <v>3435098.2359999996</v>
      </c>
      <c r="K210" s="502">
        <f>+J210-_CIERRE!U205-_CIERRE!V205</f>
        <v>0</v>
      </c>
      <c r="M210" s="32">
        <v>9209</v>
      </c>
      <c r="N210" s="33">
        <v>9104</v>
      </c>
      <c r="O210" s="4" t="s">
        <v>209</v>
      </c>
      <c r="P210" s="61">
        <f>+_CIERRE!S205</f>
        <v>0</v>
      </c>
      <c r="Q210" s="61">
        <f>+_CIERRE!T205</f>
        <v>3241527.2629999998</v>
      </c>
      <c r="R210" s="502">
        <f>+Q210+P210-_CIERRE!T205</f>
        <v>0</v>
      </c>
      <c r="S210" s="61"/>
      <c r="T210" s="61"/>
      <c r="U210" s="61"/>
      <c r="V210" s="61"/>
      <c r="AF210" s="62"/>
      <c r="AG210" s="476"/>
    </row>
    <row r="211" spans="1:33" ht="3" customHeight="1" x14ac:dyDescent="0.25">
      <c r="A211">
        <v>9210</v>
      </c>
      <c r="B211">
        <v>9107</v>
      </c>
      <c r="C211" s="3" t="s">
        <v>413</v>
      </c>
      <c r="D211" s="137">
        <v>4580370.8990000002</v>
      </c>
      <c r="E211" s="138">
        <f t="shared" si="7"/>
        <v>381697.57491666666</v>
      </c>
      <c r="F211" s="138">
        <f>ROUND(E211*PARAMETROS!$L$10,0)</f>
        <v>301541</v>
      </c>
      <c r="G211" s="481">
        <v>0</v>
      </c>
      <c r="H211" s="481">
        <v>159128.283</v>
      </c>
      <c r="I211" s="481">
        <v>1476169.3019999999</v>
      </c>
      <c r="J211" s="481">
        <f t="shared" si="8"/>
        <v>6215668.4840000002</v>
      </c>
      <c r="K211" s="502">
        <f>+J211-_CIERRE!U206-_CIERRE!V206</f>
        <v>0</v>
      </c>
      <c r="M211" s="32">
        <v>9210</v>
      </c>
      <c r="N211" s="33">
        <v>9107</v>
      </c>
      <c r="O211" s="4" t="s">
        <v>413</v>
      </c>
      <c r="P211" s="61">
        <f>+_CIERRE!S206</f>
        <v>0</v>
      </c>
      <c r="Q211" s="61">
        <f>+_CIERRE!T206</f>
        <v>6158062.7800000003</v>
      </c>
      <c r="R211" s="502">
        <f>+Q211+P211-_CIERRE!T206</f>
        <v>0</v>
      </c>
      <c r="S211" s="61"/>
      <c r="T211" s="61"/>
      <c r="U211" s="61"/>
      <c r="V211" s="61"/>
      <c r="AF211" s="62"/>
      <c r="AG211" s="476"/>
    </row>
    <row r="212" spans="1:33" ht="3" customHeight="1" x14ac:dyDescent="0.25">
      <c r="A212">
        <v>9211</v>
      </c>
      <c r="B212">
        <v>9109</v>
      </c>
      <c r="C212" s="3" t="s">
        <v>213</v>
      </c>
      <c r="D212" s="137">
        <v>6330582.1969999997</v>
      </c>
      <c r="E212" s="138">
        <f t="shared" si="7"/>
        <v>527548.51641666668</v>
      </c>
      <c r="F212" s="138">
        <f>ROUND(E212*PARAMETROS!$L$10,0)</f>
        <v>416763</v>
      </c>
      <c r="G212" s="481">
        <v>0</v>
      </c>
      <c r="H212" s="481">
        <v>220063.07199999999</v>
      </c>
      <c r="I212" s="481">
        <v>2045180.35</v>
      </c>
      <c r="J212" s="481">
        <f t="shared" si="8"/>
        <v>8595825.618999999</v>
      </c>
      <c r="K212" s="502">
        <f>+J212-_CIERRE!U207-_CIERRE!V207</f>
        <v>0</v>
      </c>
      <c r="M212" s="32">
        <v>9211</v>
      </c>
      <c r="N212" s="33">
        <v>9109</v>
      </c>
      <c r="O212" s="4" t="s">
        <v>213</v>
      </c>
      <c r="P212" s="61">
        <f>+_CIERRE!S207</f>
        <v>0</v>
      </c>
      <c r="Q212" s="61">
        <f>+_CIERRE!T207</f>
        <v>7927288.7719999999</v>
      </c>
      <c r="R212" s="502">
        <f>+Q212+P212-_CIERRE!T207</f>
        <v>0</v>
      </c>
      <c r="S212" s="61"/>
      <c r="T212" s="61"/>
      <c r="U212" s="61"/>
      <c r="V212" s="61"/>
      <c r="AF212" s="62"/>
      <c r="AG212" s="476"/>
    </row>
    <row r="213" spans="1:33" ht="3" customHeight="1" x14ac:dyDescent="0.25">
      <c r="A213">
        <v>10101</v>
      </c>
      <c r="B213">
        <v>10301</v>
      </c>
      <c r="C213" s="3" t="s">
        <v>246</v>
      </c>
      <c r="D213" s="137">
        <v>19457428.452</v>
      </c>
      <c r="E213" s="138">
        <f t="shared" si="7"/>
        <v>1621452.371</v>
      </c>
      <c r="F213" s="138">
        <f>ROUND(E213*PARAMETROS!$L$10,0)</f>
        <v>1280947</v>
      </c>
      <c r="G213" s="481">
        <v>0</v>
      </c>
      <c r="H213" s="481">
        <v>675977.39800000004</v>
      </c>
      <c r="I213" s="481">
        <v>6270771.3490000004</v>
      </c>
      <c r="J213" s="481">
        <f t="shared" si="8"/>
        <v>26404177.199000001</v>
      </c>
      <c r="K213" s="502">
        <f>+J213-_CIERRE!U208-_CIERRE!V208</f>
        <v>0</v>
      </c>
      <c r="M213" s="32">
        <v>10101</v>
      </c>
      <c r="N213" s="33">
        <v>10301</v>
      </c>
      <c r="O213" s="4" t="s">
        <v>246</v>
      </c>
      <c r="P213" s="61">
        <f>+_CIERRE!S208</f>
        <v>0</v>
      </c>
      <c r="Q213" s="61">
        <f>+_CIERRE!T208</f>
        <v>26159468.263999999</v>
      </c>
      <c r="R213" s="502">
        <f>+Q213+P213-_CIERRE!T208</f>
        <v>0</v>
      </c>
      <c r="S213" s="61"/>
      <c r="T213" s="61"/>
      <c r="U213" s="61"/>
      <c r="V213" s="61"/>
      <c r="AF213" s="62"/>
      <c r="AG213" s="476"/>
    </row>
    <row r="214" spans="1:33" ht="3" customHeight="1" x14ac:dyDescent="0.25">
      <c r="A214">
        <v>10102</v>
      </c>
      <c r="B214">
        <v>10309</v>
      </c>
      <c r="C214" s="3" t="s">
        <v>252</v>
      </c>
      <c r="D214" s="137">
        <v>4968660.3559999997</v>
      </c>
      <c r="E214" s="138">
        <f t="shared" si="7"/>
        <v>414055.02966666664</v>
      </c>
      <c r="F214" s="138">
        <f>ROUND(E214*PARAMETROS!$L$10,0)</f>
        <v>327103</v>
      </c>
      <c r="G214" s="481">
        <v>0</v>
      </c>
      <c r="H214" s="481">
        <v>172687.94399999999</v>
      </c>
      <c r="I214" s="481">
        <v>1603971.2169999999</v>
      </c>
      <c r="J214" s="481">
        <f t="shared" si="8"/>
        <v>6745319.517</v>
      </c>
      <c r="K214" s="502">
        <f>+J214-_CIERRE!U209-_CIERRE!V209</f>
        <v>0</v>
      </c>
      <c r="M214" s="32">
        <v>10102</v>
      </c>
      <c r="N214" s="33">
        <v>10309</v>
      </c>
      <c r="O214" s="4" t="s">
        <v>252</v>
      </c>
      <c r="P214" s="61">
        <f>+_CIERRE!S209</f>
        <v>0</v>
      </c>
      <c r="Q214" s="61">
        <f>+_CIERRE!T209</f>
        <v>6453590.0300000003</v>
      </c>
      <c r="R214" s="502">
        <f>+Q214+P214-_CIERRE!T209</f>
        <v>0</v>
      </c>
      <c r="S214" s="61"/>
      <c r="T214" s="61"/>
      <c r="U214" s="61"/>
      <c r="V214" s="61"/>
      <c r="AF214" s="62"/>
      <c r="AG214" s="476"/>
    </row>
    <row r="215" spans="1:33" ht="3" customHeight="1" x14ac:dyDescent="0.25">
      <c r="A215">
        <v>10103</v>
      </c>
      <c r="B215">
        <v>10302</v>
      </c>
      <c r="C215" s="3" t="s">
        <v>414</v>
      </c>
      <c r="D215" s="137">
        <v>1617705.503</v>
      </c>
      <c r="E215" s="138">
        <f t="shared" si="7"/>
        <v>134808.79191666667</v>
      </c>
      <c r="F215" s="138">
        <f>ROUND(E215*PARAMETROS!$L$10,0)</f>
        <v>106499</v>
      </c>
      <c r="G215" s="481">
        <v>0</v>
      </c>
      <c r="H215" s="481">
        <v>56200.042999999998</v>
      </c>
      <c r="I215" s="481">
        <v>521310.21799999999</v>
      </c>
      <c r="J215" s="481">
        <f t="shared" si="8"/>
        <v>2195215.764</v>
      </c>
      <c r="K215" s="502">
        <f>+J215-_CIERRE!U210-_CIERRE!V210</f>
        <v>0</v>
      </c>
      <c r="M215" s="32">
        <v>10103</v>
      </c>
      <c r="N215" s="33">
        <v>10302</v>
      </c>
      <c r="O215" s="4" t="s">
        <v>414</v>
      </c>
      <c r="P215" s="61">
        <f>+_CIERRE!S210</f>
        <v>0</v>
      </c>
      <c r="Q215" s="61">
        <f>+_CIERRE!T210</f>
        <v>2119212.1460000002</v>
      </c>
      <c r="R215" s="502">
        <f>+Q215+P215-_CIERRE!T210</f>
        <v>0</v>
      </c>
      <c r="S215" s="61"/>
      <c r="T215" s="61"/>
      <c r="U215" s="61"/>
      <c r="V215" s="61"/>
      <c r="AF215" s="62"/>
      <c r="AG215" s="476"/>
    </row>
    <row r="216" spans="1:33" ht="3" customHeight="1" x14ac:dyDescent="0.25">
      <c r="A216">
        <v>10104</v>
      </c>
      <c r="B216">
        <v>10304</v>
      </c>
      <c r="C216" s="3" t="s">
        <v>248</v>
      </c>
      <c r="D216" s="137">
        <v>2415341.7480000001</v>
      </c>
      <c r="E216" s="138">
        <f t="shared" si="7"/>
        <v>201278.47900000002</v>
      </c>
      <c r="F216" s="138">
        <f>ROUND(E216*PARAMETROS!$L$10,0)</f>
        <v>159010</v>
      </c>
      <c r="G216" s="481">
        <v>0</v>
      </c>
      <c r="H216" s="481">
        <v>83912.244999999995</v>
      </c>
      <c r="I216" s="481">
        <v>778420.22600000002</v>
      </c>
      <c r="J216" s="481">
        <f t="shared" si="8"/>
        <v>3277674.2190000005</v>
      </c>
      <c r="K216" s="502">
        <f>+J216-_CIERRE!U211-_CIERRE!V211</f>
        <v>0</v>
      </c>
      <c r="M216" s="32">
        <v>10104</v>
      </c>
      <c r="N216" s="33">
        <v>10304</v>
      </c>
      <c r="O216" s="4" t="s">
        <v>248</v>
      </c>
      <c r="P216" s="61">
        <f>+_CIERRE!S211</f>
        <v>0</v>
      </c>
      <c r="Q216" s="61">
        <f>+_CIERRE!T211</f>
        <v>3247297.2059999998</v>
      </c>
      <c r="R216" s="502">
        <f>+Q216+P216-_CIERRE!T211</f>
        <v>0</v>
      </c>
      <c r="S216" s="61"/>
      <c r="T216" s="61"/>
      <c r="U216" s="61"/>
      <c r="V216" s="61"/>
      <c r="AF216" s="62"/>
      <c r="AG216" s="476"/>
    </row>
    <row r="217" spans="1:33" ht="3" customHeight="1" x14ac:dyDescent="0.25">
      <c r="A217">
        <v>10105</v>
      </c>
      <c r="B217">
        <v>10305</v>
      </c>
      <c r="C217" s="3" t="s">
        <v>249</v>
      </c>
      <c r="D217" s="137">
        <v>2053830.5179999999</v>
      </c>
      <c r="E217" s="138">
        <f t="shared" si="7"/>
        <v>171152.54316666667</v>
      </c>
      <c r="F217" s="138">
        <f>ROUND(E217*PARAMETROS!$L$10,0)</f>
        <v>135211</v>
      </c>
      <c r="G217" s="481">
        <v>0</v>
      </c>
      <c r="H217" s="481">
        <v>71308.381999999998</v>
      </c>
      <c r="I217" s="481">
        <v>660219.88800000004</v>
      </c>
      <c r="J217" s="481">
        <f t="shared" si="8"/>
        <v>2785358.7879999997</v>
      </c>
      <c r="K217" s="502">
        <f>+J217-_CIERRE!U212-_CIERRE!V212</f>
        <v>0</v>
      </c>
      <c r="M217" s="32">
        <v>10105</v>
      </c>
      <c r="N217" s="33">
        <v>10305</v>
      </c>
      <c r="O217" s="4" t="s">
        <v>249</v>
      </c>
      <c r="P217" s="61">
        <f>+_CIERRE!S212</f>
        <v>0</v>
      </c>
      <c r="Q217" s="61">
        <f>+_CIERRE!T212</f>
        <v>2718470.5019999999</v>
      </c>
      <c r="R217" s="502">
        <f>+Q217+P217-_CIERRE!T212</f>
        <v>0</v>
      </c>
      <c r="S217" s="61"/>
      <c r="T217" s="61"/>
      <c r="U217" s="61"/>
      <c r="V217" s="61"/>
      <c r="AF217" s="62"/>
      <c r="AG217" s="476"/>
    </row>
    <row r="218" spans="1:33" ht="3" customHeight="1" x14ac:dyDescent="0.25">
      <c r="A218">
        <v>10106</v>
      </c>
      <c r="B218">
        <v>10308</v>
      </c>
      <c r="C218" s="3" t="s">
        <v>251</v>
      </c>
      <c r="D218" s="137">
        <v>2888230.5619999999</v>
      </c>
      <c r="E218" s="138">
        <f t="shared" si="7"/>
        <v>240685.88016666667</v>
      </c>
      <c r="F218" s="138">
        <f>ROUND(E218*PARAMETROS!$L$10,0)</f>
        <v>190142</v>
      </c>
      <c r="G218" s="481">
        <v>0</v>
      </c>
      <c r="H218" s="481">
        <v>100341.04</v>
      </c>
      <c r="I218" s="481">
        <v>930823.59600000002</v>
      </c>
      <c r="J218" s="481">
        <f t="shared" si="8"/>
        <v>3919395.1979999999</v>
      </c>
      <c r="K218" s="502">
        <f>+J218-_CIERRE!U213-_CIERRE!V213</f>
        <v>0</v>
      </c>
      <c r="M218" s="32">
        <v>10106</v>
      </c>
      <c r="N218" s="33">
        <v>10308</v>
      </c>
      <c r="O218" s="4" t="s">
        <v>251</v>
      </c>
      <c r="P218" s="61">
        <f>+_CIERRE!S213</f>
        <v>0</v>
      </c>
      <c r="Q218" s="61">
        <f>+_CIERRE!T213</f>
        <v>3883070.5159999998</v>
      </c>
      <c r="R218" s="502">
        <f>+Q218+P218-_CIERRE!T213</f>
        <v>0</v>
      </c>
      <c r="S218" s="61"/>
      <c r="T218" s="61"/>
      <c r="U218" s="61"/>
      <c r="V218" s="61"/>
      <c r="AF218" s="62"/>
      <c r="AG218" s="476"/>
    </row>
    <row r="219" spans="1:33" ht="3" customHeight="1" x14ac:dyDescent="0.25">
      <c r="A219">
        <v>10107</v>
      </c>
      <c r="B219">
        <v>10306</v>
      </c>
      <c r="C219" s="3" t="s">
        <v>250</v>
      </c>
      <c r="D219" s="137">
        <v>2123576.1090000002</v>
      </c>
      <c r="E219" s="138">
        <f t="shared" si="7"/>
        <v>176964.67575000002</v>
      </c>
      <c r="F219" s="138">
        <f>ROUND(E219*PARAMETROS!$L$10,0)</f>
        <v>139802</v>
      </c>
      <c r="G219" s="481">
        <v>0</v>
      </c>
      <c r="H219" s="481">
        <v>73775.907999999996</v>
      </c>
      <c r="I219" s="481">
        <v>684389.52300000004</v>
      </c>
      <c r="J219" s="481">
        <f t="shared" si="8"/>
        <v>2881741.54</v>
      </c>
      <c r="K219" s="502">
        <f>+J219-_CIERRE!U214-_CIERRE!V214</f>
        <v>0</v>
      </c>
      <c r="M219" s="32">
        <v>10107</v>
      </c>
      <c r="N219" s="33">
        <v>10306</v>
      </c>
      <c r="O219" s="4" t="s">
        <v>250</v>
      </c>
      <c r="P219" s="61">
        <f>+_CIERRE!S214</f>
        <v>0</v>
      </c>
      <c r="Q219" s="61">
        <f>+_CIERRE!T214</f>
        <v>2855034.4410000001</v>
      </c>
      <c r="R219" s="502">
        <f>+Q219+P219-_CIERRE!T214</f>
        <v>0</v>
      </c>
      <c r="S219" s="61"/>
      <c r="T219" s="61"/>
      <c r="U219" s="61"/>
      <c r="V219" s="61"/>
      <c r="AF219" s="62"/>
      <c r="AG219" s="476"/>
    </row>
    <row r="220" spans="1:33" ht="3" customHeight="1" x14ac:dyDescent="0.25">
      <c r="A220">
        <v>10108</v>
      </c>
      <c r="B220">
        <v>10307</v>
      </c>
      <c r="C220" s="3" t="s">
        <v>415</v>
      </c>
      <c r="D220" s="137">
        <v>3307567.3149999999</v>
      </c>
      <c r="E220" s="138">
        <f t="shared" si="7"/>
        <v>275630.60958333331</v>
      </c>
      <c r="F220" s="138">
        <f>ROUND(E220*PARAMETROS!$L$10,0)</f>
        <v>217748</v>
      </c>
      <c r="G220" s="481">
        <v>0</v>
      </c>
      <c r="H220" s="481">
        <v>114973.02</v>
      </c>
      <c r="I220" s="481">
        <v>1068391.219</v>
      </c>
      <c r="J220" s="481">
        <f t="shared" si="8"/>
        <v>4490931.5539999995</v>
      </c>
      <c r="K220" s="502">
        <f>+J220-_CIERRE!U215-_CIERRE!V215</f>
        <v>0</v>
      </c>
      <c r="M220" s="32">
        <v>10108</v>
      </c>
      <c r="N220" s="33">
        <v>10307</v>
      </c>
      <c r="O220" s="4" t="s">
        <v>415</v>
      </c>
      <c r="P220" s="61">
        <f>+_CIERRE!S215</f>
        <v>0</v>
      </c>
      <c r="Q220" s="61">
        <f>+_CIERRE!T215</f>
        <v>3998926.59</v>
      </c>
      <c r="R220" s="502">
        <f>+Q220+P220-_CIERRE!T215</f>
        <v>0</v>
      </c>
      <c r="S220" s="61"/>
      <c r="T220" s="61"/>
      <c r="U220" s="61"/>
      <c r="V220" s="61"/>
      <c r="AF220" s="62"/>
      <c r="AG220" s="476"/>
    </row>
    <row r="221" spans="1:33" ht="3" customHeight="1" x14ac:dyDescent="0.25">
      <c r="A221">
        <v>10109</v>
      </c>
      <c r="B221">
        <v>10303</v>
      </c>
      <c r="C221" s="3" t="s">
        <v>247</v>
      </c>
      <c r="D221" s="137">
        <v>2148486.4720000001</v>
      </c>
      <c r="E221" s="138">
        <f t="shared" si="7"/>
        <v>179040.53933333335</v>
      </c>
      <c r="F221" s="138">
        <f>ROUND(E221*PARAMETROS!$L$10,0)</f>
        <v>141442</v>
      </c>
      <c r="G221" s="481">
        <v>0</v>
      </c>
      <c r="H221" s="481">
        <v>74506.615000000005</v>
      </c>
      <c r="I221" s="481">
        <v>687290.38199999998</v>
      </c>
      <c r="J221" s="481">
        <f t="shared" si="8"/>
        <v>2910283.4690000005</v>
      </c>
      <c r="K221" s="502">
        <f>+J221-_CIERRE!U216-_CIERRE!V216</f>
        <v>0</v>
      </c>
      <c r="M221" s="32">
        <v>10109</v>
      </c>
      <c r="N221" s="33">
        <v>10303</v>
      </c>
      <c r="O221" s="4" t="s">
        <v>247</v>
      </c>
      <c r="P221" s="61">
        <f>+_CIERRE!S216</f>
        <v>0</v>
      </c>
      <c r="Q221" s="61">
        <f>+_CIERRE!T216</f>
        <v>2883311.0129999998</v>
      </c>
      <c r="R221" s="502">
        <f>+Q221+P221-_CIERRE!T216</f>
        <v>0</v>
      </c>
      <c r="S221" s="61"/>
      <c r="T221" s="61"/>
      <c r="U221" s="61"/>
      <c r="V221" s="61"/>
      <c r="AF221" s="62"/>
      <c r="AG221" s="476"/>
    </row>
    <row r="222" spans="1:33" ht="3" customHeight="1" x14ac:dyDescent="0.25">
      <c r="A222">
        <v>10201</v>
      </c>
      <c r="B222">
        <v>10401</v>
      </c>
      <c r="C222" s="3" t="s">
        <v>253</v>
      </c>
      <c r="D222" s="137">
        <v>11394863.403999999</v>
      </c>
      <c r="E222" s="138">
        <f t="shared" si="7"/>
        <v>949571.95033333322</v>
      </c>
      <c r="F222" s="138">
        <f>ROUND(E222*PARAMETROS!$L$10,0)</f>
        <v>750162</v>
      </c>
      <c r="G222" s="481">
        <v>0</v>
      </c>
      <c r="H222" s="481">
        <v>395872.978</v>
      </c>
      <c r="I222" s="481">
        <v>3672354.9139999999</v>
      </c>
      <c r="J222" s="481">
        <f t="shared" si="8"/>
        <v>15463091.296</v>
      </c>
      <c r="K222" s="502">
        <f>+J222-_CIERRE!U217-_CIERRE!V217</f>
        <v>0</v>
      </c>
      <c r="M222" s="32">
        <v>10201</v>
      </c>
      <c r="N222" s="33">
        <v>10401</v>
      </c>
      <c r="O222" s="4" t="s">
        <v>253</v>
      </c>
      <c r="P222" s="61">
        <f>+_CIERRE!S217</f>
        <v>0</v>
      </c>
      <c r="Q222" s="61">
        <f>+_CIERRE!T217</f>
        <v>15319781.793</v>
      </c>
      <c r="R222" s="502">
        <f>+Q222+P222-_CIERRE!T217</f>
        <v>0</v>
      </c>
      <c r="S222" s="61"/>
      <c r="T222" s="61"/>
      <c r="U222" s="61"/>
      <c r="V222" s="61"/>
      <c r="AF222" s="62"/>
      <c r="AG222" s="476"/>
    </row>
    <row r="223" spans="1:33" ht="3" customHeight="1" x14ac:dyDescent="0.25">
      <c r="A223">
        <v>10202</v>
      </c>
      <c r="B223">
        <v>10406</v>
      </c>
      <c r="C223" s="3" t="s">
        <v>255</v>
      </c>
      <c r="D223" s="137">
        <v>7329657.5820000004</v>
      </c>
      <c r="E223" s="138">
        <f t="shared" si="7"/>
        <v>610804.79850000003</v>
      </c>
      <c r="F223" s="138">
        <f>ROUND(E223*PARAMETROS!$L$10,0)</f>
        <v>482536</v>
      </c>
      <c r="G223" s="481">
        <v>0</v>
      </c>
      <c r="H223" s="481">
        <v>254491.87599999999</v>
      </c>
      <c r="I223" s="481">
        <v>2356491.4720000001</v>
      </c>
      <c r="J223" s="481">
        <f t="shared" si="8"/>
        <v>9940640.9299999997</v>
      </c>
      <c r="K223" s="502">
        <f>+J223-_CIERRE!U218-_CIERRE!V218</f>
        <v>0</v>
      </c>
      <c r="M223" s="32">
        <v>10202</v>
      </c>
      <c r="N223" s="33">
        <v>10406</v>
      </c>
      <c r="O223" s="4" t="s">
        <v>255</v>
      </c>
      <c r="P223" s="61">
        <f>+_CIERRE!S218</f>
        <v>0</v>
      </c>
      <c r="Q223" s="61">
        <f>+_CIERRE!T218</f>
        <v>9161424.1620000005</v>
      </c>
      <c r="R223" s="502">
        <f>+Q223+P223-_CIERRE!T218</f>
        <v>0</v>
      </c>
      <c r="S223" s="61"/>
      <c r="T223" s="61"/>
      <c r="U223" s="61"/>
      <c r="V223" s="61"/>
      <c r="AF223" s="62"/>
      <c r="AG223" s="476"/>
    </row>
    <row r="224" spans="1:33" ht="3" customHeight="1" x14ac:dyDescent="0.25">
      <c r="A224">
        <v>10203</v>
      </c>
      <c r="B224">
        <v>10402</v>
      </c>
      <c r="C224" s="3" t="s">
        <v>254</v>
      </c>
      <c r="D224" s="137">
        <v>3081467.3470000001</v>
      </c>
      <c r="E224" s="138">
        <f t="shared" si="7"/>
        <v>256788.94558333335</v>
      </c>
      <c r="F224" s="138">
        <f>ROUND(E224*PARAMETROS!$L$10,0)</f>
        <v>202863</v>
      </c>
      <c r="G224" s="481">
        <v>0</v>
      </c>
      <c r="H224" s="481">
        <v>107046.43399999999</v>
      </c>
      <c r="I224" s="481">
        <v>992797.80500000005</v>
      </c>
      <c r="J224" s="481">
        <f t="shared" si="8"/>
        <v>4181311.5860000001</v>
      </c>
      <c r="K224" s="502">
        <f>+J224-_CIERRE!U219-_CIERRE!V219</f>
        <v>0</v>
      </c>
      <c r="M224" s="32">
        <v>10203</v>
      </c>
      <c r="N224" s="33">
        <v>10402</v>
      </c>
      <c r="O224" s="4" t="s">
        <v>254</v>
      </c>
      <c r="P224" s="61">
        <f>+_CIERRE!S219</f>
        <v>0</v>
      </c>
      <c r="Q224" s="61">
        <f>+_CIERRE!T219</f>
        <v>3630038.92</v>
      </c>
      <c r="R224" s="502">
        <f>+Q224+P224-_CIERRE!T219</f>
        <v>0</v>
      </c>
      <c r="S224" s="61"/>
      <c r="T224" s="61"/>
      <c r="U224" s="61"/>
      <c r="V224" s="61"/>
      <c r="AF224" s="62"/>
      <c r="AG224" s="476"/>
    </row>
    <row r="225" spans="1:33" ht="3" customHeight="1" x14ac:dyDescent="0.25">
      <c r="A225">
        <v>10204</v>
      </c>
      <c r="B225">
        <v>10410</v>
      </c>
      <c r="C225" s="3" t="s">
        <v>416</v>
      </c>
      <c r="D225" s="137">
        <v>2108248.7940000002</v>
      </c>
      <c r="E225" s="138">
        <f t="shared" si="7"/>
        <v>175687.39950000003</v>
      </c>
      <c r="F225" s="138">
        <f>ROUND(E225*PARAMETROS!$L$10,0)</f>
        <v>138793</v>
      </c>
      <c r="G225" s="481">
        <v>0</v>
      </c>
      <c r="H225" s="481">
        <v>73236.361000000004</v>
      </c>
      <c r="I225" s="481">
        <v>679182</v>
      </c>
      <c r="J225" s="481">
        <f t="shared" si="8"/>
        <v>2860667.1550000003</v>
      </c>
      <c r="K225" s="502">
        <f>+J225-_CIERRE!U220-_CIERRE!V220</f>
        <v>0</v>
      </c>
      <c r="M225" s="32">
        <v>10204</v>
      </c>
      <c r="N225" s="33">
        <v>10410</v>
      </c>
      <c r="O225" s="4" t="s">
        <v>416</v>
      </c>
      <c r="P225" s="61">
        <f>+_CIERRE!S220</f>
        <v>0</v>
      </c>
      <c r="Q225" s="61">
        <f>+_CIERRE!T220</f>
        <v>2685551.9019999998</v>
      </c>
      <c r="R225" s="502">
        <f>+Q225+P225-_CIERRE!T220</f>
        <v>0</v>
      </c>
      <c r="S225" s="61"/>
      <c r="T225" s="61"/>
      <c r="U225" s="61"/>
      <c r="V225" s="61"/>
      <c r="AF225" s="62"/>
      <c r="AG225" s="476"/>
    </row>
    <row r="226" spans="1:33" ht="3" customHeight="1" x14ac:dyDescent="0.25">
      <c r="A226">
        <v>10205</v>
      </c>
      <c r="B226">
        <v>10408</v>
      </c>
      <c r="C226" s="3" t="s">
        <v>257</v>
      </c>
      <c r="D226" s="137">
        <v>3391783.264</v>
      </c>
      <c r="E226" s="138">
        <f t="shared" si="7"/>
        <v>282648.60533333331</v>
      </c>
      <c r="F226" s="138">
        <f>ROUND(E226*PARAMETROS!$L$10,0)</f>
        <v>223292</v>
      </c>
      <c r="G226" s="481">
        <v>0</v>
      </c>
      <c r="H226" s="481">
        <v>117856.564</v>
      </c>
      <c r="I226" s="481">
        <v>1093924.8740000001</v>
      </c>
      <c r="J226" s="481">
        <f t="shared" si="8"/>
        <v>4603564.7019999996</v>
      </c>
      <c r="K226" s="502">
        <f>+J226-_CIERRE!U221-_CIERRE!V221</f>
        <v>0</v>
      </c>
      <c r="M226" s="32">
        <v>10205</v>
      </c>
      <c r="N226" s="33">
        <v>10408</v>
      </c>
      <c r="O226" s="4" t="s">
        <v>257</v>
      </c>
      <c r="P226" s="61">
        <f>+_CIERRE!S221</f>
        <v>0</v>
      </c>
      <c r="Q226" s="61">
        <f>+_CIERRE!T221</f>
        <v>4200146.4390000002</v>
      </c>
      <c r="R226" s="502">
        <f>+Q226+P226-_CIERRE!T221</f>
        <v>0</v>
      </c>
      <c r="S226" s="61"/>
      <c r="T226" s="61"/>
      <c r="U226" s="61"/>
      <c r="V226" s="61"/>
      <c r="AF226" s="62"/>
      <c r="AG226" s="476"/>
    </row>
    <row r="227" spans="1:33" ht="3" customHeight="1" x14ac:dyDescent="0.25">
      <c r="A227">
        <v>10206</v>
      </c>
      <c r="B227">
        <v>10405</v>
      </c>
      <c r="C227" s="3" t="s">
        <v>417</v>
      </c>
      <c r="D227" s="137">
        <v>1930830.6040000001</v>
      </c>
      <c r="E227" s="138">
        <f t="shared" si="7"/>
        <v>160902.55033333335</v>
      </c>
      <c r="F227" s="138">
        <f>ROUND(E227*PARAMETROS!$L$10,0)</f>
        <v>127113</v>
      </c>
      <c r="G227" s="481">
        <v>0</v>
      </c>
      <c r="H227" s="481">
        <v>67125.755000000005</v>
      </c>
      <c r="I227" s="481">
        <v>624024.89899999998</v>
      </c>
      <c r="J227" s="481">
        <f t="shared" si="8"/>
        <v>2621981.2580000004</v>
      </c>
      <c r="K227" s="502">
        <f>+J227-_CIERRE!U222-_CIERRE!V222</f>
        <v>0</v>
      </c>
      <c r="M227" s="32">
        <v>10206</v>
      </c>
      <c r="N227" s="33">
        <v>10405</v>
      </c>
      <c r="O227" s="4" t="s">
        <v>417</v>
      </c>
      <c r="P227" s="61">
        <f>+_CIERRE!S222</f>
        <v>0</v>
      </c>
      <c r="Q227" s="61">
        <f>+_CIERRE!T222</f>
        <v>2335043.6370000001</v>
      </c>
      <c r="R227" s="502">
        <f>+Q227+P227-_CIERRE!T222</f>
        <v>0</v>
      </c>
      <c r="S227" s="61"/>
      <c r="T227" s="61"/>
      <c r="U227" s="61"/>
      <c r="V227" s="61"/>
      <c r="AF227" s="62"/>
      <c r="AG227" s="476"/>
    </row>
    <row r="228" spans="1:33" ht="3" customHeight="1" x14ac:dyDescent="0.25">
      <c r="A228">
        <v>10207</v>
      </c>
      <c r="B228">
        <v>10403</v>
      </c>
      <c r="C228" s="3" t="s">
        <v>418</v>
      </c>
      <c r="D228" s="137">
        <v>2227190.7000000002</v>
      </c>
      <c r="E228" s="138">
        <f t="shared" si="7"/>
        <v>185599.22500000001</v>
      </c>
      <c r="F228" s="138">
        <f>ROUND(E228*PARAMETROS!$L$10,0)</f>
        <v>146623</v>
      </c>
      <c r="G228" s="481">
        <v>0</v>
      </c>
      <c r="H228" s="481">
        <v>77382.671000000002</v>
      </c>
      <c r="I228" s="481">
        <v>718051.95299999998</v>
      </c>
      <c r="J228" s="481">
        <f t="shared" si="8"/>
        <v>3022625.324</v>
      </c>
      <c r="K228" s="502">
        <f>+J228-_CIERRE!U223-_CIERRE!V223</f>
        <v>0</v>
      </c>
      <c r="M228" s="32">
        <v>10207</v>
      </c>
      <c r="N228" s="33">
        <v>10403</v>
      </c>
      <c r="O228" s="4" t="s">
        <v>418</v>
      </c>
      <c r="P228" s="61">
        <f>+_CIERRE!S223</f>
        <v>0</v>
      </c>
      <c r="Q228" s="61">
        <f>+_CIERRE!T223</f>
        <v>2698798.7319999998</v>
      </c>
      <c r="R228" s="502">
        <f>+Q228+P228-_CIERRE!T223</f>
        <v>0</v>
      </c>
      <c r="S228" s="61"/>
      <c r="T228" s="61"/>
      <c r="U228" s="61"/>
      <c r="V228" s="61"/>
      <c r="AF228" s="62"/>
      <c r="AG228" s="476"/>
    </row>
    <row r="229" spans="1:33" ht="3" customHeight="1" x14ac:dyDescent="0.25">
      <c r="A229">
        <v>10208</v>
      </c>
      <c r="B229">
        <v>10404</v>
      </c>
      <c r="C229" s="3" t="s">
        <v>419</v>
      </c>
      <c r="D229" s="137">
        <v>4281515.7790000001</v>
      </c>
      <c r="E229" s="138">
        <f t="shared" si="7"/>
        <v>356792.98158333334</v>
      </c>
      <c r="F229" s="138">
        <f>ROUND(E229*PARAMETROS!$L$10,0)</f>
        <v>281866</v>
      </c>
      <c r="G229" s="481">
        <v>0</v>
      </c>
      <c r="H229" s="481">
        <v>148760.54999999999</v>
      </c>
      <c r="I229" s="481">
        <v>1380421.118</v>
      </c>
      <c r="J229" s="481">
        <f t="shared" si="8"/>
        <v>5810697.4469999997</v>
      </c>
      <c r="K229" s="502">
        <f>+J229-_CIERRE!U224-_CIERRE!V224</f>
        <v>0</v>
      </c>
      <c r="M229" s="32">
        <v>10208</v>
      </c>
      <c r="N229" s="33">
        <v>10404</v>
      </c>
      <c r="O229" s="4" t="s">
        <v>419</v>
      </c>
      <c r="P229" s="61">
        <f>+_CIERRE!S224</f>
        <v>0</v>
      </c>
      <c r="Q229" s="61">
        <f>+_CIERRE!T224</f>
        <v>4913489.5199999996</v>
      </c>
      <c r="R229" s="502">
        <f>+Q229+P229-_CIERRE!T224</f>
        <v>0</v>
      </c>
      <c r="S229" s="61"/>
      <c r="T229" s="61"/>
      <c r="U229" s="61"/>
      <c r="V229" s="61"/>
      <c r="AF229" s="62"/>
      <c r="AG229" s="476"/>
    </row>
    <row r="230" spans="1:33" ht="3" customHeight="1" x14ac:dyDescent="0.25">
      <c r="A230">
        <v>10209</v>
      </c>
      <c r="B230">
        <v>10407</v>
      </c>
      <c r="C230" s="3" t="s">
        <v>256</v>
      </c>
      <c r="D230" s="137">
        <v>2722289.986</v>
      </c>
      <c r="E230" s="138">
        <f t="shared" si="7"/>
        <v>226857.49883333335</v>
      </c>
      <c r="F230" s="138">
        <f>ROUND(E230*PARAMETROS!$L$10,0)</f>
        <v>179217</v>
      </c>
      <c r="G230" s="481">
        <v>0</v>
      </c>
      <c r="H230" s="481">
        <v>94629.807000000001</v>
      </c>
      <c r="I230" s="481">
        <v>879390.96</v>
      </c>
      <c r="J230" s="481">
        <f t="shared" si="8"/>
        <v>3696310.753</v>
      </c>
      <c r="K230" s="502">
        <f>+J230-_CIERRE!U225-_CIERRE!V225</f>
        <v>0</v>
      </c>
      <c r="M230" s="32">
        <v>10209</v>
      </c>
      <c r="N230" s="33">
        <v>10407</v>
      </c>
      <c r="O230" s="4" t="s">
        <v>256</v>
      </c>
      <c r="P230" s="61">
        <f>+_CIERRE!S225</f>
        <v>0</v>
      </c>
      <c r="Q230" s="61">
        <f>+_CIERRE!T225</f>
        <v>3356810.9679999999</v>
      </c>
      <c r="R230" s="502">
        <f>+Q230+P230-_CIERRE!T225</f>
        <v>0</v>
      </c>
      <c r="S230" s="61"/>
      <c r="T230" s="61"/>
      <c r="U230" s="61"/>
      <c r="V230" s="61"/>
      <c r="AF230" s="62"/>
      <c r="AG230" s="476"/>
    </row>
    <row r="231" spans="1:33" ht="3" customHeight="1" x14ac:dyDescent="0.25">
      <c r="A231">
        <v>10210</v>
      </c>
      <c r="B231">
        <v>10415</v>
      </c>
      <c r="C231" s="3" t="s">
        <v>258</v>
      </c>
      <c r="D231" s="137">
        <v>2587226.733</v>
      </c>
      <c r="E231" s="138">
        <f t="shared" si="7"/>
        <v>215602.22774999999</v>
      </c>
      <c r="F231" s="138">
        <f>ROUND(E231*PARAMETROS!$L$10,0)</f>
        <v>170326</v>
      </c>
      <c r="G231" s="481">
        <v>0</v>
      </c>
      <c r="H231" s="481">
        <v>89913.054000000004</v>
      </c>
      <c r="I231" s="481">
        <v>834931.40399999998</v>
      </c>
      <c r="J231" s="481">
        <f t="shared" si="8"/>
        <v>3512071.1910000001</v>
      </c>
      <c r="K231" s="502">
        <f>+J231-_CIERRE!U226-_CIERRE!V226</f>
        <v>0</v>
      </c>
      <c r="M231" s="32">
        <v>10210</v>
      </c>
      <c r="N231" s="33">
        <v>10415</v>
      </c>
      <c r="O231" s="4" t="s">
        <v>258</v>
      </c>
      <c r="P231" s="61">
        <f>+_CIERRE!S226</f>
        <v>0</v>
      </c>
      <c r="Q231" s="61">
        <f>+_CIERRE!T226</f>
        <v>3284617.872</v>
      </c>
      <c r="R231" s="502">
        <f>+Q231+P231-_CIERRE!T226</f>
        <v>0</v>
      </c>
      <c r="S231" s="61"/>
      <c r="T231" s="61"/>
      <c r="U231" s="61"/>
      <c r="V231" s="61"/>
      <c r="AF231" s="62"/>
      <c r="AG231" s="476"/>
    </row>
    <row r="232" spans="1:33" ht="3" customHeight="1" x14ac:dyDescent="0.25">
      <c r="A232">
        <v>10301</v>
      </c>
      <c r="B232">
        <v>10201</v>
      </c>
      <c r="C232" s="3" t="s">
        <v>240</v>
      </c>
      <c r="D232" s="137">
        <v>11310399.801000001</v>
      </c>
      <c r="E232" s="138">
        <f t="shared" si="7"/>
        <v>942533.31675000011</v>
      </c>
      <c r="F232" s="138">
        <f>ROUND(E232*PARAMETROS!$L$10,0)</f>
        <v>744601</v>
      </c>
      <c r="G232" s="481">
        <v>0</v>
      </c>
      <c r="H232" s="481">
        <v>392885.64799999999</v>
      </c>
      <c r="I232" s="481">
        <v>3643118.8879999998</v>
      </c>
      <c r="J232" s="481">
        <f t="shared" si="8"/>
        <v>15346404.337000001</v>
      </c>
      <c r="K232" s="502">
        <f>+J232-_CIERRE!U227-_CIERRE!V227</f>
        <v>0</v>
      </c>
      <c r="M232" s="32">
        <v>10301</v>
      </c>
      <c r="N232" s="33">
        <v>10201</v>
      </c>
      <c r="O232" s="4" t="s">
        <v>240</v>
      </c>
      <c r="P232" s="61">
        <f>+_CIERRE!S227</f>
        <v>0</v>
      </c>
      <c r="Q232" s="61">
        <f>+_CIERRE!T227</f>
        <v>15109015.566</v>
      </c>
      <c r="R232" s="502">
        <f>+Q232+P232-_CIERRE!T227</f>
        <v>0</v>
      </c>
      <c r="S232" s="61"/>
      <c r="T232" s="61"/>
      <c r="U232" s="61"/>
      <c r="V232" s="61"/>
      <c r="AF232" s="62"/>
      <c r="AG232" s="476"/>
    </row>
    <row r="233" spans="1:33" ht="3" customHeight="1" x14ac:dyDescent="0.25">
      <c r="A233">
        <v>10302</v>
      </c>
      <c r="B233">
        <v>10203</v>
      </c>
      <c r="C233" s="3" t="s">
        <v>242</v>
      </c>
      <c r="D233" s="137">
        <v>1668396.7220000001</v>
      </c>
      <c r="E233" s="138">
        <f t="shared" si="7"/>
        <v>139033.06016666666</v>
      </c>
      <c r="F233" s="138">
        <f>ROUND(E233*PARAMETROS!$L$10,0)</f>
        <v>109836</v>
      </c>
      <c r="G233" s="481">
        <v>0</v>
      </c>
      <c r="H233" s="481">
        <v>57947.697999999997</v>
      </c>
      <c r="I233" s="481">
        <v>537136.09600000002</v>
      </c>
      <c r="J233" s="481">
        <f t="shared" si="8"/>
        <v>2263480.5160000003</v>
      </c>
      <c r="K233" s="502">
        <f>+J233-_CIERRE!U228-_CIERRE!V228</f>
        <v>0</v>
      </c>
      <c r="M233" s="32">
        <v>10302</v>
      </c>
      <c r="N233" s="33">
        <v>10203</v>
      </c>
      <c r="O233" s="4" t="s">
        <v>242</v>
      </c>
      <c r="P233" s="61">
        <f>+_CIERRE!S228</f>
        <v>0</v>
      </c>
      <c r="Q233" s="61">
        <f>+_CIERRE!T228</f>
        <v>2178283.8739999998</v>
      </c>
      <c r="R233" s="502">
        <f>+Q233+P233-_CIERRE!T228</f>
        <v>0</v>
      </c>
      <c r="S233" s="61"/>
      <c r="T233" s="61"/>
      <c r="U233" s="61"/>
      <c r="V233" s="61"/>
      <c r="AF233" s="62"/>
      <c r="AG233" s="476"/>
    </row>
    <row r="234" spans="1:33" ht="3" customHeight="1" x14ac:dyDescent="0.25">
      <c r="A234">
        <v>10303</v>
      </c>
      <c r="B234">
        <v>10206</v>
      </c>
      <c r="C234" s="3" t="s">
        <v>244</v>
      </c>
      <c r="D234" s="137">
        <v>2941156.5809999998</v>
      </c>
      <c r="E234" s="138">
        <f t="shared" si="7"/>
        <v>245096.38174999997</v>
      </c>
      <c r="F234" s="138">
        <f>ROUND(E234*PARAMETROS!$L$10,0)</f>
        <v>193626</v>
      </c>
      <c r="G234" s="481">
        <v>0</v>
      </c>
      <c r="H234" s="481">
        <v>102209.93399999999</v>
      </c>
      <c r="I234" s="481">
        <v>949028.32700000005</v>
      </c>
      <c r="J234" s="481">
        <f t="shared" si="8"/>
        <v>3992394.8419999997</v>
      </c>
      <c r="K234" s="502">
        <f>+J234-_CIERRE!U229-_CIERRE!V229</f>
        <v>0</v>
      </c>
      <c r="M234" s="32">
        <v>10303</v>
      </c>
      <c r="N234" s="33">
        <v>10206</v>
      </c>
      <c r="O234" s="4" t="s">
        <v>244</v>
      </c>
      <c r="P234" s="61">
        <f>+_CIERRE!S229</f>
        <v>0</v>
      </c>
      <c r="Q234" s="61">
        <f>+_CIERRE!T229</f>
        <v>3737107.45</v>
      </c>
      <c r="R234" s="502">
        <f>+Q234+P234-_CIERRE!T229</f>
        <v>0</v>
      </c>
      <c r="S234" s="61"/>
      <c r="T234" s="61"/>
      <c r="U234" s="61"/>
      <c r="V234" s="61"/>
      <c r="AF234" s="62"/>
      <c r="AG234" s="476"/>
    </row>
    <row r="235" spans="1:33" ht="3" customHeight="1" x14ac:dyDescent="0.25">
      <c r="A235">
        <v>10304</v>
      </c>
      <c r="B235">
        <v>10204</v>
      </c>
      <c r="C235" s="3" t="s">
        <v>243</v>
      </c>
      <c r="D235" s="137">
        <v>1864817.4550000001</v>
      </c>
      <c r="E235" s="138">
        <f t="shared" si="7"/>
        <v>155401.45458333334</v>
      </c>
      <c r="F235" s="138">
        <f>ROUND(E235*PARAMETROS!$L$10,0)</f>
        <v>122767</v>
      </c>
      <c r="G235" s="481">
        <v>0</v>
      </c>
      <c r="H235" s="481">
        <v>64790.874000000003</v>
      </c>
      <c r="I235" s="481">
        <v>601170.73</v>
      </c>
      <c r="J235" s="481">
        <f t="shared" si="8"/>
        <v>2530779.0590000004</v>
      </c>
      <c r="K235" s="502">
        <f>+J235-_CIERRE!U230-_CIERRE!V230</f>
        <v>0</v>
      </c>
      <c r="M235" s="32">
        <v>10304</v>
      </c>
      <c r="N235" s="33">
        <v>10204</v>
      </c>
      <c r="O235" s="4" t="s">
        <v>243</v>
      </c>
      <c r="P235" s="61">
        <f>+_CIERRE!S230</f>
        <v>0</v>
      </c>
      <c r="Q235" s="61">
        <f>+_CIERRE!T230</f>
        <v>2410976.3859999999</v>
      </c>
      <c r="R235" s="502">
        <f>+Q235+P235-_CIERRE!T230</f>
        <v>0</v>
      </c>
      <c r="S235" s="61"/>
      <c r="T235" s="61"/>
      <c r="U235" s="61"/>
      <c r="V235" s="61"/>
      <c r="AF235" s="62"/>
      <c r="AG235" s="476"/>
    </row>
    <row r="236" spans="1:33" ht="3" customHeight="1" x14ac:dyDescent="0.25">
      <c r="A236">
        <v>10305</v>
      </c>
      <c r="B236">
        <v>10205</v>
      </c>
      <c r="C236" s="3" t="s">
        <v>420</v>
      </c>
      <c r="D236" s="137">
        <v>2346891.36</v>
      </c>
      <c r="E236" s="138">
        <f t="shared" si="7"/>
        <v>195574.28</v>
      </c>
      <c r="F236" s="138">
        <f>ROUND(E236*PARAMETROS!$L$10,0)</f>
        <v>154504</v>
      </c>
      <c r="G236" s="481">
        <v>0</v>
      </c>
      <c r="H236" s="481">
        <v>81534.183000000005</v>
      </c>
      <c r="I236" s="481">
        <v>756359.92599999998</v>
      </c>
      <c r="J236" s="481">
        <f t="shared" si="8"/>
        <v>3184785.469</v>
      </c>
      <c r="K236" s="502">
        <f>+J236-_CIERRE!U231-_CIERRE!V231</f>
        <v>0</v>
      </c>
      <c r="M236" s="32">
        <v>10305</v>
      </c>
      <c r="N236" s="33">
        <v>10205</v>
      </c>
      <c r="O236" s="4" t="s">
        <v>420</v>
      </c>
      <c r="P236" s="61">
        <f>+_CIERRE!S231</f>
        <v>0</v>
      </c>
      <c r="Q236" s="61">
        <f>+_CIERRE!T231</f>
        <v>3155268.9559999998</v>
      </c>
      <c r="R236" s="502">
        <f>+Q236+P236-_CIERRE!T231</f>
        <v>0</v>
      </c>
      <c r="S236" s="61"/>
      <c r="T236" s="61"/>
      <c r="U236" s="61"/>
      <c r="V236" s="61"/>
      <c r="AF236" s="62"/>
      <c r="AG236" s="476"/>
    </row>
    <row r="237" spans="1:33" ht="3" customHeight="1" x14ac:dyDescent="0.25">
      <c r="A237">
        <v>10306</v>
      </c>
      <c r="B237">
        <v>10207</v>
      </c>
      <c r="C237" s="3" t="s">
        <v>245</v>
      </c>
      <c r="D237" s="137">
        <v>4069194.2820000001</v>
      </c>
      <c r="E237" s="138">
        <f t="shared" si="7"/>
        <v>339099.52350000001</v>
      </c>
      <c r="F237" s="138">
        <f>ROUND(E237*PARAMETROS!$L$10,0)</f>
        <v>267889</v>
      </c>
      <c r="G237" s="481">
        <v>0</v>
      </c>
      <c r="H237" s="481">
        <v>141301.37899999999</v>
      </c>
      <c r="I237" s="481">
        <v>1308840.7520000001</v>
      </c>
      <c r="J237" s="481">
        <f t="shared" si="8"/>
        <v>5519336.4130000006</v>
      </c>
      <c r="K237" s="502">
        <f>+J237-_CIERRE!U232-_CIERRE!V232</f>
        <v>0</v>
      </c>
      <c r="M237" s="32">
        <v>10306</v>
      </c>
      <c r="N237" s="33">
        <v>10207</v>
      </c>
      <c r="O237" s="4" t="s">
        <v>245</v>
      </c>
      <c r="P237" s="61">
        <f>+_CIERRE!S232</f>
        <v>0</v>
      </c>
      <c r="Q237" s="61">
        <f>+_CIERRE!T232</f>
        <v>4595491.26</v>
      </c>
      <c r="R237" s="502">
        <f>+Q237+P237-_CIERRE!T232</f>
        <v>0</v>
      </c>
      <c r="S237" s="61"/>
      <c r="T237" s="61"/>
      <c r="U237" s="61"/>
      <c r="V237" s="61"/>
      <c r="AF237" s="62"/>
      <c r="AG237" s="476"/>
    </row>
    <row r="238" spans="1:33" ht="3" customHeight="1" x14ac:dyDescent="0.25">
      <c r="A238">
        <v>10307</v>
      </c>
      <c r="B238">
        <v>10202</v>
      </c>
      <c r="C238" s="3" t="s">
        <v>241</v>
      </c>
      <c r="D238" s="137">
        <v>2031945.469</v>
      </c>
      <c r="E238" s="138">
        <f t="shared" si="7"/>
        <v>169328.78908333334</v>
      </c>
      <c r="F238" s="138">
        <f>ROUND(E238*PARAMETROS!$L$10,0)</f>
        <v>133770</v>
      </c>
      <c r="G238" s="481">
        <v>0</v>
      </c>
      <c r="H238" s="481">
        <v>70620.039000000004</v>
      </c>
      <c r="I238" s="481">
        <v>655905.43500000006</v>
      </c>
      <c r="J238" s="481">
        <f t="shared" si="8"/>
        <v>2758470.943</v>
      </c>
      <c r="K238" s="502">
        <f>+J238-_CIERRE!U233-_CIERRE!V233</f>
        <v>0</v>
      </c>
      <c r="M238" s="32">
        <v>10307</v>
      </c>
      <c r="N238" s="33">
        <v>10202</v>
      </c>
      <c r="O238" s="4" t="s">
        <v>241</v>
      </c>
      <c r="P238" s="61">
        <f>+_CIERRE!S233</f>
        <v>0</v>
      </c>
      <c r="Q238" s="61">
        <f>+_CIERRE!T233</f>
        <v>2635668.6439999999</v>
      </c>
      <c r="R238" s="502">
        <f>+Q238+P238-_CIERRE!T233</f>
        <v>0</v>
      </c>
      <c r="S238" s="61"/>
      <c r="T238" s="61"/>
      <c r="U238" s="61"/>
      <c r="V238" s="61"/>
      <c r="AF238" s="62"/>
      <c r="AG238" s="476"/>
    </row>
    <row r="239" spans="1:33" ht="3" customHeight="1" x14ac:dyDescent="0.25">
      <c r="A239">
        <v>10401</v>
      </c>
      <c r="B239">
        <v>10501</v>
      </c>
      <c r="C239" s="3" t="s">
        <v>421</v>
      </c>
      <c r="D239" s="137">
        <v>2219163.5019999999</v>
      </c>
      <c r="E239" s="138">
        <f t="shared" si="7"/>
        <v>184930.29183333332</v>
      </c>
      <c r="F239" s="138">
        <f>ROUND(E239*PARAMETROS!$L$10,0)</f>
        <v>146095</v>
      </c>
      <c r="G239" s="481">
        <v>0</v>
      </c>
      <c r="H239" s="481">
        <v>77100.350999999995</v>
      </c>
      <c r="I239" s="481">
        <v>715332.63100000005</v>
      </c>
      <c r="J239" s="481">
        <f t="shared" si="8"/>
        <v>3011596.4839999997</v>
      </c>
      <c r="K239" s="502">
        <f>+J239-_CIERRE!U234-_CIERRE!V234</f>
        <v>0</v>
      </c>
      <c r="M239" s="32">
        <v>10401</v>
      </c>
      <c r="N239" s="33">
        <v>10501</v>
      </c>
      <c r="O239" s="4" t="s">
        <v>421</v>
      </c>
      <c r="P239" s="61">
        <f>+_CIERRE!S234</f>
        <v>0</v>
      </c>
      <c r="Q239" s="61">
        <f>+_CIERRE!T234</f>
        <v>2770094.97</v>
      </c>
      <c r="R239" s="502">
        <f>+Q239+P239-_CIERRE!T234</f>
        <v>0</v>
      </c>
      <c r="S239" s="61"/>
      <c r="T239" s="61"/>
      <c r="U239" s="61"/>
      <c r="V239" s="61"/>
      <c r="AF239" s="62"/>
      <c r="AG239" s="476"/>
    </row>
    <row r="240" spans="1:33" ht="3" customHeight="1" x14ac:dyDescent="0.25">
      <c r="A240">
        <v>10402</v>
      </c>
      <c r="B240">
        <v>10503</v>
      </c>
      <c r="C240" s="3" t="s">
        <v>422</v>
      </c>
      <c r="D240" s="137">
        <v>2036779.89</v>
      </c>
      <c r="E240" s="138">
        <f t="shared" si="7"/>
        <v>169731.6575</v>
      </c>
      <c r="F240" s="138">
        <f>ROUND(E240*PARAMETROS!$L$10,0)</f>
        <v>134088</v>
      </c>
      <c r="G240" s="481">
        <v>0</v>
      </c>
      <c r="H240" s="481">
        <v>70760.491999999998</v>
      </c>
      <c r="I240" s="481">
        <v>656416.70299999998</v>
      </c>
      <c r="J240" s="481">
        <f t="shared" si="8"/>
        <v>2763957.085</v>
      </c>
      <c r="K240" s="502">
        <f>+J240-_CIERRE!U235-_CIERRE!V235</f>
        <v>0</v>
      </c>
      <c r="M240" s="32">
        <v>10402</v>
      </c>
      <c r="N240" s="33">
        <v>10503</v>
      </c>
      <c r="O240" s="4" t="s">
        <v>422</v>
      </c>
      <c r="P240" s="61">
        <f>+_CIERRE!S235</f>
        <v>0</v>
      </c>
      <c r="Q240" s="61">
        <f>+_CIERRE!T235</f>
        <v>2738341.429</v>
      </c>
      <c r="R240" s="502">
        <f>+Q240+P240-_CIERRE!T235</f>
        <v>0</v>
      </c>
      <c r="S240" s="61"/>
      <c r="T240" s="61"/>
      <c r="U240" s="61"/>
      <c r="V240" s="61"/>
      <c r="AF240" s="62"/>
      <c r="AG240" s="476"/>
    </row>
    <row r="241" spans="1:33" ht="3" customHeight="1" x14ac:dyDescent="0.25">
      <c r="A241">
        <v>10403</v>
      </c>
      <c r="B241">
        <v>10502</v>
      </c>
      <c r="C241" s="3" t="s">
        <v>35</v>
      </c>
      <c r="D241" s="137">
        <v>3029862.4380000001</v>
      </c>
      <c r="E241" s="138">
        <f t="shared" si="7"/>
        <v>252488.53650000002</v>
      </c>
      <c r="F241" s="138">
        <f>ROUND(E241*PARAMETROS!$L$10,0)</f>
        <v>199466</v>
      </c>
      <c r="G241" s="481">
        <v>0</v>
      </c>
      <c r="H241" s="481">
        <v>105250.94100000001</v>
      </c>
      <c r="I241" s="481">
        <v>976066.16500000004</v>
      </c>
      <c r="J241" s="481">
        <f t="shared" si="8"/>
        <v>4111179.5440000002</v>
      </c>
      <c r="K241" s="502">
        <f>+J241-_CIERRE!U236-_CIERRE!V236</f>
        <v>0</v>
      </c>
      <c r="M241" s="32">
        <v>10403</v>
      </c>
      <c r="N241" s="33">
        <v>10502</v>
      </c>
      <c r="O241" s="4" t="s">
        <v>35</v>
      </c>
      <c r="P241" s="61">
        <f>+_CIERRE!S236</f>
        <v>0</v>
      </c>
      <c r="Q241" s="61">
        <f>+_CIERRE!T236</f>
        <v>3445817.4920000001</v>
      </c>
      <c r="R241" s="502">
        <f>+Q241+P241-_CIERRE!T236</f>
        <v>0</v>
      </c>
      <c r="S241" s="61"/>
      <c r="T241" s="61"/>
      <c r="U241" s="61"/>
      <c r="V241" s="61"/>
      <c r="AF241" s="62"/>
      <c r="AG241" s="476"/>
    </row>
    <row r="242" spans="1:33" ht="3" customHeight="1" x14ac:dyDescent="0.25">
      <c r="A242">
        <v>10404</v>
      </c>
      <c r="B242">
        <v>10504</v>
      </c>
      <c r="C242" s="3" t="s">
        <v>259</v>
      </c>
      <c r="D242" s="137">
        <v>1675906.1259999999</v>
      </c>
      <c r="E242" s="138">
        <f t="shared" si="7"/>
        <v>139658.84383333332</v>
      </c>
      <c r="F242" s="138">
        <f>ROUND(E242*PARAMETROS!$L$10,0)</f>
        <v>110330</v>
      </c>
      <c r="G242" s="481">
        <v>0</v>
      </c>
      <c r="H242" s="481">
        <v>58220.12</v>
      </c>
      <c r="I242" s="481">
        <v>539993.91399999999</v>
      </c>
      <c r="J242" s="481">
        <f t="shared" si="8"/>
        <v>2274120.16</v>
      </c>
      <c r="K242" s="502">
        <f>+J242-_CIERRE!U237-_CIERRE!V237</f>
        <v>0</v>
      </c>
      <c r="M242" s="32">
        <v>10404</v>
      </c>
      <c r="N242" s="33">
        <v>10504</v>
      </c>
      <c r="O242" s="4" t="s">
        <v>259</v>
      </c>
      <c r="P242" s="61">
        <f>+_CIERRE!S237</f>
        <v>0</v>
      </c>
      <c r="Q242" s="61">
        <f>+_CIERRE!T237</f>
        <v>2163685.9789999998</v>
      </c>
      <c r="R242" s="502">
        <f>+Q242+P242-_CIERRE!T237</f>
        <v>0</v>
      </c>
      <c r="S242" s="61"/>
      <c r="T242" s="61"/>
      <c r="U242" s="61"/>
      <c r="V242" s="61"/>
      <c r="AF242" s="62"/>
      <c r="AG242" s="476"/>
    </row>
    <row r="243" spans="1:33" ht="3" customHeight="1" x14ac:dyDescent="0.25">
      <c r="A243">
        <v>11101</v>
      </c>
      <c r="B243">
        <v>11401</v>
      </c>
      <c r="C243" s="3" t="s">
        <v>501</v>
      </c>
      <c r="D243" s="137">
        <v>8586305.9110000003</v>
      </c>
      <c r="E243" s="138">
        <f t="shared" si="7"/>
        <v>715525.4925833334</v>
      </c>
      <c r="F243" s="138">
        <f>ROUND(E243*PARAMETROS!$L$10,0)</f>
        <v>565265</v>
      </c>
      <c r="G243" s="481">
        <v>0</v>
      </c>
      <c r="H243" s="481">
        <v>298299.891</v>
      </c>
      <c r="I243" s="481">
        <v>2767208.4879999999</v>
      </c>
      <c r="J243" s="481">
        <f t="shared" si="8"/>
        <v>11651814.290000001</v>
      </c>
      <c r="K243" s="502">
        <f>+J243-_CIERRE!U238-_CIERRE!V238</f>
        <v>0</v>
      </c>
      <c r="M243" s="32">
        <v>11101</v>
      </c>
      <c r="N243" s="33">
        <v>11401</v>
      </c>
      <c r="O243" s="4" t="s">
        <v>501</v>
      </c>
      <c r="P243" s="61">
        <f>+_CIERRE!S238</f>
        <v>0</v>
      </c>
      <c r="Q243" s="61">
        <f>+_CIERRE!T238</f>
        <v>11543826.995999999</v>
      </c>
      <c r="R243" s="502">
        <f>+Q243+P243-_CIERRE!T238</f>
        <v>0</v>
      </c>
      <c r="S243" s="61"/>
      <c r="T243" s="61"/>
      <c r="U243" s="61"/>
      <c r="V243" s="61"/>
      <c r="AF243" s="62"/>
      <c r="AG243" s="476"/>
    </row>
    <row r="244" spans="1:33" ht="3" customHeight="1" x14ac:dyDescent="0.25">
      <c r="A244">
        <v>11102</v>
      </c>
      <c r="B244">
        <v>11402</v>
      </c>
      <c r="C244" s="3" t="s">
        <v>265</v>
      </c>
      <c r="D244" s="137">
        <v>1474381.0109999999</v>
      </c>
      <c r="E244" s="138">
        <f t="shared" si="7"/>
        <v>122865.08425</v>
      </c>
      <c r="F244" s="138">
        <f>ROUND(E244*PARAMETROS!$L$10,0)</f>
        <v>97063</v>
      </c>
      <c r="G244" s="481">
        <v>0</v>
      </c>
      <c r="H244" s="481">
        <v>51214.771000000001</v>
      </c>
      <c r="I244" s="481">
        <v>474890.522</v>
      </c>
      <c r="J244" s="481">
        <f t="shared" si="8"/>
        <v>2000486.304</v>
      </c>
      <c r="K244" s="502">
        <f>+J244-_CIERRE!U239-_CIERRE!V239</f>
        <v>0</v>
      </c>
      <c r="M244" s="32">
        <v>11102</v>
      </c>
      <c r="N244" s="33">
        <v>11402</v>
      </c>
      <c r="O244" s="4" t="s">
        <v>265</v>
      </c>
      <c r="P244" s="61">
        <f>+_CIERRE!S239</f>
        <v>0</v>
      </c>
      <c r="Q244" s="61">
        <f>+_CIERRE!T239</f>
        <v>1929848.3119999999</v>
      </c>
      <c r="R244" s="502">
        <f>+Q244+P244-_CIERRE!T239</f>
        <v>0</v>
      </c>
      <c r="S244" s="61"/>
      <c r="T244" s="61"/>
      <c r="U244" s="61"/>
      <c r="V244" s="61"/>
      <c r="AF244" s="62"/>
      <c r="AG244" s="476"/>
    </row>
    <row r="245" spans="1:33" ht="3" customHeight="1" x14ac:dyDescent="0.25">
      <c r="A245">
        <v>11201</v>
      </c>
      <c r="B245">
        <v>11101</v>
      </c>
      <c r="C245" s="3" t="s">
        <v>502</v>
      </c>
      <c r="D245" s="137">
        <v>4935093.1780000003</v>
      </c>
      <c r="E245" s="138">
        <f t="shared" si="7"/>
        <v>411257.76483333338</v>
      </c>
      <c r="F245" s="138">
        <f>ROUND(E245*PARAMETROS!$L$10,0)</f>
        <v>324894</v>
      </c>
      <c r="G245" s="481">
        <v>0</v>
      </c>
      <c r="H245" s="481">
        <v>171451.815</v>
      </c>
      <c r="I245" s="481">
        <v>1590489.7690000001</v>
      </c>
      <c r="J245" s="481">
        <f t="shared" si="8"/>
        <v>6697034.762000001</v>
      </c>
      <c r="K245" s="502">
        <f>+J245-_CIERRE!U240-_CIERRE!V240</f>
        <v>0</v>
      </c>
      <c r="M245" s="32">
        <v>11201</v>
      </c>
      <c r="N245" s="33">
        <v>11101</v>
      </c>
      <c r="O245" s="4" t="s">
        <v>502</v>
      </c>
      <c r="P245" s="61">
        <f>+_CIERRE!S240</f>
        <v>0</v>
      </c>
      <c r="Q245" s="61">
        <f>+_CIERRE!T240</f>
        <v>6634967.71</v>
      </c>
      <c r="R245" s="502">
        <f>+Q245+P245-_CIERRE!T240</f>
        <v>0</v>
      </c>
      <c r="S245" s="61"/>
      <c r="T245" s="61"/>
      <c r="U245" s="61"/>
      <c r="V245" s="61"/>
      <c r="AF245" s="62"/>
      <c r="AG245" s="476"/>
    </row>
    <row r="246" spans="1:33" ht="3" customHeight="1" x14ac:dyDescent="0.25">
      <c r="A246">
        <v>11202</v>
      </c>
      <c r="B246">
        <v>11102</v>
      </c>
      <c r="C246" s="3" t="s">
        <v>260</v>
      </c>
      <c r="D246" s="137">
        <v>1850891.0789999999</v>
      </c>
      <c r="E246" s="138">
        <f t="shared" si="7"/>
        <v>154240.92324999999</v>
      </c>
      <c r="F246" s="138">
        <f>ROUND(E246*PARAMETROS!$L$10,0)</f>
        <v>121850</v>
      </c>
      <c r="G246" s="481">
        <v>0</v>
      </c>
      <c r="H246" s="481">
        <v>64300.616000000002</v>
      </c>
      <c r="I246" s="481">
        <v>596438.28799999994</v>
      </c>
      <c r="J246" s="481">
        <f t="shared" si="8"/>
        <v>2511629.983</v>
      </c>
      <c r="K246" s="502">
        <f>+J246-_CIERRE!U241-_CIERRE!V241</f>
        <v>0</v>
      </c>
      <c r="M246" s="32">
        <v>11202</v>
      </c>
      <c r="N246" s="33">
        <v>11102</v>
      </c>
      <c r="O246" s="4" t="s">
        <v>260</v>
      </c>
      <c r="P246" s="61">
        <f>+_CIERRE!S241</f>
        <v>0</v>
      </c>
      <c r="Q246" s="61">
        <f>+_CIERRE!T241</f>
        <v>2469934.3730000001</v>
      </c>
      <c r="R246" s="502">
        <f>+Q246+P246-_CIERRE!T241</f>
        <v>0</v>
      </c>
      <c r="S246" s="61"/>
      <c r="T246" s="61"/>
      <c r="U246" s="61"/>
      <c r="V246" s="61"/>
      <c r="AF246" s="62"/>
      <c r="AG246" s="476"/>
    </row>
    <row r="247" spans="1:33" ht="3" customHeight="1" x14ac:dyDescent="0.25">
      <c r="A247">
        <v>11203</v>
      </c>
      <c r="B247">
        <v>11104</v>
      </c>
      <c r="C247" s="3" t="s">
        <v>261</v>
      </c>
      <c r="D247" s="137">
        <v>1483797.6410000001</v>
      </c>
      <c r="E247" s="138">
        <f t="shared" si="7"/>
        <v>123649.80341666668</v>
      </c>
      <c r="F247" s="138">
        <f>ROUND(E247*PARAMETROS!$L$10,0)</f>
        <v>97683</v>
      </c>
      <c r="G247" s="481">
        <v>0</v>
      </c>
      <c r="H247" s="481">
        <v>51546.451999999997</v>
      </c>
      <c r="I247" s="481">
        <v>478097.71500000003</v>
      </c>
      <c r="J247" s="481">
        <f t="shared" si="8"/>
        <v>2013441.8080000002</v>
      </c>
      <c r="K247" s="502">
        <f>+J247-_CIERRE!U242-_CIERRE!V242</f>
        <v>0</v>
      </c>
      <c r="M247" s="32">
        <v>11203</v>
      </c>
      <c r="N247" s="33">
        <v>11104</v>
      </c>
      <c r="O247" s="4" t="s">
        <v>261</v>
      </c>
      <c r="P247" s="61">
        <f>+_CIERRE!S242</f>
        <v>0</v>
      </c>
      <c r="Q247" s="61">
        <f>+_CIERRE!T242</f>
        <v>1907437.372</v>
      </c>
      <c r="R247" s="502">
        <f>+Q247+P247-_CIERRE!T242</f>
        <v>0</v>
      </c>
      <c r="S247" s="61"/>
      <c r="T247" s="61"/>
      <c r="U247" s="61"/>
      <c r="V247" s="61"/>
      <c r="AF247" s="62"/>
      <c r="AG247" s="476"/>
    </row>
    <row r="248" spans="1:33" ht="3" customHeight="1" x14ac:dyDescent="0.25">
      <c r="A248">
        <v>11301</v>
      </c>
      <c r="B248">
        <v>11301</v>
      </c>
      <c r="C248" s="3" t="s">
        <v>263</v>
      </c>
      <c r="D248" s="137">
        <v>1996338.4909999999</v>
      </c>
      <c r="E248" s="138">
        <f t="shared" si="7"/>
        <v>166361.54091666665</v>
      </c>
      <c r="F248" s="138">
        <f>ROUND(E248*PARAMETROS!$L$10,0)</f>
        <v>131426</v>
      </c>
      <c r="G248" s="481">
        <v>0</v>
      </c>
      <c r="H248" s="481">
        <v>69339.73</v>
      </c>
      <c r="I248" s="481">
        <v>642782.95799999998</v>
      </c>
      <c r="J248" s="481">
        <f t="shared" si="8"/>
        <v>2708461.179</v>
      </c>
      <c r="K248" s="502">
        <f>+J248-_CIERRE!U243-_CIERRE!V243</f>
        <v>0</v>
      </c>
      <c r="M248" s="32">
        <v>11301</v>
      </c>
      <c r="N248" s="33">
        <v>11301</v>
      </c>
      <c r="O248" s="4" t="s">
        <v>263</v>
      </c>
      <c r="P248" s="61">
        <f>+_CIERRE!S243</f>
        <v>0</v>
      </c>
      <c r="Q248" s="61">
        <f>+_CIERRE!T243</f>
        <v>2434592.8670000001</v>
      </c>
      <c r="R248" s="502">
        <f>+Q248+P248-_CIERRE!T243</f>
        <v>0</v>
      </c>
      <c r="S248" s="61"/>
      <c r="T248" s="61"/>
      <c r="U248" s="61"/>
      <c r="V248" s="61"/>
      <c r="AF248" s="62"/>
      <c r="AG248" s="476"/>
    </row>
    <row r="249" spans="1:33" ht="3" customHeight="1" x14ac:dyDescent="0.25">
      <c r="A249">
        <v>11302</v>
      </c>
      <c r="B249">
        <v>11302</v>
      </c>
      <c r="C249" s="3" t="s">
        <v>490</v>
      </c>
      <c r="D249" s="137">
        <v>1566396.139</v>
      </c>
      <c r="E249" s="138">
        <f t="shared" si="7"/>
        <v>130533.01158333333</v>
      </c>
      <c r="F249" s="138">
        <f>ROUND(E249*PARAMETROS!$L$10,0)</f>
        <v>103121</v>
      </c>
      <c r="G249" s="481">
        <v>0</v>
      </c>
      <c r="H249" s="481">
        <v>54424.748</v>
      </c>
      <c r="I249" s="481">
        <v>505050.51699999999</v>
      </c>
      <c r="J249" s="481">
        <f t="shared" si="8"/>
        <v>2125871.4040000001</v>
      </c>
      <c r="K249" s="502">
        <f>+J249-_CIERRE!U244-_CIERRE!V244</f>
        <v>0</v>
      </c>
      <c r="M249" s="32">
        <v>11302</v>
      </c>
      <c r="N249" s="33">
        <v>11302</v>
      </c>
      <c r="O249" s="4" t="s">
        <v>490</v>
      </c>
      <c r="P249" s="61">
        <f>+_CIERRE!S244</f>
        <v>0</v>
      </c>
      <c r="Q249" s="61">
        <f>+_CIERRE!T244</f>
        <v>2082657.365</v>
      </c>
      <c r="R249" s="502">
        <f>+Q249+P249-_CIERRE!T244</f>
        <v>0</v>
      </c>
      <c r="S249" s="61"/>
      <c r="T249" s="61"/>
      <c r="U249" s="61"/>
      <c r="V249" s="61"/>
      <c r="AF249" s="62"/>
      <c r="AG249" s="476"/>
    </row>
    <row r="250" spans="1:33" ht="3" customHeight="1" x14ac:dyDescent="0.25">
      <c r="A250">
        <v>11303</v>
      </c>
      <c r="B250">
        <v>11303</v>
      </c>
      <c r="C250" s="3" t="s">
        <v>264</v>
      </c>
      <c r="D250" s="137">
        <v>1505982.8570000001</v>
      </c>
      <c r="E250" s="138">
        <f t="shared" si="7"/>
        <v>125498.57141666667</v>
      </c>
      <c r="F250" s="138">
        <f>ROUND(E250*PARAMETROS!$L$10,0)</f>
        <v>99144</v>
      </c>
      <c r="G250" s="481">
        <v>0</v>
      </c>
      <c r="H250" s="481">
        <v>52315.834999999999</v>
      </c>
      <c r="I250" s="481">
        <v>485196.75900000002</v>
      </c>
      <c r="J250" s="481">
        <f t="shared" si="8"/>
        <v>2043495.4510000001</v>
      </c>
      <c r="K250" s="502">
        <f>+J250-_CIERRE!U245-_CIERRE!V245</f>
        <v>0</v>
      </c>
      <c r="M250" s="32">
        <v>11303</v>
      </c>
      <c r="N250" s="33">
        <v>11303</v>
      </c>
      <c r="O250" s="4" t="s">
        <v>264</v>
      </c>
      <c r="P250" s="61">
        <f>+_CIERRE!S245</f>
        <v>0</v>
      </c>
      <c r="Q250" s="61">
        <f>+_CIERRE!T245</f>
        <v>1956703.2180000001</v>
      </c>
      <c r="R250" s="502">
        <f>+Q250+P250-_CIERRE!T245</f>
        <v>0</v>
      </c>
      <c r="S250" s="61"/>
      <c r="T250" s="61"/>
      <c r="U250" s="61"/>
      <c r="V250" s="61"/>
      <c r="AF250" s="62"/>
      <c r="AG250" s="476"/>
    </row>
    <row r="251" spans="1:33" ht="3" customHeight="1" x14ac:dyDescent="0.25">
      <c r="A251">
        <v>11401</v>
      </c>
      <c r="B251">
        <v>11201</v>
      </c>
      <c r="C251" s="3" t="s">
        <v>262</v>
      </c>
      <c r="D251" s="137">
        <v>2907174.3879999998</v>
      </c>
      <c r="E251" s="138">
        <f t="shared" si="7"/>
        <v>242264.53233333331</v>
      </c>
      <c r="F251" s="138">
        <f>ROUND(E251*PARAMETROS!$L$10,0)</f>
        <v>191389</v>
      </c>
      <c r="G251" s="481">
        <v>0</v>
      </c>
      <c r="H251" s="481">
        <v>100999.173</v>
      </c>
      <c r="I251" s="481">
        <v>936928.84199999995</v>
      </c>
      <c r="J251" s="481">
        <f t="shared" si="8"/>
        <v>3945102.4029999999</v>
      </c>
      <c r="K251" s="502">
        <f>+J251-_CIERRE!U246-_CIERRE!V246</f>
        <v>0</v>
      </c>
      <c r="M251" s="32">
        <v>11401</v>
      </c>
      <c r="N251" s="33">
        <v>11201</v>
      </c>
      <c r="O251" s="4" t="s">
        <v>262</v>
      </c>
      <c r="P251" s="61">
        <f>+_CIERRE!S246</f>
        <v>0</v>
      </c>
      <c r="Q251" s="61">
        <f>+_CIERRE!T246</f>
        <v>3908539.5079999999</v>
      </c>
      <c r="R251" s="502">
        <f>+Q251+P251-_CIERRE!T246</f>
        <v>0</v>
      </c>
      <c r="S251" s="61"/>
      <c r="T251" s="61"/>
      <c r="U251" s="61"/>
      <c r="V251" s="61"/>
      <c r="AF251" s="62"/>
      <c r="AG251" s="476"/>
    </row>
    <row r="252" spans="1:33" ht="3" customHeight="1" x14ac:dyDescent="0.25">
      <c r="A252">
        <v>11402</v>
      </c>
      <c r="B252">
        <v>11203</v>
      </c>
      <c r="C252" s="3" t="s">
        <v>423</v>
      </c>
      <c r="D252" s="137">
        <v>2203115.1209999998</v>
      </c>
      <c r="E252" s="138">
        <f t="shared" si="7"/>
        <v>183592.92674999998</v>
      </c>
      <c r="F252" s="138">
        <f>ROUND(E252*PARAMETROS!$L$10,0)</f>
        <v>145038</v>
      </c>
      <c r="G252" s="481">
        <v>0</v>
      </c>
      <c r="H252" s="481">
        <v>76499.828999999998</v>
      </c>
      <c r="I252" s="481">
        <v>708523.88399999996</v>
      </c>
      <c r="J252" s="481">
        <f t="shared" si="8"/>
        <v>2988138.8339999998</v>
      </c>
      <c r="K252" s="502">
        <f>+J252-_CIERRE!U247-_CIERRE!V247</f>
        <v>0</v>
      </c>
      <c r="M252" s="32">
        <v>11402</v>
      </c>
      <c r="N252" s="33">
        <v>11203</v>
      </c>
      <c r="O252" s="4" t="s">
        <v>423</v>
      </c>
      <c r="P252" s="61">
        <f>+_CIERRE!S247</f>
        <v>0</v>
      </c>
      <c r="Q252" s="61">
        <f>+_CIERRE!T247</f>
        <v>2501559.9500000002</v>
      </c>
      <c r="R252" s="502">
        <f>+Q252+P252-_CIERRE!T247</f>
        <v>0</v>
      </c>
      <c r="S252" s="61"/>
      <c r="T252" s="61"/>
      <c r="U252" s="61"/>
      <c r="V252" s="61"/>
      <c r="AF252" s="62"/>
      <c r="AG252" s="476"/>
    </row>
    <row r="253" spans="1:33" ht="3" customHeight="1" x14ac:dyDescent="0.25">
      <c r="A253">
        <v>12101</v>
      </c>
      <c r="B253">
        <v>12205</v>
      </c>
      <c r="C253" s="3" t="s">
        <v>268</v>
      </c>
      <c r="D253" s="137">
        <v>8242481.7690000003</v>
      </c>
      <c r="E253" s="138">
        <f t="shared" si="7"/>
        <v>686873.48074999999</v>
      </c>
      <c r="F253" s="138">
        <f>ROUND(E253*PARAMETROS!$L$10,0)</f>
        <v>542630</v>
      </c>
      <c r="G253" s="481">
        <v>0</v>
      </c>
      <c r="H253" s="481">
        <v>286354.973</v>
      </c>
      <c r="I253" s="481">
        <v>2656400.2880000002</v>
      </c>
      <c r="J253" s="481">
        <f t="shared" si="8"/>
        <v>11185237.030000001</v>
      </c>
      <c r="K253" s="502">
        <f>+J253-_CIERRE!U248-_CIERRE!V248</f>
        <v>0</v>
      </c>
      <c r="M253" s="32">
        <v>12101</v>
      </c>
      <c r="N253" s="33">
        <v>12205</v>
      </c>
      <c r="O253" s="4" t="s">
        <v>268</v>
      </c>
      <c r="P253" s="61">
        <f>+_CIERRE!S248</f>
        <v>0</v>
      </c>
      <c r="Q253" s="61">
        <f>+_CIERRE!T248</f>
        <v>11081574.266000001</v>
      </c>
      <c r="R253" s="502">
        <f>+Q253+P253-_CIERRE!T248</f>
        <v>0</v>
      </c>
      <c r="S253" s="61"/>
      <c r="T253" s="61"/>
      <c r="U253" s="61"/>
      <c r="V253" s="61"/>
      <c r="AF253" s="62"/>
      <c r="AG253" s="476"/>
    </row>
    <row r="254" spans="1:33" ht="3" customHeight="1" x14ac:dyDescent="0.25">
      <c r="A254">
        <v>12102</v>
      </c>
      <c r="B254">
        <v>12206</v>
      </c>
      <c r="C254" s="3" t="s">
        <v>269</v>
      </c>
      <c r="D254" s="137">
        <v>1374851.6</v>
      </c>
      <c r="E254" s="138">
        <f t="shared" si="7"/>
        <v>114570.96666666667</v>
      </c>
      <c r="F254" s="138">
        <f>ROUND(E254*PARAMETROS!$L$10,0)</f>
        <v>90511</v>
      </c>
      <c r="G254" s="481">
        <v>0</v>
      </c>
      <c r="H254" s="481">
        <v>47759.432999999997</v>
      </c>
      <c r="I254" s="481">
        <v>442907.04599999997</v>
      </c>
      <c r="J254" s="481">
        <f t="shared" si="8"/>
        <v>1865518.0789999999</v>
      </c>
      <c r="K254" s="502">
        <f>+J254-_CIERRE!U249-_CIERRE!V249</f>
        <v>0</v>
      </c>
      <c r="M254" s="32">
        <v>12102</v>
      </c>
      <c r="N254" s="33">
        <v>12206</v>
      </c>
      <c r="O254" s="4" t="s">
        <v>269</v>
      </c>
      <c r="P254" s="61">
        <f>+_CIERRE!S249</f>
        <v>0</v>
      </c>
      <c r="Q254" s="61">
        <f>+_CIERRE!T249</f>
        <v>1784575.5889999999</v>
      </c>
      <c r="R254" s="502">
        <f>+Q254+P254-_CIERRE!T249</f>
        <v>0</v>
      </c>
      <c r="S254" s="61"/>
      <c r="T254" s="61"/>
      <c r="U254" s="61"/>
      <c r="V254" s="61"/>
      <c r="AF254" s="62"/>
      <c r="AG254" s="476"/>
    </row>
    <row r="255" spans="1:33" ht="3" customHeight="1" x14ac:dyDescent="0.25">
      <c r="A255">
        <v>12103</v>
      </c>
      <c r="B255">
        <v>12202</v>
      </c>
      <c r="C255" s="3" t="s">
        <v>424</v>
      </c>
      <c r="D255" s="137">
        <v>1370753.098</v>
      </c>
      <c r="E255" s="138">
        <f t="shared" si="7"/>
        <v>114229.42483333334</v>
      </c>
      <c r="F255" s="138">
        <f>ROUND(E255*PARAMETROS!$L$10,0)</f>
        <v>90241</v>
      </c>
      <c r="G255" s="481">
        <v>0</v>
      </c>
      <c r="H255" s="481">
        <v>47615.637999999999</v>
      </c>
      <c r="I255" s="481">
        <v>441533.61200000002</v>
      </c>
      <c r="J255" s="481">
        <f t="shared" si="8"/>
        <v>1859902.348</v>
      </c>
      <c r="K255" s="502">
        <f>+J255-_CIERRE!U250-_CIERRE!V250</f>
        <v>0</v>
      </c>
      <c r="M255" s="32">
        <v>12103</v>
      </c>
      <c r="N255" s="33">
        <v>12202</v>
      </c>
      <c r="O255" s="4" t="s">
        <v>424</v>
      </c>
      <c r="P255" s="61">
        <f>+_CIERRE!S250</f>
        <v>0</v>
      </c>
      <c r="Q255" s="61">
        <f>+_CIERRE!T250</f>
        <v>1775937.7279999999</v>
      </c>
      <c r="R255" s="502">
        <f>+Q255+P255-_CIERRE!T250</f>
        <v>0</v>
      </c>
      <c r="S255" s="61"/>
      <c r="T255" s="61"/>
      <c r="U255" s="61"/>
      <c r="V255" s="61"/>
      <c r="AF255" s="62"/>
      <c r="AG255" s="476"/>
    </row>
    <row r="256" spans="1:33" ht="3" customHeight="1" x14ac:dyDescent="0.25">
      <c r="A256">
        <v>12104</v>
      </c>
      <c r="B256">
        <v>12204</v>
      </c>
      <c r="C256" s="3" t="s">
        <v>267</v>
      </c>
      <c r="D256" s="137">
        <v>1382905.818</v>
      </c>
      <c r="E256" s="138">
        <f t="shared" si="7"/>
        <v>115242.15149999999</v>
      </c>
      <c r="F256" s="138">
        <f>ROUND(E256*PARAMETROS!$L$10,0)</f>
        <v>91041</v>
      </c>
      <c r="G256" s="481">
        <v>0</v>
      </c>
      <c r="H256" s="481">
        <v>48042.010999999999</v>
      </c>
      <c r="I256" s="481">
        <v>445607.72</v>
      </c>
      <c r="J256" s="481">
        <f t="shared" si="8"/>
        <v>1876555.5489999999</v>
      </c>
      <c r="K256" s="502">
        <f>+J256-_CIERRE!U251-_CIERRE!V251</f>
        <v>0</v>
      </c>
      <c r="M256" s="32">
        <v>12104</v>
      </c>
      <c r="N256" s="33">
        <v>12204</v>
      </c>
      <c r="O256" s="4" t="s">
        <v>267</v>
      </c>
      <c r="P256" s="61">
        <f>+_CIERRE!S251</f>
        <v>0</v>
      </c>
      <c r="Q256" s="61">
        <f>+_CIERRE!T251</f>
        <v>1789227.686</v>
      </c>
      <c r="R256" s="502">
        <f>+Q256+P256-_CIERRE!T251</f>
        <v>0</v>
      </c>
      <c r="S256" s="61"/>
      <c r="T256" s="61"/>
      <c r="U256" s="61"/>
      <c r="V256" s="61"/>
      <c r="AF256" s="62"/>
      <c r="AG256" s="476"/>
    </row>
    <row r="257" spans="1:33" ht="3" customHeight="1" x14ac:dyDescent="0.25">
      <c r="A257">
        <v>12201</v>
      </c>
      <c r="B257">
        <v>12401</v>
      </c>
      <c r="C257" s="3" t="s">
        <v>273</v>
      </c>
      <c r="D257" s="137">
        <v>1677703.0379999999</v>
      </c>
      <c r="E257" s="138">
        <f t="shared" si="7"/>
        <v>139808.5865</v>
      </c>
      <c r="F257" s="138">
        <f>ROUND(E257*PARAMETROS!$L$10,0)</f>
        <v>110449</v>
      </c>
      <c r="G257" s="481">
        <v>0</v>
      </c>
      <c r="H257" s="481">
        <v>58268.108999999997</v>
      </c>
      <c r="I257" s="481">
        <v>540024.07900000003</v>
      </c>
      <c r="J257" s="481">
        <f t="shared" si="8"/>
        <v>2275995.2259999998</v>
      </c>
      <c r="K257" s="502">
        <f>+J257-_CIERRE!U252-_CIERRE!V252</f>
        <v>0</v>
      </c>
      <c r="M257" s="32">
        <v>12201</v>
      </c>
      <c r="N257" s="33">
        <v>12401</v>
      </c>
      <c r="O257" s="4" t="s">
        <v>273</v>
      </c>
      <c r="P257" s="61">
        <f>+_CIERRE!S252</f>
        <v>0</v>
      </c>
      <c r="Q257" s="61">
        <f>+_CIERRE!T252</f>
        <v>2036339.21</v>
      </c>
      <c r="R257" s="502">
        <f>+Q257+P257-_CIERRE!T252</f>
        <v>0</v>
      </c>
      <c r="S257" s="61"/>
      <c r="T257" s="61"/>
      <c r="U257" s="61"/>
      <c r="V257" s="61"/>
      <c r="AF257" s="62"/>
      <c r="AG257" s="476"/>
    </row>
    <row r="258" spans="1:33" ht="3" customHeight="1" x14ac:dyDescent="0.25">
      <c r="A258">
        <v>12202</v>
      </c>
      <c r="B258">
        <v>12402</v>
      </c>
      <c r="C258" s="3" t="s">
        <v>472</v>
      </c>
      <c r="D258" s="137">
        <v>1362356.0819999999</v>
      </c>
      <c r="E258" s="138">
        <f t="shared" si="7"/>
        <v>113529.67349999999</v>
      </c>
      <c r="F258" s="138">
        <f>ROUND(E258*PARAMETROS!$L$10,0)</f>
        <v>89688</v>
      </c>
      <c r="G258" s="481">
        <v>0</v>
      </c>
      <c r="H258" s="481">
        <v>47325.207999999999</v>
      </c>
      <c r="I258" s="481">
        <v>438876.52</v>
      </c>
      <c r="J258" s="481">
        <f t="shared" si="8"/>
        <v>1848557.81</v>
      </c>
      <c r="K258" s="502">
        <f>+J258-_CIERRE!U253-_CIERRE!V253</f>
        <v>0</v>
      </c>
      <c r="M258" s="32">
        <v>12202</v>
      </c>
      <c r="N258" s="33">
        <v>12402</v>
      </c>
      <c r="O258" s="4" t="s">
        <v>472</v>
      </c>
      <c r="P258" s="61">
        <f>+_CIERRE!S253</f>
        <v>0</v>
      </c>
      <c r="Q258" s="61">
        <f>+_CIERRE!T253</f>
        <v>1763076.0419999999</v>
      </c>
      <c r="R258" s="502">
        <f>+Q258+P258-_CIERRE!T253</f>
        <v>0</v>
      </c>
      <c r="S258" s="61"/>
      <c r="T258" s="61"/>
      <c r="U258" s="61"/>
      <c r="V258" s="61"/>
      <c r="AF258" s="62"/>
      <c r="AG258" s="476"/>
    </row>
    <row r="259" spans="1:33" ht="3" customHeight="1" x14ac:dyDescent="0.25">
      <c r="A259">
        <v>12301</v>
      </c>
      <c r="B259">
        <v>12301</v>
      </c>
      <c r="C259" s="3" t="s">
        <v>270</v>
      </c>
      <c r="D259" s="137">
        <v>1946505.3289999999</v>
      </c>
      <c r="E259" s="138">
        <f t="shared" si="7"/>
        <v>162208.77741666665</v>
      </c>
      <c r="F259" s="138">
        <f>ROUND(E259*PARAMETROS!$L$10,0)</f>
        <v>128145</v>
      </c>
      <c r="G259" s="481">
        <v>0</v>
      </c>
      <c r="H259" s="481">
        <v>67606.623000000007</v>
      </c>
      <c r="I259" s="481">
        <v>626653.62399999995</v>
      </c>
      <c r="J259" s="481">
        <f t="shared" si="8"/>
        <v>2640765.5759999999</v>
      </c>
      <c r="K259" s="502">
        <f>+J259-_CIERRE!U254-_CIERRE!V254</f>
        <v>0</v>
      </c>
      <c r="M259" s="32">
        <v>12301</v>
      </c>
      <c r="N259" s="33">
        <v>12301</v>
      </c>
      <c r="O259" s="4" t="s">
        <v>270</v>
      </c>
      <c r="P259" s="61">
        <f>+_CIERRE!S254</f>
        <v>0</v>
      </c>
      <c r="Q259" s="61">
        <f>+_CIERRE!T254</f>
        <v>2560597.375</v>
      </c>
      <c r="R259" s="502">
        <f>+Q259+P259-_CIERRE!T254</f>
        <v>0</v>
      </c>
      <c r="S259" s="61"/>
      <c r="T259" s="61"/>
      <c r="U259" s="61"/>
      <c r="V259" s="61"/>
      <c r="AF259" s="62"/>
      <c r="AG259" s="476"/>
    </row>
    <row r="260" spans="1:33" ht="3" customHeight="1" x14ac:dyDescent="0.25">
      <c r="A260">
        <v>12302</v>
      </c>
      <c r="B260">
        <v>12302</v>
      </c>
      <c r="C260" s="3" t="s">
        <v>271</v>
      </c>
      <c r="D260" s="137">
        <v>1439538.142</v>
      </c>
      <c r="E260" s="138">
        <f t="shared" si="7"/>
        <v>119961.51183333334</v>
      </c>
      <c r="F260" s="138">
        <f>ROUND(E260*PARAMETROS!$L$10,0)</f>
        <v>94770</v>
      </c>
      <c r="G260" s="481">
        <v>0</v>
      </c>
      <c r="H260" s="481">
        <v>50001.540999999997</v>
      </c>
      <c r="I260" s="481">
        <v>463558.05699999997</v>
      </c>
      <c r="J260" s="481">
        <f t="shared" si="8"/>
        <v>1953097.74</v>
      </c>
      <c r="K260" s="502">
        <f>+J260-_CIERRE!U255-_CIERRE!V255</f>
        <v>0</v>
      </c>
      <c r="M260" s="32">
        <v>12302</v>
      </c>
      <c r="N260" s="33">
        <v>12302</v>
      </c>
      <c r="O260" s="4" t="s">
        <v>271</v>
      </c>
      <c r="P260" s="61">
        <f>+_CIERRE!S255</f>
        <v>0</v>
      </c>
      <c r="Q260" s="61">
        <f>+_CIERRE!T255</f>
        <v>1844267.0689999999</v>
      </c>
      <c r="R260" s="502">
        <f>+Q260+P260-_CIERRE!T255</f>
        <v>0</v>
      </c>
      <c r="S260" s="61"/>
      <c r="T260" s="61"/>
      <c r="U260" s="61"/>
      <c r="V260" s="61"/>
      <c r="AF260" s="62"/>
      <c r="AG260" s="476"/>
    </row>
    <row r="261" spans="1:33" ht="3" customHeight="1" x14ac:dyDescent="0.25">
      <c r="A261">
        <v>12303</v>
      </c>
      <c r="B261">
        <v>12304</v>
      </c>
      <c r="C261" s="3" t="s">
        <v>272</v>
      </c>
      <c r="D261" s="137">
        <v>1452235.4639999999</v>
      </c>
      <c r="E261" s="138">
        <f t="shared" si="7"/>
        <v>121019.62199999999</v>
      </c>
      <c r="F261" s="138">
        <f>ROUND(E261*PARAMETROS!$L$10,0)</f>
        <v>95606</v>
      </c>
      <c r="G261" s="481">
        <v>0</v>
      </c>
      <c r="H261" s="481">
        <v>50449.457000000002</v>
      </c>
      <c r="I261" s="481">
        <v>467909.06099999999</v>
      </c>
      <c r="J261" s="481">
        <f t="shared" si="8"/>
        <v>1970593.9819999998</v>
      </c>
      <c r="K261" s="502">
        <f>+J261-_CIERRE!U256-_CIERRE!V256</f>
        <v>0</v>
      </c>
      <c r="M261" s="32">
        <v>12303</v>
      </c>
      <c r="N261" s="33">
        <v>12304</v>
      </c>
      <c r="O261" s="4" t="s">
        <v>272</v>
      </c>
      <c r="P261" s="61">
        <f>+_CIERRE!S256</f>
        <v>0</v>
      </c>
      <c r="Q261" s="61">
        <f>+_CIERRE!T256</f>
        <v>1890109.459</v>
      </c>
      <c r="R261" s="502">
        <f>+Q261+P261-_CIERRE!T256</f>
        <v>0</v>
      </c>
      <c r="S261" s="61"/>
      <c r="T261" s="61"/>
      <c r="U261" s="61"/>
      <c r="V261" s="61"/>
      <c r="AF261" s="62"/>
      <c r="AG261" s="476"/>
    </row>
    <row r="262" spans="1:33" ht="3" customHeight="1" x14ac:dyDescent="0.25">
      <c r="A262">
        <v>12401</v>
      </c>
      <c r="B262">
        <v>12101</v>
      </c>
      <c r="C262" s="3" t="s">
        <v>266</v>
      </c>
      <c r="D262" s="137">
        <v>4778279.3449999997</v>
      </c>
      <c r="E262" s="138">
        <f t="shared" si="7"/>
        <v>398189.94541666663</v>
      </c>
      <c r="F262" s="138">
        <f>ROUND(E262*PARAMETROS!$L$10,0)</f>
        <v>314570</v>
      </c>
      <c r="G262" s="481">
        <v>0</v>
      </c>
      <c r="H262" s="481">
        <v>165923.49799999999</v>
      </c>
      <c r="I262" s="481">
        <v>1536891.405</v>
      </c>
      <c r="J262" s="481">
        <f t="shared" si="8"/>
        <v>6481094.2479999997</v>
      </c>
      <c r="K262" s="502">
        <f>+J262-_CIERRE!U257-_CIERRE!V257</f>
        <v>0</v>
      </c>
      <c r="M262" s="32">
        <v>12401</v>
      </c>
      <c r="N262" s="33">
        <v>12101</v>
      </c>
      <c r="O262" s="4" t="s">
        <v>266</v>
      </c>
      <c r="P262" s="61">
        <f>+_CIERRE!S257</f>
        <v>0</v>
      </c>
      <c r="Q262" s="61">
        <f>+_CIERRE!T257</f>
        <v>5677577.3760000002</v>
      </c>
      <c r="R262" s="502">
        <f>+Q262+P262-_CIERRE!T257</f>
        <v>0</v>
      </c>
      <c r="S262" s="61"/>
      <c r="T262" s="61"/>
      <c r="U262" s="61"/>
      <c r="V262" s="61"/>
      <c r="AF262" s="62"/>
      <c r="AG262" s="476"/>
    </row>
    <row r="263" spans="1:33" ht="3" customHeight="1" x14ac:dyDescent="0.25">
      <c r="A263">
        <v>12402</v>
      </c>
      <c r="B263">
        <v>12103</v>
      </c>
      <c r="C263" s="3" t="s">
        <v>321</v>
      </c>
      <c r="D263" s="137">
        <v>1385073.4550000001</v>
      </c>
      <c r="E263" s="138">
        <f t="shared" ref="E263:E326" si="9">D263/12</f>
        <v>115422.78791666667</v>
      </c>
      <c r="F263" s="138">
        <f>ROUND(E263*PARAMETROS!$L$10,0)</f>
        <v>91184</v>
      </c>
      <c r="G263" s="481">
        <v>0</v>
      </c>
      <c r="H263" s="481">
        <v>48116.163</v>
      </c>
      <c r="I263" s="481">
        <v>446264.12199999997</v>
      </c>
      <c r="J263" s="481">
        <f t="shared" si="8"/>
        <v>1879453.74</v>
      </c>
      <c r="K263" s="502">
        <f>+J263-_CIERRE!U258-_CIERRE!V258</f>
        <v>0</v>
      </c>
      <c r="M263" s="32">
        <v>12402</v>
      </c>
      <c r="N263" s="33">
        <v>12103</v>
      </c>
      <c r="O263" s="4" t="s">
        <v>321</v>
      </c>
      <c r="P263" s="61">
        <f>+_CIERRE!S258</f>
        <v>0</v>
      </c>
      <c r="Q263" s="61">
        <f>+_CIERRE!T258</f>
        <v>1796414.9040000001</v>
      </c>
      <c r="R263" s="502">
        <f>+Q263+P263-_CIERRE!T258</f>
        <v>0</v>
      </c>
      <c r="S263" s="61"/>
      <c r="T263" s="61"/>
      <c r="U263" s="61"/>
      <c r="V263" s="61"/>
      <c r="AF263" s="62"/>
      <c r="AG263" s="476"/>
    </row>
    <row r="264" spans="1:33" ht="3" customHeight="1" x14ac:dyDescent="0.25">
      <c r="A264">
        <v>13101</v>
      </c>
      <c r="B264">
        <v>13101</v>
      </c>
      <c r="C264" s="3" t="s">
        <v>274</v>
      </c>
      <c r="D264" s="137">
        <v>11232653.049000001</v>
      </c>
      <c r="E264" s="138">
        <f t="shared" si="9"/>
        <v>936054.42075000005</v>
      </c>
      <c r="F264" s="138">
        <f>ROUND(E264*PARAMETROS!$L$10,0)</f>
        <v>739483</v>
      </c>
      <c r="G264" s="481">
        <v>0</v>
      </c>
      <c r="H264" s="481">
        <v>388578.88099999999</v>
      </c>
      <c r="I264" s="481">
        <v>3556946.5729999999</v>
      </c>
      <c r="J264" s="481">
        <f t="shared" ref="J264:J327" si="10">+D264+G264+H264+I264-G264</f>
        <v>15178178.502999999</v>
      </c>
      <c r="K264" s="502">
        <f>+J264-_CIERRE!U259-_CIERRE!V259</f>
        <v>0</v>
      </c>
      <c r="M264" s="32">
        <v>13101</v>
      </c>
      <c r="N264" s="33">
        <v>13101</v>
      </c>
      <c r="O264" s="4" t="s">
        <v>274</v>
      </c>
      <c r="P264" s="61">
        <f>+_CIERRE!S259</f>
        <v>0</v>
      </c>
      <c r="Q264" s="61">
        <f>+_CIERRE!T259</f>
        <v>14431124.450999999</v>
      </c>
      <c r="R264" s="502">
        <f>+Q264+P264-_CIERRE!T259</f>
        <v>0</v>
      </c>
      <c r="S264" s="61"/>
      <c r="T264" s="61"/>
      <c r="U264" s="61"/>
      <c r="V264" s="61"/>
      <c r="AF264" s="62"/>
      <c r="AG264" s="476"/>
    </row>
    <row r="265" spans="1:33" ht="3" customHeight="1" x14ac:dyDescent="0.25">
      <c r="A265">
        <v>13102</v>
      </c>
      <c r="B265">
        <v>13166</v>
      </c>
      <c r="C265" s="3" t="s">
        <v>298</v>
      </c>
      <c r="D265" s="137">
        <v>4270912.2050000001</v>
      </c>
      <c r="E265" s="138">
        <f t="shared" si="9"/>
        <v>355909.35041666665</v>
      </c>
      <c r="F265" s="138">
        <f>ROUND(E265*PARAMETROS!$L$10,0)</f>
        <v>281168</v>
      </c>
      <c r="G265" s="481">
        <v>0</v>
      </c>
      <c r="H265" s="481">
        <v>148345.323</v>
      </c>
      <c r="I265" s="481">
        <v>1375220.1769999999</v>
      </c>
      <c r="J265" s="481">
        <f t="shared" si="10"/>
        <v>5794477.7050000001</v>
      </c>
      <c r="K265" s="502">
        <f>+J265-_CIERRE!U260-_CIERRE!V260</f>
        <v>0</v>
      </c>
      <c r="M265" s="32">
        <v>13102</v>
      </c>
      <c r="N265" s="33">
        <v>13166</v>
      </c>
      <c r="O265" s="4" t="s">
        <v>298</v>
      </c>
      <c r="P265" s="61">
        <f>+_CIERRE!S260</f>
        <v>0</v>
      </c>
      <c r="Q265" s="61">
        <f>+_CIERRE!T260</f>
        <v>5678382.8770000003</v>
      </c>
      <c r="R265" s="502">
        <f>+Q265+P265-_CIERRE!T260</f>
        <v>0</v>
      </c>
      <c r="S265" s="61"/>
      <c r="T265" s="61"/>
      <c r="U265" s="61"/>
      <c r="V265" s="61"/>
      <c r="AF265" s="62"/>
      <c r="AG265" s="476"/>
    </row>
    <row r="266" spans="1:33" ht="3" customHeight="1" x14ac:dyDescent="0.25">
      <c r="A266">
        <v>13103</v>
      </c>
      <c r="B266">
        <v>13156</v>
      </c>
      <c r="C266" s="3" t="s">
        <v>290</v>
      </c>
      <c r="D266" s="137">
        <v>16752401.706</v>
      </c>
      <c r="E266" s="138">
        <f t="shared" si="9"/>
        <v>1396033.4754999999</v>
      </c>
      <c r="F266" s="138">
        <f>ROUND(E266*PARAMETROS!$L$10,0)</f>
        <v>1102866</v>
      </c>
      <c r="G266" s="481">
        <v>0</v>
      </c>
      <c r="H266" s="481">
        <v>582001.10900000005</v>
      </c>
      <c r="I266" s="481">
        <v>5398990.9780000001</v>
      </c>
      <c r="J266" s="481">
        <f t="shared" si="10"/>
        <v>22733393.793000001</v>
      </c>
      <c r="K266" s="502">
        <f>+J266-_CIERRE!U261-_CIERRE!V261</f>
        <v>0</v>
      </c>
      <c r="M266" s="32">
        <v>13103</v>
      </c>
      <c r="N266" s="33">
        <v>13156</v>
      </c>
      <c r="O266" s="4" t="s">
        <v>290</v>
      </c>
      <c r="P266" s="61">
        <f>+_CIERRE!S261</f>
        <v>0</v>
      </c>
      <c r="Q266" s="61">
        <f>+_CIERRE!T261</f>
        <v>22522704.532000002</v>
      </c>
      <c r="R266" s="502">
        <f>+Q266+P266-_CIERRE!T261</f>
        <v>0</v>
      </c>
      <c r="S266" s="61"/>
      <c r="T266" s="61"/>
      <c r="U266" s="61"/>
      <c r="V266" s="61"/>
      <c r="AF266" s="62"/>
      <c r="AG266" s="476"/>
    </row>
    <row r="267" spans="1:33" ht="3" customHeight="1" x14ac:dyDescent="0.25">
      <c r="A267">
        <v>13104</v>
      </c>
      <c r="B267">
        <v>13127</v>
      </c>
      <c r="C267" s="3" t="s">
        <v>425</v>
      </c>
      <c r="D267" s="137">
        <v>10845784.286</v>
      </c>
      <c r="E267" s="138">
        <f t="shared" si="9"/>
        <v>903815.35716666665</v>
      </c>
      <c r="F267" s="138">
        <f>ROUND(E267*PARAMETROS!$L$10,0)</f>
        <v>714014</v>
      </c>
      <c r="G267" s="481">
        <v>0</v>
      </c>
      <c r="H267" s="481">
        <v>376797.22499999998</v>
      </c>
      <c r="I267" s="481">
        <v>3495396.8130000001</v>
      </c>
      <c r="J267" s="481">
        <f t="shared" si="10"/>
        <v>14717978.324000001</v>
      </c>
      <c r="K267" s="502">
        <f>+J267-_CIERRE!U262-_CIERRE!V262</f>
        <v>0</v>
      </c>
      <c r="M267" s="32">
        <v>13104</v>
      </c>
      <c r="N267" s="33">
        <v>13127</v>
      </c>
      <c r="O267" s="4" t="s">
        <v>425</v>
      </c>
      <c r="P267" s="61">
        <f>+_CIERRE!S262</f>
        <v>0</v>
      </c>
      <c r="Q267" s="61">
        <f>+_CIERRE!T262</f>
        <v>14581575.199999999</v>
      </c>
      <c r="R267" s="502">
        <f>+Q267+P267-_CIERRE!T262</f>
        <v>0</v>
      </c>
      <c r="S267" s="61"/>
      <c r="T267" s="61"/>
      <c r="U267" s="61"/>
      <c r="V267" s="61"/>
      <c r="AF267" s="62"/>
      <c r="AG267" s="476"/>
    </row>
    <row r="268" spans="1:33" ht="3" customHeight="1" x14ac:dyDescent="0.25">
      <c r="A268">
        <v>13105</v>
      </c>
      <c r="B268">
        <v>13165</v>
      </c>
      <c r="C268" s="3" t="s">
        <v>297</v>
      </c>
      <c r="D268" s="137">
        <v>18674867.416000001</v>
      </c>
      <c r="E268" s="138">
        <f t="shared" si="9"/>
        <v>1556238.9513333335</v>
      </c>
      <c r="F268" s="138">
        <f>ROUND(E268*PARAMETROS!$L$10,0)</f>
        <v>1229429</v>
      </c>
      <c r="G268" s="481">
        <v>0</v>
      </c>
      <c r="H268" s="481">
        <v>648790.17000000004</v>
      </c>
      <c r="I268" s="481">
        <v>6018566.3229999999</v>
      </c>
      <c r="J268" s="481">
        <f t="shared" si="10"/>
        <v>25342223.909000002</v>
      </c>
      <c r="K268" s="502">
        <f>+J268-_CIERRE!U263-_CIERRE!V263</f>
        <v>0</v>
      </c>
      <c r="M268" s="32">
        <v>13105</v>
      </c>
      <c r="N268" s="33">
        <v>13165</v>
      </c>
      <c r="O268" s="4" t="s">
        <v>297</v>
      </c>
      <c r="P268" s="61">
        <f>+_CIERRE!S263</f>
        <v>0</v>
      </c>
      <c r="Q268" s="61">
        <f>+_CIERRE!T263</f>
        <v>25107357.07</v>
      </c>
      <c r="R268" s="502">
        <f>+Q268+P268-_CIERRE!T263</f>
        <v>0</v>
      </c>
      <c r="S268" s="61"/>
      <c r="T268" s="61"/>
      <c r="U268" s="61"/>
      <c r="V268" s="61"/>
      <c r="AF268" s="62"/>
      <c r="AG268" s="476"/>
    </row>
    <row r="269" spans="1:33" ht="3" customHeight="1" x14ac:dyDescent="0.25">
      <c r="A269">
        <v>13106</v>
      </c>
      <c r="B269">
        <v>13157</v>
      </c>
      <c r="C269" s="3" t="s">
        <v>426</v>
      </c>
      <c r="D269" s="137">
        <v>10124929.027000001</v>
      </c>
      <c r="E269" s="138">
        <f t="shared" si="9"/>
        <v>843744.08558333339</v>
      </c>
      <c r="F269" s="138">
        <f>ROUND(E269*PARAMETROS!$L$10,0)</f>
        <v>666558</v>
      </c>
      <c r="G269" s="481">
        <v>0</v>
      </c>
      <c r="H269" s="481">
        <v>351115.66399999999</v>
      </c>
      <c r="I269" s="481">
        <v>3238792.5559999999</v>
      </c>
      <c r="J269" s="481">
        <f t="shared" si="10"/>
        <v>13714837.247000001</v>
      </c>
      <c r="K269" s="502">
        <f>+J269-_CIERRE!U264-_CIERRE!V264</f>
        <v>0</v>
      </c>
      <c r="M269" s="32">
        <v>13106</v>
      </c>
      <c r="N269" s="33">
        <v>13157</v>
      </c>
      <c r="O269" s="4" t="s">
        <v>426</v>
      </c>
      <c r="P269" s="61">
        <f>+_CIERRE!S264</f>
        <v>0</v>
      </c>
      <c r="Q269" s="61">
        <f>+_CIERRE!T264</f>
        <v>13094568.564999999</v>
      </c>
      <c r="R269" s="502">
        <f>+Q269+P269-_CIERRE!T264</f>
        <v>0</v>
      </c>
      <c r="S269" s="61"/>
      <c r="T269" s="61"/>
      <c r="U269" s="61"/>
      <c r="V269" s="61"/>
      <c r="AF269" s="62"/>
      <c r="AG269" s="476"/>
    </row>
    <row r="270" spans="1:33" ht="3" customHeight="1" x14ac:dyDescent="0.25">
      <c r="A270">
        <v>13107</v>
      </c>
      <c r="B270">
        <v>13158</v>
      </c>
      <c r="C270" s="3" t="s">
        <v>291</v>
      </c>
      <c r="D270" s="137">
        <v>3093208.6379999998</v>
      </c>
      <c r="E270" s="138">
        <f t="shared" si="9"/>
        <v>257767.38649999999</v>
      </c>
      <c r="F270" s="138">
        <f>ROUND(E270*PARAMETROS!$L$10,0)</f>
        <v>203636</v>
      </c>
      <c r="G270" s="481">
        <v>0</v>
      </c>
      <c r="H270" s="481">
        <v>107462.254</v>
      </c>
      <c r="I270" s="481">
        <v>996884.25800000003</v>
      </c>
      <c r="J270" s="481">
        <f t="shared" si="10"/>
        <v>4197555.1500000004</v>
      </c>
      <c r="K270" s="502">
        <f>+J270-_CIERRE!U265-_CIERRE!V265</f>
        <v>0</v>
      </c>
      <c r="M270" s="32">
        <v>13107</v>
      </c>
      <c r="N270" s="33">
        <v>13158</v>
      </c>
      <c r="O270" s="4" t="s">
        <v>291</v>
      </c>
      <c r="P270" s="61">
        <f>+_CIERRE!S265</f>
        <v>0</v>
      </c>
      <c r="Q270" s="61">
        <f>+_CIERRE!T265</f>
        <v>4158652.588</v>
      </c>
      <c r="R270" s="502">
        <f>+Q270+P270-_CIERRE!T265</f>
        <v>0</v>
      </c>
      <c r="S270" s="61"/>
      <c r="T270" s="61"/>
      <c r="U270" s="61"/>
      <c r="V270" s="61"/>
      <c r="AF270" s="62"/>
      <c r="AG270" s="476"/>
    </row>
    <row r="271" spans="1:33" ht="3" customHeight="1" x14ac:dyDescent="0.25">
      <c r="A271">
        <v>13108</v>
      </c>
      <c r="B271">
        <v>13167</v>
      </c>
      <c r="C271" s="3" t="s">
        <v>299</v>
      </c>
      <c r="D271" s="137">
        <v>8548357.2390000001</v>
      </c>
      <c r="E271" s="138">
        <f t="shared" si="9"/>
        <v>712363.10325000004</v>
      </c>
      <c r="F271" s="138">
        <f>ROUND(E271*PARAMETROS!$L$10,0)</f>
        <v>562767</v>
      </c>
      <c r="G271" s="481">
        <v>0</v>
      </c>
      <c r="H271" s="481">
        <v>296635.58600000001</v>
      </c>
      <c r="I271" s="481">
        <v>2741812.6540000001</v>
      </c>
      <c r="J271" s="481">
        <f t="shared" si="10"/>
        <v>11586805.478999998</v>
      </c>
      <c r="K271" s="502">
        <f>+J271-_CIERRE!U266-_CIERRE!V266</f>
        <v>0</v>
      </c>
      <c r="M271" s="32">
        <v>13108</v>
      </c>
      <c r="N271" s="33">
        <v>13167</v>
      </c>
      <c r="O271" s="4" t="s">
        <v>299</v>
      </c>
      <c r="P271" s="61">
        <f>+_CIERRE!S266</f>
        <v>0</v>
      </c>
      <c r="Q271" s="61">
        <f>+_CIERRE!T266</f>
        <v>11479421.459000001</v>
      </c>
      <c r="R271" s="502">
        <f>+Q271+P271-_CIERRE!T266</f>
        <v>0</v>
      </c>
      <c r="S271" s="61"/>
      <c r="T271" s="61"/>
      <c r="U271" s="61"/>
      <c r="V271" s="61"/>
      <c r="AF271" s="62"/>
      <c r="AG271" s="476"/>
    </row>
    <row r="272" spans="1:33" ht="3" customHeight="1" x14ac:dyDescent="0.25">
      <c r="A272">
        <v>13109</v>
      </c>
      <c r="B272">
        <v>13110</v>
      </c>
      <c r="C272" s="3" t="s">
        <v>280</v>
      </c>
      <c r="D272" s="137">
        <v>5263504.3439999996</v>
      </c>
      <c r="E272" s="138">
        <f t="shared" si="9"/>
        <v>438625.36199999996</v>
      </c>
      <c r="F272" s="138">
        <f>ROUND(E272*PARAMETROS!$L$10,0)</f>
        <v>346514</v>
      </c>
      <c r="G272" s="481">
        <v>0</v>
      </c>
      <c r="H272" s="481">
        <v>182861.19699999999</v>
      </c>
      <c r="I272" s="481">
        <v>1696330.0090000001</v>
      </c>
      <c r="J272" s="481">
        <f t="shared" si="10"/>
        <v>7142695.5499999989</v>
      </c>
      <c r="K272" s="502">
        <f>+J272-_CIERRE!U267-_CIERRE!V267</f>
        <v>0</v>
      </c>
      <c r="M272" s="32">
        <v>13109</v>
      </c>
      <c r="N272" s="33">
        <v>13110</v>
      </c>
      <c r="O272" s="4" t="s">
        <v>280</v>
      </c>
      <c r="P272" s="61">
        <f>+_CIERRE!S267</f>
        <v>0</v>
      </c>
      <c r="Q272" s="61">
        <f>+_CIERRE!T267</f>
        <v>7076496.3609999996</v>
      </c>
      <c r="R272" s="502">
        <f>+Q272+P272-_CIERRE!T267</f>
        <v>0</v>
      </c>
      <c r="S272" s="61"/>
      <c r="T272" s="61"/>
      <c r="U272" s="61"/>
      <c r="V272" s="61"/>
      <c r="AF272" s="62"/>
      <c r="AG272" s="476"/>
    </row>
    <row r="273" spans="1:33" ht="3" customHeight="1" x14ac:dyDescent="0.25">
      <c r="A273">
        <v>13110</v>
      </c>
      <c r="B273">
        <v>13128</v>
      </c>
      <c r="C273" s="3" t="s">
        <v>284</v>
      </c>
      <c r="D273" s="137">
        <v>29215569.118000001</v>
      </c>
      <c r="E273" s="138">
        <f t="shared" si="9"/>
        <v>2434630.7598333335</v>
      </c>
      <c r="F273" s="138">
        <f>ROUND(E273*PARAMETROS!$L$10,0)</f>
        <v>1923358</v>
      </c>
      <c r="G273" s="481">
        <v>0</v>
      </c>
      <c r="H273" s="481">
        <v>1014988.416</v>
      </c>
      <c r="I273" s="481">
        <v>9415640.6280000005</v>
      </c>
      <c r="J273" s="481">
        <f t="shared" si="10"/>
        <v>39646198.162</v>
      </c>
      <c r="K273" s="502">
        <f>+J273-_CIERRE!U268-_CIERRE!V268</f>
        <v>0</v>
      </c>
      <c r="M273" s="32">
        <v>13110</v>
      </c>
      <c r="N273" s="33">
        <v>13128</v>
      </c>
      <c r="O273" s="4" t="s">
        <v>284</v>
      </c>
      <c r="P273" s="61">
        <f>+_CIERRE!S268</f>
        <v>0</v>
      </c>
      <c r="Q273" s="61">
        <f>+_CIERRE!T268</f>
        <v>39278763.813000001</v>
      </c>
      <c r="R273" s="502">
        <f>+Q273+P273-_CIERRE!T268</f>
        <v>0</v>
      </c>
      <c r="S273" s="61"/>
      <c r="T273" s="61"/>
      <c r="U273" s="61"/>
      <c r="V273" s="61"/>
      <c r="AF273" s="62"/>
      <c r="AG273" s="476"/>
    </row>
    <row r="274" spans="1:33" ht="3" customHeight="1" x14ac:dyDescent="0.25">
      <c r="A274">
        <v>13111</v>
      </c>
      <c r="B274">
        <v>13131</v>
      </c>
      <c r="C274" s="3" t="s">
        <v>285</v>
      </c>
      <c r="D274" s="137">
        <v>13690819.438999999</v>
      </c>
      <c r="E274" s="138">
        <f t="shared" si="9"/>
        <v>1140901.6199166665</v>
      </c>
      <c r="F274" s="138">
        <f>ROUND(E274*PARAMETROS!$L$10,0)</f>
        <v>901312</v>
      </c>
      <c r="G274" s="481">
        <v>0</v>
      </c>
      <c r="H274" s="481">
        <v>475637.59700000001</v>
      </c>
      <c r="I274" s="481">
        <v>4412299.3159999996</v>
      </c>
      <c r="J274" s="481">
        <f t="shared" si="10"/>
        <v>18578756.351999998</v>
      </c>
      <c r="K274" s="502">
        <f>+J274-_CIERRE!U269-_CIERRE!V269</f>
        <v>0</v>
      </c>
      <c r="M274" s="32">
        <v>13111</v>
      </c>
      <c r="N274" s="33">
        <v>13131</v>
      </c>
      <c r="O274" s="4" t="s">
        <v>285</v>
      </c>
      <c r="P274" s="61">
        <f>+_CIERRE!S269</f>
        <v>0</v>
      </c>
      <c r="Q274" s="61">
        <f>+_CIERRE!T269</f>
        <v>18406572.169</v>
      </c>
      <c r="R274" s="502">
        <f>+Q274+P274-_CIERRE!T269</f>
        <v>0</v>
      </c>
      <c r="S274" s="61"/>
      <c r="T274" s="61"/>
      <c r="U274" s="61"/>
      <c r="V274" s="61"/>
      <c r="AF274" s="62"/>
      <c r="AG274" s="476"/>
    </row>
    <row r="275" spans="1:33" ht="3" customHeight="1" x14ac:dyDescent="0.25">
      <c r="A275">
        <v>13112</v>
      </c>
      <c r="B275">
        <v>13154</v>
      </c>
      <c r="C275" s="3" t="s">
        <v>288</v>
      </c>
      <c r="D275" s="137">
        <v>23354009.528999999</v>
      </c>
      <c r="E275" s="138">
        <f t="shared" si="9"/>
        <v>1946167.4607499999</v>
      </c>
      <c r="F275" s="138">
        <f>ROUND(E275*PARAMETROS!$L$10,0)</f>
        <v>1537472</v>
      </c>
      <c r="G275" s="481">
        <v>0</v>
      </c>
      <c r="H275" s="481">
        <v>811349.9</v>
      </c>
      <c r="I275" s="481">
        <v>7526567.7709999997</v>
      </c>
      <c r="J275" s="481">
        <f t="shared" si="10"/>
        <v>31691927.199999996</v>
      </c>
      <c r="K275" s="502">
        <f>+J275-_CIERRE!U270-_CIERRE!V270</f>
        <v>0</v>
      </c>
      <c r="M275" s="32">
        <v>13112</v>
      </c>
      <c r="N275" s="33">
        <v>13154</v>
      </c>
      <c r="O275" s="4" t="s">
        <v>288</v>
      </c>
      <c r="P275" s="61">
        <f>+_CIERRE!S270</f>
        <v>0</v>
      </c>
      <c r="Q275" s="61">
        <f>+_CIERRE!T270</f>
        <v>31398211.717</v>
      </c>
      <c r="R275" s="502">
        <f>+Q275+P275-_CIERRE!T270</f>
        <v>0</v>
      </c>
      <c r="S275" s="61"/>
      <c r="T275" s="61"/>
      <c r="U275" s="61"/>
      <c r="V275" s="61"/>
      <c r="AF275" s="62"/>
      <c r="AG275" s="476"/>
    </row>
    <row r="276" spans="1:33" ht="3" customHeight="1" x14ac:dyDescent="0.25">
      <c r="A276">
        <v>13113</v>
      </c>
      <c r="B276">
        <v>13132</v>
      </c>
      <c r="C276" s="3" t="s">
        <v>286</v>
      </c>
      <c r="D276" s="137">
        <v>1966875.8840000001</v>
      </c>
      <c r="E276" s="138">
        <f t="shared" si="9"/>
        <v>163906.32366666666</v>
      </c>
      <c r="F276" s="138">
        <f>ROUND(E276*PARAMETROS!$L$10,0)</f>
        <v>129486</v>
      </c>
      <c r="G276" s="481">
        <v>0</v>
      </c>
      <c r="H276" s="481">
        <v>68167.051000000007</v>
      </c>
      <c r="I276" s="481">
        <v>627613.14800000004</v>
      </c>
      <c r="J276" s="481">
        <f t="shared" si="10"/>
        <v>2662656.0830000001</v>
      </c>
      <c r="K276" s="502">
        <f>+J276-_CIERRE!U271-_CIERRE!V271</f>
        <v>0</v>
      </c>
      <c r="M276" s="32">
        <v>13113</v>
      </c>
      <c r="N276" s="33">
        <v>13132</v>
      </c>
      <c r="O276" s="4" t="s">
        <v>286</v>
      </c>
      <c r="P276" s="61">
        <f>+_CIERRE!S271</f>
        <v>0</v>
      </c>
      <c r="Q276" s="61">
        <f>+_CIERRE!T271</f>
        <v>2637977.568</v>
      </c>
      <c r="R276" s="502">
        <f>+Q276+P276-_CIERRE!T271</f>
        <v>0</v>
      </c>
      <c r="S276" s="61"/>
      <c r="T276" s="61"/>
      <c r="U276" s="61"/>
      <c r="V276" s="61"/>
      <c r="AF276" s="62"/>
      <c r="AG276" s="476"/>
    </row>
    <row r="277" spans="1:33" ht="3" customHeight="1" x14ac:dyDescent="0.25">
      <c r="A277">
        <v>13114</v>
      </c>
      <c r="B277">
        <v>13108</v>
      </c>
      <c r="C277" s="3" t="s">
        <v>279</v>
      </c>
      <c r="D277" s="137">
        <v>3929998.727</v>
      </c>
      <c r="E277" s="138">
        <f t="shared" si="9"/>
        <v>327499.89391666668</v>
      </c>
      <c r="F277" s="138">
        <f>ROUND(E277*PARAMETROS!$L$10,0)</f>
        <v>258725</v>
      </c>
      <c r="G277" s="481">
        <v>0</v>
      </c>
      <c r="H277" s="481">
        <v>136533.47500000001</v>
      </c>
      <c r="I277" s="481">
        <v>1266566.314</v>
      </c>
      <c r="J277" s="481">
        <f t="shared" si="10"/>
        <v>5333098.5159999998</v>
      </c>
      <c r="K277" s="502">
        <f>+J277-_CIERRE!U272-_CIERRE!V272</f>
        <v>0</v>
      </c>
      <c r="M277" s="32">
        <v>13114</v>
      </c>
      <c r="N277" s="33">
        <v>13108</v>
      </c>
      <c r="O277" s="4" t="s">
        <v>279</v>
      </c>
      <c r="P277" s="61">
        <f>+_CIERRE!S272</f>
        <v>0</v>
      </c>
      <c r="Q277" s="61">
        <f>+_CIERRE!T272</f>
        <v>5283672.3990000002</v>
      </c>
      <c r="R277" s="502">
        <f>+Q277+P277-_CIERRE!T272</f>
        <v>0</v>
      </c>
      <c r="S277" s="61"/>
      <c r="T277" s="61"/>
      <c r="U277" s="61"/>
      <c r="V277" s="61"/>
      <c r="AF277" s="62"/>
      <c r="AG277" s="476"/>
    </row>
    <row r="278" spans="1:33" ht="3" customHeight="1" x14ac:dyDescent="0.25">
      <c r="A278">
        <v>13115</v>
      </c>
      <c r="B278">
        <v>13161</v>
      </c>
      <c r="C278" s="3" t="s">
        <v>294</v>
      </c>
      <c r="D278" s="137">
        <v>2015859.291</v>
      </c>
      <c r="E278" s="138">
        <f t="shared" si="9"/>
        <v>167988.27424999999</v>
      </c>
      <c r="F278" s="138">
        <f>ROUND(E278*PARAMETROS!$L$10,0)</f>
        <v>132711</v>
      </c>
      <c r="G278" s="481">
        <v>0</v>
      </c>
      <c r="H278" s="481">
        <v>69875.716</v>
      </c>
      <c r="I278" s="481">
        <v>643663.29</v>
      </c>
      <c r="J278" s="481">
        <f t="shared" si="10"/>
        <v>2729398.2970000003</v>
      </c>
      <c r="K278" s="502">
        <f>+J278-_CIERRE!U273-_CIERRE!V273</f>
        <v>0</v>
      </c>
      <c r="M278" s="32">
        <v>13115</v>
      </c>
      <c r="N278" s="33">
        <v>13161</v>
      </c>
      <c r="O278" s="4" t="s">
        <v>294</v>
      </c>
      <c r="P278" s="61">
        <f>+_CIERRE!S273</f>
        <v>0</v>
      </c>
      <c r="Q278" s="61">
        <f>+_CIERRE!T273</f>
        <v>2704102.4939999999</v>
      </c>
      <c r="R278" s="502">
        <f>+Q278+P278-_CIERRE!T273</f>
        <v>0</v>
      </c>
      <c r="S278" s="61"/>
      <c r="T278" s="61"/>
      <c r="U278" s="61"/>
      <c r="V278" s="61"/>
      <c r="AF278" s="62"/>
      <c r="AG278" s="476"/>
    </row>
    <row r="279" spans="1:33" ht="3" customHeight="1" x14ac:dyDescent="0.25">
      <c r="A279">
        <v>13116</v>
      </c>
      <c r="B279">
        <v>13164</v>
      </c>
      <c r="C279" s="3" t="s">
        <v>296</v>
      </c>
      <c r="D279" s="137">
        <v>11332794.096999999</v>
      </c>
      <c r="E279" s="138">
        <f t="shared" si="9"/>
        <v>944399.50808333326</v>
      </c>
      <c r="F279" s="138">
        <f>ROUND(E279*PARAMETROS!$L$10,0)</f>
        <v>746076</v>
      </c>
      <c r="G279" s="481">
        <v>0</v>
      </c>
      <c r="H279" s="481">
        <v>393716.60700000002</v>
      </c>
      <c r="I279" s="481">
        <v>3652351.12</v>
      </c>
      <c r="J279" s="481">
        <f t="shared" si="10"/>
        <v>15378861.824000001</v>
      </c>
      <c r="K279" s="502">
        <f>+J279-_CIERRE!U274-_CIERRE!V274</f>
        <v>0</v>
      </c>
      <c r="M279" s="32">
        <v>13116</v>
      </c>
      <c r="N279" s="33">
        <v>13164</v>
      </c>
      <c r="O279" s="4" t="s">
        <v>296</v>
      </c>
      <c r="P279" s="61">
        <f>+_CIERRE!S274</f>
        <v>0</v>
      </c>
      <c r="Q279" s="61">
        <f>+_CIERRE!T274</f>
        <v>15236332.535</v>
      </c>
      <c r="R279" s="502">
        <f>+Q279+P279-_CIERRE!T274</f>
        <v>0</v>
      </c>
      <c r="S279" s="61"/>
      <c r="T279" s="61"/>
      <c r="U279" s="61"/>
      <c r="V279" s="61"/>
      <c r="AF279" s="62"/>
      <c r="AG279" s="476"/>
    </row>
    <row r="280" spans="1:33" ht="3" customHeight="1" x14ac:dyDescent="0.25">
      <c r="A280">
        <v>13117</v>
      </c>
      <c r="B280">
        <v>13155</v>
      </c>
      <c r="C280" s="3" t="s">
        <v>289</v>
      </c>
      <c r="D280" s="137">
        <v>12383637.376</v>
      </c>
      <c r="E280" s="138">
        <f t="shared" si="9"/>
        <v>1031969.7813333333</v>
      </c>
      <c r="F280" s="138">
        <f>ROUND(E280*PARAMETROS!$L$10,0)</f>
        <v>815256</v>
      </c>
      <c r="G280" s="481">
        <v>0</v>
      </c>
      <c r="H280" s="481">
        <v>430224.32500000001</v>
      </c>
      <c r="I280" s="481">
        <v>3991018.5819999999</v>
      </c>
      <c r="J280" s="481">
        <f t="shared" si="10"/>
        <v>16804880.283</v>
      </c>
      <c r="K280" s="502">
        <f>+J280-_CIERRE!U275-_CIERRE!V275</f>
        <v>0</v>
      </c>
      <c r="M280" s="32">
        <v>13117</v>
      </c>
      <c r="N280" s="33">
        <v>13155</v>
      </c>
      <c r="O280" s="4" t="s">
        <v>289</v>
      </c>
      <c r="P280" s="61">
        <f>+_CIERRE!S275</f>
        <v>0</v>
      </c>
      <c r="Q280" s="61">
        <f>+_CIERRE!T275</f>
        <v>16649135.627</v>
      </c>
      <c r="R280" s="502">
        <f>+Q280+P280-_CIERRE!T275</f>
        <v>0</v>
      </c>
      <c r="S280" s="61"/>
      <c r="T280" s="61"/>
      <c r="U280" s="61"/>
      <c r="V280" s="61"/>
      <c r="AF280" s="62"/>
      <c r="AG280" s="476"/>
    </row>
    <row r="281" spans="1:33" ht="3" customHeight="1" x14ac:dyDescent="0.25">
      <c r="A281">
        <v>13118</v>
      </c>
      <c r="B281">
        <v>13151</v>
      </c>
      <c r="C281" s="3" t="s">
        <v>287</v>
      </c>
      <c r="D281" s="137">
        <v>4400092.233</v>
      </c>
      <c r="E281" s="138">
        <f t="shared" si="9"/>
        <v>366674.35275000002</v>
      </c>
      <c r="F281" s="138">
        <f>ROUND(E281*PARAMETROS!$L$10,0)</f>
        <v>289673</v>
      </c>
      <c r="G281" s="481">
        <v>0</v>
      </c>
      <c r="H281" s="481">
        <v>152723.97</v>
      </c>
      <c r="I281" s="481">
        <v>1412695.1440000001</v>
      </c>
      <c r="J281" s="481">
        <f t="shared" si="10"/>
        <v>5965511.3470000001</v>
      </c>
      <c r="K281" s="502">
        <f>+J281-_CIERRE!U276-_CIERRE!V276</f>
        <v>0</v>
      </c>
      <c r="M281" s="32">
        <v>13118</v>
      </c>
      <c r="N281" s="33">
        <v>13151</v>
      </c>
      <c r="O281" s="4" t="s">
        <v>287</v>
      </c>
      <c r="P281" s="61">
        <f>+_CIERRE!S276</f>
        <v>0</v>
      </c>
      <c r="Q281" s="61">
        <f>+_CIERRE!T276</f>
        <v>5822268.892</v>
      </c>
      <c r="R281" s="502">
        <f>+Q281+P281-_CIERRE!T276</f>
        <v>0</v>
      </c>
      <c r="S281" s="61"/>
      <c r="T281" s="61"/>
      <c r="U281" s="61"/>
      <c r="V281" s="61"/>
      <c r="AF281" s="62"/>
      <c r="AG281" s="476"/>
    </row>
    <row r="282" spans="1:33" ht="3" customHeight="1" x14ac:dyDescent="0.25">
      <c r="A282">
        <v>13119</v>
      </c>
      <c r="B282">
        <v>13109</v>
      </c>
      <c r="C282" s="3" t="s">
        <v>427</v>
      </c>
      <c r="D282" s="137">
        <v>52136810.980999999</v>
      </c>
      <c r="E282" s="138">
        <f t="shared" si="9"/>
        <v>4344734.2484166669</v>
      </c>
      <c r="F282" s="138">
        <f>ROUND(E282*PARAMETROS!$L$10,0)</f>
        <v>3432340</v>
      </c>
      <c r="G282" s="481">
        <v>0</v>
      </c>
      <c r="H282" s="481">
        <v>1811303.385</v>
      </c>
      <c r="I282" s="481">
        <v>16802735.344000001</v>
      </c>
      <c r="J282" s="481">
        <f t="shared" si="10"/>
        <v>70750849.709999993</v>
      </c>
      <c r="K282" s="502">
        <f>+J282-_CIERRE!U277-_CIERRE!V277</f>
        <v>0</v>
      </c>
      <c r="M282" s="32">
        <v>13119</v>
      </c>
      <c r="N282" s="33">
        <v>13109</v>
      </c>
      <c r="O282" s="4" t="s">
        <v>427</v>
      </c>
      <c r="P282" s="61">
        <f>+_CIERRE!S277</f>
        <v>0</v>
      </c>
      <c r="Q282" s="61">
        <f>+_CIERRE!T277</f>
        <v>70095143.068000004</v>
      </c>
      <c r="R282" s="502">
        <f>+Q282+P282-_CIERRE!T277</f>
        <v>0</v>
      </c>
      <c r="S282" s="61"/>
      <c r="T282" s="61"/>
      <c r="U282" s="61"/>
      <c r="V282" s="61"/>
      <c r="AF282" s="62"/>
      <c r="AG282" s="476"/>
    </row>
    <row r="283" spans="1:33" ht="3" customHeight="1" x14ac:dyDescent="0.25">
      <c r="A283">
        <v>13120</v>
      </c>
      <c r="B283">
        <v>13105</v>
      </c>
      <c r="C283" s="3" t="s">
        <v>276</v>
      </c>
      <c r="D283" s="137">
        <v>3338158.3339999998</v>
      </c>
      <c r="E283" s="138">
        <f t="shared" si="9"/>
        <v>278179.86116666667</v>
      </c>
      <c r="F283" s="138">
        <f>ROUND(E283*PARAMETROS!$L$10,0)</f>
        <v>219762</v>
      </c>
      <c r="G283" s="481">
        <v>0</v>
      </c>
      <c r="H283" s="481">
        <v>115904.16899999999</v>
      </c>
      <c r="I283" s="481">
        <v>1073240.544</v>
      </c>
      <c r="J283" s="481">
        <f t="shared" si="10"/>
        <v>4527303.0469999993</v>
      </c>
      <c r="K283" s="502">
        <f>+J283-_CIERRE!U278-_CIERRE!V278</f>
        <v>0</v>
      </c>
      <c r="M283" s="32">
        <v>13120</v>
      </c>
      <c r="N283" s="33">
        <v>13105</v>
      </c>
      <c r="O283" s="4" t="s">
        <v>276</v>
      </c>
      <c r="P283" s="61">
        <f>+_CIERRE!S278</f>
        <v>0</v>
      </c>
      <c r="Q283" s="61">
        <f>+_CIERRE!T278</f>
        <v>4485343.8320000004</v>
      </c>
      <c r="R283" s="502">
        <f>+Q283+P283-_CIERRE!T278</f>
        <v>0</v>
      </c>
      <c r="S283" s="61"/>
      <c r="T283" s="61"/>
      <c r="U283" s="61"/>
      <c r="V283" s="61"/>
      <c r="AF283" s="62"/>
      <c r="AG283" s="476"/>
    </row>
    <row r="284" spans="1:33" ht="3" customHeight="1" x14ac:dyDescent="0.25">
      <c r="A284">
        <v>13121</v>
      </c>
      <c r="B284">
        <v>13162</v>
      </c>
      <c r="C284" s="3" t="s">
        <v>295</v>
      </c>
      <c r="D284" s="137">
        <v>10403210.784</v>
      </c>
      <c r="E284" s="138">
        <f t="shared" si="9"/>
        <v>866934.23199999996</v>
      </c>
      <c r="F284" s="138">
        <f>ROUND(E284*PARAMETROS!$L$10,0)</f>
        <v>684878</v>
      </c>
      <c r="G284" s="481">
        <v>0</v>
      </c>
      <c r="H284" s="481">
        <v>361421.625</v>
      </c>
      <c r="I284" s="481">
        <v>3352763.5129999998</v>
      </c>
      <c r="J284" s="481">
        <f t="shared" si="10"/>
        <v>14117395.922</v>
      </c>
      <c r="K284" s="502">
        <f>+J284-_CIERRE!U279-_CIERRE!V279</f>
        <v>0</v>
      </c>
      <c r="M284" s="32">
        <v>13121</v>
      </c>
      <c r="N284" s="33">
        <v>13162</v>
      </c>
      <c r="O284" s="4" t="s">
        <v>295</v>
      </c>
      <c r="P284" s="61">
        <f>+_CIERRE!S279</f>
        <v>0</v>
      </c>
      <c r="Q284" s="61">
        <f>+_CIERRE!T279</f>
        <v>13986558.49</v>
      </c>
      <c r="R284" s="502">
        <f>+Q284+P284-_CIERRE!T279</f>
        <v>0</v>
      </c>
      <c r="S284" s="61"/>
      <c r="T284" s="61"/>
      <c r="U284" s="61"/>
      <c r="V284" s="61"/>
      <c r="AF284" s="62"/>
      <c r="AG284" s="476"/>
    </row>
    <row r="285" spans="1:33" ht="3" customHeight="1" x14ac:dyDescent="0.25">
      <c r="A285">
        <v>13122</v>
      </c>
      <c r="B285">
        <v>13152</v>
      </c>
      <c r="C285" s="3" t="s">
        <v>428</v>
      </c>
      <c r="D285" s="137">
        <v>14643036.629000001</v>
      </c>
      <c r="E285" s="138">
        <f t="shared" si="9"/>
        <v>1220253.0524166666</v>
      </c>
      <c r="F285" s="138">
        <f>ROUND(E285*PARAMETROS!$L$10,0)</f>
        <v>964000</v>
      </c>
      <c r="G285" s="481">
        <v>0</v>
      </c>
      <c r="H285" s="481">
        <v>508718.87900000002</v>
      </c>
      <c r="I285" s="481">
        <v>4719181.0829999996</v>
      </c>
      <c r="J285" s="481">
        <f t="shared" si="10"/>
        <v>19870936.591000002</v>
      </c>
      <c r="K285" s="502">
        <f>+J285-_CIERRE!U280-_CIERRE!V280</f>
        <v>0</v>
      </c>
      <c r="M285" s="32">
        <v>13122</v>
      </c>
      <c r="N285" s="33">
        <v>13152</v>
      </c>
      <c r="O285" s="4" t="s">
        <v>428</v>
      </c>
      <c r="P285" s="61">
        <f>+_CIERRE!S280</f>
        <v>0</v>
      </c>
      <c r="Q285" s="61">
        <f>+_CIERRE!T280</f>
        <v>19686774.609999999</v>
      </c>
      <c r="R285" s="502">
        <f>+Q285+P285-_CIERRE!T280</f>
        <v>0</v>
      </c>
      <c r="S285" s="61"/>
      <c r="T285" s="61"/>
      <c r="U285" s="61"/>
      <c r="V285" s="61"/>
      <c r="AF285" s="62"/>
      <c r="AG285" s="476"/>
    </row>
    <row r="286" spans="1:33" ht="3" customHeight="1" x14ac:dyDescent="0.25">
      <c r="A286">
        <v>13123</v>
      </c>
      <c r="B286">
        <v>13103</v>
      </c>
      <c r="C286" s="3" t="s">
        <v>275</v>
      </c>
      <c r="D286" s="137">
        <v>2610167.8650000002</v>
      </c>
      <c r="E286" s="138">
        <f t="shared" si="9"/>
        <v>217513.98875000002</v>
      </c>
      <c r="F286" s="138">
        <f>ROUND(E286*PARAMETROS!$L$10,0)</f>
        <v>171836</v>
      </c>
      <c r="G286" s="481">
        <v>0</v>
      </c>
      <c r="H286" s="481">
        <v>90680.764999999999</v>
      </c>
      <c r="I286" s="481">
        <v>841209.1</v>
      </c>
      <c r="J286" s="481">
        <f t="shared" si="10"/>
        <v>3542057.7300000004</v>
      </c>
      <c r="K286" s="502">
        <f>+J286-_CIERRE!U281-_CIERRE!V281</f>
        <v>0</v>
      </c>
      <c r="M286" s="32">
        <v>13123</v>
      </c>
      <c r="N286" s="33">
        <v>13103</v>
      </c>
      <c r="O286" s="4" t="s">
        <v>275</v>
      </c>
      <c r="P286" s="61">
        <f>+_CIERRE!S281</f>
        <v>0</v>
      </c>
      <c r="Q286" s="61">
        <f>+_CIERRE!T281</f>
        <v>3509230.6269999999</v>
      </c>
      <c r="R286" s="502">
        <f>+Q286+P286-_CIERRE!T281</f>
        <v>0</v>
      </c>
      <c r="S286" s="61"/>
      <c r="T286" s="61"/>
      <c r="U286" s="61"/>
      <c r="V286" s="61"/>
      <c r="AF286" s="62"/>
      <c r="AG286" s="476"/>
    </row>
    <row r="287" spans="1:33" ht="3" customHeight="1" x14ac:dyDescent="0.25">
      <c r="A287">
        <v>13124</v>
      </c>
      <c r="B287">
        <v>13111</v>
      </c>
      <c r="C287" s="3" t="s">
        <v>281</v>
      </c>
      <c r="D287" s="137">
        <v>15710483.975</v>
      </c>
      <c r="E287" s="138">
        <f t="shared" si="9"/>
        <v>1309206.9979166666</v>
      </c>
      <c r="F287" s="138">
        <f>ROUND(E287*PARAMETROS!$L$10,0)</f>
        <v>1034274</v>
      </c>
      <c r="G287" s="481">
        <v>0</v>
      </c>
      <c r="H287" s="481">
        <v>545803.48</v>
      </c>
      <c r="I287" s="481">
        <v>5063200.057</v>
      </c>
      <c r="J287" s="481">
        <f t="shared" si="10"/>
        <v>21319487.512000002</v>
      </c>
      <c r="K287" s="502">
        <f>+J287-_CIERRE!U282-_CIERRE!V282</f>
        <v>0</v>
      </c>
      <c r="M287" s="32">
        <v>13124</v>
      </c>
      <c r="N287" s="33">
        <v>13111</v>
      </c>
      <c r="O287" s="4" t="s">
        <v>281</v>
      </c>
      <c r="P287" s="61">
        <f>+_CIERRE!S282</f>
        <v>0</v>
      </c>
      <c r="Q287" s="61">
        <f>+_CIERRE!T282</f>
        <v>21121902.045000002</v>
      </c>
      <c r="R287" s="502">
        <f>+Q287+P287-_CIERRE!T282</f>
        <v>0</v>
      </c>
      <c r="S287" s="61"/>
      <c r="T287" s="61"/>
      <c r="U287" s="61"/>
      <c r="V287" s="61"/>
      <c r="AF287" s="62"/>
      <c r="AG287" s="476"/>
    </row>
    <row r="288" spans="1:33" ht="3" customHeight="1" x14ac:dyDescent="0.25">
      <c r="A288">
        <v>13125</v>
      </c>
      <c r="B288">
        <v>13114</v>
      </c>
      <c r="C288" s="3" t="s">
        <v>283</v>
      </c>
      <c r="D288" s="137">
        <v>9773641.6940000001</v>
      </c>
      <c r="E288" s="138">
        <f t="shared" si="9"/>
        <v>814470.14116666664</v>
      </c>
      <c r="F288" s="138">
        <f>ROUND(E288*PARAMETROS!$L$10,0)</f>
        <v>643431</v>
      </c>
      <c r="G288" s="481">
        <v>0</v>
      </c>
      <c r="H288" s="481">
        <v>339546.473</v>
      </c>
      <c r="I288" s="481">
        <v>3149748.3259999999</v>
      </c>
      <c r="J288" s="481">
        <f t="shared" si="10"/>
        <v>13262936.492999999</v>
      </c>
      <c r="K288" s="502">
        <f>+J288-_CIERRE!U283-_CIERRE!V283</f>
        <v>0</v>
      </c>
      <c r="M288" s="32">
        <v>13125</v>
      </c>
      <c r="N288" s="33">
        <v>13114</v>
      </c>
      <c r="O288" s="4" t="s">
        <v>283</v>
      </c>
      <c r="P288" s="61">
        <f>+_CIERRE!S283</f>
        <v>0</v>
      </c>
      <c r="Q288" s="61">
        <f>+_CIERRE!T283</f>
        <v>12685272.377</v>
      </c>
      <c r="R288" s="502">
        <f>+Q288+P288-_CIERRE!T283</f>
        <v>0</v>
      </c>
      <c r="S288" s="61"/>
      <c r="T288" s="61"/>
      <c r="U288" s="61"/>
      <c r="V288" s="61"/>
      <c r="AF288" s="62"/>
      <c r="AG288" s="476"/>
    </row>
    <row r="289" spans="1:33" ht="3" customHeight="1" x14ac:dyDescent="0.25">
      <c r="A289">
        <v>13126</v>
      </c>
      <c r="B289">
        <v>13107</v>
      </c>
      <c r="C289" s="3" t="s">
        <v>278</v>
      </c>
      <c r="D289" s="137">
        <v>9004208.6319999993</v>
      </c>
      <c r="E289" s="138">
        <f t="shared" si="9"/>
        <v>750350.71933333331</v>
      </c>
      <c r="F289" s="138">
        <f>ROUND(E289*PARAMETROS!$L$10,0)</f>
        <v>592777</v>
      </c>
      <c r="G289" s="481">
        <v>0</v>
      </c>
      <c r="H289" s="481">
        <v>312818.39500000002</v>
      </c>
      <c r="I289" s="481">
        <v>2901890.8459999999</v>
      </c>
      <c r="J289" s="481">
        <f t="shared" si="10"/>
        <v>12218917.873</v>
      </c>
      <c r="K289" s="502">
        <f>+J289-_CIERRE!U284-_CIERRE!V284</f>
        <v>0</v>
      </c>
      <c r="M289" s="32">
        <v>13126</v>
      </c>
      <c r="N289" s="33">
        <v>13107</v>
      </c>
      <c r="O289" s="4" t="s">
        <v>278</v>
      </c>
      <c r="P289" s="61">
        <f>+_CIERRE!S284</f>
        <v>0</v>
      </c>
      <c r="Q289" s="61">
        <f>+_CIERRE!T284</f>
        <v>12105674.775</v>
      </c>
      <c r="R289" s="502">
        <f>+Q289+P289-_CIERRE!T284</f>
        <v>0</v>
      </c>
      <c r="S289" s="61"/>
      <c r="T289" s="61"/>
      <c r="U289" s="61"/>
      <c r="V289" s="61"/>
      <c r="AF289" s="62"/>
      <c r="AG289" s="476"/>
    </row>
    <row r="290" spans="1:33" ht="3" customHeight="1" x14ac:dyDescent="0.25">
      <c r="A290">
        <v>13127</v>
      </c>
      <c r="B290">
        <v>13159</v>
      </c>
      <c r="C290" s="3" t="s">
        <v>292</v>
      </c>
      <c r="D290" s="137">
        <v>6485313.6830000002</v>
      </c>
      <c r="E290" s="138">
        <f t="shared" si="9"/>
        <v>540442.80691666668</v>
      </c>
      <c r="F290" s="138">
        <f>ROUND(E290*PARAMETROS!$L$10,0)</f>
        <v>426950</v>
      </c>
      <c r="G290" s="481">
        <v>0</v>
      </c>
      <c r="H290" s="481">
        <v>224821.853</v>
      </c>
      <c r="I290" s="481">
        <v>2071572.2</v>
      </c>
      <c r="J290" s="481">
        <f t="shared" si="10"/>
        <v>8781707.7359999996</v>
      </c>
      <c r="K290" s="502">
        <f>+J290-_CIERRE!U285-_CIERRE!V285</f>
        <v>0</v>
      </c>
      <c r="M290" s="32">
        <v>13127</v>
      </c>
      <c r="N290" s="33">
        <v>13159</v>
      </c>
      <c r="O290" s="4" t="s">
        <v>292</v>
      </c>
      <c r="P290" s="61">
        <f>+_CIERRE!S285</f>
        <v>0</v>
      </c>
      <c r="Q290" s="61">
        <f>+_CIERRE!T285</f>
        <v>8700321.4969999995</v>
      </c>
      <c r="R290" s="502">
        <f>+Q290+P290-_CIERRE!T285</f>
        <v>0</v>
      </c>
      <c r="S290" s="61"/>
      <c r="T290" s="61"/>
      <c r="U290" s="61"/>
      <c r="V290" s="61"/>
      <c r="AF290" s="62"/>
      <c r="AG290" s="476"/>
    </row>
    <row r="291" spans="1:33" ht="3" customHeight="1" x14ac:dyDescent="0.25">
      <c r="A291">
        <v>13128</v>
      </c>
      <c r="B291">
        <v>13113</v>
      </c>
      <c r="C291" s="3" t="s">
        <v>282</v>
      </c>
      <c r="D291" s="137">
        <v>8271025.6339999996</v>
      </c>
      <c r="E291" s="138">
        <f t="shared" si="9"/>
        <v>689252.13616666663</v>
      </c>
      <c r="F291" s="138">
        <f>ROUND(E291*PARAMETROS!$L$10,0)</f>
        <v>544509</v>
      </c>
      <c r="G291" s="481">
        <v>0</v>
      </c>
      <c r="H291" s="481">
        <v>287129.35700000002</v>
      </c>
      <c r="I291" s="481">
        <v>2657330.7340000002</v>
      </c>
      <c r="J291" s="481">
        <f t="shared" si="10"/>
        <v>11215485.725000001</v>
      </c>
      <c r="K291" s="502">
        <f>+J291-_CIERRE!U286-_CIERRE!V286</f>
        <v>0</v>
      </c>
      <c r="M291" s="32">
        <v>13128</v>
      </c>
      <c r="N291" s="33">
        <v>13113</v>
      </c>
      <c r="O291" s="4" t="s">
        <v>282</v>
      </c>
      <c r="P291" s="61">
        <f>+_CIERRE!S286</f>
        <v>0</v>
      </c>
      <c r="Q291" s="61">
        <f>+_CIERRE!T286</f>
        <v>10827871.556</v>
      </c>
      <c r="R291" s="502">
        <f>+Q291+P291-_CIERRE!T286</f>
        <v>0</v>
      </c>
      <c r="S291" s="61"/>
      <c r="T291" s="61"/>
      <c r="U291" s="61"/>
      <c r="V291" s="61"/>
      <c r="AF291" s="62"/>
      <c r="AG291" s="476"/>
    </row>
    <row r="292" spans="1:33" ht="3" customHeight="1" x14ac:dyDescent="0.25">
      <c r="A292">
        <v>13129</v>
      </c>
      <c r="B292">
        <v>13163</v>
      </c>
      <c r="C292" s="3" t="s">
        <v>429</v>
      </c>
      <c r="D292" s="137">
        <v>4797315.2120000003</v>
      </c>
      <c r="E292" s="138">
        <f t="shared" si="9"/>
        <v>399776.26766666671</v>
      </c>
      <c r="F292" s="138">
        <f>ROUND(E292*PARAMETROS!$L$10,0)</f>
        <v>315823</v>
      </c>
      <c r="G292" s="481">
        <v>0</v>
      </c>
      <c r="H292" s="481">
        <v>166341.30600000001</v>
      </c>
      <c r="I292" s="481">
        <v>1533759.287</v>
      </c>
      <c r="J292" s="481">
        <f t="shared" si="10"/>
        <v>6497415.8049999997</v>
      </c>
      <c r="K292" s="502">
        <f>+J292-_CIERRE!U287-_CIERRE!V287</f>
        <v>0</v>
      </c>
      <c r="M292" s="32">
        <v>13129</v>
      </c>
      <c r="N292" s="33">
        <v>13163</v>
      </c>
      <c r="O292" s="4" t="s">
        <v>429</v>
      </c>
      <c r="P292" s="61">
        <f>+_CIERRE!S287</f>
        <v>0</v>
      </c>
      <c r="Q292" s="61">
        <f>+_CIERRE!T287</f>
        <v>6407238.9759999998</v>
      </c>
      <c r="R292" s="502">
        <f>+Q292+P292-_CIERRE!T287</f>
        <v>0</v>
      </c>
      <c r="S292" s="61"/>
      <c r="T292" s="61"/>
      <c r="U292" s="61"/>
      <c r="V292" s="61"/>
      <c r="AF292" s="62"/>
      <c r="AG292" s="476"/>
    </row>
    <row r="293" spans="1:33" ht="3" customHeight="1" x14ac:dyDescent="0.25">
      <c r="A293">
        <v>13130</v>
      </c>
      <c r="B293">
        <v>13106</v>
      </c>
      <c r="C293" s="3" t="s">
        <v>277</v>
      </c>
      <c r="D293" s="137">
        <v>3144076.9509999999</v>
      </c>
      <c r="E293" s="138">
        <f t="shared" si="9"/>
        <v>262006.41258333332</v>
      </c>
      <c r="F293" s="138">
        <f>ROUND(E293*PARAMETROS!$L$10,0)</f>
        <v>206985</v>
      </c>
      <c r="G293" s="481">
        <v>0</v>
      </c>
      <c r="H293" s="481">
        <v>109017.431</v>
      </c>
      <c r="I293" s="481">
        <v>1005207.405</v>
      </c>
      <c r="J293" s="481">
        <f t="shared" si="10"/>
        <v>4258301.7869999995</v>
      </c>
      <c r="K293" s="502">
        <f>+J293-_CIERRE!U288-_CIERRE!V288</f>
        <v>0</v>
      </c>
      <c r="M293" s="32">
        <v>13130</v>
      </c>
      <c r="N293" s="33">
        <v>13106</v>
      </c>
      <c r="O293" s="4" t="s">
        <v>277</v>
      </c>
      <c r="P293" s="61">
        <f>+_CIERRE!S288</f>
        <v>0</v>
      </c>
      <c r="Q293" s="61">
        <f>+_CIERRE!T288</f>
        <v>4069968.4139999999</v>
      </c>
      <c r="R293" s="502">
        <f>+Q293+P293-_CIERRE!T288</f>
        <v>0</v>
      </c>
      <c r="S293" s="61"/>
      <c r="T293" s="61"/>
      <c r="U293" s="61"/>
      <c r="V293" s="61"/>
      <c r="AF293" s="62"/>
      <c r="AG293" s="476"/>
    </row>
    <row r="294" spans="1:33" ht="3" customHeight="1" x14ac:dyDescent="0.25">
      <c r="A294">
        <v>13131</v>
      </c>
      <c r="B294">
        <v>13153</v>
      </c>
      <c r="C294" s="3" t="s">
        <v>430</v>
      </c>
      <c r="D294" s="137">
        <v>9947800.6359999999</v>
      </c>
      <c r="E294" s="138">
        <f t="shared" si="9"/>
        <v>828983.38633333333</v>
      </c>
      <c r="F294" s="138">
        <f>ROUND(E294*PARAMETROS!$L$10,0)</f>
        <v>654897</v>
      </c>
      <c r="G294" s="481">
        <v>0</v>
      </c>
      <c r="H294" s="481">
        <v>345600.05900000001</v>
      </c>
      <c r="I294" s="481">
        <v>3205993.1979999999</v>
      </c>
      <c r="J294" s="481">
        <f t="shared" si="10"/>
        <v>13499393.892999999</v>
      </c>
      <c r="K294" s="502">
        <f>+J294-_CIERRE!U289-_CIERRE!V289</f>
        <v>0</v>
      </c>
      <c r="M294" s="32">
        <v>13131</v>
      </c>
      <c r="N294" s="33">
        <v>13153</v>
      </c>
      <c r="O294" s="4" t="s">
        <v>430</v>
      </c>
      <c r="P294" s="61">
        <f>+_CIERRE!S289</f>
        <v>0</v>
      </c>
      <c r="Q294" s="61">
        <f>+_CIERRE!T289</f>
        <v>13374283.902000001</v>
      </c>
      <c r="R294" s="502">
        <f>+Q294+P294-_CIERRE!T289</f>
        <v>0</v>
      </c>
      <c r="S294" s="61"/>
      <c r="T294" s="61"/>
      <c r="U294" s="61"/>
      <c r="V294" s="61"/>
      <c r="AF294" s="62"/>
      <c r="AG294" s="476"/>
    </row>
    <row r="295" spans="1:33" ht="3" customHeight="1" x14ac:dyDescent="0.25">
      <c r="A295">
        <v>13132</v>
      </c>
      <c r="B295">
        <v>13160</v>
      </c>
      <c r="C295" s="3" t="s">
        <v>293</v>
      </c>
      <c r="D295" s="137">
        <v>1864338.3940000001</v>
      </c>
      <c r="E295" s="138">
        <f t="shared" si="9"/>
        <v>155361.53283333333</v>
      </c>
      <c r="F295" s="138">
        <f>ROUND(E295*PARAMETROS!$L$10,0)</f>
        <v>122736</v>
      </c>
      <c r="G295" s="481">
        <v>0</v>
      </c>
      <c r="H295" s="481">
        <v>64769.64</v>
      </c>
      <c r="I295" s="481">
        <v>600841.98100000003</v>
      </c>
      <c r="J295" s="481">
        <f t="shared" si="10"/>
        <v>2529950.0150000001</v>
      </c>
      <c r="K295" s="502">
        <f>+J295-_CIERRE!U290-_CIERRE!V290</f>
        <v>0</v>
      </c>
      <c r="M295" s="32">
        <v>13132</v>
      </c>
      <c r="N295" s="33">
        <v>13160</v>
      </c>
      <c r="O295" s="4" t="s">
        <v>293</v>
      </c>
      <c r="P295" s="61">
        <f>+_CIERRE!S290</f>
        <v>0</v>
      </c>
      <c r="Q295" s="61">
        <f>+_CIERRE!T290</f>
        <v>2506503.4700000002</v>
      </c>
      <c r="R295" s="502">
        <f>+Q295+P295-_CIERRE!T290</f>
        <v>0</v>
      </c>
      <c r="S295" s="61"/>
      <c r="T295" s="61"/>
      <c r="U295" s="61"/>
      <c r="V295" s="61"/>
      <c r="AF295" s="62"/>
      <c r="AG295" s="476"/>
    </row>
    <row r="296" spans="1:33" ht="3" customHeight="1" x14ac:dyDescent="0.25">
      <c r="A296">
        <v>13201</v>
      </c>
      <c r="B296">
        <v>13301</v>
      </c>
      <c r="C296" s="3" t="s">
        <v>303</v>
      </c>
      <c r="D296" s="137">
        <v>63424345.839000002</v>
      </c>
      <c r="E296" s="138">
        <f t="shared" si="9"/>
        <v>5285362.1532500004</v>
      </c>
      <c r="F296" s="138">
        <f>ROUND(E296*PARAMETROS!$L$10,0)</f>
        <v>4175436</v>
      </c>
      <c r="G296" s="481">
        <v>0</v>
      </c>
      <c r="H296" s="481">
        <v>2203447.62</v>
      </c>
      <c r="I296" s="481">
        <v>20440500.237</v>
      </c>
      <c r="J296" s="481">
        <f t="shared" si="10"/>
        <v>86068293.695999995</v>
      </c>
      <c r="K296" s="502">
        <f>+J296-_CIERRE!U291-_CIERRE!V291</f>
        <v>0</v>
      </c>
      <c r="M296" s="32">
        <v>13201</v>
      </c>
      <c r="N296" s="33">
        <v>13301</v>
      </c>
      <c r="O296" s="4" t="s">
        <v>303</v>
      </c>
      <c r="P296" s="61">
        <f>+_CIERRE!S291</f>
        <v>0</v>
      </c>
      <c r="Q296" s="61">
        <f>+_CIERRE!T291</f>
        <v>85270627.679000005</v>
      </c>
      <c r="R296" s="502">
        <f>+Q296+P296-_CIERRE!T291</f>
        <v>0</v>
      </c>
      <c r="S296" s="61"/>
      <c r="T296" s="61"/>
      <c r="U296" s="61"/>
      <c r="V296" s="61"/>
      <c r="AF296" s="62"/>
      <c r="AG296" s="476"/>
    </row>
    <row r="297" spans="1:33" ht="3" customHeight="1" x14ac:dyDescent="0.25">
      <c r="A297">
        <v>13202</v>
      </c>
      <c r="B297">
        <v>13302</v>
      </c>
      <c r="C297" s="3" t="s">
        <v>304</v>
      </c>
      <c r="D297" s="137">
        <v>1766819.6240000001</v>
      </c>
      <c r="E297" s="138">
        <f t="shared" si="9"/>
        <v>147234.96866666668</v>
      </c>
      <c r="F297" s="138">
        <f>ROUND(E297*PARAMETROS!$L$10,0)</f>
        <v>116316</v>
      </c>
      <c r="G297" s="481">
        <v>0</v>
      </c>
      <c r="H297" s="481">
        <v>61253.432000000001</v>
      </c>
      <c r="I297" s="481">
        <v>564531.04799999995</v>
      </c>
      <c r="J297" s="481">
        <f t="shared" si="10"/>
        <v>2392604.1040000003</v>
      </c>
      <c r="K297" s="502">
        <f>+J297-_CIERRE!U292-_CIERRE!V292</f>
        <v>0</v>
      </c>
      <c r="M297" s="32">
        <v>13202</v>
      </c>
      <c r="N297" s="33">
        <v>13302</v>
      </c>
      <c r="O297" s="4" t="s">
        <v>304</v>
      </c>
      <c r="P297" s="61">
        <f>+_CIERRE!S292</f>
        <v>0</v>
      </c>
      <c r="Q297" s="61">
        <f>+_CIERRE!T292</f>
        <v>2330487.3870000001</v>
      </c>
      <c r="R297" s="502">
        <f>+Q297+P297-_CIERRE!T292</f>
        <v>0</v>
      </c>
      <c r="S297" s="61"/>
      <c r="T297" s="61"/>
      <c r="U297" s="61"/>
      <c r="V297" s="61"/>
      <c r="AF297" s="62"/>
      <c r="AG297" s="476"/>
    </row>
    <row r="298" spans="1:33" ht="3" customHeight="1" x14ac:dyDescent="0.25">
      <c r="A298">
        <v>13203</v>
      </c>
      <c r="B298">
        <v>13303</v>
      </c>
      <c r="C298" s="3" t="s">
        <v>431</v>
      </c>
      <c r="D298" s="137">
        <v>1760464.794</v>
      </c>
      <c r="E298" s="138">
        <f t="shared" si="9"/>
        <v>146705.3995</v>
      </c>
      <c r="F298" s="138">
        <f>ROUND(E298*PARAMETROS!$L$10,0)</f>
        <v>115897</v>
      </c>
      <c r="G298" s="481">
        <v>0</v>
      </c>
      <c r="H298" s="481">
        <v>61135.12</v>
      </c>
      <c r="I298" s="481">
        <v>566383</v>
      </c>
      <c r="J298" s="481">
        <f t="shared" si="10"/>
        <v>2387982.9139999999</v>
      </c>
      <c r="K298" s="502">
        <f>+J298-_CIERRE!U293-_CIERRE!V293</f>
        <v>0</v>
      </c>
      <c r="M298" s="32">
        <v>13203</v>
      </c>
      <c r="N298" s="33">
        <v>13303</v>
      </c>
      <c r="O298" s="4" t="s">
        <v>431</v>
      </c>
      <c r="P298" s="61">
        <f>+_CIERRE!S293</f>
        <v>0</v>
      </c>
      <c r="Q298" s="61">
        <f>+_CIERRE!T293</f>
        <v>2333162.5180000002</v>
      </c>
      <c r="R298" s="502">
        <f>+Q298+P298-_CIERRE!T293</f>
        <v>0</v>
      </c>
      <c r="S298" s="61"/>
      <c r="T298" s="61"/>
      <c r="U298" s="61"/>
      <c r="V298" s="61"/>
      <c r="AF298" s="62"/>
      <c r="AG298" s="476"/>
    </row>
    <row r="299" spans="1:33" ht="3" customHeight="1" x14ac:dyDescent="0.25">
      <c r="A299">
        <v>13301</v>
      </c>
      <c r="B299">
        <v>13201</v>
      </c>
      <c r="C299" s="3" t="s">
        <v>300</v>
      </c>
      <c r="D299" s="137">
        <v>5193285.9809999997</v>
      </c>
      <c r="E299" s="138">
        <f t="shared" si="9"/>
        <v>432773.83174999995</v>
      </c>
      <c r="F299" s="138">
        <f>ROUND(E299*PARAMETROS!$L$10,0)</f>
        <v>341891</v>
      </c>
      <c r="G299" s="481">
        <v>0</v>
      </c>
      <c r="H299" s="481">
        <v>180385.80799999999</v>
      </c>
      <c r="I299" s="481">
        <v>1672331.5060000001</v>
      </c>
      <c r="J299" s="481">
        <f t="shared" si="10"/>
        <v>7046003.2949999999</v>
      </c>
      <c r="K299" s="502">
        <f>+J299-_CIERRE!U294-_CIERRE!V294</f>
        <v>0</v>
      </c>
      <c r="M299" s="32">
        <v>13301</v>
      </c>
      <c r="N299" s="33">
        <v>13201</v>
      </c>
      <c r="O299" s="4" t="s">
        <v>300</v>
      </c>
      <c r="P299" s="61">
        <f>+_CIERRE!S294</f>
        <v>0</v>
      </c>
      <c r="Q299" s="61">
        <f>+_CIERRE!T294</f>
        <v>6740647.5659999996</v>
      </c>
      <c r="R299" s="502">
        <f>+Q299+P299-_CIERRE!T294</f>
        <v>0</v>
      </c>
      <c r="S299" s="61"/>
      <c r="T299" s="61"/>
      <c r="U299" s="61"/>
      <c r="V299" s="61"/>
      <c r="AF299" s="62"/>
      <c r="AG299" s="476"/>
    </row>
    <row r="300" spans="1:33" ht="3" customHeight="1" x14ac:dyDescent="0.25">
      <c r="A300">
        <v>13302</v>
      </c>
      <c r="B300">
        <v>13202</v>
      </c>
      <c r="C300" s="3" t="s">
        <v>301</v>
      </c>
      <c r="D300" s="137">
        <v>4583257.9630000005</v>
      </c>
      <c r="E300" s="138">
        <f t="shared" si="9"/>
        <v>381938.16358333337</v>
      </c>
      <c r="F300" s="138">
        <f>ROUND(E300*PARAMETROS!$L$10,0)</f>
        <v>301731</v>
      </c>
      <c r="G300" s="481">
        <v>0</v>
      </c>
      <c r="H300" s="481">
        <v>158985.247</v>
      </c>
      <c r="I300" s="481">
        <v>1467839.1569999999</v>
      </c>
      <c r="J300" s="481">
        <f t="shared" si="10"/>
        <v>6210082.3670000006</v>
      </c>
      <c r="K300" s="502">
        <f>+J300-_CIERRE!U295-_CIERRE!V295</f>
        <v>0</v>
      </c>
      <c r="M300" s="32">
        <v>13302</v>
      </c>
      <c r="N300" s="33">
        <v>13202</v>
      </c>
      <c r="O300" s="4" t="s">
        <v>301</v>
      </c>
      <c r="P300" s="61">
        <f>+_CIERRE!S295</f>
        <v>0</v>
      </c>
      <c r="Q300" s="61">
        <f>+_CIERRE!T295</f>
        <v>6029270.3930000002</v>
      </c>
      <c r="R300" s="502">
        <f>+Q300+P300-_CIERRE!T295</f>
        <v>0</v>
      </c>
      <c r="S300" s="61"/>
      <c r="T300" s="61"/>
      <c r="U300" s="61"/>
      <c r="V300" s="61"/>
      <c r="AF300" s="62"/>
      <c r="AG300" s="476"/>
    </row>
    <row r="301" spans="1:33" ht="3" customHeight="1" x14ac:dyDescent="0.25">
      <c r="A301">
        <v>13303</v>
      </c>
      <c r="B301">
        <v>13203</v>
      </c>
      <c r="C301" s="3" t="s">
        <v>302</v>
      </c>
      <c r="D301" s="137">
        <v>1948504.06</v>
      </c>
      <c r="E301" s="138">
        <f t="shared" si="9"/>
        <v>162375.33833333335</v>
      </c>
      <c r="F301" s="138">
        <f>ROUND(E301*PARAMETROS!$L$10,0)</f>
        <v>128277</v>
      </c>
      <c r="G301" s="481">
        <v>0</v>
      </c>
      <c r="H301" s="481">
        <v>67686.202000000005</v>
      </c>
      <c r="I301" s="481">
        <v>627683.76</v>
      </c>
      <c r="J301" s="481">
        <f t="shared" si="10"/>
        <v>2643874.0219999999</v>
      </c>
      <c r="K301" s="502">
        <f>+J301-_CIERRE!U296-_CIERRE!V296</f>
        <v>0</v>
      </c>
      <c r="M301" s="32">
        <v>13303</v>
      </c>
      <c r="N301" s="33">
        <v>13203</v>
      </c>
      <c r="O301" s="4" t="s">
        <v>302</v>
      </c>
      <c r="P301" s="61">
        <f>+_CIERRE!S296</f>
        <v>0</v>
      </c>
      <c r="Q301" s="61">
        <f>+_CIERRE!T296</f>
        <v>2520369.4309999999</v>
      </c>
      <c r="R301" s="502">
        <f>+Q301+P301-_CIERRE!T296</f>
        <v>0</v>
      </c>
      <c r="S301" s="61"/>
      <c r="T301" s="61"/>
      <c r="U301" s="61"/>
      <c r="V301" s="61"/>
      <c r="AF301" s="62"/>
      <c r="AG301" s="476"/>
    </row>
    <row r="302" spans="1:33" ht="3" customHeight="1" x14ac:dyDescent="0.25">
      <c r="A302">
        <v>13401</v>
      </c>
      <c r="B302">
        <v>13401</v>
      </c>
      <c r="C302" s="3" t="s">
        <v>305</v>
      </c>
      <c r="D302" s="137">
        <v>19053814.919</v>
      </c>
      <c r="E302" s="138">
        <f t="shared" si="9"/>
        <v>1587817.9099166666</v>
      </c>
      <c r="F302" s="138">
        <f>ROUND(E302*PARAMETROS!$L$10,0)</f>
        <v>1254376</v>
      </c>
      <c r="G302" s="481">
        <v>0</v>
      </c>
      <c r="H302" s="481">
        <v>661955.32299999997</v>
      </c>
      <c r="I302" s="481">
        <v>6140694.1370000001</v>
      </c>
      <c r="J302" s="481">
        <f t="shared" si="10"/>
        <v>25856464.379000001</v>
      </c>
      <c r="K302" s="502">
        <f>+J302-_CIERRE!U297-_CIERRE!V297</f>
        <v>0</v>
      </c>
      <c r="M302" s="32">
        <v>13401</v>
      </c>
      <c r="N302" s="33">
        <v>13401</v>
      </c>
      <c r="O302" s="4" t="s">
        <v>305</v>
      </c>
      <c r="P302" s="61">
        <f>+_CIERRE!S297</f>
        <v>0</v>
      </c>
      <c r="Q302" s="61">
        <f>+_CIERRE!T297</f>
        <v>25616831.004999999</v>
      </c>
      <c r="R302" s="502">
        <f>+Q302+P302-_CIERRE!T297</f>
        <v>0</v>
      </c>
      <c r="S302" s="61"/>
      <c r="T302" s="61"/>
      <c r="U302" s="61"/>
      <c r="V302" s="61"/>
      <c r="AF302" s="62"/>
      <c r="AG302" s="476"/>
    </row>
    <row r="303" spans="1:33" ht="3" customHeight="1" x14ac:dyDescent="0.25">
      <c r="A303">
        <v>13402</v>
      </c>
      <c r="B303">
        <v>13403</v>
      </c>
      <c r="C303" s="3" t="s">
        <v>307</v>
      </c>
      <c r="D303" s="137">
        <v>4487416.3279999997</v>
      </c>
      <c r="E303" s="138">
        <f t="shared" si="9"/>
        <v>373951.36066666665</v>
      </c>
      <c r="F303" s="138">
        <f>ROUND(E303*PARAMETROS!$L$10,0)</f>
        <v>295422</v>
      </c>
      <c r="G303" s="481">
        <v>0</v>
      </c>
      <c r="H303" s="481">
        <v>155785.842</v>
      </c>
      <c r="I303" s="481">
        <v>1441907.111</v>
      </c>
      <c r="J303" s="481">
        <f t="shared" si="10"/>
        <v>6085109.2809999995</v>
      </c>
      <c r="K303" s="502">
        <f>+J303-_CIERRE!U298-_CIERRE!V298</f>
        <v>0</v>
      </c>
      <c r="M303" s="32">
        <v>13402</v>
      </c>
      <c r="N303" s="33">
        <v>13403</v>
      </c>
      <c r="O303" s="4" t="s">
        <v>307</v>
      </c>
      <c r="P303" s="61">
        <f>+_CIERRE!S298</f>
        <v>0</v>
      </c>
      <c r="Q303" s="61">
        <f>+_CIERRE!T298</f>
        <v>5967308.2989999996</v>
      </c>
      <c r="R303" s="502">
        <f>+Q303+P303-_CIERRE!T298</f>
        <v>0</v>
      </c>
      <c r="S303" s="61"/>
      <c r="T303" s="61"/>
      <c r="U303" s="61"/>
      <c r="V303" s="61"/>
      <c r="AF303" s="62"/>
      <c r="AG303" s="476"/>
    </row>
    <row r="304" spans="1:33" ht="3" customHeight="1" x14ac:dyDescent="0.25">
      <c r="A304">
        <v>13403</v>
      </c>
      <c r="B304">
        <v>13402</v>
      </c>
      <c r="C304" s="3" t="s">
        <v>306</v>
      </c>
      <c r="D304" s="137">
        <v>1770198.675</v>
      </c>
      <c r="E304" s="138">
        <f t="shared" si="9"/>
        <v>147516.55624999999</v>
      </c>
      <c r="F304" s="138">
        <f>ROUND(E304*PARAMETROS!$L$10,0)</f>
        <v>116538</v>
      </c>
      <c r="G304" s="481">
        <v>0</v>
      </c>
      <c r="H304" s="481">
        <v>61409.656000000003</v>
      </c>
      <c r="I304" s="481">
        <v>567098.65099999995</v>
      </c>
      <c r="J304" s="481">
        <f t="shared" si="10"/>
        <v>2398706.9819999998</v>
      </c>
      <c r="K304" s="502">
        <f>+J304-_CIERRE!U299-_CIERRE!V299</f>
        <v>0</v>
      </c>
      <c r="M304" s="32">
        <v>13403</v>
      </c>
      <c r="N304" s="33">
        <v>13402</v>
      </c>
      <c r="O304" s="4" t="s">
        <v>306</v>
      </c>
      <c r="P304" s="61">
        <f>+_CIERRE!S299</f>
        <v>0</v>
      </c>
      <c r="Q304" s="61">
        <f>+_CIERRE!T299</f>
        <v>2313375.182</v>
      </c>
      <c r="R304" s="502">
        <f>+Q304+P304-_CIERRE!T299</f>
        <v>0</v>
      </c>
      <c r="S304" s="61"/>
      <c r="T304" s="61"/>
      <c r="U304" s="61"/>
      <c r="V304" s="61"/>
      <c r="AF304" s="62"/>
      <c r="AG304" s="476"/>
    </row>
    <row r="305" spans="1:33" ht="3" customHeight="1" x14ac:dyDescent="0.25">
      <c r="A305">
        <v>13404</v>
      </c>
      <c r="B305">
        <v>13404</v>
      </c>
      <c r="C305" s="3" t="s">
        <v>308</v>
      </c>
      <c r="D305" s="137">
        <v>4056483.287</v>
      </c>
      <c r="E305" s="138">
        <f t="shared" si="9"/>
        <v>338040.27391666669</v>
      </c>
      <c r="F305" s="138">
        <f>ROUND(E305*PARAMETROS!$L$10,0)</f>
        <v>267052</v>
      </c>
      <c r="G305" s="481">
        <v>0</v>
      </c>
      <c r="H305" s="481">
        <v>140927.72099999999</v>
      </c>
      <c r="I305" s="481">
        <v>1307329.9620000001</v>
      </c>
      <c r="J305" s="481">
        <f t="shared" si="10"/>
        <v>5504740.9700000007</v>
      </c>
      <c r="K305" s="502">
        <f>+J305-_CIERRE!U300-_CIERRE!V300</f>
        <v>0</v>
      </c>
      <c r="M305" s="32">
        <v>13404</v>
      </c>
      <c r="N305" s="33">
        <v>13404</v>
      </c>
      <c r="O305" s="4" t="s">
        <v>308</v>
      </c>
      <c r="P305" s="61">
        <f>+_CIERRE!S300</f>
        <v>0</v>
      </c>
      <c r="Q305" s="61">
        <f>+_CIERRE!T300</f>
        <v>5453724.1780000003</v>
      </c>
      <c r="R305" s="502">
        <f>+Q305+P305-_CIERRE!T300</f>
        <v>0</v>
      </c>
      <c r="S305" s="61"/>
      <c r="T305" s="61"/>
      <c r="U305" s="61"/>
      <c r="V305" s="61"/>
      <c r="AF305" s="62"/>
      <c r="AG305" s="476"/>
    </row>
    <row r="306" spans="1:33" ht="3" customHeight="1" x14ac:dyDescent="0.25">
      <c r="A306">
        <v>13501</v>
      </c>
      <c r="B306">
        <v>13601</v>
      </c>
      <c r="C306" s="3" t="s">
        <v>314</v>
      </c>
      <c r="D306" s="137">
        <v>16601326.274</v>
      </c>
      <c r="E306" s="138">
        <f t="shared" si="9"/>
        <v>1383443.8561666666</v>
      </c>
      <c r="F306" s="138">
        <f>ROUND(E306*PARAMETROS!$L$10,0)</f>
        <v>1092921</v>
      </c>
      <c r="G306" s="481">
        <v>0</v>
      </c>
      <c r="H306" s="481">
        <v>576973.353</v>
      </c>
      <c r="I306" s="481">
        <v>5358706.7580000004</v>
      </c>
      <c r="J306" s="481">
        <f t="shared" si="10"/>
        <v>22537006.385000002</v>
      </c>
      <c r="K306" s="502">
        <f>+J306-_CIERRE!U301-_CIERRE!V301</f>
        <v>0</v>
      </c>
      <c r="M306" s="32">
        <v>13501</v>
      </c>
      <c r="N306" s="33">
        <v>13601</v>
      </c>
      <c r="O306" s="4" t="s">
        <v>314</v>
      </c>
      <c r="P306" s="61">
        <f>+_CIERRE!S301</f>
        <v>0</v>
      </c>
      <c r="Q306" s="61">
        <f>+_CIERRE!T301</f>
        <v>19578027.181000002</v>
      </c>
      <c r="R306" s="502">
        <f>+Q306+P306-_CIERRE!T301</f>
        <v>0</v>
      </c>
      <c r="S306" s="61"/>
      <c r="T306" s="61"/>
      <c r="U306" s="61"/>
      <c r="V306" s="61"/>
      <c r="AF306" s="62"/>
      <c r="AG306" s="476"/>
    </row>
    <row r="307" spans="1:33" ht="3" customHeight="1" x14ac:dyDescent="0.25">
      <c r="A307">
        <v>13502</v>
      </c>
      <c r="B307">
        <v>13605</v>
      </c>
      <c r="C307" s="3" t="s">
        <v>432</v>
      </c>
      <c r="D307" s="137">
        <v>1665706.0859999999</v>
      </c>
      <c r="E307" s="138">
        <f t="shared" si="9"/>
        <v>138808.84049999999</v>
      </c>
      <c r="F307" s="138">
        <f>ROUND(E307*PARAMETROS!$L$10,0)</f>
        <v>109659</v>
      </c>
      <c r="G307" s="481">
        <v>0</v>
      </c>
      <c r="H307" s="481">
        <v>57916.828999999998</v>
      </c>
      <c r="I307" s="481">
        <v>538652.005</v>
      </c>
      <c r="J307" s="481">
        <f t="shared" si="10"/>
        <v>2262274.92</v>
      </c>
      <c r="K307" s="502">
        <f>+J307-_CIERRE!U302-_CIERRE!V302</f>
        <v>0</v>
      </c>
      <c r="M307" s="32">
        <v>13502</v>
      </c>
      <c r="N307" s="33">
        <v>13605</v>
      </c>
      <c r="O307" s="4" t="s">
        <v>432</v>
      </c>
      <c r="P307" s="61">
        <f>+_CIERRE!S302</f>
        <v>0</v>
      </c>
      <c r="Q307" s="61">
        <f>+_CIERRE!T302</f>
        <v>2130568.5049999999</v>
      </c>
      <c r="R307" s="502">
        <f>+Q307+P307-_CIERRE!T302</f>
        <v>0</v>
      </c>
      <c r="S307" s="61"/>
      <c r="T307" s="61"/>
      <c r="U307" s="61"/>
      <c r="V307" s="61"/>
      <c r="AF307" s="62"/>
      <c r="AG307" s="476"/>
    </row>
    <row r="308" spans="1:33" ht="3" customHeight="1" x14ac:dyDescent="0.25">
      <c r="A308">
        <v>13503</v>
      </c>
      <c r="B308">
        <v>13603</v>
      </c>
      <c r="C308" s="3" t="s">
        <v>433</v>
      </c>
      <c r="D308" s="137">
        <v>2765195.4449999998</v>
      </c>
      <c r="E308" s="138">
        <f t="shared" si="9"/>
        <v>230432.95374999999</v>
      </c>
      <c r="F308" s="138">
        <f>ROUND(E308*PARAMETROS!$L$10,0)</f>
        <v>182042</v>
      </c>
      <c r="G308" s="481">
        <v>0</v>
      </c>
      <c r="H308" s="481">
        <v>96066.631999999998</v>
      </c>
      <c r="I308" s="481">
        <v>891171.63600000006</v>
      </c>
      <c r="J308" s="481">
        <f t="shared" si="10"/>
        <v>3752433.713</v>
      </c>
      <c r="K308" s="502">
        <f>+J308-_CIERRE!U303-_CIERRE!V303</f>
        <v>0</v>
      </c>
      <c r="M308" s="32">
        <v>13503</v>
      </c>
      <c r="N308" s="33">
        <v>13603</v>
      </c>
      <c r="O308" s="4" t="s">
        <v>433</v>
      </c>
      <c r="P308" s="61">
        <f>+_CIERRE!S303</f>
        <v>0</v>
      </c>
      <c r="Q308" s="61">
        <f>+_CIERRE!T303</f>
        <v>3717656.801</v>
      </c>
      <c r="R308" s="502">
        <f>+Q308+P308-_CIERRE!T303</f>
        <v>0</v>
      </c>
      <c r="S308" s="61"/>
      <c r="T308" s="61"/>
      <c r="U308" s="61"/>
      <c r="V308" s="61"/>
      <c r="AF308" s="62"/>
      <c r="AG308" s="476"/>
    </row>
    <row r="309" spans="1:33" ht="3" customHeight="1" x14ac:dyDescent="0.25">
      <c r="A309">
        <v>13504</v>
      </c>
      <c r="B309">
        <v>13602</v>
      </c>
      <c r="C309" s="3" t="s">
        <v>434</v>
      </c>
      <c r="D309" s="137">
        <v>1893169.247</v>
      </c>
      <c r="E309" s="138">
        <f t="shared" si="9"/>
        <v>157764.10391666667</v>
      </c>
      <c r="F309" s="138">
        <f>ROUND(E309*PARAMETROS!$L$10,0)</f>
        <v>124634</v>
      </c>
      <c r="G309" s="481">
        <v>0</v>
      </c>
      <c r="H309" s="481">
        <v>65788.157999999996</v>
      </c>
      <c r="I309" s="481">
        <v>610776.97</v>
      </c>
      <c r="J309" s="481">
        <f t="shared" si="10"/>
        <v>2569734.375</v>
      </c>
      <c r="K309" s="502">
        <f>+J309-_CIERRE!U304-_CIERRE!V304</f>
        <v>0</v>
      </c>
      <c r="M309" s="32">
        <v>13504</v>
      </c>
      <c r="N309" s="33">
        <v>13602</v>
      </c>
      <c r="O309" s="4" t="s">
        <v>434</v>
      </c>
      <c r="P309" s="61">
        <f>+_CIERRE!S304</f>
        <v>0</v>
      </c>
      <c r="Q309" s="61">
        <f>+_CIERRE!T304</f>
        <v>2461163.3870000001</v>
      </c>
      <c r="R309" s="502">
        <f>+Q309+P309-_CIERRE!T304</f>
        <v>0</v>
      </c>
      <c r="S309" s="61"/>
      <c r="T309" s="61"/>
      <c r="U309" s="61"/>
      <c r="V309" s="61"/>
      <c r="AF309" s="62"/>
      <c r="AG309" s="476"/>
    </row>
    <row r="310" spans="1:33" ht="3" customHeight="1" x14ac:dyDescent="0.25">
      <c r="A310">
        <v>13505</v>
      </c>
      <c r="B310">
        <v>13604</v>
      </c>
      <c r="C310" s="3" t="s">
        <v>315</v>
      </c>
      <c r="D310" s="137">
        <v>2133769.6830000002</v>
      </c>
      <c r="E310" s="138">
        <f t="shared" si="9"/>
        <v>177814.14025000003</v>
      </c>
      <c r="F310" s="138">
        <f>ROUND(E310*PARAMETROS!$L$10,0)</f>
        <v>140473</v>
      </c>
      <c r="G310" s="481">
        <v>0</v>
      </c>
      <c r="H310" s="481">
        <v>74194.947</v>
      </c>
      <c r="I310" s="481">
        <v>690145.70600000001</v>
      </c>
      <c r="J310" s="481">
        <f t="shared" si="10"/>
        <v>2898110.3360000001</v>
      </c>
      <c r="K310" s="502">
        <f>+J310-_CIERRE!U305-_CIERRE!V305</f>
        <v>0</v>
      </c>
      <c r="M310" s="32">
        <v>13505</v>
      </c>
      <c r="N310" s="33">
        <v>13604</v>
      </c>
      <c r="O310" s="4" t="s">
        <v>315</v>
      </c>
      <c r="P310" s="61">
        <f>+_CIERRE!S305</f>
        <v>0</v>
      </c>
      <c r="Q310" s="61">
        <f>+_CIERRE!T305</f>
        <v>2831266.7450000001</v>
      </c>
      <c r="R310" s="502">
        <f>+Q310+P310-_CIERRE!T305</f>
        <v>0</v>
      </c>
      <c r="S310" s="61"/>
      <c r="T310" s="61"/>
      <c r="U310" s="61"/>
      <c r="V310" s="61"/>
      <c r="AF310" s="62"/>
      <c r="AG310" s="476"/>
    </row>
    <row r="311" spans="1:33" ht="3" customHeight="1" x14ac:dyDescent="0.25">
      <c r="A311">
        <v>13601</v>
      </c>
      <c r="B311">
        <v>13501</v>
      </c>
      <c r="C311" s="3" t="s">
        <v>309</v>
      </c>
      <c r="D311" s="137">
        <v>6429903.1509999996</v>
      </c>
      <c r="E311" s="138">
        <f t="shared" si="9"/>
        <v>535825.2625833333</v>
      </c>
      <c r="F311" s="138">
        <f>ROUND(E311*PARAMETROS!$L$10,0)</f>
        <v>423302</v>
      </c>
      <c r="G311" s="481">
        <v>0</v>
      </c>
      <c r="H311" s="481">
        <v>223383.538</v>
      </c>
      <c r="I311" s="481">
        <v>2072239.5349999999</v>
      </c>
      <c r="J311" s="481">
        <f t="shared" si="10"/>
        <v>8725526.2239999995</v>
      </c>
      <c r="K311" s="502">
        <f>+J311-_CIERRE!U306-_CIERRE!V306</f>
        <v>0</v>
      </c>
      <c r="M311" s="32">
        <v>13601</v>
      </c>
      <c r="N311" s="33">
        <v>13501</v>
      </c>
      <c r="O311" s="4" t="s">
        <v>309</v>
      </c>
      <c r="P311" s="61">
        <f>+_CIERRE!S306</f>
        <v>0</v>
      </c>
      <c r="Q311" s="61">
        <f>+_CIERRE!T306</f>
        <v>8644659.8220000006</v>
      </c>
      <c r="R311" s="502">
        <f>+Q311+P311-_CIERRE!T306</f>
        <v>0</v>
      </c>
      <c r="S311" s="61"/>
      <c r="T311" s="61"/>
      <c r="U311" s="61"/>
      <c r="V311" s="61"/>
      <c r="AF311" s="62"/>
      <c r="AG311" s="476"/>
    </row>
    <row r="312" spans="1:33" ht="3" customHeight="1" x14ac:dyDescent="0.25">
      <c r="A312">
        <v>13602</v>
      </c>
      <c r="B312">
        <v>13503</v>
      </c>
      <c r="C312" s="3" t="s">
        <v>311</v>
      </c>
      <c r="D312" s="137">
        <v>4045497.8530000001</v>
      </c>
      <c r="E312" s="138">
        <f t="shared" si="9"/>
        <v>337124.82108333334</v>
      </c>
      <c r="F312" s="138">
        <f>ROUND(E312*PARAMETROS!$L$10,0)</f>
        <v>266329</v>
      </c>
      <c r="G312" s="481">
        <v>0</v>
      </c>
      <c r="H312" s="481">
        <v>140515.465</v>
      </c>
      <c r="I312" s="481">
        <v>1302624.176</v>
      </c>
      <c r="J312" s="481">
        <f t="shared" si="10"/>
        <v>5488637.4939999999</v>
      </c>
      <c r="K312" s="502">
        <f>+J312-_CIERRE!U307-_CIERRE!V307</f>
        <v>0</v>
      </c>
      <c r="M312" s="32">
        <v>13602</v>
      </c>
      <c r="N312" s="33">
        <v>13503</v>
      </c>
      <c r="O312" s="4" t="s">
        <v>311</v>
      </c>
      <c r="P312" s="61">
        <f>+_CIERRE!S307</f>
        <v>0</v>
      </c>
      <c r="Q312" s="61">
        <f>+_CIERRE!T307</f>
        <v>5031425.8</v>
      </c>
      <c r="R312" s="502">
        <f>+Q312+P312-_CIERRE!T307</f>
        <v>0</v>
      </c>
      <c r="S312" s="61"/>
      <c r="T312" s="61"/>
      <c r="U312" s="61"/>
      <c r="V312" s="61"/>
      <c r="AF312" s="62"/>
      <c r="AG312" s="476"/>
    </row>
    <row r="313" spans="1:33" ht="3" customHeight="1" x14ac:dyDescent="0.25">
      <c r="A313">
        <v>13603</v>
      </c>
      <c r="B313">
        <v>13502</v>
      </c>
      <c r="C313" s="3" t="s">
        <v>310</v>
      </c>
      <c r="D313" s="137">
        <v>3099049.15</v>
      </c>
      <c r="E313" s="138">
        <f t="shared" si="9"/>
        <v>258254.09583333333</v>
      </c>
      <c r="F313" s="138">
        <f>ROUND(E313*PARAMETROS!$L$10,0)</f>
        <v>204021</v>
      </c>
      <c r="G313" s="481">
        <v>0</v>
      </c>
      <c r="H313" s="481">
        <v>107665.162</v>
      </c>
      <c r="I313" s="481">
        <v>998766.54500000004</v>
      </c>
      <c r="J313" s="481">
        <f t="shared" si="10"/>
        <v>4205480.8569999998</v>
      </c>
      <c r="K313" s="502">
        <f>+J313-_CIERRE!U308-_CIERRE!V308</f>
        <v>0</v>
      </c>
      <c r="M313" s="32">
        <v>13603</v>
      </c>
      <c r="N313" s="33">
        <v>13502</v>
      </c>
      <c r="O313" s="4" t="s">
        <v>310</v>
      </c>
      <c r="P313" s="61">
        <f>+_CIERRE!S308</f>
        <v>0</v>
      </c>
      <c r="Q313" s="61">
        <f>+_CIERRE!T308</f>
        <v>4166504.7790000001</v>
      </c>
      <c r="R313" s="502">
        <f>+Q313+P313-_CIERRE!T308</f>
        <v>0</v>
      </c>
      <c r="S313" s="61"/>
      <c r="T313" s="61"/>
      <c r="U313" s="61"/>
      <c r="V313" s="61"/>
      <c r="AF313" s="62"/>
      <c r="AG313" s="476"/>
    </row>
    <row r="314" spans="1:33" ht="3" customHeight="1" x14ac:dyDescent="0.25">
      <c r="A314">
        <v>13604</v>
      </c>
      <c r="B314">
        <v>13505</v>
      </c>
      <c r="C314" s="3" t="s">
        <v>313</v>
      </c>
      <c r="D314" s="137">
        <v>5466779.5789999999</v>
      </c>
      <c r="E314" s="138">
        <f t="shared" si="9"/>
        <v>455564.96491666668</v>
      </c>
      <c r="F314" s="138">
        <f>ROUND(E314*PARAMETROS!$L$10,0)</f>
        <v>359896</v>
      </c>
      <c r="G314" s="481">
        <v>0</v>
      </c>
      <c r="H314" s="481">
        <v>189923.32</v>
      </c>
      <c r="I314" s="481">
        <v>1761842.52</v>
      </c>
      <c r="J314" s="481">
        <f t="shared" si="10"/>
        <v>7418545.4189999998</v>
      </c>
      <c r="K314" s="502">
        <f>+J314-_CIERRE!U309-_CIERRE!V309</f>
        <v>0</v>
      </c>
      <c r="M314" s="32">
        <v>13604</v>
      </c>
      <c r="N314" s="33">
        <v>13505</v>
      </c>
      <c r="O314" s="4" t="s">
        <v>313</v>
      </c>
      <c r="P314" s="61">
        <f>+_CIERRE!S309</f>
        <v>0</v>
      </c>
      <c r="Q314" s="61">
        <f>+_CIERRE!T309</f>
        <v>7349791.9900000002</v>
      </c>
      <c r="R314" s="502">
        <f>+Q314+P314-_CIERRE!T309</f>
        <v>0</v>
      </c>
      <c r="S314" s="61"/>
      <c r="T314" s="61"/>
      <c r="U314" s="61"/>
      <c r="V314" s="61"/>
      <c r="AF314" s="62"/>
      <c r="AG314" s="476"/>
    </row>
    <row r="315" spans="1:33" ht="3" customHeight="1" x14ac:dyDescent="0.25">
      <c r="A315">
        <v>13605</v>
      </c>
      <c r="B315">
        <v>13504</v>
      </c>
      <c r="C315" s="3" t="s">
        <v>312</v>
      </c>
      <c r="D315" s="137">
        <v>8337973.9610000001</v>
      </c>
      <c r="E315" s="138">
        <f t="shared" si="9"/>
        <v>694831.16341666668</v>
      </c>
      <c r="F315" s="138">
        <f>ROUND(E315*PARAMETROS!$L$10,0)</f>
        <v>548917</v>
      </c>
      <c r="G315" s="481">
        <v>0</v>
      </c>
      <c r="H315" s="481">
        <v>289672.50300000003</v>
      </c>
      <c r="I315" s="481">
        <v>2687175.6690000002</v>
      </c>
      <c r="J315" s="481">
        <f t="shared" si="10"/>
        <v>11314822.132999999</v>
      </c>
      <c r="K315" s="502">
        <f>+J315-_CIERRE!U310-_CIERRE!V310</f>
        <v>0</v>
      </c>
      <c r="M315" s="32">
        <v>13605</v>
      </c>
      <c r="N315" s="33">
        <v>13504</v>
      </c>
      <c r="O315" s="4" t="s">
        <v>312</v>
      </c>
      <c r="P315" s="61">
        <f>+_CIERRE!S310</f>
        <v>0</v>
      </c>
      <c r="Q315" s="61">
        <f>+_CIERRE!T310</f>
        <v>11209957.912</v>
      </c>
      <c r="R315" s="502">
        <f>+Q315+P315-_CIERRE!T310</f>
        <v>0</v>
      </c>
      <c r="S315" s="61"/>
      <c r="T315" s="61"/>
      <c r="U315" s="61"/>
      <c r="V315" s="61"/>
      <c r="AF315" s="62"/>
      <c r="AG315" s="476"/>
    </row>
    <row r="316" spans="1:33" ht="3" customHeight="1" x14ac:dyDescent="0.25">
      <c r="A316">
        <v>14101</v>
      </c>
      <c r="B316">
        <v>10101</v>
      </c>
      <c r="C316" s="3" t="s">
        <v>232</v>
      </c>
      <c r="D316" s="137">
        <v>21710072.956999999</v>
      </c>
      <c r="E316" s="138">
        <f t="shared" si="9"/>
        <v>1809172.7464166665</v>
      </c>
      <c r="F316" s="138">
        <f>ROUND(E316*PARAMETROS!$L$10,0)</f>
        <v>1429246</v>
      </c>
      <c r="G316" s="481">
        <v>0</v>
      </c>
      <c r="H316" s="481">
        <v>754237.31799999997</v>
      </c>
      <c r="I316" s="481">
        <v>6996757.2460000003</v>
      </c>
      <c r="J316" s="481">
        <f t="shared" si="10"/>
        <v>29461067.520999998</v>
      </c>
      <c r="K316" s="502">
        <f>+J316-_CIERRE!U311-_CIERRE!V311</f>
        <v>0</v>
      </c>
      <c r="M316" s="32">
        <v>14101</v>
      </c>
      <c r="N316" s="33">
        <v>10101</v>
      </c>
      <c r="O316" s="4" t="s">
        <v>232</v>
      </c>
      <c r="P316" s="61">
        <f>+_CIERRE!S311</f>
        <v>0</v>
      </c>
      <c r="Q316" s="61">
        <f>+_CIERRE!T311</f>
        <v>29188027.833999999</v>
      </c>
      <c r="R316" s="502">
        <f>+Q316+P316-_CIERRE!T311</f>
        <v>0</v>
      </c>
      <c r="S316" s="61"/>
      <c r="T316" s="61"/>
      <c r="U316" s="61"/>
      <c r="V316" s="61"/>
      <c r="AF316" s="62"/>
      <c r="AG316" s="476"/>
    </row>
    <row r="317" spans="1:33" ht="3" customHeight="1" x14ac:dyDescent="0.25">
      <c r="A317">
        <v>14102</v>
      </c>
      <c r="B317">
        <v>10106</v>
      </c>
      <c r="C317" s="3" t="s">
        <v>236</v>
      </c>
      <c r="D317" s="137">
        <v>2331233.6609999998</v>
      </c>
      <c r="E317" s="138">
        <f t="shared" si="9"/>
        <v>194269.47175</v>
      </c>
      <c r="F317" s="138">
        <f>ROUND(E317*PARAMETROS!$L$10,0)</f>
        <v>153473</v>
      </c>
      <c r="G317" s="481">
        <v>0</v>
      </c>
      <c r="H317" s="481">
        <v>80958.516000000003</v>
      </c>
      <c r="I317" s="481">
        <v>750108.29799999995</v>
      </c>
      <c r="J317" s="481">
        <f t="shared" si="10"/>
        <v>3162300.4749999996</v>
      </c>
      <c r="K317" s="502">
        <f>+J317-_CIERRE!U312-_CIERRE!V312</f>
        <v>0</v>
      </c>
      <c r="M317" s="32">
        <v>14102</v>
      </c>
      <c r="N317" s="33">
        <v>10106</v>
      </c>
      <c r="O317" s="4" t="s">
        <v>236</v>
      </c>
      <c r="P317" s="61">
        <f>+_CIERRE!S312</f>
        <v>0</v>
      </c>
      <c r="Q317" s="61">
        <f>+_CIERRE!T312</f>
        <v>2868327.0219999999</v>
      </c>
      <c r="R317" s="502">
        <f>+Q317+P317-_CIERRE!T312</f>
        <v>0</v>
      </c>
      <c r="S317" s="61"/>
      <c r="T317" s="61"/>
      <c r="U317" s="61"/>
      <c r="V317" s="61"/>
      <c r="AF317" s="62"/>
      <c r="AG317" s="476"/>
    </row>
    <row r="318" spans="1:33" ht="3" customHeight="1" x14ac:dyDescent="0.25">
      <c r="A318">
        <v>14103</v>
      </c>
      <c r="B318">
        <v>10103</v>
      </c>
      <c r="C318" s="3" t="s">
        <v>233</v>
      </c>
      <c r="D318" s="137">
        <v>3790516.9190000002</v>
      </c>
      <c r="E318" s="138">
        <f t="shared" si="9"/>
        <v>315876.40991666669</v>
      </c>
      <c r="F318" s="138">
        <f>ROUND(E318*PARAMETROS!$L$10,0)</f>
        <v>249542</v>
      </c>
      <c r="G318" s="481">
        <v>0</v>
      </c>
      <c r="H318" s="481">
        <v>131523.693</v>
      </c>
      <c r="I318" s="481">
        <v>1215371.1040000001</v>
      </c>
      <c r="J318" s="481">
        <f t="shared" si="10"/>
        <v>5137411.716</v>
      </c>
      <c r="K318" s="502">
        <f>+J318-_CIERRE!U313-_CIERRE!V313</f>
        <v>0</v>
      </c>
      <c r="M318" s="32">
        <v>14103</v>
      </c>
      <c r="N318" s="33">
        <v>10103</v>
      </c>
      <c r="O318" s="4" t="s">
        <v>233</v>
      </c>
      <c r="P318" s="61">
        <f>+_CIERRE!S313</f>
        <v>0</v>
      </c>
      <c r="Q318" s="61">
        <f>+_CIERRE!T313</f>
        <v>4389694.2110000001</v>
      </c>
      <c r="R318" s="502">
        <f>+Q318+P318-_CIERRE!T313</f>
        <v>0</v>
      </c>
      <c r="S318" s="61"/>
      <c r="T318" s="61"/>
      <c r="U318" s="61"/>
      <c r="V318" s="61"/>
      <c r="AF318" s="62"/>
      <c r="AG318" s="476"/>
    </row>
    <row r="319" spans="1:33" ht="3" customHeight="1" x14ac:dyDescent="0.25">
      <c r="A319">
        <v>14104</v>
      </c>
      <c r="B319">
        <v>10104</v>
      </c>
      <c r="C319" s="3" t="s">
        <v>234</v>
      </c>
      <c r="D319" s="137">
        <v>2718871.915</v>
      </c>
      <c r="E319" s="138">
        <f t="shared" si="9"/>
        <v>226572.65958333333</v>
      </c>
      <c r="F319" s="138">
        <f>ROUND(E319*PARAMETROS!$L$10,0)</f>
        <v>178992</v>
      </c>
      <c r="G319" s="481">
        <v>0</v>
      </c>
      <c r="H319" s="481">
        <v>94457.290999999997</v>
      </c>
      <c r="I319" s="481">
        <v>876242.41399999999</v>
      </c>
      <c r="J319" s="481">
        <f t="shared" si="10"/>
        <v>3689571.62</v>
      </c>
      <c r="K319" s="502">
        <f>+J319-_CIERRE!U314-_CIERRE!V314</f>
        <v>0</v>
      </c>
      <c r="M319" s="32">
        <v>14104</v>
      </c>
      <c r="N319" s="33">
        <v>10104</v>
      </c>
      <c r="O319" s="4" t="s">
        <v>234</v>
      </c>
      <c r="P319" s="61">
        <f>+_CIERRE!S314</f>
        <v>0</v>
      </c>
      <c r="Q319" s="61">
        <f>+_CIERRE!T314</f>
        <v>3655376.9169999999</v>
      </c>
      <c r="R319" s="502">
        <f>+Q319+P319-_CIERRE!T314</f>
        <v>0</v>
      </c>
      <c r="S319" s="61"/>
      <c r="T319" s="61"/>
      <c r="U319" s="61"/>
      <c r="V319" s="61"/>
      <c r="AF319" s="62"/>
      <c r="AG319" s="476"/>
    </row>
    <row r="320" spans="1:33" ht="3" customHeight="1" x14ac:dyDescent="0.25">
      <c r="A320">
        <v>14105</v>
      </c>
      <c r="B320">
        <v>10107</v>
      </c>
      <c r="C320" s="3" t="s">
        <v>435</v>
      </c>
      <c r="D320" s="137">
        <v>1851335.547</v>
      </c>
      <c r="E320" s="138">
        <f t="shared" si="9"/>
        <v>154277.96225000001</v>
      </c>
      <c r="F320" s="138">
        <f>ROUND(E320*PARAMETROS!$L$10,0)</f>
        <v>121880</v>
      </c>
      <c r="G320" s="481">
        <v>0</v>
      </c>
      <c r="H320" s="481">
        <v>64294.773999999998</v>
      </c>
      <c r="I320" s="481">
        <v>595771.26199999999</v>
      </c>
      <c r="J320" s="481">
        <f t="shared" si="10"/>
        <v>2511401.5830000001</v>
      </c>
      <c r="K320" s="502">
        <f>+J320-_CIERRE!U315-_CIERRE!V315</f>
        <v>0</v>
      </c>
      <c r="M320" s="32">
        <v>14105</v>
      </c>
      <c r="N320" s="33">
        <v>10107</v>
      </c>
      <c r="O320" s="4" t="s">
        <v>435</v>
      </c>
      <c r="P320" s="61">
        <f>+_CIERRE!S315</f>
        <v>0</v>
      </c>
      <c r="Q320" s="61">
        <f>+_CIERRE!T315</f>
        <v>2476501.4909999999</v>
      </c>
      <c r="R320" s="502">
        <f>+Q320+P320-_CIERRE!T315</f>
        <v>0</v>
      </c>
      <c r="S320" s="61"/>
      <c r="T320" s="61"/>
      <c r="U320" s="61"/>
      <c r="V320" s="61"/>
      <c r="AF320" s="62"/>
      <c r="AG320" s="476"/>
    </row>
    <row r="321" spans="1:33" ht="3" customHeight="1" x14ac:dyDescent="0.25">
      <c r="A321">
        <v>14106</v>
      </c>
      <c r="B321">
        <v>10102</v>
      </c>
      <c r="C321" s="3" t="s">
        <v>317</v>
      </c>
      <c r="D321" s="137">
        <v>4582704.8360000001</v>
      </c>
      <c r="E321" s="138">
        <f t="shared" si="9"/>
        <v>381892.06966666668</v>
      </c>
      <c r="F321" s="138">
        <f>ROUND(E321*PARAMETROS!$L$10,0)</f>
        <v>301695</v>
      </c>
      <c r="G321" s="481">
        <v>0</v>
      </c>
      <c r="H321" s="481">
        <v>159137.59299999999</v>
      </c>
      <c r="I321" s="481">
        <v>1474190.102</v>
      </c>
      <c r="J321" s="481">
        <f t="shared" si="10"/>
        <v>6216032.5310000004</v>
      </c>
      <c r="K321" s="502">
        <f>+J321-_CIERRE!U316-_CIERRE!V316</f>
        <v>0</v>
      </c>
      <c r="M321" s="32">
        <v>14106</v>
      </c>
      <c r="N321" s="33">
        <v>10102</v>
      </c>
      <c r="O321" s="4" t="s">
        <v>317</v>
      </c>
      <c r="P321" s="61">
        <f>+_CIERRE!S316</f>
        <v>0</v>
      </c>
      <c r="Q321" s="61">
        <f>+_CIERRE!T316</f>
        <v>5648691.3559999997</v>
      </c>
      <c r="R321" s="502">
        <f>+Q321+P321-_CIERRE!T316</f>
        <v>0</v>
      </c>
      <c r="S321" s="61"/>
      <c r="T321" s="61"/>
      <c r="U321" s="61"/>
      <c r="V321" s="61"/>
      <c r="AF321" s="62"/>
      <c r="AG321" s="476"/>
    </row>
    <row r="322" spans="1:33" ht="3" customHeight="1" x14ac:dyDescent="0.25">
      <c r="A322">
        <v>14107</v>
      </c>
      <c r="B322">
        <v>10110</v>
      </c>
      <c r="C322" s="3" t="s">
        <v>238</v>
      </c>
      <c r="D322" s="137">
        <v>3365912.0970000001</v>
      </c>
      <c r="E322" s="138">
        <f t="shared" si="9"/>
        <v>280492.67475000001</v>
      </c>
      <c r="F322" s="138">
        <f>ROUND(E322*PARAMETROS!$L$10,0)</f>
        <v>221589</v>
      </c>
      <c r="G322" s="481">
        <v>0</v>
      </c>
      <c r="H322" s="481">
        <v>116822.364</v>
      </c>
      <c r="I322" s="481">
        <v>1080433.331</v>
      </c>
      <c r="J322" s="481">
        <f t="shared" si="10"/>
        <v>4563167.7920000004</v>
      </c>
      <c r="K322" s="502">
        <f>+J322-_CIERRE!U317-_CIERRE!V317</f>
        <v>0</v>
      </c>
      <c r="M322" s="32">
        <v>14107</v>
      </c>
      <c r="N322" s="33">
        <v>10110</v>
      </c>
      <c r="O322" s="4" t="s">
        <v>238</v>
      </c>
      <c r="P322" s="61">
        <f>+_CIERRE!S317</f>
        <v>0</v>
      </c>
      <c r="Q322" s="61">
        <f>+_CIERRE!T317</f>
        <v>3919044.568</v>
      </c>
      <c r="R322" s="502">
        <f>+Q322+P322-_CIERRE!T317</f>
        <v>0</v>
      </c>
      <c r="S322" s="61"/>
      <c r="T322" s="61"/>
      <c r="U322" s="61"/>
      <c r="V322" s="61"/>
      <c r="AF322" s="62"/>
      <c r="AG322" s="476"/>
    </row>
    <row r="323" spans="1:33" ht="3" customHeight="1" x14ac:dyDescent="0.25">
      <c r="A323">
        <v>14108</v>
      </c>
      <c r="B323">
        <v>10108</v>
      </c>
      <c r="C323" s="3" t="s">
        <v>237</v>
      </c>
      <c r="D323" s="137">
        <v>7501621.1919999998</v>
      </c>
      <c r="E323" s="138">
        <f t="shared" si="9"/>
        <v>625135.09933333332</v>
      </c>
      <c r="F323" s="138">
        <f>ROUND(E323*PARAMETROS!$L$10,0)</f>
        <v>493857</v>
      </c>
      <c r="G323" s="481">
        <v>0</v>
      </c>
      <c r="H323" s="481">
        <v>260616.473</v>
      </c>
      <c r="I323" s="481">
        <v>2417634.5490000001</v>
      </c>
      <c r="J323" s="481">
        <f t="shared" si="10"/>
        <v>10179872.214</v>
      </c>
      <c r="K323" s="502">
        <f>+J323-_CIERRE!U318-_CIERRE!V318</f>
        <v>0</v>
      </c>
      <c r="M323" s="32">
        <v>14108</v>
      </c>
      <c r="N323" s="33">
        <v>10108</v>
      </c>
      <c r="O323" s="4" t="s">
        <v>237</v>
      </c>
      <c r="P323" s="61">
        <f>+_CIERRE!S318</f>
        <v>0</v>
      </c>
      <c r="Q323" s="61">
        <f>+_CIERRE!T318</f>
        <v>10085527.040999999</v>
      </c>
      <c r="R323" s="502">
        <f>+Q323+P323-_CIERRE!T318</f>
        <v>0</v>
      </c>
      <c r="S323" s="61"/>
      <c r="T323" s="61"/>
      <c r="U323" s="61"/>
      <c r="V323" s="61"/>
      <c r="AF323" s="62"/>
      <c r="AG323" s="476"/>
    </row>
    <row r="324" spans="1:33" ht="3" customHeight="1" x14ac:dyDescent="0.25">
      <c r="A324">
        <v>14201</v>
      </c>
      <c r="B324">
        <v>10109</v>
      </c>
      <c r="C324" s="3" t="s">
        <v>436</v>
      </c>
      <c r="D324" s="137">
        <v>5532236.5290000001</v>
      </c>
      <c r="E324" s="138">
        <f t="shared" si="9"/>
        <v>461019.71075000003</v>
      </c>
      <c r="F324" s="138">
        <f>ROUND(E324*PARAMETROS!$L$10,0)</f>
        <v>364206</v>
      </c>
      <c r="G324" s="481">
        <v>0</v>
      </c>
      <c r="H324" s="481">
        <v>192206.31599999999</v>
      </c>
      <c r="I324" s="481">
        <v>1783278.196</v>
      </c>
      <c r="J324" s="481">
        <f t="shared" si="10"/>
        <v>7507721.0409999993</v>
      </c>
      <c r="K324" s="502">
        <f>+J324-_CIERRE!U319-_CIERRE!V319</f>
        <v>0</v>
      </c>
      <c r="M324" s="32">
        <v>14201</v>
      </c>
      <c r="N324" s="33">
        <v>10109</v>
      </c>
      <c r="O324" s="4" t="s">
        <v>436</v>
      </c>
      <c r="P324" s="61">
        <f>+_CIERRE!S319</f>
        <v>0</v>
      </c>
      <c r="Q324" s="61">
        <f>+_CIERRE!T319</f>
        <v>6717124.5120000001</v>
      </c>
      <c r="R324" s="502">
        <f>+Q324+P324-_CIERRE!T319</f>
        <v>0</v>
      </c>
      <c r="S324" s="61"/>
      <c r="T324" s="61"/>
      <c r="U324" s="61"/>
      <c r="V324" s="61"/>
      <c r="AF324" s="62"/>
      <c r="AG324" s="476"/>
    </row>
    <row r="325" spans="1:33" ht="3" customHeight="1" x14ac:dyDescent="0.25">
      <c r="A325">
        <v>14202</v>
      </c>
      <c r="B325">
        <v>10105</v>
      </c>
      <c r="C325" s="3" t="s">
        <v>235</v>
      </c>
      <c r="D325" s="137">
        <v>2535723.4160000002</v>
      </c>
      <c r="E325" s="138">
        <f t="shared" si="9"/>
        <v>211310.28466666667</v>
      </c>
      <c r="F325" s="138">
        <f>ROUND(E325*PARAMETROS!$L$10,0)</f>
        <v>166935</v>
      </c>
      <c r="G325" s="481">
        <v>0</v>
      </c>
      <c r="H325" s="481">
        <v>88094.463000000003</v>
      </c>
      <c r="I325" s="481">
        <v>817217.02099999995</v>
      </c>
      <c r="J325" s="481">
        <f t="shared" si="10"/>
        <v>3441034.9000000004</v>
      </c>
      <c r="K325" s="502">
        <f>+J325-_CIERRE!U320-_CIERRE!V320</f>
        <v>0</v>
      </c>
      <c r="M325" s="32">
        <v>14202</v>
      </c>
      <c r="N325" s="33">
        <v>10105</v>
      </c>
      <c r="O325" s="4" t="s">
        <v>235</v>
      </c>
      <c r="P325" s="61">
        <f>+_CIERRE!S320</f>
        <v>0</v>
      </c>
      <c r="Q325" s="61">
        <f>+_CIERRE!T320</f>
        <v>3409143.594</v>
      </c>
      <c r="R325" s="502">
        <f>+Q325+P325-_CIERRE!T320</f>
        <v>0</v>
      </c>
      <c r="S325" s="61"/>
      <c r="T325" s="61"/>
      <c r="U325" s="61"/>
      <c r="V325" s="61"/>
      <c r="AF325" s="62"/>
      <c r="AG325" s="476"/>
    </row>
    <row r="326" spans="1:33" ht="3" customHeight="1" x14ac:dyDescent="0.25">
      <c r="A326">
        <v>14203</v>
      </c>
      <c r="B326">
        <v>10112</v>
      </c>
      <c r="C326" s="3" t="s">
        <v>239</v>
      </c>
      <c r="D326" s="137">
        <v>2192067.7450000001</v>
      </c>
      <c r="E326" s="138">
        <f t="shared" si="9"/>
        <v>182672.31208333335</v>
      </c>
      <c r="F326" s="138">
        <f>ROUND(E326*PARAMETROS!$L$10,0)</f>
        <v>144311</v>
      </c>
      <c r="G326" s="481">
        <v>0</v>
      </c>
      <c r="H326" s="481">
        <v>76155.403000000006</v>
      </c>
      <c r="I326" s="481">
        <v>706463.12199999997</v>
      </c>
      <c r="J326" s="481">
        <f t="shared" si="10"/>
        <v>2974686.27</v>
      </c>
      <c r="K326" s="502">
        <f>+J326-_CIERRE!U321-_CIERRE!V321</f>
        <v>0</v>
      </c>
      <c r="M326" s="32">
        <v>14203</v>
      </c>
      <c r="N326" s="33">
        <v>10112</v>
      </c>
      <c r="O326" s="4" t="s">
        <v>239</v>
      </c>
      <c r="P326" s="61">
        <f>+_CIERRE!S321</f>
        <v>0</v>
      </c>
      <c r="Q326" s="61">
        <f>+_CIERRE!T321</f>
        <v>2947116.9309999999</v>
      </c>
      <c r="R326" s="502">
        <f>+Q326+P326-_CIERRE!T321</f>
        <v>0</v>
      </c>
      <c r="S326" s="61"/>
      <c r="T326" s="61"/>
      <c r="U326" s="61"/>
      <c r="V326" s="61"/>
      <c r="AF326" s="62"/>
      <c r="AG326" s="476"/>
    </row>
    <row r="327" spans="1:33" ht="3" customHeight="1" x14ac:dyDescent="0.25">
      <c r="A327">
        <v>14204</v>
      </c>
      <c r="B327">
        <v>10111</v>
      </c>
      <c r="C327" s="3" t="s">
        <v>437</v>
      </c>
      <c r="D327" s="137">
        <v>5198636.8689999999</v>
      </c>
      <c r="E327" s="138">
        <f t="shared" ref="E327:E352" si="11">D327/12</f>
        <v>433219.73908333335</v>
      </c>
      <c r="F327" s="138">
        <f>ROUND(E327*PARAMETROS!$L$10,0)</f>
        <v>342244</v>
      </c>
      <c r="G327" s="481">
        <v>0</v>
      </c>
      <c r="H327" s="481">
        <v>180443.23</v>
      </c>
      <c r="I327" s="481">
        <v>1669165.6310000001</v>
      </c>
      <c r="J327" s="481">
        <f t="shared" si="10"/>
        <v>7048245.7300000004</v>
      </c>
      <c r="K327" s="502">
        <f>+J327-_CIERRE!U322-_CIERRE!V322</f>
        <v>0</v>
      </c>
      <c r="M327" s="32">
        <v>14204</v>
      </c>
      <c r="N327" s="33">
        <v>10111</v>
      </c>
      <c r="O327" s="4" t="s">
        <v>437</v>
      </c>
      <c r="P327" s="61">
        <f>+_CIERRE!S322</f>
        <v>0</v>
      </c>
      <c r="Q327" s="61">
        <f>+_CIERRE!T322</f>
        <v>6234059.9009999996</v>
      </c>
      <c r="R327" s="502">
        <f>+Q327+P327-_CIERRE!T322</f>
        <v>0</v>
      </c>
      <c r="S327" s="61"/>
      <c r="T327" s="61"/>
      <c r="U327" s="61"/>
      <c r="V327" s="61"/>
      <c r="AF327" s="62"/>
      <c r="AG327" s="476"/>
    </row>
    <row r="328" spans="1:33" ht="3" customHeight="1" x14ac:dyDescent="0.25">
      <c r="A328">
        <v>15101</v>
      </c>
      <c r="B328">
        <v>1101</v>
      </c>
      <c r="C328" s="3" t="s">
        <v>52</v>
      </c>
      <c r="D328" s="137">
        <v>22900096.037</v>
      </c>
      <c r="E328" s="138">
        <f t="shared" si="11"/>
        <v>1908341.3364166666</v>
      </c>
      <c r="F328" s="138">
        <f>ROUND(E328*PARAMETROS!$L$10,0)</f>
        <v>1507590</v>
      </c>
      <c r="G328" s="481">
        <v>0</v>
      </c>
      <c r="H328" s="481">
        <v>795580.31499999994</v>
      </c>
      <c r="I328" s="481">
        <v>7380279.7970000003</v>
      </c>
      <c r="J328" s="481">
        <f t="shared" ref="J328:J352" si="12">+D328+G328+H328+I328-G328</f>
        <v>31075956.149000004</v>
      </c>
      <c r="K328" s="502">
        <f>+J328-_CIERRE!U323-_CIERRE!V323</f>
        <v>0</v>
      </c>
      <c r="M328" s="32">
        <v>15101</v>
      </c>
      <c r="N328" s="33">
        <v>1101</v>
      </c>
      <c r="O328" s="4" t="s">
        <v>52</v>
      </c>
      <c r="P328" s="61">
        <f>+_CIERRE!S323</f>
        <v>0</v>
      </c>
      <c r="Q328" s="61">
        <f>+_CIERRE!T323</f>
        <v>30787949.909000002</v>
      </c>
      <c r="R328" s="502">
        <f>+Q328+P328-_CIERRE!T323</f>
        <v>0</v>
      </c>
      <c r="S328" s="61"/>
      <c r="T328" s="61"/>
      <c r="U328" s="61"/>
      <c r="V328" s="61"/>
      <c r="AF328" s="62"/>
      <c r="AG328" s="476"/>
    </row>
    <row r="329" spans="1:33" ht="3" customHeight="1" x14ac:dyDescent="0.25">
      <c r="A329">
        <v>15102</v>
      </c>
      <c r="B329">
        <v>1106</v>
      </c>
      <c r="C329" s="3" t="s">
        <v>53</v>
      </c>
      <c r="D329" s="137">
        <v>1703355.757</v>
      </c>
      <c r="E329" s="138">
        <f t="shared" si="11"/>
        <v>141946.31308333334</v>
      </c>
      <c r="F329" s="138">
        <f>ROUND(E329*PARAMETROS!$L$10,0)</f>
        <v>112138</v>
      </c>
      <c r="G329" s="481">
        <v>0</v>
      </c>
      <c r="H329" s="481">
        <v>59169.286999999997</v>
      </c>
      <c r="I329" s="481">
        <v>548671.37100000004</v>
      </c>
      <c r="J329" s="481">
        <f t="shared" si="12"/>
        <v>2311196.415</v>
      </c>
      <c r="K329" s="502">
        <f>+J329-_CIERRE!U324-_CIERRE!V324</f>
        <v>0</v>
      </c>
      <c r="M329" s="32">
        <v>15102</v>
      </c>
      <c r="N329" s="33">
        <v>1106</v>
      </c>
      <c r="O329" s="4" t="s">
        <v>53</v>
      </c>
      <c r="P329" s="61">
        <f>+_CIERRE!S324</f>
        <v>0</v>
      </c>
      <c r="Q329" s="61">
        <f>+_CIERRE!T324</f>
        <v>2212077.5290000001</v>
      </c>
      <c r="R329" s="502">
        <f>+Q329+P329-_CIERRE!T324</f>
        <v>0</v>
      </c>
      <c r="S329" s="61"/>
      <c r="T329" s="61"/>
      <c r="U329" s="61"/>
      <c r="V329" s="61"/>
      <c r="AF329" s="62"/>
      <c r="AG329" s="476"/>
    </row>
    <row r="330" spans="1:33" ht="3" customHeight="1" x14ac:dyDescent="0.25">
      <c r="A330">
        <v>15201</v>
      </c>
      <c r="B330">
        <v>1301</v>
      </c>
      <c r="C330" s="3" t="s">
        <v>61</v>
      </c>
      <c r="D330" s="137">
        <v>2401263.9939999999</v>
      </c>
      <c r="E330" s="138">
        <f t="shared" si="11"/>
        <v>200105.33283333332</v>
      </c>
      <c r="F330" s="138">
        <f>ROUND(E330*PARAMETROS!$L$10,0)</f>
        <v>158083</v>
      </c>
      <c r="G330" s="481">
        <v>0</v>
      </c>
      <c r="H330" s="481">
        <v>83389.578999999998</v>
      </c>
      <c r="I330" s="481">
        <v>772604.12300000002</v>
      </c>
      <c r="J330" s="481">
        <f t="shared" si="12"/>
        <v>3257257.696</v>
      </c>
      <c r="K330" s="502">
        <f>+J330-_CIERRE!U325-_CIERRE!V325</f>
        <v>0</v>
      </c>
      <c r="M330" s="32">
        <v>15201</v>
      </c>
      <c r="N330" s="33">
        <v>1301</v>
      </c>
      <c r="O330" s="4" t="s">
        <v>61</v>
      </c>
      <c r="P330" s="61">
        <f>+_CIERRE!S325</f>
        <v>0</v>
      </c>
      <c r="Q330" s="61">
        <f>+_CIERRE!T325</f>
        <v>3000021.0329999998</v>
      </c>
      <c r="R330" s="502">
        <f>+Q330+P330-_CIERRE!T325</f>
        <v>0</v>
      </c>
      <c r="S330" s="61"/>
      <c r="T330" s="61"/>
      <c r="U330" s="61"/>
      <c r="V330" s="61"/>
      <c r="AF330" s="62"/>
      <c r="AG330" s="476"/>
    </row>
    <row r="331" spans="1:33" ht="3" customHeight="1" x14ac:dyDescent="0.25">
      <c r="A331">
        <v>15202</v>
      </c>
      <c r="B331">
        <v>1302</v>
      </c>
      <c r="C331" s="3" t="s">
        <v>62</v>
      </c>
      <c r="D331" s="137">
        <v>1464134.36</v>
      </c>
      <c r="E331" s="138">
        <f t="shared" si="11"/>
        <v>122011.19666666667</v>
      </c>
      <c r="F331" s="138">
        <f>ROUND(E331*PARAMETROS!$L$10,0)</f>
        <v>96389</v>
      </c>
      <c r="G331" s="481">
        <v>0</v>
      </c>
      <c r="H331" s="481">
        <v>50865.027999999998</v>
      </c>
      <c r="I331" s="481">
        <v>471826.30599999998</v>
      </c>
      <c r="J331" s="481">
        <f t="shared" si="12"/>
        <v>1986825.6940000001</v>
      </c>
      <c r="K331" s="502">
        <f>+J331-_CIERRE!U326-_CIERRE!V326</f>
        <v>0</v>
      </c>
      <c r="M331" s="32">
        <v>15202</v>
      </c>
      <c r="N331" s="33">
        <v>1302</v>
      </c>
      <c r="O331" s="4" t="s">
        <v>62</v>
      </c>
      <c r="P331" s="61">
        <f>+_CIERRE!S326</f>
        <v>0</v>
      </c>
      <c r="Q331" s="61">
        <f>+_CIERRE!T326</f>
        <v>1867695.62</v>
      </c>
      <c r="R331" s="502">
        <f>+Q331+P331-_CIERRE!T326</f>
        <v>0</v>
      </c>
      <c r="S331" s="61"/>
      <c r="T331" s="61"/>
      <c r="U331" s="61"/>
      <c r="V331" s="61"/>
      <c r="AF331" s="62"/>
      <c r="AG331" s="476"/>
    </row>
    <row r="332" spans="1:33" ht="3" customHeight="1" x14ac:dyDescent="0.25">
      <c r="A332">
        <v>16101</v>
      </c>
      <c r="B332">
        <v>8101</v>
      </c>
      <c r="C332" s="3" t="s">
        <v>401</v>
      </c>
      <c r="D332" s="137">
        <v>18155597.146000002</v>
      </c>
      <c r="E332" s="138">
        <f t="shared" si="11"/>
        <v>1512966.4288333335</v>
      </c>
      <c r="F332" s="138">
        <f>ROUND(E332*PARAMETROS!$L$10,0)</f>
        <v>1195243</v>
      </c>
      <c r="G332" s="481">
        <v>0</v>
      </c>
      <c r="H332" s="481">
        <v>631324.86899999995</v>
      </c>
      <c r="I332" s="481">
        <v>5873093.8080000002</v>
      </c>
      <c r="J332" s="481">
        <f t="shared" si="12"/>
        <v>24660015.822999999</v>
      </c>
      <c r="K332" s="502">
        <f>+J332-_CIERRE!U327-_CIERRE!V327</f>
        <v>0</v>
      </c>
      <c r="M332" s="32">
        <v>16101</v>
      </c>
      <c r="N332" s="33">
        <v>8101</v>
      </c>
      <c r="O332" s="4" t="s">
        <v>401</v>
      </c>
      <c r="P332" s="61">
        <f>+_CIERRE!S327</f>
        <v>0</v>
      </c>
      <c r="Q332" s="61">
        <f>+_CIERRE!T327</f>
        <v>23800836.857000001</v>
      </c>
      <c r="R332" s="502">
        <f>+Q332+P332-_CIERRE!T327</f>
        <v>0</v>
      </c>
      <c r="S332" s="61"/>
      <c r="T332" s="61"/>
      <c r="U332" s="61"/>
      <c r="V332" s="61"/>
      <c r="AF332" s="62"/>
      <c r="AG332" s="476"/>
    </row>
    <row r="333" spans="1:33" ht="3" customHeight="1" x14ac:dyDescent="0.25">
      <c r="A333">
        <v>16102</v>
      </c>
      <c r="B333">
        <v>8113</v>
      </c>
      <c r="C333" s="3" t="s">
        <v>177</v>
      </c>
      <c r="D333" s="137">
        <v>4446697.5369999995</v>
      </c>
      <c r="E333" s="138">
        <f t="shared" si="11"/>
        <v>370558.12808333331</v>
      </c>
      <c r="F333" s="138">
        <f>ROUND(E333*PARAMETROS!$L$10,0)</f>
        <v>292741</v>
      </c>
      <c r="G333" s="481">
        <v>0</v>
      </c>
      <c r="H333" s="481">
        <v>154520.057</v>
      </c>
      <c r="I333" s="481">
        <v>1434450.328</v>
      </c>
      <c r="J333" s="481">
        <f t="shared" si="12"/>
        <v>6035667.9219999993</v>
      </c>
      <c r="K333" s="502">
        <f>+J333-_CIERRE!U328-_CIERRE!V328</f>
        <v>0</v>
      </c>
      <c r="M333" s="32">
        <v>16102</v>
      </c>
      <c r="N333" s="33">
        <v>8113</v>
      </c>
      <c r="O333" s="4" t="s">
        <v>177</v>
      </c>
      <c r="P333" s="61">
        <f>+_CIERRE!S328</f>
        <v>0</v>
      </c>
      <c r="Q333" s="61">
        <f>+_CIERRE!T328</f>
        <v>4970509.9110000003</v>
      </c>
      <c r="R333" s="502">
        <f>+Q333+P333-_CIERRE!T328</f>
        <v>0</v>
      </c>
      <c r="S333" s="61"/>
      <c r="T333" s="61"/>
      <c r="U333" s="61"/>
      <c r="V333" s="61"/>
      <c r="AF333" s="62"/>
      <c r="AG333" s="476"/>
    </row>
    <row r="334" spans="1:33" ht="3" customHeight="1" x14ac:dyDescent="0.25">
      <c r="A334">
        <v>16103</v>
      </c>
      <c r="B334">
        <v>8121</v>
      </c>
      <c r="C334" s="3" t="s">
        <v>402</v>
      </c>
      <c r="D334" s="137">
        <v>4711820.7779999999</v>
      </c>
      <c r="E334" s="138">
        <f t="shared" si="11"/>
        <v>392651.73149999999</v>
      </c>
      <c r="F334" s="138">
        <f>ROUND(E334*PARAMETROS!$L$10,0)</f>
        <v>310195</v>
      </c>
      <c r="G334" s="481">
        <v>0</v>
      </c>
      <c r="H334" s="481">
        <v>163645.43400000001</v>
      </c>
      <c r="I334" s="481">
        <v>1516644.865</v>
      </c>
      <c r="J334" s="481">
        <f t="shared" si="12"/>
        <v>6392111.0770000005</v>
      </c>
      <c r="K334" s="502">
        <f>+J334-_CIERRE!U329-_CIERRE!V329</f>
        <v>0</v>
      </c>
      <c r="M334" s="32">
        <v>16103</v>
      </c>
      <c r="N334" s="33">
        <v>8121</v>
      </c>
      <c r="O334" s="4" t="s">
        <v>402</v>
      </c>
      <c r="P334" s="61">
        <f>+_CIERRE!S329</f>
        <v>0</v>
      </c>
      <c r="Q334" s="61">
        <f>+_CIERRE!T329</f>
        <v>5810995.6909999996</v>
      </c>
      <c r="R334" s="502">
        <f>+Q334+P334-_CIERRE!T329</f>
        <v>0</v>
      </c>
      <c r="S334" s="61"/>
      <c r="T334" s="61"/>
      <c r="U334" s="61"/>
      <c r="V334" s="61"/>
      <c r="AF334" s="62"/>
      <c r="AG334" s="476"/>
    </row>
    <row r="335" spans="1:33" ht="3" customHeight="1" x14ac:dyDescent="0.25">
      <c r="A335">
        <v>16104</v>
      </c>
      <c r="B335">
        <v>8118</v>
      </c>
      <c r="C335" s="3" t="s">
        <v>181</v>
      </c>
      <c r="D335" s="137">
        <v>3141625.0210000002</v>
      </c>
      <c r="E335" s="138">
        <f t="shared" si="11"/>
        <v>261802.08508333334</v>
      </c>
      <c r="F335" s="138">
        <f>ROUND(E335*PARAMETROS!$L$10,0)</f>
        <v>206824</v>
      </c>
      <c r="G335" s="481">
        <v>0</v>
      </c>
      <c r="H335" s="481">
        <v>109187.372</v>
      </c>
      <c r="I335" s="481">
        <v>1014127.398</v>
      </c>
      <c r="J335" s="481">
        <f t="shared" si="12"/>
        <v>4264939.7910000002</v>
      </c>
      <c r="K335" s="502">
        <f>+J335-_CIERRE!U330-_CIERRE!V330</f>
        <v>0</v>
      </c>
      <c r="M335" s="32">
        <v>16104</v>
      </c>
      <c r="N335" s="33">
        <v>8118</v>
      </c>
      <c r="O335" s="4" t="s">
        <v>181</v>
      </c>
      <c r="P335" s="61">
        <f>+_CIERRE!S330</f>
        <v>0</v>
      </c>
      <c r="Q335" s="61">
        <f>+_CIERRE!T330</f>
        <v>3751726.5819999999</v>
      </c>
      <c r="R335" s="502">
        <f>+Q335+P335-_CIERRE!T330</f>
        <v>0</v>
      </c>
      <c r="S335" s="61"/>
      <c r="T335" s="61"/>
      <c r="U335" s="61"/>
      <c r="V335" s="61"/>
      <c r="AF335" s="62"/>
      <c r="AG335" s="476"/>
    </row>
    <row r="336" spans="1:33" ht="3" customHeight="1" x14ac:dyDescent="0.25">
      <c r="A336">
        <v>16105</v>
      </c>
      <c r="B336">
        <v>8117</v>
      </c>
      <c r="C336" s="3" t="s">
        <v>180</v>
      </c>
      <c r="D336" s="137">
        <v>2019788.422</v>
      </c>
      <c r="E336" s="138">
        <f t="shared" si="11"/>
        <v>168315.70183333333</v>
      </c>
      <c r="F336" s="138">
        <f>ROUND(E336*PARAMETROS!$L$10,0)</f>
        <v>132969</v>
      </c>
      <c r="G336" s="481">
        <v>0</v>
      </c>
      <c r="H336" s="481">
        <v>70266.826000000001</v>
      </c>
      <c r="I336" s="481">
        <v>654618.76</v>
      </c>
      <c r="J336" s="481">
        <f t="shared" si="12"/>
        <v>2744674.0080000004</v>
      </c>
      <c r="K336" s="502">
        <f>+J336-_CIERRE!U331-_CIERRE!V331</f>
        <v>0</v>
      </c>
      <c r="M336" s="32">
        <v>16105</v>
      </c>
      <c r="N336" s="33">
        <v>8117</v>
      </c>
      <c r="O336" s="4" t="s">
        <v>180</v>
      </c>
      <c r="P336" s="61">
        <f>+_CIERRE!S331</f>
        <v>0</v>
      </c>
      <c r="Q336" s="61">
        <f>+_CIERRE!T331</f>
        <v>2585098.7489999998</v>
      </c>
      <c r="R336" s="502">
        <f>+Q336+P336-_CIERRE!T331</f>
        <v>0</v>
      </c>
      <c r="S336" s="61"/>
      <c r="T336" s="61"/>
      <c r="U336" s="61"/>
      <c r="V336" s="61"/>
      <c r="AF336" s="62"/>
      <c r="AG336" s="476"/>
    </row>
    <row r="337" spans="1:33" ht="3" customHeight="1" x14ac:dyDescent="0.25">
      <c r="A337">
        <v>16106</v>
      </c>
      <c r="B337">
        <v>8102</v>
      </c>
      <c r="C337" s="3" t="s">
        <v>169</v>
      </c>
      <c r="D337" s="137">
        <v>2255040.412</v>
      </c>
      <c r="E337" s="138">
        <f t="shared" si="11"/>
        <v>187920.03433333334</v>
      </c>
      <c r="F337" s="138">
        <f>ROUND(E337*PARAMETROS!$L$10,0)</f>
        <v>148457</v>
      </c>
      <c r="G337" s="481">
        <v>0</v>
      </c>
      <c r="H337" s="481">
        <v>78353.510999999999</v>
      </c>
      <c r="I337" s="481">
        <v>727152.27899999998</v>
      </c>
      <c r="J337" s="481">
        <f t="shared" si="12"/>
        <v>3060546.202</v>
      </c>
      <c r="K337" s="502">
        <f>+J337-_CIERRE!U332-_CIERRE!V332</f>
        <v>0</v>
      </c>
      <c r="M337" s="32">
        <v>16106</v>
      </c>
      <c r="N337" s="33">
        <v>8102</v>
      </c>
      <c r="O337" s="4" t="s">
        <v>169</v>
      </c>
      <c r="P337" s="61">
        <f>+_CIERRE!S332</f>
        <v>0</v>
      </c>
      <c r="Q337" s="61">
        <f>+_CIERRE!T332</f>
        <v>3014101.5240000002</v>
      </c>
      <c r="R337" s="502">
        <f>+Q337+P337-_CIERRE!T332</f>
        <v>0</v>
      </c>
      <c r="S337" s="61"/>
      <c r="T337" s="61"/>
      <c r="U337" s="61"/>
      <c r="V337" s="61"/>
      <c r="AF337" s="62"/>
      <c r="AG337" s="476"/>
    </row>
    <row r="338" spans="1:33" ht="3" customHeight="1" x14ac:dyDescent="0.25">
      <c r="A338">
        <v>16107</v>
      </c>
      <c r="B338">
        <v>8115</v>
      </c>
      <c r="C338" s="3" t="s">
        <v>404</v>
      </c>
      <c r="D338" s="137">
        <v>9036267.0690000001</v>
      </c>
      <c r="E338" s="138">
        <f t="shared" si="11"/>
        <v>753022.25575000001</v>
      </c>
      <c r="F338" s="138">
        <f>ROUND(E338*PARAMETROS!$L$10,0)</f>
        <v>594888</v>
      </c>
      <c r="G338" s="481">
        <v>0</v>
      </c>
      <c r="H338" s="481">
        <v>314041.04800000001</v>
      </c>
      <c r="I338" s="481">
        <v>2916367.429</v>
      </c>
      <c r="J338" s="481">
        <f t="shared" si="12"/>
        <v>12266675.546</v>
      </c>
      <c r="K338" s="502">
        <f>+J338-_CIERRE!U333-_CIERRE!V333</f>
        <v>0</v>
      </c>
      <c r="M338" s="32">
        <v>16107</v>
      </c>
      <c r="N338" s="33">
        <v>8115</v>
      </c>
      <c r="O338" s="4" t="s">
        <v>404</v>
      </c>
      <c r="P338" s="61">
        <f>+_CIERRE!S333</f>
        <v>0</v>
      </c>
      <c r="Q338" s="61">
        <f>+_CIERRE!T333</f>
        <v>11541916.108999999</v>
      </c>
      <c r="R338" s="502">
        <f>+Q338+P338-_CIERRE!T333</f>
        <v>0</v>
      </c>
      <c r="S338" s="61"/>
      <c r="T338" s="61"/>
      <c r="U338" s="61"/>
      <c r="V338" s="61"/>
      <c r="AF338" s="62"/>
      <c r="AG338" s="476"/>
    </row>
    <row r="339" spans="1:33" ht="3" customHeight="1" x14ac:dyDescent="0.25">
      <c r="A339">
        <v>16108</v>
      </c>
      <c r="B339">
        <v>8114</v>
      </c>
      <c r="C339" s="3" t="s">
        <v>178</v>
      </c>
      <c r="D339" s="137">
        <v>4342692.7130000005</v>
      </c>
      <c r="E339" s="138">
        <f t="shared" si="11"/>
        <v>361891.05941666669</v>
      </c>
      <c r="F339" s="138">
        <f>ROUND(E339*PARAMETROS!$L$10,0)</f>
        <v>285894</v>
      </c>
      <c r="G339" s="481">
        <v>0</v>
      </c>
      <c r="H339" s="481">
        <v>150908.04</v>
      </c>
      <c r="I339" s="481">
        <v>1400977.84</v>
      </c>
      <c r="J339" s="481">
        <f t="shared" si="12"/>
        <v>5894578.5930000003</v>
      </c>
      <c r="K339" s="502">
        <f>+J339-_CIERRE!U334-_CIERRE!V334</f>
        <v>0</v>
      </c>
      <c r="M339" s="32">
        <v>16108</v>
      </c>
      <c r="N339" s="33">
        <v>8114</v>
      </c>
      <c r="O339" s="4" t="s">
        <v>178</v>
      </c>
      <c r="P339" s="61">
        <f>+_CIERRE!S334</f>
        <v>0</v>
      </c>
      <c r="Q339" s="61">
        <f>+_CIERRE!T334</f>
        <v>4937355.5980000002</v>
      </c>
      <c r="R339" s="502">
        <f>+Q339+P339-_CIERRE!T334</f>
        <v>0</v>
      </c>
      <c r="S339" s="61"/>
      <c r="T339" s="61"/>
      <c r="U339" s="61"/>
      <c r="V339" s="61"/>
      <c r="AF339" s="62"/>
      <c r="AG339" s="476"/>
    </row>
    <row r="340" spans="1:33" ht="3" customHeight="1" x14ac:dyDescent="0.25">
      <c r="A340">
        <v>16109</v>
      </c>
      <c r="B340">
        <v>8116</v>
      </c>
      <c r="C340" s="3" t="s">
        <v>179</v>
      </c>
      <c r="D340" s="137">
        <v>5090602.0659999996</v>
      </c>
      <c r="E340" s="138">
        <f t="shared" si="11"/>
        <v>424216.83883333328</v>
      </c>
      <c r="F340" s="138">
        <f>ROUND(E340*PARAMETROS!$L$10,0)</f>
        <v>335131</v>
      </c>
      <c r="G340" s="481">
        <v>0</v>
      </c>
      <c r="H340" s="481">
        <v>176854.40599999999</v>
      </c>
      <c r="I340" s="481">
        <v>1640607.4269999999</v>
      </c>
      <c r="J340" s="481">
        <f t="shared" si="12"/>
        <v>6908063.8990000002</v>
      </c>
      <c r="K340" s="502">
        <f>+J340-_CIERRE!U335-_CIERRE!V335</f>
        <v>0</v>
      </c>
      <c r="M340" s="32">
        <v>16109</v>
      </c>
      <c r="N340" s="33">
        <v>8116</v>
      </c>
      <c r="O340" s="4" t="s">
        <v>179</v>
      </c>
      <c r="P340" s="61">
        <f>+_CIERRE!S335</f>
        <v>0</v>
      </c>
      <c r="Q340" s="61">
        <f>+_CIERRE!T335</f>
        <v>6844041.3789999997</v>
      </c>
      <c r="R340" s="502">
        <f>+Q340+P340-_CIERRE!T335</f>
        <v>0</v>
      </c>
      <c r="S340" s="61"/>
      <c r="T340" s="61"/>
      <c r="U340" s="61"/>
      <c r="V340" s="61"/>
      <c r="AF340" s="62"/>
      <c r="AG340" s="476"/>
    </row>
    <row r="341" spans="1:33" ht="3" customHeight="1" x14ac:dyDescent="0.25">
      <c r="A341">
        <v>16201</v>
      </c>
      <c r="B341">
        <v>8104</v>
      </c>
      <c r="C341" s="3" t="s">
        <v>171</v>
      </c>
      <c r="D341" s="137">
        <v>3444729.5419999999</v>
      </c>
      <c r="E341" s="138">
        <f t="shared" si="11"/>
        <v>287060.79516666668</v>
      </c>
      <c r="F341" s="138">
        <f>ROUND(E341*PARAMETROS!$L$10,0)</f>
        <v>226778</v>
      </c>
      <c r="G341" s="481">
        <v>0</v>
      </c>
      <c r="H341" s="481">
        <v>119631.09699999999</v>
      </c>
      <c r="I341" s="481">
        <v>1108518.27</v>
      </c>
      <c r="J341" s="481">
        <f t="shared" si="12"/>
        <v>4672878.909</v>
      </c>
      <c r="K341" s="502">
        <f>+J341-_CIERRE!U336-_CIERRE!V336</f>
        <v>0</v>
      </c>
      <c r="M341" s="32">
        <v>16201</v>
      </c>
      <c r="N341" s="33">
        <v>8104</v>
      </c>
      <c r="O341" s="4" t="s">
        <v>171</v>
      </c>
      <c r="P341" s="61">
        <f>+_CIERRE!S336</f>
        <v>0</v>
      </c>
      <c r="Q341" s="61">
        <f>+_CIERRE!T336</f>
        <v>4304588.5449999999</v>
      </c>
      <c r="R341" s="502">
        <f>+Q341+P341-_CIERRE!T336</f>
        <v>0</v>
      </c>
      <c r="S341" s="61"/>
      <c r="T341" s="61"/>
      <c r="U341" s="61"/>
      <c r="V341" s="61"/>
      <c r="AF341" s="62"/>
      <c r="AG341" s="476"/>
    </row>
    <row r="342" spans="1:33" ht="3" customHeight="1" x14ac:dyDescent="0.25">
      <c r="A342">
        <v>16202</v>
      </c>
      <c r="B342">
        <v>8107</v>
      </c>
      <c r="C342" s="3" t="s">
        <v>174</v>
      </c>
      <c r="D342" s="137">
        <v>3409575.4180000001</v>
      </c>
      <c r="E342" s="138">
        <f t="shared" si="11"/>
        <v>284131.28483333334</v>
      </c>
      <c r="F342" s="138">
        <f>ROUND(E342*PARAMETROS!$L$10,0)</f>
        <v>224464</v>
      </c>
      <c r="G342" s="481">
        <v>0</v>
      </c>
      <c r="H342" s="481">
        <v>118451.85799999999</v>
      </c>
      <c r="I342" s="481">
        <v>1098789.2150000001</v>
      </c>
      <c r="J342" s="481">
        <f t="shared" si="12"/>
        <v>4626816.4910000004</v>
      </c>
      <c r="K342" s="502">
        <f>+J342-_CIERRE!U337-_CIERRE!V337</f>
        <v>0</v>
      </c>
      <c r="M342" s="32">
        <v>16202</v>
      </c>
      <c r="N342" s="33">
        <v>8107</v>
      </c>
      <c r="O342" s="4" t="s">
        <v>174</v>
      </c>
      <c r="P342" s="61">
        <f>+_CIERRE!S337</f>
        <v>0</v>
      </c>
      <c r="Q342" s="61">
        <f>+_CIERRE!T337</f>
        <v>3813920.159</v>
      </c>
      <c r="R342" s="502">
        <f>+Q342+P342-_CIERRE!T337</f>
        <v>0</v>
      </c>
      <c r="S342" s="61"/>
      <c r="T342" s="61"/>
      <c r="U342" s="61"/>
      <c r="V342" s="61"/>
      <c r="AF342" s="62"/>
      <c r="AG342" s="476"/>
    </row>
    <row r="343" spans="1:33" ht="3" customHeight="1" x14ac:dyDescent="0.25">
      <c r="A343">
        <v>16203</v>
      </c>
      <c r="B343">
        <v>8120</v>
      </c>
      <c r="C343" s="3" t="s">
        <v>182</v>
      </c>
      <c r="D343" s="137">
        <v>3985671.7719999999</v>
      </c>
      <c r="E343" s="138">
        <f t="shared" si="11"/>
        <v>332139.31433333334</v>
      </c>
      <c r="F343" s="138">
        <f>ROUND(E343*PARAMETROS!$L$10,0)</f>
        <v>262390</v>
      </c>
      <c r="G343" s="481">
        <v>0</v>
      </c>
      <c r="H343" s="481">
        <v>138576.647</v>
      </c>
      <c r="I343" s="481">
        <v>1288658.1089999999</v>
      </c>
      <c r="J343" s="481">
        <f t="shared" si="12"/>
        <v>5412906.5279999999</v>
      </c>
      <c r="K343" s="502">
        <f>+J343-_CIERRE!U338-_CIERRE!V338</f>
        <v>0</v>
      </c>
      <c r="M343" s="32">
        <v>16203</v>
      </c>
      <c r="N343" s="33">
        <v>8120</v>
      </c>
      <c r="O343" s="4" t="s">
        <v>182</v>
      </c>
      <c r="P343" s="61">
        <f>+_CIERRE!S338</f>
        <v>0</v>
      </c>
      <c r="Q343" s="61">
        <f>+_CIERRE!T338</f>
        <v>5131595.5930000003</v>
      </c>
      <c r="R343" s="502">
        <f>+Q343+P343-_CIERRE!T338</f>
        <v>0</v>
      </c>
      <c r="S343" s="61"/>
      <c r="T343" s="61"/>
      <c r="U343" s="61"/>
      <c r="V343" s="61"/>
      <c r="AF343" s="62"/>
      <c r="AG343" s="476"/>
    </row>
    <row r="344" spans="1:33" ht="3" customHeight="1" x14ac:dyDescent="0.25">
      <c r="A344">
        <v>16204</v>
      </c>
      <c r="B344">
        <v>8105</v>
      </c>
      <c r="C344" s="3" t="s">
        <v>172</v>
      </c>
      <c r="D344" s="137">
        <v>2550251.6749999998</v>
      </c>
      <c r="E344" s="138">
        <f t="shared" si="11"/>
        <v>212520.97291666665</v>
      </c>
      <c r="F344" s="138">
        <f>ROUND(E344*PARAMETROS!$L$10,0)</f>
        <v>167892</v>
      </c>
      <c r="G344" s="481">
        <v>0</v>
      </c>
      <c r="H344" s="481">
        <v>88630.869000000006</v>
      </c>
      <c r="I344" s="481">
        <v>823104.62300000002</v>
      </c>
      <c r="J344" s="481">
        <f t="shared" si="12"/>
        <v>3461987.1669999999</v>
      </c>
      <c r="K344" s="502">
        <f>+J344-_CIERRE!U339-_CIERRE!V339</f>
        <v>0</v>
      </c>
      <c r="M344" s="32">
        <v>16204</v>
      </c>
      <c r="N344" s="33">
        <v>8105</v>
      </c>
      <c r="O344" s="4" t="s">
        <v>172</v>
      </c>
      <c r="P344" s="61">
        <f>+_CIERRE!S339</f>
        <v>0</v>
      </c>
      <c r="Q344" s="61">
        <f>+_CIERRE!T339</f>
        <v>3088644.8149999999</v>
      </c>
      <c r="R344" s="502">
        <f>+Q344+P344-_CIERRE!T339</f>
        <v>0</v>
      </c>
      <c r="S344" s="61"/>
      <c r="T344" s="61"/>
      <c r="U344" s="61"/>
      <c r="V344" s="61"/>
      <c r="AF344" s="62"/>
      <c r="AG344" s="476"/>
    </row>
    <row r="345" spans="1:33" ht="3" customHeight="1" x14ac:dyDescent="0.25">
      <c r="A345">
        <v>16205</v>
      </c>
      <c r="B345">
        <v>8106</v>
      </c>
      <c r="C345" s="3" t="s">
        <v>173</v>
      </c>
      <c r="D345" s="137">
        <v>2431939.2710000002</v>
      </c>
      <c r="E345" s="138">
        <f t="shared" si="11"/>
        <v>202661.60591666668</v>
      </c>
      <c r="F345" s="138">
        <f>ROUND(E345*PARAMETROS!$L$10,0)</f>
        <v>160103</v>
      </c>
      <c r="G345" s="481">
        <v>0</v>
      </c>
      <c r="H345" s="481">
        <v>84497.455000000002</v>
      </c>
      <c r="I345" s="481">
        <v>784096.36199999996</v>
      </c>
      <c r="J345" s="481">
        <f t="shared" si="12"/>
        <v>3300533.0880000005</v>
      </c>
      <c r="K345" s="502">
        <f>+J345-_CIERRE!U340-_CIERRE!V340</f>
        <v>0</v>
      </c>
      <c r="M345" s="32">
        <v>16205</v>
      </c>
      <c r="N345" s="33">
        <v>8106</v>
      </c>
      <c r="O345" s="4" t="s">
        <v>173</v>
      </c>
      <c r="P345" s="61">
        <f>+_CIERRE!S340</f>
        <v>0</v>
      </c>
      <c r="Q345" s="61">
        <f>+_CIERRE!T340</f>
        <v>2960134.014</v>
      </c>
      <c r="R345" s="502">
        <f>+Q345+P345-_CIERRE!T340</f>
        <v>0</v>
      </c>
      <c r="S345" s="61"/>
      <c r="T345" s="61"/>
      <c r="U345" s="61"/>
      <c r="V345" s="61"/>
      <c r="AF345" s="62"/>
      <c r="AG345" s="476"/>
    </row>
    <row r="346" spans="1:33" ht="3" customHeight="1" x14ac:dyDescent="0.25">
      <c r="A346">
        <v>16206</v>
      </c>
      <c r="B346">
        <v>8119</v>
      </c>
      <c r="C346" s="3" t="s">
        <v>33</v>
      </c>
      <c r="D346" s="137">
        <v>2109448.3360000001</v>
      </c>
      <c r="E346" s="138">
        <f t="shared" si="11"/>
        <v>175787.36133333333</v>
      </c>
      <c r="F346" s="138">
        <f>ROUND(E346*PARAMETROS!$L$10,0)</f>
        <v>138872</v>
      </c>
      <c r="G346" s="481">
        <v>0</v>
      </c>
      <c r="H346" s="481">
        <v>73339.532999999996</v>
      </c>
      <c r="I346" s="481">
        <v>681908.89500000002</v>
      </c>
      <c r="J346" s="481">
        <f t="shared" si="12"/>
        <v>2864696.764</v>
      </c>
      <c r="K346" s="502">
        <f>+J346-_CIERRE!U341-_CIERRE!V341</f>
        <v>0</v>
      </c>
      <c r="M346" s="32">
        <v>16206</v>
      </c>
      <c r="N346" s="33">
        <v>8119</v>
      </c>
      <c r="O346" s="4" t="s">
        <v>33</v>
      </c>
      <c r="P346" s="61">
        <f>+_CIERRE!S341</f>
        <v>0</v>
      </c>
      <c r="Q346" s="61">
        <f>+_CIERRE!T341</f>
        <v>2692289.3220000002</v>
      </c>
      <c r="R346" s="502">
        <f>+Q346+P346-_CIERRE!T341</f>
        <v>0</v>
      </c>
      <c r="S346" s="61"/>
      <c r="T346" s="61"/>
      <c r="U346" s="61"/>
      <c r="V346" s="61"/>
      <c r="AF346" s="62"/>
      <c r="AG346" s="476"/>
    </row>
    <row r="347" spans="1:33" ht="3" customHeight="1" x14ac:dyDescent="0.25">
      <c r="A347">
        <v>16207</v>
      </c>
      <c r="B347">
        <v>8108</v>
      </c>
      <c r="C347" s="8" t="s">
        <v>175</v>
      </c>
      <c r="D347" s="137">
        <v>2571404.34</v>
      </c>
      <c r="E347" s="138">
        <f t="shared" si="11"/>
        <v>214283.69499999998</v>
      </c>
      <c r="F347" s="138">
        <f>ROUND(E347*PARAMETROS!$L$10,0)</f>
        <v>169284</v>
      </c>
      <c r="G347" s="481">
        <v>0</v>
      </c>
      <c r="H347" s="481">
        <v>89359.862999999998</v>
      </c>
      <c r="I347" s="481">
        <v>829697.32900000003</v>
      </c>
      <c r="J347" s="481">
        <f t="shared" si="12"/>
        <v>3490461.5319999997</v>
      </c>
      <c r="K347" s="502">
        <f>+J347-_CIERRE!U342-_CIERRE!V342</f>
        <v>0</v>
      </c>
      <c r="M347" s="32">
        <v>16207</v>
      </c>
      <c r="N347" s="33">
        <v>8108</v>
      </c>
      <c r="O347" s="34" t="s">
        <v>175</v>
      </c>
      <c r="P347" s="61">
        <f>+_CIERRE!S342</f>
        <v>0</v>
      </c>
      <c r="Q347" s="61">
        <f>+_CIERRE!T342</f>
        <v>3191111.1669999999</v>
      </c>
      <c r="R347" s="502">
        <f>+Q347+P347-_CIERRE!T342</f>
        <v>0</v>
      </c>
      <c r="S347" s="61"/>
      <c r="T347" s="61"/>
      <c r="U347" s="61"/>
      <c r="V347" s="61"/>
      <c r="AF347" s="62"/>
      <c r="AG347" s="476"/>
    </row>
    <row r="348" spans="1:33" ht="3" customHeight="1" x14ac:dyDescent="0.25">
      <c r="A348">
        <v>16301</v>
      </c>
      <c r="B348">
        <v>8109</v>
      </c>
      <c r="C348" s="3" t="s">
        <v>176</v>
      </c>
      <c r="D348" s="137">
        <v>9669849.0130000003</v>
      </c>
      <c r="E348" s="138">
        <f t="shared" si="11"/>
        <v>805820.75108333339</v>
      </c>
      <c r="F348" s="138">
        <f>ROUND(E348*PARAMETROS!$L$10,0)</f>
        <v>636598</v>
      </c>
      <c r="G348" s="481">
        <v>0</v>
      </c>
      <c r="H348" s="481">
        <v>336266.239</v>
      </c>
      <c r="I348" s="481">
        <v>3128692.429</v>
      </c>
      <c r="J348" s="481">
        <f t="shared" si="12"/>
        <v>13134807.681</v>
      </c>
      <c r="K348" s="502">
        <f>+J348-_CIERRE!U343-_CIERRE!V343</f>
        <v>0</v>
      </c>
      <c r="M348" s="32">
        <v>16301</v>
      </c>
      <c r="N348" s="33">
        <v>8109</v>
      </c>
      <c r="O348" s="4" t="s">
        <v>176</v>
      </c>
      <c r="P348" s="61">
        <f>+_CIERRE!S343</f>
        <v>0</v>
      </c>
      <c r="Q348" s="61">
        <f>+_CIERRE!T343</f>
        <v>12155306.307</v>
      </c>
      <c r="R348" s="502">
        <f>+Q348+P348-_CIERRE!T343</f>
        <v>0</v>
      </c>
      <c r="S348" s="61"/>
      <c r="T348" s="61"/>
      <c r="U348" s="61"/>
      <c r="V348" s="61"/>
      <c r="AF348" s="62"/>
      <c r="AG348" s="476"/>
    </row>
    <row r="349" spans="1:33" ht="3" customHeight="1" x14ac:dyDescent="0.25">
      <c r="A349">
        <v>16302</v>
      </c>
      <c r="B349">
        <v>8103</v>
      </c>
      <c r="C349" s="3" t="s">
        <v>170</v>
      </c>
      <c r="D349" s="137">
        <v>6008857.8969999999</v>
      </c>
      <c r="E349" s="138">
        <f t="shared" si="11"/>
        <v>500738.15808333334</v>
      </c>
      <c r="F349" s="138">
        <f>ROUND(E349*PARAMETROS!$L$10,0)</f>
        <v>395583</v>
      </c>
      <c r="G349" s="481">
        <v>0</v>
      </c>
      <c r="H349" s="481">
        <v>208755.85699999999</v>
      </c>
      <c r="I349" s="481">
        <v>1936544.3940000001</v>
      </c>
      <c r="J349" s="481">
        <f t="shared" si="12"/>
        <v>8154158.148</v>
      </c>
      <c r="K349" s="502">
        <f>+J349-_CIERRE!U344-_CIERRE!V344</f>
        <v>0</v>
      </c>
      <c r="M349" s="32">
        <v>16302</v>
      </c>
      <c r="N349" s="33">
        <v>8103</v>
      </c>
      <c r="O349" s="4" t="s">
        <v>170</v>
      </c>
      <c r="P349" s="61">
        <f>+_CIERRE!S344</f>
        <v>0</v>
      </c>
      <c r="Q349" s="61">
        <f>+_CIERRE!T344</f>
        <v>8078587.1509999996</v>
      </c>
      <c r="R349" s="502">
        <f>+Q349+P349-_CIERRE!T344</f>
        <v>0</v>
      </c>
      <c r="S349" s="61"/>
      <c r="T349" s="61"/>
      <c r="U349" s="61"/>
      <c r="V349" s="61"/>
      <c r="AF349" s="62"/>
      <c r="AG349" s="476"/>
    </row>
    <row r="350" spans="1:33" ht="3" customHeight="1" x14ac:dyDescent="0.25">
      <c r="A350">
        <v>16303</v>
      </c>
      <c r="B350">
        <v>8110</v>
      </c>
      <c r="C350" s="3" t="s">
        <v>403</v>
      </c>
      <c r="D350" s="137">
        <v>3501207.9249999998</v>
      </c>
      <c r="E350" s="138">
        <f t="shared" si="11"/>
        <v>291767.32708333334</v>
      </c>
      <c r="F350" s="138">
        <f>ROUND(E350*PARAMETROS!$L$10,0)</f>
        <v>230496</v>
      </c>
      <c r="G350" s="481">
        <v>0</v>
      </c>
      <c r="H350" s="481">
        <v>121609.048</v>
      </c>
      <c r="I350" s="481">
        <v>1127321.5279999999</v>
      </c>
      <c r="J350" s="481">
        <f t="shared" si="12"/>
        <v>4750138.5010000002</v>
      </c>
      <c r="K350" s="502">
        <f>+J350-_CIERRE!U345-_CIERRE!V345</f>
        <v>0</v>
      </c>
      <c r="M350" s="32">
        <v>16303</v>
      </c>
      <c r="N350" s="33">
        <v>8110</v>
      </c>
      <c r="O350" s="4" t="s">
        <v>403</v>
      </c>
      <c r="P350" s="61">
        <f>+_CIERRE!S345</f>
        <v>0</v>
      </c>
      <c r="Q350" s="61">
        <f>+_CIERRE!T345</f>
        <v>3816781.0419999999</v>
      </c>
      <c r="R350" s="502">
        <f>+Q350+P350-_CIERRE!T345</f>
        <v>0</v>
      </c>
      <c r="S350" s="61"/>
      <c r="T350" s="61"/>
      <c r="U350" s="61"/>
      <c r="V350" s="61"/>
      <c r="AF350" s="62"/>
      <c r="AG350" s="476"/>
    </row>
    <row r="351" spans="1:33" ht="3" customHeight="1" x14ac:dyDescent="0.25">
      <c r="A351">
        <v>16304</v>
      </c>
      <c r="B351">
        <v>8111</v>
      </c>
      <c r="C351" s="3" t="s">
        <v>405</v>
      </c>
      <c r="D351" s="137">
        <v>1728292.6310000001</v>
      </c>
      <c r="E351" s="138">
        <f t="shared" si="11"/>
        <v>144024.38591666668</v>
      </c>
      <c r="F351" s="138">
        <f>ROUND(E351*PARAMETROS!$L$10,0)</f>
        <v>113779</v>
      </c>
      <c r="G351" s="481">
        <v>0</v>
      </c>
      <c r="H351" s="481">
        <v>60060.582000000002</v>
      </c>
      <c r="I351" s="481">
        <v>557656.98800000001</v>
      </c>
      <c r="J351" s="481">
        <f t="shared" si="12"/>
        <v>2346010.2009999999</v>
      </c>
      <c r="K351" s="502">
        <f>+J351-_CIERRE!U346-_CIERRE!V346</f>
        <v>0</v>
      </c>
      <c r="M351" s="32">
        <v>16304</v>
      </c>
      <c r="N351" s="33">
        <v>8111</v>
      </c>
      <c r="O351" s="4" t="s">
        <v>405</v>
      </c>
      <c r="P351" s="61">
        <f>+_CIERRE!S346</f>
        <v>0</v>
      </c>
      <c r="Q351" s="61">
        <f>+_CIERRE!T346</f>
        <v>2233513.3199999998</v>
      </c>
      <c r="R351" s="502">
        <f>+Q351+P351-_CIERRE!T346</f>
        <v>0</v>
      </c>
      <c r="S351" s="61"/>
      <c r="T351" s="61"/>
      <c r="U351" s="61"/>
      <c r="V351" s="61"/>
      <c r="AF351" s="62"/>
      <c r="AG351" s="476"/>
    </row>
    <row r="352" spans="1:33" ht="3" customHeight="1" x14ac:dyDescent="0.25">
      <c r="A352">
        <v>16305</v>
      </c>
      <c r="B352">
        <v>8112</v>
      </c>
      <c r="C352" s="3" t="s">
        <v>406</v>
      </c>
      <c r="D352" s="137">
        <v>2536253.179</v>
      </c>
      <c r="E352" s="138">
        <f t="shared" si="11"/>
        <v>211354.43158333332</v>
      </c>
      <c r="F352" s="138">
        <f>ROUND(E352*PARAMETROS!$L$10,0)</f>
        <v>166970</v>
      </c>
      <c r="G352" s="481">
        <v>0</v>
      </c>
      <c r="H352" s="481">
        <v>88169.085000000006</v>
      </c>
      <c r="I352" s="481">
        <v>819527.15599999996</v>
      </c>
      <c r="J352" s="481">
        <f t="shared" si="12"/>
        <v>3443949.42</v>
      </c>
      <c r="K352" s="502">
        <f>+J352-_CIERRE!U347-_CIERRE!V347</f>
        <v>0</v>
      </c>
      <c r="M352" s="32">
        <v>16305</v>
      </c>
      <c r="N352" s="33">
        <v>8112</v>
      </c>
      <c r="O352" s="4" t="s">
        <v>406</v>
      </c>
      <c r="P352" s="61">
        <f>+_CIERRE!S347</f>
        <v>0</v>
      </c>
      <c r="Q352" s="61">
        <f>+_CIERRE!T347</f>
        <v>3099166.7850000001</v>
      </c>
      <c r="R352" s="502">
        <f>+Q352+P352-_CIERRE!T347</f>
        <v>0</v>
      </c>
      <c r="S352" s="61"/>
      <c r="T352" s="61"/>
      <c r="U352" s="61"/>
      <c r="V352" s="61"/>
      <c r="AF352" s="62"/>
      <c r="AG352" s="476"/>
    </row>
    <row r="353" spans="1:22" ht="3" customHeight="1" thickBot="1" x14ac:dyDescent="0.3">
      <c r="V353" s="61"/>
    </row>
    <row r="354" spans="1:22" ht="3" customHeight="1" thickBot="1" x14ac:dyDescent="0.3">
      <c r="D354" s="55">
        <f>SUM(D7:D353)</f>
        <v>1995563620.7269976</v>
      </c>
      <c r="E354" s="55">
        <f>+D354/12</f>
        <v>166296968.39391646</v>
      </c>
      <c r="F354" s="63">
        <f>SUM(F7:F352)</f>
        <v>131374604</v>
      </c>
      <c r="G354" s="480"/>
      <c r="H354" s="480"/>
      <c r="I354" s="480"/>
      <c r="J354" s="480"/>
      <c r="K354" s="6"/>
      <c r="L354"/>
      <c r="M354"/>
      <c r="N354"/>
      <c r="O354"/>
      <c r="P354" s="55">
        <f>SUM(P7:P352)</f>
        <v>19216532</v>
      </c>
      <c r="Q354" s="63">
        <f>SUM(Q7:Q352)</f>
        <v>2567723851.1940017</v>
      </c>
      <c r="R354" s="6"/>
    </row>
    <row r="355" spans="1:22" ht="3" customHeight="1" x14ac:dyDescent="0.25">
      <c r="A355" s="41" t="s">
        <v>616</v>
      </c>
      <c r="M355" s="52" t="str">
        <f>"Programa: 03 de la Ley de Presupuestos "&amp;RIGHT(PARAMETROS!B3,4)</f>
        <v>Programa: 03 de la Ley de Presupuestos 2026</v>
      </c>
      <c r="Q355" s="7"/>
    </row>
    <row r="356" spans="1:22" ht="3" customHeight="1" x14ac:dyDescent="0.25">
      <c r="A356" s="3" t="str">
        <f>"(**) Cierre "&amp;RIGHT(PARAMETROS!B3,4)-1&amp;" para determinación del Mecanismo de Estabilización."</f>
        <v>(**) Cierre 2025 para determinación del Mecanismo de Estabilización.</v>
      </c>
      <c r="M356" s="42" t="s">
        <v>341</v>
      </c>
      <c r="Q356" s="85"/>
    </row>
    <row r="357" spans="1:22" ht="3" customHeight="1" x14ac:dyDescent="0.25">
      <c r="Q357" s="84"/>
    </row>
  </sheetData>
  <sheetProtection algorithmName="SHA-512" hashValue="BinTk904ruwh31BKXRcoaXutr7zd/WMePZ4g6a6BMxLBAIo5KCvpX9qyRJJfOI8r6mNZa85tjGy+y5plfgDHPg==" saltValue="wG0mjSMANbV4qWHZs2TfdQ==" spinCount="100000" sheet="1" objects="1" scenarios="1" selectLockedCells="1" selectUnlockedCells="1"/>
  <sortState xmlns:xlrd2="http://schemas.microsoft.com/office/spreadsheetml/2017/richdata2" ref="W7:AC352">
    <sortCondition ref="W7:W352"/>
  </sortState>
  <mergeCells count="1">
    <mergeCell ref="A1:D1"/>
  </mergeCells>
  <phoneticPr fontId="9"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FF0000"/>
  </sheetPr>
  <dimension ref="A1:CQ361"/>
  <sheetViews>
    <sheetView showOutlineSymbols="0" showWhiteSpace="0" workbookViewId="0">
      <selection activeCell="F28" sqref="F28"/>
    </sheetView>
  </sheetViews>
  <sheetFormatPr baseColWidth="10" defaultColWidth="10.85546875" defaultRowHeight="3" customHeight="1" x14ac:dyDescent="0.25"/>
  <cols>
    <col min="1" max="1" width="13.5703125" style="39" customWidth="1"/>
    <col min="2" max="2" width="19.5703125" style="30" customWidth="1"/>
    <col min="3" max="3" width="27.140625" style="30" customWidth="1"/>
    <col min="4" max="4" width="19.42578125" style="30" customWidth="1"/>
    <col min="5" max="5" width="19.140625" style="30" customWidth="1"/>
    <col min="6" max="6" width="11.5703125" style="30" customWidth="1"/>
    <col min="7" max="7" width="20.140625" style="30" customWidth="1"/>
    <col min="8" max="8" width="22.140625" style="30" customWidth="1"/>
    <col min="9" max="9" width="15.85546875" style="30" customWidth="1"/>
    <col min="10" max="10" width="14.140625" style="30" customWidth="1"/>
    <col min="11" max="11" width="14.5703125" style="30" customWidth="1"/>
    <col min="12" max="12" width="16" style="30" customWidth="1"/>
    <col min="13" max="13" width="13.42578125" style="30" customWidth="1"/>
    <col min="14" max="14" width="13" style="30" customWidth="1"/>
    <col min="15" max="15" width="15.85546875" style="30" customWidth="1"/>
    <col min="16" max="16" width="14.140625" style="30" customWidth="1"/>
    <col min="17" max="17" width="12.42578125" style="30" customWidth="1"/>
    <col min="18" max="18" width="16" style="30" customWidth="1"/>
    <col min="19" max="19" width="13.42578125" style="30" customWidth="1"/>
    <col min="20" max="20" width="13" style="30" customWidth="1"/>
    <col min="21" max="21" width="15.85546875" style="30" customWidth="1"/>
    <col min="22" max="22" width="14.140625" style="30" customWidth="1"/>
    <col min="23" max="23" width="15.140625" style="30" customWidth="1"/>
    <col min="24" max="24" width="16" style="30" customWidth="1"/>
    <col min="25" max="25" width="13.42578125" style="30" customWidth="1"/>
    <col min="26" max="26" width="13" style="30" customWidth="1"/>
    <col min="27" max="27" width="15.85546875" style="30" customWidth="1"/>
    <col min="28" max="28" width="14.140625" style="30" customWidth="1"/>
    <col min="29" max="29" width="13.85546875" style="30" customWidth="1"/>
    <col min="30" max="30" width="16" style="30" customWidth="1"/>
    <col min="31" max="31" width="13.42578125" style="30" customWidth="1"/>
    <col min="32" max="32" width="13" style="30" customWidth="1"/>
    <col min="33" max="33" width="15.85546875" style="30" customWidth="1"/>
    <col min="34" max="35" width="14.140625" style="30" customWidth="1"/>
    <col min="36" max="36" width="16" style="30" customWidth="1"/>
    <col min="37" max="37" width="13.42578125" style="30" customWidth="1"/>
    <col min="38" max="38" width="13" style="30" customWidth="1"/>
    <col min="39" max="39" width="15.85546875" style="30" customWidth="1"/>
    <col min="40" max="40" width="14.140625" style="30" customWidth="1"/>
    <col min="41" max="41" width="13.85546875" style="30" customWidth="1"/>
    <col min="42" max="42" width="16" style="30" customWidth="1"/>
    <col min="43" max="43" width="13.42578125" style="30" customWidth="1"/>
    <col min="44" max="44" width="13" style="30" customWidth="1"/>
    <col min="45" max="45" width="15.85546875" style="30" customWidth="1"/>
    <col min="46" max="46" width="14.140625" style="30" customWidth="1"/>
    <col min="47" max="47" width="13.42578125" style="30" customWidth="1"/>
    <col min="48" max="48" width="16.42578125" style="30" customWidth="1"/>
    <col min="49" max="49" width="13.42578125" style="30" customWidth="1"/>
    <col min="50" max="50" width="13" style="30" customWidth="1"/>
    <col min="51" max="51" width="15.85546875" style="30" customWidth="1"/>
    <col min="52" max="52" width="14.140625" style="30" customWidth="1"/>
    <col min="53" max="53" width="15.85546875" style="30" customWidth="1"/>
    <col min="54" max="54" width="16" style="30" customWidth="1"/>
    <col min="55" max="55" width="13.42578125" style="30" customWidth="1"/>
    <col min="56" max="56" width="13" style="30" customWidth="1"/>
    <col min="57" max="57" width="15.85546875" style="30" customWidth="1"/>
    <col min="58" max="58" width="14.140625" style="30" customWidth="1"/>
    <col min="59" max="59" width="12" style="30" customWidth="1"/>
    <col min="60" max="60" width="16" style="30" customWidth="1"/>
    <col min="61" max="61" width="13.42578125" style="30" customWidth="1"/>
    <col min="62" max="62" width="13" style="30" customWidth="1"/>
    <col min="63" max="63" width="15.85546875" style="30" customWidth="1"/>
    <col min="64" max="64" width="14.140625" style="30" customWidth="1"/>
    <col min="65" max="65" width="13.42578125" style="30" customWidth="1"/>
    <col min="66" max="66" width="16" style="30" customWidth="1"/>
    <col min="67" max="67" width="13.42578125" style="30" customWidth="1"/>
    <col min="68" max="68" width="13" style="30" customWidth="1"/>
    <col min="69" max="69" width="15.85546875" style="30" customWidth="1"/>
    <col min="70" max="70" width="14.140625" style="30" customWidth="1"/>
    <col min="71" max="71" width="11.5703125" style="30" customWidth="1"/>
    <col min="72" max="72" width="16" style="30" customWidth="1"/>
    <col min="73" max="73" width="13.42578125" style="30" customWidth="1"/>
    <col min="74" max="74" width="13" style="30" customWidth="1"/>
    <col min="75" max="75" width="15.85546875" style="30" customWidth="1"/>
    <col min="76" max="76" width="14.140625" style="30" customWidth="1"/>
    <col min="77" max="77" width="12.5703125" style="30" customWidth="1"/>
    <col min="78" max="78" width="16" style="30" customWidth="1"/>
    <col min="79" max="79" width="13.5703125" style="30" customWidth="1"/>
    <col min="80" max="80" width="13" style="30" customWidth="1"/>
    <col min="81" max="81" width="6.85546875" style="155" customWidth="1"/>
    <col min="82" max="82" width="3.140625" style="30" bestFit="1" customWidth="1"/>
    <col min="83" max="94" width="10.85546875" style="65" customWidth="1"/>
    <col min="95" max="95" width="4" style="30" customWidth="1"/>
    <col min="96" max="16384" width="10.85546875" style="30"/>
  </cols>
  <sheetData>
    <row r="1" spans="1:95" ht="3" customHeight="1" x14ac:dyDescent="0.25">
      <c r="B1" s="30" t="s">
        <v>600</v>
      </c>
      <c r="J1" s="46">
        <f>SUM(J7:J352)</f>
        <v>0</v>
      </c>
      <c r="P1" s="46">
        <f>SUM(P7:P352)</f>
        <v>0</v>
      </c>
      <c r="V1" s="46">
        <f>SUM(V7:V352)</f>
        <v>0</v>
      </c>
      <c r="AB1" s="46">
        <f>SUM(AB7:AB352)</f>
        <v>0</v>
      </c>
      <c r="AH1" s="46">
        <f>SUM(AH7:AH352)</f>
        <v>5334262</v>
      </c>
      <c r="AN1" s="46">
        <f>SUM(AN7:AN352)</f>
        <v>3780444</v>
      </c>
      <c r="AT1" s="46">
        <f>SUM(AT7:AT352)</f>
        <v>22091671</v>
      </c>
      <c r="AZ1" s="46">
        <f>SUM(AZ7:AZ352)</f>
        <v>0</v>
      </c>
      <c r="BF1" s="46">
        <f>SUM(BF7:BF352)</f>
        <v>5415776</v>
      </c>
      <c r="BL1" s="46">
        <f>SUM(BL7:BL352)</f>
        <v>0</v>
      </c>
      <c r="BR1" s="46">
        <f>SUM(BR7:BR352)</f>
        <v>0</v>
      </c>
      <c r="BX1" s="46">
        <f>SUM(BX7:BX352)</f>
        <v>35594499</v>
      </c>
      <c r="CE1" s="66"/>
      <c r="CF1" s="66"/>
      <c r="CG1" s="66"/>
      <c r="CH1" s="66"/>
      <c r="CI1" s="66"/>
      <c r="CJ1" s="66"/>
      <c r="CK1" s="66"/>
      <c r="CL1" s="66"/>
      <c r="CM1" s="66"/>
      <c r="CN1" s="66"/>
      <c r="CO1" s="66"/>
      <c r="CP1" s="66"/>
    </row>
    <row r="2" spans="1:95" ht="3" customHeight="1" x14ac:dyDescent="0.25">
      <c r="B2" s="22" t="str">
        <f>+PARAMETROS!H3</f>
        <v>Ver:5 20251231</v>
      </c>
      <c r="I2" s="44">
        <f>+I3-I4</f>
        <v>1.2650000005960464</v>
      </c>
      <c r="J2" s="44">
        <f t="shared" ref="J2:BU2" si="0">+J3-J4</f>
        <v>0</v>
      </c>
      <c r="K2" s="44">
        <f t="shared" si="0"/>
        <v>0</v>
      </c>
      <c r="L2" s="44">
        <f t="shared" si="0"/>
        <v>0</v>
      </c>
      <c r="M2" s="44">
        <f t="shared" si="0"/>
        <v>0</v>
      </c>
      <c r="N2" s="44">
        <f t="shared" si="0"/>
        <v>0</v>
      </c>
      <c r="O2" s="44">
        <f t="shared" si="0"/>
        <v>-2.0800000056624413</v>
      </c>
      <c r="P2" s="44">
        <f t="shared" si="0"/>
        <v>0</v>
      </c>
      <c r="Q2" s="44">
        <f t="shared" si="0"/>
        <v>0</v>
      </c>
      <c r="R2" s="44">
        <f t="shared" si="0"/>
        <v>0</v>
      </c>
      <c r="S2" s="44">
        <f t="shared" si="0"/>
        <v>0</v>
      </c>
      <c r="T2" s="44">
        <f t="shared" si="0"/>
        <v>0</v>
      </c>
      <c r="U2" s="44">
        <f t="shared" si="0"/>
        <v>4.3149999976158142</v>
      </c>
      <c r="V2" s="44">
        <f t="shared" si="0"/>
        <v>0</v>
      </c>
      <c r="W2" s="44">
        <f t="shared" si="0"/>
        <v>0</v>
      </c>
      <c r="X2" s="44">
        <f t="shared" si="0"/>
        <v>0</v>
      </c>
      <c r="Y2" s="44">
        <f t="shared" si="0"/>
        <v>0</v>
      </c>
      <c r="Z2" s="44">
        <f t="shared" si="0"/>
        <v>0</v>
      </c>
      <c r="AA2" s="44">
        <f t="shared" si="0"/>
        <v>-4.8650000095367432</v>
      </c>
      <c r="AB2" s="44">
        <f t="shared" si="0"/>
        <v>0</v>
      </c>
      <c r="AC2" s="44">
        <f t="shared" si="0"/>
        <v>0</v>
      </c>
      <c r="AD2" s="44">
        <f t="shared" si="0"/>
        <v>0</v>
      </c>
      <c r="AE2" s="44">
        <f t="shared" si="0"/>
        <v>0</v>
      </c>
      <c r="AF2" s="44">
        <f t="shared" si="0"/>
        <v>0</v>
      </c>
      <c r="AG2" s="44">
        <f t="shared" si="0"/>
        <v>-2.6000000238418579</v>
      </c>
      <c r="AH2" s="44">
        <f t="shared" si="0"/>
        <v>-1</v>
      </c>
      <c r="AI2" s="44">
        <f t="shared" si="0"/>
        <v>0</v>
      </c>
      <c r="AJ2" s="44">
        <f t="shared" si="0"/>
        <v>0</v>
      </c>
      <c r="AK2" s="44">
        <f t="shared" si="0"/>
        <v>0</v>
      </c>
      <c r="AL2" s="44">
        <f t="shared" si="0"/>
        <v>0</v>
      </c>
      <c r="AM2" s="44">
        <f t="shared" si="0"/>
        <v>3.7999999970197678</v>
      </c>
      <c r="AN2" s="44">
        <f t="shared" si="0"/>
        <v>11</v>
      </c>
      <c r="AO2" s="44">
        <f t="shared" si="0"/>
        <v>0</v>
      </c>
      <c r="AP2" s="44">
        <f t="shared" si="0"/>
        <v>0</v>
      </c>
      <c r="AQ2" s="44">
        <f t="shared" si="0"/>
        <v>0</v>
      </c>
      <c r="AR2" s="44">
        <f t="shared" si="0"/>
        <v>0</v>
      </c>
      <c r="AS2" s="44">
        <f t="shared" si="0"/>
        <v>-5.8550000190734863</v>
      </c>
      <c r="AT2" s="44">
        <f t="shared" si="0"/>
        <v>-11</v>
      </c>
      <c r="AU2" s="44">
        <f t="shared" si="0"/>
        <v>0</v>
      </c>
      <c r="AV2" s="44">
        <f t="shared" si="0"/>
        <v>0</v>
      </c>
      <c r="AW2" s="44">
        <f t="shared" si="0"/>
        <v>-16.855000019073486</v>
      </c>
      <c r="AX2" s="44">
        <f t="shared" si="0"/>
        <v>0</v>
      </c>
      <c r="AY2" s="44">
        <f t="shared" si="0"/>
        <v>-3.2000000029802322</v>
      </c>
      <c r="AZ2" s="44">
        <f t="shared" si="0"/>
        <v>0</v>
      </c>
      <c r="BA2" s="44">
        <f t="shared" si="0"/>
        <v>0</v>
      </c>
      <c r="BB2" s="44">
        <f t="shared" si="0"/>
        <v>0</v>
      </c>
      <c r="BC2" s="44">
        <f t="shared" si="0"/>
        <v>0</v>
      </c>
      <c r="BD2" s="44">
        <f t="shared" si="0"/>
        <v>0</v>
      </c>
      <c r="BE2" s="44">
        <f t="shared" si="0"/>
        <v>-0.49500000476837158</v>
      </c>
      <c r="BF2" s="44">
        <f t="shared" si="0"/>
        <v>3</v>
      </c>
      <c r="BG2" s="44">
        <f t="shared" si="0"/>
        <v>0</v>
      </c>
      <c r="BH2" s="44">
        <f t="shared" si="0"/>
        <v>0</v>
      </c>
      <c r="BI2" s="44">
        <f t="shared" si="0"/>
        <v>0</v>
      </c>
      <c r="BJ2" s="44">
        <f t="shared" si="0"/>
        <v>0</v>
      </c>
      <c r="BK2" s="44">
        <f t="shared" si="0"/>
        <v>-4</v>
      </c>
      <c r="BL2" s="44">
        <f t="shared" si="0"/>
        <v>0</v>
      </c>
      <c r="BM2" s="44">
        <f t="shared" si="0"/>
        <v>0</v>
      </c>
      <c r="BN2" s="44">
        <f t="shared" si="0"/>
        <v>0</v>
      </c>
      <c r="BO2" s="44">
        <f t="shared" si="0"/>
        <v>0</v>
      </c>
      <c r="BP2" s="44">
        <f t="shared" si="0"/>
        <v>0</v>
      </c>
      <c r="BQ2" s="44">
        <f t="shared" si="0"/>
        <v>6.7599999904632568</v>
      </c>
      <c r="BR2" s="44">
        <f t="shared" si="0"/>
        <v>0</v>
      </c>
      <c r="BS2" s="44">
        <f t="shared" si="0"/>
        <v>0</v>
      </c>
      <c r="BT2" s="44">
        <f t="shared" si="0"/>
        <v>0</v>
      </c>
      <c r="BU2" s="44">
        <f t="shared" si="0"/>
        <v>0</v>
      </c>
      <c r="BV2" s="44">
        <f t="shared" ref="BV2:CB2" si="1">+BV3-BV4</f>
        <v>0</v>
      </c>
      <c r="BW2" s="44">
        <f t="shared" si="1"/>
        <v>5.1550000011920929</v>
      </c>
      <c r="BX2" s="44">
        <f t="shared" si="1"/>
        <v>6</v>
      </c>
      <c r="BY2" s="44">
        <f t="shared" si="1"/>
        <v>0</v>
      </c>
      <c r="BZ2" s="44">
        <f t="shared" si="1"/>
        <v>0</v>
      </c>
      <c r="CA2" s="44">
        <f t="shared" si="1"/>
        <v>0</v>
      </c>
      <c r="CB2" s="44">
        <f t="shared" si="1"/>
        <v>0</v>
      </c>
      <c r="CE2" s="158" t="s">
        <v>550</v>
      </c>
      <c r="CF2" s="158"/>
      <c r="CG2" s="158"/>
      <c r="CH2" s="158"/>
      <c r="CI2" s="158"/>
      <c r="CJ2" s="158"/>
      <c r="CK2" s="66"/>
      <c r="CL2" s="66"/>
      <c r="CM2" s="66"/>
      <c r="CN2" s="66"/>
      <c r="CO2" s="66"/>
      <c r="CP2" s="66"/>
    </row>
    <row r="3" spans="1:95" s="23" customFormat="1" ht="3" customHeight="1" x14ac:dyDescent="0.25">
      <c r="A3" s="35"/>
      <c r="D3" s="24"/>
      <c r="E3" s="24">
        <f>SUM(E7:E352)</f>
        <v>130081824</v>
      </c>
      <c r="F3" s="24"/>
      <c r="G3" s="24"/>
      <c r="H3" s="24"/>
      <c r="I3" s="154">
        <f>SUM(I7:I352)</f>
        <v>82452159</v>
      </c>
      <c r="J3" s="154">
        <f t="shared" ref="J3:BP3" si="2">SUM(J7:J352)</f>
        <v>0</v>
      </c>
      <c r="K3" s="154">
        <f>SUM(K7:K352)</f>
        <v>48426835</v>
      </c>
      <c r="L3" s="154">
        <f t="shared" si="2"/>
        <v>2353142</v>
      </c>
      <c r="M3" s="154">
        <f t="shared" si="2"/>
        <v>133232136</v>
      </c>
      <c r="N3" s="154">
        <f t="shared" si="2"/>
        <v>48426835</v>
      </c>
      <c r="O3" s="154">
        <f>SUM(O7:O352)</f>
        <v>43845279</v>
      </c>
      <c r="P3" s="154">
        <f t="shared" si="2"/>
        <v>0</v>
      </c>
      <c r="Q3" s="154">
        <f>SUM(Q7:Q352)</f>
        <v>86660453</v>
      </c>
      <c r="R3" s="154">
        <f t="shared" si="2"/>
        <v>2353142</v>
      </c>
      <c r="S3" s="154">
        <f t="shared" si="2"/>
        <v>132858874</v>
      </c>
      <c r="T3" s="154">
        <f t="shared" si="2"/>
        <v>135087288</v>
      </c>
      <c r="U3" s="154">
        <f>SUM(U7:U352)</f>
        <v>125080706</v>
      </c>
      <c r="V3" s="154">
        <f t="shared" si="2"/>
        <v>0</v>
      </c>
      <c r="W3" s="154">
        <f>SUM(W7:W352)</f>
        <v>0</v>
      </c>
      <c r="X3" s="154">
        <f t="shared" si="2"/>
        <v>2353142</v>
      </c>
      <c r="Y3" s="154">
        <f t="shared" si="2"/>
        <v>127433848</v>
      </c>
      <c r="Z3" s="154">
        <f t="shared" si="2"/>
        <v>135087288</v>
      </c>
      <c r="AA3" s="154">
        <f>SUM(AA7:AA352)</f>
        <v>66415901</v>
      </c>
      <c r="AB3" s="154">
        <f t="shared" si="2"/>
        <v>0</v>
      </c>
      <c r="AC3" s="154">
        <f>SUM(AC7:AC352)</f>
        <v>64308050</v>
      </c>
      <c r="AD3" s="154">
        <f t="shared" si="2"/>
        <v>2353142</v>
      </c>
      <c r="AE3" s="154">
        <f t="shared" si="2"/>
        <v>133077093</v>
      </c>
      <c r="AF3" s="154">
        <f t="shared" si="2"/>
        <v>199395338</v>
      </c>
      <c r="AG3" s="154">
        <f>SUM(AG7:AG352)</f>
        <v>577942633</v>
      </c>
      <c r="AH3" s="154">
        <f t="shared" si="2"/>
        <v>5334262</v>
      </c>
      <c r="AI3" s="154">
        <f>SUM(AI7:AI352)</f>
        <v>-199395338</v>
      </c>
      <c r="AJ3" s="154">
        <f t="shared" si="2"/>
        <v>2353142</v>
      </c>
      <c r="AK3" s="154">
        <f t="shared" si="2"/>
        <v>386234699</v>
      </c>
      <c r="AL3" s="154">
        <f t="shared" si="2"/>
        <v>0</v>
      </c>
      <c r="AM3" s="154">
        <f>SUM(AM7:AM352)</f>
        <v>114475673</v>
      </c>
      <c r="AN3" s="154">
        <f t="shared" si="2"/>
        <v>3780444</v>
      </c>
      <c r="AO3" s="154">
        <f>SUM(AO7:AO352)</f>
        <v>16752983</v>
      </c>
      <c r="AP3" s="154">
        <f t="shared" si="2"/>
        <v>2353142</v>
      </c>
      <c r="AQ3" s="154">
        <f t="shared" si="2"/>
        <v>137362242</v>
      </c>
      <c r="AR3" s="154">
        <f t="shared" si="2"/>
        <v>16752983</v>
      </c>
      <c r="AS3" s="154">
        <f>SUM(AS7:AS352)</f>
        <v>227557250</v>
      </c>
      <c r="AT3" s="154">
        <f t="shared" si="2"/>
        <v>22091671</v>
      </c>
      <c r="AU3" s="154">
        <f>SUM(AU7:AU352)</f>
        <v>-15201054</v>
      </c>
      <c r="AV3" s="154">
        <f t="shared" si="2"/>
        <v>2353142</v>
      </c>
      <c r="AW3" s="154">
        <f t="shared" si="2"/>
        <v>236801009</v>
      </c>
      <c r="AX3" s="154">
        <f t="shared" si="2"/>
        <v>1551929</v>
      </c>
      <c r="AY3" s="154">
        <f>SUM(AY7:AY352)</f>
        <v>75165634</v>
      </c>
      <c r="AZ3" s="154">
        <f t="shared" si="2"/>
        <v>0</v>
      </c>
      <c r="BA3" s="154">
        <f>SUM(BA7:BA352)</f>
        <v>55642912</v>
      </c>
      <c r="BB3" s="154">
        <f t="shared" si="2"/>
        <v>2353142</v>
      </c>
      <c r="BC3" s="154">
        <f t="shared" si="2"/>
        <v>133161688</v>
      </c>
      <c r="BD3" s="154">
        <f t="shared" si="2"/>
        <v>57194841</v>
      </c>
      <c r="BE3" s="154">
        <f>SUM(BE7:BE352)</f>
        <v>145510706</v>
      </c>
      <c r="BF3" s="154">
        <f t="shared" si="2"/>
        <v>5415776</v>
      </c>
      <c r="BG3" s="154">
        <f>SUM(BG7:BG352)</f>
        <v>0</v>
      </c>
      <c r="BH3" s="154">
        <f t="shared" si="2"/>
        <v>2353141</v>
      </c>
      <c r="BI3" s="154">
        <f t="shared" si="2"/>
        <v>153279623</v>
      </c>
      <c r="BJ3" s="154">
        <f t="shared" si="2"/>
        <v>57194841</v>
      </c>
      <c r="BK3" s="154">
        <f>SUM(BK7:BK352)</f>
        <v>307021311</v>
      </c>
      <c r="BL3" s="154">
        <f t="shared" si="2"/>
        <v>0</v>
      </c>
      <c r="BM3" s="154">
        <f>SUM(BM7:BM352)</f>
        <v>-57194841</v>
      </c>
      <c r="BN3" s="154">
        <f t="shared" si="2"/>
        <v>2353141</v>
      </c>
      <c r="BO3" s="154">
        <f t="shared" si="2"/>
        <v>252179611</v>
      </c>
      <c r="BP3" s="154">
        <f t="shared" si="2"/>
        <v>0</v>
      </c>
      <c r="BQ3" s="154">
        <f>SUM(BQ7:BQ352)</f>
        <v>113948745</v>
      </c>
      <c r="BR3" s="154">
        <f t="shared" ref="BR3:CB3" si="3">SUM(BR7:BR352)</f>
        <v>0</v>
      </c>
      <c r="BS3" s="154">
        <f>SUM(BS7:BS352)</f>
        <v>17269644</v>
      </c>
      <c r="BT3" s="154">
        <f t="shared" si="3"/>
        <v>2353141</v>
      </c>
      <c r="BU3" s="154">
        <f t="shared" si="3"/>
        <v>133571530</v>
      </c>
      <c r="BV3" s="154">
        <f t="shared" si="3"/>
        <v>17269644</v>
      </c>
      <c r="BW3" s="154">
        <f>SUM(BW7:BW352)</f>
        <v>218357301</v>
      </c>
      <c r="BX3" s="154">
        <f t="shared" si="3"/>
        <v>35594499</v>
      </c>
      <c r="BY3" s="154">
        <f>SUM(BY7:BY352)</f>
        <v>-17269644</v>
      </c>
      <c r="BZ3" s="154">
        <f t="shared" si="3"/>
        <v>2353141</v>
      </c>
      <c r="CA3" s="154">
        <f t="shared" si="3"/>
        <v>239035297</v>
      </c>
      <c r="CB3" s="154">
        <f t="shared" si="3"/>
        <v>0</v>
      </c>
      <c r="CC3" s="156">
        <f>+K3+Q3+W3+AC3+AI3+AO3+AU3+BA3+BG3+BM3+BS3+BY3</f>
        <v>0</v>
      </c>
      <c r="CE3" s="159"/>
      <c r="CF3" s="159"/>
      <c r="CG3" s="159"/>
      <c r="CH3" s="159"/>
      <c r="CI3" s="159"/>
      <c r="CJ3" s="159"/>
      <c r="CK3" s="159"/>
      <c r="CL3" s="159"/>
      <c r="CM3" s="159"/>
      <c r="CN3" s="159"/>
      <c r="CO3" s="159"/>
      <c r="CP3" s="159"/>
    </row>
    <row r="4" spans="1:95" s="23" customFormat="1" ht="3" customHeight="1" x14ac:dyDescent="0.25">
      <c r="A4" s="35"/>
      <c r="D4" s="24">
        <f>SUM(D7:D352)</f>
        <v>1995563620.7269976</v>
      </c>
      <c r="E4" s="25">
        <f>+PARAMETROS!L10</f>
        <v>0.79</v>
      </c>
      <c r="F4" s="23">
        <f>+PARAMETROS!$L$11</f>
        <v>1.2</v>
      </c>
      <c r="G4" s="37">
        <f>SUM(G7:G352)</f>
        <v>1.0000000000050997</v>
      </c>
      <c r="H4" s="37">
        <f>SUM(H7:H352)</f>
        <v>1.7615999964697431E-9</v>
      </c>
      <c r="I4" s="26">
        <f>+'Flujo Global'!$G$2</f>
        <v>82452157.734999999</v>
      </c>
      <c r="J4" s="26">
        <f>+'Flujo Global'!N2</f>
        <v>0</v>
      </c>
      <c r="K4" s="26">
        <f>SUM(K7:K352)</f>
        <v>48426835</v>
      </c>
      <c r="L4" s="26">
        <f>SUM(L7:L352)</f>
        <v>2353142</v>
      </c>
      <c r="M4" s="26">
        <f>SUM(M7:M352)</f>
        <v>133232136</v>
      </c>
      <c r="N4" s="26">
        <f>SUM(N7:N352)</f>
        <v>48426835</v>
      </c>
      <c r="O4" s="26">
        <f>+'Flujo Global'!$G$3</f>
        <v>43845281.080000006</v>
      </c>
      <c r="P4" s="26">
        <f>+'Flujo Global'!N3</f>
        <v>0</v>
      </c>
      <c r="Q4" s="26">
        <f>SUM(Q7:Q352)</f>
        <v>86660453</v>
      </c>
      <c r="R4" s="26">
        <f>SUM(R7:R352)</f>
        <v>2353142</v>
      </c>
      <c r="S4" s="26">
        <f>SUM(S7:S352)</f>
        <v>132858874</v>
      </c>
      <c r="T4" s="26">
        <f>SUM(T7:T352)</f>
        <v>135087288</v>
      </c>
      <c r="U4" s="26">
        <f>+'Flujo Global'!$G$4</f>
        <v>125080701.685</v>
      </c>
      <c r="V4" s="26">
        <f>+'Flujo Global'!N4</f>
        <v>0</v>
      </c>
      <c r="W4" s="26">
        <f>SUM(W7:W352)</f>
        <v>0</v>
      </c>
      <c r="X4" s="26">
        <f>SUM(X7:X352)</f>
        <v>2353142</v>
      </c>
      <c r="Y4" s="26">
        <f>SUM(Y7:Y352)</f>
        <v>127433848</v>
      </c>
      <c r="Z4" s="26">
        <f>SUM(Z7:Z352)</f>
        <v>135087288</v>
      </c>
      <c r="AA4" s="26">
        <f>+'Flujo Global'!$G$5</f>
        <v>66415905.86500001</v>
      </c>
      <c r="AB4" s="26">
        <f>+'Flujo Global'!N5</f>
        <v>0</v>
      </c>
      <c r="AC4" s="26">
        <f>SUM(AC7:AC352)</f>
        <v>64308050</v>
      </c>
      <c r="AD4" s="26">
        <f>SUM(AD7:AD352)</f>
        <v>2353142</v>
      </c>
      <c r="AE4" s="26">
        <f>SUM(AE7:AE352)</f>
        <v>133077093</v>
      </c>
      <c r="AF4" s="26">
        <f>SUM(AF7:AF352)</f>
        <v>199395338</v>
      </c>
      <c r="AG4" s="26">
        <f>+'Flujo Global'!$G$6</f>
        <v>577942635.60000002</v>
      </c>
      <c r="AH4" s="26">
        <f>+'Flujo Global'!N6</f>
        <v>5334263</v>
      </c>
      <c r="AI4" s="26">
        <f>SUM(AI7:AI352)</f>
        <v>-199395338</v>
      </c>
      <c r="AJ4" s="26">
        <f>SUM(AJ7:AJ352)</f>
        <v>2353142</v>
      </c>
      <c r="AK4" s="26">
        <f>SUM(AK7:AK352)</f>
        <v>386234699</v>
      </c>
      <c r="AL4" s="26">
        <f>SUM(AL7:AL352)</f>
        <v>0</v>
      </c>
      <c r="AM4" s="26">
        <f>+'Flujo Global'!$G$7</f>
        <v>114475669.2</v>
      </c>
      <c r="AN4" s="26">
        <f>+'Flujo Global'!N7</f>
        <v>3780433</v>
      </c>
      <c r="AO4" s="26">
        <f>SUM(AO7:AO352)</f>
        <v>16752983</v>
      </c>
      <c r="AP4" s="26">
        <f>SUM(AP7:AP352)</f>
        <v>2353142</v>
      </c>
      <c r="AQ4" s="26">
        <f>SUM(AQ7:AQ352)</f>
        <v>137362242</v>
      </c>
      <c r="AR4" s="26">
        <f>SUM(AR7:AR352)</f>
        <v>16752983</v>
      </c>
      <c r="AS4" s="26">
        <f>+'Flujo Global'!$G$8</f>
        <v>227557255.85500002</v>
      </c>
      <c r="AT4" s="26">
        <f>+'Flujo Global'!N8</f>
        <v>22091682</v>
      </c>
      <c r="AU4" s="26">
        <f>SUM(AU7:AU352)</f>
        <v>-15201054</v>
      </c>
      <c r="AV4" s="26">
        <f>SUM(AV7:AV352)</f>
        <v>2353142</v>
      </c>
      <c r="AW4" s="26">
        <f>+'Flujo Global'!P8</f>
        <v>236801025.85500002</v>
      </c>
      <c r="AX4" s="26">
        <f>SUM(AX7:AX352)</f>
        <v>1551929</v>
      </c>
      <c r="AY4" s="26">
        <f>+'Flujo Global'!$G$9</f>
        <v>75165637.200000003</v>
      </c>
      <c r="AZ4" s="26">
        <f>+'Flujo Global'!N9</f>
        <v>0</v>
      </c>
      <c r="BA4" s="26">
        <f>SUM(BA7:BA352)</f>
        <v>55642912</v>
      </c>
      <c r="BB4" s="26">
        <f>SUM(BB7:BB352)</f>
        <v>2353142</v>
      </c>
      <c r="BC4" s="26">
        <f>SUM(BC7:BC352)</f>
        <v>133161688</v>
      </c>
      <c r="BD4" s="26">
        <f>SUM(BD7:BD352)</f>
        <v>57194841</v>
      </c>
      <c r="BE4" s="26">
        <f>+'Flujo Global'!G10</f>
        <v>145510706.495</v>
      </c>
      <c r="BF4" s="26">
        <f>+'Flujo Global'!N10</f>
        <v>5415773</v>
      </c>
      <c r="BG4" s="26">
        <f>SUM(BG7:BG352)</f>
        <v>0</v>
      </c>
      <c r="BH4" s="26">
        <f>SUM(BH7:BH352)</f>
        <v>2353141</v>
      </c>
      <c r="BI4" s="26">
        <f>SUM(BI7:BI352)</f>
        <v>153279623</v>
      </c>
      <c r="BJ4" s="26">
        <f>SUM(BJ7:BJ352)</f>
        <v>57194841</v>
      </c>
      <c r="BK4" s="26">
        <f>+'Flujo Global'!$G$11</f>
        <v>307021315</v>
      </c>
      <c r="BL4" s="26">
        <f>+'Flujo Global'!N11</f>
        <v>0</v>
      </c>
      <c r="BM4" s="26">
        <f>SUM(BM7:BM352)</f>
        <v>-57194841</v>
      </c>
      <c r="BN4" s="26">
        <f>SUM(BN7:BN352)</f>
        <v>2353141</v>
      </c>
      <c r="BO4" s="26">
        <f>SUM(BO7:BO352)</f>
        <v>252179611</v>
      </c>
      <c r="BP4" s="26">
        <f>SUM(BP7:BP352)</f>
        <v>0</v>
      </c>
      <c r="BQ4" s="26">
        <f>+'Flujo Global'!G12</f>
        <v>113948738.24000001</v>
      </c>
      <c r="BR4" s="26">
        <f>+'Flujo Global'!N12</f>
        <v>0</v>
      </c>
      <c r="BS4" s="26">
        <f>SUM(BS7:BS352)</f>
        <v>17269644</v>
      </c>
      <c r="BT4" s="26">
        <f>SUM(BT7:BT352)</f>
        <v>2353141</v>
      </c>
      <c r="BU4" s="26">
        <f>SUM(BU7:BU352)</f>
        <v>133571530</v>
      </c>
      <c r="BV4" s="26">
        <f>SUM(BV7:BV352)</f>
        <v>17269644</v>
      </c>
      <c r="BW4" s="26">
        <f>+'Flujo Global'!$G$13</f>
        <v>218357295.845</v>
      </c>
      <c r="BX4" s="26">
        <f>+'Flujo Global'!N13</f>
        <v>35594493</v>
      </c>
      <c r="BY4" s="26">
        <f>SUM(BY7:BY352)</f>
        <v>-17269644</v>
      </c>
      <c r="BZ4" s="26">
        <f>SUM(BZ7:BZ352)</f>
        <v>2353141</v>
      </c>
      <c r="CA4" s="26">
        <f>SUM(CA7:CA352)</f>
        <v>239035297</v>
      </c>
      <c r="CB4" s="26">
        <f>SUM(CB7:CB352)</f>
        <v>0</v>
      </c>
      <c r="CC4" s="156"/>
      <c r="CE4" s="64"/>
      <c r="CF4" s="64"/>
      <c r="CG4" s="64"/>
      <c r="CH4" s="64"/>
      <c r="CI4" s="64"/>
      <c r="CJ4" s="64"/>
      <c r="CK4" s="64"/>
      <c r="CL4" s="64"/>
      <c r="CM4" s="64"/>
      <c r="CN4" s="64"/>
      <c r="CO4" s="64"/>
      <c r="CP4" s="64"/>
    </row>
    <row r="5" spans="1:95" ht="3" customHeight="1" x14ac:dyDescent="0.25">
      <c r="D5" s="45" t="s">
        <v>480</v>
      </c>
      <c r="E5" s="573" t="s">
        <v>634</v>
      </c>
      <c r="F5" s="574"/>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155">
        <f>SUM(CC7:CC352)</f>
        <v>0</v>
      </c>
      <c r="CE5" s="65" t="s">
        <v>635</v>
      </c>
    </row>
    <row r="6" spans="1:95" s="47" customFormat="1" ht="3" customHeight="1" x14ac:dyDescent="0.25">
      <c r="A6" s="107" t="str">
        <f>+E5</f>
        <v>EN CERO Santiago, LAS CONDES, PROVIDENCIA Y VITACURA. NO APLICAN EN GLOSA 08</v>
      </c>
      <c r="B6" s="108" t="s">
        <v>319</v>
      </c>
      <c r="C6" s="108" t="s">
        <v>1</v>
      </c>
      <c r="D6" s="107" t="str">
        <f>+COEF_FCM!AH8</f>
        <v>Anticipos pagados AÑO  (SIN: aporte fiscal, aportes extraordinarios y Ley Nº 19.704) Montos en M$ Pago Anticipo F.C.M. - Año 2025</v>
      </c>
      <c r="E6" s="109" t="str">
        <f>+COEF_FCM!AI8</f>
        <v xml:space="preserve">Promedio flujo de anticipos mensuales 2025 
(M$) </v>
      </c>
      <c r="F6" s="109" t="s">
        <v>621</v>
      </c>
      <c r="G6" s="109" t="str">
        <f>+'CALC MEC ESTAB Y ESTIM M FINAL'!Q6</f>
        <v>COEFICIENTE 100%
FONDO COMUN MUNICIPAL 2026</v>
      </c>
      <c r="H6" s="109" t="str">
        <f>+'CALC MEC ESTAB Y ESTIM M FINAL'!R6</f>
        <v>Factor del mecanismo compensacion o estabilizacion</v>
      </c>
      <c r="I6" s="12" t="s">
        <v>3</v>
      </c>
      <c r="J6" s="12" t="s">
        <v>4</v>
      </c>
      <c r="K6" s="12" t="s">
        <v>622</v>
      </c>
      <c r="L6" s="12" t="s">
        <v>526</v>
      </c>
      <c r="M6" s="12" t="s">
        <v>446</v>
      </c>
      <c r="N6" s="12" t="s">
        <v>458</v>
      </c>
      <c r="O6" s="15" t="s">
        <v>5</v>
      </c>
      <c r="P6" s="15" t="s">
        <v>6</v>
      </c>
      <c r="Q6" s="15" t="s">
        <v>623</v>
      </c>
      <c r="R6" s="15" t="s">
        <v>527</v>
      </c>
      <c r="S6" s="15" t="s">
        <v>447</v>
      </c>
      <c r="T6" s="15" t="s">
        <v>459</v>
      </c>
      <c r="U6" s="16" t="s">
        <v>7</v>
      </c>
      <c r="V6" s="16" t="s">
        <v>8</v>
      </c>
      <c r="W6" s="16" t="s">
        <v>624</v>
      </c>
      <c r="X6" s="16" t="s">
        <v>528</v>
      </c>
      <c r="Y6" s="16" t="s">
        <v>448</v>
      </c>
      <c r="Z6" s="16" t="s">
        <v>460</v>
      </c>
      <c r="AA6" s="13" t="s">
        <v>9</v>
      </c>
      <c r="AB6" s="13" t="s">
        <v>10</v>
      </c>
      <c r="AC6" s="13" t="s">
        <v>625</v>
      </c>
      <c r="AD6" s="13" t="s">
        <v>529</v>
      </c>
      <c r="AE6" s="13" t="s">
        <v>449</v>
      </c>
      <c r="AF6" s="13" t="s">
        <v>461</v>
      </c>
      <c r="AG6" s="18" t="s">
        <v>11</v>
      </c>
      <c r="AH6" s="18" t="s">
        <v>12</v>
      </c>
      <c r="AI6" s="18" t="s">
        <v>626</v>
      </c>
      <c r="AJ6" s="18" t="s">
        <v>530</v>
      </c>
      <c r="AK6" s="18" t="s">
        <v>450</v>
      </c>
      <c r="AL6" s="18" t="s">
        <v>462</v>
      </c>
      <c r="AM6" s="19" t="s">
        <v>13</v>
      </c>
      <c r="AN6" s="19" t="s">
        <v>14</v>
      </c>
      <c r="AO6" s="19" t="s">
        <v>627</v>
      </c>
      <c r="AP6" s="19" t="s">
        <v>531</v>
      </c>
      <c r="AQ6" s="19" t="s">
        <v>451</v>
      </c>
      <c r="AR6" s="19" t="s">
        <v>463</v>
      </c>
      <c r="AS6" s="14" t="s">
        <v>15</v>
      </c>
      <c r="AT6" s="14" t="s">
        <v>16</v>
      </c>
      <c r="AU6" s="14" t="s">
        <v>628</v>
      </c>
      <c r="AV6" s="14" t="s">
        <v>532</v>
      </c>
      <c r="AW6" s="14" t="s">
        <v>452</v>
      </c>
      <c r="AX6" s="14" t="s">
        <v>464</v>
      </c>
      <c r="AY6" s="17" t="s">
        <v>17</v>
      </c>
      <c r="AZ6" s="17" t="s">
        <v>18</v>
      </c>
      <c r="BA6" s="17" t="s">
        <v>629</v>
      </c>
      <c r="BB6" s="17" t="s">
        <v>533</v>
      </c>
      <c r="BC6" s="17" t="s">
        <v>453</v>
      </c>
      <c r="BD6" s="17" t="s">
        <v>465</v>
      </c>
      <c r="BE6" s="14" t="s">
        <v>19</v>
      </c>
      <c r="BF6" s="14" t="s">
        <v>20</v>
      </c>
      <c r="BG6" s="14" t="s">
        <v>630</v>
      </c>
      <c r="BH6" s="14" t="s">
        <v>534</v>
      </c>
      <c r="BI6" s="14" t="s">
        <v>454</v>
      </c>
      <c r="BJ6" s="14" t="s">
        <v>466</v>
      </c>
      <c r="BK6" s="21" t="s">
        <v>21</v>
      </c>
      <c r="BL6" s="21" t="s">
        <v>22</v>
      </c>
      <c r="BM6" s="21" t="s">
        <v>631</v>
      </c>
      <c r="BN6" s="21" t="s">
        <v>535</v>
      </c>
      <c r="BO6" s="21" t="s">
        <v>455</v>
      </c>
      <c r="BP6" s="21" t="s">
        <v>467</v>
      </c>
      <c r="BQ6" s="27" t="s">
        <v>23</v>
      </c>
      <c r="BR6" s="27" t="s">
        <v>24</v>
      </c>
      <c r="BS6" s="27" t="s">
        <v>632</v>
      </c>
      <c r="BT6" s="27" t="s">
        <v>536</v>
      </c>
      <c r="BU6" s="27" t="s">
        <v>456</v>
      </c>
      <c r="BV6" s="27" t="s">
        <v>468</v>
      </c>
      <c r="BW6" s="20" t="s">
        <v>25</v>
      </c>
      <c r="BX6" s="20" t="s">
        <v>26</v>
      </c>
      <c r="BY6" s="20" t="s">
        <v>633</v>
      </c>
      <c r="BZ6" s="20" t="s">
        <v>537</v>
      </c>
      <c r="CA6" s="20" t="s">
        <v>457</v>
      </c>
      <c r="CB6" s="20" t="s">
        <v>469</v>
      </c>
      <c r="CC6" s="157" t="s">
        <v>712</v>
      </c>
      <c r="CD6" s="47" t="s">
        <v>713</v>
      </c>
      <c r="CE6" s="160" t="s">
        <v>446</v>
      </c>
      <c r="CF6" s="160" t="s">
        <v>1137</v>
      </c>
      <c r="CG6" s="160" t="s">
        <v>1138</v>
      </c>
      <c r="CH6" s="160" t="s">
        <v>1139</v>
      </c>
      <c r="CI6" s="160" t="s">
        <v>1140</v>
      </c>
      <c r="CJ6" s="160" t="s">
        <v>1141</v>
      </c>
      <c r="CK6" s="160" t="s">
        <v>1142</v>
      </c>
      <c r="CL6" s="160" t="s">
        <v>1143</v>
      </c>
      <c r="CM6" s="160" t="s">
        <v>1144</v>
      </c>
      <c r="CN6" s="160" t="s">
        <v>1145</v>
      </c>
      <c r="CO6" s="160" t="s">
        <v>1146</v>
      </c>
      <c r="CP6" s="160" t="s">
        <v>1147</v>
      </c>
      <c r="CQ6" s="30"/>
    </row>
    <row r="7" spans="1:95" ht="3" customHeight="1" x14ac:dyDescent="0.25">
      <c r="A7" s="39">
        <v>1</v>
      </c>
      <c r="B7" s="28">
        <v>1101</v>
      </c>
      <c r="C7" s="28" t="s">
        <v>54</v>
      </c>
      <c r="D7" s="48">
        <f>+DATA!Q5</f>
        <v>5559296.7740000002</v>
      </c>
      <c r="E7" s="48">
        <f>ROUND(D7/12*$E$4,0)*A7</f>
        <v>365987</v>
      </c>
      <c r="F7" s="48">
        <f>ROUND(D7/12*$F$4,0)*A7</f>
        <v>555930</v>
      </c>
      <c r="G7" s="49">
        <f>VLOOKUP(B7,'CALC MEC ESTAB Y ESTIM M FINAL'!$B$7:$F$352,5,0)</f>
        <v>3.0338082943999999E-3</v>
      </c>
      <c r="H7" s="49">
        <f>VLOOKUP(B7,'CALC MEC ESTAB Y ESTIM M FINAL'!$B$7:$R$352,17,0)</f>
        <v>-2.041036894E-4</v>
      </c>
      <c r="I7" s="46">
        <f t="shared" ref="I7:I70" si="4">ROUND(($G7+$H7)*$I$4,0)</f>
        <v>233315</v>
      </c>
      <c r="J7" s="46">
        <f t="shared" ref="J7:J70" si="5">ROUND($J$4*($G7+$H7),0)</f>
        <v>0</v>
      </c>
      <c r="K7" s="46">
        <f>IF($E7&gt;I7,$E7-I7,0)</f>
        <v>132672</v>
      </c>
      <c r="L7" s="46">
        <v>0</v>
      </c>
      <c r="M7" s="46">
        <f t="shared" ref="M7:M70" si="6">I7+J7+K7+L7</f>
        <v>365987</v>
      </c>
      <c r="N7" s="46">
        <f t="shared" ref="N7:N70" si="7">K7</f>
        <v>132672</v>
      </c>
      <c r="O7" s="46">
        <f t="shared" ref="O7:O70" si="8">ROUND(($G7+$H7)*$O$4,0)</f>
        <v>124069</v>
      </c>
      <c r="P7" s="46">
        <f t="shared" ref="P7:P70" si="9">ROUND($P$4*($G7+$H7),0)</f>
        <v>0</v>
      </c>
      <c r="Q7" s="46">
        <f t="shared" ref="Q7:Q70" si="10">IF($E7&gt;O7,$E7-O7,0)</f>
        <v>241918</v>
      </c>
      <c r="R7" s="46">
        <v>0</v>
      </c>
      <c r="S7" s="46">
        <f t="shared" ref="S7:S70" si="11">O7+P7+Q7+R7</f>
        <v>365987</v>
      </c>
      <c r="T7" s="46">
        <f t="shared" ref="T7:T70" si="12">N7+Q7</f>
        <v>374590</v>
      </c>
      <c r="U7" s="46">
        <f t="shared" ref="U7:U70" si="13">ROUND(($G7+$H7)*$U$4,0)</f>
        <v>353941</v>
      </c>
      <c r="V7" s="46">
        <f t="shared" ref="V7:V70" si="14">+ROUND($V$4*($G7+$H7),0)</f>
        <v>0</v>
      </c>
      <c r="W7" s="46">
        <f t="shared" ref="W7:W70" si="15">IF(U7&lt;$F7,0,IF(U7-$F7&gt;T7,-T7,-(U7-$F7)))</f>
        <v>0</v>
      </c>
      <c r="X7" s="46">
        <v>0</v>
      </c>
      <c r="Y7" s="46">
        <f t="shared" ref="Y7:Y70" si="16">U7+V7+W7+X7</f>
        <v>353941</v>
      </c>
      <c r="Z7" s="46">
        <f t="shared" ref="Z7:Z70" si="17">T7+W7</f>
        <v>374590</v>
      </c>
      <c r="AA7" s="46">
        <f t="shared" ref="AA7:AA70" si="18">ROUND(($G7+$H7)*$AA$4,0)</f>
        <v>187937</v>
      </c>
      <c r="AB7" s="46">
        <f t="shared" ref="AB7:AB70" si="19">ROUND($AB$4*($G7*$H7),0)</f>
        <v>0</v>
      </c>
      <c r="AC7" s="46">
        <f t="shared" ref="AC7:AC70" si="20">IF($E7&gt;AA7,$E7-AA7,0)</f>
        <v>178050</v>
      </c>
      <c r="AD7" s="46">
        <v>0</v>
      </c>
      <c r="AE7" s="46">
        <f t="shared" ref="AE7:AE70" si="21">AA7+AB7+AC7+AD7</f>
        <v>365987</v>
      </c>
      <c r="AF7" s="46">
        <f t="shared" ref="AF7:AF70" si="22">Z7+AC7</f>
        <v>552640</v>
      </c>
      <c r="AG7" s="46">
        <f t="shared" ref="AG7:AG70" si="23">ROUND(($G7+$H7)*$AG$4,0)</f>
        <v>1635407</v>
      </c>
      <c r="AH7" s="46">
        <f t="shared" ref="AH7:AH70" si="24">+ROUND($AH$4*($G7+$H7),0)</f>
        <v>15094</v>
      </c>
      <c r="AI7" s="46">
        <f t="shared" ref="AI7:AI70" si="25">IF(AG7&lt;$F7,0,IF(AG7-$F7&gt;AF7,-AF7,-(AG7-$F7)))</f>
        <v>-552640</v>
      </c>
      <c r="AJ7" s="46">
        <v>0</v>
      </c>
      <c r="AK7" s="46">
        <f t="shared" ref="AK7:AK70" si="26">AG7+AH7+AI7+AJ7</f>
        <v>1097861</v>
      </c>
      <c r="AL7" s="46">
        <f t="shared" ref="AL7:AL70" si="27">AF7+AI7</f>
        <v>0</v>
      </c>
      <c r="AM7" s="46">
        <f t="shared" ref="AM7:AM70" si="28">ROUND(($G7+$H7)*$AM$4,0)</f>
        <v>323932</v>
      </c>
      <c r="AN7" s="46">
        <f t="shared" ref="AN7:AN70" si="29">ROUND($AN$4*($G7+$H7),0)</f>
        <v>10698</v>
      </c>
      <c r="AO7" s="46">
        <f t="shared" ref="AO7:AO70" si="30">IF($E7&gt;AM7,$E7-AM7,0)</f>
        <v>42055</v>
      </c>
      <c r="AP7" s="46">
        <v>0</v>
      </c>
      <c r="AQ7" s="46">
        <f t="shared" ref="AQ7:AQ70" si="31">AM7+AN7+AO7+AP7</f>
        <v>376685</v>
      </c>
      <c r="AR7" s="46">
        <f t="shared" ref="AR7:AR70" si="32">AL7+AO7</f>
        <v>42055</v>
      </c>
      <c r="AS7" s="46">
        <f t="shared" ref="AS7:AS70" si="33">ROUND(($G7+$H7)*$AS$4,0)</f>
        <v>643920</v>
      </c>
      <c r="AT7" s="46">
        <f t="shared" ref="AT7:AT70" si="34">+ROUND($AT$4*($G7+$H7),0)</f>
        <v>62513</v>
      </c>
      <c r="AU7" s="46">
        <f t="shared" ref="AU7:AU70" si="35">IF(AS7&lt;$F7,0,IF(AS7-$F7&gt;AR7,-AR7,-(AS7-$F7)))</f>
        <v>-42055</v>
      </c>
      <c r="AV7" s="46">
        <v>0</v>
      </c>
      <c r="AW7" s="46">
        <f t="shared" ref="AW7:AW70" si="36">AS7+AT7+AU7+AV7</f>
        <v>664378</v>
      </c>
      <c r="AX7" s="46">
        <f t="shared" ref="AX7:AX70" si="37">AR7+AU7</f>
        <v>0</v>
      </c>
      <c r="AY7" s="46">
        <f t="shared" ref="AY7:AY70" si="38">ROUND(($G7+$H7)*$AY$4,0)</f>
        <v>212697</v>
      </c>
      <c r="AZ7" s="46">
        <f t="shared" ref="AZ7:AZ70" si="39">ROUND($AZ$4*($G7+$H7),0)</f>
        <v>0</v>
      </c>
      <c r="BA7" s="46">
        <f t="shared" ref="BA7:BA70" si="40">IF($E7&gt;AY7,$E7-AY7,0)</f>
        <v>153290</v>
      </c>
      <c r="BB7" s="46"/>
      <c r="BC7" s="46">
        <f t="shared" ref="BC7:BC70" si="41">AY7+AZ7+BA7+BB7</f>
        <v>365987</v>
      </c>
      <c r="BD7" s="46">
        <f t="shared" ref="BD7:BD70" si="42">AX7+BA7</f>
        <v>153290</v>
      </c>
      <c r="BE7" s="46">
        <f t="shared" ref="BE7:BE70" si="43">ROUND(($G7+$H7)*$BE$4,0)</f>
        <v>411752</v>
      </c>
      <c r="BF7" s="46">
        <f t="shared" ref="BF7:BF70" si="44">ROUND($BF$4*($G7+$H7),0)</f>
        <v>15325</v>
      </c>
      <c r="BG7" s="46">
        <f t="shared" ref="BG7:BG70" si="45">IF(BE7&lt;$F7,0,IF(BE7-$F7&gt;BD7,-BD7,-(BE7-$F7)))</f>
        <v>0</v>
      </c>
      <c r="BH7" s="46">
        <v>0</v>
      </c>
      <c r="BI7" s="46">
        <f t="shared" ref="BI7:BI70" si="46">BE7+BF7+BG7+BH7</f>
        <v>427077</v>
      </c>
      <c r="BJ7" s="46">
        <f t="shared" ref="BJ7:BJ70" si="47">BD7+BG7</f>
        <v>153290</v>
      </c>
      <c r="BK7" s="46">
        <f t="shared" ref="BK7:BK70" si="48">ROUND(($G7+$H7)*$BK$4,0)</f>
        <v>868780</v>
      </c>
      <c r="BL7" s="46">
        <f t="shared" ref="BL7:BL70" si="49">+ROUND($BL$4*($G7+$H7),0)</f>
        <v>0</v>
      </c>
      <c r="BM7" s="46">
        <f t="shared" ref="BM7:BM70" si="50">IF(BK7&lt;$F7,0,IF(BK7-$F7&gt;BJ7,-BJ7,-(BK7-$F7)))</f>
        <v>-153290</v>
      </c>
      <c r="BN7" s="46">
        <v>0</v>
      </c>
      <c r="BO7" s="46">
        <f t="shared" ref="BO7:BO70" si="51">BK7+BL7+BM7+BN7</f>
        <v>715490</v>
      </c>
      <c r="BP7" s="46">
        <f t="shared" ref="BP7:BP70" si="52">BJ7+BM7</f>
        <v>0</v>
      </c>
      <c r="BQ7" s="46">
        <f t="shared" ref="BQ7:BQ70" si="53">ROUND(($G7+$H7)*$BQ$4,0)</f>
        <v>322441</v>
      </c>
      <c r="BR7" s="46">
        <f t="shared" ref="BR7:BR70" si="54">+ROUND($BR$4*($G7+$H7),0)</f>
        <v>0</v>
      </c>
      <c r="BS7" s="46">
        <f t="shared" ref="BS7:BS70" si="55">IF($E7&gt;BQ7,$E7-BQ7,0)</f>
        <v>43546</v>
      </c>
      <c r="BT7" s="46">
        <v>0</v>
      </c>
      <c r="BU7" s="46">
        <f t="shared" ref="BU7:BU70" si="56">BQ7+BR7+BS7+BT7</f>
        <v>365987</v>
      </c>
      <c r="BV7" s="46">
        <f t="shared" ref="BV7:BV70" si="57">BP7+BS7</f>
        <v>43546</v>
      </c>
      <c r="BW7" s="46">
        <f t="shared" ref="BW7:BW70" si="58">ROUND(($G7+$H7)*$BW$4,0)</f>
        <v>617887</v>
      </c>
      <c r="BX7" s="46">
        <f t="shared" ref="BX7:BX70" si="59">+ROUND($BX$4*($G7+$H7),0)</f>
        <v>100722</v>
      </c>
      <c r="BY7" s="46">
        <f t="shared" ref="BY7:BY70" si="60">-BV7</f>
        <v>-43546</v>
      </c>
      <c r="BZ7" s="46">
        <v>0</v>
      </c>
      <c r="CA7" s="46">
        <f t="shared" ref="CA7:CA70" si="61">BW7+BX7+BY7+BZ7</f>
        <v>675063</v>
      </c>
      <c r="CB7" s="46">
        <f t="shared" ref="CB7:CB70" si="62">BV7+BY7</f>
        <v>0</v>
      </c>
      <c r="CC7" s="155">
        <f>+K7+Q7+W7+AC7+AI7+AO7+AU7+BA7+BG7+BM7+BS7+BY7</f>
        <v>0</v>
      </c>
      <c r="CD7" s="79" t="s">
        <v>538</v>
      </c>
      <c r="CE7" s="65">
        <f>+M7-L7</f>
        <v>365987</v>
      </c>
      <c r="CF7" s="65">
        <f>+S7-R7</f>
        <v>365987</v>
      </c>
      <c r="CG7" s="65">
        <f>+Y7-X7</f>
        <v>353941</v>
      </c>
      <c r="CH7" s="65">
        <f>+AE7-AD7</f>
        <v>365987</v>
      </c>
      <c r="CI7" s="65">
        <f>+AK7-AJ7</f>
        <v>1097861</v>
      </c>
      <c r="CJ7" s="65">
        <f>+AQ7-AP7</f>
        <v>376685</v>
      </c>
      <c r="CK7" s="65">
        <f>+AW7-AV7</f>
        <v>664378</v>
      </c>
      <c r="CL7" s="65">
        <f>+BC7-BB7</f>
        <v>365987</v>
      </c>
      <c r="CM7" s="65">
        <f>+BI7-BH7</f>
        <v>427077</v>
      </c>
      <c r="CN7" s="65">
        <f>+BO7-BN7</f>
        <v>715490</v>
      </c>
      <c r="CO7" s="65">
        <f>+BU7-BT7</f>
        <v>365987</v>
      </c>
      <c r="CP7" s="65">
        <f>+CA7-BZ7</f>
        <v>675063</v>
      </c>
      <c r="CQ7" s="40" t="s">
        <v>538</v>
      </c>
    </row>
    <row r="8" spans="1:95" ht="3" customHeight="1" x14ac:dyDescent="0.25">
      <c r="A8" s="39">
        <v>1</v>
      </c>
      <c r="B8" s="28">
        <v>1107</v>
      </c>
      <c r="C8" s="28" t="s">
        <v>60</v>
      </c>
      <c r="D8" s="48">
        <f>+DATA!Q6</f>
        <v>14351249.559</v>
      </c>
      <c r="E8" s="48">
        <f t="shared" ref="E8:E71" si="63">ROUND(D8/12*$E$4,0)*A8</f>
        <v>944791</v>
      </c>
      <c r="F8" s="48">
        <f t="shared" ref="F8:F71" si="64">ROUND(D8/12*$F$4,0)*A8</f>
        <v>1435125</v>
      </c>
      <c r="G8" s="49">
        <f>VLOOKUP(B8,'CALC MEC ESTAB Y ESTIM M FINAL'!$B$7:$F$352,5,0)</f>
        <v>7.6692195374999999E-3</v>
      </c>
      <c r="H8" s="49">
        <f>VLOOKUP(B8,'CALC MEC ESTAB Y ESTIM M FINAL'!$B$7:$R$352,17,0)</f>
        <v>-4.3304142719999999E-4</v>
      </c>
      <c r="I8" s="46">
        <f t="shared" si="4"/>
        <v>596638</v>
      </c>
      <c r="J8" s="46">
        <f t="shared" si="5"/>
        <v>0</v>
      </c>
      <c r="K8" s="46">
        <f t="shared" ref="K8:K70" si="65">IF($E8&gt;I8,$E8-I8,0)</f>
        <v>348153</v>
      </c>
      <c r="L8" s="46">
        <v>0</v>
      </c>
      <c r="M8" s="46">
        <f t="shared" si="6"/>
        <v>944791</v>
      </c>
      <c r="N8" s="46">
        <f t="shared" si="7"/>
        <v>348153</v>
      </c>
      <c r="O8" s="46">
        <f t="shared" si="8"/>
        <v>317272</v>
      </c>
      <c r="P8" s="46">
        <f t="shared" si="9"/>
        <v>0</v>
      </c>
      <c r="Q8" s="46">
        <f t="shared" si="10"/>
        <v>627519</v>
      </c>
      <c r="R8" s="46">
        <v>0</v>
      </c>
      <c r="S8" s="46">
        <f t="shared" si="11"/>
        <v>944791</v>
      </c>
      <c r="T8" s="46">
        <f t="shared" si="12"/>
        <v>975672</v>
      </c>
      <c r="U8" s="46">
        <f t="shared" si="13"/>
        <v>905106</v>
      </c>
      <c r="V8" s="46">
        <f t="shared" si="14"/>
        <v>0</v>
      </c>
      <c r="W8" s="46">
        <f t="shared" si="15"/>
        <v>0</v>
      </c>
      <c r="X8" s="46">
        <v>0</v>
      </c>
      <c r="Y8" s="46">
        <f t="shared" si="16"/>
        <v>905106</v>
      </c>
      <c r="Z8" s="46">
        <f t="shared" si="17"/>
        <v>975672</v>
      </c>
      <c r="AA8" s="46">
        <f t="shared" si="18"/>
        <v>480597</v>
      </c>
      <c r="AB8" s="46">
        <f t="shared" si="19"/>
        <v>0</v>
      </c>
      <c r="AC8" s="46">
        <f t="shared" si="20"/>
        <v>464194</v>
      </c>
      <c r="AD8" s="46">
        <v>0</v>
      </c>
      <c r="AE8" s="46">
        <f t="shared" si="21"/>
        <v>944791</v>
      </c>
      <c r="AF8" s="46">
        <f t="shared" si="22"/>
        <v>1439866</v>
      </c>
      <c r="AG8" s="46">
        <f t="shared" si="23"/>
        <v>4182096</v>
      </c>
      <c r="AH8" s="46">
        <f t="shared" si="24"/>
        <v>38600</v>
      </c>
      <c r="AI8" s="46">
        <f t="shared" si="25"/>
        <v>-1439866</v>
      </c>
      <c r="AJ8" s="46">
        <v>0</v>
      </c>
      <c r="AK8" s="46">
        <f t="shared" si="26"/>
        <v>2780830</v>
      </c>
      <c r="AL8" s="46">
        <f t="shared" si="27"/>
        <v>0</v>
      </c>
      <c r="AM8" s="46">
        <f t="shared" si="28"/>
        <v>828366</v>
      </c>
      <c r="AN8" s="46">
        <f t="shared" si="29"/>
        <v>27356</v>
      </c>
      <c r="AO8" s="46">
        <f t="shared" si="30"/>
        <v>116425</v>
      </c>
      <c r="AP8" s="46">
        <v>0</v>
      </c>
      <c r="AQ8" s="46">
        <f t="shared" si="31"/>
        <v>972147</v>
      </c>
      <c r="AR8" s="46">
        <f t="shared" si="32"/>
        <v>116425</v>
      </c>
      <c r="AS8" s="46">
        <f t="shared" si="33"/>
        <v>1646645</v>
      </c>
      <c r="AT8" s="46">
        <f t="shared" si="34"/>
        <v>159859</v>
      </c>
      <c r="AU8" s="46">
        <f t="shared" si="35"/>
        <v>-116425</v>
      </c>
      <c r="AV8" s="46">
        <v>0</v>
      </c>
      <c r="AW8" s="46">
        <f t="shared" si="36"/>
        <v>1690079</v>
      </c>
      <c r="AX8" s="46">
        <f t="shared" si="37"/>
        <v>0</v>
      </c>
      <c r="AY8" s="46">
        <f t="shared" si="38"/>
        <v>543912</v>
      </c>
      <c r="AZ8" s="46">
        <f t="shared" si="39"/>
        <v>0</v>
      </c>
      <c r="BA8" s="46">
        <f t="shared" si="40"/>
        <v>400879</v>
      </c>
      <c r="BB8" s="46"/>
      <c r="BC8" s="46">
        <f t="shared" si="41"/>
        <v>944791</v>
      </c>
      <c r="BD8" s="46">
        <f t="shared" si="42"/>
        <v>400879</v>
      </c>
      <c r="BE8" s="46">
        <f t="shared" si="43"/>
        <v>1052941</v>
      </c>
      <c r="BF8" s="46">
        <f t="shared" si="44"/>
        <v>39189</v>
      </c>
      <c r="BG8" s="46">
        <f t="shared" si="45"/>
        <v>0</v>
      </c>
      <c r="BH8" s="46">
        <v>0</v>
      </c>
      <c r="BI8" s="46">
        <f t="shared" si="46"/>
        <v>1092130</v>
      </c>
      <c r="BJ8" s="46">
        <f t="shared" si="47"/>
        <v>400879</v>
      </c>
      <c r="BK8" s="46">
        <f t="shared" si="48"/>
        <v>2221661</v>
      </c>
      <c r="BL8" s="46">
        <f t="shared" si="49"/>
        <v>0</v>
      </c>
      <c r="BM8" s="46">
        <f t="shared" si="50"/>
        <v>-400879</v>
      </c>
      <c r="BN8" s="46">
        <v>0</v>
      </c>
      <c r="BO8" s="46">
        <f t="shared" si="51"/>
        <v>1820782</v>
      </c>
      <c r="BP8" s="46">
        <f t="shared" si="52"/>
        <v>0</v>
      </c>
      <c r="BQ8" s="46">
        <f t="shared" si="53"/>
        <v>824553</v>
      </c>
      <c r="BR8" s="46">
        <f t="shared" si="54"/>
        <v>0</v>
      </c>
      <c r="BS8" s="46">
        <f t="shared" si="55"/>
        <v>120238</v>
      </c>
      <c r="BT8" s="46">
        <v>0</v>
      </c>
      <c r="BU8" s="46">
        <f t="shared" si="56"/>
        <v>944791</v>
      </c>
      <c r="BV8" s="46">
        <f t="shared" si="57"/>
        <v>120238</v>
      </c>
      <c r="BW8" s="46">
        <f t="shared" si="58"/>
        <v>1580072</v>
      </c>
      <c r="BX8" s="46">
        <f t="shared" si="59"/>
        <v>257568</v>
      </c>
      <c r="BY8" s="46">
        <f t="shared" si="60"/>
        <v>-120238</v>
      </c>
      <c r="BZ8" s="46">
        <v>0</v>
      </c>
      <c r="CA8" s="46">
        <f t="shared" si="61"/>
        <v>1717402</v>
      </c>
      <c r="CB8" s="46">
        <f t="shared" si="62"/>
        <v>0</v>
      </c>
      <c r="CC8" s="155">
        <f t="shared" ref="CC8:CC71" si="66">+K8+Q8+W8+AC8+AI8+AO8+AU8+BA8+BG8+BM8+BS8+BY8</f>
        <v>0</v>
      </c>
      <c r="CD8" s="79" t="s">
        <v>538</v>
      </c>
      <c r="CE8" s="65">
        <f t="shared" ref="CE8:CE71" si="67">+M8-L8</f>
        <v>944791</v>
      </c>
      <c r="CF8" s="65">
        <f t="shared" ref="CF8:CF71" si="68">+S8-R8</f>
        <v>944791</v>
      </c>
      <c r="CG8" s="65">
        <f t="shared" ref="CG8:CG71" si="69">+Y8-X8</f>
        <v>905106</v>
      </c>
      <c r="CH8" s="65">
        <f t="shared" ref="CH8:CH71" si="70">+AE8-AD8</f>
        <v>944791</v>
      </c>
      <c r="CI8" s="65">
        <f t="shared" ref="CI8:CI71" si="71">+AK8-AJ8</f>
        <v>2780830</v>
      </c>
      <c r="CJ8" s="65">
        <f t="shared" ref="CJ8:CJ71" si="72">+AQ8-AP8</f>
        <v>972147</v>
      </c>
      <c r="CK8" s="65">
        <f t="shared" ref="CK8:CK71" si="73">+AW8-AV8</f>
        <v>1690079</v>
      </c>
      <c r="CL8" s="65">
        <f t="shared" ref="CL8:CL71" si="74">+BC8-BB8</f>
        <v>944791</v>
      </c>
      <c r="CM8" s="65">
        <f t="shared" ref="CM8:CM71" si="75">+BI8-BH8</f>
        <v>1092130</v>
      </c>
      <c r="CN8" s="65">
        <f t="shared" ref="CN8:CN71" si="76">+BO8-BN8</f>
        <v>1820782</v>
      </c>
      <c r="CO8" s="65">
        <f t="shared" ref="CO8:CO71" si="77">+BU8-BT8</f>
        <v>944791</v>
      </c>
      <c r="CP8" s="65">
        <f t="shared" ref="CP8:CP71" si="78">+CA8-BZ8</f>
        <v>1717402</v>
      </c>
      <c r="CQ8" s="40" t="s">
        <v>538</v>
      </c>
    </row>
    <row r="9" spans="1:95" ht="3" customHeight="1" x14ac:dyDescent="0.25">
      <c r="A9" s="39">
        <v>1</v>
      </c>
      <c r="B9" s="28">
        <v>1401</v>
      </c>
      <c r="C9" s="28" t="s">
        <v>56</v>
      </c>
      <c r="D9" s="48">
        <f>+DATA!Q7</f>
        <v>3051310.0759999999</v>
      </c>
      <c r="E9" s="48">
        <f t="shared" si="63"/>
        <v>200878</v>
      </c>
      <c r="F9" s="48">
        <f t="shared" si="64"/>
        <v>305131</v>
      </c>
      <c r="G9" s="49">
        <f>VLOOKUP(B9,'CALC MEC ESTAB Y ESTIM M FINAL'!$B$7:$F$352,5,0)</f>
        <v>1.6740580702999999E-3</v>
      </c>
      <c r="H9" s="49">
        <f>VLOOKUP(B9,'CALC MEC ESTAB Y ESTIM M FINAL'!$B$7:$R$352,17,0)</f>
        <v>-1.1635833939999999E-4</v>
      </c>
      <c r="I9" s="46">
        <f t="shared" si="4"/>
        <v>128436</v>
      </c>
      <c r="J9" s="46">
        <f t="shared" si="5"/>
        <v>0</v>
      </c>
      <c r="K9" s="46">
        <f t="shared" si="65"/>
        <v>72442</v>
      </c>
      <c r="L9" s="46">
        <v>0</v>
      </c>
      <c r="M9" s="46">
        <f t="shared" si="6"/>
        <v>200878</v>
      </c>
      <c r="N9" s="46">
        <f t="shared" si="7"/>
        <v>72442</v>
      </c>
      <c r="O9" s="46">
        <f t="shared" si="8"/>
        <v>68298</v>
      </c>
      <c r="P9" s="46">
        <f t="shared" si="9"/>
        <v>0</v>
      </c>
      <c r="Q9" s="46">
        <f t="shared" si="10"/>
        <v>132580</v>
      </c>
      <c r="R9" s="46">
        <v>0</v>
      </c>
      <c r="S9" s="46">
        <f t="shared" si="11"/>
        <v>200878</v>
      </c>
      <c r="T9" s="46">
        <f t="shared" si="12"/>
        <v>205022</v>
      </c>
      <c r="U9" s="46">
        <f t="shared" si="13"/>
        <v>194838</v>
      </c>
      <c r="V9" s="46">
        <f t="shared" si="14"/>
        <v>0</v>
      </c>
      <c r="W9" s="46">
        <f t="shared" si="15"/>
        <v>0</v>
      </c>
      <c r="X9" s="46">
        <v>0</v>
      </c>
      <c r="Y9" s="46">
        <f t="shared" si="16"/>
        <v>194838</v>
      </c>
      <c r="Z9" s="46">
        <f t="shared" si="17"/>
        <v>205022</v>
      </c>
      <c r="AA9" s="46">
        <f t="shared" si="18"/>
        <v>103456</v>
      </c>
      <c r="AB9" s="46">
        <f t="shared" si="19"/>
        <v>0</v>
      </c>
      <c r="AC9" s="46">
        <f t="shared" si="20"/>
        <v>97422</v>
      </c>
      <c r="AD9" s="46">
        <v>0</v>
      </c>
      <c r="AE9" s="46">
        <f t="shared" si="21"/>
        <v>200878</v>
      </c>
      <c r="AF9" s="46">
        <f t="shared" si="22"/>
        <v>302444</v>
      </c>
      <c r="AG9" s="46">
        <f t="shared" si="23"/>
        <v>900261</v>
      </c>
      <c r="AH9" s="46">
        <f t="shared" si="24"/>
        <v>8309</v>
      </c>
      <c r="AI9" s="46">
        <f t="shared" si="25"/>
        <v>-302444</v>
      </c>
      <c r="AJ9" s="46">
        <v>0</v>
      </c>
      <c r="AK9" s="46">
        <f t="shared" si="26"/>
        <v>606126</v>
      </c>
      <c r="AL9" s="46">
        <f t="shared" si="27"/>
        <v>0</v>
      </c>
      <c r="AM9" s="46">
        <f t="shared" si="28"/>
        <v>178319</v>
      </c>
      <c r="AN9" s="46">
        <f t="shared" si="29"/>
        <v>5889</v>
      </c>
      <c r="AO9" s="46">
        <f t="shared" si="30"/>
        <v>22559</v>
      </c>
      <c r="AP9" s="46">
        <v>0</v>
      </c>
      <c r="AQ9" s="46">
        <f t="shared" si="31"/>
        <v>206767</v>
      </c>
      <c r="AR9" s="46">
        <f t="shared" si="32"/>
        <v>22559</v>
      </c>
      <c r="AS9" s="46">
        <f t="shared" si="33"/>
        <v>354466</v>
      </c>
      <c r="AT9" s="46">
        <f t="shared" si="34"/>
        <v>34412</v>
      </c>
      <c r="AU9" s="46">
        <f t="shared" si="35"/>
        <v>-22559</v>
      </c>
      <c r="AV9" s="46">
        <v>0</v>
      </c>
      <c r="AW9" s="46">
        <f t="shared" si="36"/>
        <v>366319</v>
      </c>
      <c r="AX9" s="46">
        <f t="shared" si="37"/>
        <v>0</v>
      </c>
      <c r="AY9" s="46">
        <f t="shared" si="38"/>
        <v>117085</v>
      </c>
      <c r="AZ9" s="46">
        <f t="shared" si="39"/>
        <v>0</v>
      </c>
      <c r="BA9" s="46">
        <f t="shared" si="40"/>
        <v>83793</v>
      </c>
      <c r="BB9" s="46"/>
      <c r="BC9" s="46">
        <f t="shared" si="41"/>
        <v>200878</v>
      </c>
      <c r="BD9" s="46">
        <f t="shared" si="42"/>
        <v>83793</v>
      </c>
      <c r="BE9" s="46">
        <f t="shared" si="43"/>
        <v>226662</v>
      </c>
      <c r="BF9" s="46">
        <f t="shared" si="44"/>
        <v>8436</v>
      </c>
      <c r="BG9" s="46">
        <f t="shared" si="45"/>
        <v>0</v>
      </c>
      <c r="BH9" s="46">
        <v>0</v>
      </c>
      <c r="BI9" s="46">
        <f t="shared" si="46"/>
        <v>235098</v>
      </c>
      <c r="BJ9" s="46">
        <f t="shared" si="47"/>
        <v>83793</v>
      </c>
      <c r="BK9" s="46">
        <f t="shared" si="48"/>
        <v>478247</v>
      </c>
      <c r="BL9" s="46">
        <f t="shared" si="49"/>
        <v>0</v>
      </c>
      <c r="BM9" s="46">
        <f t="shared" si="50"/>
        <v>-83793</v>
      </c>
      <c r="BN9" s="46">
        <v>0</v>
      </c>
      <c r="BO9" s="46">
        <f t="shared" si="51"/>
        <v>394454</v>
      </c>
      <c r="BP9" s="46">
        <f t="shared" si="52"/>
        <v>0</v>
      </c>
      <c r="BQ9" s="46">
        <f t="shared" si="53"/>
        <v>177498</v>
      </c>
      <c r="BR9" s="46">
        <f t="shared" si="54"/>
        <v>0</v>
      </c>
      <c r="BS9" s="46">
        <f t="shared" si="55"/>
        <v>23380</v>
      </c>
      <c r="BT9" s="46">
        <v>0</v>
      </c>
      <c r="BU9" s="46">
        <f t="shared" si="56"/>
        <v>200878</v>
      </c>
      <c r="BV9" s="46">
        <f t="shared" si="57"/>
        <v>23380</v>
      </c>
      <c r="BW9" s="46">
        <f t="shared" si="58"/>
        <v>340135</v>
      </c>
      <c r="BX9" s="46">
        <f t="shared" si="59"/>
        <v>55446</v>
      </c>
      <c r="BY9" s="46">
        <f t="shared" si="60"/>
        <v>-23380</v>
      </c>
      <c r="BZ9" s="46">
        <v>0</v>
      </c>
      <c r="CA9" s="46">
        <f t="shared" si="61"/>
        <v>372201</v>
      </c>
      <c r="CB9" s="46">
        <f t="shared" si="62"/>
        <v>0</v>
      </c>
      <c r="CC9" s="155">
        <f t="shared" si="66"/>
        <v>0</v>
      </c>
      <c r="CD9" s="79" t="s">
        <v>538</v>
      </c>
      <c r="CE9" s="65">
        <f t="shared" si="67"/>
        <v>200878</v>
      </c>
      <c r="CF9" s="65">
        <f t="shared" si="68"/>
        <v>200878</v>
      </c>
      <c r="CG9" s="65">
        <f t="shared" si="69"/>
        <v>194838</v>
      </c>
      <c r="CH9" s="65">
        <f t="shared" si="70"/>
        <v>200878</v>
      </c>
      <c r="CI9" s="65">
        <f t="shared" si="71"/>
        <v>606126</v>
      </c>
      <c r="CJ9" s="65">
        <f t="shared" si="72"/>
        <v>206767</v>
      </c>
      <c r="CK9" s="65">
        <f t="shared" si="73"/>
        <v>366319</v>
      </c>
      <c r="CL9" s="65">
        <f t="shared" si="74"/>
        <v>200878</v>
      </c>
      <c r="CM9" s="65">
        <f t="shared" si="75"/>
        <v>235098</v>
      </c>
      <c r="CN9" s="65">
        <f t="shared" si="76"/>
        <v>394454</v>
      </c>
      <c r="CO9" s="65">
        <f t="shared" si="77"/>
        <v>200878</v>
      </c>
      <c r="CP9" s="65">
        <f t="shared" si="78"/>
        <v>372201</v>
      </c>
      <c r="CQ9" s="40" t="s">
        <v>538</v>
      </c>
    </row>
    <row r="10" spans="1:95" ht="3" customHeight="1" x14ac:dyDescent="0.25">
      <c r="A10" s="39">
        <v>1</v>
      </c>
      <c r="B10" s="28">
        <v>1402</v>
      </c>
      <c r="C10" s="28" t="s">
        <v>58</v>
      </c>
      <c r="D10" s="48">
        <f>+DATA!Q8</f>
        <v>1910948.2960000001</v>
      </c>
      <c r="E10" s="48">
        <f t="shared" si="63"/>
        <v>125804</v>
      </c>
      <c r="F10" s="48">
        <f t="shared" si="64"/>
        <v>191095</v>
      </c>
      <c r="G10" s="49">
        <f>VLOOKUP(B10,'CALC MEC ESTAB Y ESTIM M FINAL'!$B$7:$F$352,5,0)</f>
        <v>9.7648616579999997E-4</v>
      </c>
      <c r="H10" s="49">
        <f>VLOOKUP(B10,'CALC MEC ESTAB Y ESTIM M FINAL'!$B$7:$R$352,17,0)</f>
        <v>-3.4167603100000001E-5</v>
      </c>
      <c r="I10" s="46">
        <f t="shared" si="4"/>
        <v>77696</v>
      </c>
      <c r="J10" s="46">
        <f t="shared" si="5"/>
        <v>0</v>
      </c>
      <c r="K10" s="46">
        <f t="shared" si="65"/>
        <v>48108</v>
      </c>
      <c r="L10" s="46">
        <v>0</v>
      </c>
      <c r="M10" s="46">
        <f t="shared" si="6"/>
        <v>125804</v>
      </c>
      <c r="N10" s="46">
        <f t="shared" si="7"/>
        <v>48108</v>
      </c>
      <c r="O10" s="46">
        <f t="shared" si="8"/>
        <v>41316</v>
      </c>
      <c r="P10" s="46">
        <f t="shared" si="9"/>
        <v>0</v>
      </c>
      <c r="Q10" s="46">
        <f t="shared" si="10"/>
        <v>84488</v>
      </c>
      <c r="R10" s="46">
        <v>0</v>
      </c>
      <c r="S10" s="46">
        <f t="shared" si="11"/>
        <v>125804</v>
      </c>
      <c r="T10" s="46">
        <f t="shared" si="12"/>
        <v>132596</v>
      </c>
      <c r="U10" s="46">
        <f t="shared" si="13"/>
        <v>117866</v>
      </c>
      <c r="V10" s="46">
        <f t="shared" si="14"/>
        <v>0</v>
      </c>
      <c r="W10" s="46">
        <f t="shared" si="15"/>
        <v>0</v>
      </c>
      <c r="X10" s="46">
        <v>0</v>
      </c>
      <c r="Y10" s="46">
        <f t="shared" si="16"/>
        <v>117866</v>
      </c>
      <c r="Z10" s="46">
        <f t="shared" si="17"/>
        <v>132596</v>
      </c>
      <c r="AA10" s="46">
        <f t="shared" si="18"/>
        <v>62585</v>
      </c>
      <c r="AB10" s="46">
        <f t="shared" si="19"/>
        <v>0</v>
      </c>
      <c r="AC10" s="46">
        <f t="shared" si="20"/>
        <v>63219</v>
      </c>
      <c r="AD10" s="46">
        <v>0</v>
      </c>
      <c r="AE10" s="46">
        <f t="shared" si="21"/>
        <v>125804</v>
      </c>
      <c r="AF10" s="46">
        <f t="shared" si="22"/>
        <v>195815</v>
      </c>
      <c r="AG10" s="46">
        <f t="shared" si="23"/>
        <v>544606</v>
      </c>
      <c r="AH10" s="46">
        <f t="shared" si="24"/>
        <v>5027</v>
      </c>
      <c r="AI10" s="46">
        <f t="shared" si="25"/>
        <v>-195815</v>
      </c>
      <c r="AJ10" s="46">
        <v>0</v>
      </c>
      <c r="AK10" s="46">
        <f t="shared" si="26"/>
        <v>353818</v>
      </c>
      <c r="AL10" s="46">
        <f t="shared" si="27"/>
        <v>0</v>
      </c>
      <c r="AM10" s="46">
        <f t="shared" si="28"/>
        <v>107873</v>
      </c>
      <c r="AN10" s="46">
        <f t="shared" si="29"/>
        <v>3562</v>
      </c>
      <c r="AO10" s="46">
        <f t="shared" si="30"/>
        <v>17931</v>
      </c>
      <c r="AP10" s="46">
        <v>0</v>
      </c>
      <c r="AQ10" s="46">
        <f t="shared" si="31"/>
        <v>129366</v>
      </c>
      <c r="AR10" s="46">
        <f t="shared" si="32"/>
        <v>17931</v>
      </c>
      <c r="AS10" s="46">
        <f t="shared" si="33"/>
        <v>214431</v>
      </c>
      <c r="AT10" s="46">
        <f t="shared" si="34"/>
        <v>20817</v>
      </c>
      <c r="AU10" s="46">
        <f t="shared" si="35"/>
        <v>-17931</v>
      </c>
      <c r="AV10" s="46">
        <v>0</v>
      </c>
      <c r="AW10" s="46">
        <f t="shared" si="36"/>
        <v>217317</v>
      </c>
      <c r="AX10" s="46">
        <f t="shared" si="37"/>
        <v>0</v>
      </c>
      <c r="AY10" s="46">
        <f t="shared" si="38"/>
        <v>70830</v>
      </c>
      <c r="AZ10" s="46">
        <f t="shared" si="39"/>
        <v>0</v>
      </c>
      <c r="BA10" s="46">
        <f t="shared" si="40"/>
        <v>54974</v>
      </c>
      <c r="BB10" s="46"/>
      <c r="BC10" s="46">
        <f t="shared" si="41"/>
        <v>125804</v>
      </c>
      <c r="BD10" s="46">
        <f t="shared" si="42"/>
        <v>54974</v>
      </c>
      <c r="BE10" s="46">
        <f t="shared" si="43"/>
        <v>137117</v>
      </c>
      <c r="BF10" s="46">
        <f t="shared" si="44"/>
        <v>5103</v>
      </c>
      <c r="BG10" s="46">
        <f t="shared" si="45"/>
        <v>0</v>
      </c>
      <c r="BH10" s="46">
        <v>0</v>
      </c>
      <c r="BI10" s="46">
        <f t="shared" si="46"/>
        <v>142220</v>
      </c>
      <c r="BJ10" s="46">
        <f t="shared" si="47"/>
        <v>54974</v>
      </c>
      <c r="BK10" s="46">
        <f t="shared" si="48"/>
        <v>289312</v>
      </c>
      <c r="BL10" s="46">
        <f t="shared" si="49"/>
        <v>0</v>
      </c>
      <c r="BM10" s="46">
        <f t="shared" si="50"/>
        <v>-54974</v>
      </c>
      <c r="BN10" s="46">
        <v>0</v>
      </c>
      <c r="BO10" s="46">
        <f t="shared" si="51"/>
        <v>234338</v>
      </c>
      <c r="BP10" s="46">
        <f t="shared" si="52"/>
        <v>0</v>
      </c>
      <c r="BQ10" s="46">
        <f t="shared" si="53"/>
        <v>107376</v>
      </c>
      <c r="BR10" s="46">
        <f t="shared" si="54"/>
        <v>0</v>
      </c>
      <c r="BS10" s="46">
        <f t="shared" si="55"/>
        <v>18428</v>
      </c>
      <c r="BT10" s="46">
        <v>0</v>
      </c>
      <c r="BU10" s="46">
        <f t="shared" si="56"/>
        <v>125804</v>
      </c>
      <c r="BV10" s="46">
        <f t="shared" si="57"/>
        <v>18428</v>
      </c>
      <c r="BW10" s="46">
        <f t="shared" si="58"/>
        <v>205762</v>
      </c>
      <c r="BX10" s="46">
        <f t="shared" si="59"/>
        <v>33541</v>
      </c>
      <c r="BY10" s="46">
        <f t="shared" si="60"/>
        <v>-18428</v>
      </c>
      <c r="BZ10" s="46">
        <v>0</v>
      </c>
      <c r="CA10" s="46">
        <f t="shared" si="61"/>
        <v>220875</v>
      </c>
      <c r="CB10" s="46">
        <f t="shared" si="62"/>
        <v>0</v>
      </c>
      <c r="CC10" s="155">
        <f t="shared" si="66"/>
        <v>0</v>
      </c>
      <c r="CD10" s="79" t="s">
        <v>538</v>
      </c>
      <c r="CE10" s="65">
        <f t="shared" si="67"/>
        <v>125804</v>
      </c>
      <c r="CF10" s="65">
        <f t="shared" si="68"/>
        <v>125804</v>
      </c>
      <c r="CG10" s="65">
        <f t="shared" si="69"/>
        <v>117866</v>
      </c>
      <c r="CH10" s="65">
        <f t="shared" si="70"/>
        <v>125804</v>
      </c>
      <c r="CI10" s="65">
        <f t="shared" si="71"/>
        <v>353818</v>
      </c>
      <c r="CJ10" s="65">
        <f t="shared" si="72"/>
        <v>129366</v>
      </c>
      <c r="CK10" s="65">
        <f t="shared" si="73"/>
        <v>217317</v>
      </c>
      <c r="CL10" s="65">
        <f t="shared" si="74"/>
        <v>125804</v>
      </c>
      <c r="CM10" s="65">
        <f t="shared" si="75"/>
        <v>142220</v>
      </c>
      <c r="CN10" s="65">
        <f t="shared" si="76"/>
        <v>234338</v>
      </c>
      <c r="CO10" s="65">
        <f t="shared" si="77"/>
        <v>125804</v>
      </c>
      <c r="CP10" s="65">
        <f t="shared" si="78"/>
        <v>220875</v>
      </c>
      <c r="CQ10" s="40" t="s">
        <v>538</v>
      </c>
    </row>
    <row r="11" spans="1:95" ht="3" customHeight="1" x14ac:dyDescent="0.25">
      <c r="A11" s="39">
        <v>1</v>
      </c>
      <c r="B11" s="28">
        <v>1403</v>
      </c>
      <c r="C11" s="28" t="s">
        <v>59</v>
      </c>
      <c r="D11" s="48">
        <f>+DATA!Q9</f>
        <v>1668947.017</v>
      </c>
      <c r="E11" s="48">
        <f t="shared" si="63"/>
        <v>109872</v>
      </c>
      <c r="F11" s="48">
        <f t="shared" si="64"/>
        <v>166895</v>
      </c>
      <c r="G11" s="49">
        <f>VLOOKUP(B11,'CALC MEC ESTAB Y ESTIM M FINAL'!$B$7:$F$352,5,0)</f>
        <v>1.0057909118999999E-3</v>
      </c>
      <c r="H11" s="49">
        <f>VLOOKUP(B11,'CALC MEC ESTAB Y ESTIM M FINAL'!$B$7:$R$352,17,0)</f>
        <v>-1.133298313E-4</v>
      </c>
      <c r="I11" s="46">
        <f t="shared" si="4"/>
        <v>73585</v>
      </c>
      <c r="J11" s="46">
        <f t="shared" si="5"/>
        <v>0</v>
      </c>
      <c r="K11" s="46">
        <f t="shared" si="65"/>
        <v>36287</v>
      </c>
      <c r="L11" s="46">
        <v>0</v>
      </c>
      <c r="M11" s="46">
        <f t="shared" si="6"/>
        <v>109872</v>
      </c>
      <c r="N11" s="46">
        <f t="shared" si="7"/>
        <v>36287</v>
      </c>
      <c r="O11" s="46">
        <f t="shared" si="8"/>
        <v>39130</v>
      </c>
      <c r="P11" s="46">
        <f t="shared" si="9"/>
        <v>0</v>
      </c>
      <c r="Q11" s="46">
        <f t="shared" si="10"/>
        <v>70742</v>
      </c>
      <c r="R11" s="46">
        <v>0</v>
      </c>
      <c r="S11" s="46">
        <f t="shared" si="11"/>
        <v>109872</v>
      </c>
      <c r="T11" s="46">
        <f t="shared" si="12"/>
        <v>107029</v>
      </c>
      <c r="U11" s="46">
        <f t="shared" si="13"/>
        <v>111630</v>
      </c>
      <c r="V11" s="46">
        <f t="shared" si="14"/>
        <v>0</v>
      </c>
      <c r="W11" s="46">
        <f t="shared" si="15"/>
        <v>0</v>
      </c>
      <c r="X11" s="46">
        <v>0</v>
      </c>
      <c r="Y11" s="46">
        <f t="shared" si="16"/>
        <v>111630</v>
      </c>
      <c r="Z11" s="46">
        <f t="shared" si="17"/>
        <v>107029</v>
      </c>
      <c r="AA11" s="46">
        <f t="shared" si="18"/>
        <v>59274</v>
      </c>
      <c r="AB11" s="46">
        <f t="shared" si="19"/>
        <v>0</v>
      </c>
      <c r="AC11" s="46">
        <f t="shared" si="20"/>
        <v>50598</v>
      </c>
      <c r="AD11" s="46">
        <v>0</v>
      </c>
      <c r="AE11" s="46">
        <f t="shared" si="21"/>
        <v>109872</v>
      </c>
      <c r="AF11" s="46">
        <f t="shared" si="22"/>
        <v>157627</v>
      </c>
      <c r="AG11" s="46">
        <f t="shared" si="23"/>
        <v>515791</v>
      </c>
      <c r="AH11" s="46">
        <f t="shared" si="24"/>
        <v>4761</v>
      </c>
      <c r="AI11" s="46">
        <f t="shared" si="25"/>
        <v>-157627</v>
      </c>
      <c r="AJ11" s="46">
        <v>0</v>
      </c>
      <c r="AK11" s="46">
        <f t="shared" si="26"/>
        <v>362925</v>
      </c>
      <c r="AL11" s="46">
        <f t="shared" si="27"/>
        <v>0</v>
      </c>
      <c r="AM11" s="46">
        <f t="shared" si="28"/>
        <v>102165</v>
      </c>
      <c r="AN11" s="46">
        <f t="shared" si="29"/>
        <v>3374</v>
      </c>
      <c r="AO11" s="46">
        <f t="shared" si="30"/>
        <v>7707</v>
      </c>
      <c r="AP11" s="46">
        <v>0</v>
      </c>
      <c r="AQ11" s="46">
        <f t="shared" si="31"/>
        <v>113246</v>
      </c>
      <c r="AR11" s="46">
        <f t="shared" si="32"/>
        <v>7707</v>
      </c>
      <c r="AS11" s="46">
        <f t="shared" si="33"/>
        <v>203086</v>
      </c>
      <c r="AT11" s="46">
        <f t="shared" si="34"/>
        <v>19716</v>
      </c>
      <c r="AU11" s="46">
        <f t="shared" si="35"/>
        <v>-7707</v>
      </c>
      <c r="AV11" s="46">
        <v>0</v>
      </c>
      <c r="AW11" s="46">
        <f t="shared" si="36"/>
        <v>215095</v>
      </c>
      <c r="AX11" s="46">
        <f t="shared" si="37"/>
        <v>0</v>
      </c>
      <c r="AY11" s="46">
        <f t="shared" si="38"/>
        <v>67082</v>
      </c>
      <c r="AZ11" s="46">
        <f t="shared" si="39"/>
        <v>0</v>
      </c>
      <c r="BA11" s="46">
        <f t="shared" si="40"/>
        <v>42790</v>
      </c>
      <c r="BB11" s="46"/>
      <c r="BC11" s="46">
        <f t="shared" si="41"/>
        <v>109872</v>
      </c>
      <c r="BD11" s="46">
        <f t="shared" si="42"/>
        <v>42790</v>
      </c>
      <c r="BE11" s="46">
        <f t="shared" si="43"/>
        <v>129863</v>
      </c>
      <c r="BF11" s="46">
        <f t="shared" si="44"/>
        <v>4833</v>
      </c>
      <c r="BG11" s="46">
        <f t="shared" si="45"/>
        <v>0</v>
      </c>
      <c r="BH11" s="46">
        <v>0</v>
      </c>
      <c r="BI11" s="46">
        <f t="shared" si="46"/>
        <v>134696</v>
      </c>
      <c r="BJ11" s="46">
        <f t="shared" si="47"/>
        <v>42790</v>
      </c>
      <c r="BK11" s="46">
        <f t="shared" si="48"/>
        <v>274005</v>
      </c>
      <c r="BL11" s="46">
        <f t="shared" si="49"/>
        <v>0</v>
      </c>
      <c r="BM11" s="46">
        <f t="shared" si="50"/>
        <v>-42790</v>
      </c>
      <c r="BN11" s="46">
        <v>0</v>
      </c>
      <c r="BO11" s="46">
        <f t="shared" si="51"/>
        <v>231215</v>
      </c>
      <c r="BP11" s="46">
        <f t="shared" si="52"/>
        <v>0</v>
      </c>
      <c r="BQ11" s="46">
        <f t="shared" si="53"/>
        <v>101695</v>
      </c>
      <c r="BR11" s="46">
        <f t="shared" si="54"/>
        <v>0</v>
      </c>
      <c r="BS11" s="46">
        <f t="shared" si="55"/>
        <v>8177</v>
      </c>
      <c r="BT11" s="46">
        <v>0</v>
      </c>
      <c r="BU11" s="46">
        <f t="shared" si="56"/>
        <v>109872</v>
      </c>
      <c r="BV11" s="46">
        <f t="shared" si="57"/>
        <v>8177</v>
      </c>
      <c r="BW11" s="46">
        <f t="shared" si="58"/>
        <v>194875</v>
      </c>
      <c r="BX11" s="46">
        <f t="shared" si="59"/>
        <v>31767</v>
      </c>
      <c r="BY11" s="46">
        <f t="shared" si="60"/>
        <v>-8177</v>
      </c>
      <c r="BZ11" s="46">
        <v>0</v>
      </c>
      <c r="CA11" s="46">
        <f t="shared" si="61"/>
        <v>218465</v>
      </c>
      <c r="CB11" s="46">
        <f t="shared" si="62"/>
        <v>0</v>
      </c>
      <c r="CC11" s="155">
        <f t="shared" si="66"/>
        <v>0</v>
      </c>
      <c r="CD11" s="79" t="s">
        <v>538</v>
      </c>
      <c r="CE11" s="65">
        <f t="shared" si="67"/>
        <v>109872</v>
      </c>
      <c r="CF11" s="65">
        <f t="shared" si="68"/>
        <v>109872</v>
      </c>
      <c r="CG11" s="65">
        <f t="shared" si="69"/>
        <v>111630</v>
      </c>
      <c r="CH11" s="65">
        <f t="shared" si="70"/>
        <v>109872</v>
      </c>
      <c r="CI11" s="65">
        <f t="shared" si="71"/>
        <v>362925</v>
      </c>
      <c r="CJ11" s="65">
        <f t="shared" si="72"/>
        <v>113246</v>
      </c>
      <c r="CK11" s="65">
        <f t="shared" si="73"/>
        <v>215095</v>
      </c>
      <c r="CL11" s="65">
        <f t="shared" si="74"/>
        <v>109872</v>
      </c>
      <c r="CM11" s="65">
        <f t="shared" si="75"/>
        <v>134696</v>
      </c>
      <c r="CN11" s="65">
        <f t="shared" si="76"/>
        <v>231215</v>
      </c>
      <c r="CO11" s="65">
        <f t="shared" si="77"/>
        <v>109872</v>
      </c>
      <c r="CP11" s="65">
        <f t="shared" si="78"/>
        <v>218465</v>
      </c>
      <c r="CQ11" s="40" t="s">
        <v>538</v>
      </c>
    </row>
    <row r="12" spans="1:95" ht="3" customHeight="1" x14ac:dyDescent="0.25">
      <c r="A12" s="39">
        <v>1</v>
      </c>
      <c r="B12" s="28">
        <v>1404</v>
      </c>
      <c r="C12" s="28" t="s">
        <v>57</v>
      </c>
      <c r="D12" s="48">
        <f>+DATA!Q10</f>
        <v>2411239.673</v>
      </c>
      <c r="E12" s="48">
        <f t="shared" si="63"/>
        <v>158740</v>
      </c>
      <c r="F12" s="48">
        <f t="shared" si="64"/>
        <v>241124</v>
      </c>
      <c r="G12" s="49">
        <f>VLOOKUP(B12,'CALC MEC ESTAB Y ESTIM M FINAL'!$B$7:$F$352,5,0)</f>
        <v>1.3743390791E-3</v>
      </c>
      <c r="H12" s="49">
        <f>VLOOKUP(B12,'CALC MEC ESTAB Y ESTIM M FINAL'!$B$7:$R$352,17,0)</f>
        <v>-1.208570621E-4</v>
      </c>
      <c r="I12" s="46">
        <f t="shared" si="4"/>
        <v>103352</v>
      </c>
      <c r="J12" s="46">
        <f t="shared" si="5"/>
        <v>0</v>
      </c>
      <c r="K12" s="46">
        <f t="shared" si="65"/>
        <v>55388</v>
      </c>
      <c r="L12" s="46">
        <v>0</v>
      </c>
      <c r="M12" s="46">
        <f t="shared" si="6"/>
        <v>158740</v>
      </c>
      <c r="N12" s="46">
        <f t="shared" si="7"/>
        <v>55388</v>
      </c>
      <c r="O12" s="46">
        <f t="shared" si="8"/>
        <v>54959</v>
      </c>
      <c r="P12" s="46">
        <f t="shared" si="9"/>
        <v>0</v>
      </c>
      <c r="Q12" s="46">
        <f t="shared" si="10"/>
        <v>103781</v>
      </c>
      <c r="R12" s="46">
        <v>0</v>
      </c>
      <c r="S12" s="46">
        <f t="shared" si="11"/>
        <v>158740</v>
      </c>
      <c r="T12" s="46">
        <f t="shared" si="12"/>
        <v>159169</v>
      </c>
      <c r="U12" s="46">
        <f t="shared" si="13"/>
        <v>156786</v>
      </c>
      <c r="V12" s="46">
        <f t="shared" si="14"/>
        <v>0</v>
      </c>
      <c r="W12" s="46">
        <f t="shared" si="15"/>
        <v>0</v>
      </c>
      <c r="X12" s="46">
        <v>0</v>
      </c>
      <c r="Y12" s="46">
        <f t="shared" si="16"/>
        <v>156786</v>
      </c>
      <c r="Z12" s="46">
        <f t="shared" si="17"/>
        <v>159169</v>
      </c>
      <c r="AA12" s="46">
        <f t="shared" si="18"/>
        <v>83251</v>
      </c>
      <c r="AB12" s="46">
        <f t="shared" si="19"/>
        <v>0</v>
      </c>
      <c r="AC12" s="46">
        <f t="shared" si="20"/>
        <v>75489</v>
      </c>
      <c r="AD12" s="46">
        <v>0</v>
      </c>
      <c r="AE12" s="46">
        <f t="shared" si="21"/>
        <v>158740</v>
      </c>
      <c r="AF12" s="46">
        <f t="shared" si="22"/>
        <v>234658</v>
      </c>
      <c r="AG12" s="46">
        <f t="shared" si="23"/>
        <v>724441</v>
      </c>
      <c r="AH12" s="46">
        <f t="shared" si="24"/>
        <v>6686</v>
      </c>
      <c r="AI12" s="46">
        <f t="shared" si="25"/>
        <v>-234658</v>
      </c>
      <c r="AJ12" s="46">
        <v>0</v>
      </c>
      <c r="AK12" s="46">
        <f t="shared" si="26"/>
        <v>496469</v>
      </c>
      <c r="AL12" s="46">
        <f t="shared" si="27"/>
        <v>0</v>
      </c>
      <c r="AM12" s="46">
        <f t="shared" si="28"/>
        <v>143493</v>
      </c>
      <c r="AN12" s="46">
        <f t="shared" si="29"/>
        <v>4739</v>
      </c>
      <c r="AO12" s="46">
        <f t="shared" si="30"/>
        <v>15247</v>
      </c>
      <c r="AP12" s="46">
        <v>0</v>
      </c>
      <c r="AQ12" s="46">
        <f t="shared" si="31"/>
        <v>163479</v>
      </c>
      <c r="AR12" s="46">
        <f t="shared" si="32"/>
        <v>15247</v>
      </c>
      <c r="AS12" s="46">
        <f t="shared" si="33"/>
        <v>285239</v>
      </c>
      <c r="AT12" s="46">
        <f t="shared" si="34"/>
        <v>27692</v>
      </c>
      <c r="AU12" s="46">
        <f t="shared" si="35"/>
        <v>-15247</v>
      </c>
      <c r="AV12" s="46">
        <v>0</v>
      </c>
      <c r="AW12" s="46">
        <f t="shared" si="36"/>
        <v>297684</v>
      </c>
      <c r="AX12" s="46">
        <f t="shared" si="37"/>
        <v>0</v>
      </c>
      <c r="AY12" s="46">
        <f t="shared" si="38"/>
        <v>94219</v>
      </c>
      <c r="AZ12" s="46">
        <f t="shared" si="39"/>
        <v>0</v>
      </c>
      <c r="BA12" s="46">
        <f t="shared" si="40"/>
        <v>64521</v>
      </c>
      <c r="BB12" s="46"/>
      <c r="BC12" s="46">
        <f t="shared" si="41"/>
        <v>158740</v>
      </c>
      <c r="BD12" s="46">
        <f t="shared" si="42"/>
        <v>64521</v>
      </c>
      <c r="BE12" s="46">
        <f t="shared" si="43"/>
        <v>182395</v>
      </c>
      <c r="BF12" s="46">
        <f t="shared" si="44"/>
        <v>6789</v>
      </c>
      <c r="BG12" s="46">
        <f t="shared" si="45"/>
        <v>0</v>
      </c>
      <c r="BH12" s="46">
        <v>0</v>
      </c>
      <c r="BI12" s="46">
        <f t="shared" si="46"/>
        <v>189184</v>
      </c>
      <c r="BJ12" s="46">
        <f t="shared" si="47"/>
        <v>64521</v>
      </c>
      <c r="BK12" s="46">
        <f t="shared" si="48"/>
        <v>384846</v>
      </c>
      <c r="BL12" s="46">
        <f t="shared" si="49"/>
        <v>0</v>
      </c>
      <c r="BM12" s="46">
        <f t="shared" si="50"/>
        <v>-64521</v>
      </c>
      <c r="BN12" s="46">
        <v>0</v>
      </c>
      <c r="BO12" s="46">
        <f t="shared" si="51"/>
        <v>320325</v>
      </c>
      <c r="BP12" s="46">
        <f t="shared" si="52"/>
        <v>0</v>
      </c>
      <c r="BQ12" s="46">
        <f t="shared" si="53"/>
        <v>142833</v>
      </c>
      <c r="BR12" s="46">
        <f t="shared" si="54"/>
        <v>0</v>
      </c>
      <c r="BS12" s="46">
        <f t="shared" si="55"/>
        <v>15907</v>
      </c>
      <c r="BT12" s="46">
        <v>0</v>
      </c>
      <c r="BU12" s="46">
        <f t="shared" si="56"/>
        <v>158740</v>
      </c>
      <c r="BV12" s="46">
        <f t="shared" si="57"/>
        <v>15907</v>
      </c>
      <c r="BW12" s="46">
        <f t="shared" si="58"/>
        <v>273707</v>
      </c>
      <c r="BX12" s="46">
        <f t="shared" si="59"/>
        <v>44617</v>
      </c>
      <c r="BY12" s="46">
        <f t="shared" si="60"/>
        <v>-15907</v>
      </c>
      <c r="BZ12" s="46">
        <v>0</v>
      </c>
      <c r="CA12" s="46">
        <f t="shared" si="61"/>
        <v>302417</v>
      </c>
      <c r="CB12" s="46">
        <f t="shared" si="62"/>
        <v>0</v>
      </c>
      <c r="CC12" s="155">
        <f t="shared" si="66"/>
        <v>0</v>
      </c>
      <c r="CD12" s="79" t="s">
        <v>538</v>
      </c>
      <c r="CE12" s="65">
        <f t="shared" si="67"/>
        <v>158740</v>
      </c>
      <c r="CF12" s="65">
        <f t="shared" si="68"/>
        <v>158740</v>
      </c>
      <c r="CG12" s="65">
        <f t="shared" si="69"/>
        <v>156786</v>
      </c>
      <c r="CH12" s="65">
        <f t="shared" si="70"/>
        <v>158740</v>
      </c>
      <c r="CI12" s="65">
        <f t="shared" si="71"/>
        <v>496469</v>
      </c>
      <c r="CJ12" s="65">
        <f t="shared" si="72"/>
        <v>163479</v>
      </c>
      <c r="CK12" s="65">
        <f t="shared" si="73"/>
        <v>297684</v>
      </c>
      <c r="CL12" s="65">
        <f t="shared" si="74"/>
        <v>158740</v>
      </c>
      <c r="CM12" s="65">
        <f t="shared" si="75"/>
        <v>189184</v>
      </c>
      <c r="CN12" s="65">
        <f t="shared" si="76"/>
        <v>320325</v>
      </c>
      <c r="CO12" s="65">
        <f t="shared" si="77"/>
        <v>158740</v>
      </c>
      <c r="CP12" s="65">
        <f t="shared" si="78"/>
        <v>302417</v>
      </c>
      <c r="CQ12" s="40" t="s">
        <v>538</v>
      </c>
    </row>
    <row r="13" spans="1:95" ht="3" customHeight="1" x14ac:dyDescent="0.25">
      <c r="A13" s="39">
        <v>1</v>
      </c>
      <c r="B13" s="28">
        <v>1405</v>
      </c>
      <c r="C13" s="28" t="s">
        <v>55</v>
      </c>
      <c r="D13" s="48">
        <f>+DATA!Q11</f>
        <v>2641616.2420000001</v>
      </c>
      <c r="E13" s="48">
        <f t="shared" si="63"/>
        <v>173906</v>
      </c>
      <c r="F13" s="48">
        <f t="shared" si="64"/>
        <v>264162</v>
      </c>
      <c r="G13" s="49">
        <f>VLOOKUP(B13,'CALC MEC ESTAB Y ESTIM M FINAL'!$B$7:$F$352,5,0)</f>
        <v>1.6808845946999999E-3</v>
      </c>
      <c r="H13" s="49">
        <f>VLOOKUP(B13,'CALC MEC ESTAB Y ESTIM M FINAL'!$B$7:$R$352,17,0)</f>
        <v>-2.2843216429999999E-4</v>
      </c>
      <c r="I13" s="46">
        <f t="shared" si="4"/>
        <v>119758</v>
      </c>
      <c r="J13" s="46">
        <f t="shared" si="5"/>
        <v>0</v>
      </c>
      <c r="K13" s="46">
        <f t="shared" si="65"/>
        <v>54148</v>
      </c>
      <c r="L13" s="46">
        <v>0</v>
      </c>
      <c r="M13" s="46">
        <f t="shared" si="6"/>
        <v>173906</v>
      </c>
      <c r="N13" s="46">
        <f t="shared" si="7"/>
        <v>54148</v>
      </c>
      <c r="O13" s="46">
        <f t="shared" si="8"/>
        <v>63683</v>
      </c>
      <c r="P13" s="46">
        <f t="shared" si="9"/>
        <v>0</v>
      </c>
      <c r="Q13" s="46">
        <f t="shared" si="10"/>
        <v>110223</v>
      </c>
      <c r="R13" s="46">
        <v>0</v>
      </c>
      <c r="S13" s="46">
        <f t="shared" si="11"/>
        <v>173906</v>
      </c>
      <c r="T13" s="46">
        <f t="shared" si="12"/>
        <v>164371</v>
      </c>
      <c r="U13" s="46">
        <f t="shared" si="13"/>
        <v>181674</v>
      </c>
      <c r="V13" s="46">
        <f t="shared" si="14"/>
        <v>0</v>
      </c>
      <c r="W13" s="46">
        <f t="shared" si="15"/>
        <v>0</v>
      </c>
      <c r="X13" s="46">
        <v>0</v>
      </c>
      <c r="Y13" s="46">
        <f t="shared" si="16"/>
        <v>181674</v>
      </c>
      <c r="Z13" s="46">
        <f t="shared" si="17"/>
        <v>164371</v>
      </c>
      <c r="AA13" s="46">
        <f t="shared" si="18"/>
        <v>96466</v>
      </c>
      <c r="AB13" s="46">
        <f t="shared" si="19"/>
        <v>0</v>
      </c>
      <c r="AC13" s="46">
        <f t="shared" si="20"/>
        <v>77440</v>
      </c>
      <c r="AD13" s="46">
        <v>0</v>
      </c>
      <c r="AE13" s="46">
        <f t="shared" si="21"/>
        <v>173906</v>
      </c>
      <c r="AF13" s="46">
        <f t="shared" si="22"/>
        <v>241811</v>
      </c>
      <c r="AG13" s="46">
        <f t="shared" si="23"/>
        <v>839434</v>
      </c>
      <c r="AH13" s="46">
        <f t="shared" si="24"/>
        <v>7748</v>
      </c>
      <c r="AI13" s="46">
        <f t="shared" si="25"/>
        <v>-241811</v>
      </c>
      <c r="AJ13" s="46">
        <v>0</v>
      </c>
      <c r="AK13" s="46">
        <f t="shared" si="26"/>
        <v>605371</v>
      </c>
      <c r="AL13" s="46">
        <f t="shared" si="27"/>
        <v>0</v>
      </c>
      <c r="AM13" s="46">
        <f t="shared" si="28"/>
        <v>166270</v>
      </c>
      <c r="AN13" s="46">
        <f t="shared" si="29"/>
        <v>5491</v>
      </c>
      <c r="AO13" s="46">
        <f t="shared" si="30"/>
        <v>7636</v>
      </c>
      <c r="AP13" s="46">
        <v>0</v>
      </c>
      <c r="AQ13" s="46">
        <f t="shared" si="31"/>
        <v>179397</v>
      </c>
      <c r="AR13" s="46">
        <f t="shared" si="32"/>
        <v>7636</v>
      </c>
      <c r="AS13" s="46">
        <f t="shared" si="33"/>
        <v>330516</v>
      </c>
      <c r="AT13" s="46">
        <f t="shared" si="34"/>
        <v>32087</v>
      </c>
      <c r="AU13" s="46">
        <f t="shared" si="35"/>
        <v>-7636</v>
      </c>
      <c r="AV13" s="46">
        <v>0</v>
      </c>
      <c r="AW13" s="46">
        <f t="shared" si="36"/>
        <v>354967</v>
      </c>
      <c r="AX13" s="46">
        <f t="shared" si="37"/>
        <v>0</v>
      </c>
      <c r="AY13" s="46">
        <f t="shared" si="38"/>
        <v>109175</v>
      </c>
      <c r="AZ13" s="46">
        <f t="shared" si="39"/>
        <v>0</v>
      </c>
      <c r="BA13" s="46">
        <f t="shared" si="40"/>
        <v>64731</v>
      </c>
      <c r="BB13" s="46"/>
      <c r="BC13" s="46">
        <f t="shared" si="41"/>
        <v>173906</v>
      </c>
      <c r="BD13" s="46">
        <f t="shared" si="42"/>
        <v>64731</v>
      </c>
      <c r="BE13" s="46">
        <f t="shared" si="43"/>
        <v>211347</v>
      </c>
      <c r="BF13" s="46">
        <f t="shared" si="44"/>
        <v>7866</v>
      </c>
      <c r="BG13" s="46">
        <f t="shared" si="45"/>
        <v>0</v>
      </c>
      <c r="BH13" s="46">
        <v>0</v>
      </c>
      <c r="BI13" s="46">
        <f t="shared" si="46"/>
        <v>219213</v>
      </c>
      <c r="BJ13" s="46">
        <f t="shared" si="47"/>
        <v>64731</v>
      </c>
      <c r="BK13" s="46">
        <f t="shared" si="48"/>
        <v>445934</v>
      </c>
      <c r="BL13" s="46">
        <f t="shared" si="49"/>
        <v>0</v>
      </c>
      <c r="BM13" s="46">
        <f t="shared" si="50"/>
        <v>-64731</v>
      </c>
      <c r="BN13" s="46">
        <v>0</v>
      </c>
      <c r="BO13" s="46">
        <f t="shared" si="51"/>
        <v>381203</v>
      </c>
      <c r="BP13" s="46">
        <f t="shared" si="52"/>
        <v>0</v>
      </c>
      <c r="BQ13" s="46">
        <f t="shared" si="53"/>
        <v>165505</v>
      </c>
      <c r="BR13" s="46">
        <f t="shared" si="54"/>
        <v>0</v>
      </c>
      <c r="BS13" s="46">
        <f t="shared" si="55"/>
        <v>8401</v>
      </c>
      <c r="BT13" s="46">
        <v>0</v>
      </c>
      <c r="BU13" s="46">
        <f t="shared" si="56"/>
        <v>173906</v>
      </c>
      <c r="BV13" s="46">
        <f t="shared" si="57"/>
        <v>8401</v>
      </c>
      <c r="BW13" s="46">
        <f t="shared" si="58"/>
        <v>317154</v>
      </c>
      <c r="BX13" s="46">
        <f t="shared" si="59"/>
        <v>51699</v>
      </c>
      <c r="BY13" s="46">
        <f t="shared" si="60"/>
        <v>-8401</v>
      </c>
      <c r="BZ13" s="46">
        <v>0</v>
      </c>
      <c r="CA13" s="46">
        <f t="shared" si="61"/>
        <v>360452</v>
      </c>
      <c r="CB13" s="46">
        <f t="shared" si="62"/>
        <v>0</v>
      </c>
      <c r="CC13" s="155">
        <f t="shared" si="66"/>
        <v>0</v>
      </c>
      <c r="CD13" s="79" t="s">
        <v>538</v>
      </c>
      <c r="CE13" s="65">
        <f t="shared" si="67"/>
        <v>173906</v>
      </c>
      <c r="CF13" s="65">
        <f t="shared" si="68"/>
        <v>173906</v>
      </c>
      <c r="CG13" s="65">
        <f t="shared" si="69"/>
        <v>181674</v>
      </c>
      <c r="CH13" s="65">
        <f t="shared" si="70"/>
        <v>173906</v>
      </c>
      <c r="CI13" s="65">
        <f t="shared" si="71"/>
        <v>605371</v>
      </c>
      <c r="CJ13" s="65">
        <f t="shared" si="72"/>
        <v>179397</v>
      </c>
      <c r="CK13" s="65">
        <f t="shared" si="73"/>
        <v>354967</v>
      </c>
      <c r="CL13" s="65">
        <f t="shared" si="74"/>
        <v>173906</v>
      </c>
      <c r="CM13" s="65">
        <f t="shared" si="75"/>
        <v>219213</v>
      </c>
      <c r="CN13" s="65">
        <f t="shared" si="76"/>
        <v>381203</v>
      </c>
      <c r="CO13" s="65">
        <f t="shared" si="77"/>
        <v>173906</v>
      </c>
      <c r="CP13" s="65">
        <f t="shared" si="78"/>
        <v>360452</v>
      </c>
      <c r="CQ13" s="40" t="s">
        <v>538</v>
      </c>
    </row>
    <row r="14" spans="1:95" ht="3" customHeight="1" x14ac:dyDescent="0.25">
      <c r="A14" s="39">
        <v>1</v>
      </c>
      <c r="B14" s="28">
        <v>2101</v>
      </c>
      <c r="C14" s="28" t="s">
        <v>64</v>
      </c>
      <c r="D14" s="48">
        <f>+DATA!Q12</f>
        <v>15984806.787</v>
      </c>
      <c r="E14" s="48">
        <f t="shared" si="63"/>
        <v>1052333</v>
      </c>
      <c r="F14" s="48">
        <f t="shared" si="64"/>
        <v>1598481</v>
      </c>
      <c r="G14" s="49">
        <f>VLOOKUP(B14,'CALC MEC ESTAB Y ESTIM M FINAL'!$B$7:$F$352,5,0)</f>
        <v>6.6030988963000003E-3</v>
      </c>
      <c r="H14" s="49">
        <f>VLOOKUP(B14,'CALC MEC ESTAB Y ESTIM M FINAL'!$B$7:$R$352,17,0)</f>
        <v>1.0553906822000001E-3</v>
      </c>
      <c r="I14" s="46">
        <f t="shared" si="4"/>
        <v>631459</v>
      </c>
      <c r="J14" s="46">
        <f t="shared" si="5"/>
        <v>0</v>
      </c>
      <c r="K14" s="46">
        <f t="shared" si="65"/>
        <v>420874</v>
      </c>
      <c r="L14" s="46">
        <v>0</v>
      </c>
      <c r="M14" s="46">
        <f t="shared" si="6"/>
        <v>1052333</v>
      </c>
      <c r="N14" s="46">
        <f t="shared" si="7"/>
        <v>420874</v>
      </c>
      <c r="O14" s="46">
        <f t="shared" si="8"/>
        <v>335789</v>
      </c>
      <c r="P14" s="46">
        <f t="shared" si="9"/>
        <v>0</v>
      </c>
      <c r="Q14" s="46">
        <f t="shared" si="10"/>
        <v>716544</v>
      </c>
      <c r="R14" s="46">
        <v>0</v>
      </c>
      <c r="S14" s="46">
        <f t="shared" si="11"/>
        <v>1052333</v>
      </c>
      <c r="T14" s="46">
        <f t="shared" si="12"/>
        <v>1137418</v>
      </c>
      <c r="U14" s="46">
        <f t="shared" si="13"/>
        <v>957929</v>
      </c>
      <c r="V14" s="46">
        <f t="shared" si="14"/>
        <v>0</v>
      </c>
      <c r="W14" s="46">
        <f t="shared" si="15"/>
        <v>0</v>
      </c>
      <c r="X14" s="46">
        <v>0</v>
      </c>
      <c r="Y14" s="46">
        <f t="shared" si="16"/>
        <v>957929</v>
      </c>
      <c r="Z14" s="46">
        <f t="shared" si="17"/>
        <v>1137418</v>
      </c>
      <c r="AA14" s="46">
        <f t="shared" si="18"/>
        <v>508646</v>
      </c>
      <c r="AB14" s="46">
        <f t="shared" si="19"/>
        <v>0</v>
      </c>
      <c r="AC14" s="46">
        <f t="shared" si="20"/>
        <v>543687</v>
      </c>
      <c r="AD14" s="46">
        <v>0</v>
      </c>
      <c r="AE14" s="46">
        <f t="shared" si="21"/>
        <v>1052333</v>
      </c>
      <c r="AF14" s="46">
        <f t="shared" si="22"/>
        <v>1681105</v>
      </c>
      <c r="AG14" s="46">
        <f t="shared" si="23"/>
        <v>4426168</v>
      </c>
      <c r="AH14" s="46">
        <f t="shared" si="24"/>
        <v>40852</v>
      </c>
      <c r="AI14" s="46">
        <f t="shared" si="25"/>
        <v>-1681105</v>
      </c>
      <c r="AJ14" s="46">
        <v>0</v>
      </c>
      <c r="AK14" s="46">
        <f t="shared" si="26"/>
        <v>2785915</v>
      </c>
      <c r="AL14" s="46">
        <f t="shared" si="27"/>
        <v>0</v>
      </c>
      <c r="AM14" s="46">
        <f t="shared" si="28"/>
        <v>876711</v>
      </c>
      <c r="AN14" s="46">
        <f t="shared" si="29"/>
        <v>28952</v>
      </c>
      <c r="AO14" s="46">
        <f t="shared" si="30"/>
        <v>175622</v>
      </c>
      <c r="AP14" s="46">
        <v>0</v>
      </c>
      <c r="AQ14" s="46">
        <f t="shared" si="31"/>
        <v>1081285</v>
      </c>
      <c r="AR14" s="46">
        <f t="shared" si="32"/>
        <v>175622</v>
      </c>
      <c r="AS14" s="46">
        <f t="shared" si="33"/>
        <v>1742745</v>
      </c>
      <c r="AT14" s="46">
        <f t="shared" si="34"/>
        <v>169189</v>
      </c>
      <c r="AU14" s="46">
        <f t="shared" si="35"/>
        <v>-144264</v>
      </c>
      <c r="AV14" s="46">
        <v>0</v>
      </c>
      <c r="AW14" s="46">
        <f t="shared" si="36"/>
        <v>1767670</v>
      </c>
      <c r="AX14" s="46">
        <f t="shared" si="37"/>
        <v>31358</v>
      </c>
      <c r="AY14" s="46">
        <f t="shared" si="38"/>
        <v>575655</v>
      </c>
      <c r="AZ14" s="46">
        <f t="shared" si="39"/>
        <v>0</v>
      </c>
      <c r="BA14" s="46">
        <f t="shared" si="40"/>
        <v>476678</v>
      </c>
      <c r="BB14" s="46"/>
      <c r="BC14" s="46">
        <f t="shared" si="41"/>
        <v>1052333</v>
      </c>
      <c r="BD14" s="46">
        <f t="shared" si="42"/>
        <v>508036</v>
      </c>
      <c r="BE14" s="46">
        <f t="shared" si="43"/>
        <v>1114392</v>
      </c>
      <c r="BF14" s="46">
        <f t="shared" si="44"/>
        <v>41477</v>
      </c>
      <c r="BG14" s="46">
        <f t="shared" si="45"/>
        <v>0</v>
      </c>
      <c r="BH14" s="46">
        <v>0</v>
      </c>
      <c r="BI14" s="46">
        <f t="shared" si="46"/>
        <v>1155869</v>
      </c>
      <c r="BJ14" s="46">
        <f t="shared" si="47"/>
        <v>508036</v>
      </c>
      <c r="BK14" s="46">
        <f t="shared" si="48"/>
        <v>2351320</v>
      </c>
      <c r="BL14" s="46">
        <f t="shared" si="49"/>
        <v>0</v>
      </c>
      <c r="BM14" s="46">
        <f t="shared" si="50"/>
        <v>-508036</v>
      </c>
      <c r="BN14" s="46">
        <v>0</v>
      </c>
      <c r="BO14" s="46">
        <f t="shared" si="51"/>
        <v>1843284</v>
      </c>
      <c r="BP14" s="46">
        <f t="shared" si="52"/>
        <v>0</v>
      </c>
      <c r="BQ14" s="46">
        <f t="shared" si="53"/>
        <v>872675</v>
      </c>
      <c r="BR14" s="46">
        <f t="shared" si="54"/>
        <v>0</v>
      </c>
      <c r="BS14" s="46">
        <f t="shared" si="55"/>
        <v>179658</v>
      </c>
      <c r="BT14" s="46">
        <v>0</v>
      </c>
      <c r="BU14" s="46">
        <f t="shared" si="56"/>
        <v>1052333</v>
      </c>
      <c r="BV14" s="46">
        <f t="shared" si="57"/>
        <v>179658</v>
      </c>
      <c r="BW14" s="46">
        <f t="shared" si="58"/>
        <v>1672287</v>
      </c>
      <c r="BX14" s="46">
        <f t="shared" si="59"/>
        <v>272600</v>
      </c>
      <c r="BY14" s="46">
        <f t="shared" si="60"/>
        <v>-179658</v>
      </c>
      <c r="BZ14" s="46">
        <v>0</v>
      </c>
      <c r="CA14" s="46">
        <f t="shared" si="61"/>
        <v>1765229</v>
      </c>
      <c r="CB14" s="46">
        <f t="shared" si="62"/>
        <v>0</v>
      </c>
      <c r="CC14" s="155">
        <f t="shared" si="66"/>
        <v>0</v>
      </c>
      <c r="CD14" s="79" t="s">
        <v>538</v>
      </c>
      <c r="CE14" s="65">
        <f t="shared" si="67"/>
        <v>1052333</v>
      </c>
      <c r="CF14" s="65">
        <f t="shared" si="68"/>
        <v>1052333</v>
      </c>
      <c r="CG14" s="65">
        <f t="shared" si="69"/>
        <v>957929</v>
      </c>
      <c r="CH14" s="65">
        <f t="shared" si="70"/>
        <v>1052333</v>
      </c>
      <c r="CI14" s="65">
        <f t="shared" si="71"/>
        <v>2785915</v>
      </c>
      <c r="CJ14" s="65">
        <f t="shared" si="72"/>
        <v>1081285</v>
      </c>
      <c r="CK14" s="65">
        <f t="shared" si="73"/>
        <v>1767670</v>
      </c>
      <c r="CL14" s="65">
        <f t="shared" si="74"/>
        <v>1052333</v>
      </c>
      <c r="CM14" s="65">
        <f t="shared" si="75"/>
        <v>1155869</v>
      </c>
      <c r="CN14" s="65">
        <f t="shared" si="76"/>
        <v>1843284</v>
      </c>
      <c r="CO14" s="65">
        <f t="shared" si="77"/>
        <v>1052333</v>
      </c>
      <c r="CP14" s="65">
        <f t="shared" si="78"/>
        <v>1765229</v>
      </c>
      <c r="CQ14" s="40" t="s">
        <v>538</v>
      </c>
    </row>
    <row r="15" spans="1:95" ht="3" customHeight="1" x14ac:dyDescent="0.25">
      <c r="A15" s="39">
        <v>1</v>
      </c>
      <c r="B15" s="28">
        <v>2102</v>
      </c>
      <c r="C15" s="28" t="s">
        <v>66</v>
      </c>
      <c r="D15" s="48">
        <f>+DATA!Q13</f>
        <v>2139905.7560000001</v>
      </c>
      <c r="E15" s="48">
        <f t="shared" si="63"/>
        <v>140877</v>
      </c>
      <c r="F15" s="48">
        <f t="shared" si="64"/>
        <v>213991</v>
      </c>
      <c r="G15" s="49">
        <f>VLOOKUP(B15,'CALC MEC ESTAB Y ESTIM M FINAL'!$B$7:$F$352,5,0)</f>
        <v>1.1389251768E-3</v>
      </c>
      <c r="H15" s="49">
        <f>VLOOKUP(B15,'CALC MEC ESTAB Y ESTIM M FINAL'!$B$7:$R$352,17,0)</f>
        <v>-6.3317874299999996E-5</v>
      </c>
      <c r="I15" s="46">
        <f t="shared" si="4"/>
        <v>88686</v>
      </c>
      <c r="J15" s="46">
        <f t="shared" si="5"/>
        <v>0</v>
      </c>
      <c r="K15" s="46">
        <f t="shared" si="65"/>
        <v>52191</v>
      </c>
      <c r="L15" s="46">
        <v>0</v>
      </c>
      <c r="M15" s="46">
        <f t="shared" si="6"/>
        <v>140877</v>
      </c>
      <c r="N15" s="46">
        <f t="shared" si="7"/>
        <v>52191</v>
      </c>
      <c r="O15" s="46">
        <f t="shared" si="8"/>
        <v>47160</v>
      </c>
      <c r="P15" s="46">
        <f t="shared" si="9"/>
        <v>0</v>
      </c>
      <c r="Q15" s="46">
        <f t="shared" si="10"/>
        <v>93717</v>
      </c>
      <c r="R15" s="46">
        <v>0</v>
      </c>
      <c r="S15" s="46">
        <f t="shared" si="11"/>
        <v>140877</v>
      </c>
      <c r="T15" s="46">
        <f t="shared" si="12"/>
        <v>145908</v>
      </c>
      <c r="U15" s="46">
        <f t="shared" si="13"/>
        <v>134538</v>
      </c>
      <c r="V15" s="46">
        <f t="shared" si="14"/>
        <v>0</v>
      </c>
      <c r="W15" s="46">
        <f t="shared" si="15"/>
        <v>0</v>
      </c>
      <c r="X15" s="46">
        <v>0</v>
      </c>
      <c r="Y15" s="46">
        <f t="shared" si="16"/>
        <v>134538</v>
      </c>
      <c r="Z15" s="46">
        <f t="shared" si="17"/>
        <v>145908</v>
      </c>
      <c r="AA15" s="46">
        <f t="shared" si="18"/>
        <v>71437</v>
      </c>
      <c r="AB15" s="46">
        <f t="shared" si="19"/>
        <v>0</v>
      </c>
      <c r="AC15" s="46">
        <f t="shared" si="20"/>
        <v>69440</v>
      </c>
      <c r="AD15" s="46">
        <v>0</v>
      </c>
      <c r="AE15" s="46">
        <f t="shared" si="21"/>
        <v>140877</v>
      </c>
      <c r="AF15" s="46">
        <f t="shared" si="22"/>
        <v>215348</v>
      </c>
      <c r="AG15" s="46">
        <f t="shared" si="23"/>
        <v>621639</v>
      </c>
      <c r="AH15" s="46">
        <f t="shared" si="24"/>
        <v>5738</v>
      </c>
      <c r="AI15" s="46">
        <f t="shared" si="25"/>
        <v>-215348</v>
      </c>
      <c r="AJ15" s="46">
        <v>0</v>
      </c>
      <c r="AK15" s="46">
        <f t="shared" si="26"/>
        <v>412029</v>
      </c>
      <c r="AL15" s="46">
        <f t="shared" si="27"/>
        <v>0</v>
      </c>
      <c r="AM15" s="46">
        <f t="shared" si="28"/>
        <v>123131</v>
      </c>
      <c r="AN15" s="46">
        <f t="shared" si="29"/>
        <v>4066</v>
      </c>
      <c r="AO15" s="46">
        <f t="shared" si="30"/>
        <v>17746</v>
      </c>
      <c r="AP15" s="46">
        <v>0</v>
      </c>
      <c r="AQ15" s="46">
        <f t="shared" si="31"/>
        <v>144943</v>
      </c>
      <c r="AR15" s="46">
        <f t="shared" si="32"/>
        <v>17746</v>
      </c>
      <c r="AS15" s="46">
        <f t="shared" si="33"/>
        <v>244762</v>
      </c>
      <c r="AT15" s="46">
        <f t="shared" si="34"/>
        <v>23762</v>
      </c>
      <c r="AU15" s="46">
        <f t="shared" si="35"/>
        <v>-17746</v>
      </c>
      <c r="AV15" s="46">
        <v>0</v>
      </c>
      <c r="AW15" s="46">
        <f t="shared" si="36"/>
        <v>250778</v>
      </c>
      <c r="AX15" s="46">
        <f t="shared" si="37"/>
        <v>0</v>
      </c>
      <c r="AY15" s="46">
        <f t="shared" si="38"/>
        <v>80849</v>
      </c>
      <c r="AZ15" s="46">
        <f t="shared" si="39"/>
        <v>0</v>
      </c>
      <c r="BA15" s="46">
        <f t="shared" si="40"/>
        <v>60028</v>
      </c>
      <c r="BB15" s="46"/>
      <c r="BC15" s="46">
        <f t="shared" si="41"/>
        <v>140877</v>
      </c>
      <c r="BD15" s="46">
        <f t="shared" si="42"/>
        <v>60028</v>
      </c>
      <c r="BE15" s="46">
        <f t="shared" si="43"/>
        <v>156512</v>
      </c>
      <c r="BF15" s="46">
        <f t="shared" si="44"/>
        <v>5825</v>
      </c>
      <c r="BG15" s="46">
        <f t="shared" si="45"/>
        <v>0</v>
      </c>
      <c r="BH15" s="46">
        <v>0</v>
      </c>
      <c r="BI15" s="46">
        <f t="shared" si="46"/>
        <v>162337</v>
      </c>
      <c r="BJ15" s="46">
        <f t="shared" si="47"/>
        <v>60028</v>
      </c>
      <c r="BK15" s="46">
        <f t="shared" si="48"/>
        <v>330234</v>
      </c>
      <c r="BL15" s="46">
        <f t="shared" si="49"/>
        <v>0</v>
      </c>
      <c r="BM15" s="46">
        <f t="shared" si="50"/>
        <v>-60028</v>
      </c>
      <c r="BN15" s="46">
        <v>0</v>
      </c>
      <c r="BO15" s="46">
        <f t="shared" si="51"/>
        <v>270206</v>
      </c>
      <c r="BP15" s="46">
        <f t="shared" si="52"/>
        <v>0</v>
      </c>
      <c r="BQ15" s="46">
        <f t="shared" si="53"/>
        <v>122564</v>
      </c>
      <c r="BR15" s="46">
        <f t="shared" si="54"/>
        <v>0</v>
      </c>
      <c r="BS15" s="46">
        <f t="shared" si="55"/>
        <v>18313</v>
      </c>
      <c r="BT15" s="46">
        <v>0</v>
      </c>
      <c r="BU15" s="46">
        <f t="shared" si="56"/>
        <v>140877</v>
      </c>
      <c r="BV15" s="46">
        <f t="shared" si="57"/>
        <v>18313</v>
      </c>
      <c r="BW15" s="46">
        <f t="shared" si="58"/>
        <v>234867</v>
      </c>
      <c r="BX15" s="46">
        <f t="shared" si="59"/>
        <v>38286</v>
      </c>
      <c r="BY15" s="46">
        <f t="shared" si="60"/>
        <v>-18313</v>
      </c>
      <c r="BZ15" s="46">
        <v>0</v>
      </c>
      <c r="CA15" s="46">
        <f t="shared" si="61"/>
        <v>254840</v>
      </c>
      <c r="CB15" s="46">
        <f t="shared" si="62"/>
        <v>0</v>
      </c>
      <c r="CC15" s="155">
        <f t="shared" si="66"/>
        <v>0</v>
      </c>
      <c r="CD15" s="79" t="s">
        <v>538</v>
      </c>
      <c r="CE15" s="65">
        <f t="shared" si="67"/>
        <v>140877</v>
      </c>
      <c r="CF15" s="65">
        <f t="shared" si="68"/>
        <v>140877</v>
      </c>
      <c r="CG15" s="65">
        <f t="shared" si="69"/>
        <v>134538</v>
      </c>
      <c r="CH15" s="65">
        <f t="shared" si="70"/>
        <v>140877</v>
      </c>
      <c r="CI15" s="65">
        <f t="shared" si="71"/>
        <v>412029</v>
      </c>
      <c r="CJ15" s="65">
        <f t="shared" si="72"/>
        <v>144943</v>
      </c>
      <c r="CK15" s="65">
        <f t="shared" si="73"/>
        <v>250778</v>
      </c>
      <c r="CL15" s="65">
        <f t="shared" si="74"/>
        <v>140877</v>
      </c>
      <c r="CM15" s="65">
        <f t="shared" si="75"/>
        <v>162337</v>
      </c>
      <c r="CN15" s="65">
        <f t="shared" si="76"/>
        <v>270206</v>
      </c>
      <c r="CO15" s="65">
        <f t="shared" si="77"/>
        <v>140877</v>
      </c>
      <c r="CP15" s="65">
        <f t="shared" si="78"/>
        <v>254840</v>
      </c>
      <c r="CQ15" s="40" t="s">
        <v>538</v>
      </c>
    </row>
    <row r="16" spans="1:95" ht="3" customHeight="1" x14ac:dyDescent="0.25">
      <c r="A16" s="39">
        <v>1</v>
      </c>
      <c r="B16" s="28">
        <v>2103</v>
      </c>
      <c r="C16" s="28" t="s">
        <v>67</v>
      </c>
      <c r="D16" s="48">
        <f>+DATA!Q14</f>
        <v>1546442.727</v>
      </c>
      <c r="E16" s="48">
        <f t="shared" si="63"/>
        <v>101807</v>
      </c>
      <c r="F16" s="48">
        <f t="shared" si="64"/>
        <v>154644</v>
      </c>
      <c r="G16" s="49">
        <f>VLOOKUP(B16,'CALC MEC ESTAB Y ESTIM M FINAL'!$B$7:$F$352,5,0)</f>
        <v>7.8373893989999992E-4</v>
      </c>
      <c r="H16" s="49">
        <f>VLOOKUP(B16,'CALC MEC ESTAB Y ESTIM M FINAL'!$B$7:$R$352,17,0)</f>
        <v>-2.4311211399999998E-5</v>
      </c>
      <c r="I16" s="46">
        <f t="shared" si="4"/>
        <v>62616</v>
      </c>
      <c r="J16" s="46">
        <f t="shared" si="5"/>
        <v>0</v>
      </c>
      <c r="K16" s="46">
        <f t="shared" si="65"/>
        <v>39191</v>
      </c>
      <c r="L16" s="46">
        <v>0</v>
      </c>
      <c r="M16" s="46">
        <f t="shared" si="6"/>
        <v>101807</v>
      </c>
      <c r="N16" s="46">
        <f t="shared" si="7"/>
        <v>39191</v>
      </c>
      <c r="O16" s="46">
        <f t="shared" si="8"/>
        <v>33297</v>
      </c>
      <c r="P16" s="46">
        <f t="shared" si="9"/>
        <v>0</v>
      </c>
      <c r="Q16" s="46">
        <f t="shared" si="10"/>
        <v>68510</v>
      </c>
      <c r="R16" s="46">
        <v>0</v>
      </c>
      <c r="S16" s="46">
        <f t="shared" si="11"/>
        <v>101807</v>
      </c>
      <c r="T16" s="46">
        <f t="shared" si="12"/>
        <v>107701</v>
      </c>
      <c r="U16" s="46">
        <f t="shared" si="13"/>
        <v>94990</v>
      </c>
      <c r="V16" s="46">
        <f t="shared" si="14"/>
        <v>0</v>
      </c>
      <c r="W16" s="46">
        <f t="shared" si="15"/>
        <v>0</v>
      </c>
      <c r="X16" s="46">
        <v>0</v>
      </c>
      <c r="Y16" s="46">
        <f t="shared" si="16"/>
        <v>94990</v>
      </c>
      <c r="Z16" s="46">
        <f t="shared" si="17"/>
        <v>107701</v>
      </c>
      <c r="AA16" s="46">
        <f t="shared" si="18"/>
        <v>50438</v>
      </c>
      <c r="AB16" s="46">
        <f t="shared" si="19"/>
        <v>0</v>
      </c>
      <c r="AC16" s="46">
        <f t="shared" si="20"/>
        <v>51369</v>
      </c>
      <c r="AD16" s="46">
        <v>0</v>
      </c>
      <c r="AE16" s="46">
        <f t="shared" si="21"/>
        <v>101807</v>
      </c>
      <c r="AF16" s="46">
        <f t="shared" si="22"/>
        <v>159070</v>
      </c>
      <c r="AG16" s="46">
        <f t="shared" si="23"/>
        <v>438906</v>
      </c>
      <c r="AH16" s="46">
        <f t="shared" si="24"/>
        <v>4051</v>
      </c>
      <c r="AI16" s="46">
        <f t="shared" si="25"/>
        <v>-159070</v>
      </c>
      <c r="AJ16" s="46">
        <v>0</v>
      </c>
      <c r="AK16" s="46">
        <f t="shared" si="26"/>
        <v>283887</v>
      </c>
      <c r="AL16" s="46">
        <f t="shared" si="27"/>
        <v>0</v>
      </c>
      <c r="AM16" s="46">
        <f t="shared" si="28"/>
        <v>86936</v>
      </c>
      <c r="AN16" s="46">
        <f t="shared" si="29"/>
        <v>2871</v>
      </c>
      <c r="AO16" s="46">
        <f t="shared" si="30"/>
        <v>14871</v>
      </c>
      <c r="AP16" s="46">
        <v>0</v>
      </c>
      <c r="AQ16" s="46">
        <f t="shared" si="31"/>
        <v>104678</v>
      </c>
      <c r="AR16" s="46">
        <f t="shared" si="32"/>
        <v>14871</v>
      </c>
      <c r="AS16" s="46">
        <f t="shared" si="33"/>
        <v>172813</v>
      </c>
      <c r="AT16" s="46">
        <f t="shared" si="34"/>
        <v>16777</v>
      </c>
      <c r="AU16" s="46">
        <f t="shared" si="35"/>
        <v>-14871</v>
      </c>
      <c r="AV16" s="46">
        <v>0</v>
      </c>
      <c r="AW16" s="46">
        <f t="shared" si="36"/>
        <v>174719</v>
      </c>
      <c r="AX16" s="46">
        <f t="shared" si="37"/>
        <v>0</v>
      </c>
      <c r="AY16" s="46">
        <f t="shared" si="38"/>
        <v>57083</v>
      </c>
      <c r="AZ16" s="46">
        <f t="shared" si="39"/>
        <v>0</v>
      </c>
      <c r="BA16" s="46">
        <f t="shared" si="40"/>
        <v>44724</v>
      </c>
      <c r="BB16" s="46"/>
      <c r="BC16" s="46">
        <f t="shared" si="41"/>
        <v>101807</v>
      </c>
      <c r="BD16" s="46">
        <f t="shared" si="42"/>
        <v>44724</v>
      </c>
      <c r="BE16" s="46">
        <f t="shared" si="43"/>
        <v>110505</v>
      </c>
      <c r="BF16" s="46">
        <f t="shared" si="44"/>
        <v>4113</v>
      </c>
      <c r="BG16" s="46">
        <f t="shared" si="45"/>
        <v>0</v>
      </c>
      <c r="BH16" s="46">
        <v>0</v>
      </c>
      <c r="BI16" s="46">
        <f t="shared" si="46"/>
        <v>114618</v>
      </c>
      <c r="BJ16" s="46">
        <f t="shared" si="47"/>
        <v>44724</v>
      </c>
      <c r="BK16" s="46">
        <f t="shared" si="48"/>
        <v>233160</v>
      </c>
      <c r="BL16" s="46">
        <f t="shared" si="49"/>
        <v>0</v>
      </c>
      <c r="BM16" s="46">
        <f t="shared" si="50"/>
        <v>-44724</v>
      </c>
      <c r="BN16" s="46">
        <v>0</v>
      </c>
      <c r="BO16" s="46">
        <f t="shared" si="51"/>
        <v>188436</v>
      </c>
      <c r="BP16" s="46">
        <f t="shared" si="52"/>
        <v>0</v>
      </c>
      <c r="BQ16" s="46">
        <f t="shared" si="53"/>
        <v>86536</v>
      </c>
      <c r="BR16" s="46">
        <f t="shared" si="54"/>
        <v>0</v>
      </c>
      <c r="BS16" s="46">
        <f t="shared" si="55"/>
        <v>15271</v>
      </c>
      <c r="BT16" s="46">
        <v>0</v>
      </c>
      <c r="BU16" s="46">
        <f t="shared" si="56"/>
        <v>101807</v>
      </c>
      <c r="BV16" s="46">
        <f t="shared" si="57"/>
        <v>15271</v>
      </c>
      <c r="BW16" s="46">
        <f t="shared" si="58"/>
        <v>165827</v>
      </c>
      <c r="BX16" s="46">
        <f t="shared" si="59"/>
        <v>27031</v>
      </c>
      <c r="BY16" s="46">
        <f t="shared" si="60"/>
        <v>-15271</v>
      </c>
      <c r="BZ16" s="46">
        <v>0</v>
      </c>
      <c r="CA16" s="46">
        <f t="shared" si="61"/>
        <v>177587</v>
      </c>
      <c r="CB16" s="46">
        <f t="shared" si="62"/>
        <v>0</v>
      </c>
      <c r="CC16" s="155">
        <f t="shared" si="66"/>
        <v>0</v>
      </c>
      <c r="CD16" s="79" t="s">
        <v>538</v>
      </c>
      <c r="CE16" s="65">
        <f t="shared" si="67"/>
        <v>101807</v>
      </c>
      <c r="CF16" s="65">
        <f t="shared" si="68"/>
        <v>101807</v>
      </c>
      <c r="CG16" s="65">
        <f t="shared" si="69"/>
        <v>94990</v>
      </c>
      <c r="CH16" s="65">
        <f t="shared" si="70"/>
        <v>101807</v>
      </c>
      <c r="CI16" s="65">
        <f t="shared" si="71"/>
        <v>283887</v>
      </c>
      <c r="CJ16" s="65">
        <f t="shared" si="72"/>
        <v>104678</v>
      </c>
      <c r="CK16" s="65">
        <f t="shared" si="73"/>
        <v>174719</v>
      </c>
      <c r="CL16" s="65">
        <f t="shared" si="74"/>
        <v>101807</v>
      </c>
      <c r="CM16" s="65">
        <f t="shared" si="75"/>
        <v>114618</v>
      </c>
      <c r="CN16" s="65">
        <f t="shared" si="76"/>
        <v>188436</v>
      </c>
      <c r="CO16" s="65">
        <f t="shared" si="77"/>
        <v>101807</v>
      </c>
      <c r="CP16" s="65">
        <f t="shared" si="78"/>
        <v>177587</v>
      </c>
      <c r="CQ16" s="40" t="s">
        <v>538</v>
      </c>
    </row>
    <row r="17" spans="1:95" ht="3" customHeight="1" x14ac:dyDescent="0.25">
      <c r="A17" s="39">
        <v>1</v>
      </c>
      <c r="B17" s="28">
        <v>2104</v>
      </c>
      <c r="C17" s="28" t="s">
        <v>65</v>
      </c>
      <c r="D17" s="48">
        <f>+DATA!Q15</f>
        <v>2267500.8289999999</v>
      </c>
      <c r="E17" s="48">
        <f t="shared" si="63"/>
        <v>149277</v>
      </c>
      <c r="F17" s="48">
        <f t="shared" si="64"/>
        <v>226750</v>
      </c>
      <c r="G17" s="49">
        <f>VLOOKUP(B17,'CALC MEC ESTAB Y ESTIM M FINAL'!$B$7:$F$352,5,0)</f>
        <v>1.1521052167999999E-3</v>
      </c>
      <c r="H17" s="49">
        <f>VLOOKUP(B17,'CALC MEC ESTAB Y ESTIM M FINAL'!$B$7:$R$352,17,0)</f>
        <v>-3.6754306900000002E-5</v>
      </c>
      <c r="I17" s="46">
        <f t="shared" si="4"/>
        <v>91963</v>
      </c>
      <c r="J17" s="46">
        <f t="shared" si="5"/>
        <v>0</v>
      </c>
      <c r="K17" s="46">
        <f t="shared" si="65"/>
        <v>57314</v>
      </c>
      <c r="L17" s="46">
        <v>0</v>
      </c>
      <c r="M17" s="46">
        <f t="shared" si="6"/>
        <v>149277</v>
      </c>
      <c r="N17" s="46">
        <f t="shared" si="7"/>
        <v>57314</v>
      </c>
      <c r="O17" s="46">
        <f t="shared" si="8"/>
        <v>48903</v>
      </c>
      <c r="P17" s="46">
        <f t="shared" si="9"/>
        <v>0</v>
      </c>
      <c r="Q17" s="46">
        <f t="shared" si="10"/>
        <v>100374</v>
      </c>
      <c r="R17" s="46">
        <v>0</v>
      </c>
      <c r="S17" s="46">
        <f t="shared" si="11"/>
        <v>149277</v>
      </c>
      <c r="T17" s="46">
        <f t="shared" si="12"/>
        <v>157688</v>
      </c>
      <c r="U17" s="46">
        <f t="shared" si="13"/>
        <v>139509</v>
      </c>
      <c r="V17" s="46">
        <f t="shared" si="14"/>
        <v>0</v>
      </c>
      <c r="W17" s="46">
        <f t="shared" si="15"/>
        <v>0</v>
      </c>
      <c r="X17" s="46">
        <v>0</v>
      </c>
      <c r="Y17" s="46">
        <f t="shared" si="16"/>
        <v>139509</v>
      </c>
      <c r="Z17" s="46">
        <f t="shared" si="17"/>
        <v>157688</v>
      </c>
      <c r="AA17" s="46">
        <f t="shared" si="18"/>
        <v>74077</v>
      </c>
      <c r="AB17" s="46">
        <f t="shared" si="19"/>
        <v>0</v>
      </c>
      <c r="AC17" s="46">
        <f t="shared" si="20"/>
        <v>75200</v>
      </c>
      <c r="AD17" s="46">
        <v>0</v>
      </c>
      <c r="AE17" s="46">
        <f t="shared" si="21"/>
        <v>149277</v>
      </c>
      <c r="AF17" s="46">
        <f t="shared" si="22"/>
        <v>232888</v>
      </c>
      <c r="AG17" s="46">
        <f t="shared" si="23"/>
        <v>644609</v>
      </c>
      <c r="AH17" s="46">
        <f t="shared" si="24"/>
        <v>5950</v>
      </c>
      <c r="AI17" s="46">
        <f t="shared" si="25"/>
        <v>-232888</v>
      </c>
      <c r="AJ17" s="46">
        <v>0</v>
      </c>
      <c r="AK17" s="46">
        <f t="shared" si="26"/>
        <v>417671</v>
      </c>
      <c r="AL17" s="46">
        <f t="shared" si="27"/>
        <v>0</v>
      </c>
      <c r="AM17" s="46">
        <f t="shared" si="28"/>
        <v>127681</v>
      </c>
      <c r="AN17" s="46">
        <f t="shared" si="29"/>
        <v>4217</v>
      </c>
      <c r="AO17" s="46">
        <f t="shared" si="30"/>
        <v>21596</v>
      </c>
      <c r="AP17" s="46">
        <v>0</v>
      </c>
      <c r="AQ17" s="46">
        <f t="shared" si="31"/>
        <v>153494</v>
      </c>
      <c r="AR17" s="46">
        <f t="shared" si="32"/>
        <v>21596</v>
      </c>
      <c r="AS17" s="46">
        <f t="shared" si="33"/>
        <v>253806</v>
      </c>
      <c r="AT17" s="46">
        <f t="shared" si="34"/>
        <v>24640</v>
      </c>
      <c r="AU17" s="46">
        <f t="shared" si="35"/>
        <v>-21596</v>
      </c>
      <c r="AV17" s="46">
        <v>0</v>
      </c>
      <c r="AW17" s="46">
        <f t="shared" si="36"/>
        <v>256850</v>
      </c>
      <c r="AX17" s="46">
        <f t="shared" si="37"/>
        <v>0</v>
      </c>
      <c r="AY17" s="46">
        <f t="shared" si="38"/>
        <v>83836</v>
      </c>
      <c r="AZ17" s="46">
        <f t="shared" si="39"/>
        <v>0</v>
      </c>
      <c r="BA17" s="46">
        <f t="shared" si="40"/>
        <v>65441</v>
      </c>
      <c r="BB17" s="46"/>
      <c r="BC17" s="46">
        <f t="shared" si="41"/>
        <v>149277</v>
      </c>
      <c r="BD17" s="46">
        <f t="shared" si="42"/>
        <v>65441</v>
      </c>
      <c r="BE17" s="46">
        <f t="shared" si="43"/>
        <v>162295</v>
      </c>
      <c r="BF17" s="46">
        <f t="shared" si="44"/>
        <v>6040</v>
      </c>
      <c r="BG17" s="46">
        <f t="shared" si="45"/>
        <v>0</v>
      </c>
      <c r="BH17" s="46">
        <v>0</v>
      </c>
      <c r="BI17" s="46">
        <f t="shared" si="46"/>
        <v>168335</v>
      </c>
      <c r="BJ17" s="46">
        <f t="shared" si="47"/>
        <v>65441</v>
      </c>
      <c r="BK17" s="46">
        <f t="shared" si="48"/>
        <v>342437</v>
      </c>
      <c r="BL17" s="46">
        <f t="shared" si="49"/>
        <v>0</v>
      </c>
      <c r="BM17" s="46">
        <f t="shared" si="50"/>
        <v>-65441</v>
      </c>
      <c r="BN17" s="46">
        <v>0</v>
      </c>
      <c r="BO17" s="46">
        <f t="shared" si="51"/>
        <v>276996</v>
      </c>
      <c r="BP17" s="46">
        <f t="shared" si="52"/>
        <v>0</v>
      </c>
      <c r="BQ17" s="46">
        <f t="shared" si="53"/>
        <v>127093</v>
      </c>
      <c r="BR17" s="46">
        <f t="shared" si="54"/>
        <v>0</v>
      </c>
      <c r="BS17" s="46">
        <f t="shared" si="55"/>
        <v>22184</v>
      </c>
      <c r="BT17" s="46">
        <v>0</v>
      </c>
      <c r="BU17" s="46">
        <f t="shared" si="56"/>
        <v>149277</v>
      </c>
      <c r="BV17" s="46">
        <f t="shared" si="57"/>
        <v>22184</v>
      </c>
      <c r="BW17" s="46">
        <f t="shared" si="58"/>
        <v>243545</v>
      </c>
      <c r="BX17" s="46">
        <f t="shared" si="59"/>
        <v>39700</v>
      </c>
      <c r="BY17" s="46">
        <f t="shared" si="60"/>
        <v>-22184</v>
      </c>
      <c r="BZ17" s="46">
        <v>0</v>
      </c>
      <c r="CA17" s="46">
        <f t="shared" si="61"/>
        <v>261061</v>
      </c>
      <c r="CB17" s="46">
        <f t="shared" si="62"/>
        <v>0</v>
      </c>
      <c r="CC17" s="155">
        <f t="shared" si="66"/>
        <v>0</v>
      </c>
      <c r="CD17" s="79" t="s">
        <v>538</v>
      </c>
      <c r="CE17" s="65">
        <f t="shared" si="67"/>
        <v>149277</v>
      </c>
      <c r="CF17" s="65">
        <f t="shared" si="68"/>
        <v>149277</v>
      </c>
      <c r="CG17" s="65">
        <f t="shared" si="69"/>
        <v>139509</v>
      </c>
      <c r="CH17" s="65">
        <f t="shared" si="70"/>
        <v>149277</v>
      </c>
      <c r="CI17" s="65">
        <f t="shared" si="71"/>
        <v>417671</v>
      </c>
      <c r="CJ17" s="65">
        <f t="shared" si="72"/>
        <v>153494</v>
      </c>
      <c r="CK17" s="65">
        <f t="shared" si="73"/>
        <v>256850</v>
      </c>
      <c r="CL17" s="65">
        <f t="shared" si="74"/>
        <v>149277</v>
      </c>
      <c r="CM17" s="65">
        <f t="shared" si="75"/>
        <v>168335</v>
      </c>
      <c r="CN17" s="65">
        <f t="shared" si="76"/>
        <v>276996</v>
      </c>
      <c r="CO17" s="65">
        <f t="shared" si="77"/>
        <v>149277</v>
      </c>
      <c r="CP17" s="65">
        <f t="shared" si="78"/>
        <v>261061</v>
      </c>
      <c r="CQ17" s="40" t="s">
        <v>538</v>
      </c>
    </row>
    <row r="18" spans="1:95" ht="3" customHeight="1" x14ac:dyDescent="0.25">
      <c r="A18" s="39">
        <v>1</v>
      </c>
      <c r="B18" s="28">
        <v>2201</v>
      </c>
      <c r="C18" s="28" t="s">
        <v>68</v>
      </c>
      <c r="D18" s="48">
        <f>+DATA!Q16</f>
        <v>10298830.237</v>
      </c>
      <c r="E18" s="48">
        <f t="shared" si="63"/>
        <v>678006</v>
      </c>
      <c r="F18" s="48">
        <f t="shared" si="64"/>
        <v>1029883</v>
      </c>
      <c r="G18" s="49">
        <f>VLOOKUP(B18,'CALC MEC ESTAB Y ESTIM M FINAL'!$B$7:$F$352,5,0)</f>
        <v>5.5304684913E-3</v>
      </c>
      <c r="H18" s="49">
        <f>VLOOKUP(B18,'CALC MEC ESTAB Y ESTIM M FINAL'!$B$7:$R$352,17,0)</f>
        <v>-3.282239021E-4</v>
      </c>
      <c r="I18" s="46">
        <f t="shared" si="4"/>
        <v>428936</v>
      </c>
      <c r="J18" s="46">
        <f t="shared" si="5"/>
        <v>0</v>
      </c>
      <c r="K18" s="46">
        <f t="shared" si="65"/>
        <v>249070</v>
      </c>
      <c r="L18" s="46">
        <v>0</v>
      </c>
      <c r="M18" s="46">
        <f t="shared" si="6"/>
        <v>678006</v>
      </c>
      <c r="N18" s="46">
        <f t="shared" si="7"/>
        <v>249070</v>
      </c>
      <c r="O18" s="46">
        <f t="shared" si="8"/>
        <v>228094</v>
      </c>
      <c r="P18" s="46">
        <f t="shared" si="9"/>
        <v>0</v>
      </c>
      <c r="Q18" s="46">
        <f t="shared" si="10"/>
        <v>449912</v>
      </c>
      <c r="R18" s="46">
        <v>0</v>
      </c>
      <c r="S18" s="46">
        <f t="shared" si="11"/>
        <v>678006</v>
      </c>
      <c r="T18" s="46">
        <f t="shared" si="12"/>
        <v>698982</v>
      </c>
      <c r="U18" s="46">
        <f t="shared" si="13"/>
        <v>650700</v>
      </c>
      <c r="V18" s="46">
        <f t="shared" si="14"/>
        <v>0</v>
      </c>
      <c r="W18" s="46">
        <f t="shared" si="15"/>
        <v>0</v>
      </c>
      <c r="X18" s="46">
        <v>0</v>
      </c>
      <c r="Y18" s="46">
        <f t="shared" si="16"/>
        <v>650700</v>
      </c>
      <c r="Z18" s="46">
        <f t="shared" si="17"/>
        <v>698982</v>
      </c>
      <c r="AA18" s="46">
        <f t="shared" si="18"/>
        <v>345512</v>
      </c>
      <c r="AB18" s="46">
        <f t="shared" si="19"/>
        <v>0</v>
      </c>
      <c r="AC18" s="46">
        <f t="shared" si="20"/>
        <v>332494</v>
      </c>
      <c r="AD18" s="46">
        <v>0</v>
      </c>
      <c r="AE18" s="46">
        <f t="shared" si="21"/>
        <v>678006</v>
      </c>
      <c r="AF18" s="46">
        <f t="shared" si="22"/>
        <v>1031476</v>
      </c>
      <c r="AG18" s="46">
        <f t="shared" si="23"/>
        <v>3006599</v>
      </c>
      <c r="AH18" s="46">
        <f t="shared" si="24"/>
        <v>27750</v>
      </c>
      <c r="AI18" s="46">
        <f t="shared" si="25"/>
        <v>-1031476</v>
      </c>
      <c r="AJ18" s="46">
        <v>0</v>
      </c>
      <c r="AK18" s="46">
        <f t="shared" si="26"/>
        <v>2002873</v>
      </c>
      <c r="AL18" s="46">
        <f t="shared" si="27"/>
        <v>0</v>
      </c>
      <c r="AM18" s="46">
        <f t="shared" si="28"/>
        <v>595530</v>
      </c>
      <c r="AN18" s="46">
        <f t="shared" si="29"/>
        <v>19667</v>
      </c>
      <c r="AO18" s="46">
        <f t="shared" si="30"/>
        <v>82476</v>
      </c>
      <c r="AP18" s="46">
        <v>0</v>
      </c>
      <c r="AQ18" s="46">
        <f t="shared" si="31"/>
        <v>697673</v>
      </c>
      <c r="AR18" s="46">
        <f t="shared" si="32"/>
        <v>82476</v>
      </c>
      <c r="AS18" s="46">
        <f t="shared" si="33"/>
        <v>1183809</v>
      </c>
      <c r="AT18" s="46">
        <f t="shared" si="34"/>
        <v>114926</v>
      </c>
      <c r="AU18" s="46">
        <f t="shared" si="35"/>
        <v>-82476</v>
      </c>
      <c r="AV18" s="46">
        <v>0</v>
      </c>
      <c r="AW18" s="46">
        <f t="shared" si="36"/>
        <v>1216259</v>
      </c>
      <c r="AX18" s="46">
        <f t="shared" si="37"/>
        <v>0</v>
      </c>
      <c r="AY18" s="46">
        <f t="shared" si="38"/>
        <v>391030</v>
      </c>
      <c r="AZ18" s="46">
        <f t="shared" si="39"/>
        <v>0</v>
      </c>
      <c r="BA18" s="46">
        <f t="shared" si="40"/>
        <v>286976</v>
      </c>
      <c r="BB18" s="46"/>
      <c r="BC18" s="46">
        <f t="shared" si="41"/>
        <v>678006</v>
      </c>
      <c r="BD18" s="46">
        <f t="shared" si="42"/>
        <v>286976</v>
      </c>
      <c r="BE18" s="46">
        <f t="shared" si="43"/>
        <v>756982</v>
      </c>
      <c r="BF18" s="46">
        <f t="shared" si="44"/>
        <v>28174</v>
      </c>
      <c r="BG18" s="46">
        <f t="shared" si="45"/>
        <v>0</v>
      </c>
      <c r="BH18" s="46">
        <v>0</v>
      </c>
      <c r="BI18" s="46">
        <f t="shared" si="46"/>
        <v>785156</v>
      </c>
      <c r="BJ18" s="46">
        <f t="shared" si="47"/>
        <v>286976</v>
      </c>
      <c r="BK18" s="46">
        <f t="shared" si="48"/>
        <v>1597200</v>
      </c>
      <c r="BL18" s="46">
        <f t="shared" si="49"/>
        <v>0</v>
      </c>
      <c r="BM18" s="46">
        <f t="shared" si="50"/>
        <v>-286976</v>
      </c>
      <c r="BN18" s="46">
        <v>0</v>
      </c>
      <c r="BO18" s="46">
        <f t="shared" si="51"/>
        <v>1310224</v>
      </c>
      <c r="BP18" s="46">
        <f t="shared" si="52"/>
        <v>0</v>
      </c>
      <c r="BQ18" s="46">
        <f t="shared" si="53"/>
        <v>592789</v>
      </c>
      <c r="BR18" s="46">
        <f t="shared" si="54"/>
        <v>0</v>
      </c>
      <c r="BS18" s="46">
        <f t="shared" si="55"/>
        <v>85217</v>
      </c>
      <c r="BT18" s="46">
        <v>0</v>
      </c>
      <c r="BU18" s="46">
        <f t="shared" si="56"/>
        <v>678006</v>
      </c>
      <c r="BV18" s="46">
        <f t="shared" si="57"/>
        <v>85217</v>
      </c>
      <c r="BW18" s="46">
        <f t="shared" si="58"/>
        <v>1135948</v>
      </c>
      <c r="BX18" s="46">
        <f t="shared" si="59"/>
        <v>185171</v>
      </c>
      <c r="BY18" s="46">
        <f t="shared" si="60"/>
        <v>-85217</v>
      </c>
      <c r="BZ18" s="46">
        <v>0</v>
      </c>
      <c r="CA18" s="46">
        <f t="shared" si="61"/>
        <v>1235902</v>
      </c>
      <c r="CB18" s="46">
        <f t="shared" si="62"/>
        <v>0</v>
      </c>
      <c r="CC18" s="155">
        <f t="shared" si="66"/>
        <v>0</v>
      </c>
      <c r="CD18" s="79" t="s">
        <v>538</v>
      </c>
      <c r="CE18" s="65">
        <f t="shared" si="67"/>
        <v>678006</v>
      </c>
      <c r="CF18" s="65">
        <f t="shared" si="68"/>
        <v>678006</v>
      </c>
      <c r="CG18" s="65">
        <f t="shared" si="69"/>
        <v>650700</v>
      </c>
      <c r="CH18" s="65">
        <f t="shared" si="70"/>
        <v>678006</v>
      </c>
      <c r="CI18" s="65">
        <f t="shared" si="71"/>
        <v>2002873</v>
      </c>
      <c r="CJ18" s="65">
        <f t="shared" si="72"/>
        <v>697673</v>
      </c>
      <c r="CK18" s="65">
        <f t="shared" si="73"/>
        <v>1216259</v>
      </c>
      <c r="CL18" s="65">
        <f t="shared" si="74"/>
        <v>678006</v>
      </c>
      <c r="CM18" s="65">
        <f t="shared" si="75"/>
        <v>785156</v>
      </c>
      <c r="CN18" s="65">
        <f t="shared" si="76"/>
        <v>1310224</v>
      </c>
      <c r="CO18" s="65">
        <f t="shared" si="77"/>
        <v>678006</v>
      </c>
      <c r="CP18" s="65">
        <f t="shared" si="78"/>
        <v>1235902</v>
      </c>
      <c r="CQ18" s="40" t="s">
        <v>538</v>
      </c>
    </row>
    <row r="19" spans="1:95" ht="3" customHeight="1" x14ac:dyDescent="0.25">
      <c r="A19" s="39">
        <v>1</v>
      </c>
      <c r="B19" s="28">
        <v>2202</v>
      </c>
      <c r="C19" s="28" t="s">
        <v>27</v>
      </c>
      <c r="D19" s="48">
        <f>+DATA!Q17</f>
        <v>1613132.375</v>
      </c>
      <c r="E19" s="48">
        <f t="shared" si="63"/>
        <v>106198</v>
      </c>
      <c r="F19" s="48">
        <f t="shared" si="64"/>
        <v>161313</v>
      </c>
      <c r="G19" s="49">
        <f>VLOOKUP(B19,'CALC MEC ESTAB Y ESTIM M FINAL'!$B$7:$F$352,5,0)</f>
        <v>7.3792099869999996E-4</v>
      </c>
      <c r="H19" s="49">
        <f>VLOOKUP(B19,'CALC MEC ESTAB Y ESTIM M FINAL'!$B$7:$R$352,17,0)</f>
        <v>3.3319226199999999E-5</v>
      </c>
      <c r="I19" s="46">
        <f t="shared" si="4"/>
        <v>63590</v>
      </c>
      <c r="J19" s="46">
        <f t="shared" si="5"/>
        <v>0</v>
      </c>
      <c r="K19" s="46">
        <f t="shared" si="65"/>
        <v>42608</v>
      </c>
      <c r="L19" s="46">
        <v>0</v>
      </c>
      <c r="M19" s="46">
        <f t="shared" si="6"/>
        <v>106198</v>
      </c>
      <c r="N19" s="46">
        <f t="shared" si="7"/>
        <v>42608</v>
      </c>
      <c r="O19" s="46">
        <f t="shared" si="8"/>
        <v>33815</v>
      </c>
      <c r="P19" s="46">
        <f t="shared" si="9"/>
        <v>0</v>
      </c>
      <c r="Q19" s="46">
        <f t="shared" si="10"/>
        <v>72383</v>
      </c>
      <c r="R19" s="46">
        <v>0</v>
      </c>
      <c r="S19" s="46">
        <f t="shared" si="11"/>
        <v>106198</v>
      </c>
      <c r="T19" s="46">
        <f t="shared" si="12"/>
        <v>114991</v>
      </c>
      <c r="U19" s="46">
        <f t="shared" si="13"/>
        <v>96467</v>
      </c>
      <c r="V19" s="46">
        <f t="shared" si="14"/>
        <v>0</v>
      </c>
      <c r="W19" s="46">
        <f t="shared" si="15"/>
        <v>0</v>
      </c>
      <c r="X19" s="46">
        <v>0</v>
      </c>
      <c r="Y19" s="46">
        <f t="shared" si="16"/>
        <v>96467</v>
      </c>
      <c r="Z19" s="46">
        <f t="shared" si="17"/>
        <v>114991</v>
      </c>
      <c r="AA19" s="46">
        <f t="shared" si="18"/>
        <v>51223</v>
      </c>
      <c r="AB19" s="46">
        <f t="shared" si="19"/>
        <v>0</v>
      </c>
      <c r="AC19" s="46">
        <f t="shared" si="20"/>
        <v>54975</v>
      </c>
      <c r="AD19" s="46">
        <v>0</v>
      </c>
      <c r="AE19" s="46">
        <f t="shared" si="21"/>
        <v>106198</v>
      </c>
      <c r="AF19" s="46">
        <f t="shared" si="22"/>
        <v>169966</v>
      </c>
      <c r="AG19" s="46">
        <f t="shared" si="23"/>
        <v>445733</v>
      </c>
      <c r="AH19" s="46">
        <f t="shared" si="24"/>
        <v>4114</v>
      </c>
      <c r="AI19" s="46">
        <f t="shared" si="25"/>
        <v>-169966</v>
      </c>
      <c r="AJ19" s="46">
        <v>0</v>
      </c>
      <c r="AK19" s="46">
        <f t="shared" si="26"/>
        <v>279881</v>
      </c>
      <c r="AL19" s="46">
        <f t="shared" si="27"/>
        <v>0</v>
      </c>
      <c r="AM19" s="46">
        <f t="shared" si="28"/>
        <v>88288</v>
      </c>
      <c r="AN19" s="46">
        <f t="shared" si="29"/>
        <v>2916</v>
      </c>
      <c r="AO19" s="46">
        <f t="shared" si="30"/>
        <v>17910</v>
      </c>
      <c r="AP19" s="46">
        <v>0</v>
      </c>
      <c r="AQ19" s="46">
        <f t="shared" si="31"/>
        <v>109114</v>
      </c>
      <c r="AR19" s="46">
        <f t="shared" si="32"/>
        <v>17910</v>
      </c>
      <c r="AS19" s="46">
        <f t="shared" si="33"/>
        <v>175501</v>
      </c>
      <c r="AT19" s="46">
        <f t="shared" si="34"/>
        <v>17038</v>
      </c>
      <c r="AU19" s="46">
        <f t="shared" si="35"/>
        <v>-14188</v>
      </c>
      <c r="AV19" s="46">
        <v>0</v>
      </c>
      <c r="AW19" s="46">
        <f t="shared" si="36"/>
        <v>178351</v>
      </c>
      <c r="AX19" s="46">
        <f t="shared" si="37"/>
        <v>3722</v>
      </c>
      <c r="AY19" s="46">
        <f t="shared" si="38"/>
        <v>57971</v>
      </c>
      <c r="AZ19" s="46">
        <f t="shared" si="39"/>
        <v>0</v>
      </c>
      <c r="BA19" s="46">
        <f t="shared" si="40"/>
        <v>48227</v>
      </c>
      <c r="BB19" s="46"/>
      <c r="BC19" s="46">
        <f t="shared" si="41"/>
        <v>106198</v>
      </c>
      <c r="BD19" s="46">
        <f t="shared" si="42"/>
        <v>51949</v>
      </c>
      <c r="BE19" s="46">
        <f t="shared" si="43"/>
        <v>112224</v>
      </c>
      <c r="BF19" s="46">
        <f t="shared" si="44"/>
        <v>4177</v>
      </c>
      <c r="BG19" s="46">
        <f t="shared" si="45"/>
        <v>0</v>
      </c>
      <c r="BH19" s="46">
        <v>0</v>
      </c>
      <c r="BI19" s="46">
        <f t="shared" si="46"/>
        <v>116401</v>
      </c>
      <c r="BJ19" s="46">
        <f t="shared" si="47"/>
        <v>51949</v>
      </c>
      <c r="BK19" s="46">
        <f t="shared" si="48"/>
        <v>236787</v>
      </c>
      <c r="BL19" s="46">
        <f t="shared" si="49"/>
        <v>0</v>
      </c>
      <c r="BM19" s="46">
        <f t="shared" si="50"/>
        <v>-51949</v>
      </c>
      <c r="BN19" s="46">
        <v>0</v>
      </c>
      <c r="BO19" s="46">
        <f t="shared" si="51"/>
        <v>184838</v>
      </c>
      <c r="BP19" s="46">
        <f t="shared" si="52"/>
        <v>0</v>
      </c>
      <c r="BQ19" s="46">
        <f t="shared" si="53"/>
        <v>87882</v>
      </c>
      <c r="BR19" s="46">
        <f t="shared" si="54"/>
        <v>0</v>
      </c>
      <c r="BS19" s="46">
        <f t="shared" si="55"/>
        <v>18316</v>
      </c>
      <c r="BT19" s="46">
        <v>0</v>
      </c>
      <c r="BU19" s="46">
        <f t="shared" si="56"/>
        <v>106198</v>
      </c>
      <c r="BV19" s="46">
        <f t="shared" si="57"/>
        <v>18316</v>
      </c>
      <c r="BW19" s="46">
        <f t="shared" si="58"/>
        <v>168406</v>
      </c>
      <c r="BX19" s="46">
        <f t="shared" si="59"/>
        <v>27452</v>
      </c>
      <c r="BY19" s="46">
        <f t="shared" si="60"/>
        <v>-18316</v>
      </c>
      <c r="BZ19" s="46">
        <v>0</v>
      </c>
      <c r="CA19" s="46">
        <f t="shared" si="61"/>
        <v>177542</v>
      </c>
      <c r="CB19" s="46">
        <f t="shared" si="62"/>
        <v>0</v>
      </c>
      <c r="CC19" s="155">
        <f t="shared" si="66"/>
        <v>0</v>
      </c>
      <c r="CD19" s="79" t="s">
        <v>538</v>
      </c>
      <c r="CE19" s="65">
        <f t="shared" si="67"/>
        <v>106198</v>
      </c>
      <c r="CF19" s="65">
        <f t="shared" si="68"/>
        <v>106198</v>
      </c>
      <c r="CG19" s="65">
        <f t="shared" si="69"/>
        <v>96467</v>
      </c>
      <c r="CH19" s="65">
        <f t="shared" si="70"/>
        <v>106198</v>
      </c>
      <c r="CI19" s="65">
        <f t="shared" si="71"/>
        <v>279881</v>
      </c>
      <c r="CJ19" s="65">
        <f t="shared" si="72"/>
        <v>109114</v>
      </c>
      <c r="CK19" s="65">
        <f t="shared" si="73"/>
        <v>178351</v>
      </c>
      <c r="CL19" s="65">
        <f t="shared" si="74"/>
        <v>106198</v>
      </c>
      <c r="CM19" s="65">
        <f t="shared" si="75"/>
        <v>116401</v>
      </c>
      <c r="CN19" s="65">
        <f t="shared" si="76"/>
        <v>184838</v>
      </c>
      <c r="CO19" s="65">
        <f t="shared" si="77"/>
        <v>106198</v>
      </c>
      <c r="CP19" s="65">
        <f t="shared" si="78"/>
        <v>177542</v>
      </c>
      <c r="CQ19" s="40" t="s">
        <v>538</v>
      </c>
    </row>
    <row r="20" spans="1:95" ht="3" customHeight="1" x14ac:dyDescent="0.25">
      <c r="A20" s="39">
        <v>1</v>
      </c>
      <c r="B20" s="28">
        <v>2203</v>
      </c>
      <c r="C20" s="28" t="s">
        <v>69</v>
      </c>
      <c r="D20" s="48">
        <f>+DATA!Q18</f>
        <v>5705758.7259999998</v>
      </c>
      <c r="E20" s="48">
        <f t="shared" si="63"/>
        <v>375629</v>
      </c>
      <c r="F20" s="48">
        <f t="shared" si="64"/>
        <v>570576</v>
      </c>
      <c r="G20" s="49">
        <f>VLOOKUP(B20,'CALC MEC ESTAB Y ESTIM M FINAL'!$B$7:$F$352,5,0)</f>
        <v>2.257144319E-3</v>
      </c>
      <c r="H20" s="49">
        <f>VLOOKUP(B20,'CALC MEC ESTAB Y ESTIM M FINAL'!$B$7:$R$352,17,0)</f>
        <v>4.6901641119999999E-4</v>
      </c>
      <c r="I20" s="46">
        <f t="shared" si="4"/>
        <v>224778</v>
      </c>
      <c r="J20" s="46">
        <f t="shared" si="5"/>
        <v>0</v>
      </c>
      <c r="K20" s="46">
        <f t="shared" si="65"/>
        <v>150851</v>
      </c>
      <c r="L20" s="46">
        <v>0</v>
      </c>
      <c r="M20" s="46">
        <f t="shared" si="6"/>
        <v>375629</v>
      </c>
      <c r="N20" s="46">
        <f t="shared" si="7"/>
        <v>150851</v>
      </c>
      <c r="O20" s="46">
        <f t="shared" si="8"/>
        <v>119529</v>
      </c>
      <c r="P20" s="46">
        <f t="shared" si="9"/>
        <v>0</v>
      </c>
      <c r="Q20" s="46">
        <f t="shared" si="10"/>
        <v>256100</v>
      </c>
      <c r="R20" s="46">
        <v>0</v>
      </c>
      <c r="S20" s="46">
        <f t="shared" si="11"/>
        <v>375629</v>
      </c>
      <c r="T20" s="46">
        <f t="shared" si="12"/>
        <v>406951</v>
      </c>
      <c r="U20" s="46">
        <f t="shared" si="13"/>
        <v>340990</v>
      </c>
      <c r="V20" s="46">
        <f t="shared" si="14"/>
        <v>0</v>
      </c>
      <c r="W20" s="46">
        <f t="shared" si="15"/>
        <v>0</v>
      </c>
      <c r="X20" s="46">
        <v>0</v>
      </c>
      <c r="Y20" s="46">
        <f t="shared" si="16"/>
        <v>340990</v>
      </c>
      <c r="Z20" s="46">
        <f t="shared" si="17"/>
        <v>406951</v>
      </c>
      <c r="AA20" s="46">
        <f t="shared" si="18"/>
        <v>181060</v>
      </c>
      <c r="AB20" s="46">
        <f t="shared" si="19"/>
        <v>0</v>
      </c>
      <c r="AC20" s="46">
        <f t="shared" si="20"/>
        <v>194569</v>
      </c>
      <c r="AD20" s="46">
        <v>0</v>
      </c>
      <c r="AE20" s="46">
        <f t="shared" si="21"/>
        <v>375629</v>
      </c>
      <c r="AF20" s="46">
        <f t="shared" si="22"/>
        <v>601520</v>
      </c>
      <c r="AG20" s="46">
        <f t="shared" si="23"/>
        <v>1575565</v>
      </c>
      <c r="AH20" s="46">
        <f t="shared" si="24"/>
        <v>14542</v>
      </c>
      <c r="AI20" s="46">
        <f t="shared" si="25"/>
        <v>-601520</v>
      </c>
      <c r="AJ20" s="46">
        <v>0</v>
      </c>
      <c r="AK20" s="46">
        <f t="shared" si="26"/>
        <v>988587</v>
      </c>
      <c r="AL20" s="46">
        <f t="shared" si="27"/>
        <v>0</v>
      </c>
      <c r="AM20" s="46">
        <f t="shared" si="28"/>
        <v>312079</v>
      </c>
      <c r="AN20" s="46">
        <f t="shared" si="29"/>
        <v>10306</v>
      </c>
      <c r="AO20" s="46">
        <f t="shared" si="30"/>
        <v>63550</v>
      </c>
      <c r="AP20" s="46">
        <v>0</v>
      </c>
      <c r="AQ20" s="46">
        <f t="shared" si="31"/>
        <v>385935</v>
      </c>
      <c r="AR20" s="46">
        <f t="shared" si="32"/>
        <v>63550</v>
      </c>
      <c r="AS20" s="46">
        <f t="shared" si="33"/>
        <v>620358</v>
      </c>
      <c r="AT20" s="46">
        <f t="shared" si="34"/>
        <v>60225</v>
      </c>
      <c r="AU20" s="46">
        <f t="shared" si="35"/>
        <v>-49782</v>
      </c>
      <c r="AV20" s="46">
        <v>0</v>
      </c>
      <c r="AW20" s="46">
        <f t="shared" si="36"/>
        <v>630801</v>
      </c>
      <c r="AX20" s="46">
        <f t="shared" si="37"/>
        <v>13768</v>
      </c>
      <c r="AY20" s="46">
        <f t="shared" si="38"/>
        <v>204914</v>
      </c>
      <c r="AZ20" s="46">
        <f t="shared" si="39"/>
        <v>0</v>
      </c>
      <c r="BA20" s="46">
        <f t="shared" si="40"/>
        <v>170715</v>
      </c>
      <c r="BB20" s="46"/>
      <c r="BC20" s="46">
        <f t="shared" si="41"/>
        <v>375629</v>
      </c>
      <c r="BD20" s="46">
        <f t="shared" si="42"/>
        <v>184483</v>
      </c>
      <c r="BE20" s="46">
        <f t="shared" si="43"/>
        <v>396686</v>
      </c>
      <c r="BF20" s="46">
        <f t="shared" si="44"/>
        <v>14764</v>
      </c>
      <c r="BG20" s="46">
        <f t="shared" si="45"/>
        <v>0</v>
      </c>
      <c r="BH20" s="46">
        <v>0</v>
      </c>
      <c r="BI20" s="46">
        <f t="shared" si="46"/>
        <v>411450</v>
      </c>
      <c r="BJ20" s="46">
        <f t="shared" si="47"/>
        <v>184483</v>
      </c>
      <c r="BK20" s="46">
        <f t="shared" si="48"/>
        <v>836989</v>
      </c>
      <c r="BL20" s="46">
        <f t="shared" si="49"/>
        <v>0</v>
      </c>
      <c r="BM20" s="46">
        <f t="shared" si="50"/>
        <v>-184483</v>
      </c>
      <c r="BN20" s="46">
        <v>0</v>
      </c>
      <c r="BO20" s="46">
        <f t="shared" si="51"/>
        <v>652506</v>
      </c>
      <c r="BP20" s="46">
        <f t="shared" si="52"/>
        <v>0</v>
      </c>
      <c r="BQ20" s="46">
        <f t="shared" si="53"/>
        <v>310643</v>
      </c>
      <c r="BR20" s="46">
        <f t="shared" si="54"/>
        <v>0</v>
      </c>
      <c r="BS20" s="46">
        <f t="shared" si="55"/>
        <v>64986</v>
      </c>
      <c r="BT20" s="46">
        <v>0</v>
      </c>
      <c r="BU20" s="46">
        <f t="shared" si="56"/>
        <v>375629</v>
      </c>
      <c r="BV20" s="46">
        <f t="shared" si="57"/>
        <v>64986</v>
      </c>
      <c r="BW20" s="46">
        <f t="shared" si="58"/>
        <v>595277</v>
      </c>
      <c r="BX20" s="46">
        <f t="shared" si="59"/>
        <v>97036</v>
      </c>
      <c r="BY20" s="46">
        <f t="shared" si="60"/>
        <v>-64986</v>
      </c>
      <c r="BZ20" s="46">
        <v>0</v>
      </c>
      <c r="CA20" s="46">
        <f t="shared" si="61"/>
        <v>627327</v>
      </c>
      <c r="CB20" s="46">
        <f t="shared" si="62"/>
        <v>0</v>
      </c>
      <c r="CC20" s="155">
        <f t="shared" si="66"/>
        <v>0</v>
      </c>
      <c r="CD20" s="79" t="s">
        <v>538</v>
      </c>
      <c r="CE20" s="65">
        <f t="shared" si="67"/>
        <v>375629</v>
      </c>
      <c r="CF20" s="65">
        <f t="shared" si="68"/>
        <v>375629</v>
      </c>
      <c r="CG20" s="65">
        <f t="shared" si="69"/>
        <v>340990</v>
      </c>
      <c r="CH20" s="65">
        <f t="shared" si="70"/>
        <v>375629</v>
      </c>
      <c r="CI20" s="65">
        <f t="shared" si="71"/>
        <v>988587</v>
      </c>
      <c r="CJ20" s="65">
        <f t="shared" si="72"/>
        <v>385935</v>
      </c>
      <c r="CK20" s="65">
        <f t="shared" si="73"/>
        <v>630801</v>
      </c>
      <c r="CL20" s="65">
        <f t="shared" si="74"/>
        <v>375629</v>
      </c>
      <c r="CM20" s="65">
        <f t="shared" si="75"/>
        <v>411450</v>
      </c>
      <c r="CN20" s="65">
        <f t="shared" si="76"/>
        <v>652506</v>
      </c>
      <c r="CO20" s="65">
        <f t="shared" si="77"/>
        <v>375629</v>
      </c>
      <c r="CP20" s="65">
        <f t="shared" si="78"/>
        <v>627327</v>
      </c>
      <c r="CQ20" s="40" t="s">
        <v>538</v>
      </c>
    </row>
    <row r="21" spans="1:95" ht="3" customHeight="1" x14ac:dyDescent="0.25">
      <c r="A21" s="39">
        <v>1</v>
      </c>
      <c r="B21" s="28">
        <v>2301</v>
      </c>
      <c r="C21" s="28" t="s">
        <v>63</v>
      </c>
      <c r="D21" s="48">
        <f>+DATA!Q19</f>
        <v>4544654.335</v>
      </c>
      <c r="E21" s="48">
        <f t="shared" si="63"/>
        <v>299190</v>
      </c>
      <c r="F21" s="48">
        <f t="shared" si="64"/>
        <v>454465</v>
      </c>
      <c r="G21" s="49">
        <f>VLOOKUP(B21,'CALC MEC ESTAB Y ESTIM M FINAL'!$B$7:$F$352,5,0)</f>
        <v>2.5825681232E-3</v>
      </c>
      <c r="H21" s="49">
        <f>VLOOKUP(B21,'CALC MEC ESTAB Y ESTIM M FINAL'!$B$7:$R$352,17,0)</f>
        <v>-2.2213064079999999E-4</v>
      </c>
      <c r="I21" s="46">
        <f t="shared" si="4"/>
        <v>194623</v>
      </c>
      <c r="J21" s="46">
        <f t="shared" si="5"/>
        <v>0</v>
      </c>
      <c r="K21" s="46">
        <f t="shared" si="65"/>
        <v>104567</v>
      </c>
      <c r="L21" s="46">
        <v>0</v>
      </c>
      <c r="M21" s="46">
        <f t="shared" si="6"/>
        <v>299190</v>
      </c>
      <c r="N21" s="46">
        <f t="shared" si="7"/>
        <v>104567</v>
      </c>
      <c r="O21" s="46">
        <f t="shared" si="8"/>
        <v>103494</v>
      </c>
      <c r="P21" s="46">
        <f t="shared" si="9"/>
        <v>0</v>
      </c>
      <c r="Q21" s="46">
        <f t="shared" si="10"/>
        <v>195696</v>
      </c>
      <c r="R21" s="46">
        <v>0</v>
      </c>
      <c r="S21" s="46">
        <f t="shared" si="11"/>
        <v>299190</v>
      </c>
      <c r="T21" s="46">
        <f t="shared" si="12"/>
        <v>300263</v>
      </c>
      <c r="U21" s="46">
        <f t="shared" si="13"/>
        <v>295245</v>
      </c>
      <c r="V21" s="46">
        <f t="shared" si="14"/>
        <v>0</v>
      </c>
      <c r="W21" s="46">
        <f t="shared" si="15"/>
        <v>0</v>
      </c>
      <c r="X21" s="46">
        <v>0</v>
      </c>
      <c r="Y21" s="46">
        <f t="shared" si="16"/>
        <v>295245</v>
      </c>
      <c r="Z21" s="46">
        <f t="shared" si="17"/>
        <v>300263</v>
      </c>
      <c r="AA21" s="46">
        <f t="shared" si="18"/>
        <v>156771</v>
      </c>
      <c r="AB21" s="46">
        <f t="shared" si="19"/>
        <v>0</v>
      </c>
      <c r="AC21" s="46">
        <f t="shared" si="20"/>
        <v>142419</v>
      </c>
      <c r="AD21" s="46">
        <v>0</v>
      </c>
      <c r="AE21" s="46">
        <f t="shared" si="21"/>
        <v>299190</v>
      </c>
      <c r="AF21" s="46">
        <f t="shared" si="22"/>
        <v>442682</v>
      </c>
      <c r="AG21" s="46">
        <f t="shared" si="23"/>
        <v>1364197</v>
      </c>
      <c r="AH21" s="46">
        <f t="shared" si="24"/>
        <v>12591</v>
      </c>
      <c r="AI21" s="46">
        <f t="shared" si="25"/>
        <v>-442682</v>
      </c>
      <c r="AJ21" s="46">
        <v>0</v>
      </c>
      <c r="AK21" s="46">
        <f t="shared" si="26"/>
        <v>934106</v>
      </c>
      <c r="AL21" s="46">
        <f t="shared" si="27"/>
        <v>0</v>
      </c>
      <c r="AM21" s="46">
        <f t="shared" si="28"/>
        <v>270213</v>
      </c>
      <c r="AN21" s="46">
        <f t="shared" si="29"/>
        <v>8923</v>
      </c>
      <c r="AO21" s="46">
        <f t="shared" si="30"/>
        <v>28977</v>
      </c>
      <c r="AP21" s="46">
        <v>0</v>
      </c>
      <c r="AQ21" s="46">
        <f t="shared" si="31"/>
        <v>308113</v>
      </c>
      <c r="AR21" s="46">
        <f t="shared" si="32"/>
        <v>28977</v>
      </c>
      <c r="AS21" s="46">
        <f t="shared" si="33"/>
        <v>537135</v>
      </c>
      <c r="AT21" s="46">
        <f t="shared" si="34"/>
        <v>52146</v>
      </c>
      <c r="AU21" s="46">
        <f t="shared" si="35"/>
        <v>-28977</v>
      </c>
      <c r="AV21" s="46">
        <v>0</v>
      </c>
      <c r="AW21" s="46">
        <f t="shared" si="36"/>
        <v>560304</v>
      </c>
      <c r="AX21" s="46">
        <f t="shared" si="37"/>
        <v>0</v>
      </c>
      <c r="AY21" s="46">
        <f t="shared" si="38"/>
        <v>177424</v>
      </c>
      <c r="AZ21" s="46">
        <f t="shared" si="39"/>
        <v>0</v>
      </c>
      <c r="BA21" s="46">
        <f t="shared" si="40"/>
        <v>121766</v>
      </c>
      <c r="BB21" s="46"/>
      <c r="BC21" s="46">
        <f t="shared" si="41"/>
        <v>299190</v>
      </c>
      <c r="BD21" s="46">
        <f t="shared" si="42"/>
        <v>121766</v>
      </c>
      <c r="BE21" s="46">
        <f t="shared" si="43"/>
        <v>343469</v>
      </c>
      <c r="BF21" s="46">
        <f t="shared" si="44"/>
        <v>12784</v>
      </c>
      <c r="BG21" s="46">
        <f t="shared" si="45"/>
        <v>0</v>
      </c>
      <c r="BH21" s="46">
        <v>0</v>
      </c>
      <c r="BI21" s="46">
        <f t="shared" si="46"/>
        <v>356253</v>
      </c>
      <c r="BJ21" s="46">
        <f t="shared" si="47"/>
        <v>121766</v>
      </c>
      <c r="BK21" s="46">
        <f t="shared" si="48"/>
        <v>724705</v>
      </c>
      <c r="BL21" s="46">
        <f t="shared" si="49"/>
        <v>0</v>
      </c>
      <c r="BM21" s="46">
        <f t="shared" si="50"/>
        <v>-121766</v>
      </c>
      <c r="BN21" s="46">
        <v>0</v>
      </c>
      <c r="BO21" s="46">
        <f t="shared" si="51"/>
        <v>602939</v>
      </c>
      <c r="BP21" s="46">
        <f t="shared" si="52"/>
        <v>0</v>
      </c>
      <c r="BQ21" s="46">
        <f t="shared" si="53"/>
        <v>268969</v>
      </c>
      <c r="BR21" s="46">
        <f t="shared" si="54"/>
        <v>0</v>
      </c>
      <c r="BS21" s="46">
        <f t="shared" si="55"/>
        <v>30221</v>
      </c>
      <c r="BT21" s="46">
        <v>0</v>
      </c>
      <c r="BU21" s="46">
        <f t="shared" si="56"/>
        <v>299190</v>
      </c>
      <c r="BV21" s="46">
        <f t="shared" si="57"/>
        <v>30221</v>
      </c>
      <c r="BW21" s="46">
        <f t="shared" si="58"/>
        <v>515419</v>
      </c>
      <c r="BX21" s="46">
        <f t="shared" si="59"/>
        <v>84019</v>
      </c>
      <c r="BY21" s="46">
        <f t="shared" si="60"/>
        <v>-30221</v>
      </c>
      <c r="BZ21" s="46">
        <v>0</v>
      </c>
      <c r="CA21" s="46">
        <f t="shared" si="61"/>
        <v>569217</v>
      </c>
      <c r="CB21" s="46">
        <f t="shared" si="62"/>
        <v>0</v>
      </c>
      <c r="CC21" s="155">
        <f t="shared" si="66"/>
        <v>0</v>
      </c>
      <c r="CD21" s="79" t="s">
        <v>538</v>
      </c>
      <c r="CE21" s="65">
        <f t="shared" si="67"/>
        <v>299190</v>
      </c>
      <c r="CF21" s="65">
        <f t="shared" si="68"/>
        <v>299190</v>
      </c>
      <c r="CG21" s="65">
        <f t="shared" si="69"/>
        <v>295245</v>
      </c>
      <c r="CH21" s="65">
        <f t="shared" si="70"/>
        <v>299190</v>
      </c>
      <c r="CI21" s="65">
        <f t="shared" si="71"/>
        <v>934106</v>
      </c>
      <c r="CJ21" s="65">
        <f t="shared" si="72"/>
        <v>308113</v>
      </c>
      <c r="CK21" s="65">
        <f t="shared" si="73"/>
        <v>560304</v>
      </c>
      <c r="CL21" s="65">
        <f t="shared" si="74"/>
        <v>299190</v>
      </c>
      <c r="CM21" s="65">
        <f t="shared" si="75"/>
        <v>356253</v>
      </c>
      <c r="CN21" s="65">
        <f t="shared" si="76"/>
        <v>602939</v>
      </c>
      <c r="CO21" s="65">
        <f t="shared" si="77"/>
        <v>299190</v>
      </c>
      <c r="CP21" s="65">
        <f t="shared" si="78"/>
        <v>569217</v>
      </c>
      <c r="CQ21" s="40" t="s">
        <v>538</v>
      </c>
    </row>
    <row r="22" spans="1:95" ht="3" customHeight="1" x14ac:dyDescent="0.25">
      <c r="A22" s="39">
        <v>1</v>
      </c>
      <c r="B22" s="28">
        <v>2302</v>
      </c>
      <c r="C22" s="28" t="s">
        <v>374</v>
      </c>
      <c r="D22" s="48">
        <f>+DATA!Q20</f>
        <v>1508526.4669999999</v>
      </c>
      <c r="E22" s="48">
        <f t="shared" si="63"/>
        <v>99311</v>
      </c>
      <c r="F22" s="48">
        <f t="shared" si="64"/>
        <v>150853</v>
      </c>
      <c r="G22" s="49">
        <f>VLOOKUP(B22,'CALC MEC ESTAB Y ESTIM M FINAL'!$B$7:$F$352,5,0)</f>
        <v>7.8278413350000003E-4</v>
      </c>
      <c r="H22" s="49">
        <f>VLOOKUP(B22,'CALC MEC ESTAB Y ESTIM M FINAL'!$B$7:$R$352,17,0)</f>
        <v>-3.3932608299999998E-5</v>
      </c>
      <c r="I22" s="46">
        <f t="shared" si="4"/>
        <v>61744</v>
      </c>
      <c r="J22" s="46">
        <f t="shared" si="5"/>
        <v>0</v>
      </c>
      <c r="K22" s="46">
        <f t="shared" si="65"/>
        <v>37567</v>
      </c>
      <c r="L22" s="46">
        <v>0</v>
      </c>
      <c r="M22" s="46">
        <f t="shared" si="6"/>
        <v>99311</v>
      </c>
      <c r="N22" s="46">
        <f t="shared" si="7"/>
        <v>37567</v>
      </c>
      <c r="O22" s="46">
        <f t="shared" si="8"/>
        <v>32834</v>
      </c>
      <c r="P22" s="46">
        <f t="shared" si="9"/>
        <v>0</v>
      </c>
      <c r="Q22" s="46">
        <f t="shared" si="10"/>
        <v>66477</v>
      </c>
      <c r="R22" s="46">
        <v>0</v>
      </c>
      <c r="S22" s="46">
        <f t="shared" si="11"/>
        <v>99311</v>
      </c>
      <c r="T22" s="46">
        <f t="shared" si="12"/>
        <v>104044</v>
      </c>
      <c r="U22" s="46">
        <f t="shared" si="13"/>
        <v>93667</v>
      </c>
      <c r="V22" s="46">
        <f t="shared" si="14"/>
        <v>0</v>
      </c>
      <c r="W22" s="46">
        <f t="shared" si="15"/>
        <v>0</v>
      </c>
      <c r="X22" s="46">
        <v>0</v>
      </c>
      <c r="Y22" s="46">
        <f t="shared" si="16"/>
        <v>93667</v>
      </c>
      <c r="Z22" s="46">
        <f t="shared" si="17"/>
        <v>104044</v>
      </c>
      <c r="AA22" s="46">
        <f t="shared" si="18"/>
        <v>49736</v>
      </c>
      <c r="AB22" s="46">
        <f t="shared" si="19"/>
        <v>0</v>
      </c>
      <c r="AC22" s="46">
        <f t="shared" si="20"/>
        <v>49575</v>
      </c>
      <c r="AD22" s="46">
        <v>0</v>
      </c>
      <c r="AE22" s="46">
        <f t="shared" si="21"/>
        <v>99311</v>
      </c>
      <c r="AF22" s="46">
        <f t="shared" si="22"/>
        <v>153619</v>
      </c>
      <c r="AG22" s="46">
        <f t="shared" si="23"/>
        <v>432793</v>
      </c>
      <c r="AH22" s="46">
        <f t="shared" si="24"/>
        <v>3995</v>
      </c>
      <c r="AI22" s="46">
        <f t="shared" si="25"/>
        <v>-153619</v>
      </c>
      <c r="AJ22" s="46">
        <v>0</v>
      </c>
      <c r="AK22" s="46">
        <f t="shared" si="26"/>
        <v>283169</v>
      </c>
      <c r="AL22" s="46">
        <f t="shared" si="27"/>
        <v>0</v>
      </c>
      <c r="AM22" s="46">
        <f t="shared" si="28"/>
        <v>85725</v>
      </c>
      <c r="AN22" s="46">
        <f t="shared" si="29"/>
        <v>2831</v>
      </c>
      <c r="AO22" s="46">
        <f t="shared" si="30"/>
        <v>13586</v>
      </c>
      <c r="AP22" s="46">
        <v>0</v>
      </c>
      <c r="AQ22" s="46">
        <f t="shared" si="31"/>
        <v>102142</v>
      </c>
      <c r="AR22" s="46">
        <f t="shared" si="32"/>
        <v>13586</v>
      </c>
      <c r="AS22" s="46">
        <f t="shared" si="33"/>
        <v>170407</v>
      </c>
      <c r="AT22" s="46">
        <f t="shared" si="34"/>
        <v>16543</v>
      </c>
      <c r="AU22" s="46">
        <f t="shared" si="35"/>
        <v>-13586</v>
      </c>
      <c r="AV22" s="46">
        <v>0</v>
      </c>
      <c r="AW22" s="46">
        <f t="shared" si="36"/>
        <v>173364</v>
      </c>
      <c r="AX22" s="46">
        <f t="shared" si="37"/>
        <v>0</v>
      </c>
      <c r="AY22" s="46">
        <f t="shared" si="38"/>
        <v>56288</v>
      </c>
      <c r="AZ22" s="46">
        <f t="shared" si="39"/>
        <v>0</v>
      </c>
      <c r="BA22" s="46">
        <f t="shared" si="40"/>
        <v>43023</v>
      </c>
      <c r="BB22" s="46"/>
      <c r="BC22" s="46">
        <f t="shared" si="41"/>
        <v>99311</v>
      </c>
      <c r="BD22" s="46">
        <f t="shared" si="42"/>
        <v>43023</v>
      </c>
      <c r="BE22" s="46">
        <f t="shared" si="43"/>
        <v>108966</v>
      </c>
      <c r="BF22" s="46">
        <f t="shared" si="44"/>
        <v>4056</v>
      </c>
      <c r="BG22" s="46">
        <f t="shared" si="45"/>
        <v>0</v>
      </c>
      <c r="BH22" s="46">
        <v>0</v>
      </c>
      <c r="BI22" s="46">
        <f t="shared" si="46"/>
        <v>113022</v>
      </c>
      <c r="BJ22" s="46">
        <f t="shared" si="47"/>
        <v>43023</v>
      </c>
      <c r="BK22" s="46">
        <f t="shared" si="48"/>
        <v>229913</v>
      </c>
      <c r="BL22" s="46">
        <f t="shared" si="49"/>
        <v>0</v>
      </c>
      <c r="BM22" s="46">
        <f t="shared" si="50"/>
        <v>-43023</v>
      </c>
      <c r="BN22" s="46">
        <v>0</v>
      </c>
      <c r="BO22" s="46">
        <f t="shared" si="51"/>
        <v>186890</v>
      </c>
      <c r="BP22" s="46">
        <f t="shared" si="52"/>
        <v>0</v>
      </c>
      <c r="BQ22" s="46">
        <f t="shared" si="53"/>
        <v>85331</v>
      </c>
      <c r="BR22" s="46">
        <f t="shared" si="54"/>
        <v>0</v>
      </c>
      <c r="BS22" s="46">
        <f t="shared" si="55"/>
        <v>13980</v>
      </c>
      <c r="BT22" s="46">
        <v>0</v>
      </c>
      <c r="BU22" s="46">
        <f t="shared" si="56"/>
        <v>99311</v>
      </c>
      <c r="BV22" s="46">
        <f t="shared" si="57"/>
        <v>13980</v>
      </c>
      <c r="BW22" s="46">
        <f t="shared" si="58"/>
        <v>163517</v>
      </c>
      <c r="BX22" s="46">
        <f t="shared" si="59"/>
        <v>26655</v>
      </c>
      <c r="BY22" s="46">
        <f t="shared" si="60"/>
        <v>-13980</v>
      </c>
      <c r="BZ22" s="46">
        <v>0</v>
      </c>
      <c r="CA22" s="46">
        <f t="shared" si="61"/>
        <v>176192</v>
      </c>
      <c r="CB22" s="46">
        <f t="shared" si="62"/>
        <v>0</v>
      </c>
      <c r="CC22" s="155">
        <f t="shared" si="66"/>
        <v>0</v>
      </c>
      <c r="CD22" s="79" t="s">
        <v>538</v>
      </c>
      <c r="CE22" s="65">
        <f t="shared" si="67"/>
        <v>99311</v>
      </c>
      <c r="CF22" s="65">
        <f t="shared" si="68"/>
        <v>99311</v>
      </c>
      <c r="CG22" s="65">
        <f t="shared" si="69"/>
        <v>93667</v>
      </c>
      <c r="CH22" s="65">
        <f t="shared" si="70"/>
        <v>99311</v>
      </c>
      <c r="CI22" s="65">
        <f t="shared" si="71"/>
        <v>283169</v>
      </c>
      <c r="CJ22" s="65">
        <f t="shared" si="72"/>
        <v>102142</v>
      </c>
      <c r="CK22" s="65">
        <f t="shared" si="73"/>
        <v>173364</v>
      </c>
      <c r="CL22" s="65">
        <f t="shared" si="74"/>
        <v>99311</v>
      </c>
      <c r="CM22" s="65">
        <f t="shared" si="75"/>
        <v>113022</v>
      </c>
      <c r="CN22" s="65">
        <f t="shared" si="76"/>
        <v>186890</v>
      </c>
      <c r="CO22" s="65">
        <f t="shared" si="77"/>
        <v>99311</v>
      </c>
      <c r="CP22" s="65">
        <f t="shared" si="78"/>
        <v>176192</v>
      </c>
      <c r="CQ22" s="40" t="s">
        <v>538</v>
      </c>
    </row>
    <row r="23" spans="1:95" ht="3" customHeight="1" x14ac:dyDescent="0.25">
      <c r="A23" s="39">
        <v>1</v>
      </c>
      <c r="B23" s="28">
        <v>3101</v>
      </c>
      <c r="C23" s="28" t="s">
        <v>375</v>
      </c>
      <c r="D23" s="48">
        <f>+DATA!Q21</f>
        <v>12255380.461999999</v>
      </c>
      <c r="E23" s="48">
        <f t="shared" si="63"/>
        <v>806813</v>
      </c>
      <c r="F23" s="48">
        <f t="shared" si="64"/>
        <v>1225538</v>
      </c>
      <c r="G23" s="49">
        <f>VLOOKUP(B23,'CALC MEC ESTAB Y ESTIM M FINAL'!$B$7:$F$352,5,0)</f>
        <v>4.7529314079000004E-3</v>
      </c>
      <c r="H23" s="49">
        <f>VLOOKUP(B23,'CALC MEC ESTAB Y ESTIM M FINAL'!$B$7:$R$352,17,0)</f>
        <v>1.1072181233000001E-3</v>
      </c>
      <c r="I23" s="46">
        <f t="shared" si="4"/>
        <v>483182</v>
      </c>
      <c r="J23" s="46">
        <f t="shared" si="5"/>
        <v>0</v>
      </c>
      <c r="K23" s="46">
        <f t="shared" si="65"/>
        <v>323631</v>
      </c>
      <c r="L23" s="46">
        <v>0</v>
      </c>
      <c r="M23" s="46">
        <f t="shared" si="6"/>
        <v>806813</v>
      </c>
      <c r="N23" s="46">
        <f t="shared" si="7"/>
        <v>323631</v>
      </c>
      <c r="O23" s="46">
        <f t="shared" si="8"/>
        <v>256940</v>
      </c>
      <c r="P23" s="46">
        <f t="shared" si="9"/>
        <v>0</v>
      </c>
      <c r="Q23" s="46">
        <f t="shared" si="10"/>
        <v>549873</v>
      </c>
      <c r="R23" s="46">
        <v>0</v>
      </c>
      <c r="S23" s="46">
        <f t="shared" si="11"/>
        <v>806813</v>
      </c>
      <c r="T23" s="46">
        <f t="shared" si="12"/>
        <v>873504</v>
      </c>
      <c r="U23" s="46">
        <f t="shared" si="13"/>
        <v>732992</v>
      </c>
      <c r="V23" s="46">
        <f t="shared" si="14"/>
        <v>0</v>
      </c>
      <c r="W23" s="46">
        <f t="shared" si="15"/>
        <v>0</v>
      </c>
      <c r="X23" s="46">
        <v>0</v>
      </c>
      <c r="Y23" s="46">
        <f t="shared" si="16"/>
        <v>732992</v>
      </c>
      <c r="Z23" s="46">
        <f t="shared" si="17"/>
        <v>873504</v>
      </c>
      <c r="AA23" s="46">
        <f t="shared" si="18"/>
        <v>389207</v>
      </c>
      <c r="AB23" s="46">
        <f t="shared" si="19"/>
        <v>0</v>
      </c>
      <c r="AC23" s="46">
        <f t="shared" si="20"/>
        <v>417606</v>
      </c>
      <c r="AD23" s="46">
        <v>0</v>
      </c>
      <c r="AE23" s="46">
        <f t="shared" si="21"/>
        <v>806813</v>
      </c>
      <c r="AF23" s="46">
        <f t="shared" si="22"/>
        <v>1291110</v>
      </c>
      <c r="AG23" s="46">
        <f t="shared" si="23"/>
        <v>3386830</v>
      </c>
      <c r="AH23" s="46">
        <f t="shared" si="24"/>
        <v>31260</v>
      </c>
      <c r="AI23" s="46">
        <f t="shared" si="25"/>
        <v>-1291110</v>
      </c>
      <c r="AJ23" s="46">
        <v>0</v>
      </c>
      <c r="AK23" s="46">
        <f t="shared" si="26"/>
        <v>2126980</v>
      </c>
      <c r="AL23" s="46">
        <f t="shared" si="27"/>
        <v>0</v>
      </c>
      <c r="AM23" s="46">
        <f t="shared" si="28"/>
        <v>670845</v>
      </c>
      <c r="AN23" s="46">
        <f t="shared" si="29"/>
        <v>22154</v>
      </c>
      <c r="AO23" s="46">
        <f t="shared" si="30"/>
        <v>135968</v>
      </c>
      <c r="AP23" s="46">
        <v>0</v>
      </c>
      <c r="AQ23" s="46">
        <f t="shared" si="31"/>
        <v>828967</v>
      </c>
      <c r="AR23" s="46">
        <f t="shared" si="32"/>
        <v>135968</v>
      </c>
      <c r="AS23" s="46">
        <f t="shared" si="33"/>
        <v>1333520</v>
      </c>
      <c r="AT23" s="46">
        <f t="shared" si="34"/>
        <v>129461</v>
      </c>
      <c r="AU23" s="46">
        <f t="shared" si="35"/>
        <v>-107982</v>
      </c>
      <c r="AV23" s="46">
        <v>0</v>
      </c>
      <c r="AW23" s="46">
        <f t="shared" si="36"/>
        <v>1354999</v>
      </c>
      <c r="AX23" s="46">
        <f t="shared" si="37"/>
        <v>27986</v>
      </c>
      <c r="AY23" s="46">
        <f t="shared" si="38"/>
        <v>440482</v>
      </c>
      <c r="AZ23" s="46">
        <f t="shared" si="39"/>
        <v>0</v>
      </c>
      <c r="BA23" s="46">
        <f t="shared" si="40"/>
        <v>366331</v>
      </c>
      <c r="BB23" s="46"/>
      <c r="BC23" s="46">
        <f t="shared" si="41"/>
        <v>806813</v>
      </c>
      <c r="BD23" s="46">
        <f t="shared" si="42"/>
        <v>394317</v>
      </c>
      <c r="BE23" s="46">
        <f t="shared" si="43"/>
        <v>852714</v>
      </c>
      <c r="BF23" s="46">
        <f t="shared" si="44"/>
        <v>31737</v>
      </c>
      <c r="BG23" s="46">
        <f t="shared" si="45"/>
        <v>0</v>
      </c>
      <c r="BH23" s="46">
        <v>0</v>
      </c>
      <c r="BI23" s="46">
        <f t="shared" si="46"/>
        <v>884451</v>
      </c>
      <c r="BJ23" s="46">
        <f t="shared" si="47"/>
        <v>394317</v>
      </c>
      <c r="BK23" s="46">
        <f t="shared" si="48"/>
        <v>1799191</v>
      </c>
      <c r="BL23" s="46">
        <f t="shared" si="49"/>
        <v>0</v>
      </c>
      <c r="BM23" s="46">
        <f t="shared" si="50"/>
        <v>-394317</v>
      </c>
      <c r="BN23" s="46">
        <v>0</v>
      </c>
      <c r="BO23" s="46">
        <f t="shared" si="51"/>
        <v>1404874</v>
      </c>
      <c r="BP23" s="46">
        <f t="shared" si="52"/>
        <v>0</v>
      </c>
      <c r="BQ23" s="46">
        <f t="shared" si="53"/>
        <v>667757</v>
      </c>
      <c r="BR23" s="46">
        <f t="shared" si="54"/>
        <v>0</v>
      </c>
      <c r="BS23" s="46">
        <f t="shared" si="55"/>
        <v>139056</v>
      </c>
      <c r="BT23" s="46">
        <v>0</v>
      </c>
      <c r="BU23" s="46">
        <f t="shared" si="56"/>
        <v>806813</v>
      </c>
      <c r="BV23" s="46">
        <f t="shared" si="57"/>
        <v>139056</v>
      </c>
      <c r="BW23" s="46">
        <f t="shared" si="58"/>
        <v>1279606</v>
      </c>
      <c r="BX23" s="46">
        <f t="shared" si="59"/>
        <v>208589</v>
      </c>
      <c r="BY23" s="46">
        <f t="shared" si="60"/>
        <v>-139056</v>
      </c>
      <c r="BZ23" s="46">
        <v>0</v>
      </c>
      <c r="CA23" s="46">
        <f t="shared" si="61"/>
        <v>1349139</v>
      </c>
      <c r="CB23" s="46">
        <f t="shared" si="62"/>
        <v>0</v>
      </c>
      <c r="CC23" s="155">
        <f t="shared" si="66"/>
        <v>0</v>
      </c>
      <c r="CD23" s="79" t="s">
        <v>538</v>
      </c>
      <c r="CE23" s="65">
        <f t="shared" si="67"/>
        <v>806813</v>
      </c>
      <c r="CF23" s="65">
        <f t="shared" si="68"/>
        <v>806813</v>
      </c>
      <c r="CG23" s="65">
        <f t="shared" si="69"/>
        <v>732992</v>
      </c>
      <c r="CH23" s="65">
        <f t="shared" si="70"/>
        <v>806813</v>
      </c>
      <c r="CI23" s="65">
        <f t="shared" si="71"/>
        <v>2126980</v>
      </c>
      <c r="CJ23" s="65">
        <f t="shared" si="72"/>
        <v>828967</v>
      </c>
      <c r="CK23" s="65">
        <f t="shared" si="73"/>
        <v>1354999</v>
      </c>
      <c r="CL23" s="65">
        <f t="shared" si="74"/>
        <v>806813</v>
      </c>
      <c r="CM23" s="65">
        <f t="shared" si="75"/>
        <v>884451</v>
      </c>
      <c r="CN23" s="65">
        <f t="shared" si="76"/>
        <v>1404874</v>
      </c>
      <c r="CO23" s="65">
        <f t="shared" si="77"/>
        <v>806813</v>
      </c>
      <c r="CP23" s="65">
        <f t="shared" si="78"/>
        <v>1349139</v>
      </c>
      <c r="CQ23" s="40" t="s">
        <v>538</v>
      </c>
    </row>
    <row r="24" spans="1:95" ht="3" customHeight="1" x14ac:dyDescent="0.25">
      <c r="A24" s="39">
        <v>1</v>
      </c>
      <c r="B24" s="28">
        <v>3102</v>
      </c>
      <c r="C24" s="28" t="s">
        <v>72</v>
      </c>
      <c r="D24" s="48">
        <f>+DATA!Q22</f>
        <v>7413729.7390000001</v>
      </c>
      <c r="E24" s="48">
        <f t="shared" si="63"/>
        <v>488071</v>
      </c>
      <c r="F24" s="48">
        <f t="shared" si="64"/>
        <v>741373</v>
      </c>
      <c r="G24" s="49">
        <f>VLOOKUP(B24,'CALC MEC ESTAB Y ESTIM M FINAL'!$B$7:$F$352,5,0)</f>
        <v>4.2317975907E-3</v>
      </c>
      <c r="H24" s="49">
        <f>VLOOKUP(B24,'CALC MEC ESTAB Y ESTIM M FINAL'!$B$7:$R$352,17,0)</f>
        <v>-3.7545150590000001E-4</v>
      </c>
      <c r="I24" s="46">
        <f t="shared" si="4"/>
        <v>317964</v>
      </c>
      <c r="J24" s="46">
        <f t="shared" si="5"/>
        <v>0</v>
      </c>
      <c r="K24" s="46">
        <f t="shared" si="65"/>
        <v>170107</v>
      </c>
      <c r="L24" s="46">
        <v>0</v>
      </c>
      <c r="M24" s="46">
        <f t="shared" si="6"/>
        <v>488071</v>
      </c>
      <c r="N24" s="46">
        <f t="shared" si="7"/>
        <v>170107</v>
      </c>
      <c r="O24" s="46">
        <f t="shared" si="8"/>
        <v>169083</v>
      </c>
      <c r="P24" s="46">
        <f t="shared" si="9"/>
        <v>0</v>
      </c>
      <c r="Q24" s="46">
        <f t="shared" si="10"/>
        <v>318988</v>
      </c>
      <c r="R24" s="46">
        <v>0</v>
      </c>
      <c r="S24" s="46">
        <f t="shared" si="11"/>
        <v>488071</v>
      </c>
      <c r="T24" s="46">
        <f t="shared" si="12"/>
        <v>489095</v>
      </c>
      <c r="U24" s="46">
        <f t="shared" si="13"/>
        <v>482354</v>
      </c>
      <c r="V24" s="46">
        <f t="shared" si="14"/>
        <v>0</v>
      </c>
      <c r="W24" s="46">
        <f t="shared" si="15"/>
        <v>0</v>
      </c>
      <c r="X24" s="46">
        <v>0</v>
      </c>
      <c r="Y24" s="46">
        <f t="shared" si="16"/>
        <v>482354</v>
      </c>
      <c r="Z24" s="46">
        <f t="shared" si="17"/>
        <v>489095</v>
      </c>
      <c r="AA24" s="46">
        <f t="shared" si="18"/>
        <v>256123</v>
      </c>
      <c r="AB24" s="46">
        <f t="shared" si="19"/>
        <v>0</v>
      </c>
      <c r="AC24" s="46">
        <f t="shared" si="20"/>
        <v>231948</v>
      </c>
      <c r="AD24" s="46">
        <v>0</v>
      </c>
      <c r="AE24" s="46">
        <f t="shared" si="21"/>
        <v>488071</v>
      </c>
      <c r="AF24" s="46">
        <f t="shared" si="22"/>
        <v>721043</v>
      </c>
      <c r="AG24" s="46">
        <f t="shared" si="23"/>
        <v>2228747</v>
      </c>
      <c r="AH24" s="46">
        <f t="shared" si="24"/>
        <v>20571</v>
      </c>
      <c r="AI24" s="46">
        <f t="shared" si="25"/>
        <v>-721043</v>
      </c>
      <c r="AJ24" s="46">
        <v>0</v>
      </c>
      <c r="AK24" s="46">
        <f t="shared" si="26"/>
        <v>1528275</v>
      </c>
      <c r="AL24" s="46">
        <f t="shared" si="27"/>
        <v>0</v>
      </c>
      <c r="AM24" s="46">
        <f t="shared" si="28"/>
        <v>441458</v>
      </c>
      <c r="AN24" s="46">
        <f t="shared" si="29"/>
        <v>14579</v>
      </c>
      <c r="AO24" s="46">
        <f t="shared" si="30"/>
        <v>46613</v>
      </c>
      <c r="AP24" s="46">
        <v>0</v>
      </c>
      <c r="AQ24" s="46">
        <f t="shared" si="31"/>
        <v>502650</v>
      </c>
      <c r="AR24" s="46">
        <f t="shared" si="32"/>
        <v>46613</v>
      </c>
      <c r="AS24" s="46">
        <f t="shared" si="33"/>
        <v>877540</v>
      </c>
      <c r="AT24" s="46">
        <f t="shared" si="34"/>
        <v>85193</v>
      </c>
      <c r="AU24" s="46">
        <f t="shared" si="35"/>
        <v>-46613</v>
      </c>
      <c r="AV24" s="46">
        <v>0</v>
      </c>
      <c r="AW24" s="46">
        <f t="shared" si="36"/>
        <v>916120</v>
      </c>
      <c r="AX24" s="46">
        <f t="shared" si="37"/>
        <v>0</v>
      </c>
      <c r="AY24" s="46">
        <f t="shared" si="38"/>
        <v>289865</v>
      </c>
      <c r="AZ24" s="46">
        <f t="shared" si="39"/>
        <v>0</v>
      </c>
      <c r="BA24" s="46">
        <f t="shared" si="40"/>
        <v>198206</v>
      </c>
      <c r="BB24" s="46"/>
      <c r="BC24" s="46">
        <f t="shared" si="41"/>
        <v>488071</v>
      </c>
      <c r="BD24" s="46">
        <f t="shared" si="42"/>
        <v>198206</v>
      </c>
      <c r="BE24" s="46">
        <f t="shared" si="43"/>
        <v>561140</v>
      </c>
      <c r="BF24" s="46">
        <f t="shared" si="44"/>
        <v>20885</v>
      </c>
      <c r="BG24" s="46">
        <f t="shared" si="45"/>
        <v>0</v>
      </c>
      <c r="BH24" s="46">
        <v>0</v>
      </c>
      <c r="BI24" s="46">
        <f t="shared" si="46"/>
        <v>582025</v>
      </c>
      <c r="BJ24" s="46">
        <f t="shared" si="47"/>
        <v>198206</v>
      </c>
      <c r="BK24" s="46">
        <f t="shared" si="48"/>
        <v>1183980</v>
      </c>
      <c r="BL24" s="46">
        <f t="shared" si="49"/>
        <v>0</v>
      </c>
      <c r="BM24" s="46">
        <f t="shared" si="50"/>
        <v>-198206</v>
      </c>
      <c r="BN24" s="46">
        <v>0</v>
      </c>
      <c r="BO24" s="46">
        <f t="shared" si="51"/>
        <v>985774</v>
      </c>
      <c r="BP24" s="46">
        <f t="shared" si="52"/>
        <v>0</v>
      </c>
      <c r="BQ24" s="46">
        <f t="shared" si="53"/>
        <v>439426</v>
      </c>
      <c r="BR24" s="46">
        <f t="shared" si="54"/>
        <v>0</v>
      </c>
      <c r="BS24" s="46">
        <f t="shared" si="55"/>
        <v>48645</v>
      </c>
      <c r="BT24" s="46">
        <v>0</v>
      </c>
      <c r="BU24" s="46">
        <f t="shared" si="56"/>
        <v>488071</v>
      </c>
      <c r="BV24" s="46">
        <f t="shared" si="57"/>
        <v>48645</v>
      </c>
      <c r="BW24" s="46">
        <f t="shared" si="58"/>
        <v>842061</v>
      </c>
      <c r="BX24" s="46">
        <f t="shared" si="59"/>
        <v>137265</v>
      </c>
      <c r="BY24" s="46">
        <f t="shared" si="60"/>
        <v>-48645</v>
      </c>
      <c r="BZ24" s="46">
        <v>0</v>
      </c>
      <c r="CA24" s="46">
        <f t="shared" si="61"/>
        <v>930681</v>
      </c>
      <c r="CB24" s="46">
        <f t="shared" si="62"/>
        <v>0</v>
      </c>
      <c r="CC24" s="155">
        <f t="shared" si="66"/>
        <v>0</v>
      </c>
      <c r="CD24" s="79" t="s">
        <v>538</v>
      </c>
      <c r="CE24" s="65">
        <f t="shared" si="67"/>
        <v>488071</v>
      </c>
      <c r="CF24" s="65">
        <f t="shared" si="68"/>
        <v>488071</v>
      </c>
      <c r="CG24" s="65">
        <f t="shared" si="69"/>
        <v>482354</v>
      </c>
      <c r="CH24" s="65">
        <f t="shared" si="70"/>
        <v>488071</v>
      </c>
      <c r="CI24" s="65">
        <f t="shared" si="71"/>
        <v>1528275</v>
      </c>
      <c r="CJ24" s="65">
        <f t="shared" si="72"/>
        <v>502650</v>
      </c>
      <c r="CK24" s="65">
        <f t="shared" si="73"/>
        <v>916120</v>
      </c>
      <c r="CL24" s="65">
        <f t="shared" si="74"/>
        <v>488071</v>
      </c>
      <c r="CM24" s="65">
        <f t="shared" si="75"/>
        <v>582025</v>
      </c>
      <c r="CN24" s="65">
        <f t="shared" si="76"/>
        <v>985774</v>
      </c>
      <c r="CO24" s="65">
        <f t="shared" si="77"/>
        <v>488071</v>
      </c>
      <c r="CP24" s="65">
        <f t="shared" si="78"/>
        <v>930681</v>
      </c>
      <c r="CQ24" s="40" t="s">
        <v>538</v>
      </c>
    </row>
    <row r="25" spans="1:95" ht="3" customHeight="1" x14ac:dyDescent="0.25">
      <c r="A25" s="39">
        <v>1</v>
      </c>
      <c r="B25" s="28">
        <v>3103</v>
      </c>
      <c r="C25" s="28" t="s">
        <v>73</v>
      </c>
      <c r="D25" s="48">
        <f>+DATA!Q23</f>
        <v>1979125.38</v>
      </c>
      <c r="E25" s="48">
        <f t="shared" si="63"/>
        <v>130292</v>
      </c>
      <c r="F25" s="48">
        <f t="shared" si="64"/>
        <v>197913</v>
      </c>
      <c r="G25" s="49">
        <f>VLOOKUP(B25,'CALC MEC ESTAB Y ESTIM M FINAL'!$B$7:$F$352,5,0)</f>
        <v>1.0339601286E-3</v>
      </c>
      <c r="H25" s="49">
        <f>VLOOKUP(B25,'CALC MEC ESTAB Y ESTIM M FINAL'!$B$7:$R$352,17,0)</f>
        <v>-4.7938225199999999E-5</v>
      </c>
      <c r="I25" s="46">
        <f t="shared" si="4"/>
        <v>81300</v>
      </c>
      <c r="J25" s="46">
        <f t="shared" si="5"/>
        <v>0</v>
      </c>
      <c r="K25" s="46">
        <f t="shared" si="65"/>
        <v>48992</v>
      </c>
      <c r="L25" s="46">
        <v>0</v>
      </c>
      <c r="M25" s="46">
        <f t="shared" si="6"/>
        <v>130292</v>
      </c>
      <c r="N25" s="46">
        <f t="shared" si="7"/>
        <v>48992</v>
      </c>
      <c r="O25" s="46">
        <f t="shared" si="8"/>
        <v>43232</v>
      </c>
      <c r="P25" s="46">
        <f t="shared" si="9"/>
        <v>0</v>
      </c>
      <c r="Q25" s="46">
        <f t="shared" si="10"/>
        <v>87060</v>
      </c>
      <c r="R25" s="46">
        <v>0</v>
      </c>
      <c r="S25" s="46">
        <f t="shared" si="11"/>
        <v>130292</v>
      </c>
      <c r="T25" s="46">
        <f t="shared" si="12"/>
        <v>136052</v>
      </c>
      <c r="U25" s="46">
        <f t="shared" si="13"/>
        <v>123332</v>
      </c>
      <c r="V25" s="46">
        <f t="shared" si="14"/>
        <v>0</v>
      </c>
      <c r="W25" s="46">
        <f t="shared" si="15"/>
        <v>0</v>
      </c>
      <c r="X25" s="46">
        <v>0</v>
      </c>
      <c r="Y25" s="46">
        <f t="shared" si="16"/>
        <v>123332</v>
      </c>
      <c r="Z25" s="46">
        <f t="shared" si="17"/>
        <v>136052</v>
      </c>
      <c r="AA25" s="46">
        <f t="shared" si="18"/>
        <v>65488</v>
      </c>
      <c r="AB25" s="46">
        <f t="shared" si="19"/>
        <v>0</v>
      </c>
      <c r="AC25" s="46">
        <f t="shared" si="20"/>
        <v>64804</v>
      </c>
      <c r="AD25" s="46">
        <v>0</v>
      </c>
      <c r="AE25" s="46">
        <f t="shared" si="21"/>
        <v>130292</v>
      </c>
      <c r="AF25" s="46">
        <f t="shared" si="22"/>
        <v>200856</v>
      </c>
      <c r="AG25" s="46">
        <f t="shared" si="23"/>
        <v>569864</v>
      </c>
      <c r="AH25" s="46">
        <f t="shared" si="24"/>
        <v>5260</v>
      </c>
      <c r="AI25" s="46">
        <f t="shared" si="25"/>
        <v>-200856</v>
      </c>
      <c r="AJ25" s="46">
        <v>0</v>
      </c>
      <c r="AK25" s="46">
        <f t="shared" si="26"/>
        <v>374268</v>
      </c>
      <c r="AL25" s="46">
        <f t="shared" si="27"/>
        <v>0</v>
      </c>
      <c r="AM25" s="46">
        <f t="shared" si="28"/>
        <v>112876</v>
      </c>
      <c r="AN25" s="46">
        <f t="shared" si="29"/>
        <v>3728</v>
      </c>
      <c r="AO25" s="46">
        <f t="shared" si="30"/>
        <v>17416</v>
      </c>
      <c r="AP25" s="46">
        <v>0</v>
      </c>
      <c r="AQ25" s="46">
        <f t="shared" si="31"/>
        <v>134020</v>
      </c>
      <c r="AR25" s="46">
        <f t="shared" si="32"/>
        <v>17416</v>
      </c>
      <c r="AS25" s="46">
        <f t="shared" si="33"/>
        <v>224376</v>
      </c>
      <c r="AT25" s="46">
        <f t="shared" si="34"/>
        <v>21783</v>
      </c>
      <c r="AU25" s="46">
        <f t="shared" si="35"/>
        <v>-17416</v>
      </c>
      <c r="AV25" s="46">
        <v>0</v>
      </c>
      <c r="AW25" s="46">
        <f t="shared" si="36"/>
        <v>228743</v>
      </c>
      <c r="AX25" s="46">
        <f t="shared" si="37"/>
        <v>0</v>
      </c>
      <c r="AY25" s="46">
        <f t="shared" si="38"/>
        <v>74115</v>
      </c>
      <c r="AZ25" s="46">
        <f t="shared" si="39"/>
        <v>0</v>
      </c>
      <c r="BA25" s="46">
        <f t="shared" si="40"/>
        <v>56177</v>
      </c>
      <c r="BB25" s="46"/>
      <c r="BC25" s="46">
        <f t="shared" si="41"/>
        <v>130292</v>
      </c>
      <c r="BD25" s="46">
        <f t="shared" si="42"/>
        <v>56177</v>
      </c>
      <c r="BE25" s="46">
        <f t="shared" si="43"/>
        <v>143477</v>
      </c>
      <c r="BF25" s="46">
        <f t="shared" si="44"/>
        <v>5340</v>
      </c>
      <c r="BG25" s="46">
        <f t="shared" si="45"/>
        <v>0</v>
      </c>
      <c r="BH25" s="46">
        <v>0</v>
      </c>
      <c r="BI25" s="46">
        <f t="shared" si="46"/>
        <v>148817</v>
      </c>
      <c r="BJ25" s="46">
        <f t="shared" si="47"/>
        <v>56177</v>
      </c>
      <c r="BK25" s="46">
        <f t="shared" si="48"/>
        <v>302730</v>
      </c>
      <c r="BL25" s="46">
        <f t="shared" si="49"/>
        <v>0</v>
      </c>
      <c r="BM25" s="46">
        <f t="shared" si="50"/>
        <v>-56177</v>
      </c>
      <c r="BN25" s="46">
        <v>0</v>
      </c>
      <c r="BO25" s="46">
        <f t="shared" si="51"/>
        <v>246553</v>
      </c>
      <c r="BP25" s="46">
        <f t="shared" si="52"/>
        <v>0</v>
      </c>
      <c r="BQ25" s="46">
        <f t="shared" si="53"/>
        <v>112356</v>
      </c>
      <c r="BR25" s="46">
        <f t="shared" si="54"/>
        <v>0</v>
      </c>
      <c r="BS25" s="46">
        <f t="shared" si="55"/>
        <v>17936</v>
      </c>
      <c r="BT25" s="46">
        <v>0</v>
      </c>
      <c r="BU25" s="46">
        <f t="shared" si="56"/>
        <v>130292</v>
      </c>
      <c r="BV25" s="46">
        <f t="shared" si="57"/>
        <v>17936</v>
      </c>
      <c r="BW25" s="46">
        <f t="shared" si="58"/>
        <v>215305</v>
      </c>
      <c r="BX25" s="46">
        <f t="shared" si="59"/>
        <v>35097</v>
      </c>
      <c r="BY25" s="46">
        <f t="shared" si="60"/>
        <v>-17936</v>
      </c>
      <c r="BZ25" s="46">
        <v>0</v>
      </c>
      <c r="CA25" s="46">
        <f t="shared" si="61"/>
        <v>232466</v>
      </c>
      <c r="CB25" s="46">
        <f t="shared" si="62"/>
        <v>0</v>
      </c>
      <c r="CC25" s="155">
        <f t="shared" si="66"/>
        <v>0</v>
      </c>
      <c r="CD25" s="79" t="s">
        <v>538</v>
      </c>
      <c r="CE25" s="65">
        <f t="shared" si="67"/>
        <v>130292</v>
      </c>
      <c r="CF25" s="65">
        <f t="shared" si="68"/>
        <v>130292</v>
      </c>
      <c r="CG25" s="65">
        <f t="shared" si="69"/>
        <v>123332</v>
      </c>
      <c r="CH25" s="65">
        <f t="shared" si="70"/>
        <v>130292</v>
      </c>
      <c r="CI25" s="65">
        <f t="shared" si="71"/>
        <v>374268</v>
      </c>
      <c r="CJ25" s="65">
        <f t="shared" si="72"/>
        <v>134020</v>
      </c>
      <c r="CK25" s="65">
        <f t="shared" si="73"/>
        <v>228743</v>
      </c>
      <c r="CL25" s="65">
        <f t="shared" si="74"/>
        <v>130292</v>
      </c>
      <c r="CM25" s="65">
        <f t="shared" si="75"/>
        <v>148817</v>
      </c>
      <c r="CN25" s="65">
        <f t="shared" si="76"/>
        <v>246553</v>
      </c>
      <c r="CO25" s="65">
        <f t="shared" si="77"/>
        <v>130292</v>
      </c>
      <c r="CP25" s="65">
        <f t="shared" si="78"/>
        <v>232466</v>
      </c>
      <c r="CQ25" s="40" t="s">
        <v>538</v>
      </c>
    </row>
    <row r="26" spans="1:95" ht="3" customHeight="1" x14ac:dyDescent="0.25">
      <c r="A26" s="39">
        <v>1</v>
      </c>
      <c r="B26" s="28">
        <v>3201</v>
      </c>
      <c r="C26" s="28" t="s">
        <v>70</v>
      </c>
      <c r="D26" s="48">
        <f>+DATA!Q24</f>
        <v>2786396.3420000002</v>
      </c>
      <c r="E26" s="48">
        <f t="shared" si="63"/>
        <v>183438</v>
      </c>
      <c r="F26" s="48">
        <f t="shared" si="64"/>
        <v>278640</v>
      </c>
      <c r="G26" s="49">
        <f>VLOOKUP(B26,'CALC MEC ESTAB Y ESTIM M FINAL'!$B$7:$F$352,5,0)</f>
        <v>1.5931253803E-3</v>
      </c>
      <c r="H26" s="49">
        <f>VLOOKUP(B26,'CALC MEC ESTAB Y ESTIM M FINAL'!$B$7:$R$352,17,0)</f>
        <v>-1.420027145E-4</v>
      </c>
      <c r="I26" s="46">
        <f t="shared" si="4"/>
        <v>119648</v>
      </c>
      <c r="J26" s="46">
        <f t="shared" si="5"/>
        <v>0</v>
      </c>
      <c r="K26" s="46">
        <f t="shared" si="65"/>
        <v>63790</v>
      </c>
      <c r="L26" s="46">
        <v>0</v>
      </c>
      <c r="M26" s="46">
        <f t="shared" si="6"/>
        <v>183438</v>
      </c>
      <c r="N26" s="46">
        <f t="shared" si="7"/>
        <v>63790</v>
      </c>
      <c r="O26" s="46">
        <f t="shared" si="8"/>
        <v>63625</v>
      </c>
      <c r="P26" s="46">
        <f t="shared" si="9"/>
        <v>0</v>
      </c>
      <c r="Q26" s="46">
        <f t="shared" si="10"/>
        <v>119813</v>
      </c>
      <c r="R26" s="46">
        <v>0</v>
      </c>
      <c r="S26" s="46">
        <f t="shared" si="11"/>
        <v>183438</v>
      </c>
      <c r="T26" s="46">
        <f t="shared" si="12"/>
        <v>183603</v>
      </c>
      <c r="U26" s="46">
        <f t="shared" si="13"/>
        <v>181507</v>
      </c>
      <c r="V26" s="46">
        <f t="shared" si="14"/>
        <v>0</v>
      </c>
      <c r="W26" s="46">
        <f t="shared" si="15"/>
        <v>0</v>
      </c>
      <c r="X26" s="46">
        <v>0</v>
      </c>
      <c r="Y26" s="46">
        <f t="shared" si="16"/>
        <v>181507</v>
      </c>
      <c r="Z26" s="46">
        <f t="shared" si="17"/>
        <v>183603</v>
      </c>
      <c r="AA26" s="46">
        <f t="shared" si="18"/>
        <v>96378</v>
      </c>
      <c r="AB26" s="46">
        <f t="shared" si="19"/>
        <v>0</v>
      </c>
      <c r="AC26" s="46">
        <f t="shared" si="20"/>
        <v>87060</v>
      </c>
      <c r="AD26" s="46">
        <v>0</v>
      </c>
      <c r="AE26" s="46">
        <f t="shared" si="21"/>
        <v>183438</v>
      </c>
      <c r="AF26" s="46">
        <f t="shared" si="22"/>
        <v>270663</v>
      </c>
      <c r="AG26" s="46">
        <f t="shared" si="23"/>
        <v>838666</v>
      </c>
      <c r="AH26" s="46">
        <f t="shared" si="24"/>
        <v>7741</v>
      </c>
      <c r="AI26" s="46">
        <f t="shared" si="25"/>
        <v>-270663</v>
      </c>
      <c r="AJ26" s="46">
        <v>0</v>
      </c>
      <c r="AK26" s="46">
        <f t="shared" si="26"/>
        <v>575744</v>
      </c>
      <c r="AL26" s="46">
        <f t="shared" si="27"/>
        <v>0</v>
      </c>
      <c r="AM26" s="46">
        <f t="shared" si="28"/>
        <v>166118</v>
      </c>
      <c r="AN26" s="46">
        <f t="shared" si="29"/>
        <v>5486</v>
      </c>
      <c r="AO26" s="46">
        <f t="shared" si="30"/>
        <v>17320</v>
      </c>
      <c r="AP26" s="46">
        <v>0</v>
      </c>
      <c r="AQ26" s="46">
        <f t="shared" si="31"/>
        <v>188924</v>
      </c>
      <c r="AR26" s="46">
        <f t="shared" si="32"/>
        <v>17320</v>
      </c>
      <c r="AS26" s="46">
        <f t="shared" si="33"/>
        <v>330213</v>
      </c>
      <c r="AT26" s="46">
        <f t="shared" si="34"/>
        <v>32058</v>
      </c>
      <c r="AU26" s="46">
        <f t="shared" si="35"/>
        <v>-17320</v>
      </c>
      <c r="AV26" s="46">
        <v>0</v>
      </c>
      <c r="AW26" s="46">
        <f t="shared" si="36"/>
        <v>344951</v>
      </c>
      <c r="AX26" s="46">
        <f t="shared" si="37"/>
        <v>0</v>
      </c>
      <c r="AY26" s="46">
        <f t="shared" si="38"/>
        <v>109075</v>
      </c>
      <c r="AZ26" s="46">
        <f t="shared" si="39"/>
        <v>0</v>
      </c>
      <c r="BA26" s="46">
        <f t="shared" si="40"/>
        <v>74363</v>
      </c>
      <c r="BB26" s="46"/>
      <c r="BC26" s="46">
        <f t="shared" si="41"/>
        <v>183438</v>
      </c>
      <c r="BD26" s="46">
        <f t="shared" si="42"/>
        <v>74363</v>
      </c>
      <c r="BE26" s="46">
        <f t="shared" si="43"/>
        <v>211154</v>
      </c>
      <c r="BF26" s="46">
        <f t="shared" si="44"/>
        <v>7859</v>
      </c>
      <c r="BG26" s="46">
        <f t="shared" si="45"/>
        <v>0</v>
      </c>
      <c r="BH26" s="46">
        <v>0</v>
      </c>
      <c r="BI26" s="46">
        <f t="shared" si="46"/>
        <v>219013</v>
      </c>
      <c r="BJ26" s="46">
        <f t="shared" si="47"/>
        <v>74363</v>
      </c>
      <c r="BK26" s="46">
        <f t="shared" si="48"/>
        <v>445526</v>
      </c>
      <c r="BL26" s="46">
        <f t="shared" si="49"/>
        <v>0</v>
      </c>
      <c r="BM26" s="46">
        <f t="shared" si="50"/>
        <v>-74363</v>
      </c>
      <c r="BN26" s="46">
        <v>0</v>
      </c>
      <c r="BO26" s="46">
        <f t="shared" si="51"/>
        <v>371163</v>
      </c>
      <c r="BP26" s="46">
        <f t="shared" si="52"/>
        <v>0</v>
      </c>
      <c r="BQ26" s="46">
        <f t="shared" si="53"/>
        <v>165354</v>
      </c>
      <c r="BR26" s="46">
        <f t="shared" si="54"/>
        <v>0</v>
      </c>
      <c r="BS26" s="46">
        <f t="shared" si="55"/>
        <v>18084</v>
      </c>
      <c r="BT26" s="46">
        <v>0</v>
      </c>
      <c r="BU26" s="46">
        <f t="shared" si="56"/>
        <v>183438</v>
      </c>
      <c r="BV26" s="46">
        <f t="shared" si="57"/>
        <v>18084</v>
      </c>
      <c r="BW26" s="46">
        <f t="shared" si="58"/>
        <v>316863</v>
      </c>
      <c r="BX26" s="46">
        <f t="shared" si="59"/>
        <v>51652</v>
      </c>
      <c r="BY26" s="46">
        <f t="shared" si="60"/>
        <v>-18084</v>
      </c>
      <c r="BZ26" s="46">
        <v>0</v>
      </c>
      <c r="CA26" s="46">
        <f t="shared" si="61"/>
        <v>350431</v>
      </c>
      <c r="CB26" s="46">
        <f t="shared" si="62"/>
        <v>0</v>
      </c>
      <c r="CC26" s="155">
        <f t="shared" si="66"/>
        <v>0</v>
      </c>
      <c r="CD26" s="79" t="s">
        <v>538</v>
      </c>
      <c r="CE26" s="65">
        <f t="shared" si="67"/>
        <v>183438</v>
      </c>
      <c r="CF26" s="65">
        <f t="shared" si="68"/>
        <v>183438</v>
      </c>
      <c r="CG26" s="65">
        <f t="shared" si="69"/>
        <v>181507</v>
      </c>
      <c r="CH26" s="65">
        <f t="shared" si="70"/>
        <v>183438</v>
      </c>
      <c r="CI26" s="65">
        <f t="shared" si="71"/>
        <v>575744</v>
      </c>
      <c r="CJ26" s="65">
        <f t="shared" si="72"/>
        <v>188924</v>
      </c>
      <c r="CK26" s="65">
        <f t="shared" si="73"/>
        <v>344951</v>
      </c>
      <c r="CL26" s="65">
        <f t="shared" si="74"/>
        <v>183438</v>
      </c>
      <c r="CM26" s="65">
        <f t="shared" si="75"/>
        <v>219013</v>
      </c>
      <c r="CN26" s="65">
        <f t="shared" si="76"/>
        <v>371163</v>
      </c>
      <c r="CO26" s="65">
        <f t="shared" si="77"/>
        <v>183438</v>
      </c>
      <c r="CP26" s="65">
        <f t="shared" si="78"/>
        <v>350431</v>
      </c>
      <c r="CQ26" s="40" t="s">
        <v>538</v>
      </c>
    </row>
    <row r="27" spans="1:95" ht="3" customHeight="1" x14ac:dyDescent="0.25">
      <c r="A27" s="39">
        <v>1</v>
      </c>
      <c r="B27" s="28">
        <v>3202</v>
      </c>
      <c r="C27" s="28" t="s">
        <v>71</v>
      </c>
      <c r="D27" s="48">
        <f>+DATA!Q25</f>
        <v>2093061.2520000001</v>
      </c>
      <c r="E27" s="48">
        <f t="shared" si="63"/>
        <v>137793</v>
      </c>
      <c r="F27" s="48">
        <f t="shared" si="64"/>
        <v>209306</v>
      </c>
      <c r="G27" s="49">
        <f>VLOOKUP(B27,'CALC MEC ESTAB Y ESTIM M FINAL'!$B$7:$F$352,5,0)</f>
        <v>9.9839454279999993E-4</v>
      </c>
      <c r="H27" s="49">
        <f>VLOOKUP(B27,'CALC MEC ESTAB Y ESTIM M FINAL'!$B$7:$R$352,17,0)</f>
        <v>2.1663909000000002E-6</v>
      </c>
      <c r="I27" s="46">
        <f t="shared" si="4"/>
        <v>82498</v>
      </c>
      <c r="J27" s="46">
        <f t="shared" si="5"/>
        <v>0</v>
      </c>
      <c r="K27" s="46">
        <f t="shared" si="65"/>
        <v>55295</v>
      </c>
      <c r="L27" s="46">
        <v>0</v>
      </c>
      <c r="M27" s="46">
        <f t="shared" si="6"/>
        <v>137793</v>
      </c>
      <c r="N27" s="46">
        <f t="shared" si="7"/>
        <v>55295</v>
      </c>
      <c r="O27" s="46">
        <f t="shared" si="8"/>
        <v>43870</v>
      </c>
      <c r="P27" s="46">
        <f t="shared" si="9"/>
        <v>0</v>
      </c>
      <c r="Q27" s="46">
        <f t="shared" si="10"/>
        <v>93923</v>
      </c>
      <c r="R27" s="46">
        <v>0</v>
      </c>
      <c r="S27" s="46">
        <f t="shared" si="11"/>
        <v>137793</v>
      </c>
      <c r="T27" s="46">
        <f t="shared" si="12"/>
        <v>149218</v>
      </c>
      <c r="U27" s="46">
        <f t="shared" si="13"/>
        <v>125151</v>
      </c>
      <c r="V27" s="46">
        <f t="shared" si="14"/>
        <v>0</v>
      </c>
      <c r="W27" s="46">
        <f t="shared" si="15"/>
        <v>0</v>
      </c>
      <c r="X27" s="46">
        <v>0</v>
      </c>
      <c r="Y27" s="46">
        <f t="shared" si="16"/>
        <v>125151</v>
      </c>
      <c r="Z27" s="46">
        <f t="shared" si="17"/>
        <v>149218</v>
      </c>
      <c r="AA27" s="46">
        <f t="shared" si="18"/>
        <v>66453</v>
      </c>
      <c r="AB27" s="46">
        <f t="shared" si="19"/>
        <v>0</v>
      </c>
      <c r="AC27" s="46">
        <f t="shared" si="20"/>
        <v>71340</v>
      </c>
      <c r="AD27" s="46">
        <v>0</v>
      </c>
      <c r="AE27" s="46">
        <f t="shared" si="21"/>
        <v>137793</v>
      </c>
      <c r="AF27" s="46">
        <f t="shared" si="22"/>
        <v>220558</v>
      </c>
      <c r="AG27" s="46">
        <f t="shared" si="23"/>
        <v>578267</v>
      </c>
      <c r="AH27" s="46">
        <f t="shared" si="24"/>
        <v>5337</v>
      </c>
      <c r="AI27" s="46">
        <f t="shared" si="25"/>
        <v>-220558</v>
      </c>
      <c r="AJ27" s="46">
        <v>0</v>
      </c>
      <c r="AK27" s="46">
        <f t="shared" si="26"/>
        <v>363046</v>
      </c>
      <c r="AL27" s="46">
        <f t="shared" si="27"/>
        <v>0</v>
      </c>
      <c r="AM27" s="46">
        <f t="shared" si="28"/>
        <v>114540</v>
      </c>
      <c r="AN27" s="46">
        <f t="shared" si="29"/>
        <v>3783</v>
      </c>
      <c r="AO27" s="46">
        <f t="shared" si="30"/>
        <v>23253</v>
      </c>
      <c r="AP27" s="46">
        <v>0</v>
      </c>
      <c r="AQ27" s="46">
        <f t="shared" si="31"/>
        <v>141576</v>
      </c>
      <c r="AR27" s="46">
        <f t="shared" si="32"/>
        <v>23253</v>
      </c>
      <c r="AS27" s="46">
        <f t="shared" si="33"/>
        <v>227685</v>
      </c>
      <c r="AT27" s="46">
        <f t="shared" si="34"/>
        <v>22104</v>
      </c>
      <c r="AU27" s="46">
        <f t="shared" si="35"/>
        <v>-18379</v>
      </c>
      <c r="AV27" s="46">
        <v>0</v>
      </c>
      <c r="AW27" s="46">
        <f t="shared" si="36"/>
        <v>231410</v>
      </c>
      <c r="AX27" s="46">
        <f t="shared" si="37"/>
        <v>4874</v>
      </c>
      <c r="AY27" s="46">
        <f t="shared" si="38"/>
        <v>75208</v>
      </c>
      <c r="AZ27" s="46">
        <f t="shared" si="39"/>
        <v>0</v>
      </c>
      <c r="BA27" s="46">
        <f t="shared" si="40"/>
        <v>62585</v>
      </c>
      <c r="BB27" s="46"/>
      <c r="BC27" s="46">
        <f t="shared" si="41"/>
        <v>137793</v>
      </c>
      <c r="BD27" s="46">
        <f t="shared" si="42"/>
        <v>67459</v>
      </c>
      <c r="BE27" s="46">
        <f t="shared" si="43"/>
        <v>145592</v>
      </c>
      <c r="BF27" s="46">
        <f t="shared" si="44"/>
        <v>5419</v>
      </c>
      <c r="BG27" s="46">
        <f t="shared" si="45"/>
        <v>0</v>
      </c>
      <c r="BH27" s="46">
        <v>0</v>
      </c>
      <c r="BI27" s="46">
        <f t="shared" si="46"/>
        <v>151011</v>
      </c>
      <c r="BJ27" s="46">
        <f t="shared" si="47"/>
        <v>67459</v>
      </c>
      <c r="BK27" s="46">
        <f t="shared" si="48"/>
        <v>307194</v>
      </c>
      <c r="BL27" s="46">
        <f t="shared" si="49"/>
        <v>0</v>
      </c>
      <c r="BM27" s="46">
        <f t="shared" si="50"/>
        <v>-67459</v>
      </c>
      <c r="BN27" s="46">
        <v>0</v>
      </c>
      <c r="BO27" s="46">
        <f t="shared" si="51"/>
        <v>239735</v>
      </c>
      <c r="BP27" s="46">
        <f t="shared" si="52"/>
        <v>0</v>
      </c>
      <c r="BQ27" s="46">
        <f t="shared" si="53"/>
        <v>114013</v>
      </c>
      <c r="BR27" s="46">
        <f t="shared" si="54"/>
        <v>0</v>
      </c>
      <c r="BS27" s="46">
        <f t="shared" si="55"/>
        <v>23780</v>
      </c>
      <c r="BT27" s="46">
        <v>0</v>
      </c>
      <c r="BU27" s="46">
        <f t="shared" si="56"/>
        <v>137793</v>
      </c>
      <c r="BV27" s="46">
        <f t="shared" si="57"/>
        <v>23780</v>
      </c>
      <c r="BW27" s="46">
        <f t="shared" si="58"/>
        <v>218480</v>
      </c>
      <c r="BX27" s="46">
        <f t="shared" si="59"/>
        <v>35614</v>
      </c>
      <c r="BY27" s="46">
        <f t="shared" si="60"/>
        <v>-23780</v>
      </c>
      <c r="BZ27" s="46">
        <v>0</v>
      </c>
      <c r="CA27" s="46">
        <f t="shared" si="61"/>
        <v>230314</v>
      </c>
      <c r="CB27" s="46">
        <f t="shared" si="62"/>
        <v>0</v>
      </c>
      <c r="CC27" s="155">
        <f t="shared" si="66"/>
        <v>0</v>
      </c>
      <c r="CD27" s="79" t="s">
        <v>538</v>
      </c>
      <c r="CE27" s="65">
        <f t="shared" si="67"/>
        <v>137793</v>
      </c>
      <c r="CF27" s="65">
        <f t="shared" si="68"/>
        <v>137793</v>
      </c>
      <c r="CG27" s="65">
        <f t="shared" si="69"/>
        <v>125151</v>
      </c>
      <c r="CH27" s="65">
        <f t="shared" si="70"/>
        <v>137793</v>
      </c>
      <c r="CI27" s="65">
        <f t="shared" si="71"/>
        <v>363046</v>
      </c>
      <c r="CJ27" s="65">
        <f t="shared" si="72"/>
        <v>141576</v>
      </c>
      <c r="CK27" s="65">
        <f t="shared" si="73"/>
        <v>231410</v>
      </c>
      <c r="CL27" s="65">
        <f t="shared" si="74"/>
        <v>137793</v>
      </c>
      <c r="CM27" s="65">
        <f t="shared" si="75"/>
        <v>151011</v>
      </c>
      <c r="CN27" s="65">
        <f t="shared" si="76"/>
        <v>239735</v>
      </c>
      <c r="CO27" s="65">
        <f t="shared" si="77"/>
        <v>137793</v>
      </c>
      <c r="CP27" s="65">
        <f t="shared" si="78"/>
        <v>230314</v>
      </c>
      <c r="CQ27" s="40" t="s">
        <v>538</v>
      </c>
    </row>
    <row r="28" spans="1:95" ht="3" customHeight="1" x14ac:dyDescent="0.25">
      <c r="A28" s="39">
        <v>1</v>
      </c>
      <c r="B28" s="28">
        <v>3301</v>
      </c>
      <c r="C28" s="28" t="s">
        <v>74</v>
      </c>
      <c r="D28" s="48">
        <f>+DATA!Q26</f>
        <v>7493541.0750000002</v>
      </c>
      <c r="E28" s="48">
        <f t="shared" si="63"/>
        <v>493325</v>
      </c>
      <c r="F28" s="48">
        <f t="shared" si="64"/>
        <v>749354</v>
      </c>
      <c r="G28" s="49">
        <f>VLOOKUP(B28,'CALC MEC ESTAB Y ESTIM M FINAL'!$B$7:$F$352,5,0)</f>
        <v>4.3485102512999998E-3</v>
      </c>
      <c r="H28" s="49">
        <f>VLOOKUP(B28,'CALC MEC ESTAB Y ESTIM M FINAL'!$B$7:$R$352,17,0)</f>
        <v>-4.154076604E-4</v>
      </c>
      <c r="I28" s="46">
        <f t="shared" si="4"/>
        <v>324293</v>
      </c>
      <c r="J28" s="46">
        <f t="shared" si="5"/>
        <v>0</v>
      </c>
      <c r="K28" s="46">
        <f t="shared" si="65"/>
        <v>169032</v>
      </c>
      <c r="L28" s="46">
        <v>0</v>
      </c>
      <c r="M28" s="46">
        <f t="shared" si="6"/>
        <v>493325</v>
      </c>
      <c r="N28" s="46">
        <f t="shared" si="7"/>
        <v>169032</v>
      </c>
      <c r="O28" s="46">
        <f t="shared" si="8"/>
        <v>172448</v>
      </c>
      <c r="P28" s="46">
        <f t="shared" si="9"/>
        <v>0</v>
      </c>
      <c r="Q28" s="46">
        <f t="shared" si="10"/>
        <v>320877</v>
      </c>
      <c r="R28" s="46">
        <v>0</v>
      </c>
      <c r="S28" s="46">
        <f t="shared" si="11"/>
        <v>493325</v>
      </c>
      <c r="T28" s="46">
        <f t="shared" si="12"/>
        <v>489909</v>
      </c>
      <c r="U28" s="46">
        <f t="shared" si="13"/>
        <v>491955</v>
      </c>
      <c r="V28" s="46">
        <f t="shared" si="14"/>
        <v>0</v>
      </c>
      <c r="W28" s="46">
        <f t="shared" si="15"/>
        <v>0</v>
      </c>
      <c r="X28" s="46">
        <v>0</v>
      </c>
      <c r="Y28" s="46">
        <f t="shared" si="16"/>
        <v>491955</v>
      </c>
      <c r="Z28" s="46">
        <f t="shared" si="17"/>
        <v>489909</v>
      </c>
      <c r="AA28" s="46">
        <f t="shared" si="18"/>
        <v>261221</v>
      </c>
      <c r="AB28" s="46">
        <f t="shared" si="19"/>
        <v>0</v>
      </c>
      <c r="AC28" s="46">
        <f t="shared" si="20"/>
        <v>232104</v>
      </c>
      <c r="AD28" s="46">
        <v>0</v>
      </c>
      <c r="AE28" s="46">
        <f t="shared" si="21"/>
        <v>493325</v>
      </c>
      <c r="AF28" s="46">
        <f t="shared" si="22"/>
        <v>722013</v>
      </c>
      <c r="AG28" s="46">
        <f t="shared" si="23"/>
        <v>2273108</v>
      </c>
      <c r="AH28" s="46">
        <f t="shared" si="24"/>
        <v>20980</v>
      </c>
      <c r="AI28" s="46">
        <f t="shared" si="25"/>
        <v>-722013</v>
      </c>
      <c r="AJ28" s="46">
        <v>0</v>
      </c>
      <c r="AK28" s="46">
        <f t="shared" si="26"/>
        <v>1572075</v>
      </c>
      <c r="AL28" s="46">
        <f t="shared" si="27"/>
        <v>0</v>
      </c>
      <c r="AM28" s="46">
        <f t="shared" si="28"/>
        <v>450245</v>
      </c>
      <c r="AN28" s="46">
        <f t="shared" si="29"/>
        <v>14869</v>
      </c>
      <c r="AO28" s="46">
        <f t="shared" si="30"/>
        <v>43080</v>
      </c>
      <c r="AP28" s="46">
        <v>0</v>
      </c>
      <c r="AQ28" s="46">
        <f t="shared" si="31"/>
        <v>508194</v>
      </c>
      <c r="AR28" s="46">
        <f t="shared" si="32"/>
        <v>43080</v>
      </c>
      <c r="AS28" s="46">
        <f t="shared" si="33"/>
        <v>895006</v>
      </c>
      <c r="AT28" s="46">
        <f t="shared" si="34"/>
        <v>86889</v>
      </c>
      <c r="AU28" s="46">
        <f t="shared" si="35"/>
        <v>-43080</v>
      </c>
      <c r="AV28" s="46">
        <v>0</v>
      </c>
      <c r="AW28" s="46">
        <f t="shared" si="36"/>
        <v>938815</v>
      </c>
      <c r="AX28" s="46">
        <f t="shared" si="37"/>
        <v>0</v>
      </c>
      <c r="AY28" s="46">
        <f t="shared" si="38"/>
        <v>295634</v>
      </c>
      <c r="AZ28" s="46">
        <f t="shared" si="39"/>
        <v>0</v>
      </c>
      <c r="BA28" s="46">
        <f t="shared" si="40"/>
        <v>197691</v>
      </c>
      <c r="BB28" s="46"/>
      <c r="BC28" s="46">
        <f t="shared" si="41"/>
        <v>493325</v>
      </c>
      <c r="BD28" s="46">
        <f t="shared" si="42"/>
        <v>197691</v>
      </c>
      <c r="BE28" s="46">
        <f t="shared" si="43"/>
        <v>572309</v>
      </c>
      <c r="BF28" s="46">
        <f t="shared" si="44"/>
        <v>21301</v>
      </c>
      <c r="BG28" s="46">
        <f t="shared" si="45"/>
        <v>0</v>
      </c>
      <c r="BH28" s="46">
        <v>0</v>
      </c>
      <c r="BI28" s="46">
        <f t="shared" si="46"/>
        <v>593610</v>
      </c>
      <c r="BJ28" s="46">
        <f t="shared" si="47"/>
        <v>197691</v>
      </c>
      <c r="BK28" s="46">
        <f t="shared" si="48"/>
        <v>1207546</v>
      </c>
      <c r="BL28" s="46">
        <f t="shared" si="49"/>
        <v>0</v>
      </c>
      <c r="BM28" s="46">
        <f t="shared" si="50"/>
        <v>-197691</v>
      </c>
      <c r="BN28" s="46">
        <v>0</v>
      </c>
      <c r="BO28" s="46">
        <f t="shared" si="51"/>
        <v>1009855</v>
      </c>
      <c r="BP28" s="46">
        <f t="shared" si="52"/>
        <v>0</v>
      </c>
      <c r="BQ28" s="46">
        <f t="shared" si="53"/>
        <v>448172</v>
      </c>
      <c r="BR28" s="46">
        <f t="shared" si="54"/>
        <v>0</v>
      </c>
      <c r="BS28" s="46">
        <f t="shared" si="55"/>
        <v>45153</v>
      </c>
      <c r="BT28" s="46">
        <v>0</v>
      </c>
      <c r="BU28" s="46">
        <f t="shared" si="56"/>
        <v>493325</v>
      </c>
      <c r="BV28" s="46">
        <f t="shared" si="57"/>
        <v>45153</v>
      </c>
      <c r="BW28" s="46">
        <f t="shared" si="58"/>
        <v>858822</v>
      </c>
      <c r="BX28" s="46">
        <f t="shared" si="59"/>
        <v>139997</v>
      </c>
      <c r="BY28" s="46">
        <f t="shared" si="60"/>
        <v>-45153</v>
      </c>
      <c r="BZ28" s="46">
        <v>0</v>
      </c>
      <c r="CA28" s="46">
        <f t="shared" si="61"/>
        <v>953666</v>
      </c>
      <c r="CB28" s="46">
        <f t="shared" si="62"/>
        <v>0</v>
      </c>
      <c r="CC28" s="155">
        <f t="shared" si="66"/>
        <v>0</v>
      </c>
      <c r="CD28" s="79" t="s">
        <v>538</v>
      </c>
      <c r="CE28" s="65">
        <f t="shared" si="67"/>
        <v>493325</v>
      </c>
      <c r="CF28" s="65">
        <f t="shared" si="68"/>
        <v>493325</v>
      </c>
      <c r="CG28" s="65">
        <f t="shared" si="69"/>
        <v>491955</v>
      </c>
      <c r="CH28" s="65">
        <f t="shared" si="70"/>
        <v>493325</v>
      </c>
      <c r="CI28" s="65">
        <f t="shared" si="71"/>
        <v>1572075</v>
      </c>
      <c r="CJ28" s="65">
        <f t="shared" si="72"/>
        <v>508194</v>
      </c>
      <c r="CK28" s="65">
        <f t="shared" si="73"/>
        <v>938815</v>
      </c>
      <c r="CL28" s="65">
        <f t="shared" si="74"/>
        <v>493325</v>
      </c>
      <c r="CM28" s="65">
        <f t="shared" si="75"/>
        <v>593610</v>
      </c>
      <c r="CN28" s="65">
        <f t="shared" si="76"/>
        <v>1009855</v>
      </c>
      <c r="CO28" s="65">
        <f t="shared" si="77"/>
        <v>493325</v>
      </c>
      <c r="CP28" s="65">
        <f t="shared" si="78"/>
        <v>953666</v>
      </c>
      <c r="CQ28" s="40" t="s">
        <v>538</v>
      </c>
    </row>
    <row r="29" spans="1:95" ht="3" customHeight="1" x14ac:dyDescent="0.25">
      <c r="A29" s="39">
        <v>1</v>
      </c>
      <c r="B29" s="28">
        <v>3302</v>
      </c>
      <c r="C29" s="28" t="s">
        <v>77</v>
      </c>
      <c r="D29" s="48">
        <f>+DATA!Q27</f>
        <v>2125846.986</v>
      </c>
      <c r="E29" s="48">
        <f t="shared" si="63"/>
        <v>139952</v>
      </c>
      <c r="F29" s="48">
        <f t="shared" si="64"/>
        <v>212585</v>
      </c>
      <c r="G29" s="49">
        <f>VLOOKUP(B29,'CALC MEC ESTAB Y ESTIM M FINAL'!$B$7:$F$352,5,0)</f>
        <v>1.0982444626999998E-3</v>
      </c>
      <c r="H29" s="49">
        <f>VLOOKUP(B29,'CALC MEC ESTAB Y ESTIM M FINAL'!$B$7:$R$352,17,0)</f>
        <v>-4.4271672800000001E-5</v>
      </c>
      <c r="I29" s="46">
        <f t="shared" si="4"/>
        <v>86902</v>
      </c>
      <c r="J29" s="46">
        <f t="shared" si="5"/>
        <v>0</v>
      </c>
      <c r="K29" s="46">
        <f t="shared" si="65"/>
        <v>53050</v>
      </c>
      <c r="L29" s="46">
        <v>0</v>
      </c>
      <c r="M29" s="46">
        <f t="shared" si="6"/>
        <v>139952</v>
      </c>
      <c r="N29" s="46">
        <f t="shared" si="7"/>
        <v>53050</v>
      </c>
      <c r="O29" s="46">
        <f t="shared" si="8"/>
        <v>46212</v>
      </c>
      <c r="P29" s="46">
        <f t="shared" si="9"/>
        <v>0</v>
      </c>
      <c r="Q29" s="46">
        <f t="shared" si="10"/>
        <v>93740</v>
      </c>
      <c r="R29" s="46">
        <v>0</v>
      </c>
      <c r="S29" s="46">
        <f t="shared" si="11"/>
        <v>139952</v>
      </c>
      <c r="T29" s="46">
        <f t="shared" si="12"/>
        <v>146790</v>
      </c>
      <c r="U29" s="46">
        <f t="shared" si="13"/>
        <v>131832</v>
      </c>
      <c r="V29" s="46">
        <f t="shared" si="14"/>
        <v>0</v>
      </c>
      <c r="W29" s="46">
        <f t="shared" si="15"/>
        <v>0</v>
      </c>
      <c r="X29" s="46">
        <v>0</v>
      </c>
      <c r="Y29" s="46">
        <f t="shared" si="16"/>
        <v>131832</v>
      </c>
      <c r="Z29" s="46">
        <f t="shared" si="17"/>
        <v>146790</v>
      </c>
      <c r="AA29" s="46">
        <f t="shared" si="18"/>
        <v>70001</v>
      </c>
      <c r="AB29" s="46">
        <f t="shared" si="19"/>
        <v>0</v>
      </c>
      <c r="AC29" s="46">
        <f t="shared" si="20"/>
        <v>69951</v>
      </c>
      <c r="AD29" s="46">
        <v>0</v>
      </c>
      <c r="AE29" s="46">
        <f t="shared" si="21"/>
        <v>139952</v>
      </c>
      <c r="AF29" s="46">
        <f t="shared" si="22"/>
        <v>216741</v>
      </c>
      <c r="AG29" s="46">
        <f t="shared" si="23"/>
        <v>609136</v>
      </c>
      <c r="AH29" s="46">
        <f t="shared" si="24"/>
        <v>5622</v>
      </c>
      <c r="AI29" s="46">
        <f t="shared" si="25"/>
        <v>-216741</v>
      </c>
      <c r="AJ29" s="46">
        <v>0</v>
      </c>
      <c r="AK29" s="46">
        <f t="shared" si="26"/>
        <v>398017</v>
      </c>
      <c r="AL29" s="46">
        <f t="shared" si="27"/>
        <v>0</v>
      </c>
      <c r="AM29" s="46">
        <f t="shared" si="28"/>
        <v>120654</v>
      </c>
      <c r="AN29" s="46">
        <f t="shared" si="29"/>
        <v>3984</v>
      </c>
      <c r="AO29" s="46">
        <f t="shared" si="30"/>
        <v>19298</v>
      </c>
      <c r="AP29" s="46">
        <v>0</v>
      </c>
      <c r="AQ29" s="46">
        <f t="shared" si="31"/>
        <v>143936</v>
      </c>
      <c r="AR29" s="46">
        <f t="shared" si="32"/>
        <v>19298</v>
      </c>
      <c r="AS29" s="46">
        <f t="shared" si="33"/>
        <v>239839</v>
      </c>
      <c r="AT29" s="46">
        <f t="shared" si="34"/>
        <v>23284</v>
      </c>
      <c r="AU29" s="46">
        <f t="shared" si="35"/>
        <v>-19298</v>
      </c>
      <c r="AV29" s="46">
        <v>0</v>
      </c>
      <c r="AW29" s="46">
        <f t="shared" si="36"/>
        <v>243825</v>
      </c>
      <c r="AX29" s="46">
        <f t="shared" si="37"/>
        <v>0</v>
      </c>
      <c r="AY29" s="46">
        <f t="shared" si="38"/>
        <v>79223</v>
      </c>
      <c r="AZ29" s="46">
        <f t="shared" si="39"/>
        <v>0</v>
      </c>
      <c r="BA29" s="46">
        <f t="shared" si="40"/>
        <v>60729</v>
      </c>
      <c r="BB29" s="46"/>
      <c r="BC29" s="46">
        <f t="shared" si="41"/>
        <v>139952</v>
      </c>
      <c r="BD29" s="46">
        <f t="shared" si="42"/>
        <v>60729</v>
      </c>
      <c r="BE29" s="46">
        <f t="shared" si="43"/>
        <v>153364</v>
      </c>
      <c r="BF29" s="46">
        <f t="shared" si="44"/>
        <v>5708</v>
      </c>
      <c r="BG29" s="46">
        <f t="shared" si="45"/>
        <v>0</v>
      </c>
      <c r="BH29" s="46">
        <v>0</v>
      </c>
      <c r="BI29" s="46">
        <f t="shared" si="46"/>
        <v>159072</v>
      </c>
      <c r="BJ29" s="46">
        <f t="shared" si="47"/>
        <v>60729</v>
      </c>
      <c r="BK29" s="46">
        <f t="shared" si="48"/>
        <v>323592</v>
      </c>
      <c r="BL29" s="46">
        <f t="shared" si="49"/>
        <v>0</v>
      </c>
      <c r="BM29" s="46">
        <f t="shared" si="50"/>
        <v>-60729</v>
      </c>
      <c r="BN29" s="46">
        <v>0</v>
      </c>
      <c r="BO29" s="46">
        <f t="shared" si="51"/>
        <v>262863</v>
      </c>
      <c r="BP29" s="46">
        <f t="shared" si="52"/>
        <v>0</v>
      </c>
      <c r="BQ29" s="46">
        <f t="shared" si="53"/>
        <v>120099</v>
      </c>
      <c r="BR29" s="46">
        <f t="shared" si="54"/>
        <v>0</v>
      </c>
      <c r="BS29" s="46">
        <f t="shared" si="55"/>
        <v>19853</v>
      </c>
      <c r="BT29" s="46">
        <v>0</v>
      </c>
      <c r="BU29" s="46">
        <f t="shared" si="56"/>
        <v>139952</v>
      </c>
      <c r="BV29" s="46">
        <f t="shared" si="57"/>
        <v>19853</v>
      </c>
      <c r="BW29" s="46">
        <f t="shared" si="58"/>
        <v>230143</v>
      </c>
      <c r="BX29" s="46">
        <f t="shared" si="59"/>
        <v>37516</v>
      </c>
      <c r="BY29" s="46">
        <f t="shared" si="60"/>
        <v>-19853</v>
      </c>
      <c r="BZ29" s="46">
        <v>0</v>
      </c>
      <c r="CA29" s="46">
        <f t="shared" si="61"/>
        <v>247806</v>
      </c>
      <c r="CB29" s="46">
        <f t="shared" si="62"/>
        <v>0</v>
      </c>
      <c r="CC29" s="155">
        <f t="shared" si="66"/>
        <v>0</v>
      </c>
      <c r="CD29" s="79" t="s">
        <v>538</v>
      </c>
      <c r="CE29" s="65">
        <f t="shared" si="67"/>
        <v>139952</v>
      </c>
      <c r="CF29" s="65">
        <f t="shared" si="68"/>
        <v>139952</v>
      </c>
      <c r="CG29" s="65">
        <f t="shared" si="69"/>
        <v>131832</v>
      </c>
      <c r="CH29" s="65">
        <f t="shared" si="70"/>
        <v>139952</v>
      </c>
      <c r="CI29" s="65">
        <f t="shared" si="71"/>
        <v>398017</v>
      </c>
      <c r="CJ29" s="65">
        <f t="shared" si="72"/>
        <v>143936</v>
      </c>
      <c r="CK29" s="65">
        <f t="shared" si="73"/>
        <v>243825</v>
      </c>
      <c r="CL29" s="65">
        <f t="shared" si="74"/>
        <v>139952</v>
      </c>
      <c r="CM29" s="65">
        <f t="shared" si="75"/>
        <v>159072</v>
      </c>
      <c r="CN29" s="65">
        <f t="shared" si="76"/>
        <v>262863</v>
      </c>
      <c r="CO29" s="65">
        <f t="shared" si="77"/>
        <v>139952</v>
      </c>
      <c r="CP29" s="65">
        <f t="shared" si="78"/>
        <v>247806</v>
      </c>
      <c r="CQ29" s="40" t="s">
        <v>538</v>
      </c>
    </row>
    <row r="30" spans="1:95" ht="3" customHeight="1" x14ac:dyDescent="0.25">
      <c r="A30" s="39">
        <v>1</v>
      </c>
      <c r="B30" s="28">
        <v>3303</v>
      </c>
      <c r="C30" s="28" t="s">
        <v>75</v>
      </c>
      <c r="D30" s="48">
        <f>+DATA!Q28</f>
        <v>2061809.8259999999</v>
      </c>
      <c r="E30" s="48">
        <f t="shared" si="63"/>
        <v>135736</v>
      </c>
      <c r="F30" s="48">
        <f t="shared" si="64"/>
        <v>206181</v>
      </c>
      <c r="G30" s="49">
        <f>VLOOKUP(B30,'CALC MEC ESTAB Y ESTIM M FINAL'!$B$7:$F$352,5,0)</f>
        <v>1.0675685584999998E-3</v>
      </c>
      <c r="H30" s="49">
        <f>VLOOKUP(B30,'CALC MEC ESTAB Y ESTIM M FINAL'!$B$7:$R$352,17,0)</f>
        <v>-4.4211426799999999E-5</v>
      </c>
      <c r="I30" s="46">
        <f t="shared" si="4"/>
        <v>84378</v>
      </c>
      <c r="J30" s="46">
        <f t="shared" si="5"/>
        <v>0</v>
      </c>
      <c r="K30" s="46">
        <f t="shared" si="65"/>
        <v>51358</v>
      </c>
      <c r="L30" s="46">
        <v>0</v>
      </c>
      <c r="M30" s="46">
        <f t="shared" si="6"/>
        <v>135736</v>
      </c>
      <c r="N30" s="46">
        <f t="shared" si="7"/>
        <v>51358</v>
      </c>
      <c r="O30" s="46">
        <f t="shared" si="8"/>
        <v>44869</v>
      </c>
      <c r="P30" s="46">
        <f t="shared" si="9"/>
        <v>0</v>
      </c>
      <c r="Q30" s="46">
        <f t="shared" si="10"/>
        <v>90867</v>
      </c>
      <c r="R30" s="46">
        <v>0</v>
      </c>
      <c r="S30" s="46">
        <f t="shared" si="11"/>
        <v>135736</v>
      </c>
      <c r="T30" s="46">
        <f t="shared" si="12"/>
        <v>142225</v>
      </c>
      <c r="U30" s="46">
        <f t="shared" si="13"/>
        <v>128002</v>
      </c>
      <c r="V30" s="46">
        <f t="shared" si="14"/>
        <v>0</v>
      </c>
      <c r="W30" s="46">
        <f t="shared" si="15"/>
        <v>0</v>
      </c>
      <c r="X30" s="46">
        <v>0</v>
      </c>
      <c r="Y30" s="46">
        <f t="shared" si="16"/>
        <v>128002</v>
      </c>
      <c r="Z30" s="46">
        <f t="shared" si="17"/>
        <v>142225</v>
      </c>
      <c r="AA30" s="46">
        <f t="shared" si="18"/>
        <v>67967</v>
      </c>
      <c r="AB30" s="46">
        <f t="shared" si="19"/>
        <v>0</v>
      </c>
      <c r="AC30" s="46">
        <f t="shared" si="20"/>
        <v>67769</v>
      </c>
      <c r="AD30" s="46">
        <v>0</v>
      </c>
      <c r="AE30" s="46">
        <f t="shared" si="21"/>
        <v>135736</v>
      </c>
      <c r="AF30" s="46">
        <f t="shared" si="22"/>
        <v>209994</v>
      </c>
      <c r="AG30" s="46">
        <f t="shared" si="23"/>
        <v>591442</v>
      </c>
      <c r="AH30" s="46">
        <f t="shared" si="24"/>
        <v>5459</v>
      </c>
      <c r="AI30" s="46">
        <f t="shared" si="25"/>
        <v>-209994</v>
      </c>
      <c r="AJ30" s="46">
        <v>0</v>
      </c>
      <c r="AK30" s="46">
        <f t="shared" si="26"/>
        <v>386907</v>
      </c>
      <c r="AL30" s="46">
        <f t="shared" si="27"/>
        <v>0</v>
      </c>
      <c r="AM30" s="46">
        <f t="shared" si="28"/>
        <v>117149</v>
      </c>
      <c r="AN30" s="46">
        <f t="shared" si="29"/>
        <v>3869</v>
      </c>
      <c r="AO30" s="46">
        <f t="shared" si="30"/>
        <v>18587</v>
      </c>
      <c r="AP30" s="46">
        <v>0</v>
      </c>
      <c r="AQ30" s="46">
        <f t="shared" si="31"/>
        <v>139605</v>
      </c>
      <c r="AR30" s="46">
        <f t="shared" si="32"/>
        <v>18587</v>
      </c>
      <c r="AS30" s="46">
        <f t="shared" si="33"/>
        <v>232872</v>
      </c>
      <c r="AT30" s="46">
        <f t="shared" si="34"/>
        <v>22608</v>
      </c>
      <c r="AU30" s="46">
        <f t="shared" si="35"/>
        <v>-18587</v>
      </c>
      <c r="AV30" s="46">
        <v>0</v>
      </c>
      <c r="AW30" s="46">
        <f t="shared" si="36"/>
        <v>236893</v>
      </c>
      <c r="AX30" s="46">
        <f t="shared" si="37"/>
        <v>0</v>
      </c>
      <c r="AY30" s="46">
        <f t="shared" si="38"/>
        <v>76921</v>
      </c>
      <c r="AZ30" s="46">
        <f t="shared" si="39"/>
        <v>0</v>
      </c>
      <c r="BA30" s="46">
        <f t="shared" si="40"/>
        <v>58815</v>
      </c>
      <c r="BB30" s="46"/>
      <c r="BC30" s="46">
        <f t="shared" si="41"/>
        <v>135736</v>
      </c>
      <c r="BD30" s="46">
        <f t="shared" si="42"/>
        <v>58815</v>
      </c>
      <c r="BE30" s="46">
        <f t="shared" si="43"/>
        <v>148909</v>
      </c>
      <c r="BF30" s="46">
        <f t="shared" si="44"/>
        <v>5542</v>
      </c>
      <c r="BG30" s="46">
        <f t="shared" si="45"/>
        <v>0</v>
      </c>
      <c r="BH30" s="46">
        <v>0</v>
      </c>
      <c r="BI30" s="46">
        <f t="shared" si="46"/>
        <v>154451</v>
      </c>
      <c r="BJ30" s="46">
        <f t="shared" si="47"/>
        <v>58815</v>
      </c>
      <c r="BK30" s="46">
        <f t="shared" si="48"/>
        <v>314192</v>
      </c>
      <c r="BL30" s="46">
        <f t="shared" si="49"/>
        <v>0</v>
      </c>
      <c r="BM30" s="46">
        <f t="shared" si="50"/>
        <v>-58815</v>
      </c>
      <c r="BN30" s="46">
        <v>0</v>
      </c>
      <c r="BO30" s="46">
        <f t="shared" si="51"/>
        <v>255377</v>
      </c>
      <c r="BP30" s="46">
        <f t="shared" si="52"/>
        <v>0</v>
      </c>
      <c r="BQ30" s="46">
        <f t="shared" si="53"/>
        <v>116610</v>
      </c>
      <c r="BR30" s="46">
        <f t="shared" si="54"/>
        <v>0</v>
      </c>
      <c r="BS30" s="46">
        <f t="shared" si="55"/>
        <v>19126</v>
      </c>
      <c r="BT30" s="46">
        <v>0</v>
      </c>
      <c r="BU30" s="46">
        <f t="shared" si="56"/>
        <v>135736</v>
      </c>
      <c r="BV30" s="46">
        <f t="shared" si="57"/>
        <v>19126</v>
      </c>
      <c r="BW30" s="46">
        <f t="shared" si="58"/>
        <v>223457</v>
      </c>
      <c r="BX30" s="46">
        <f t="shared" si="59"/>
        <v>36426</v>
      </c>
      <c r="BY30" s="46">
        <f t="shared" si="60"/>
        <v>-19126</v>
      </c>
      <c r="BZ30" s="46">
        <v>0</v>
      </c>
      <c r="CA30" s="46">
        <f t="shared" si="61"/>
        <v>240757</v>
      </c>
      <c r="CB30" s="46">
        <f t="shared" si="62"/>
        <v>0</v>
      </c>
      <c r="CC30" s="155">
        <f t="shared" si="66"/>
        <v>0</v>
      </c>
      <c r="CD30" s="79" t="s">
        <v>538</v>
      </c>
      <c r="CE30" s="65">
        <f t="shared" si="67"/>
        <v>135736</v>
      </c>
      <c r="CF30" s="65">
        <f t="shared" si="68"/>
        <v>135736</v>
      </c>
      <c r="CG30" s="65">
        <f t="shared" si="69"/>
        <v>128002</v>
      </c>
      <c r="CH30" s="65">
        <f t="shared" si="70"/>
        <v>135736</v>
      </c>
      <c r="CI30" s="65">
        <f t="shared" si="71"/>
        <v>386907</v>
      </c>
      <c r="CJ30" s="65">
        <f t="shared" si="72"/>
        <v>139605</v>
      </c>
      <c r="CK30" s="65">
        <f t="shared" si="73"/>
        <v>236893</v>
      </c>
      <c r="CL30" s="65">
        <f t="shared" si="74"/>
        <v>135736</v>
      </c>
      <c r="CM30" s="65">
        <f t="shared" si="75"/>
        <v>154451</v>
      </c>
      <c r="CN30" s="65">
        <f t="shared" si="76"/>
        <v>255377</v>
      </c>
      <c r="CO30" s="65">
        <f t="shared" si="77"/>
        <v>135736</v>
      </c>
      <c r="CP30" s="65">
        <f t="shared" si="78"/>
        <v>240757</v>
      </c>
      <c r="CQ30" s="40" t="s">
        <v>538</v>
      </c>
    </row>
    <row r="31" spans="1:95" ht="3" customHeight="1" x14ac:dyDescent="0.25">
      <c r="A31" s="39">
        <v>1</v>
      </c>
      <c r="B31" s="28">
        <v>3304</v>
      </c>
      <c r="C31" s="28" t="s">
        <v>76</v>
      </c>
      <c r="D31" s="48">
        <f>+DATA!Q29</f>
        <v>2960258.4419999998</v>
      </c>
      <c r="E31" s="48">
        <f t="shared" si="63"/>
        <v>194884</v>
      </c>
      <c r="F31" s="48">
        <f t="shared" si="64"/>
        <v>296026</v>
      </c>
      <c r="G31" s="49">
        <f>VLOOKUP(B31,'CALC MEC ESTAB Y ESTIM M FINAL'!$B$7:$F$352,5,0)</f>
        <v>1.6927900738999998E-3</v>
      </c>
      <c r="H31" s="49">
        <f>VLOOKUP(B31,'CALC MEC ESTAB Y ESTIM M FINAL'!$B$7:$R$352,17,0)</f>
        <v>-1.509201841E-4</v>
      </c>
      <c r="I31" s="46">
        <f t="shared" si="4"/>
        <v>127130</v>
      </c>
      <c r="J31" s="46">
        <f t="shared" si="5"/>
        <v>0</v>
      </c>
      <c r="K31" s="46">
        <f t="shared" si="65"/>
        <v>67754</v>
      </c>
      <c r="L31" s="46">
        <v>0</v>
      </c>
      <c r="M31" s="46">
        <f t="shared" si="6"/>
        <v>194884</v>
      </c>
      <c r="N31" s="46">
        <f t="shared" si="7"/>
        <v>67754</v>
      </c>
      <c r="O31" s="46">
        <f t="shared" si="8"/>
        <v>67604</v>
      </c>
      <c r="P31" s="46">
        <f t="shared" si="9"/>
        <v>0</v>
      </c>
      <c r="Q31" s="46">
        <f t="shared" si="10"/>
        <v>127280</v>
      </c>
      <c r="R31" s="46">
        <v>0</v>
      </c>
      <c r="S31" s="46">
        <f t="shared" si="11"/>
        <v>194884</v>
      </c>
      <c r="T31" s="46">
        <f t="shared" si="12"/>
        <v>195034</v>
      </c>
      <c r="U31" s="46">
        <f t="shared" si="13"/>
        <v>192858</v>
      </c>
      <c r="V31" s="46">
        <f t="shared" si="14"/>
        <v>0</v>
      </c>
      <c r="W31" s="46">
        <f t="shared" si="15"/>
        <v>0</v>
      </c>
      <c r="X31" s="46">
        <v>0</v>
      </c>
      <c r="Y31" s="46">
        <f t="shared" si="16"/>
        <v>192858</v>
      </c>
      <c r="Z31" s="46">
        <f t="shared" si="17"/>
        <v>195034</v>
      </c>
      <c r="AA31" s="46">
        <f t="shared" si="18"/>
        <v>102405</v>
      </c>
      <c r="AB31" s="46">
        <f t="shared" si="19"/>
        <v>0</v>
      </c>
      <c r="AC31" s="46">
        <f t="shared" si="20"/>
        <v>92479</v>
      </c>
      <c r="AD31" s="46">
        <v>0</v>
      </c>
      <c r="AE31" s="46">
        <f t="shared" si="21"/>
        <v>194884</v>
      </c>
      <c r="AF31" s="46">
        <f t="shared" si="22"/>
        <v>287513</v>
      </c>
      <c r="AG31" s="46">
        <f t="shared" si="23"/>
        <v>891112</v>
      </c>
      <c r="AH31" s="46">
        <f t="shared" si="24"/>
        <v>8225</v>
      </c>
      <c r="AI31" s="46">
        <f t="shared" si="25"/>
        <v>-287513</v>
      </c>
      <c r="AJ31" s="46">
        <v>0</v>
      </c>
      <c r="AK31" s="46">
        <f t="shared" si="26"/>
        <v>611824</v>
      </c>
      <c r="AL31" s="46">
        <f t="shared" si="27"/>
        <v>0</v>
      </c>
      <c r="AM31" s="46">
        <f t="shared" si="28"/>
        <v>176507</v>
      </c>
      <c r="AN31" s="46">
        <f t="shared" si="29"/>
        <v>5829</v>
      </c>
      <c r="AO31" s="46">
        <f t="shared" si="30"/>
        <v>18377</v>
      </c>
      <c r="AP31" s="46">
        <v>0</v>
      </c>
      <c r="AQ31" s="46">
        <f t="shared" si="31"/>
        <v>200713</v>
      </c>
      <c r="AR31" s="46">
        <f t="shared" si="32"/>
        <v>18377</v>
      </c>
      <c r="AS31" s="46">
        <f t="shared" si="33"/>
        <v>350864</v>
      </c>
      <c r="AT31" s="46">
        <f t="shared" si="34"/>
        <v>34062</v>
      </c>
      <c r="AU31" s="46">
        <f t="shared" si="35"/>
        <v>-18377</v>
      </c>
      <c r="AV31" s="46">
        <v>0</v>
      </c>
      <c r="AW31" s="46">
        <f t="shared" si="36"/>
        <v>366549</v>
      </c>
      <c r="AX31" s="46">
        <f t="shared" si="37"/>
        <v>0</v>
      </c>
      <c r="AY31" s="46">
        <f t="shared" si="38"/>
        <v>115896</v>
      </c>
      <c r="AZ31" s="46">
        <f t="shared" si="39"/>
        <v>0</v>
      </c>
      <c r="BA31" s="46">
        <f t="shared" si="40"/>
        <v>78988</v>
      </c>
      <c r="BB31" s="46"/>
      <c r="BC31" s="46">
        <f t="shared" si="41"/>
        <v>194884</v>
      </c>
      <c r="BD31" s="46">
        <f t="shared" si="42"/>
        <v>78988</v>
      </c>
      <c r="BE31" s="46">
        <f t="shared" si="43"/>
        <v>224359</v>
      </c>
      <c r="BF31" s="46">
        <f t="shared" si="44"/>
        <v>8350</v>
      </c>
      <c r="BG31" s="46">
        <f t="shared" si="45"/>
        <v>0</v>
      </c>
      <c r="BH31" s="46">
        <v>0</v>
      </c>
      <c r="BI31" s="46">
        <f t="shared" si="46"/>
        <v>232709</v>
      </c>
      <c r="BJ31" s="46">
        <f t="shared" si="47"/>
        <v>78988</v>
      </c>
      <c r="BK31" s="46">
        <f t="shared" si="48"/>
        <v>473387</v>
      </c>
      <c r="BL31" s="46">
        <f t="shared" si="49"/>
        <v>0</v>
      </c>
      <c r="BM31" s="46">
        <f t="shared" si="50"/>
        <v>-78988</v>
      </c>
      <c r="BN31" s="46">
        <v>0</v>
      </c>
      <c r="BO31" s="46">
        <f t="shared" si="51"/>
        <v>394399</v>
      </c>
      <c r="BP31" s="46">
        <f t="shared" si="52"/>
        <v>0</v>
      </c>
      <c r="BQ31" s="46">
        <f t="shared" si="53"/>
        <v>175694</v>
      </c>
      <c r="BR31" s="46">
        <f t="shared" si="54"/>
        <v>0</v>
      </c>
      <c r="BS31" s="46">
        <f t="shared" si="55"/>
        <v>19190</v>
      </c>
      <c r="BT31" s="46">
        <v>0</v>
      </c>
      <c r="BU31" s="46">
        <f t="shared" si="56"/>
        <v>194884</v>
      </c>
      <c r="BV31" s="46">
        <f t="shared" si="57"/>
        <v>19190</v>
      </c>
      <c r="BW31" s="46">
        <f t="shared" si="58"/>
        <v>336679</v>
      </c>
      <c r="BX31" s="46">
        <f t="shared" si="59"/>
        <v>54882</v>
      </c>
      <c r="BY31" s="46">
        <f t="shared" si="60"/>
        <v>-19190</v>
      </c>
      <c r="BZ31" s="46">
        <v>0</v>
      </c>
      <c r="CA31" s="46">
        <f t="shared" si="61"/>
        <v>372371</v>
      </c>
      <c r="CB31" s="46">
        <f t="shared" si="62"/>
        <v>0</v>
      </c>
      <c r="CC31" s="155">
        <f t="shared" si="66"/>
        <v>0</v>
      </c>
      <c r="CD31" s="79" t="s">
        <v>538</v>
      </c>
      <c r="CE31" s="65">
        <f t="shared" si="67"/>
        <v>194884</v>
      </c>
      <c r="CF31" s="65">
        <f t="shared" si="68"/>
        <v>194884</v>
      </c>
      <c r="CG31" s="65">
        <f t="shared" si="69"/>
        <v>192858</v>
      </c>
      <c r="CH31" s="65">
        <f t="shared" si="70"/>
        <v>194884</v>
      </c>
      <c r="CI31" s="65">
        <f t="shared" si="71"/>
        <v>611824</v>
      </c>
      <c r="CJ31" s="65">
        <f t="shared" si="72"/>
        <v>200713</v>
      </c>
      <c r="CK31" s="65">
        <f t="shared" si="73"/>
        <v>366549</v>
      </c>
      <c r="CL31" s="65">
        <f t="shared" si="74"/>
        <v>194884</v>
      </c>
      <c r="CM31" s="65">
        <f t="shared" si="75"/>
        <v>232709</v>
      </c>
      <c r="CN31" s="65">
        <f t="shared" si="76"/>
        <v>394399</v>
      </c>
      <c r="CO31" s="65">
        <f t="shared" si="77"/>
        <v>194884</v>
      </c>
      <c r="CP31" s="65">
        <f t="shared" si="78"/>
        <v>372371</v>
      </c>
      <c r="CQ31" s="40" t="s">
        <v>538</v>
      </c>
    </row>
    <row r="32" spans="1:95" ht="3" customHeight="1" x14ac:dyDescent="0.25">
      <c r="A32" s="39">
        <v>1</v>
      </c>
      <c r="B32" s="28">
        <v>4101</v>
      </c>
      <c r="C32" s="28" t="s">
        <v>78</v>
      </c>
      <c r="D32" s="48">
        <f>+DATA!Q30</f>
        <v>11509607.446</v>
      </c>
      <c r="E32" s="48">
        <f t="shared" si="63"/>
        <v>757716</v>
      </c>
      <c r="F32" s="48">
        <f t="shared" si="64"/>
        <v>1150961</v>
      </c>
      <c r="G32" s="49">
        <f>VLOOKUP(B32,'CALC MEC ESTAB Y ESTIM M FINAL'!$B$7:$F$352,5,0)</f>
        <v>4.2805304101000002E-3</v>
      </c>
      <c r="H32" s="49">
        <f>VLOOKUP(B32,'CALC MEC ESTAB Y ESTIM M FINAL'!$B$7:$R$352,17,0)</f>
        <v>1.2222228648000001E-3</v>
      </c>
      <c r="I32" s="46">
        <f t="shared" si="4"/>
        <v>453714</v>
      </c>
      <c r="J32" s="46">
        <f t="shared" si="5"/>
        <v>0</v>
      </c>
      <c r="K32" s="46">
        <f t="shared" si="65"/>
        <v>304002</v>
      </c>
      <c r="L32" s="46">
        <v>0</v>
      </c>
      <c r="M32" s="46">
        <f t="shared" si="6"/>
        <v>757716</v>
      </c>
      <c r="N32" s="46">
        <f t="shared" si="7"/>
        <v>304002</v>
      </c>
      <c r="O32" s="46">
        <f t="shared" si="8"/>
        <v>241270</v>
      </c>
      <c r="P32" s="46">
        <f t="shared" si="9"/>
        <v>0</v>
      </c>
      <c r="Q32" s="46">
        <f t="shared" si="10"/>
        <v>516446</v>
      </c>
      <c r="R32" s="46">
        <v>0</v>
      </c>
      <c r="S32" s="46">
        <f t="shared" si="11"/>
        <v>757716</v>
      </c>
      <c r="T32" s="46">
        <f t="shared" si="12"/>
        <v>820448</v>
      </c>
      <c r="U32" s="46">
        <f t="shared" si="13"/>
        <v>688288</v>
      </c>
      <c r="V32" s="46">
        <f t="shared" si="14"/>
        <v>0</v>
      </c>
      <c r="W32" s="46">
        <f t="shared" si="15"/>
        <v>0</v>
      </c>
      <c r="X32" s="46">
        <v>0</v>
      </c>
      <c r="Y32" s="46">
        <f t="shared" si="16"/>
        <v>688288</v>
      </c>
      <c r="Z32" s="46">
        <f t="shared" si="17"/>
        <v>820448</v>
      </c>
      <c r="AA32" s="46">
        <f t="shared" si="18"/>
        <v>365470</v>
      </c>
      <c r="AB32" s="46">
        <f t="shared" si="19"/>
        <v>0</v>
      </c>
      <c r="AC32" s="46">
        <f t="shared" si="20"/>
        <v>392246</v>
      </c>
      <c r="AD32" s="46">
        <v>0</v>
      </c>
      <c r="AE32" s="46">
        <f t="shared" si="21"/>
        <v>757716</v>
      </c>
      <c r="AF32" s="46">
        <f t="shared" si="22"/>
        <v>1212694</v>
      </c>
      <c r="AG32" s="46">
        <f t="shared" si="23"/>
        <v>3180276</v>
      </c>
      <c r="AH32" s="46">
        <f t="shared" si="24"/>
        <v>29353</v>
      </c>
      <c r="AI32" s="46">
        <f t="shared" si="25"/>
        <v>-1212694</v>
      </c>
      <c r="AJ32" s="46">
        <v>0</v>
      </c>
      <c r="AK32" s="46">
        <f t="shared" si="26"/>
        <v>1996935</v>
      </c>
      <c r="AL32" s="46">
        <f t="shared" si="27"/>
        <v>0</v>
      </c>
      <c r="AM32" s="46">
        <f t="shared" si="28"/>
        <v>629931</v>
      </c>
      <c r="AN32" s="46">
        <f t="shared" si="29"/>
        <v>20803</v>
      </c>
      <c r="AO32" s="46">
        <f t="shared" si="30"/>
        <v>127785</v>
      </c>
      <c r="AP32" s="46">
        <v>0</v>
      </c>
      <c r="AQ32" s="46">
        <f t="shared" si="31"/>
        <v>778519</v>
      </c>
      <c r="AR32" s="46">
        <f t="shared" si="32"/>
        <v>127785</v>
      </c>
      <c r="AS32" s="46">
        <f t="shared" si="33"/>
        <v>1252191</v>
      </c>
      <c r="AT32" s="46">
        <f t="shared" si="34"/>
        <v>121565</v>
      </c>
      <c r="AU32" s="46">
        <f t="shared" si="35"/>
        <v>-101230</v>
      </c>
      <c r="AV32" s="46">
        <v>0</v>
      </c>
      <c r="AW32" s="46">
        <f t="shared" si="36"/>
        <v>1272526</v>
      </c>
      <c r="AX32" s="46">
        <f t="shared" si="37"/>
        <v>26555</v>
      </c>
      <c r="AY32" s="46">
        <f t="shared" si="38"/>
        <v>413618</v>
      </c>
      <c r="AZ32" s="46">
        <f t="shared" si="39"/>
        <v>0</v>
      </c>
      <c r="BA32" s="46">
        <f t="shared" si="40"/>
        <v>344098</v>
      </c>
      <c r="BB32" s="46"/>
      <c r="BC32" s="46">
        <f t="shared" si="41"/>
        <v>757716</v>
      </c>
      <c r="BD32" s="46">
        <f t="shared" si="42"/>
        <v>370653</v>
      </c>
      <c r="BE32" s="46">
        <f t="shared" si="43"/>
        <v>800710</v>
      </c>
      <c r="BF32" s="46">
        <f t="shared" si="44"/>
        <v>29802</v>
      </c>
      <c r="BG32" s="46">
        <f t="shared" si="45"/>
        <v>0</v>
      </c>
      <c r="BH32" s="46">
        <v>0</v>
      </c>
      <c r="BI32" s="46">
        <f t="shared" si="46"/>
        <v>830512</v>
      </c>
      <c r="BJ32" s="46">
        <f t="shared" si="47"/>
        <v>370653</v>
      </c>
      <c r="BK32" s="46">
        <f t="shared" si="48"/>
        <v>1689463</v>
      </c>
      <c r="BL32" s="46">
        <f t="shared" si="49"/>
        <v>0</v>
      </c>
      <c r="BM32" s="46">
        <f t="shared" si="50"/>
        <v>-370653</v>
      </c>
      <c r="BN32" s="46">
        <v>0</v>
      </c>
      <c r="BO32" s="46">
        <f t="shared" si="51"/>
        <v>1318810</v>
      </c>
      <c r="BP32" s="46">
        <f t="shared" si="52"/>
        <v>0</v>
      </c>
      <c r="BQ32" s="46">
        <f t="shared" si="53"/>
        <v>627032</v>
      </c>
      <c r="BR32" s="46">
        <f t="shared" si="54"/>
        <v>0</v>
      </c>
      <c r="BS32" s="46">
        <f t="shared" si="55"/>
        <v>130684</v>
      </c>
      <c r="BT32" s="46">
        <v>0</v>
      </c>
      <c r="BU32" s="46">
        <f t="shared" si="56"/>
        <v>757716</v>
      </c>
      <c r="BV32" s="46">
        <f t="shared" si="57"/>
        <v>130684</v>
      </c>
      <c r="BW32" s="46">
        <f t="shared" si="58"/>
        <v>1201566</v>
      </c>
      <c r="BX32" s="46">
        <f t="shared" si="59"/>
        <v>195868</v>
      </c>
      <c r="BY32" s="46">
        <f t="shared" si="60"/>
        <v>-130684</v>
      </c>
      <c r="BZ32" s="46">
        <v>0</v>
      </c>
      <c r="CA32" s="46">
        <f t="shared" si="61"/>
        <v>1266750</v>
      </c>
      <c r="CB32" s="46">
        <f t="shared" si="62"/>
        <v>0</v>
      </c>
      <c r="CC32" s="155">
        <f t="shared" si="66"/>
        <v>0</v>
      </c>
      <c r="CD32" s="79" t="s">
        <v>538</v>
      </c>
      <c r="CE32" s="65">
        <f t="shared" si="67"/>
        <v>757716</v>
      </c>
      <c r="CF32" s="65">
        <f t="shared" si="68"/>
        <v>757716</v>
      </c>
      <c r="CG32" s="65">
        <f t="shared" si="69"/>
        <v>688288</v>
      </c>
      <c r="CH32" s="65">
        <f t="shared" si="70"/>
        <v>757716</v>
      </c>
      <c r="CI32" s="65">
        <f t="shared" si="71"/>
        <v>1996935</v>
      </c>
      <c r="CJ32" s="65">
        <f t="shared" si="72"/>
        <v>778519</v>
      </c>
      <c r="CK32" s="65">
        <f t="shared" si="73"/>
        <v>1272526</v>
      </c>
      <c r="CL32" s="65">
        <f t="shared" si="74"/>
        <v>757716</v>
      </c>
      <c r="CM32" s="65">
        <f t="shared" si="75"/>
        <v>830512</v>
      </c>
      <c r="CN32" s="65">
        <f t="shared" si="76"/>
        <v>1318810</v>
      </c>
      <c r="CO32" s="65">
        <f t="shared" si="77"/>
        <v>757716</v>
      </c>
      <c r="CP32" s="65">
        <f t="shared" si="78"/>
        <v>1266750</v>
      </c>
      <c r="CQ32" s="40" t="s">
        <v>538</v>
      </c>
    </row>
    <row r="33" spans="1:95" ht="3" customHeight="1" x14ac:dyDescent="0.25">
      <c r="A33" s="39">
        <v>1</v>
      </c>
      <c r="B33" s="28">
        <v>4102</v>
      </c>
      <c r="C33" s="28" t="s">
        <v>80</v>
      </c>
      <c r="D33" s="48">
        <f>+DATA!Q31</f>
        <v>23533996.602000002</v>
      </c>
      <c r="E33" s="48">
        <f t="shared" si="63"/>
        <v>1549321</v>
      </c>
      <c r="F33" s="48">
        <f t="shared" si="64"/>
        <v>2353400</v>
      </c>
      <c r="G33" s="49">
        <f>VLOOKUP(B33,'CALC MEC ESTAB Y ESTIM M FINAL'!$B$7:$F$352,5,0)</f>
        <v>1.2365458046400001E-2</v>
      </c>
      <c r="H33" s="49">
        <f>VLOOKUP(B33,'CALC MEC ESTAB Y ESTIM M FINAL'!$B$7:$R$352,17,0)</f>
        <v>-6.0638617060000005E-4</v>
      </c>
      <c r="I33" s="46">
        <f t="shared" si="4"/>
        <v>969561</v>
      </c>
      <c r="J33" s="46">
        <f t="shared" si="5"/>
        <v>0</v>
      </c>
      <c r="K33" s="46">
        <f t="shared" si="65"/>
        <v>579760</v>
      </c>
      <c r="L33" s="46">
        <v>0</v>
      </c>
      <c r="M33" s="46">
        <f t="shared" si="6"/>
        <v>1549321</v>
      </c>
      <c r="N33" s="46">
        <f t="shared" si="7"/>
        <v>579760</v>
      </c>
      <c r="O33" s="46">
        <f t="shared" si="8"/>
        <v>515580</v>
      </c>
      <c r="P33" s="46">
        <f t="shared" si="9"/>
        <v>0</v>
      </c>
      <c r="Q33" s="46">
        <f t="shared" si="10"/>
        <v>1033741</v>
      </c>
      <c r="R33" s="46">
        <v>0</v>
      </c>
      <c r="S33" s="46">
        <f t="shared" si="11"/>
        <v>1549321</v>
      </c>
      <c r="T33" s="46">
        <f t="shared" si="12"/>
        <v>1613501</v>
      </c>
      <c r="U33" s="46">
        <f t="shared" si="13"/>
        <v>1470833</v>
      </c>
      <c r="V33" s="46">
        <f t="shared" si="14"/>
        <v>0</v>
      </c>
      <c r="W33" s="46">
        <f t="shared" si="15"/>
        <v>0</v>
      </c>
      <c r="X33" s="46">
        <v>0</v>
      </c>
      <c r="Y33" s="46">
        <f t="shared" si="16"/>
        <v>1470833</v>
      </c>
      <c r="Z33" s="46">
        <f t="shared" si="17"/>
        <v>1613501</v>
      </c>
      <c r="AA33" s="46">
        <f t="shared" si="18"/>
        <v>780989</v>
      </c>
      <c r="AB33" s="46">
        <f t="shared" si="19"/>
        <v>0</v>
      </c>
      <c r="AC33" s="46">
        <f t="shared" si="20"/>
        <v>768332</v>
      </c>
      <c r="AD33" s="46">
        <v>0</v>
      </c>
      <c r="AE33" s="46">
        <f t="shared" si="21"/>
        <v>1549321</v>
      </c>
      <c r="AF33" s="46">
        <f t="shared" si="22"/>
        <v>2381833</v>
      </c>
      <c r="AG33" s="46">
        <f t="shared" si="23"/>
        <v>6796069</v>
      </c>
      <c r="AH33" s="46">
        <f t="shared" si="24"/>
        <v>62726</v>
      </c>
      <c r="AI33" s="46">
        <f t="shared" si="25"/>
        <v>-2381833</v>
      </c>
      <c r="AJ33" s="46">
        <v>0</v>
      </c>
      <c r="AK33" s="46">
        <f t="shared" si="26"/>
        <v>4476962</v>
      </c>
      <c r="AL33" s="46">
        <f t="shared" si="27"/>
        <v>0</v>
      </c>
      <c r="AM33" s="46">
        <f t="shared" si="28"/>
        <v>1346128</v>
      </c>
      <c r="AN33" s="46">
        <f t="shared" si="29"/>
        <v>44454</v>
      </c>
      <c r="AO33" s="46">
        <f t="shared" si="30"/>
        <v>203193</v>
      </c>
      <c r="AP33" s="46">
        <v>0</v>
      </c>
      <c r="AQ33" s="46">
        <f t="shared" si="31"/>
        <v>1593775</v>
      </c>
      <c r="AR33" s="46">
        <f t="shared" si="32"/>
        <v>203193</v>
      </c>
      <c r="AS33" s="46">
        <f t="shared" si="33"/>
        <v>2675862</v>
      </c>
      <c r="AT33" s="46">
        <f t="shared" si="34"/>
        <v>259778</v>
      </c>
      <c r="AU33" s="46">
        <f t="shared" si="35"/>
        <v>-203193</v>
      </c>
      <c r="AV33" s="46">
        <v>0</v>
      </c>
      <c r="AW33" s="46">
        <f t="shared" si="36"/>
        <v>2732447</v>
      </c>
      <c r="AX33" s="46">
        <f t="shared" si="37"/>
        <v>0</v>
      </c>
      <c r="AY33" s="46">
        <f t="shared" si="38"/>
        <v>883878</v>
      </c>
      <c r="AZ33" s="46">
        <f t="shared" si="39"/>
        <v>0</v>
      </c>
      <c r="BA33" s="46">
        <f t="shared" si="40"/>
        <v>665443</v>
      </c>
      <c r="BB33" s="46"/>
      <c r="BC33" s="46">
        <f t="shared" si="41"/>
        <v>1549321</v>
      </c>
      <c r="BD33" s="46">
        <f t="shared" si="42"/>
        <v>665443</v>
      </c>
      <c r="BE33" s="46">
        <f t="shared" si="43"/>
        <v>1711071</v>
      </c>
      <c r="BF33" s="46">
        <f t="shared" si="44"/>
        <v>63684</v>
      </c>
      <c r="BG33" s="46">
        <f t="shared" si="45"/>
        <v>0</v>
      </c>
      <c r="BH33" s="46">
        <v>0</v>
      </c>
      <c r="BI33" s="46">
        <f t="shared" si="46"/>
        <v>1774755</v>
      </c>
      <c r="BJ33" s="46">
        <f t="shared" si="47"/>
        <v>665443</v>
      </c>
      <c r="BK33" s="46">
        <f t="shared" si="48"/>
        <v>3610286</v>
      </c>
      <c r="BL33" s="46">
        <f t="shared" si="49"/>
        <v>0</v>
      </c>
      <c r="BM33" s="46">
        <f t="shared" si="50"/>
        <v>-665443</v>
      </c>
      <c r="BN33" s="46">
        <v>0</v>
      </c>
      <c r="BO33" s="46">
        <f t="shared" si="51"/>
        <v>2944843</v>
      </c>
      <c r="BP33" s="46">
        <f t="shared" si="52"/>
        <v>0</v>
      </c>
      <c r="BQ33" s="46">
        <f t="shared" si="53"/>
        <v>1339931</v>
      </c>
      <c r="BR33" s="46">
        <f t="shared" si="54"/>
        <v>0</v>
      </c>
      <c r="BS33" s="46">
        <f t="shared" si="55"/>
        <v>209390</v>
      </c>
      <c r="BT33" s="46">
        <v>0</v>
      </c>
      <c r="BU33" s="46">
        <f t="shared" si="56"/>
        <v>1549321</v>
      </c>
      <c r="BV33" s="46">
        <f t="shared" si="57"/>
        <v>209390</v>
      </c>
      <c r="BW33" s="46">
        <f t="shared" si="58"/>
        <v>2567679</v>
      </c>
      <c r="BX33" s="46">
        <f t="shared" si="59"/>
        <v>418558</v>
      </c>
      <c r="BY33" s="46">
        <f t="shared" si="60"/>
        <v>-209390</v>
      </c>
      <c r="BZ33" s="46">
        <v>0</v>
      </c>
      <c r="CA33" s="46">
        <f t="shared" si="61"/>
        <v>2776847</v>
      </c>
      <c r="CB33" s="46">
        <f t="shared" si="62"/>
        <v>0</v>
      </c>
      <c r="CC33" s="155">
        <f t="shared" si="66"/>
        <v>0</v>
      </c>
      <c r="CD33" s="79" t="s">
        <v>538</v>
      </c>
      <c r="CE33" s="65">
        <f t="shared" si="67"/>
        <v>1549321</v>
      </c>
      <c r="CF33" s="65">
        <f t="shared" si="68"/>
        <v>1549321</v>
      </c>
      <c r="CG33" s="65">
        <f t="shared" si="69"/>
        <v>1470833</v>
      </c>
      <c r="CH33" s="65">
        <f t="shared" si="70"/>
        <v>1549321</v>
      </c>
      <c r="CI33" s="65">
        <f t="shared" si="71"/>
        <v>4476962</v>
      </c>
      <c r="CJ33" s="65">
        <f t="shared" si="72"/>
        <v>1593775</v>
      </c>
      <c r="CK33" s="65">
        <f t="shared" si="73"/>
        <v>2732447</v>
      </c>
      <c r="CL33" s="65">
        <f t="shared" si="74"/>
        <v>1549321</v>
      </c>
      <c r="CM33" s="65">
        <f t="shared" si="75"/>
        <v>1774755</v>
      </c>
      <c r="CN33" s="65">
        <f t="shared" si="76"/>
        <v>2944843</v>
      </c>
      <c r="CO33" s="65">
        <f t="shared" si="77"/>
        <v>1549321</v>
      </c>
      <c r="CP33" s="65">
        <f t="shared" si="78"/>
        <v>2776847</v>
      </c>
      <c r="CQ33" s="40" t="s">
        <v>538</v>
      </c>
    </row>
    <row r="34" spans="1:95" ht="3" customHeight="1" x14ac:dyDescent="0.25">
      <c r="A34" s="39">
        <v>1</v>
      </c>
      <c r="B34" s="28">
        <v>4103</v>
      </c>
      <c r="C34" s="28" t="s">
        <v>81</v>
      </c>
      <c r="D34" s="48">
        <f>+DATA!Q32</f>
        <v>2617240.3280000002</v>
      </c>
      <c r="E34" s="48">
        <f t="shared" si="63"/>
        <v>172302</v>
      </c>
      <c r="F34" s="48">
        <f t="shared" si="64"/>
        <v>261724</v>
      </c>
      <c r="G34" s="49">
        <f>VLOOKUP(B34,'CALC MEC ESTAB Y ESTIM M FINAL'!$B$7:$F$352,5,0)</f>
        <v>1.4634594166E-3</v>
      </c>
      <c r="H34" s="49">
        <f>VLOOKUP(B34,'CALC MEC ESTAB Y ESTIM M FINAL'!$B$7:$R$352,17,0)</f>
        <v>-1.152513626E-4</v>
      </c>
      <c r="I34" s="46">
        <f t="shared" si="4"/>
        <v>111163</v>
      </c>
      <c r="J34" s="46">
        <f t="shared" si="5"/>
        <v>0</v>
      </c>
      <c r="K34" s="46">
        <f t="shared" si="65"/>
        <v>61139</v>
      </c>
      <c r="L34" s="46">
        <v>0</v>
      </c>
      <c r="M34" s="46">
        <f t="shared" si="6"/>
        <v>172302</v>
      </c>
      <c r="N34" s="46">
        <f t="shared" si="7"/>
        <v>61139</v>
      </c>
      <c r="O34" s="46">
        <f t="shared" si="8"/>
        <v>59113</v>
      </c>
      <c r="P34" s="46">
        <f t="shared" si="9"/>
        <v>0</v>
      </c>
      <c r="Q34" s="46">
        <f t="shared" si="10"/>
        <v>113189</v>
      </c>
      <c r="R34" s="46">
        <v>0</v>
      </c>
      <c r="S34" s="46">
        <f t="shared" si="11"/>
        <v>172302</v>
      </c>
      <c r="T34" s="46">
        <f t="shared" si="12"/>
        <v>174328</v>
      </c>
      <c r="U34" s="46">
        <f t="shared" si="13"/>
        <v>168635</v>
      </c>
      <c r="V34" s="46">
        <f t="shared" si="14"/>
        <v>0</v>
      </c>
      <c r="W34" s="46">
        <f t="shared" si="15"/>
        <v>0</v>
      </c>
      <c r="X34" s="46">
        <v>0</v>
      </c>
      <c r="Y34" s="46">
        <f t="shared" si="16"/>
        <v>168635</v>
      </c>
      <c r="Z34" s="46">
        <f t="shared" si="17"/>
        <v>174328</v>
      </c>
      <c r="AA34" s="46">
        <f t="shared" si="18"/>
        <v>89542</v>
      </c>
      <c r="AB34" s="46">
        <f t="shared" si="19"/>
        <v>0</v>
      </c>
      <c r="AC34" s="46">
        <f t="shared" si="20"/>
        <v>82760</v>
      </c>
      <c r="AD34" s="46">
        <v>0</v>
      </c>
      <c r="AE34" s="46">
        <f t="shared" si="21"/>
        <v>172302</v>
      </c>
      <c r="AF34" s="46">
        <f t="shared" si="22"/>
        <v>257088</v>
      </c>
      <c r="AG34" s="46">
        <f t="shared" si="23"/>
        <v>779187</v>
      </c>
      <c r="AH34" s="46">
        <f t="shared" si="24"/>
        <v>7192</v>
      </c>
      <c r="AI34" s="46">
        <f t="shared" si="25"/>
        <v>-257088</v>
      </c>
      <c r="AJ34" s="46">
        <v>0</v>
      </c>
      <c r="AK34" s="46">
        <f t="shared" si="26"/>
        <v>529291</v>
      </c>
      <c r="AL34" s="46">
        <f t="shared" si="27"/>
        <v>0</v>
      </c>
      <c r="AM34" s="46">
        <f t="shared" si="28"/>
        <v>154337</v>
      </c>
      <c r="AN34" s="46">
        <f t="shared" si="29"/>
        <v>5097</v>
      </c>
      <c r="AO34" s="46">
        <f t="shared" si="30"/>
        <v>17965</v>
      </c>
      <c r="AP34" s="46">
        <v>0</v>
      </c>
      <c r="AQ34" s="46">
        <f t="shared" si="31"/>
        <v>177399</v>
      </c>
      <c r="AR34" s="46">
        <f t="shared" si="32"/>
        <v>17965</v>
      </c>
      <c r="AS34" s="46">
        <f t="shared" si="33"/>
        <v>306795</v>
      </c>
      <c r="AT34" s="46">
        <f t="shared" si="34"/>
        <v>29784</v>
      </c>
      <c r="AU34" s="46">
        <f t="shared" si="35"/>
        <v>-17965</v>
      </c>
      <c r="AV34" s="46">
        <v>0</v>
      </c>
      <c r="AW34" s="46">
        <f t="shared" si="36"/>
        <v>318614</v>
      </c>
      <c r="AX34" s="46">
        <f t="shared" si="37"/>
        <v>0</v>
      </c>
      <c r="AY34" s="46">
        <f t="shared" si="38"/>
        <v>101339</v>
      </c>
      <c r="AZ34" s="46">
        <f t="shared" si="39"/>
        <v>0</v>
      </c>
      <c r="BA34" s="46">
        <f t="shared" si="40"/>
        <v>70963</v>
      </c>
      <c r="BB34" s="46"/>
      <c r="BC34" s="46">
        <f t="shared" si="41"/>
        <v>172302</v>
      </c>
      <c r="BD34" s="46">
        <f t="shared" si="42"/>
        <v>70963</v>
      </c>
      <c r="BE34" s="46">
        <f t="shared" si="43"/>
        <v>196179</v>
      </c>
      <c r="BF34" s="46">
        <f t="shared" si="44"/>
        <v>7302</v>
      </c>
      <c r="BG34" s="46">
        <f t="shared" si="45"/>
        <v>0</v>
      </c>
      <c r="BH34" s="46">
        <v>0</v>
      </c>
      <c r="BI34" s="46">
        <f t="shared" si="46"/>
        <v>203481</v>
      </c>
      <c r="BJ34" s="46">
        <f t="shared" si="47"/>
        <v>70963</v>
      </c>
      <c r="BK34" s="46">
        <f t="shared" si="48"/>
        <v>413929</v>
      </c>
      <c r="BL34" s="46">
        <f t="shared" si="49"/>
        <v>0</v>
      </c>
      <c r="BM34" s="46">
        <f t="shared" si="50"/>
        <v>-70963</v>
      </c>
      <c r="BN34" s="46">
        <v>0</v>
      </c>
      <c r="BO34" s="46">
        <f t="shared" si="51"/>
        <v>342966</v>
      </c>
      <c r="BP34" s="46">
        <f t="shared" si="52"/>
        <v>0</v>
      </c>
      <c r="BQ34" s="46">
        <f t="shared" si="53"/>
        <v>153627</v>
      </c>
      <c r="BR34" s="46">
        <f t="shared" si="54"/>
        <v>0</v>
      </c>
      <c r="BS34" s="46">
        <f t="shared" si="55"/>
        <v>18675</v>
      </c>
      <c r="BT34" s="46">
        <v>0</v>
      </c>
      <c r="BU34" s="46">
        <f t="shared" si="56"/>
        <v>172302</v>
      </c>
      <c r="BV34" s="46">
        <f t="shared" si="57"/>
        <v>18675</v>
      </c>
      <c r="BW34" s="46">
        <f t="shared" si="58"/>
        <v>294391</v>
      </c>
      <c r="BX34" s="46">
        <f t="shared" si="59"/>
        <v>47989</v>
      </c>
      <c r="BY34" s="46">
        <f t="shared" si="60"/>
        <v>-18675</v>
      </c>
      <c r="BZ34" s="46">
        <v>0</v>
      </c>
      <c r="CA34" s="46">
        <f t="shared" si="61"/>
        <v>323705</v>
      </c>
      <c r="CB34" s="46">
        <f t="shared" si="62"/>
        <v>0</v>
      </c>
      <c r="CC34" s="155">
        <f t="shared" si="66"/>
        <v>0</v>
      </c>
      <c r="CD34" s="79" t="s">
        <v>538</v>
      </c>
      <c r="CE34" s="65">
        <f t="shared" si="67"/>
        <v>172302</v>
      </c>
      <c r="CF34" s="65">
        <f t="shared" si="68"/>
        <v>172302</v>
      </c>
      <c r="CG34" s="65">
        <f t="shared" si="69"/>
        <v>168635</v>
      </c>
      <c r="CH34" s="65">
        <f t="shared" si="70"/>
        <v>172302</v>
      </c>
      <c r="CI34" s="65">
        <f t="shared" si="71"/>
        <v>529291</v>
      </c>
      <c r="CJ34" s="65">
        <f t="shared" si="72"/>
        <v>177399</v>
      </c>
      <c r="CK34" s="65">
        <f t="shared" si="73"/>
        <v>318614</v>
      </c>
      <c r="CL34" s="65">
        <f t="shared" si="74"/>
        <v>172302</v>
      </c>
      <c r="CM34" s="65">
        <f t="shared" si="75"/>
        <v>203481</v>
      </c>
      <c r="CN34" s="65">
        <f t="shared" si="76"/>
        <v>342966</v>
      </c>
      <c r="CO34" s="65">
        <f t="shared" si="77"/>
        <v>172302</v>
      </c>
      <c r="CP34" s="65">
        <f t="shared" si="78"/>
        <v>323705</v>
      </c>
      <c r="CQ34" s="40" t="s">
        <v>538</v>
      </c>
    </row>
    <row r="35" spans="1:95" ht="3" customHeight="1" x14ac:dyDescent="0.25">
      <c r="A35" s="39">
        <v>1</v>
      </c>
      <c r="B35" s="28">
        <v>4104</v>
      </c>
      <c r="C35" s="28" t="s">
        <v>79</v>
      </c>
      <c r="D35" s="48">
        <f>+DATA!Q33</f>
        <v>2256375.7749999999</v>
      </c>
      <c r="E35" s="48">
        <f t="shared" si="63"/>
        <v>148545</v>
      </c>
      <c r="F35" s="48">
        <f t="shared" si="64"/>
        <v>225638</v>
      </c>
      <c r="G35" s="49">
        <f>VLOOKUP(B35,'CALC MEC ESTAB Y ESTIM M FINAL'!$B$7:$F$352,5,0)</f>
        <v>1.5283578196999999E-3</v>
      </c>
      <c r="H35" s="49">
        <f>VLOOKUP(B35,'CALC MEC ESTAB Y ESTIM M FINAL'!$B$7:$R$352,17,0)</f>
        <v>-2.4525419509999999E-4</v>
      </c>
      <c r="I35" s="46">
        <f t="shared" si="4"/>
        <v>105795</v>
      </c>
      <c r="J35" s="46">
        <f t="shared" si="5"/>
        <v>0</v>
      </c>
      <c r="K35" s="46">
        <f t="shared" si="65"/>
        <v>42750</v>
      </c>
      <c r="L35" s="46">
        <v>0</v>
      </c>
      <c r="M35" s="46">
        <f t="shared" si="6"/>
        <v>148545</v>
      </c>
      <c r="N35" s="46">
        <f t="shared" si="7"/>
        <v>42750</v>
      </c>
      <c r="O35" s="46">
        <f t="shared" si="8"/>
        <v>56258</v>
      </c>
      <c r="P35" s="46">
        <f t="shared" si="9"/>
        <v>0</v>
      </c>
      <c r="Q35" s="46">
        <f t="shared" si="10"/>
        <v>92287</v>
      </c>
      <c r="R35" s="46">
        <v>0</v>
      </c>
      <c r="S35" s="46">
        <f t="shared" si="11"/>
        <v>148545</v>
      </c>
      <c r="T35" s="46">
        <f t="shared" si="12"/>
        <v>135037</v>
      </c>
      <c r="U35" s="46">
        <f t="shared" si="13"/>
        <v>160492</v>
      </c>
      <c r="V35" s="46">
        <f t="shared" si="14"/>
        <v>0</v>
      </c>
      <c r="W35" s="46">
        <f t="shared" si="15"/>
        <v>0</v>
      </c>
      <c r="X35" s="46">
        <v>0</v>
      </c>
      <c r="Y35" s="46">
        <f t="shared" si="16"/>
        <v>160492</v>
      </c>
      <c r="Z35" s="46">
        <f t="shared" si="17"/>
        <v>135037</v>
      </c>
      <c r="AA35" s="46">
        <f t="shared" si="18"/>
        <v>85218</v>
      </c>
      <c r="AB35" s="46">
        <f t="shared" si="19"/>
        <v>0</v>
      </c>
      <c r="AC35" s="46">
        <f t="shared" si="20"/>
        <v>63327</v>
      </c>
      <c r="AD35" s="46">
        <v>0</v>
      </c>
      <c r="AE35" s="46">
        <f t="shared" si="21"/>
        <v>148545</v>
      </c>
      <c r="AF35" s="46">
        <f t="shared" si="22"/>
        <v>198364</v>
      </c>
      <c r="AG35" s="46">
        <f t="shared" si="23"/>
        <v>741560</v>
      </c>
      <c r="AH35" s="46">
        <f t="shared" si="24"/>
        <v>6844</v>
      </c>
      <c r="AI35" s="46">
        <f t="shared" si="25"/>
        <v>-198364</v>
      </c>
      <c r="AJ35" s="46">
        <v>0</v>
      </c>
      <c r="AK35" s="46">
        <f t="shared" si="26"/>
        <v>550040</v>
      </c>
      <c r="AL35" s="46">
        <f t="shared" si="27"/>
        <v>0</v>
      </c>
      <c r="AM35" s="46">
        <f t="shared" si="28"/>
        <v>146884</v>
      </c>
      <c r="AN35" s="46">
        <f t="shared" si="29"/>
        <v>4851</v>
      </c>
      <c r="AO35" s="46">
        <f t="shared" si="30"/>
        <v>1661</v>
      </c>
      <c r="AP35" s="46">
        <v>0</v>
      </c>
      <c r="AQ35" s="46">
        <f t="shared" si="31"/>
        <v>153396</v>
      </c>
      <c r="AR35" s="46">
        <f t="shared" si="32"/>
        <v>1661</v>
      </c>
      <c r="AS35" s="46">
        <f t="shared" si="33"/>
        <v>291980</v>
      </c>
      <c r="AT35" s="46">
        <f t="shared" si="34"/>
        <v>28346</v>
      </c>
      <c r="AU35" s="46">
        <f t="shared" si="35"/>
        <v>-1661</v>
      </c>
      <c r="AV35" s="46">
        <v>0</v>
      </c>
      <c r="AW35" s="46">
        <f t="shared" si="36"/>
        <v>318665</v>
      </c>
      <c r="AX35" s="46">
        <f t="shared" si="37"/>
        <v>0</v>
      </c>
      <c r="AY35" s="46">
        <f t="shared" si="38"/>
        <v>96445</v>
      </c>
      <c r="AZ35" s="46">
        <f t="shared" si="39"/>
        <v>0</v>
      </c>
      <c r="BA35" s="46">
        <f t="shared" si="40"/>
        <v>52100</v>
      </c>
      <c r="BB35" s="46"/>
      <c r="BC35" s="46">
        <f t="shared" si="41"/>
        <v>148545</v>
      </c>
      <c r="BD35" s="46">
        <f t="shared" si="42"/>
        <v>52100</v>
      </c>
      <c r="BE35" s="46">
        <f t="shared" si="43"/>
        <v>186705</v>
      </c>
      <c r="BF35" s="46">
        <f t="shared" si="44"/>
        <v>6949</v>
      </c>
      <c r="BG35" s="46">
        <f t="shared" si="45"/>
        <v>0</v>
      </c>
      <c r="BH35" s="46">
        <v>0</v>
      </c>
      <c r="BI35" s="46">
        <f t="shared" si="46"/>
        <v>193654</v>
      </c>
      <c r="BJ35" s="46">
        <f t="shared" si="47"/>
        <v>52100</v>
      </c>
      <c r="BK35" s="46">
        <f t="shared" si="48"/>
        <v>393940</v>
      </c>
      <c r="BL35" s="46">
        <f t="shared" si="49"/>
        <v>0</v>
      </c>
      <c r="BM35" s="46">
        <f t="shared" si="50"/>
        <v>-52100</v>
      </c>
      <c r="BN35" s="46">
        <v>0</v>
      </c>
      <c r="BO35" s="46">
        <f t="shared" si="51"/>
        <v>341840</v>
      </c>
      <c r="BP35" s="46">
        <f t="shared" si="52"/>
        <v>0</v>
      </c>
      <c r="BQ35" s="46">
        <f t="shared" si="53"/>
        <v>146208</v>
      </c>
      <c r="BR35" s="46">
        <f t="shared" si="54"/>
        <v>0</v>
      </c>
      <c r="BS35" s="46">
        <f t="shared" si="55"/>
        <v>2337</v>
      </c>
      <c r="BT35" s="46">
        <v>0</v>
      </c>
      <c r="BU35" s="46">
        <f t="shared" si="56"/>
        <v>148545</v>
      </c>
      <c r="BV35" s="46">
        <f t="shared" si="57"/>
        <v>2337</v>
      </c>
      <c r="BW35" s="46">
        <f t="shared" si="58"/>
        <v>280175</v>
      </c>
      <c r="BX35" s="46">
        <f t="shared" si="59"/>
        <v>45671</v>
      </c>
      <c r="BY35" s="46">
        <f t="shared" si="60"/>
        <v>-2337</v>
      </c>
      <c r="BZ35" s="46">
        <v>0</v>
      </c>
      <c r="CA35" s="46">
        <f t="shared" si="61"/>
        <v>323509</v>
      </c>
      <c r="CB35" s="46">
        <f t="shared" si="62"/>
        <v>0</v>
      </c>
      <c r="CC35" s="155">
        <f t="shared" si="66"/>
        <v>0</v>
      </c>
      <c r="CD35" s="79" t="s">
        <v>538</v>
      </c>
      <c r="CE35" s="65">
        <f t="shared" si="67"/>
        <v>148545</v>
      </c>
      <c r="CF35" s="65">
        <f t="shared" si="68"/>
        <v>148545</v>
      </c>
      <c r="CG35" s="65">
        <f t="shared" si="69"/>
        <v>160492</v>
      </c>
      <c r="CH35" s="65">
        <f t="shared" si="70"/>
        <v>148545</v>
      </c>
      <c r="CI35" s="65">
        <f t="shared" si="71"/>
        <v>550040</v>
      </c>
      <c r="CJ35" s="65">
        <f t="shared" si="72"/>
        <v>153396</v>
      </c>
      <c r="CK35" s="65">
        <f t="shared" si="73"/>
        <v>318665</v>
      </c>
      <c r="CL35" s="65">
        <f t="shared" si="74"/>
        <v>148545</v>
      </c>
      <c r="CM35" s="65">
        <f t="shared" si="75"/>
        <v>193654</v>
      </c>
      <c r="CN35" s="65">
        <f t="shared" si="76"/>
        <v>341840</v>
      </c>
      <c r="CO35" s="65">
        <f t="shared" si="77"/>
        <v>148545</v>
      </c>
      <c r="CP35" s="65">
        <f t="shared" si="78"/>
        <v>323509</v>
      </c>
      <c r="CQ35" s="40" t="s">
        <v>538</v>
      </c>
    </row>
    <row r="36" spans="1:95" ht="3" customHeight="1" x14ac:dyDescent="0.25">
      <c r="A36" s="39">
        <v>1</v>
      </c>
      <c r="B36" s="28">
        <v>4105</v>
      </c>
      <c r="C36" s="28" t="s">
        <v>28</v>
      </c>
      <c r="D36" s="48">
        <f>+DATA!Q34</f>
        <v>2603980.2170000002</v>
      </c>
      <c r="E36" s="48">
        <f t="shared" si="63"/>
        <v>171429</v>
      </c>
      <c r="F36" s="48">
        <f t="shared" si="64"/>
        <v>260398</v>
      </c>
      <c r="G36" s="49">
        <f>VLOOKUP(B36,'CALC MEC ESTAB Y ESTIM M FINAL'!$B$7:$F$352,5,0)</f>
        <v>1.2652333860999998E-3</v>
      </c>
      <c r="H36" s="49">
        <f>VLOOKUP(B36,'CALC MEC ESTAB Y ESTIM M FINAL'!$B$7:$R$352,17,0)</f>
        <v>-1.1056027500000001E-5</v>
      </c>
      <c r="I36" s="46">
        <f t="shared" si="4"/>
        <v>103410</v>
      </c>
      <c r="J36" s="46">
        <f t="shared" si="5"/>
        <v>0</v>
      </c>
      <c r="K36" s="46">
        <f t="shared" si="65"/>
        <v>68019</v>
      </c>
      <c r="L36" s="46">
        <v>0</v>
      </c>
      <c r="M36" s="46">
        <f t="shared" si="6"/>
        <v>171429</v>
      </c>
      <c r="N36" s="46">
        <f t="shared" si="7"/>
        <v>68019</v>
      </c>
      <c r="O36" s="46">
        <f t="shared" si="8"/>
        <v>54990</v>
      </c>
      <c r="P36" s="46">
        <f t="shared" si="9"/>
        <v>0</v>
      </c>
      <c r="Q36" s="46">
        <f t="shared" si="10"/>
        <v>116439</v>
      </c>
      <c r="R36" s="46">
        <v>0</v>
      </c>
      <c r="S36" s="46">
        <f t="shared" si="11"/>
        <v>171429</v>
      </c>
      <c r="T36" s="46">
        <f t="shared" si="12"/>
        <v>184458</v>
      </c>
      <c r="U36" s="46">
        <f t="shared" si="13"/>
        <v>156873</v>
      </c>
      <c r="V36" s="46">
        <f t="shared" si="14"/>
        <v>0</v>
      </c>
      <c r="W36" s="46">
        <f t="shared" si="15"/>
        <v>0</v>
      </c>
      <c r="X36" s="46">
        <v>0</v>
      </c>
      <c r="Y36" s="46">
        <f t="shared" si="16"/>
        <v>156873</v>
      </c>
      <c r="Z36" s="46">
        <f t="shared" si="17"/>
        <v>184458</v>
      </c>
      <c r="AA36" s="46">
        <f t="shared" si="18"/>
        <v>83297</v>
      </c>
      <c r="AB36" s="46">
        <f t="shared" si="19"/>
        <v>0</v>
      </c>
      <c r="AC36" s="46">
        <f t="shared" si="20"/>
        <v>88132</v>
      </c>
      <c r="AD36" s="46">
        <v>0</v>
      </c>
      <c r="AE36" s="46">
        <f t="shared" si="21"/>
        <v>171429</v>
      </c>
      <c r="AF36" s="46">
        <f t="shared" si="22"/>
        <v>272590</v>
      </c>
      <c r="AG36" s="46">
        <f t="shared" si="23"/>
        <v>724843</v>
      </c>
      <c r="AH36" s="46">
        <f t="shared" si="24"/>
        <v>6690</v>
      </c>
      <c r="AI36" s="46">
        <f t="shared" si="25"/>
        <v>-272590</v>
      </c>
      <c r="AJ36" s="46">
        <v>0</v>
      </c>
      <c r="AK36" s="46">
        <f t="shared" si="26"/>
        <v>458943</v>
      </c>
      <c r="AL36" s="46">
        <f t="shared" si="27"/>
        <v>0</v>
      </c>
      <c r="AM36" s="46">
        <f t="shared" si="28"/>
        <v>143573</v>
      </c>
      <c r="AN36" s="46">
        <f t="shared" si="29"/>
        <v>4741</v>
      </c>
      <c r="AO36" s="46">
        <f t="shared" si="30"/>
        <v>27856</v>
      </c>
      <c r="AP36" s="46">
        <v>0</v>
      </c>
      <c r="AQ36" s="46">
        <f t="shared" si="31"/>
        <v>176170</v>
      </c>
      <c r="AR36" s="46">
        <f t="shared" si="32"/>
        <v>27856</v>
      </c>
      <c r="AS36" s="46">
        <f t="shared" si="33"/>
        <v>285397</v>
      </c>
      <c r="AT36" s="46">
        <f t="shared" si="34"/>
        <v>27707</v>
      </c>
      <c r="AU36" s="46">
        <f t="shared" si="35"/>
        <v>-24999</v>
      </c>
      <c r="AV36" s="46">
        <v>0</v>
      </c>
      <c r="AW36" s="46">
        <f t="shared" si="36"/>
        <v>288105</v>
      </c>
      <c r="AX36" s="46">
        <f t="shared" si="37"/>
        <v>2857</v>
      </c>
      <c r="AY36" s="46">
        <f t="shared" si="38"/>
        <v>94271</v>
      </c>
      <c r="AZ36" s="46">
        <f t="shared" si="39"/>
        <v>0</v>
      </c>
      <c r="BA36" s="46">
        <f t="shared" si="40"/>
        <v>77158</v>
      </c>
      <c r="BB36" s="46"/>
      <c r="BC36" s="46">
        <f t="shared" si="41"/>
        <v>171429</v>
      </c>
      <c r="BD36" s="46">
        <f t="shared" si="42"/>
        <v>80015</v>
      </c>
      <c r="BE36" s="46">
        <f t="shared" si="43"/>
        <v>182496</v>
      </c>
      <c r="BF36" s="46">
        <f t="shared" si="44"/>
        <v>6792</v>
      </c>
      <c r="BG36" s="46">
        <f t="shared" si="45"/>
        <v>0</v>
      </c>
      <c r="BH36" s="46">
        <v>0</v>
      </c>
      <c r="BI36" s="46">
        <f t="shared" si="46"/>
        <v>189288</v>
      </c>
      <c r="BJ36" s="46">
        <f t="shared" si="47"/>
        <v>80015</v>
      </c>
      <c r="BK36" s="46">
        <f t="shared" si="48"/>
        <v>385059</v>
      </c>
      <c r="BL36" s="46">
        <f t="shared" si="49"/>
        <v>0</v>
      </c>
      <c r="BM36" s="46">
        <f t="shared" si="50"/>
        <v>-80015</v>
      </c>
      <c r="BN36" s="46">
        <v>0</v>
      </c>
      <c r="BO36" s="46">
        <f t="shared" si="51"/>
        <v>305044</v>
      </c>
      <c r="BP36" s="46">
        <f t="shared" si="52"/>
        <v>0</v>
      </c>
      <c r="BQ36" s="46">
        <f t="shared" si="53"/>
        <v>142912</v>
      </c>
      <c r="BR36" s="46">
        <f t="shared" si="54"/>
        <v>0</v>
      </c>
      <c r="BS36" s="46">
        <f t="shared" si="55"/>
        <v>28517</v>
      </c>
      <c r="BT36" s="46">
        <v>0</v>
      </c>
      <c r="BU36" s="46">
        <f t="shared" si="56"/>
        <v>171429</v>
      </c>
      <c r="BV36" s="46">
        <f t="shared" si="57"/>
        <v>28517</v>
      </c>
      <c r="BW36" s="46">
        <f t="shared" si="58"/>
        <v>273859</v>
      </c>
      <c r="BX36" s="46">
        <f t="shared" si="59"/>
        <v>44642</v>
      </c>
      <c r="BY36" s="46">
        <f t="shared" si="60"/>
        <v>-28517</v>
      </c>
      <c r="BZ36" s="46">
        <v>0</v>
      </c>
      <c r="CA36" s="46">
        <f t="shared" si="61"/>
        <v>289984</v>
      </c>
      <c r="CB36" s="46">
        <f t="shared" si="62"/>
        <v>0</v>
      </c>
      <c r="CC36" s="155">
        <f t="shared" si="66"/>
        <v>0</v>
      </c>
      <c r="CD36" s="79" t="s">
        <v>538</v>
      </c>
      <c r="CE36" s="65">
        <f t="shared" si="67"/>
        <v>171429</v>
      </c>
      <c r="CF36" s="65">
        <f t="shared" si="68"/>
        <v>171429</v>
      </c>
      <c r="CG36" s="65">
        <f t="shared" si="69"/>
        <v>156873</v>
      </c>
      <c r="CH36" s="65">
        <f t="shared" si="70"/>
        <v>171429</v>
      </c>
      <c r="CI36" s="65">
        <f t="shared" si="71"/>
        <v>458943</v>
      </c>
      <c r="CJ36" s="65">
        <f t="shared" si="72"/>
        <v>176170</v>
      </c>
      <c r="CK36" s="65">
        <f t="shared" si="73"/>
        <v>288105</v>
      </c>
      <c r="CL36" s="65">
        <f t="shared" si="74"/>
        <v>171429</v>
      </c>
      <c r="CM36" s="65">
        <f t="shared" si="75"/>
        <v>189288</v>
      </c>
      <c r="CN36" s="65">
        <f t="shared" si="76"/>
        <v>305044</v>
      </c>
      <c r="CO36" s="65">
        <f t="shared" si="77"/>
        <v>171429</v>
      </c>
      <c r="CP36" s="65">
        <f t="shared" si="78"/>
        <v>289984</v>
      </c>
      <c r="CQ36" s="40" t="s">
        <v>538</v>
      </c>
    </row>
    <row r="37" spans="1:95" ht="3" customHeight="1" x14ac:dyDescent="0.25">
      <c r="A37" s="39">
        <v>1</v>
      </c>
      <c r="B37" s="28">
        <v>4106</v>
      </c>
      <c r="C37" s="28" t="s">
        <v>82</v>
      </c>
      <c r="D37" s="48">
        <f>+DATA!Q35</f>
        <v>6823488.3720000004</v>
      </c>
      <c r="E37" s="48">
        <f t="shared" si="63"/>
        <v>449213</v>
      </c>
      <c r="F37" s="48">
        <f t="shared" si="64"/>
        <v>682349</v>
      </c>
      <c r="G37" s="49">
        <f>VLOOKUP(B37,'CALC MEC ESTAB Y ESTIM M FINAL'!$B$7:$F$352,5,0)</f>
        <v>3.9204895318E-3</v>
      </c>
      <c r="H37" s="49">
        <f>VLOOKUP(B37,'CALC MEC ESTAB Y ESTIM M FINAL'!$B$7:$R$352,17,0)</f>
        <v>-3.5822783490000002E-4</v>
      </c>
      <c r="I37" s="46">
        <f t="shared" si="4"/>
        <v>293716</v>
      </c>
      <c r="J37" s="46">
        <f t="shared" si="5"/>
        <v>0</v>
      </c>
      <c r="K37" s="46">
        <f t="shared" si="65"/>
        <v>155497</v>
      </c>
      <c r="L37" s="46">
        <v>0</v>
      </c>
      <c r="M37" s="46">
        <f t="shared" si="6"/>
        <v>449213</v>
      </c>
      <c r="N37" s="46">
        <f t="shared" si="7"/>
        <v>155497</v>
      </c>
      <c r="O37" s="46">
        <f t="shared" si="8"/>
        <v>156188</v>
      </c>
      <c r="P37" s="46">
        <f t="shared" si="9"/>
        <v>0</v>
      </c>
      <c r="Q37" s="46">
        <f t="shared" si="10"/>
        <v>293025</v>
      </c>
      <c r="R37" s="46">
        <v>0</v>
      </c>
      <c r="S37" s="46">
        <f t="shared" si="11"/>
        <v>449213</v>
      </c>
      <c r="T37" s="46">
        <f t="shared" si="12"/>
        <v>448522</v>
      </c>
      <c r="U37" s="46">
        <f t="shared" si="13"/>
        <v>445570</v>
      </c>
      <c r="V37" s="46">
        <f t="shared" si="14"/>
        <v>0</v>
      </c>
      <c r="W37" s="46">
        <f t="shared" si="15"/>
        <v>0</v>
      </c>
      <c r="X37" s="46">
        <v>0</v>
      </c>
      <c r="Y37" s="46">
        <f t="shared" si="16"/>
        <v>445570</v>
      </c>
      <c r="Z37" s="46">
        <f t="shared" si="17"/>
        <v>448522</v>
      </c>
      <c r="AA37" s="46">
        <f t="shared" si="18"/>
        <v>236591</v>
      </c>
      <c r="AB37" s="46">
        <f t="shared" si="19"/>
        <v>0</v>
      </c>
      <c r="AC37" s="46">
        <f t="shared" si="20"/>
        <v>212622</v>
      </c>
      <c r="AD37" s="46">
        <v>0</v>
      </c>
      <c r="AE37" s="46">
        <f t="shared" si="21"/>
        <v>449213</v>
      </c>
      <c r="AF37" s="46">
        <f t="shared" si="22"/>
        <v>661144</v>
      </c>
      <c r="AG37" s="46">
        <f t="shared" si="23"/>
        <v>2058783</v>
      </c>
      <c r="AH37" s="46">
        <f t="shared" si="24"/>
        <v>19002</v>
      </c>
      <c r="AI37" s="46">
        <f t="shared" si="25"/>
        <v>-661144</v>
      </c>
      <c r="AJ37" s="46">
        <v>0</v>
      </c>
      <c r="AK37" s="46">
        <f t="shared" si="26"/>
        <v>1416641</v>
      </c>
      <c r="AL37" s="46">
        <f t="shared" si="27"/>
        <v>0</v>
      </c>
      <c r="AM37" s="46">
        <f t="shared" si="28"/>
        <v>407792</v>
      </c>
      <c r="AN37" s="46">
        <f t="shared" si="29"/>
        <v>13467</v>
      </c>
      <c r="AO37" s="46">
        <f t="shared" si="30"/>
        <v>41421</v>
      </c>
      <c r="AP37" s="46">
        <v>0</v>
      </c>
      <c r="AQ37" s="46">
        <f t="shared" si="31"/>
        <v>462680</v>
      </c>
      <c r="AR37" s="46">
        <f t="shared" si="32"/>
        <v>41421</v>
      </c>
      <c r="AS37" s="46">
        <f t="shared" si="33"/>
        <v>810618</v>
      </c>
      <c r="AT37" s="46">
        <f t="shared" si="34"/>
        <v>78696</v>
      </c>
      <c r="AU37" s="46">
        <f t="shared" si="35"/>
        <v>-41421</v>
      </c>
      <c r="AV37" s="46">
        <v>0</v>
      </c>
      <c r="AW37" s="46">
        <f t="shared" si="36"/>
        <v>847893</v>
      </c>
      <c r="AX37" s="46">
        <f t="shared" si="37"/>
        <v>0</v>
      </c>
      <c r="AY37" s="46">
        <f t="shared" si="38"/>
        <v>267760</v>
      </c>
      <c r="AZ37" s="46">
        <f t="shared" si="39"/>
        <v>0</v>
      </c>
      <c r="BA37" s="46">
        <f t="shared" si="40"/>
        <v>181453</v>
      </c>
      <c r="BB37" s="46"/>
      <c r="BC37" s="46">
        <f t="shared" si="41"/>
        <v>449213</v>
      </c>
      <c r="BD37" s="46">
        <f t="shared" si="42"/>
        <v>181453</v>
      </c>
      <c r="BE37" s="46">
        <f t="shared" si="43"/>
        <v>518347</v>
      </c>
      <c r="BF37" s="46">
        <f t="shared" si="44"/>
        <v>19292</v>
      </c>
      <c r="BG37" s="46">
        <f t="shared" si="45"/>
        <v>0</v>
      </c>
      <c r="BH37" s="46">
        <v>0</v>
      </c>
      <c r="BI37" s="46">
        <f t="shared" si="46"/>
        <v>537639</v>
      </c>
      <c r="BJ37" s="46">
        <f t="shared" si="47"/>
        <v>181453</v>
      </c>
      <c r="BK37" s="46">
        <f t="shared" si="48"/>
        <v>1093690</v>
      </c>
      <c r="BL37" s="46">
        <f t="shared" si="49"/>
        <v>0</v>
      </c>
      <c r="BM37" s="46">
        <f t="shared" si="50"/>
        <v>-181453</v>
      </c>
      <c r="BN37" s="46">
        <v>0</v>
      </c>
      <c r="BO37" s="46">
        <f t="shared" si="51"/>
        <v>912237</v>
      </c>
      <c r="BP37" s="46">
        <f t="shared" si="52"/>
        <v>0</v>
      </c>
      <c r="BQ37" s="46">
        <f t="shared" si="53"/>
        <v>405915</v>
      </c>
      <c r="BR37" s="46">
        <f t="shared" si="54"/>
        <v>0</v>
      </c>
      <c r="BS37" s="46">
        <f t="shared" si="55"/>
        <v>43298</v>
      </c>
      <c r="BT37" s="46">
        <v>0</v>
      </c>
      <c r="BU37" s="46">
        <f t="shared" si="56"/>
        <v>449213</v>
      </c>
      <c r="BV37" s="46">
        <f t="shared" si="57"/>
        <v>43298</v>
      </c>
      <c r="BW37" s="46">
        <f t="shared" si="58"/>
        <v>777846</v>
      </c>
      <c r="BX37" s="46">
        <f t="shared" si="59"/>
        <v>126797</v>
      </c>
      <c r="BY37" s="46">
        <f t="shared" si="60"/>
        <v>-43298</v>
      </c>
      <c r="BZ37" s="46">
        <v>0</v>
      </c>
      <c r="CA37" s="46">
        <f t="shared" si="61"/>
        <v>861345</v>
      </c>
      <c r="CB37" s="46">
        <f t="shared" si="62"/>
        <v>0</v>
      </c>
      <c r="CC37" s="155">
        <f t="shared" si="66"/>
        <v>0</v>
      </c>
      <c r="CD37" s="79" t="s">
        <v>538</v>
      </c>
      <c r="CE37" s="65">
        <f t="shared" si="67"/>
        <v>449213</v>
      </c>
      <c r="CF37" s="65">
        <f t="shared" si="68"/>
        <v>449213</v>
      </c>
      <c r="CG37" s="65">
        <f t="shared" si="69"/>
        <v>445570</v>
      </c>
      <c r="CH37" s="65">
        <f t="shared" si="70"/>
        <v>449213</v>
      </c>
      <c r="CI37" s="65">
        <f t="shared" si="71"/>
        <v>1416641</v>
      </c>
      <c r="CJ37" s="65">
        <f t="shared" si="72"/>
        <v>462680</v>
      </c>
      <c r="CK37" s="65">
        <f t="shared" si="73"/>
        <v>847893</v>
      </c>
      <c r="CL37" s="65">
        <f t="shared" si="74"/>
        <v>449213</v>
      </c>
      <c r="CM37" s="65">
        <f t="shared" si="75"/>
        <v>537639</v>
      </c>
      <c r="CN37" s="65">
        <f t="shared" si="76"/>
        <v>912237</v>
      </c>
      <c r="CO37" s="65">
        <f t="shared" si="77"/>
        <v>449213</v>
      </c>
      <c r="CP37" s="65">
        <f t="shared" si="78"/>
        <v>861345</v>
      </c>
      <c r="CQ37" s="40" t="s">
        <v>538</v>
      </c>
    </row>
    <row r="38" spans="1:95" ht="3" customHeight="1" x14ac:dyDescent="0.25">
      <c r="A38" s="39">
        <v>1</v>
      </c>
      <c r="B38" s="28">
        <v>4201</v>
      </c>
      <c r="C38" s="28" t="s">
        <v>86</v>
      </c>
      <c r="D38" s="48">
        <f>+DATA!Q36</f>
        <v>5519345.7709999997</v>
      </c>
      <c r="E38" s="48">
        <f t="shared" si="63"/>
        <v>363357</v>
      </c>
      <c r="F38" s="48">
        <f t="shared" si="64"/>
        <v>551935</v>
      </c>
      <c r="G38" s="49">
        <f>VLOOKUP(B38,'CALC MEC ESTAB Y ESTIM M FINAL'!$B$7:$F$352,5,0)</f>
        <v>2.9426147622999997E-3</v>
      </c>
      <c r="H38" s="49">
        <f>VLOOKUP(B38,'CALC MEC ESTAB Y ESTIM M FINAL'!$B$7:$R$352,17,0)</f>
        <v>-1.6561598790000001E-4</v>
      </c>
      <c r="I38" s="46">
        <f t="shared" si="4"/>
        <v>228970</v>
      </c>
      <c r="J38" s="46">
        <f t="shared" si="5"/>
        <v>0</v>
      </c>
      <c r="K38" s="46">
        <f t="shared" si="65"/>
        <v>134387</v>
      </c>
      <c r="L38" s="46">
        <v>0</v>
      </c>
      <c r="M38" s="46">
        <f t="shared" si="6"/>
        <v>363357</v>
      </c>
      <c r="N38" s="46">
        <f t="shared" si="7"/>
        <v>134387</v>
      </c>
      <c r="O38" s="46">
        <f t="shared" si="8"/>
        <v>121758</v>
      </c>
      <c r="P38" s="46">
        <f t="shared" si="9"/>
        <v>0</v>
      </c>
      <c r="Q38" s="46">
        <f t="shared" si="10"/>
        <v>241599</v>
      </c>
      <c r="R38" s="46">
        <v>0</v>
      </c>
      <c r="S38" s="46">
        <f t="shared" si="11"/>
        <v>363357</v>
      </c>
      <c r="T38" s="46">
        <f t="shared" si="12"/>
        <v>375986</v>
      </c>
      <c r="U38" s="46">
        <f t="shared" si="13"/>
        <v>347349</v>
      </c>
      <c r="V38" s="46">
        <f t="shared" si="14"/>
        <v>0</v>
      </c>
      <c r="W38" s="46">
        <f t="shared" si="15"/>
        <v>0</v>
      </c>
      <c r="X38" s="46">
        <v>0</v>
      </c>
      <c r="Y38" s="46">
        <f t="shared" si="16"/>
        <v>347349</v>
      </c>
      <c r="Z38" s="46">
        <f t="shared" si="17"/>
        <v>375986</v>
      </c>
      <c r="AA38" s="46">
        <f t="shared" si="18"/>
        <v>184437</v>
      </c>
      <c r="AB38" s="46">
        <f t="shared" si="19"/>
        <v>0</v>
      </c>
      <c r="AC38" s="46">
        <f t="shared" si="20"/>
        <v>178920</v>
      </c>
      <c r="AD38" s="46">
        <v>0</v>
      </c>
      <c r="AE38" s="46">
        <f t="shared" si="21"/>
        <v>363357</v>
      </c>
      <c r="AF38" s="46">
        <f t="shared" si="22"/>
        <v>554906</v>
      </c>
      <c r="AG38" s="46">
        <f t="shared" si="23"/>
        <v>1604946</v>
      </c>
      <c r="AH38" s="46">
        <f t="shared" si="24"/>
        <v>14813</v>
      </c>
      <c r="AI38" s="46">
        <f t="shared" si="25"/>
        <v>-554906</v>
      </c>
      <c r="AJ38" s="46">
        <v>0</v>
      </c>
      <c r="AK38" s="46">
        <f t="shared" si="26"/>
        <v>1064853</v>
      </c>
      <c r="AL38" s="46">
        <f t="shared" si="27"/>
        <v>0</v>
      </c>
      <c r="AM38" s="46">
        <f t="shared" si="28"/>
        <v>317899</v>
      </c>
      <c r="AN38" s="46">
        <f t="shared" si="29"/>
        <v>10498</v>
      </c>
      <c r="AO38" s="46">
        <f t="shared" si="30"/>
        <v>45458</v>
      </c>
      <c r="AP38" s="46">
        <v>0</v>
      </c>
      <c r="AQ38" s="46">
        <f t="shared" si="31"/>
        <v>373855</v>
      </c>
      <c r="AR38" s="46">
        <f t="shared" si="32"/>
        <v>45458</v>
      </c>
      <c r="AS38" s="46">
        <f t="shared" si="33"/>
        <v>631926</v>
      </c>
      <c r="AT38" s="46">
        <f t="shared" si="34"/>
        <v>61349</v>
      </c>
      <c r="AU38" s="46">
        <f t="shared" si="35"/>
        <v>-45458</v>
      </c>
      <c r="AV38" s="46">
        <v>0</v>
      </c>
      <c r="AW38" s="46">
        <f t="shared" si="36"/>
        <v>647817</v>
      </c>
      <c r="AX38" s="46">
        <f t="shared" si="37"/>
        <v>0</v>
      </c>
      <c r="AY38" s="46">
        <f t="shared" si="38"/>
        <v>208735</v>
      </c>
      <c r="AZ38" s="46">
        <f t="shared" si="39"/>
        <v>0</v>
      </c>
      <c r="BA38" s="46">
        <f t="shared" si="40"/>
        <v>154622</v>
      </c>
      <c r="BB38" s="46"/>
      <c r="BC38" s="46">
        <f t="shared" si="41"/>
        <v>363357</v>
      </c>
      <c r="BD38" s="46">
        <f t="shared" si="42"/>
        <v>154622</v>
      </c>
      <c r="BE38" s="46">
        <f t="shared" si="43"/>
        <v>404083</v>
      </c>
      <c r="BF38" s="46">
        <f t="shared" si="44"/>
        <v>15040</v>
      </c>
      <c r="BG38" s="46">
        <f t="shared" si="45"/>
        <v>0</v>
      </c>
      <c r="BH38" s="46">
        <v>0</v>
      </c>
      <c r="BI38" s="46">
        <f t="shared" si="46"/>
        <v>419123</v>
      </c>
      <c r="BJ38" s="46">
        <f t="shared" si="47"/>
        <v>154622</v>
      </c>
      <c r="BK38" s="46">
        <f t="shared" si="48"/>
        <v>852598</v>
      </c>
      <c r="BL38" s="46">
        <f t="shared" si="49"/>
        <v>0</v>
      </c>
      <c r="BM38" s="46">
        <f t="shared" si="50"/>
        <v>-154622</v>
      </c>
      <c r="BN38" s="46">
        <v>0</v>
      </c>
      <c r="BO38" s="46">
        <f t="shared" si="51"/>
        <v>697976</v>
      </c>
      <c r="BP38" s="46">
        <f t="shared" si="52"/>
        <v>0</v>
      </c>
      <c r="BQ38" s="46">
        <f t="shared" si="53"/>
        <v>316436</v>
      </c>
      <c r="BR38" s="46">
        <f t="shared" si="54"/>
        <v>0</v>
      </c>
      <c r="BS38" s="46">
        <f t="shared" si="55"/>
        <v>46921</v>
      </c>
      <c r="BT38" s="46">
        <v>0</v>
      </c>
      <c r="BU38" s="46">
        <f t="shared" si="56"/>
        <v>363357</v>
      </c>
      <c r="BV38" s="46">
        <f t="shared" si="57"/>
        <v>46921</v>
      </c>
      <c r="BW38" s="46">
        <f t="shared" si="58"/>
        <v>606378</v>
      </c>
      <c r="BX38" s="46">
        <f t="shared" si="59"/>
        <v>98846</v>
      </c>
      <c r="BY38" s="46">
        <f t="shared" si="60"/>
        <v>-46921</v>
      </c>
      <c r="BZ38" s="46">
        <v>0</v>
      </c>
      <c r="CA38" s="46">
        <f t="shared" si="61"/>
        <v>658303</v>
      </c>
      <c r="CB38" s="46">
        <f t="shared" si="62"/>
        <v>0</v>
      </c>
      <c r="CC38" s="155">
        <f t="shared" si="66"/>
        <v>0</v>
      </c>
      <c r="CD38" s="79" t="s">
        <v>538</v>
      </c>
      <c r="CE38" s="65">
        <f t="shared" si="67"/>
        <v>363357</v>
      </c>
      <c r="CF38" s="65">
        <f t="shared" si="68"/>
        <v>363357</v>
      </c>
      <c r="CG38" s="65">
        <f t="shared" si="69"/>
        <v>347349</v>
      </c>
      <c r="CH38" s="65">
        <f t="shared" si="70"/>
        <v>363357</v>
      </c>
      <c r="CI38" s="65">
        <f t="shared" si="71"/>
        <v>1064853</v>
      </c>
      <c r="CJ38" s="65">
        <f t="shared" si="72"/>
        <v>373855</v>
      </c>
      <c r="CK38" s="65">
        <f t="shared" si="73"/>
        <v>647817</v>
      </c>
      <c r="CL38" s="65">
        <f t="shared" si="74"/>
        <v>363357</v>
      </c>
      <c r="CM38" s="65">
        <f t="shared" si="75"/>
        <v>419123</v>
      </c>
      <c r="CN38" s="65">
        <f t="shared" si="76"/>
        <v>697976</v>
      </c>
      <c r="CO38" s="65">
        <f t="shared" si="77"/>
        <v>363357</v>
      </c>
      <c r="CP38" s="65">
        <f t="shared" si="78"/>
        <v>658303</v>
      </c>
      <c r="CQ38" s="40" t="s">
        <v>538</v>
      </c>
    </row>
    <row r="39" spans="1:95" ht="3" customHeight="1" x14ac:dyDescent="0.25">
      <c r="A39" s="39">
        <v>1</v>
      </c>
      <c r="B39" s="28">
        <v>4202</v>
      </c>
      <c r="C39" s="28" t="s">
        <v>89</v>
      </c>
      <c r="D39" s="48">
        <f>+DATA!Q37</f>
        <v>2972573.0159999998</v>
      </c>
      <c r="E39" s="48">
        <f t="shared" si="63"/>
        <v>195694</v>
      </c>
      <c r="F39" s="48">
        <f t="shared" si="64"/>
        <v>297257</v>
      </c>
      <c r="G39" s="49">
        <f>VLOOKUP(B39,'CALC MEC ESTAB Y ESTIM M FINAL'!$B$7:$F$352,5,0)</f>
        <v>2.2312945272999997E-3</v>
      </c>
      <c r="H39" s="49">
        <f>VLOOKUP(B39,'CALC MEC ESTAB Y ESTIM M FINAL'!$B$7:$R$352,17,0)</f>
        <v>-4.415805094E-4</v>
      </c>
      <c r="I39" s="46">
        <f t="shared" si="4"/>
        <v>147566</v>
      </c>
      <c r="J39" s="46">
        <f t="shared" si="5"/>
        <v>0</v>
      </c>
      <c r="K39" s="46">
        <f t="shared" si="65"/>
        <v>48128</v>
      </c>
      <c r="L39" s="46">
        <v>0</v>
      </c>
      <c r="M39" s="46">
        <f t="shared" si="6"/>
        <v>195694</v>
      </c>
      <c r="N39" s="46">
        <f t="shared" si="7"/>
        <v>48128</v>
      </c>
      <c r="O39" s="46">
        <f t="shared" si="8"/>
        <v>78471</v>
      </c>
      <c r="P39" s="46">
        <f t="shared" si="9"/>
        <v>0</v>
      </c>
      <c r="Q39" s="46">
        <f t="shared" si="10"/>
        <v>117223</v>
      </c>
      <c r="R39" s="46">
        <v>0</v>
      </c>
      <c r="S39" s="46">
        <f t="shared" si="11"/>
        <v>195694</v>
      </c>
      <c r="T39" s="46">
        <f t="shared" si="12"/>
        <v>165351</v>
      </c>
      <c r="U39" s="46">
        <f t="shared" si="13"/>
        <v>223859</v>
      </c>
      <c r="V39" s="46">
        <f t="shared" si="14"/>
        <v>0</v>
      </c>
      <c r="W39" s="46">
        <f t="shared" si="15"/>
        <v>0</v>
      </c>
      <c r="X39" s="46">
        <v>0</v>
      </c>
      <c r="Y39" s="46">
        <f t="shared" si="16"/>
        <v>223859</v>
      </c>
      <c r="Z39" s="46">
        <f t="shared" si="17"/>
        <v>165351</v>
      </c>
      <c r="AA39" s="46">
        <f t="shared" si="18"/>
        <v>118865</v>
      </c>
      <c r="AB39" s="46">
        <f t="shared" si="19"/>
        <v>0</v>
      </c>
      <c r="AC39" s="46">
        <f t="shared" si="20"/>
        <v>76829</v>
      </c>
      <c r="AD39" s="46">
        <v>0</v>
      </c>
      <c r="AE39" s="46">
        <f t="shared" si="21"/>
        <v>195694</v>
      </c>
      <c r="AF39" s="46">
        <f t="shared" si="22"/>
        <v>242180</v>
      </c>
      <c r="AG39" s="46">
        <f t="shared" si="23"/>
        <v>1034352</v>
      </c>
      <c r="AH39" s="46">
        <f t="shared" si="24"/>
        <v>9547</v>
      </c>
      <c r="AI39" s="46">
        <f t="shared" si="25"/>
        <v>-242180</v>
      </c>
      <c r="AJ39" s="46">
        <v>0</v>
      </c>
      <c r="AK39" s="46">
        <f t="shared" si="26"/>
        <v>801719</v>
      </c>
      <c r="AL39" s="46">
        <f t="shared" si="27"/>
        <v>0</v>
      </c>
      <c r="AM39" s="46">
        <f t="shared" si="28"/>
        <v>204879</v>
      </c>
      <c r="AN39" s="46">
        <f t="shared" si="29"/>
        <v>6766</v>
      </c>
      <c r="AO39" s="46">
        <f t="shared" si="30"/>
        <v>0</v>
      </c>
      <c r="AP39" s="46">
        <v>0</v>
      </c>
      <c r="AQ39" s="46">
        <f t="shared" si="31"/>
        <v>211645</v>
      </c>
      <c r="AR39" s="46">
        <f t="shared" si="32"/>
        <v>0</v>
      </c>
      <c r="AS39" s="46">
        <f t="shared" si="33"/>
        <v>407262</v>
      </c>
      <c r="AT39" s="46">
        <f t="shared" si="34"/>
        <v>39538</v>
      </c>
      <c r="AU39" s="46">
        <f t="shared" si="35"/>
        <v>0</v>
      </c>
      <c r="AV39" s="46">
        <v>0</v>
      </c>
      <c r="AW39" s="46">
        <f t="shared" si="36"/>
        <v>446800</v>
      </c>
      <c r="AX39" s="46">
        <f t="shared" si="37"/>
        <v>0</v>
      </c>
      <c r="AY39" s="46">
        <f t="shared" si="38"/>
        <v>134525</v>
      </c>
      <c r="AZ39" s="46">
        <f t="shared" si="39"/>
        <v>0</v>
      </c>
      <c r="BA39" s="46">
        <f t="shared" si="40"/>
        <v>61169</v>
      </c>
      <c r="BB39" s="46"/>
      <c r="BC39" s="46">
        <f t="shared" si="41"/>
        <v>195694</v>
      </c>
      <c r="BD39" s="46">
        <f t="shared" si="42"/>
        <v>61169</v>
      </c>
      <c r="BE39" s="46">
        <f t="shared" si="43"/>
        <v>260423</v>
      </c>
      <c r="BF39" s="46">
        <f t="shared" si="44"/>
        <v>9693</v>
      </c>
      <c r="BG39" s="46">
        <f t="shared" si="45"/>
        <v>0</v>
      </c>
      <c r="BH39" s="46">
        <v>0</v>
      </c>
      <c r="BI39" s="46">
        <f t="shared" si="46"/>
        <v>270116</v>
      </c>
      <c r="BJ39" s="46">
        <f t="shared" si="47"/>
        <v>61169</v>
      </c>
      <c r="BK39" s="46">
        <f t="shared" si="48"/>
        <v>549480</v>
      </c>
      <c r="BL39" s="46">
        <f t="shared" si="49"/>
        <v>0</v>
      </c>
      <c r="BM39" s="46">
        <f t="shared" si="50"/>
        <v>-61169</v>
      </c>
      <c r="BN39" s="46">
        <v>0</v>
      </c>
      <c r="BO39" s="46">
        <f t="shared" si="51"/>
        <v>488311</v>
      </c>
      <c r="BP39" s="46">
        <f t="shared" si="52"/>
        <v>0</v>
      </c>
      <c r="BQ39" s="46">
        <f t="shared" si="53"/>
        <v>203936</v>
      </c>
      <c r="BR39" s="46">
        <f t="shared" si="54"/>
        <v>0</v>
      </c>
      <c r="BS39" s="46">
        <f t="shared" si="55"/>
        <v>0</v>
      </c>
      <c r="BT39" s="46">
        <v>0</v>
      </c>
      <c r="BU39" s="46">
        <f t="shared" si="56"/>
        <v>203936</v>
      </c>
      <c r="BV39" s="46">
        <f t="shared" si="57"/>
        <v>0</v>
      </c>
      <c r="BW39" s="46">
        <f t="shared" si="58"/>
        <v>390797</v>
      </c>
      <c r="BX39" s="46">
        <f t="shared" si="59"/>
        <v>63704</v>
      </c>
      <c r="BY39" s="46">
        <f t="shared" si="60"/>
        <v>0</v>
      </c>
      <c r="BZ39" s="46">
        <v>0</v>
      </c>
      <c r="CA39" s="46">
        <f t="shared" si="61"/>
        <v>454501</v>
      </c>
      <c r="CB39" s="46">
        <f t="shared" si="62"/>
        <v>0</v>
      </c>
      <c r="CC39" s="155">
        <f t="shared" si="66"/>
        <v>0</v>
      </c>
      <c r="CD39" s="79" t="s">
        <v>538</v>
      </c>
      <c r="CE39" s="65">
        <f t="shared" si="67"/>
        <v>195694</v>
      </c>
      <c r="CF39" s="65">
        <f t="shared" si="68"/>
        <v>195694</v>
      </c>
      <c r="CG39" s="65">
        <f t="shared" si="69"/>
        <v>223859</v>
      </c>
      <c r="CH39" s="65">
        <f t="shared" si="70"/>
        <v>195694</v>
      </c>
      <c r="CI39" s="65">
        <f t="shared" si="71"/>
        <v>801719</v>
      </c>
      <c r="CJ39" s="65">
        <f t="shared" si="72"/>
        <v>211645</v>
      </c>
      <c r="CK39" s="65">
        <f t="shared" si="73"/>
        <v>446800</v>
      </c>
      <c r="CL39" s="65">
        <f t="shared" si="74"/>
        <v>195694</v>
      </c>
      <c r="CM39" s="65">
        <f t="shared" si="75"/>
        <v>270116</v>
      </c>
      <c r="CN39" s="65">
        <f t="shared" si="76"/>
        <v>488311</v>
      </c>
      <c r="CO39" s="65">
        <f t="shared" si="77"/>
        <v>203936</v>
      </c>
      <c r="CP39" s="65">
        <f t="shared" si="78"/>
        <v>454501</v>
      </c>
      <c r="CQ39" s="40" t="s">
        <v>538</v>
      </c>
    </row>
    <row r="40" spans="1:95" ht="3" customHeight="1" x14ac:dyDescent="0.25">
      <c r="A40" s="39">
        <v>1</v>
      </c>
      <c r="B40" s="28">
        <v>4203</v>
      </c>
      <c r="C40" s="28" t="s">
        <v>88</v>
      </c>
      <c r="D40" s="48">
        <f>+DATA!Q38</f>
        <v>9151523.4979999997</v>
      </c>
      <c r="E40" s="48">
        <f t="shared" si="63"/>
        <v>602475</v>
      </c>
      <c r="F40" s="48">
        <f t="shared" si="64"/>
        <v>915152</v>
      </c>
      <c r="G40" s="49">
        <f>VLOOKUP(B40,'CALC MEC ESTAB Y ESTIM M FINAL'!$B$7:$F$352,5,0)</f>
        <v>5.3683452994999995E-3</v>
      </c>
      <c r="H40" s="49">
        <f>VLOOKUP(B40,'CALC MEC ESTAB Y ESTIM M FINAL'!$B$7:$R$352,17,0)</f>
        <v>-5.4217834610000004E-4</v>
      </c>
      <c r="I40" s="46">
        <f t="shared" si="4"/>
        <v>397928</v>
      </c>
      <c r="J40" s="46">
        <f t="shared" si="5"/>
        <v>0</v>
      </c>
      <c r="K40" s="46">
        <f t="shared" si="65"/>
        <v>204547</v>
      </c>
      <c r="L40" s="46">
        <v>0</v>
      </c>
      <c r="M40" s="46">
        <f t="shared" si="6"/>
        <v>602475</v>
      </c>
      <c r="N40" s="46">
        <f t="shared" si="7"/>
        <v>204547</v>
      </c>
      <c r="O40" s="46">
        <f t="shared" si="8"/>
        <v>211605</v>
      </c>
      <c r="P40" s="46">
        <f t="shared" si="9"/>
        <v>0</v>
      </c>
      <c r="Q40" s="46">
        <f t="shared" si="10"/>
        <v>390870</v>
      </c>
      <c r="R40" s="46">
        <v>0</v>
      </c>
      <c r="S40" s="46">
        <f t="shared" si="11"/>
        <v>602475</v>
      </c>
      <c r="T40" s="46">
        <f t="shared" si="12"/>
        <v>595417</v>
      </c>
      <c r="U40" s="46">
        <f t="shared" si="13"/>
        <v>603660</v>
      </c>
      <c r="V40" s="46">
        <f t="shared" si="14"/>
        <v>0</v>
      </c>
      <c r="W40" s="46">
        <f t="shared" si="15"/>
        <v>0</v>
      </c>
      <c r="X40" s="46">
        <v>0</v>
      </c>
      <c r="Y40" s="46">
        <f t="shared" si="16"/>
        <v>603660</v>
      </c>
      <c r="Z40" s="46">
        <f t="shared" si="17"/>
        <v>595417</v>
      </c>
      <c r="AA40" s="46">
        <f t="shared" si="18"/>
        <v>320534</v>
      </c>
      <c r="AB40" s="46">
        <f t="shared" si="19"/>
        <v>0</v>
      </c>
      <c r="AC40" s="46">
        <f t="shared" si="20"/>
        <v>281941</v>
      </c>
      <c r="AD40" s="46">
        <v>0</v>
      </c>
      <c r="AE40" s="46">
        <f t="shared" si="21"/>
        <v>602475</v>
      </c>
      <c r="AF40" s="46">
        <f t="shared" si="22"/>
        <v>877358</v>
      </c>
      <c r="AG40" s="46">
        <f t="shared" si="23"/>
        <v>2789248</v>
      </c>
      <c r="AH40" s="46">
        <f t="shared" si="24"/>
        <v>25744</v>
      </c>
      <c r="AI40" s="46">
        <f t="shared" si="25"/>
        <v>-877358</v>
      </c>
      <c r="AJ40" s="46">
        <v>0</v>
      </c>
      <c r="AK40" s="46">
        <f t="shared" si="26"/>
        <v>1937634</v>
      </c>
      <c r="AL40" s="46">
        <f t="shared" si="27"/>
        <v>0</v>
      </c>
      <c r="AM40" s="46">
        <f t="shared" si="28"/>
        <v>552479</v>
      </c>
      <c r="AN40" s="46">
        <f t="shared" si="29"/>
        <v>18245</v>
      </c>
      <c r="AO40" s="46">
        <f t="shared" si="30"/>
        <v>49996</v>
      </c>
      <c r="AP40" s="46">
        <v>0</v>
      </c>
      <c r="AQ40" s="46">
        <f t="shared" si="31"/>
        <v>620720</v>
      </c>
      <c r="AR40" s="46">
        <f t="shared" si="32"/>
        <v>49996</v>
      </c>
      <c r="AS40" s="46">
        <f t="shared" si="33"/>
        <v>1098229</v>
      </c>
      <c r="AT40" s="46">
        <f t="shared" si="34"/>
        <v>106618</v>
      </c>
      <c r="AU40" s="46">
        <f t="shared" si="35"/>
        <v>-49996</v>
      </c>
      <c r="AV40" s="46">
        <v>0</v>
      </c>
      <c r="AW40" s="46">
        <f t="shared" si="36"/>
        <v>1154851</v>
      </c>
      <c r="AX40" s="46">
        <f t="shared" si="37"/>
        <v>0</v>
      </c>
      <c r="AY40" s="46">
        <f t="shared" si="38"/>
        <v>362762</v>
      </c>
      <c r="AZ40" s="46">
        <f t="shared" si="39"/>
        <v>0</v>
      </c>
      <c r="BA40" s="46">
        <f t="shared" si="40"/>
        <v>239713</v>
      </c>
      <c r="BB40" s="46"/>
      <c r="BC40" s="46">
        <f t="shared" si="41"/>
        <v>602475</v>
      </c>
      <c r="BD40" s="46">
        <f t="shared" si="42"/>
        <v>239713</v>
      </c>
      <c r="BE40" s="46">
        <f t="shared" si="43"/>
        <v>702259</v>
      </c>
      <c r="BF40" s="46">
        <f t="shared" si="44"/>
        <v>26137</v>
      </c>
      <c r="BG40" s="46">
        <f t="shared" si="45"/>
        <v>0</v>
      </c>
      <c r="BH40" s="46">
        <v>0</v>
      </c>
      <c r="BI40" s="46">
        <f t="shared" si="46"/>
        <v>728396</v>
      </c>
      <c r="BJ40" s="46">
        <f t="shared" si="47"/>
        <v>239713</v>
      </c>
      <c r="BK40" s="46">
        <f t="shared" si="48"/>
        <v>1481736</v>
      </c>
      <c r="BL40" s="46">
        <f t="shared" si="49"/>
        <v>0</v>
      </c>
      <c r="BM40" s="46">
        <f t="shared" si="50"/>
        <v>-239713</v>
      </c>
      <c r="BN40" s="46">
        <v>0</v>
      </c>
      <c r="BO40" s="46">
        <f t="shared" si="51"/>
        <v>1242023</v>
      </c>
      <c r="BP40" s="46">
        <f t="shared" si="52"/>
        <v>0</v>
      </c>
      <c r="BQ40" s="46">
        <f t="shared" si="53"/>
        <v>549936</v>
      </c>
      <c r="BR40" s="46">
        <f t="shared" si="54"/>
        <v>0</v>
      </c>
      <c r="BS40" s="46">
        <f t="shared" si="55"/>
        <v>52539</v>
      </c>
      <c r="BT40" s="46">
        <v>0</v>
      </c>
      <c r="BU40" s="46">
        <f t="shared" si="56"/>
        <v>602475</v>
      </c>
      <c r="BV40" s="46">
        <f t="shared" si="57"/>
        <v>52539</v>
      </c>
      <c r="BW40" s="46">
        <f t="shared" si="58"/>
        <v>1053829</v>
      </c>
      <c r="BX40" s="46">
        <f t="shared" si="59"/>
        <v>171785</v>
      </c>
      <c r="BY40" s="46">
        <f t="shared" si="60"/>
        <v>-52539</v>
      </c>
      <c r="BZ40" s="46">
        <v>0</v>
      </c>
      <c r="CA40" s="46">
        <f t="shared" si="61"/>
        <v>1173075</v>
      </c>
      <c r="CB40" s="46">
        <f t="shared" si="62"/>
        <v>0</v>
      </c>
      <c r="CC40" s="155">
        <f t="shared" si="66"/>
        <v>0</v>
      </c>
      <c r="CD40" s="79" t="s">
        <v>538</v>
      </c>
      <c r="CE40" s="65">
        <f t="shared" si="67"/>
        <v>602475</v>
      </c>
      <c r="CF40" s="65">
        <f t="shared" si="68"/>
        <v>602475</v>
      </c>
      <c r="CG40" s="65">
        <f t="shared" si="69"/>
        <v>603660</v>
      </c>
      <c r="CH40" s="65">
        <f t="shared" si="70"/>
        <v>602475</v>
      </c>
      <c r="CI40" s="65">
        <f t="shared" si="71"/>
        <v>1937634</v>
      </c>
      <c r="CJ40" s="65">
        <f t="shared" si="72"/>
        <v>620720</v>
      </c>
      <c r="CK40" s="65">
        <f t="shared" si="73"/>
        <v>1154851</v>
      </c>
      <c r="CL40" s="65">
        <f t="shared" si="74"/>
        <v>602475</v>
      </c>
      <c r="CM40" s="65">
        <f t="shared" si="75"/>
        <v>728396</v>
      </c>
      <c r="CN40" s="65">
        <f t="shared" si="76"/>
        <v>1242023</v>
      </c>
      <c r="CO40" s="65">
        <f t="shared" si="77"/>
        <v>602475</v>
      </c>
      <c r="CP40" s="65">
        <f t="shared" si="78"/>
        <v>1173075</v>
      </c>
      <c r="CQ40" s="40" t="s">
        <v>538</v>
      </c>
    </row>
    <row r="41" spans="1:95" ht="3" customHeight="1" x14ac:dyDescent="0.25">
      <c r="A41" s="39">
        <v>1</v>
      </c>
      <c r="B41" s="28">
        <v>4204</v>
      </c>
      <c r="C41" s="28" t="s">
        <v>87</v>
      </c>
      <c r="D41" s="48">
        <f>+DATA!Q39</f>
        <v>4509682.1349999998</v>
      </c>
      <c r="E41" s="48">
        <f t="shared" si="63"/>
        <v>296887</v>
      </c>
      <c r="F41" s="48">
        <f t="shared" si="64"/>
        <v>450968</v>
      </c>
      <c r="G41" s="49">
        <f>VLOOKUP(B41,'CALC MEC ESTAB Y ESTIM M FINAL'!$B$7:$F$352,5,0)</f>
        <v>2.7171629085E-3</v>
      </c>
      <c r="H41" s="49">
        <f>VLOOKUP(B41,'CALC MEC ESTAB Y ESTIM M FINAL'!$B$7:$R$352,17,0)</f>
        <v>-3.0554109510000003E-4</v>
      </c>
      <c r="I41" s="46">
        <f t="shared" si="4"/>
        <v>198843</v>
      </c>
      <c r="J41" s="46">
        <f t="shared" si="5"/>
        <v>0</v>
      </c>
      <c r="K41" s="46">
        <f t="shared" si="65"/>
        <v>98044</v>
      </c>
      <c r="L41" s="46">
        <v>0</v>
      </c>
      <c r="M41" s="46">
        <f t="shared" si="6"/>
        <v>296887</v>
      </c>
      <c r="N41" s="46">
        <f t="shared" si="7"/>
        <v>98044</v>
      </c>
      <c r="O41" s="46">
        <f t="shared" si="8"/>
        <v>105738</v>
      </c>
      <c r="P41" s="46">
        <f t="shared" si="9"/>
        <v>0</v>
      </c>
      <c r="Q41" s="46">
        <f t="shared" si="10"/>
        <v>191149</v>
      </c>
      <c r="R41" s="46">
        <v>0</v>
      </c>
      <c r="S41" s="46">
        <f t="shared" si="11"/>
        <v>296887</v>
      </c>
      <c r="T41" s="46">
        <f t="shared" si="12"/>
        <v>289193</v>
      </c>
      <c r="U41" s="46">
        <f t="shared" si="13"/>
        <v>301647</v>
      </c>
      <c r="V41" s="46">
        <f t="shared" si="14"/>
        <v>0</v>
      </c>
      <c r="W41" s="46">
        <f t="shared" si="15"/>
        <v>0</v>
      </c>
      <c r="X41" s="46">
        <v>0</v>
      </c>
      <c r="Y41" s="46">
        <f t="shared" si="16"/>
        <v>301647</v>
      </c>
      <c r="Z41" s="46">
        <f t="shared" si="17"/>
        <v>289193</v>
      </c>
      <c r="AA41" s="46">
        <f t="shared" si="18"/>
        <v>160170</v>
      </c>
      <c r="AB41" s="46">
        <f t="shared" si="19"/>
        <v>0</v>
      </c>
      <c r="AC41" s="46">
        <f t="shared" si="20"/>
        <v>136717</v>
      </c>
      <c r="AD41" s="46">
        <v>0</v>
      </c>
      <c r="AE41" s="46">
        <f t="shared" si="21"/>
        <v>296887</v>
      </c>
      <c r="AF41" s="46">
        <f t="shared" si="22"/>
        <v>425910</v>
      </c>
      <c r="AG41" s="46">
        <f t="shared" si="23"/>
        <v>1393779</v>
      </c>
      <c r="AH41" s="46">
        <f t="shared" si="24"/>
        <v>12864</v>
      </c>
      <c r="AI41" s="46">
        <f t="shared" si="25"/>
        <v>-425910</v>
      </c>
      <c r="AJ41" s="46">
        <v>0</v>
      </c>
      <c r="AK41" s="46">
        <f t="shared" si="26"/>
        <v>980733</v>
      </c>
      <c r="AL41" s="46">
        <f t="shared" si="27"/>
        <v>0</v>
      </c>
      <c r="AM41" s="46">
        <f t="shared" si="28"/>
        <v>276072</v>
      </c>
      <c r="AN41" s="46">
        <f t="shared" si="29"/>
        <v>9117</v>
      </c>
      <c r="AO41" s="46">
        <f t="shared" si="30"/>
        <v>20815</v>
      </c>
      <c r="AP41" s="46">
        <v>0</v>
      </c>
      <c r="AQ41" s="46">
        <f t="shared" si="31"/>
        <v>306004</v>
      </c>
      <c r="AR41" s="46">
        <f t="shared" si="32"/>
        <v>20815</v>
      </c>
      <c r="AS41" s="46">
        <f t="shared" si="33"/>
        <v>548782</v>
      </c>
      <c r="AT41" s="46">
        <f t="shared" si="34"/>
        <v>53277</v>
      </c>
      <c r="AU41" s="46">
        <f t="shared" si="35"/>
        <v>-20815</v>
      </c>
      <c r="AV41" s="46">
        <v>0</v>
      </c>
      <c r="AW41" s="46">
        <f t="shared" si="36"/>
        <v>581244</v>
      </c>
      <c r="AX41" s="46">
        <f t="shared" si="37"/>
        <v>0</v>
      </c>
      <c r="AY41" s="46">
        <f t="shared" si="38"/>
        <v>181271</v>
      </c>
      <c r="AZ41" s="46">
        <f t="shared" si="39"/>
        <v>0</v>
      </c>
      <c r="BA41" s="46">
        <f t="shared" si="40"/>
        <v>115616</v>
      </c>
      <c r="BB41" s="46"/>
      <c r="BC41" s="46">
        <f t="shared" si="41"/>
        <v>296887</v>
      </c>
      <c r="BD41" s="46">
        <f t="shared" si="42"/>
        <v>115616</v>
      </c>
      <c r="BE41" s="46">
        <f t="shared" si="43"/>
        <v>350917</v>
      </c>
      <c r="BF41" s="46">
        <f t="shared" si="44"/>
        <v>13061</v>
      </c>
      <c r="BG41" s="46">
        <f t="shared" si="45"/>
        <v>0</v>
      </c>
      <c r="BH41" s="46">
        <v>0</v>
      </c>
      <c r="BI41" s="46">
        <f t="shared" si="46"/>
        <v>363978</v>
      </c>
      <c r="BJ41" s="46">
        <f t="shared" si="47"/>
        <v>115616</v>
      </c>
      <c r="BK41" s="46">
        <f t="shared" si="48"/>
        <v>740419</v>
      </c>
      <c r="BL41" s="46">
        <f t="shared" si="49"/>
        <v>0</v>
      </c>
      <c r="BM41" s="46">
        <f t="shared" si="50"/>
        <v>-115616</v>
      </c>
      <c r="BN41" s="46">
        <v>0</v>
      </c>
      <c r="BO41" s="46">
        <f t="shared" si="51"/>
        <v>624803</v>
      </c>
      <c r="BP41" s="46">
        <f t="shared" si="52"/>
        <v>0</v>
      </c>
      <c r="BQ41" s="46">
        <f t="shared" si="53"/>
        <v>274801</v>
      </c>
      <c r="BR41" s="46">
        <f t="shared" si="54"/>
        <v>0</v>
      </c>
      <c r="BS41" s="46">
        <f t="shared" si="55"/>
        <v>22086</v>
      </c>
      <c r="BT41" s="46">
        <v>0</v>
      </c>
      <c r="BU41" s="46">
        <f t="shared" si="56"/>
        <v>296887</v>
      </c>
      <c r="BV41" s="46">
        <f t="shared" si="57"/>
        <v>22086</v>
      </c>
      <c r="BW41" s="46">
        <f t="shared" si="58"/>
        <v>526595</v>
      </c>
      <c r="BX41" s="46">
        <f t="shared" si="59"/>
        <v>85840</v>
      </c>
      <c r="BY41" s="46">
        <f t="shared" si="60"/>
        <v>-22086</v>
      </c>
      <c r="BZ41" s="46">
        <v>0</v>
      </c>
      <c r="CA41" s="46">
        <f t="shared" si="61"/>
        <v>590349</v>
      </c>
      <c r="CB41" s="46">
        <f t="shared" si="62"/>
        <v>0</v>
      </c>
      <c r="CC41" s="155">
        <f t="shared" si="66"/>
        <v>0</v>
      </c>
      <c r="CD41" s="79" t="s">
        <v>538</v>
      </c>
      <c r="CE41" s="65">
        <f t="shared" si="67"/>
        <v>296887</v>
      </c>
      <c r="CF41" s="65">
        <f t="shared" si="68"/>
        <v>296887</v>
      </c>
      <c r="CG41" s="65">
        <f t="shared" si="69"/>
        <v>301647</v>
      </c>
      <c r="CH41" s="65">
        <f t="shared" si="70"/>
        <v>296887</v>
      </c>
      <c r="CI41" s="65">
        <f t="shared" si="71"/>
        <v>980733</v>
      </c>
      <c r="CJ41" s="65">
        <f t="shared" si="72"/>
        <v>306004</v>
      </c>
      <c r="CK41" s="65">
        <f t="shared" si="73"/>
        <v>581244</v>
      </c>
      <c r="CL41" s="65">
        <f t="shared" si="74"/>
        <v>296887</v>
      </c>
      <c r="CM41" s="65">
        <f t="shared" si="75"/>
        <v>363978</v>
      </c>
      <c r="CN41" s="65">
        <f t="shared" si="76"/>
        <v>624803</v>
      </c>
      <c r="CO41" s="65">
        <f t="shared" si="77"/>
        <v>296887</v>
      </c>
      <c r="CP41" s="65">
        <f t="shared" si="78"/>
        <v>590349</v>
      </c>
      <c r="CQ41" s="40" t="s">
        <v>538</v>
      </c>
    </row>
    <row r="42" spans="1:95" ht="3" customHeight="1" x14ac:dyDescent="0.25">
      <c r="A42" s="39">
        <v>1</v>
      </c>
      <c r="B42" s="28">
        <v>4301</v>
      </c>
      <c r="C42" s="28" t="s">
        <v>83</v>
      </c>
      <c r="D42" s="48">
        <f>+DATA!Q40</f>
        <v>14778658.675000001</v>
      </c>
      <c r="E42" s="48">
        <f t="shared" si="63"/>
        <v>972928</v>
      </c>
      <c r="F42" s="48">
        <f t="shared" si="64"/>
        <v>1477866</v>
      </c>
      <c r="G42" s="49">
        <f>VLOOKUP(B42,'CALC MEC ESTAB Y ESTIM M FINAL'!$B$7:$F$352,5,0)</f>
        <v>8.1640494396000001E-3</v>
      </c>
      <c r="H42" s="49">
        <f>VLOOKUP(B42,'CALC MEC ESTAB Y ESTIM M FINAL'!$B$7:$R$352,17,0)</f>
        <v>-5.9559790320000004E-4</v>
      </c>
      <c r="I42" s="46">
        <f t="shared" si="4"/>
        <v>624035</v>
      </c>
      <c r="J42" s="46">
        <f t="shared" si="5"/>
        <v>0</v>
      </c>
      <c r="K42" s="46">
        <f t="shared" si="65"/>
        <v>348893</v>
      </c>
      <c r="L42" s="46">
        <v>0</v>
      </c>
      <c r="M42" s="46">
        <f t="shared" si="6"/>
        <v>972928</v>
      </c>
      <c r="N42" s="46">
        <f t="shared" si="7"/>
        <v>348893</v>
      </c>
      <c r="O42" s="46">
        <f t="shared" si="8"/>
        <v>331841</v>
      </c>
      <c r="P42" s="46">
        <f t="shared" si="9"/>
        <v>0</v>
      </c>
      <c r="Q42" s="46">
        <f t="shared" si="10"/>
        <v>641087</v>
      </c>
      <c r="R42" s="46">
        <v>0</v>
      </c>
      <c r="S42" s="46">
        <f t="shared" si="11"/>
        <v>972928</v>
      </c>
      <c r="T42" s="46">
        <f t="shared" si="12"/>
        <v>989980</v>
      </c>
      <c r="U42" s="46">
        <f t="shared" si="13"/>
        <v>946667</v>
      </c>
      <c r="V42" s="46">
        <f t="shared" si="14"/>
        <v>0</v>
      </c>
      <c r="W42" s="46">
        <f t="shared" si="15"/>
        <v>0</v>
      </c>
      <c r="X42" s="46">
        <v>0</v>
      </c>
      <c r="Y42" s="46">
        <f t="shared" si="16"/>
        <v>946667</v>
      </c>
      <c r="Z42" s="46">
        <f t="shared" si="17"/>
        <v>989980</v>
      </c>
      <c r="AA42" s="46">
        <f t="shared" si="18"/>
        <v>502666</v>
      </c>
      <c r="AB42" s="46">
        <f t="shared" si="19"/>
        <v>0</v>
      </c>
      <c r="AC42" s="46">
        <f t="shared" si="20"/>
        <v>470262</v>
      </c>
      <c r="AD42" s="46">
        <v>0</v>
      </c>
      <c r="AE42" s="46">
        <f t="shared" si="21"/>
        <v>972928</v>
      </c>
      <c r="AF42" s="46">
        <f t="shared" si="22"/>
        <v>1460242</v>
      </c>
      <c r="AG42" s="46">
        <f t="shared" si="23"/>
        <v>4374131</v>
      </c>
      <c r="AH42" s="46">
        <f t="shared" si="24"/>
        <v>40372</v>
      </c>
      <c r="AI42" s="46">
        <f t="shared" si="25"/>
        <v>-1460242</v>
      </c>
      <c r="AJ42" s="46">
        <v>0</v>
      </c>
      <c r="AK42" s="46">
        <f t="shared" si="26"/>
        <v>2954261</v>
      </c>
      <c r="AL42" s="46">
        <f t="shared" si="27"/>
        <v>0</v>
      </c>
      <c r="AM42" s="46">
        <f t="shared" si="28"/>
        <v>866404</v>
      </c>
      <c r="AN42" s="46">
        <f t="shared" si="29"/>
        <v>28612</v>
      </c>
      <c r="AO42" s="46">
        <f t="shared" si="30"/>
        <v>106524</v>
      </c>
      <c r="AP42" s="46">
        <v>0</v>
      </c>
      <c r="AQ42" s="46">
        <f t="shared" si="31"/>
        <v>1001540</v>
      </c>
      <c r="AR42" s="46">
        <f t="shared" si="32"/>
        <v>106524</v>
      </c>
      <c r="AS42" s="46">
        <f t="shared" si="33"/>
        <v>1722256</v>
      </c>
      <c r="AT42" s="46">
        <f t="shared" si="34"/>
        <v>167200</v>
      </c>
      <c r="AU42" s="46">
        <f t="shared" si="35"/>
        <v>-106524</v>
      </c>
      <c r="AV42" s="46">
        <v>0</v>
      </c>
      <c r="AW42" s="46">
        <f t="shared" si="36"/>
        <v>1782932</v>
      </c>
      <c r="AX42" s="46">
        <f t="shared" si="37"/>
        <v>0</v>
      </c>
      <c r="AY42" s="46">
        <f t="shared" si="38"/>
        <v>568887</v>
      </c>
      <c r="AZ42" s="46">
        <f t="shared" si="39"/>
        <v>0</v>
      </c>
      <c r="BA42" s="46">
        <f t="shared" si="40"/>
        <v>404041</v>
      </c>
      <c r="BB42" s="46"/>
      <c r="BC42" s="46">
        <f t="shared" si="41"/>
        <v>972928</v>
      </c>
      <c r="BD42" s="46">
        <f t="shared" si="42"/>
        <v>404041</v>
      </c>
      <c r="BE42" s="46">
        <f t="shared" si="43"/>
        <v>1101291</v>
      </c>
      <c r="BF42" s="46">
        <f t="shared" si="44"/>
        <v>40989</v>
      </c>
      <c r="BG42" s="46">
        <f t="shared" si="45"/>
        <v>0</v>
      </c>
      <c r="BH42" s="46">
        <v>0</v>
      </c>
      <c r="BI42" s="46">
        <f t="shared" si="46"/>
        <v>1142280</v>
      </c>
      <c r="BJ42" s="46">
        <f t="shared" si="47"/>
        <v>404041</v>
      </c>
      <c r="BK42" s="46">
        <f t="shared" si="48"/>
        <v>2323676</v>
      </c>
      <c r="BL42" s="46">
        <f t="shared" si="49"/>
        <v>0</v>
      </c>
      <c r="BM42" s="46">
        <f t="shared" si="50"/>
        <v>-404041</v>
      </c>
      <c r="BN42" s="46">
        <v>0</v>
      </c>
      <c r="BO42" s="46">
        <f t="shared" si="51"/>
        <v>1919635</v>
      </c>
      <c r="BP42" s="46">
        <f t="shared" si="52"/>
        <v>0</v>
      </c>
      <c r="BQ42" s="46">
        <f t="shared" si="53"/>
        <v>862416</v>
      </c>
      <c r="BR42" s="46">
        <f t="shared" si="54"/>
        <v>0</v>
      </c>
      <c r="BS42" s="46">
        <f t="shared" si="55"/>
        <v>110512</v>
      </c>
      <c r="BT42" s="46">
        <v>0</v>
      </c>
      <c r="BU42" s="46">
        <f t="shared" si="56"/>
        <v>972928</v>
      </c>
      <c r="BV42" s="46">
        <f t="shared" si="57"/>
        <v>110512</v>
      </c>
      <c r="BW42" s="46">
        <f t="shared" si="58"/>
        <v>1652627</v>
      </c>
      <c r="BX42" s="46">
        <f t="shared" si="59"/>
        <v>269395</v>
      </c>
      <c r="BY42" s="46">
        <f t="shared" si="60"/>
        <v>-110512</v>
      </c>
      <c r="BZ42" s="46">
        <v>0</v>
      </c>
      <c r="CA42" s="46">
        <f t="shared" si="61"/>
        <v>1811510</v>
      </c>
      <c r="CB42" s="46">
        <f t="shared" si="62"/>
        <v>0</v>
      </c>
      <c r="CC42" s="155">
        <f t="shared" si="66"/>
        <v>0</v>
      </c>
      <c r="CD42" s="79" t="s">
        <v>538</v>
      </c>
      <c r="CE42" s="65">
        <f t="shared" si="67"/>
        <v>972928</v>
      </c>
      <c r="CF42" s="65">
        <f t="shared" si="68"/>
        <v>972928</v>
      </c>
      <c r="CG42" s="65">
        <f t="shared" si="69"/>
        <v>946667</v>
      </c>
      <c r="CH42" s="65">
        <f t="shared" si="70"/>
        <v>972928</v>
      </c>
      <c r="CI42" s="65">
        <f t="shared" si="71"/>
        <v>2954261</v>
      </c>
      <c r="CJ42" s="65">
        <f t="shared" si="72"/>
        <v>1001540</v>
      </c>
      <c r="CK42" s="65">
        <f t="shared" si="73"/>
        <v>1782932</v>
      </c>
      <c r="CL42" s="65">
        <f t="shared" si="74"/>
        <v>972928</v>
      </c>
      <c r="CM42" s="65">
        <f t="shared" si="75"/>
        <v>1142280</v>
      </c>
      <c r="CN42" s="65">
        <f t="shared" si="76"/>
        <v>1919635</v>
      </c>
      <c r="CO42" s="65">
        <f t="shared" si="77"/>
        <v>972928</v>
      </c>
      <c r="CP42" s="65">
        <f t="shared" si="78"/>
        <v>1811510</v>
      </c>
      <c r="CQ42" s="40" t="s">
        <v>538</v>
      </c>
    </row>
    <row r="43" spans="1:95" ht="3" customHeight="1" x14ac:dyDescent="0.25">
      <c r="A43" s="39">
        <v>1</v>
      </c>
      <c r="B43" s="28">
        <v>4302</v>
      </c>
      <c r="C43" s="28" t="s">
        <v>376</v>
      </c>
      <c r="D43" s="48">
        <f>+DATA!Q41</f>
        <v>3891199.1970000002</v>
      </c>
      <c r="E43" s="48">
        <f t="shared" si="63"/>
        <v>256171</v>
      </c>
      <c r="F43" s="48">
        <f t="shared" si="64"/>
        <v>389120</v>
      </c>
      <c r="G43" s="49">
        <f>VLOOKUP(B43,'CALC MEC ESTAB Y ESTIM M FINAL'!$B$7:$F$352,5,0)</f>
        <v>2.1829226593999998E-3</v>
      </c>
      <c r="H43" s="49">
        <f>VLOOKUP(B43,'CALC MEC ESTAB Y ESTIM M FINAL'!$B$7:$R$352,17,0)</f>
        <v>-1.7563691110000001E-4</v>
      </c>
      <c r="I43" s="46">
        <f t="shared" si="4"/>
        <v>165505</v>
      </c>
      <c r="J43" s="46">
        <f t="shared" si="5"/>
        <v>0</v>
      </c>
      <c r="K43" s="46">
        <f t="shared" si="65"/>
        <v>90666</v>
      </c>
      <c r="L43" s="46">
        <v>0</v>
      </c>
      <c r="M43" s="46">
        <f t="shared" si="6"/>
        <v>256171</v>
      </c>
      <c r="N43" s="46">
        <f t="shared" si="7"/>
        <v>90666</v>
      </c>
      <c r="O43" s="46">
        <f t="shared" si="8"/>
        <v>88010</v>
      </c>
      <c r="P43" s="46">
        <f t="shared" si="9"/>
        <v>0</v>
      </c>
      <c r="Q43" s="46">
        <f t="shared" si="10"/>
        <v>168161</v>
      </c>
      <c r="R43" s="46">
        <v>0</v>
      </c>
      <c r="S43" s="46">
        <f t="shared" si="11"/>
        <v>256171</v>
      </c>
      <c r="T43" s="46">
        <f t="shared" si="12"/>
        <v>258827</v>
      </c>
      <c r="U43" s="46">
        <f t="shared" si="13"/>
        <v>251073</v>
      </c>
      <c r="V43" s="46">
        <f t="shared" si="14"/>
        <v>0</v>
      </c>
      <c r="W43" s="46">
        <f t="shared" si="15"/>
        <v>0</v>
      </c>
      <c r="X43" s="46">
        <v>0</v>
      </c>
      <c r="Y43" s="46">
        <f t="shared" si="16"/>
        <v>251073</v>
      </c>
      <c r="Z43" s="46">
        <f t="shared" si="17"/>
        <v>258827</v>
      </c>
      <c r="AA43" s="46">
        <f t="shared" si="18"/>
        <v>133316</v>
      </c>
      <c r="AB43" s="46">
        <f t="shared" si="19"/>
        <v>0</v>
      </c>
      <c r="AC43" s="46">
        <f t="shared" si="20"/>
        <v>122855</v>
      </c>
      <c r="AD43" s="46">
        <v>0</v>
      </c>
      <c r="AE43" s="46">
        <f t="shared" si="21"/>
        <v>256171</v>
      </c>
      <c r="AF43" s="46">
        <f t="shared" si="22"/>
        <v>381682</v>
      </c>
      <c r="AG43" s="46">
        <f t="shared" si="23"/>
        <v>1160096</v>
      </c>
      <c r="AH43" s="46">
        <f t="shared" si="24"/>
        <v>10707</v>
      </c>
      <c r="AI43" s="46">
        <f t="shared" si="25"/>
        <v>-381682</v>
      </c>
      <c r="AJ43" s="46">
        <v>0</v>
      </c>
      <c r="AK43" s="46">
        <f t="shared" si="26"/>
        <v>789121</v>
      </c>
      <c r="AL43" s="46">
        <f t="shared" si="27"/>
        <v>0</v>
      </c>
      <c r="AM43" s="46">
        <f t="shared" si="28"/>
        <v>229785</v>
      </c>
      <c r="AN43" s="46">
        <f t="shared" si="29"/>
        <v>7588</v>
      </c>
      <c r="AO43" s="46">
        <f t="shared" si="30"/>
        <v>26386</v>
      </c>
      <c r="AP43" s="46">
        <v>0</v>
      </c>
      <c r="AQ43" s="46">
        <f t="shared" si="31"/>
        <v>263759</v>
      </c>
      <c r="AR43" s="46">
        <f t="shared" si="32"/>
        <v>26386</v>
      </c>
      <c r="AS43" s="46">
        <f t="shared" si="33"/>
        <v>456772</v>
      </c>
      <c r="AT43" s="46">
        <f t="shared" si="34"/>
        <v>44344</v>
      </c>
      <c r="AU43" s="46">
        <f t="shared" si="35"/>
        <v>-26386</v>
      </c>
      <c r="AV43" s="46">
        <v>0</v>
      </c>
      <c r="AW43" s="46">
        <f t="shared" si="36"/>
        <v>474730</v>
      </c>
      <c r="AX43" s="46">
        <f t="shared" si="37"/>
        <v>0</v>
      </c>
      <c r="AY43" s="46">
        <f t="shared" si="38"/>
        <v>150879</v>
      </c>
      <c r="AZ43" s="46">
        <f t="shared" si="39"/>
        <v>0</v>
      </c>
      <c r="BA43" s="46">
        <f t="shared" si="40"/>
        <v>105292</v>
      </c>
      <c r="BB43" s="46"/>
      <c r="BC43" s="46">
        <f t="shared" si="41"/>
        <v>256171</v>
      </c>
      <c r="BD43" s="46">
        <f t="shared" si="42"/>
        <v>105292</v>
      </c>
      <c r="BE43" s="46">
        <f t="shared" si="43"/>
        <v>292082</v>
      </c>
      <c r="BF43" s="46">
        <f t="shared" si="44"/>
        <v>10871</v>
      </c>
      <c r="BG43" s="46">
        <f t="shared" si="45"/>
        <v>0</v>
      </c>
      <c r="BH43" s="46">
        <v>0</v>
      </c>
      <c r="BI43" s="46">
        <f t="shared" si="46"/>
        <v>302953</v>
      </c>
      <c r="BJ43" s="46">
        <f t="shared" si="47"/>
        <v>105292</v>
      </c>
      <c r="BK43" s="46">
        <f t="shared" si="48"/>
        <v>616280</v>
      </c>
      <c r="BL43" s="46">
        <f t="shared" si="49"/>
        <v>0</v>
      </c>
      <c r="BM43" s="46">
        <f t="shared" si="50"/>
        <v>-105292</v>
      </c>
      <c r="BN43" s="46">
        <v>0</v>
      </c>
      <c r="BO43" s="46">
        <f t="shared" si="51"/>
        <v>510988</v>
      </c>
      <c r="BP43" s="46">
        <f t="shared" si="52"/>
        <v>0</v>
      </c>
      <c r="BQ43" s="46">
        <f t="shared" si="53"/>
        <v>228728</v>
      </c>
      <c r="BR43" s="46">
        <f t="shared" si="54"/>
        <v>0</v>
      </c>
      <c r="BS43" s="46">
        <f t="shared" si="55"/>
        <v>27443</v>
      </c>
      <c r="BT43" s="46">
        <v>0</v>
      </c>
      <c r="BU43" s="46">
        <f t="shared" si="56"/>
        <v>256171</v>
      </c>
      <c r="BV43" s="46">
        <f t="shared" si="57"/>
        <v>27443</v>
      </c>
      <c r="BW43" s="46">
        <f t="shared" si="58"/>
        <v>438305</v>
      </c>
      <c r="BX43" s="46">
        <f t="shared" si="59"/>
        <v>71448</v>
      </c>
      <c r="BY43" s="46">
        <f t="shared" si="60"/>
        <v>-27443</v>
      </c>
      <c r="BZ43" s="46">
        <v>0</v>
      </c>
      <c r="CA43" s="46">
        <f t="shared" si="61"/>
        <v>482310</v>
      </c>
      <c r="CB43" s="46">
        <f t="shared" si="62"/>
        <v>0</v>
      </c>
      <c r="CC43" s="155">
        <f t="shared" si="66"/>
        <v>0</v>
      </c>
      <c r="CD43" s="79" t="s">
        <v>538</v>
      </c>
      <c r="CE43" s="65">
        <f t="shared" si="67"/>
        <v>256171</v>
      </c>
      <c r="CF43" s="65">
        <f t="shared" si="68"/>
        <v>256171</v>
      </c>
      <c r="CG43" s="65">
        <f t="shared" si="69"/>
        <v>251073</v>
      </c>
      <c r="CH43" s="65">
        <f t="shared" si="70"/>
        <v>256171</v>
      </c>
      <c r="CI43" s="65">
        <f t="shared" si="71"/>
        <v>789121</v>
      </c>
      <c r="CJ43" s="65">
        <f t="shared" si="72"/>
        <v>263759</v>
      </c>
      <c r="CK43" s="65">
        <f t="shared" si="73"/>
        <v>474730</v>
      </c>
      <c r="CL43" s="65">
        <f t="shared" si="74"/>
        <v>256171</v>
      </c>
      <c r="CM43" s="65">
        <f t="shared" si="75"/>
        <v>302953</v>
      </c>
      <c r="CN43" s="65">
        <f t="shared" si="76"/>
        <v>510988</v>
      </c>
      <c r="CO43" s="65">
        <f t="shared" si="77"/>
        <v>256171</v>
      </c>
      <c r="CP43" s="65">
        <f t="shared" si="78"/>
        <v>482310</v>
      </c>
      <c r="CQ43" s="40" t="s">
        <v>538</v>
      </c>
    </row>
    <row r="44" spans="1:95" ht="3" customHeight="1" x14ac:dyDescent="0.25">
      <c r="A44" s="39">
        <v>1</v>
      </c>
      <c r="B44" s="28">
        <v>4303</v>
      </c>
      <c r="C44" s="28" t="s">
        <v>84</v>
      </c>
      <c r="D44" s="48">
        <f>+DATA!Q42</f>
        <v>6561143.2640000004</v>
      </c>
      <c r="E44" s="48">
        <f t="shared" si="63"/>
        <v>431942</v>
      </c>
      <c r="F44" s="48">
        <f t="shared" si="64"/>
        <v>656114</v>
      </c>
      <c r="G44" s="49">
        <f>VLOOKUP(B44,'CALC MEC ESTAB Y ESTIM M FINAL'!$B$7:$F$352,5,0)</f>
        <v>3.5552917356999995E-3</v>
      </c>
      <c r="H44" s="49">
        <f>VLOOKUP(B44,'CALC MEC ESTAB Y ESTIM M FINAL'!$B$7:$R$352,17,0)</f>
        <v>-2.273674654E-4</v>
      </c>
      <c r="I44" s="46">
        <f t="shared" si="4"/>
        <v>274395</v>
      </c>
      <c r="J44" s="46">
        <f t="shared" si="5"/>
        <v>0</v>
      </c>
      <c r="K44" s="46">
        <f t="shared" si="65"/>
        <v>157547</v>
      </c>
      <c r="L44" s="46">
        <v>0</v>
      </c>
      <c r="M44" s="46">
        <f t="shared" si="6"/>
        <v>431942</v>
      </c>
      <c r="N44" s="46">
        <f t="shared" si="7"/>
        <v>157547</v>
      </c>
      <c r="O44" s="46">
        <f t="shared" si="8"/>
        <v>145914</v>
      </c>
      <c r="P44" s="46">
        <f t="shared" si="9"/>
        <v>0</v>
      </c>
      <c r="Q44" s="46">
        <f t="shared" si="10"/>
        <v>286028</v>
      </c>
      <c r="R44" s="46">
        <v>0</v>
      </c>
      <c r="S44" s="46">
        <f t="shared" si="11"/>
        <v>431942</v>
      </c>
      <c r="T44" s="46">
        <f t="shared" si="12"/>
        <v>443575</v>
      </c>
      <c r="U44" s="46">
        <f t="shared" si="13"/>
        <v>416259</v>
      </c>
      <c r="V44" s="46">
        <f t="shared" si="14"/>
        <v>0</v>
      </c>
      <c r="W44" s="46">
        <f t="shared" si="15"/>
        <v>0</v>
      </c>
      <c r="X44" s="46">
        <v>0</v>
      </c>
      <c r="Y44" s="46">
        <f t="shared" si="16"/>
        <v>416259</v>
      </c>
      <c r="Z44" s="46">
        <f t="shared" si="17"/>
        <v>443575</v>
      </c>
      <c r="AA44" s="46">
        <f t="shared" si="18"/>
        <v>221027</v>
      </c>
      <c r="AB44" s="46">
        <f t="shared" si="19"/>
        <v>0</v>
      </c>
      <c r="AC44" s="46">
        <f t="shared" si="20"/>
        <v>210915</v>
      </c>
      <c r="AD44" s="46">
        <v>0</v>
      </c>
      <c r="AE44" s="46">
        <f t="shared" si="21"/>
        <v>431942</v>
      </c>
      <c r="AF44" s="46">
        <f t="shared" si="22"/>
        <v>654490</v>
      </c>
      <c r="AG44" s="46">
        <f t="shared" si="23"/>
        <v>1923349</v>
      </c>
      <c r="AH44" s="46">
        <f t="shared" si="24"/>
        <v>17752</v>
      </c>
      <c r="AI44" s="46">
        <f t="shared" si="25"/>
        <v>-654490</v>
      </c>
      <c r="AJ44" s="46">
        <v>0</v>
      </c>
      <c r="AK44" s="46">
        <f t="shared" si="26"/>
        <v>1286611</v>
      </c>
      <c r="AL44" s="46">
        <f t="shared" si="27"/>
        <v>0</v>
      </c>
      <c r="AM44" s="46">
        <f t="shared" si="28"/>
        <v>380966</v>
      </c>
      <c r="AN44" s="46">
        <f t="shared" si="29"/>
        <v>12581</v>
      </c>
      <c r="AO44" s="46">
        <f t="shared" si="30"/>
        <v>50976</v>
      </c>
      <c r="AP44" s="46">
        <v>0</v>
      </c>
      <c r="AQ44" s="46">
        <f t="shared" si="31"/>
        <v>444523</v>
      </c>
      <c r="AR44" s="46">
        <f t="shared" si="32"/>
        <v>50976</v>
      </c>
      <c r="AS44" s="46">
        <f t="shared" si="33"/>
        <v>757293</v>
      </c>
      <c r="AT44" s="46">
        <f t="shared" si="34"/>
        <v>73519</v>
      </c>
      <c r="AU44" s="46">
        <f t="shared" si="35"/>
        <v>-50976</v>
      </c>
      <c r="AV44" s="46">
        <v>0</v>
      </c>
      <c r="AW44" s="46">
        <f t="shared" si="36"/>
        <v>779836</v>
      </c>
      <c r="AX44" s="46">
        <f t="shared" si="37"/>
        <v>0</v>
      </c>
      <c r="AY44" s="46">
        <f t="shared" si="38"/>
        <v>250146</v>
      </c>
      <c r="AZ44" s="46">
        <f t="shared" si="39"/>
        <v>0</v>
      </c>
      <c r="BA44" s="46">
        <f t="shared" si="40"/>
        <v>181796</v>
      </c>
      <c r="BB44" s="46"/>
      <c r="BC44" s="46">
        <f t="shared" si="41"/>
        <v>431942</v>
      </c>
      <c r="BD44" s="46">
        <f t="shared" si="42"/>
        <v>181796</v>
      </c>
      <c r="BE44" s="46">
        <f t="shared" si="43"/>
        <v>484249</v>
      </c>
      <c r="BF44" s="46">
        <f t="shared" si="44"/>
        <v>18023</v>
      </c>
      <c r="BG44" s="46">
        <f t="shared" si="45"/>
        <v>0</v>
      </c>
      <c r="BH44" s="46">
        <v>0</v>
      </c>
      <c r="BI44" s="46">
        <f t="shared" si="46"/>
        <v>502272</v>
      </c>
      <c r="BJ44" s="46">
        <f t="shared" si="47"/>
        <v>181796</v>
      </c>
      <c r="BK44" s="46">
        <f t="shared" si="48"/>
        <v>1021744</v>
      </c>
      <c r="BL44" s="46">
        <f t="shared" si="49"/>
        <v>0</v>
      </c>
      <c r="BM44" s="46">
        <f t="shared" si="50"/>
        <v>-181796</v>
      </c>
      <c r="BN44" s="46">
        <v>0</v>
      </c>
      <c r="BO44" s="46">
        <f t="shared" si="51"/>
        <v>839948</v>
      </c>
      <c r="BP44" s="46">
        <f t="shared" si="52"/>
        <v>0</v>
      </c>
      <c r="BQ44" s="46">
        <f t="shared" si="53"/>
        <v>379213</v>
      </c>
      <c r="BR44" s="46">
        <f t="shared" si="54"/>
        <v>0</v>
      </c>
      <c r="BS44" s="46">
        <f t="shared" si="55"/>
        <v>52729</v>
      </c>
      <c r="BT44" s="46">
        <v>0</v>
      </c>
      <c r="BU44" s="46">
        <f t="shared" si="56"/>
        <v>431942</v>
      </c>
      <c r="BV44" s="46">
        <f t="shared" si="57"/>
        <v>52729</v>
      </c>
      <c r="BW44" s="46">
        <f t="shared" si="58"/>
        <v>726677</v>
      </c>
      <c r="BX44" s="46">
        <f t="shared" si="59"/>
        <v>118456</v>
      </c>
      <c r="BY44" s="46">
        <f t="shared" si="60"/>
        <v>-52729</v>
      </c>
      <c r="BZ44" s="46">
        <v>0</v>
      </c>
      <c r="CA44" s="46">
        <f t="shared" si="61"/>
        <v>792404</v>
      </c>
      <c r="CB44" s="46">
        <f t="shared" si="62"/>
        <v>0</v>
      </c>
      <c r="CC44" s="155">
        <f t="shared" si="66"/>
        <v>0</v>
      </c>
      <c r="CD44" s="79" t="s">
        <v>538</v>
      </c>
      <c r="CE44" s="65">
        <f t="shared" si="67"/>
        <v>431942</v>
      </c>
      <c r="CF44" s="65">
        <f t="shared" si="68"/>
        <v>431942</v>
      </c>
      <c r="CG44" s="65">
        <f t="shared" si="69"/>
        <v>416259</v>
      </c>
      <c r="CH44" s="65">
        <f t="shared" si="70"/>
        <v>431942</v>
      </c>
      <c r="CI44" s="65">
        <f t="shared" si="71"/>
        <v>1286611</v>
      </c>
      <c r="CJ44" s="65">
        <f t="shared" si="72"/>
        <v>444523</v>
      </c>
      <c r="CK44" s="65">
        <f t="shared" si="73"/>
        <v>779836</v>
      </c>
      <c r="CL44" s="65">
        <f t="shared" si="74"/>
        <v>431942</v>
      </c>
      <c r="CM44" s="65">
        <f t="shared" si="75"/>
        <v>502272</v>
      </c>
      <c r="CN44" s="65">
        <f t="shared" si="76"/>
        <v>839948</v>
      </c>
      <c r="CO44" s="65">
        <f t="shared" si="77"/>
        <v>431942</v>
      </c>
      <c r="CP44" s="65">
        <f t="shared" si="78"/>
        <v>792404</v>
      </c>
      <c r="CQ44" s="40" t="s">
        <v>538</v>
      </c>
    </row>
    <row r="45" spans="1:95" ht="3" customHeight="1" x14ac:dyDescent="0.25">
      <c r="A45" s="39">
        <v>1</v>
      </c>
      <c r="B45" s="28">
        <v>4304</v>
      </c>
      <c r="C45" s="28" t="s">
        <v>85</v>
      </c>
      <c r="D45" s="48">
        <f>+DATA!Q43</f>
        <v>3106024.6860000002</v>
      </c>
      <c r="E45" s="48">
        <f t="shared" si="63"/>
        <v>204480</v>
      </c>
      <c r="F45" s="48">
        <f t="shared" si="64"/>
        <v>310602</v>
      </c>
      <c r="G45" s="49">
        <f>VLOOKUP(B45,'CALC MEC ESTAB Y ESTIM M FINAL'!$B$7:$F$352,5,0)</f>
        <v>1.787320059E-3</v>
      </c>
      <c r="H45" s="49">
        <f>VLOOKUP(B45,'CALC MEC ESTAB Y ESTIM M FINAL'!$B$7:$R$352,17,0)</f>
        <v>-1.64302554E-4</v>
      </c>
      <c r="I45" s="46">
        <f t="shared" si="4"/>
        <v>133821</v>
      </c>
      <c r="J45" s="46">
        <f t="shared" si="5"/>
        <v>0</v>
      </c>
      <c r="K45" s="46">
        <f t="shared" si="65"/>
        <v>70659</v>
      </c>
      <c r="L45" s="46">
        <v>0</v>
      </c>
      <c r="M45" s="46">
        <f t="shared" si="6"/>
        <v>204480</v>
      </c>
      <c r="N45" s="46">
        <f t="shared" si="7"/>
        <v>70659</v>
      </c>
      <c r="O45" s="46">
        <f t="shared" si="8"/>
        <v>71162</v>
      </c>
      <c r="P45" s="46">
        <f t="shared" si="9"/>
        <v>0</v>
      </c>
      <c r="Q45" s="46">
        <f t="shared" si="10"/>
        <v>133318</v>
      </c>
      <c r="R45" s="46">
        <v>0</v>
      </c>
      <c r="S45" s="46">
        <f t="shared" si="11"/>
        <v>204480</v>
      </c>
      <c r="T45" s="46">
        <f t="shared" si="12"/>
        <v>203977</v>
      </c>
      <c r="U45" s="46">
        <f t="shared" si="13"/>
        <v>203008</v>
      </c>
      <c r="V45" s="46">
        <f t="shared" si="14"/>
        <v>0</v>
      </c>
      <c r="W45" s="46">
        <f t="shared" si="15"/>
        <v>0</v>
      </c>
      <c r="X45" s="46">
        <v>0</v>
      </c>
      <c r="Y45" s="46">
        <f t="shared" si="16"/>
        <v>203008</v>
      </c>
      <c r="Z45" s="46">
        <f t="shared" si="17"/>
        <v>203977</v>
      </c>
      <c r="AA45" s="46">
        <f t="shared" si="18"/>
        <v>107794</v>
      </c>
      <c r="AB45" s="46">
        <f t="shared" si="19"/>
        <v>0</v>
      </c>
      <c r="AC45" s="46">
        <f t="shared" si="20"/>
        <v>96686</v>
      </c>
      <c r="AD45" s="46">
        <v>0</v>
      </c>
      <c r="AE45" s="46">
        <f t="shared" si="21"/>
        <v>204480</v>
      </c>
      <c r="AF45" s="46">
        <f t="shared" si="22"/>
        <v>300663</v>
      </c>
      <c r="AG45" s="46">
        <f t="shared" si="23"/>
        <v>938011</v>
      </c>
      <c r="AH45" s="46">
        <f t="shared" si="24"/>
        <v>8658</v>
      </c>
      <c r="AI45" s="46">
        <f t="shared" si="25"/>
        <v>-300663</v>
      </c>
      <c r="AJ45" s="46">
        <v>0</v>
      </c>
      <c r="AK45" s="46">
        <f t="shared" si="26"/>
        <v>646006</v>
      </c>
      <c r="AL45" s="46">
        <f t="shared" si="27"/>
        <v>0</v>
      </c>
      <c r="AM45" s="46">
        <f t="shared" si="28"/>
        <v>185796</v>
      </c>
      <c r="AN45" s="46">
        <f t="shared" si="29"/>
        <v>6136</v>
      </c>
      <c r="AO45" s="46">
        <f t="shared" si="30"/>
        <v>18684</v>
      </c>
      <c r="AP45" s="46">
        <v>0</v>
      </c>
      <c r="AQ45" s="46">
        <f t="shared" si="31"/>
        <v>210616</v>
      </c>
      <c r="AR45" s="46">
        <f t="shared" si="32"/>
        <v>18684</v>
      </c>
      <c r="AS45" s="46">
        <f t="shared" si="33"/>
        <v>369329</v>
      </c>
      <c r="AT45" s="46">
        <f t="shared" si="34"/>
        <v>35855</v>
      </c>
      <c r="AU45" s="46">
        <f t="shared" si="35"/>
        <v>-18684</v>
      </c>
      <c r="AV45" s="46">
        <v>0</v>
      </c>
      <c r="AW45" s="46">
        <f t="shared" si="36"/>
        <v>386500</v>
      </c>
      <c r="AX45" s="46">
        <f t="shared" si="37"/>
        <v>0</v>
      </c>
      <c r="AY45" s="46">
        <f t="shared" si="38"/>
        <v>121995</v>
      </c>
      <c r="AZ45" s="46">
        <f t="shared" si="39"/>
        <v>0</v>
      </c>
      <c r="BA45" s="46">
        <f t="shared" si="40"/>
        <v>82485</v>
      </c>
      <c r="BB45" s="46"/>
      <c r="BC45" s="46">
        <f t="shared" si="41"/>
        <v>204480</v>
      </c>
      <c r="BD45" s="46">
        <f t="shared" si="42"/>
        <v>82485</v>
      </c>
      <c r="BE45" s="46">
        <f t="shared" si="43"/>
        <v>236166</v>
      </c>
      <c r="BF45" s="46">
        <f t="shared" si="44"/>
        <v>8790</v>
      </c>
      <c r="BG45" s="46">
        <f t="shared" si="45"/>
        <v>0</v>
      </c>
      <c r="BH45" s="46">
        <v>0</v>
      </c>
      <c r="BI45" s="46">
        <f t="shared" si="46"/>
        <v>244956</v>
      </c>
      <c r="BJ45" s="46">
        <f t="shared" si="47"/>
        <v>82485</v>
      </c>
      <c r="BK45" s="46">
        <f t="shared" si="48"/>
        <v>498301</v>
      </c>
      <c r="BL45" s="46">
        <f t="shared" si="49"/>
        <v>0</v>
      </c>
      <c r="BM45" s="46">
        <f t="shared" si="50"/>
        <v>-82485</v>
      </c>
      <c r="BN45" s="46">
        <v>0</v>
      </c>
      <c r="BO45" s="46">
        <f t="shared" si="51"/>
        <v>415816</v>
      </c>
      <c r="BP45" s="46">
        <f t="shared" si="52"/>
        <v>0</v>
      </c>
      <c r="BQ45" s="46">
        <f t="shared" si="53"/>
        <v>184941</v>
      </c>
      <c r="BR45" s="46">
        <f t="shared" si="54"/>
        <v>0</v>
      </c>
      <c r="BS45" s="46">
        <f t="shared" si="55"/>
        <v>19539</v>
      </c>
      <c r="BT45" s="46">
        <v>0</v>
      </c>
      <c r="BU45" s="46">
        <f t="shared" si="56"/>
        <v>204480</v>
      </c>
      <c r="BV45" s="46">
        <f t="shared" si="57"/>
        <v>19539</v>
      </c>
      <c r="BW45" s="46">
        <f t="shared" si="58"/>
        <v>354398</v>
      </c>
      <c r="BX45" s="46">
        <f t="shared" si="59"/>
        <v>57770</v>
      </c>
      <c r="BY45" s="46">
        <f t="shared" si="60"/>
        <v>-19539</v>
      </c>
      <c r="BZ45" s="46">
        <v>0</v>
      </c>
      <c r="CA45" s="46">
        <f t="shared" si="61"/>
        <v>392629</v>
      </c>
      <c r="CB45" s="46">
        <f t="shared" si="62"/>
        <v>0</v>
      </c>
      <c r="CC45" s="155">
        <f t="shared" si="66"/>
        <v>0</v>
      </c>
      <c r="CD45" s="79" t="s">
        <v>538</v>
      </c>
      <c r="CE45" s="65">
        <f t="shared" si="67"/>
        <v>204480</v>
      </c>
      <c r="CF45" s="65">
        <f t="shared" si="68"/>
        <v>204480</v>
      </c>
      <c r="CG45" s="65">
        <f t="shared" si="69"/>
        <v>203008</v>
      </c>
      <c r="CH45" s="65">
        <f t="shared" si="70"/>
        <v>204480</v>
      </c>
      <c r="CI45" s="65">
        <f t="shared" si="71"/>
        <v>646006</v>
      </c>
      <c r="CJ45" s="65">
        <f t="shared" si="72"/>
        <v>210616</v>
      </c>
      <c r="CK45" s="65">
        <f t="shared" si="73"/>
        <v>386500</v>
      </c>
      <c r="CL45" s="65">
        <f t="shared" si="74"/>
        <v>204480</v>
      </c>
      <c r="CM45" s="65">
        <f t="shared" si="75"/>
        <v>244956</v>
      </c>
      <c r="CN45" s="65">
        <f t="shared" si="76"/>
        <v>415816</v>
      </c>
      <c r="CO45" s="65">
        <f t="shared" si="77"/>
        <v>204480</v>
      </c>
      <c r="CP45" s="65">
        <f t="shared" si="78"/>
        <v>392629</v>
      </c>
      <c r="CQ45" s="40" t="s">
        <v>538</v>
      </c>
    </row>
    <row r="46" spans="1:95" ht="3" customHeight="1" x14ac:dyDescent="0.25">
      <c r="A46" s="39">
        <v>1</v>
      </c>
      <c r="B46" s="28">
        <v>4305</v>
      </c>
      <c r="C46" s="28" t="s">
        <v>377</v>
      </c>
      <c r="D46" s="48">
        <f>+DATA!Q44</f>
        <v>2286696.2459999998</v>
      </c>
      <c r="E46" s="48">
        <f t="shared" si="63"/>
        <v>150541</v>
      </c>
      <c r="F46" s="48">
        <f t="shared" si="64"/>
        <v>228670</v>
      </c>
      <c r="G46" s="49">
        <f>VLOOKUP(B46,'CALC MEC ESTAB Y ESTIM M FINAL'!$B$7:$F$352,5,0)</f>
        <v>1.3949360636000001E-3</v>
      </c>
      <c r="H46" s="49">
        <f>VLOOKUP(B46,'CALC MEC ESTAB Y ESTIM M FINAL'!$B$7:$R$352,17,0)</f>
        <v>-1.6469432930000001E-4</v>
      </c>
      <c r="I46" s="46">
        <f t="shared" si="4"/>
        <v>101436</v>
      </c>
      <c r="J46" s="46">
        <f t="shared" si="5"/>
        <v>0</v>
      </c>
      <c r="K46" s="46">
        <f t="shared" si="65"/>
        <v>49105</v>
      </c>
      <c r="L46" s="46">
        <v>0</v>
      </c>
      <c r="M46" s="46">
        <f t="shared" si="6"/>
        <v>150541</v>
      </c>
      <c r="N46" s="46">
        <f t="shared" si="7"/>
        <v>49105</v>
      </c>
      <c r="O46" s="46">
        <f t="shared" si="8"/>
        <v>53940</v>
      </c>
      <c r="P46" s="46">
        <f t="shared" si="9"/>
        <v>0</v>
      </c>
      <c r="Q46" s="46">
        <f t="shared" si="10"/>
        <v>96601</v>
      </c>
      <c r="R46" s="46">
        <v>0</v>
      </c>
      <c r="S46" s="46">
        <f t="shared" si="11"/>
        <v>150541</v>
      </c>
      <c r="T46" s="46">
        <f t="shared" si="12"/>
        <v>145706</v>
      </c>
      <c r="U46" s="46">
        <f t="shared" si="13"/>
        <v>153879</v>
      </c>
      <c r="V46" s="46">
        <f t="shared" si="14"/>
        <v>0</v>
      </c>
      <c r="W46" s="46">
        <f t="shared" si="15"/>
        <v>0</v>
      </c>
      <c r="X46" s="46">
        <v>0</v>
      </c>
      <c r="Y46" s="46">
        <f t="shared" si="16"/>
        <v>153879</v>
      </c>
      <c r="Z46" s="46">
        <f t="shared" si="17"/>
        <v>145706</v>
      </c>
      <c r="AA46" s="46">
        <f t="shared" si="18"/>
        <v>81708</v>
      </c>
      <c r="AB46" s="46">
        <f t="shared" si="19"/>
        <v>0</v>
      </c>
      <c r="AC46" s="46">
        <f t="shared" si="20"/>
        <v>68833</v>
      </c>
      <c r="AD46" s="46">
        <v>0</v>
      </c>
      <c r="AE46" s="46">
        <f t="shared" si="21"/>
        <v>150541</v>
      </c>
      <c r="AF46" s="46">
        <f t="shared" si="22"/>
        <v>214539</v>
      </c>
      <c r="AG46" s="46">
        <f t="shared" si="23"/>
        <v>711009</v>
      </c>
      <c r="AH46" s="46">
        <f t="shared" si="24"/>
        <v>6562</v>
      </c>
      <c r="AI46" s="46">
        <f t="shared" si="25"/>
        <v>-214539</v>
      </c>
      <c r="AJ46" s="46">
        <v>0</v>
      </c>
      <c r="AK46" s="46">
        <f t="shared" si="26"/>
        <v>503032</v>
      </c>
      <c r="AL46" s="46">
        <f t="shared" si="27"/>
        <v>0</v>
      </c>
      <c r="AM46" s="46">
        <f t="shared" si="28"/>
        <v>140833</v>
      </c>
      <c r="AN46" s="46">
        <f t="shared" si="29"/>
        <v>4651</v>
      </c>
      <c r="AO46" s="46">
        <f t="shared" si="30"/>
        <v>9708</v>
      </c>
      <c r="AP46" s="46">
        <v>0</v>
      </c>
      <c r="AQ46" s="46">
        <f t="shared" si="31"/>
        <v>155192</v>
      </c>
      <c r="AR46" s="46">
        <f t="shared" si="32"/>
        <v>9708</v>
      </c>
      <c r="AS46" s="46">
        <f t="shared" si="33"/>
        <v>279950</v>
      </c>
      <c r="AT46" s="46">
        <f t="shared" si="34"/>
        <v>27178</v>
      </c>
      <c r="AU46" s="46">
        <f t="shared" si="35"/>
        <v>-9708</v>
      </c>
      <c r="AV46" s="46">
        <v>0</v>
      </c>
      <c r="AW46" s="46">
        <f t="shared" si="36"/>
        <v>297420</v>
      </c>
      <c r="AX46" s="46">
        <f t="shared" si="37"/>
        <v>0</v>
      </c>
      <c r="AY46" s="46">
        <f t="shared" si="38"/>
        <v>92472</v>
      </c>
      <c r="AZ46" s="46">
        <f t="shared" si="39"/>
        <v>0</v>
      </c>
      <c r="BA46" s="46">
        <f t="shared" si="40"/>
        <v>58069</v>
      </c>
      <c r="BB46" s="46"/>
      <c r="BC46" s="46">
        <f t="shared" si="41"/>
        <v>150541</v>
      </c>
      <c r="BD46" s="46">
        <f t="shared" si="42"/>
        <v>58069</v>
      </c>
      <c r="BE46" s="46">
        <f t="shared" si="43"/>
        <v>179013</v>
      </c>
      <c r="BF46" s="46">
        <f t="shared" si="44"/>
        <v>6663</v>
      </c>
      <c r="BG46" s="46">
        <f t="shared" si="45"/>
        <v>0</v>
      </c>
      <c r="BH46" s="46">
        <v>0</v>
      </c>
      <c r="BI46" s="46">
        <f t="shared" si="46"/>
        <v>185676</v>
      </c>
      <c r="BJ46" s="46">
        <f t="shared" si="47"/>
        <v>58069</v>
      </c>
      <c r="BK46" s="46">
        <f t="shared" si="48"/>
        <v>377710</v>
      </c>
      <c r="BL46" s="46">
        <f t="shared" si="49"/>
        <v>0</v>
      </c>
      <c r="BM46" s="46">
        <f t="shared" si="50"/>
        <v>-58069</v>
      </c>
      <c r="BN46" s="46">
        <v>0</v>
      </c>
      <c r="BO46" s="46">
        <f t="shared" si="51"/>
        <v>319641</v>
      </c>
      <c r="BP46" s="46">
        <f t="shared" si="52"/>
        <v>0</v>
      </c>
      <c r="BQ46" s="46">
        <f t="shared" si="53"/>
        <v>140184</v>
      </c>
      <c r="BR46" s="46">
        <f t="shared" si="54"/>
        <v>0</v>
      </c>
      <c r="BS46" s="46">
        <f t="shared" si="55"/>
        <v>10357</v>
      </c>
      <c r="BT46" s="46">
        <v>0</v>
      </c>
      <c r="BU46" s="46">
        <f t="shared" si="56"/>
        <v>150541</v>
      </c>
      <c r="BV46" s="46">
        <f t="shared" si="57"/>
        <v>10357</v>
      </c>
      <c r="BW46" s="46">
        <f t="shared" si="58"/>
        <v>268632</v>
      </c>
      <c r="BX46" s="46">
        <f t="shared" si="59"/>
        <v>43790</v>
      </c>
      <c r="BY46" s="46">
        <f t="shared" si="60"/>
        <v>-10357</v>
      </c>
      <c r="BZ46" s="46">
        <v>0</v>
      </c>
      <c r="CA46" s="46">
        <f t="shared" si="61"/>
        <v>302065</v>
      </c>
      <c r="CB46" s="46">
        <f t="shared" si="62"/>
        <v>0</v>
      </c>
      <c r="CC46" s="155">
        <f t="shared" si="66"/>
        <v>0</v>
      </c>
      <c r="CD46" s="79" t="s">
        <v>538</v>
      </c>
      <c r="CE46" s="65">
        <f t="shared" si="67"/>
        <v>150541</v>
      </c>
      <c r="CF46" s="65">
        <f t="shared" si="68"/>
        <v>150541</v>
      </c>
      <c r="CG46" s="65">
        <f t="shared" si="69"/>
        <v>153879</v>
      </c>
      <c r="CH46" s="65">
        <f t="shared" si="70"/>
        <v>150541</v>
      </c>
      <c r="CI46" s="65">
        <f t="shared" si="71"/>
        <v>503032</v>
      </c>
      <c r="CJ46" s="65">
        <f t="shared" si="72"/>
        <v>155192</v>
      </c>
      <c r="CK46" s="65">
        <f t="shared" si="73"/>
        <v>297420</v>
      </c>
      <c r="CL46" s="65">
        <f t="shared" si="74"/>
        <v>150541</v>
      </c>
      <c r="CM46" s="65">
        <f t="shared" si="75"/>
        <v>185676</v>
      </c>
      <c r="CN46" s="65">
        <f t="shared" si="76"/>
        <v>319641</v>
      </c>
      <c r="CO46" s="65">
        <f t="shared" si="77"/>
        <v>150541</v>
      </c>
      <c r="CP46" s="65">
        <f t="shared" si="78"/>
        <v>302065</v>
      </c>
      <c r="CQ46" s="40" t="s">
        <v>538</v>
      </c>
    </row>
    <row r="47" spans="1:95" ht="3" customHeight="1" x14ac:dyDescent="0.25">
      <c r="A47" s="39">
        <v>1</v>
      </c>
      <c r="B47" s="28">
        <v>5101</v>
      </c>
      <c r="C47" s="28" t="s">
        <v>378</v>
      </c>
      <c r="D47" s="48">
        <f>+DATA!Q45</f>
        <v>30009878.239</v>
      </c>
      <c r="E47" s="48">
        <f t="shared" si="63"/>
        <v>1975650</v>
      </c>
      <c r="F47" s="48">
        <f t="shared" si="64"/>
        <v>3000988</v>
      </c>
      <c r="G47" s="49">
        <f>VLOOKUP(B47,'CALC MEC ESTAB Y ESTIM M FINAL'!$B$7:$F$352,5,0)</f>
        <v>1.64346343247E-2</v>
      </c>
      <c r="H47" s="49">
        <f>VLOOKUP(B47,'CALC MEC ESTAB Y ESTIM M FINAL'!$B$7:$R$352,17,0)</f>
        <v>-1.1405003564E-3</v>
      </c>
      <c r="I47" s="46">
        <f t="shared" si="4"/>
        <v>1261034</v>
      </c>
      <c r="J47" s="46">
        <f t="shared" si="5"/>
        <v>0</v>
      </c>
      <c r="K47" s="46">
        <f t="shared" si="65"/>
        <v>714616</v>
      </c>
      <c r="L47" s="46">
        <v>0</v>
      </c>
      <c r="M47" s="46">
        <f t="shared" si="6"/>
        <v>1975650</v>
      </c>
      <c r="N47" s="46">
        <f t="shared" si="7"/>
        <v>714616</v>
      </c>
      <c r="O47" s="46">
        <f t="shared" si="8"/>
        <v>670576</v>
      </c>
      <c r="P47" s="46">
        <f t="shared" si="9"/>
        <v>0</v>
      </c>
      <c r="Q47" s="46">
        <f t="shared" si="10"/>
        <v>1305074</v>
      </c>
      <c r="R47" s="46">
        <v>0</v>
      </c>
      <c r="S47" s="46">
        <f t="shared" si="11"/>
        <v>1975650</v>
      </c>
      <c r="T47" s="46">
        <f t="shared" si="12"/>
        <v>2019690</v>
      </c>
      <c r="U47" s="46">
        <f t="shared" si="13"/>
        <v>1913001</v>
      </c>
      <c r="V47" s="46">
        <f t="shared" si="14"/>
        <v>0</v>
      </c>
      <c r="W47" s="46">
        <f t="shared" si="15"/>
        <v>0</v>
      </c>
      <c r="X47" s="46">
        <v>0</v>
      </c>
      <c r="Y47" s="46">
        <f t="shared" si="16"/>
        <v>1913001</v>
      </c>
      <c r="Z47" s="46">
        <f t="shared" si="17"/>
        <v>2019690</v>
      </c>
      <c r="AA47" s="46">
        <f t="shared" si="18"/>
        <v>1015774</v>
      </c>
      <c r="AB47" s="46">
        <f t="shared" si="19"/>
        <v>0</v>
      </c>
      <c r="AC47" s="46">
        <f t="shared" si="20"/>
        <v>959876</v>
      </c>
      <c r="AD47" s="46">
        <v>0</v>
      </c>
      <c r="AE47" s="46">
        <f t="shared" si="21"/>
        <v>1975650</v>
      </c>
      <c r="AF47" s="46">
        <f t="shared" si="22"/>
        <v>2979566</v>
      </c>
      <c r="AG47" s="46">
        <f t="shared" si="23"/>
        <v>8839132</v>
      </c>
      <c r="AH47" s="46">
        <f t="shared" si="24"/>
        <v>81583</v>
      </c>
      <c r="AI47" s="46">
        <f t="shared" si="25"/>
        <v>-2979566</v>
      </c>
      <c r="AJ47" s="46">
        <v>0</v>
      </c>
      <c r="AK47" s="46">
        <f t="shared" si="26"/>
        <v>5941149</v>
      </c>
      <c r="AL47" s="46">
        <f t="shared" si="27"/>
        <v>0</v>
      </c>
      <c r="AM47" s="46">
        <f t="shared" si="28"/>
        <v>1750806</v>
      </c>
      <c r="AN47" s="46">
        <f t="shared" si="29"/>
        <v>57818</v>
      </c>
      <c r="AO47" s="46">
        <f t="shared" si="30"/>
        <v>224844</v>
      </c>
      <c r="AP47" s="46">
        <v>0</v>
      </c>
      <c r="AQ47" s="46">
        <f t="shared" si="31"/>
        <v>2033468</v>
      </c>
      <c r="AR47" s="46">
        <f t="shared" si="32"/>
        <v>224844</v>
      </c>
      <c r="AS47" s="46">
        <f t="shared" si="33"/>
        <v>3480291</v>
      </c>
      <c r="AT47" s="46">
        <f t="shared" si="34"/>
        <v>337873</v>
      </c>
      <c r="AU47" s="46">
        <f t="shared" si="35"/>
        <v>-224844</v>
      </c>
      <c r="AV47" s="46">
        <v>0</v>
      </c>
      <c r="AW47" s="46">
        <f t="shared" si="36"/>
        <v>3593320</v>
      </c>
      <c r="AX47" s="46">
        <f t="shared" si="37"/>
        <v>0</v>
      </c>
      <c r="AY47" s="46">
        <f t="shared" si="38"/>
        <v>1149593</v>
      </c>
      <c r="AZ47" s="46">
        <f t="shared" si="39"/>
        <v>0</v>
      </c>
      <c r="BA47" s="46">
        <f t="shared" si="40"/>
        <v>826057</v>
      </c>
      <c r="BB47" s="46"/>
      <c r="BC47" s="46">
        <f t="shared" si="41"/>
        <v>1975650</v>
      </c>
      <c r="BD47" s="46">
        <f t="shared" si="42"/>
        <v>826057</v>
      </c>
      <c r="BE47" s="46">
        <f t="shared" si="43"/>
        <v>2225460</v>
      </c>
      <c r="BF47" s="46">
        <f t="shared" si="44"/>
        <v>82830</v>
      </c>
      <c r="BG47" s="46">
        <f t="shared" si="45"/>
        <v>0</v>
      </c>
      <c r="BH47" s="46">
        <v>0</v>
      </c>
      <c r="BI47" s="46">
        <f t="shared" si="46"/>
        <v>2308290</v>
      </c>
      <c r="BJ47" s="46">
        <f t="shared" si="47"/>
        <v>826057</v>
      </c>
      <c r="BK47" s="46">
        <f t="shared" si="48"/>
        <v>4695625</v>
      </c>
      <c r="BL47" s="46">
        <f t="shared" si="49"/>
        <v>0</v>
      </c>
      <c r="BM47" s="46">
        <f t="shared" si="50"/>
        <v>-826057</v>
      </c>
      <c r="BN47" s="46">
        <v>0</v>
      </c>
      <c r="BO47" s="46">
        <f t="shared" si="51"/>
        <v>3869568</v>
      </c>
      <c r="BP47" s="46">
        <f t="shared" si="52"/>
        <v>0</v>
      </c>
      <c r="BQ47" s="46">
        <f t="shared" si="53"/>
        <v>1742747</v>
      </c>
      <c r="BR47" s="46">
        <f t="shared" si="54"/>
        <v>0</v>
      </c>
      <c r="BS47" s="46">
        <f t="shared" si="55"/>
        <v>232903</v>
      </c>
      <c r="BT47" s="46">
        <v>0</v>
      </c>
      <c r="BU47" s="46">
        <f t="shared" si="56"/>
        <v>1975650</v>
      </c>
      <c r="BV47" s="46">
        <f t="shared" si="57"/>
        <v>232903</v>
      </c>
      <c r="BW47" s="46">
        <f t="shared" si="58"/>
        <v>3339586</v>
      </c>
      <c r="BX47" s="46">
        <f t="shared" si="59"/>
        <v>544387</v>
      </c>
      <c r="BY47" s="46">
        <f t="shared" si="60"/>
        <v>-232903</v>
      </c>
      <c r="BZ47" s="46">
        <v>0</v>
      </c>
      <c r="CA47" s="46">
        <f t="shared" si="61"/>
        <v>3651070</v>
      </c>
      <c r="CB47" s="46">
        <f t="shared" si="62"/>
        <v>0</v>
      </c>
      <c r="CC47" s="155">
        <f t="shared" si="66"/>
        <v>0</v>
      </c>
      <c r="CD47" s="79" t="s">
        <v>538</v>
      </c>
      <c r="CE47" s="65">
        <f t="shared" si="67"/>
        <v>1975650</v>
      </c>
      <c r="CF47" s="65">
        <f t="shared" si="68"/>
        <v>1975650</v>
      </c>
      <c r="CG47" s="65">
        <f t="shared" si="69"/>
        <v>1913001</v>
      </c>
      <c r="CH47" s="65">
        <f t="shared" si="70"/>
        <v>1975650</v>
      </c>
      <c r="CI47" s="65">
        <f t="shared" si="71"/>
        <v>5941149</v>
      </c>
      <c r="CJ47" s="65">
        <f t="shared" si="72"/>
        <v>2033468</v>
      </c>
      <c r="CK47" s="65">
        <f t="shared" si="73"/>
        <v>3593320</v>
      </c>
      <c r="CL47" s="65">
        <f t="shared" si="74"/>
        <v>1975650</v>
      </c>
      <c r="CM47" s="65">
        <f t="shared" si="75"/>
        <v>2308290</v>
      </c>
      <c r="CN47" s="65">
        <f t="shared" si="76"/>
        <v>3869568</v>
      </c>
      <c r="CO47" s="65">
        <f t="shared" si="77"/>
        <v>1975650</v>
      </c>
      <c r="CP47" s="65">
        <f t="shared" si="78"/>
        <v>3651070</v>
      </c>
      <c r="CQ47" s="40" t="s">
        <v>538</v>
      </c>
    </row>
    <row r="48" spans="1:95" ht="3" customHeight="1" x14ac:dyDescent="0.25">
      <c r="A48" s="39">
        <v>1</v>
      </c>
      <c r="B48" s="28">
        <v>5102</v>
      </c>
      <c r="C48" s="28" t="s">
        <v>97</v>
      </c>
      <c r="D48" s="48">
        <f>+DATA!Q46</f>
        <v>2260877.9569999999</v>
      </c>
      <c r="E48" s="48">
        <f t="shared" si="63"/>
        <v>148841</v>
      </c>
      <c r="F48" s="48">
        <f t="shared" si="64"/>
        <v>226088</v>
      </c>
      <c r="G48" s="49">
        <f>VLOOKUP(B48,'CALC MEC ESTAB Y ESTIM M FINAL'!$B$7:$F$352,5,0)</f>
        <v>1.2395388461000001E-3</v>
      </c>
      <c r="H48" s="49">
        <f>VLOOKUP(B48,'CALC MEC ESTAB Y ESTIM M FINAL'!$B$7:$R$352,17,0)</f>
        <v>-8.5814306199999996E-5</v>
      </c>
      <c r="I48" s="46">
        <f t="shared" si="4"/>
        <v>95127</v>
      </c>
      <c r="J48" s="46">
        <f t="shared" si="5"/>
        <v>0</v>
      </c>
      <c r="K48" s="46">
        <f t="shared" si="65"/>
        <v>53714</v>
      </c>
      <c r="L48" s="46">
        <v>0</v>
      </c>
      <c r="M48" s="46">
        <f t="shared" si="6"/>
        <v>148841</v>
      </c>
      <c r="N48" s="46">
        <f t="shared" si="7"/>
        <v>53714</v>
      </c>
      <c r="O48" s="46">
        <f t="shared" si="8"/>
        <v>50585</v>
      </c>
      <c r="P48" s="46">
        <f t="shared" si="9"/>
        <v>0</v>
      </c>
      <c r="Q48" s="46">
        <f t="shared" si="10"/>
        <v>98256</v>
      </c>
      <c r="R48" s="46">
        <v>0</v>
      </c>
      <c r="S48" s="46">
        <f t="shared" si="11"/>
        <v>148841</v>
      </c>
      <c r="T48" s="46">
        <f t="shared" si="12"/>
        <v>151970</v>
      </c>
      <c r="U48" s="46">
        <f t="shared" si="13"/>
        <v>144309</v>
      </c>
      <c r="V48" s="46">
        <f t="shared" si="14"/>
        <v>0</v>
      </c>
      <c r="W48" s="46">
        <f t="shared" si="15"/>
        <v>0</v>
      </c>
      <c r="X48" s="46">
        <v>0</v>
      </c>
      <c r="Y48" s="46">
        <f t="shared" si="16"/>
        <v>144309</v>
      </c>
      <c r="Z48" s="46">
        <f t="shared" si="17"/>
        <v>151970</v>
      </c>
      <c r="AA48" s="46">
        <f t="shared" si="18"/>
        <v>76626</v>
      </c>
      <c r="AB48" s="46">
        <f t="shared" si="19"/>
        <v>0</v>
      </c>
      <c r="AC48" s="46">
        <f t="shared" si="20"/>
        <v>72215</v>
      </c>
      <c r="AD48" s="46">
        <v>0</v>
      </c>
      <c r="AE48" s="46">
        <f t="shared" si="21"/>
        <v>148841</v>
      </c>
      <c r="AF48" s="46">
        <f t="shared" si="22"/>
        <v>224185</v>
      </c>
      <c r="AG48" s="46">
        <f t="shared" si="23"/>
        <v>666787</v>
      </c>
      <c r="AH48" s="46">
        <f t="shared" si="24"/>
        <v>6154</v>
      </c>
      <c r="AI48" s="46">
        <f t="shared" si="25"/>
        <v>-224185</v>
      </c>
      <c r="AJ48" s="46">
        <v>0</v>
      </c>
      <c r="AK48" s="46">
        <f t="shared" si="26"/>
        <v>448756</v>
      </c>
      <c r="AL48" s="46">
        <f t="shared" si="27"/>
        <v>0</v>
      </c>
      <c r="AM48" s="46">
        <f t="shared" si="28"/>
        <v>132073</v>
      </c>
      <c r="AN48" s="46">
        <f t="shared" si="29"/>
        <v>4362</v>
      </c>
      <c r="AO48" s="46">
        <f t="shared" si="30"/>
        <v>16768</v>
      </c>
      <c r="AP48" s="46">
        <v>0</v>
      </c>
      <c r="AQ48" s="46">
        <f t="shared" si="31"/>
        <v>153203</v>
      </c>
      <c r="AR48" s="46">
        <f t="shared" si="32"/>
        <v>16768</v>
      </c>
      <c r="AS48" s="46">
        <f t="shared" si="33"/>
        <v>262538</v>
      </c>
      <c r="AT48" s="46">
        <f t="shared" si="34"/>
        <v>25488</v>
      </c>
      <c r="AU48" s="46">
        <f t="shared" si="35"/>
        <v>-16768</v>
      </c>
      <c r="AV48" s="46">
        <v>0</v>
      </c>
      <c r="AW48" s="46">
        <f t="shared" si="36"/>
        <v>271258</v>
      </c>
      <c r="AX48" s="46">
        <f t="shared" si="37"/>
        <v>0</v>
      </c>
      <c r="AY48" s="46">
        <f t="shared" si="38"/>
        <v>86720</v>
      </c>
      <c r="AZ48" s="46">
        <f t="shared" si="39"/>
        <v>0</v>
      </c>
      <c r="BA48" s="46">
        <f t="shared" si="40"/>
        <v>62121</v>
      </c>
      <c r="BB48" s="46"/>
      <c r="BC48" s="46">
        <f t="shared" si="41"/>
        <v>148841</v>
      </c>
      <c r="BD48" s="46">
        <f t="shared" si="42"/>
        <v>62121</v>
      </c>
      <c r="BE48" s="46">
        <f t="shared" si="43"/>
        <v>167879</v>
      </c>
      <c r="BF48" s="46">
        <f t="shared" si="44"/>
        <v>6248</v>
      </c>
      <c r="BG48" s="46">
        <f t="shared" si="45"/>
        <v>0</v>
      </c>
      <c r="BH48" s="46">
        <v>0</v>
      </c>
      <c r="BI48" s="46">
        <f t="shared" si="46"/>
        <v>174127</v>
      </c>
      <c r="BJ48" s="46">
        <f t="shared" si="47"/>
        <v>62121</v>
      </c>
      <c r="BK48" s="46">
        <f t="shared" si="48"/>
        <v>354218</v>
      </c>
      <c r="BL48" s="46">
        <f t="shared" si="49"/>
        <v>0</v>
      </c>
      <c r="BM48" s="46">
        <f t="shared" si="50"/>
        <v>-62121</v>
      </c>
      <c r="BN48" s="46">
        <v>0</v>
      </c>
      <c r="BO48" s="46">
        <f t="shared" si="51"/>
        <v>292097</v>
      </c>
      <c r="BP48" s="46">
        <f t="shared" si="52"/>
        <v>0</v>
      </c>
      <c r="BQ48" s="46">
        <f t="shared" si="53"/>
        <v>131465</v>
      </c>
      <c r="BR48" s="46">
        <f t="shared" si="54"/>
        <v>0</v>
      </c>
      <c r="BS48" s="46">
        <f t="shared" si="55"/>
        <v>17376</v>
      </c>
      <c r="BT48" s="46">
        <v>0</v>
      </c>
      <c r="BU48" s="46">
        <f t="shared" si="56"/>
        <v>148841</v>
      </c>
      <c r="BV48" s="46">
        <f t="shared" si="57"/>
        <v>17376</v>
      </c>
      <c r="BW48" s="46">
        <f t="shared" si="58"/>
        <v>251924</v>
      </c>
      <c r="BX48" s="46">
        <f t="shared" si="59"/>
        <v>41066</v>
      </c>
      <c r="BY48" s="46">
        <f t="shared" si="60"/>
        <v>-17376</v>
      </c>
      <c r="BZ48" s="46">
        <v>0</v>
      </c>
      <c r="CA48" s="46">
        <f t="shared" si="61"/>
        <v>275614</v>
      </c>
      <c r="CB48" s="46">
        <f t="shared" si="62"/>
        <v>0</v>
      </c>
      <c r="CC48" s="155">
        <f t="shared" si="66"/>
        <v>0</v>
      </c>
      <c r="CD48" s="79" t="s">
        <v>538</v>
      </c>
      <c r="CE48" s="65">
        <f t="shared" si="67"/>
        <v>148841</v>
      </c>
      <c r="CF48" s="65">
        <f t="shared" si="68"/>
        <v>148841</v>
      </c>
      <c r="CG48" s="65">
        <f t="shared" si="69"/>
        <v>144309</v>
      </c>
      <c r="CH48" s="65">
        <f t="shared" si="70"/>
        <v>148841</v>
      </c>
      <c r="CI48" s="65">
        <f t="shared" si="71"/>
        <v>448756</v>
      </c>
      <c r="CJ48" s="65">
        <f t="shared" si="72"/>
        <v>153203</v>
      </c>
      <c r="CK48" s="65">
        <f t="shared" si="73"/>
        <v>271258</v>
      </c>
      <c r="CL48" s="65">
        <f t="shared" si="74"/>
        <v>148841</v>
      </c>
      <c r="CM48" s="65">
        <f t="shared" si="75"/>
        <v>174127</v>
      </c>
      <c r="CN48" s="65">
        <f t="shared" si="76"/>
        <v>292097</v>
      </c>
      <c r="CO48" s="65">
        <f t="shared" si="77"/>
        <v>148841</v>
      </c>
      <c r="CP48" s="65">
        <f t="shared" si="78"/>
        <v>275614</v>
      </c>
      <c r="CQ48" s="40" t="s">
        <v>538</v>
      </c>
    </row>
    <row r="49" spans="1:95" ht="3" customHeight="1" x14ac:dyDescent="0.25">
      <c r="A49" s="39">
        <v>1</v>
      </c>
      <c r="B49" s="28">
        <v>5103</v>
      </c>
      <c r="C49" s="28" t="s">
        <v>379</v>
      </c>
      <c r="D49" s="48">
        <f>+DATA!Q47</f>
        <v>1900489.2649999999</v>
      </c>
      <c r="E49" s="48">
        <f t="shared" si="63"/>
        <v>125116</v>
      </c>
      <c r="F49" s="48">
        <f t="shared" si="64"/>
        <v>190049</v>
      </c>
      <c r="G49" s="49">
        <f>VLOOKUP(B49,'CALC MEC ESTAB Y ESTIM M FINAL'!$B$7:$F$352,5,0)</f>
        <v>9.3301419669999995E-4</v>
      </c>
      <c r="H49" s="49">
        <f>VLOOKUP(B49,'CALC MEC ESTAB Y ESTIM M FINAL'!$B$7:$R$352,17,0)</f>
        <v>-1.41803656E-5</v>
      </c>
      <c r="I49" s="46">
        <f t="shared" si="4"/>
        <v>75760</v>
      </c>
      <c r="J49" s="46">
        <f t="shared" si="5"/>
        <v>0</v>
      </c>
      <c r="K49" s="46">
        <f t="shared" si="65"/>
        <v>49356</v>
      </c>
      <c r="L49" s="46">
        <v>0</v>
      </c>
      <c r="M49" s="46">
        <f t="shared" si="6"/>
        <v>125116</v>
      </c>
      <c r="N49" s="46">
        <f t="shared" si="7"/>
        <v>49356</v>
      </c>
      <c r="O49" s="46">
        <f t="shared" si="8"/>
        <v>40287</v>
      </c>
      <c r="P49" s="46">
        <f t="shared" si="9"/>
        <v>0</v>
      </c>
      <c r="Q49" s="46">
        <f t="shared" si="10"/>
        <v>84829</v>
      </c>
      <c r="R49" s="46">
        <v>0</v>
      </c>
      <c r="S49" s="46">
        <f t="shared" si="11"/>
        <v>125116</v>
      </c>
      <c r="T49" s="46">
        <f t="shared" si="12"/>
        <v>134185</v>
      </c>
      <c r="U49" s="46">
        <f t="shared" si="13"/>
        <v>114928</v>
      </c>
      <c r="V49" s="46">
        <f t="shared" si="14"/>
        <v>0</v>
      </c>
      <c r="W49" s="46">
        <f t="shared" si="15"/>
        <v>0</v>
      </c>
      <c r="X49" s="46">
        <v>0</v>
      </c>
      <c r="Y49" s="46">
        <f t="shared" si="16"/>
        <v>114928</v>
      </c>
      <c r="Z49" s="46">
        <f t="shared" si="17"/>
        <v>134185</v>
      </c>
      <c r="AA49" s="46">
        <f t="shared" si="18"/>
        <v>61025</v>
      </c>
      <c r="AB49" s="46">
        <f t="shared" si="19"/>
        <v>0</v>
      </c>
      <c r="AC49" s="46">
        <f t="shared" si="20"/>
        <v>64091</v>
      </c>
      <c r="AD49" s="46">
        <v>0</v>
      </c>
      <c r="AE49" s="46">
        <f t="shared" si="21"/>
        <v>125116</v>
      </c>
      <c r="AF49" s="46">
        <f t="shared" si="22"/>
        <v>198276</v>
      </c>
      <c r="AG49" s="46">
        <f t="shared" si="23"/>
        <v>531033</v>
      </c>
      <c r="AH49" s="46">
        <f t="shared" si="24"/>
        <v>4901</v>
      </c>
      <c r="AI49" s="46">
        <f t="shared" si="25"/>
        <v>-198276</v>
      </c>
      <c r="AJ49" s="46">
        <v>0</v>
      </c>
      <c r="AK49" s="46">
        <f t="shared" si="26"/>
        <v>337658</v>
      </c>
      <c r="AL49" s="46">
        <f t="shared" si="27"/>
        <v>0</v>
      </c>
      <c r="AM49" s="46">
        <f t="shared" si="28"/>
        <v>105184</v>
      </c>
      <c r="AN49" s="46">
        <f t="shared" si="29"/>
        <v>3474</v>
      </c>
      <c r="AO49" s="46">
        <f t="shared" si="30"/>
        <v>19932</v>
      </c>
      <c r="AP49" s="46">
        <v>0</v>
      </c>
      <c r="AQ49" s="46">
        <f t="shared" si="31"/>
        <v>128590</v>
      </c>
      <c r="AR49" s="46">
        <f t="shared" si="32"/>
        <v>19932</v>
      </c>
      <c r="AS49" s="46">
        <f t="shared" si="33"/>
        <v>209087</v>
      </c>
      <c r="AT49" s="46">
        <f t="shared" si="34"/>
        <v>20299</v>
      </c>
      <c r="AU49" s="46">
        <f t="shared" si="35"/>
        <v>-19038</v>
      </c>
      <c r="AV49" s="46">
        <v>0</v>
      </c>
      <c r="AW49" s="46">
        <f t="shared" si="36"/>
        <v>210348</v>
      </c>
      <c r="AX49" s="46">
        <f t="shared" si="37"/>
        <v>894</v>
      </c>
      <c r="AY49" s="46">
        <f t="shared" si="38"/>
        <v>69065</v>
      </c>
      <c r="AZ49" s="46">
        <f t="shared" si="39"/>
        <v>0</v>
      </c>
      <c r="BA49" s="46">
        <f t="shared" si="40"/>
        <v>56051</v>
      </c>
      <c r="BB49" s="46"/>
      <c r="BC49" s="46">
        <f t="shared" si="41"/>
        <v>125116</v>
      </c>
      <c r="BD49" s="46">
        <f t="shared" si="42"/>
        <v>56945</v>
      </c>
      <c r="BE49" s="46">
        <f t="shared" si="43"/>
        <v>133700</v>
      </c>
      <c r="BF49" s="46">
        <f t="shared" si="44"/>
        <v>4976</v>
      </c>
      <c r="BG49" s="46">
        <f t="shared" si="45"/>
        <v>0</v>
      </c>
      <c r="BH49" s="46">
        <v>0</v>
      </c>
      <c r="BI49" s="46">
        <f t="shared" si="46"/>
        <v>138676</v>
      </c>
      <c r="BJ49" s="46">
        <f t="shared" si="47"/>
        <v>56945</v>
      </c>
      <c r="BK49" s="46">
        <f t="shared" si="48"/>
        <v>282102</v>
      </c>
      <c r="BL49" s="46">
        <f t="shared" si="49"/>
        <v>0</v>
      </c>
      <c r="BM49" s="46">
        <f t="shared" si="50"/>
        <v>-56945</v>
      </c>
      <c r="BN49" s="46">
        <v>0</v>
      </c>
      <c r="BO49" s="46">
        <f t="shared" si="51"/>
        <v>225157</v>
      </c>
      <c r="BP49" s="46">
        <f t="shared" si="52"/>
        <v>0</v>
      </c>
      <c r="BQ49" s="46">
        <f t="shared" si="53"/>
        <v>104700</v>
      </c>
      <c r="BR49" s="46">
        <f t="shared" si="54"/>
        <v>0</v>
      </c>
      <c r="BS49" s="46">
        <f t="shared" si="55"/>
        <v>20416</v>
      </c>
      <c r="BT49" s="46">
        <v>0</v>
      </c>
      <c r="BU49" s="46">
        <f t="shared" si="56"/>
        <v>125116</v>
      </c>
      <c r="BV49" s="46">
        <f t="shared" si="57"/>
        <v>20416</v>
      </c>
      <c r="BW49" s="46">
        <f t="shared" si="58"/>
        <v>200634</v>
      </c>
      <c r="BX49" s="46">
        <f t="shared" si="59"/>
        <v>32705</v>
      </c>
      <c r="BY49" s="46">
        <f t="shared" si="60"/>
        <v>-20416</v>
      </c>
      <c r="BZ49" s="46">
        <v>0</v>
      </c>
      <c r="CA49" s="46">
        <f t="shared" si="61"/>
        <v>212923</v>
      </c>
      <c r="CB49" s="46">
        <f t="shared" si="62"/>
        <v>0</v>
      </c>
      <c r="CC49" s="155">
        <f t="shared" si="66"/>
        <v>0</v>
      </c>
      <c r="CD49" s="79" t="s">
        <v>538</v>
      </c>
      <c r="CE49" s="65">
        <f t="shared" si="67"/>
        <v>125116</v>
      </c>
      <c r="CF49" s="65">
        <f t="shared" si="68"/>
        <v>125116</v>
      </c>
      <c r="CG49" s="65">
        <f t="shared" si="69"/>
        <v>114928</v>
      </c>
      <c r="CH49" s="65">
        <f t="shared" si="70"/>
        <v>125116</v>
      </c>
      <c r="CI49" s="65">
        <f t="shared" si="71"/>
        <v>337658</v>
      </c>
      <c r="CJ49" s="65">
        <f t="shared" si="72"/>
        <v>128590</v>
      </c>
      <c r="CK49" s="65">
        <f t="shared" si="73"/>
        <v>210348</v>
      </c>
      <c r="CL49" s="65">
        <f t="shared" si="74"/>
        <v>125116</v>
      </c>
      <c r="CM49" s="65">
        <f t="shared" si="75"/>
        <v>138676</v>
      </c>
      <c r="CN49" s="65">
        <f t="shared" si="76"/>
        <v>225157</v>
      </c>
      <c r="CO49" s="65">
        <f t="shared" si="77"/>
        <v>125116</v>
      </c>
      <c r="CP49" s="65">
        <f t="shared" si="78"/>
        <v>212923</v>
      </c>
      <c r="CQ49" s="40" t="s">
        <v>538</v>
      </c>
    </row>
    <row r="50" spans="1:95" ht="3" customHeight="1" x14ac:dyDescent="0.25">
      <c r="A50" s="39">
        <v>1</v>
      </c>
      <c r="B50" s="28">
        <v>5104</v>
      </c>
      <c r="C50" s="28" t="s">
        <v>380</v>
      </c>
      <c r="D50" s="48">
        <f>+DATA!Q48</f>
        <v>1557742.7720000001</v>
      </c>
      <c r="E50" s="48">
        <f t="shared" si="63"/>
        <v>102551</v>
      </c>
      <c r="F50" s="48">
        <f t="shared" si="64"/>
        <v>155774</v>
      </c>
      <c r="G50" s="49">
        <f>VLOOKUP(B50,'CALC MEC ESTAB Y ESTIM M FINAL'!$B$7:$F$352,5,0)</f>
        <v>7.8309284159999997E-4</v>
      </c>
      <c r="H50" s="49">
        <f>VLOOKUP(B50,'CALC MEC ESTAB Y ESTIM M FINAL'!$B$7:$R$352,17,0)</f>
        <v>-2.0971608300000001E-5</v>
      </c>
      <c r="I50" s="46">
        <f t="shared" si="4"/>
        <v>62839</v>
      </c>
      <c r="J50" s="46">
        <f t="shared" si="5"/>
        <v>0</v>
      </c>
      <c r="K50" s="46">
        <f t="shared" si="65"/>
        <v>39712</v>
      </c>
      <c r="L50" s="46">
        <v>0</v>
      </c>
      <c r="M50" s="46">
        <f t="shared" si="6"/>
        <v>102551</v>
      </c>
      <c r="N50" s="46">
        <f t="shared" si="7"/>
        <v>39712</v>
      </c>
      <c r="O50" s="46">
        <f t="shared" si="8"/>
        <v>33415</v>
      </c>
      <c r="P50" s="46">
        <f t="shared" si="9"/>
        <v>0</v>
      </c>
      <c r="Q50" s="46">
        <f t="shared" si="10"/>
        <v>69136</v>
      </c>
      <c r="R50" s="46">
        <v>0</v>
      </c>
      <c r="S50" s="46">
        <f t="shared" si="11"/>
        <v>102551</v>
      </c>
      <c r="T50" s="46">
        <f t="shared" si="12"/>
        <v>108848</v>
      </c>
      <c r="U50" s="46">
        <f t="shared" si="13"/>
        <v>95327</v>
      </c>
      <c r="V50" s="46">
        <f t="shared" si="14"/>
        <v>0</v>
      </c>
      <c r="W50" s="46">
        <f t="shared" si="15"/>
        <v>0</v>
      </c>
      <c r="X50" s="46">
        <v>0</v>
      </c>
      <c r="Y50" s="46">
        <f t="shared" si="16"/>
        <v>95327</v>
      </c>
      <c r="Z50" s="46">
        <f t="shared" si="17"/>
        <v>108848</v>
      </c>
      <c r="AA50" s="46">
        <f t="shared" si="18"/>
        <v>50617</v>
      </c>
      <c r="AB50" s="46">
        <f t="shared" si="19"/>
        <v>0</v>
      </c>
      <c r="AC50" s="46">
        <f t="shared" si="20"/>
        <v>51934</v>
      </c>
      <c r="AD50" s="46">
        <v>0</v>
      </c>
      <c r="AE50" s="46">
        <f t="shared" si="21"/>
        <v>102551</v>
      </c>
      <c r="AF50" s="46">
        <f t="shared" si="22"/>
        <v>160782</v>
      </c>
      <c r="AG50" s="46">
        <f t="shared" si="23"/>
        <v>440462</v>
      </c>
      <c r="AH50" s="46">
        <f t="shared" si="24"/>
        <v>4065</v>
      </c>
      <c r="AI50" s="46">
        <f t="shared" si="25"/>
        <v>-160782</v>
      </c>
      <c r="AJ50" s="46">
        <v>0</v>
      </c>
      <c r="AK50" s="46">
        <f t="shared" si="26"/>
        <v>283745</v>
      </c>
      <c r="AL50" s="46">
        <f t="shared" si="27"/>
        <v>0</v>
      </c>
      <c r="AM50" s="46">
        <f t="shared" si="28"/>
        <v>87244</v>
      </c>
      <c r="AN50" s="46">
        <f t="shared" si="29"/>
        <v>2881</v>
      </c>
      <c r="AO50" s="46">
        <f t="shared" si="30"/>
        <v>15307</v>
      </c>
      <c r="AP50" s="46">
        <v>0</v>
      </c>
      <c r="AQ50" s="46">
        <f t="shared" si="31"/>
        <v>105432</v>
      </c>
      <c r="AR50" s="46">
        <f t="shared" si="32"/>
        <v>15307</v>
      </c>
      <c r="AS50" s="46">
        <f t="shared" si="33"/>
        <v>173426</v>
      </c>
      <c r="AT50" s="46">
        <f t="shared" si="34"/>
        <v>16837</v>
      </c>
      <c r="AU50" s="46">
        <f t="shared" si="35"/>
        <v>-15307</v>
      </c>
      <c r="AV50" s="46">
        <v>0</v>
      </c>
      <c r="AW50" s="46">
        <f t="shared" si="36"/>
        <v>174956</v>
      </c>
      <c r="AX50" s="46">
        <f t="shared" si="37"/>
        <v>0</v>
      </c>
      <c r="AY50" s="46">
        <f t="shared" si="38"/>
        <v>57285</v>
      </c>
      <c r="AZ50" s="46">
        <f t="shared" si="39"/>
        <v>0</v>
      </c>
      <c r="BA50" s="46">
        <f t="shared" si="40"/>
        <v>45266</v>
      </c>
      <c r="BB50" s="46"/>
      <c r="BC50" s="46">
        <f t="shared" si="41"/>
        <v>102551</v>
      </c>
      <c r="BD50" s="46">
        <f t="shared" si="42"/>
        <v>45266</v>
      </c>
      <c r="BE50" s="46">
        <f t="shared" si="43"/>
        <v>110897</v>
      </c>
      <c r="BF50" s="46">
        <f t="shared" si="44"/>
        <v>4127</v>
      </c>
      <c r="BG50" s="46">
        <f t="shared" si="45"/>
        <v>0</v>
      </c>
      <c r="BH50" s="46">
        <v>0</v>
      </c>
      <c r="BI50" s="46">
        <f t="shared" si="46"/>
        <v>115024</v>
      </c>
      <c r="BJ50" s="46">
        <f t="shared" si="47"/>
        <v>45266</v>
      </c>
      <c r="BK50" s="46">
        <f t="shared" si="48"/>
        <v>233987</v>
      </c>
      <c r="BL50" s="46">
        <f t="shared" si="49"/>
        <v>0</v>
      </c>
      <c r="BM50" s="46">
        <f t="shared" si="50"/>
        <v>-45266</v>
      </c>
      <c r="BN50" s="46">
        <v>0</v>
      </c>
      <c r="BO50" s="46">
        <f t="shared" si="51"/>
        <v>188721</v>
      </c>
      <c r="BP50" s="46">
        <f t="shared" si="52"/>
        <v>0</v>
      </c>
      <c r="BQ50" s="46">
        <f t="shared" si="53"/>
        <v>86843</v>
      </c>
      <c r="BR50" s="46">
        <f t="shared" si="54"/>
        <v>0</v>
      </c>
      <c r="BS50" s="46">
        <f t="shared" si="55"/>
        <v>15708</v>
      </c>
      <c r="BT50" s="46">
        <v>0</v>
      </c>
      <c r="BU50" s="46">
        <f t="shared" si="56"/>
        <v>102551</v>
      </c>
      <c r="BV50" s="46">
        <f t="shared" si="57"/>
        <v>15708</v>
      </c>
      <c r="BW50" s="46">
        <f t="shared" si="58"/>
        <v>166415</v>
      </c>
      <c r="BX50" s="46">
        <f t="shared" si="59"/>
        <v>27127</v>
      </c>
      <c r="BY50" s="46">
        <f t="shared" si="60"/>
        <v>-15708</v>
      </c>
      <c r="BZ50" s="46">
        <v>0</v>
      </c>
      <c r="CA50" s="46">
        <f t="shared" si="61"/>
        <v>177834</v>
      </c>
      <c r="CB50" s="46">
        <f t="shared" si="62"/>
        <v>0</v>
      </c>
      <c r="CC50" s="155">
        <f t="shared" si="66"/>
        <v>0</v>
      </c>
      <c r="CD50" s="79" t="s">
        <v>538</v>
      </c>
      <c r="CE50" s="65">
        <f t="shared" si="67"/>
        <v>102551</v>
      </c>
      <c r="CF50" s="65">
        <f t="shared" si="68"/>
        <v>102551</v>
      </c>
      <c r="CG50" s="65">
        <f t="shared" si="69"/>
        <v>95327</v>
      </c>
      <c r="CH50" s="65">
        <f t="shared" si="70"/>
        <v>102551</v>
      </c>
      <c r="CI50" s="65">
        <f t="shared" si="71"/>
        <v>283745</v>
      </c>
      <c r="CJ50" s="65">
        <f t="shared" si="72"/>
        <v>105432</v>
      </c>
      <c r="CK50" s="65">
        <f t="shared" si="73"/>
        <v>174956</v>
      </c>
      <c r="CL50" s="65">
        <f t="shared" si="74"/>
        <v>102551</v>
      </c>
      <c r="CM50" s="65">
        <f t="shared" si="75"/>
        <v>115024</v>
      </c>
      <c r="CN50" s="65">
        <f t="shared" si="76"/>
        <v>188721</v>
      </c>
      <c r="CO50" s="65">
        <f t="shared" si="77"/>
        <v>102551</v>
      </c>
      <c r="CP50" s="65">
        <f t="shared" si="78"/>
        <v>177834</v>
      </c>
      <c r="CQ50" s="40" t="s">
        <v>538</v>
      </c>
    </row>
    <row r="51" spans="1:95" ht="3" customHeight="1" x14ac:dyDescent="0.25">
      <c r="A51" s="39">
        <v>1</v>
      </c>
      <c r="B51" s="28">
        <v>5105</v>
      </c>
      <c r="C51" s="28" t="s">
        <v>381</v>
      </c>
      <c r="D51" s="48">
        <f>+DATA!Q49</f>
        <v>2170736.8280000002</v>
      </c>
      <c r="E51" s="48">
        <f t="shared" si="63"/>
        <v>142907</v>
      </c>
      <c r="F51" s="48">
        <f t="shared" si="64"/>
        <v>217074</v>
      </c>
      <c r="G51" s="49">
        <f>VLOOKUP(B51,'CALC MEC ESTAB Y ESTIM M FINAL'!$B$7:$F$352,5,0)</f>
        <v>1.0823682633000001E-3</v>
      </c>
      <c r="H51" s="49">
        <f>VLOOKUP(B51,'CALC MEC ESTAB Y ESTIM M FINAL'!$B$7:$R$352,17,0)</f>
        <v>-2.5306504E-5</v>
      </c>
      <c r="I51" s="46">
        <f t="shared" si="4"/>
        <v>87157</v>
      </c>
      <c r="J51" s="46">
        <f t="shared" si="5"/>
        <v>0</v>
      </c>
      <c r="K51" s="46">
        <f t="shared" si="65"/>
        <v>55750</v>
      </c>
      <c r="L51" s="46">
        <v>0</v>
      </c>
      <c r="M51" s="46">
        <f t="shared" si="6"/>
        <v>142907</v>
      </c>
      <c r="N51" s="46">
        <f t="shared" si="7"/>
        <v>55750</v>
      </c>
      <c r="O51" s="46">
        <f t="shared" si="8"/>
        <v>46347</v>
      </c>
      <c r="P51" s="46">
        <f t="shared" si="9"/>
        <v>0</v>
      </c>
      <c r="Q51" s="46">
        <f t="shared" si="10"/>
        <v>96560</v>
      </c>
      <c r="R51" s="46">
        <v>0</v>
      </c>
      <c r="S51" s="46">
        <f t="shared" si="11"/>
        <v>142907</v>
      </c>
      <c r="T51" s="46">
        <f t="shared" si="12"/>
        <v>152310</v>
      </c>
      <c r="U51" s="46">
        <f t="shared" si="13"/>
        <v>132218</v>
      </c>
      <c r="V51" s="46">
        <f t="shared" si="14"/>
        <v>0</v>
      </c>
      <c r="W51" s="46">
        <f t="shared" si="15"/>
        <v>0</v>
      </c>
      <c r="X51" s="46">
        <v>0</v>
      </c>
      <c r="Y51" s="46">
        <f t="shared" si="16"/>
        <v>132218</v>
      </c>
      <c r="Z51" s="46">
        <f t="shared" si="17"/>
        <v>152310</v>
      </c>
      <c r="AA51" s="46">
        <f t="shared" si="18"/>
        <v>70206</v>
      </c>
      <c r="AB51" s="46">
        <f t="shared" si="19"/>
        <v>0</v>
      </c>
      <c r="AC51" s="46">
        <f t="shared" si="20"/>
        <v>72701</v>
      </c>
      <c r="AD51" s="46">
        <v>0</v>
      </c>
      <c r="AE51" s="46">
        <f t="shared" si="21"/>
        <v>142907</v>
      </c>
      <c r="AF51" s="46">
        <f t="shared" si="22"/>
        <v>225011</v>
      </c>
      <c r="AG51" s="46">
        <f t="shared" si="23"/>
        <v>610921</v>
      </c>
      <c r="AH51" s="46">
        <f t="shared" si="24"/>
        <v>5639</v>
      </c>
      <c r="AI51" s="46">
        <f t="shared" si="25"/>
        <v>-225011</v>
      </c>
      <c r="AJ51" s="46">
        <v>0</v>
      </c>
      <c r="AK51" s="46">
        <f t="shared" si="26"/>
        <v>391549</v>
      </c>
      <c r="AL51" s="46">
        <f t="shared" si="27"/>
        <v>0</v>
      </c>
      <c r="AM51" s="46">
        <f t="shared" si="28"/>
        <v>121008</v>
      </c>
      <c r="AN51" s="46">
        <f t="shared" si="29"/>
        <v>3996</v>
      </c>
      <c r="AO51" s="46">
        <f t="shared" si="30"/>
        <v>21899</v>
      </c>
      <c r="AP51" s="46">
        <v>0</v>
      </c>
      <c r="AQ51" s="46">
        <f t="shared" si="31"/>
        <v>146903</v>
      </c>
      <c r="AR51" s="46">
        <f t="shared" si="32"/>
        <v>21899</v>
      </c>
      <c r="AS51" s="46">
        <f t="shared" si="33"/>
        <v>240542</v>
      </c>
      <c r="AT51" s="46">
        <f t="shared" si="34"/>
        <v>23352</v>
      </c>
      <c r="AU51" s="46">
        <f t="shared" si="35"/>
        <v>-21899</v>
      </c>
      <c r="AV51" s="46">
        <v>0</v>
      </c>
      <c r="AW51" s="46">
        <f t="shared" si="36"/>
        <v>241995</v>
      </c>
      <c r="AX51" s="46">
        <f t="shared" si="37"/>
        <v>0</v>
      </c>
      <c r="AY51" s="46">
        <f t="shared" si="38"/>
        <v>79455</v>
      </c>
      <c r="AZ51" s="46">
        <f t="shared" si="39"/>
        <v>0</v>
      </c>
      <c r="BA51" s="46">
        <f t="shared" si="40"/>
        <v>63452</v>
      </c>
      <c r="BB51" s="46"/>
      <c r="BC51" s="46">
        <f t="shared" si="41"/>
        <v>142907</v>
      </c>
      <c r="BD51" s="46">
        <f t="shared" si="42"/>
        <v>63452</v>
      </c>
      <c r="BE51" s="46">
        <f t="shared" si="43"/>
        <v>153814</v>
      </c>
      <c r="BF51" s="46">
        <f t="shared" si="44"/>
        <v>5725</v>
      </c>
      <c r="BG51" s="46">
        <f t="shared" si="45"/>
        <v>0</v>
      </c>
      <c r="BH51" s="46">
        <v>0</v>
      </c>
      <c r="BI51" s="46">
        <f t="shared" si="46"/>
        <v>159539</v>
      </c>
      <c r="BJ51" s="46">
        <f t="shared" si="47"/>
        <v>63452</v>
      </c>
      <c r="BK51" s="46">
        <f t="shared" si="48"/>
        <v>324540</v>
      </c>
      <c r="BL51" s="46">
        <f t="shared" si="49"/>
        <v>0</v>
      </c>
      <c r="BM51" s="46">
        <f t="shared" si="50"/>
        <v>-63452</v>
      </c>
      <c r="BN51" s="46">
        <v>0</v>
      </c>
      <c r="BO51" s="46">
        <f t="shared" si="51"/>
        <v>261088</v>
      </c>
      <c r="BP51" s="46">
        <f t="shared" si="52"/>
        <v>0</v>
      </c>
      <c r="BQ51" s="46">
        <f t="shared" si="53"/>
        <v>120451</v>
      </c>
      <c r="BR51" s="46">
        <f t="shared" si="54"/>
        <v>0</v>
      </c>
      <c r="BS51" s="46">
        <f t="shared" si="55"/>
        <v>22456</v>
      </c>
      <c r="BT51" s="46">
        <v>0</v>
      </c>
      <c r="BU51" s="46">
        <f t="shared" si="56"/>
        <v>142907</v>
      </c>
      <c r="BV51" s="46">
        <f t="shared" si="57"/>
        <v>22456</v>
      </c>
      <c r="BW51" s="46">
        <f t="shared" si="58"/>
        <v>230817</v>
      </c>
      <c r="BX51" s="46">
        <f t="shared" si="59"/>
        <v>37626</v>
      </c>
      <c r="BY51" s="46">
        <f t="shared" si="60"/>
        <v>-22456</v>
      </c>
      <c r="BZ51" s="46">
        <v>0</v>
      </c>
      <c r="CA51" s="46">
        <f t="shared" si="61"/>
        <v>245987</v>
      </c>
      <c r="CB51" s="46">
        <f t="shared" si="62"/>
        <v>0</v>
      </c>
      <c r="CC51" s="155">
        <f t="shared" si="66"/>
        <v>0</v>
      </c>
      <c r="CD51" s="79" t="s">
        <v>538</v>
      </c>
      <c r="CE51" s="65">
        <f t="shared" si="67"/>
        <v>142907</v>
      </c>
      <c r="CF51" s="65">
        <f t="shared" si="68"/>
        <v>142907</v>
      </c>
      <c r="CG51" s="65">
        <f t="shared" si="69"/>
        <v>132218</v>
      </c>
      <c r="CH51" s="65">
        <f t="shared" si="70"/>
        <v>142907</v>
      </c>
      <c r="CI51" s="65">
        <f t="shared" si="71"/>
        <v>391549</v>
      </c>
      <c r="CJ51" s="65">
        <f t="shared" si="72"/>
        <v>146903</v>
      </c>
      <c r="CK51" s="65">
        <f t="shared" si="73"/>
        <v>241995</v>
      </c>
      <c r="CL51" s="65">
        <f t="shared" si="74"/>
        <v>142907</v>
      </c>
      <c r="CM51" s="65">
        <f t="shared" si="75"/>
        <v>159539</v>
      </c>
      <c r="CN51" s="65">
        <f t="shared" si="76"/>
        <v>261088</v>
      </c>
      <c r="CO51" s="65">
        <f t="shared" si="77"/>
        <v>142907</v>
      </c>
      <c r="CP51" s="65">
        <f t="shared" si="78"/>
        <v>245987</v>
      </c>
      <c r="CQ51" s="40" t="s">
        <v>538</v>
      </c>
    </row>
    <row r="52" spans="1:95" ht="3" customHeight="1" x14ac:dyDescent="0.25">
      <c r="A52" s="39">
        <v>1</v>
      </c>
      <c r="B52" s="28">
        <v>5107</v>
      </c>
      <c r="C52" s="28" t="s">
        <v>98</v>
      </c>
      <c r="D52" s="48">
        <f>+DATA!Q50</f>
        <v>13288068.967</v>
      </c>
      <c r="E52" s="48">
        <f t="shared" si="63"/>
        <v>874798</v>
      </c>
      <c r="F52" s="48">
        <f t="shared" si="64"/>
        <v>1328807</v>
      </c>
      <c r="G52" s="49">
        <f>VLOOKUP(B52,'CALC MEC ESTAB Y ESTIM M FINAL'!$B$7:$F$352,5,0)</f>
        <v>5.7572828316999995E-3</v>
      </c>
      <c r="H52" s="49">
        <f>VLOOKUP(B52,'CALC MEC ESTAB Y ESTIM M FINAL'!$B$7:$R$352,17,0)</f>
        <v>5.9575468380000001E-4</v>
      </c>
      <c r="I52" s="46">
        <f t="shared" si="4"/>
        <v>523822</v>
      </c>
      <c r="J52" s="46">
        <f t="shared" si="5"/>
        <v>0</v>
      </c>
      <c r="K52" s="46">
        <f t="shared" si="65"/>
        <v>350976</v>
      </c>
      <c r="L52" s="46">
        <v>0</v>
      </c>
      <c r="M52" s="46">
        <f t="shared" si="6"/>
        <v>874798</v>
      </c>
      <c r="N52" s="46">
        <f t="shared" si="7"/>
        <v>350976</v>
      </c>
      <c r="O52" s="46">
        <f t="shared" si="8"/>
        <v>278551</v>
      </c>
      <c r="P52" s="46">
        <f t="shared" si="9"/>
        <v>0</v>
      </c>
      <c r="Q52" s="46">
        <f t="shared" si="10"/>
        <v>596247</v>
      </c>
      <c r="R52" s="46">
        <v>0</v>
      </c>
      <c r="S52" s="46">
        <f t="shared" si="11"/>
        <v>874798</v>
      </c>
      <c r="T52" s="46">
        <f t="shared" si="12"/>
        <v>947223</v>
      </c>
      <c r="U52" s="46">
        <f t="shared" si="13"/>
        <v>794642</v>
      </c>
      <c r="V52" s="46">
        <f t="shared" si="14"/>
        <v>0</v>
      </c>
      <c r="W52" s="46">
        <f t="shared" si="15"/>
        <v>0</v>
      </c>
      <c r="X52" s="46">
        <v>0</v>
      </c>
      <c r="Y52" s="46">
        <f t="shared" si="16"/>
        <v>794642</v>
      </c>
      <c r="Z52" s="46">
        <f t="shared" si="17"/>
        <v>947223</v>
      </c>
      <c r="AA52" s="46">
        <f t="shared" si="18"/>
        <v>421943</v>
      </c>
      <c r="AB52" s="46">
        <f t="shared" si="19"/>
        <v>0</v>
      </c>
      <c r="AC52" s="46">
        <f t="shared" si="20"/>
        <v>452855</v>
      </c>
      <c r="AD52" s="46">
        <v>0</v>
      </c>
      <c r="AE52" s="46">
        <f t="shared" si="21"/>
        <v>874798</v>
      </c>
      <c r="AF52" s="46">
        <f t="shared" si="22"/>
        <v>1400078</v>
      </c>
      <c r="AG52" s="46">
        <f t="shared" si="23"/>
        <v>3671691</v>
      </c>
      <c r="AH52" s="46">
        <f t="shared" si="24"/>
        <v>33889</v>
      </c>
      <c r="AI52" s="46">
        <f t="shared" si="25"/>
        <v>-1400078</v>
      </c>
      <c r="AJ52" s="46">
        <v>0</v>
      </c>
      <c r="AK52" s="46">
        <f t="shared" si="26"/>
        <v>2305502</v>
      </c>
      <c r="AL52" s="46">
        <f t="shared" si="27"/>
        <v>0</v>
      </c>
      <c r="AM52" s="46">
        <f t="shared" si="28"/>
        <v>727268</v>
      </c>
      <c r="AN52" s="46">
        <f t="shared" si="29"/>
        <v>24017</v>
      </c>
      <c r="AO52" s="46">
        <f t="shared" si="30"/>
        <v>147530</v>
      </c>
      <c r="AP52" s="46">
        <v>0</v>
      </c>
      <c r="AQ52" s="46">
        <f t="shared" si="31"/>
        <v>898815</v>
      </c>
      <c r="AR52" s="46">
        <f t="shared" si="32"/>
        <v>147530</v>
      </c>
      <c r="AS52" s="46">
        <f t="shared" si="33"/>
        <v>1445680</v>
      </c>
      <c r="AT52" s="46">
        <f t="shared" si="34"/>
        <v>140349</v>
      </c>
      <c r="AU52" s="46">
        <f t="shared" si="35"/>
        <v>-116873</v>
      </c>
      <c r="AV52" s="46">
        <v>0</v>
      </c>
      <c r="AW52" s="46">
        <f t="shared" si="36"/>
        <v>1469156</v>
      </c>
      <c r="AX52" s="46">
        <f t="shared" si="37"/>
        <v>30657</v>
      </c>
      <c r="AY52" s="46">
        <f t="shared" si="38"/>
        <v>477530</v>
      </c>
      <c r="AZ52" s="46">
        <f t="shared" si="39"/>
        <v>0</v>
      </c>
      <c r="BA52" s="46">
        <f t="shared" si="40"/>
        <v>397268</v>
      </c>
      <c r="BB52" s="46"/>
      <c r="BC52" s="46">
        <f t="shared" si="41"/>
        <v>874798</v>
      </c>
      <c r="BD52" s="46">
        <f t="shared" si="42"/>
        <v>427925</v>
      </c>
      <c r="BE52" s="46">
        <f t="shared" si="43"/>
        <v>924435</v>
      </c>
      <c r="BF52" s="46">
        <f t="shared" si="44"/>
        <v>34407</v>
      </c>
      <c r="BG52" s="46">
        <f t="shared" si="45"/>
        <v>0</v>
      </c>
      <c r="BH52" s="46">
        <v>0</v>
      </c>
      <c r="BI52" s="46">
        <f t="shared" si="46"/>
        <v>958842</v>
      </c>
      <c r="BJ52" s="46">
        <f t="shared" si="47"/>
        <v>427925</v>
      </c>
      <c r="BK52" s="46">
        <f t="shared" si="48"/>
        <v>1950518</v>
      </c>
      <c r="BL52" s="46">
        <f t="shared" si="49"/>
        <v>0</v>
      </c>
      <c r="BM52" s="46">
        <f t="shared" si="50"/>
        <v>-427925</v>
      </c>
      <c r="BN52" s="46">
        <v>0</v>
      </c>
      <c r="BO52" s="46">
        <f t="shared" si="51"/>
        <v>1522593</v>
      </c>
      <c r="BP52" s="46">
        <f t="shared" si="52"/>
        <v>0</v>
      </c>
      <c r="BQ52" s="46">
        <f t="shared" si="53"/>
        <v>723921</v>
      </c>
      <c r="BR52" s="46">
        <f t="shared" si="54"/>
        <v>0</v>
      </c>
      <c r="BS52" s="46">
        <f t="shared" si="55"/>
        <v>150877</v>
      </c>
      <c r="BT52" s="46">
        <v>0</v>
      </c>
      <c r="BU52" s="46">
        <f t="shared" si="56"/>
        <v>874798</v>
      </c>
      <c r="BV52" s="46">
        <f t="shared" si="57"/>
        <v>150877</v>
      </c>
      <c r="BW52" s="46">
        <f t="shared" si="58"/>
        <v>1387232</v>
      </c>
      <c r="BX52" s="46">
        <f t="shared" si="59"/>
        <v>226133</v>
      </c>
      <c r="BY52" s="46">
        <f t="shared" si="60"/>
        <v>-150877</v>
      </c>
      <c r="BZ52" s="46">
        <v>0</v>
      </c>
      <c r="CA52" s="46">
        <f t="shared" si="61"/>
        <v>1462488</v>
      </c>
      <c r="CB52" s="46">
        <f t="shared" si="62"/>
        <v>0</v>
      </c>
      <c r="CC52" s="155">
        <f t="shared" si="66"/>
        <v>0</v>
      </c>
      <c r="CD52" s="79" t="s">
        <v>538</v>
      </c>
      <c r="CE52" s="65">
        <f t="shared" si="67"/>
        <v>874798</v>
      </c>
      <c r="CF52" s="65">
        <f t="shared" si="68"/>
        <v>874798</v>
      </c>
      <c r="CG52" s="65">
        <f t="shared" si="69"/>
        <v>794642</v>
      </c>
      <c r="CH52" s="65">
        <f t="shared" si="70"/>
        <v>874798</v>
      </c>
      <c r="CI52" s="65">
        <f t="shared" si="71"/>
        <v>2305502</v>
      </c>
      <c r="CJ52" s="65">
        <f t="shared" si="72"/>
        <v>898815</v>
      </c>
      <c r="CK52" s="65">
        <f t="shared" si="73"/>
        <v>1469156</v>
      </c>
      <c r="CL52" s="65">
        <f t="shared" si="74"/>
        <v>874798</v>
      </c>
      <c r="CM52" s="65">
        <f t="shared" si="75"/>
        <v>958842</v>
      </c>
      <c r="CN52" s="65">
        <f t="shared" si="76"/>
        <v>1522593</v>
      </c>
      <c r="CO52" s="65">
        <f t="shared" si="77"/>
        <v>874798</v>
      </c>
      <c r="CP52" s="65">
        <f t="shared" si="78"/>
        <v>1462488</v>
      </c>
      <c r="CQ52" s="40" t="s">
        <v>538</v>
      </c>
    </row>
    <row r="53" spans="1:95" ht="3" customHeight="1" x14ac:dyDescent="0.25">
      <c r="A53" s="39">
        <v>1</v>
      </c>
      <c r="B53" s="28">
        <v>5109</v>
      </c>
      <c r="C53" s="28" t="s">
        <v>95</v>
      </c>
      <c r="D53" s="48">
        <f>+DATA!Q51</f>
        <v>9916583.568</v>
      </c>
      <c r="E53" s="48">
        <f t="shared" si="63"/>
        <v>652842</v>
      </c>
      <c r="F53" s="48">
        <f t="shared" si="64"/>
        <v>991658</v>
      </c>
      <c r="G53" s="49">
        <f>VLOOKUP(B53,'CALC MEC ESTAB Y ESTIM M FINAL'!$B$7:$F$352,5,0)</f>
        <v>5.2970879269000001E-3</v>
      </c>
      <c r="H53" s="49">
        <f>VLOOKUP(B53,'CALC MEC ESTAB Y ESTIM M FINAL'!$B$7:$R$352,17,0)</f>
        <v>-3.0399160940000001E-4</v>
      </c>
      <c r="I53" s="46">
        <f t="shared" si="4"/>
        <v>411692</v>
      </c>
      <c r="J53" s="46">
        <f t="shared" si="5"/>
        <v>0</v>
      </c>
      <c r="K53" s="46">
        <f t="shared" si="65"/>
        <v>241150</v>
      </c>
      <c r="L53" s="46">
        <v>0</v>
      </c>
      <c r="M53" s="46">
        <f t="shared" si="6"/>
        <v>652842</v>
      </c>
      <c r="N53" s="46">
        <f t="shared" si="7"/>
        <v>241150</v>
      </c>
      <c r="O53" s="46">
        <f t="shared" si="8"/>
        <v>218924</v>
      </c>
      <c r="P53" s="46">
        <f t="shared" si="9"/>
        <v>0</v>
      </c>
      <c r="Q53" s="46">
        <f t="shared" si="10"/>
        <v>433918</v>
      </c>
      <c r="R53" s="46">
        <v>0</v>
      </c>
      <c r="S53" s="46">
        <f t="shared" si="11"/>
        <v>652842</v>
      </c>
      <c r="T53" s="46">
        <f t="shared" si="12"/>
        <v>675068</v>
      </c>
      <c r="U53" s="46">
        <f t="shared" si="13"/>
        <v>624540</v>
      </c>
      <c r="V53" s="46">
        <f t="shared" si="14"/>
        <v>0</v>
      </c>
      <c r="W53" s="46">
        <f t="shared" si="15"/>
        <v>0</v>
      </c>
      <c r="X53" s="46">
        <v>0</v>
      </c>
      <c r="Y53" s="46">
        <f t="shared" si="16"/>
        <v>624540</v>
      </c>
      <c r="Z53" s="46">
        <f t="shared" si="17"/>
        <v>675068</v>
      </c>
      <c r="AA53" s="46">
        <f t="shared" si="18"/>
        <v>331621</v>
      </c>
      <c r="AB53" s="46">
        <f t="shared" si="19"/>
        <v>0</v>
      </c>
      <c r="AC53" s="46">
        <f t="shared" si="20"/>
        <v>321221</v>
      </c>
      <c r="AD53" s="46">
        <v>0</v>
      </c>
      <c r="AE53" s="46">
        <f t="shared" si="21"/>
        <v>652842</v>
      </c>
      <c r="AF53" s="46">
        <f t="shared" si="22"/>
        <v>996289</v>
      </c>
      <c r="AG53" s="46">
        <f t="shared" si="23"/>
        <v>2885723</v>
      </c>
      <c r="AH53" s="46">
        <f t="shared" si="24"/>
        <v>26634</v>
      </c>
      <c r="AI53" s="46">
        <f t="shared" si="25"/>
        <v>-996289</v>
      </c>
      <c r="AJ53" s="46">
        <v>0</v>
      </c>
      <c r="AK53" s="46">
        <f t="shared" si="26"/>
        <v>1916068</v>
      </c>
      <c r="AL53" s="46">
        <f t="shared" si="27"/>
        <v>0</v>
      </c>
      <c r="AM53" s="46">
        <f t="shared" si="28"/>
        <v>571588</v>
      </c>
      <c r="AN53" s="46">
        <f t="shared" si="29"/>
        <v>18876</v>
      </c>
      <c r="AO53" s="46">
        <f t="shared" si="30"/>
        <v>81254</v>
      </c>
      <c r="AP53" s="46">
        <v>0</v>
      </c>
      <c r="AQ53" s="46">
        <f t="shared" si="31"/>
        <v>671718</v>
      </c>
      <c r="AR53" s="46">
        <f t="shared" si="32"/>
        <v>81254</v>
      </c>
      <c r="AS53" s="46">
        <f t="shared" si="33"/>
        <v>1136215</v>
      </c>
      <c r="AT53" s="46">
        <f t="shared" si="34"/>
        <v>110306</v>
      </c>
      <c r="AU53" s="46">
        <f t="shared" si="35"/>
        <v>-81254</v>
      </c>
      <c r="AV53" s="46">
        <v>0</v>
      </c>
      <c r="AW53" s="46">
        <f t="shared" si="36"/>
        <v>1165267</v>
      </c>
      <c r="AX53" s="46">
        <f t="shared" si="37"/>
        <v>0</v>
      </c>
      <c r="AY53" s="46">
        <f t="shared" si="38"/>
        <v>375309</v>
      </c>
      <c r="AZ53" s="46">
        <f t="shared" si="39"/>
        <v>0</v>
      </c>
      <c r="BA53" s="46">
        <f t="shared" si="40"/>
        <v>277533</v>
      </c>
      <c r="BB53" s="46"/>
      <c r="BC53" s="46">
        <f t="shared" si="41"/>
        <v>652842</v>
      </c>
      <c r="BD53" s="46">
        <f t="shared" si="42"/>
        <v>277533</v>
      </c>
      <c r="BE53" s="46">
        <f t="shared" si="43"/>
        <v>726549</v>
      </c>
      <c r="BF53" s="46">
        <f t="shared" si="44"/>
        <v>27041</v>
      </c>
      <c r="BG53" s="46">
        <f t="shared" si="45"/>
        <v>0</v>
      </c>
      <c r="BH53" s="46">
        <v>0</v>
      </c>
      <c r="BI53" s="46">
        <f t="shared" si="46"/>
        <v>753590</v>
      </c>
      <c r="BJ53" s="46">
        <f t="shared" si="47"/>
        <v>277533</v>
      </c>
      <c r="BK53" s="46">
        <f t="shared" si="48"/>
        <v>1532987</v>
      </c>
      <c r="BL53" s="46">
        <f t="shared" si="49"/>
        <v>0</v>
      </c>
      <c r="BM53" s="46">
        <f t="shared" si="50"/>
        <v>-277533</v>
      </c>
      <c r="BN53" s="46">
        <v>0</v>
      </c>
      <c r="BO53" s="46">
        <f t="shared" si="51"/>
        <v>1255454</v>
      </c>
      <c r="BP53" s="46">
        <f t="shared" si="52"/>
        <v>0</v>
      </c>
      <c r="BQ53" s="46">
        <f t="shared" si="53"/>
        <v>568957</v>
      </c>
      <c r="BR53" s="46">
        <f t="shared" si="54"/>
        <v>0</v>
      </c>
      <c r="BS53" s="46">
        <f t="shared" si="55"/>
        <v>83885</v>
      </c>
      <c r="BT53" s="46">
        <v>0</v>
      </c>
      <c r="BU53" s="46">
        <f t="shared" si="56"/>
        <v>652842</v>
      </c>
      <c r="BV53" s="46">
        <f t="shared" si="57"/>
        <v>83885</v>
      </c>
      <c r="BW53" s="46">
        <f t="shared" si="58"/>
        <v>1090279</v>
      </c>
      <c r="BX53" s="46">
        <f t="shared" si="59"/>
        <v>177727</v>
      </c>
      <c r="BY53" s="46">
        <f t="shared" si="60"/>
        <v>-83885</v>
      </c>
      <c r="BZ53" s="46">
        <v>0</v>
      </c>
      <c r="CA53" s="46">
        <f t="shared" si="61"/>
        <v>1184121</v>
      </c>
      <c r="CB53" s="46">
        <f t="shared" si="62"/>
        <v>0</v>
      </c>
      <c r="CC53" s="155">
        <f t="shared" si="66"/>
        <v>0</v>
      </c>
      <c r="CD53" s="79" t="s">
        <v>538</v>
      </c>
      <c r="CE53" s="65">
        <f t="shared" si="67"/>
        <v>652842</v>
      </c>
      <c r="CF53" s="65">
        <f t="shared" si="68"/>
        <v>652842</v>
      </c>
      <c r="CG53" s="65">
        <f t="shared" si="69"/>
        <v>624540</v>
      </c>
      <c r="CH53" s="65">
        <f t="shared" si="70"/>
        <v>652842</v>
      </c>
      <c r="CI53" s="65">
        <f t="shared" si="71"/>
        <v>1916068</v>
      </c>
      <c r="CJ53" s="65">
        <f t="shared" si="72"/>
        <v>671718</v>
      </c>
      <c r="CK53" s="65">
        <f t="shared" si="73"/>
        <v>1165267</v>
      </c>
      <c r="CL53" s="65">
        <f t="shared" si="74"/>
        <v>652842</v>
      </c>
      <c r="CM53" s="65">
        <f t="shared" si="75"/>
        <v>753590</v>
      </c>
      <c r="CN53" s="65">
        <f t="shared" si="76"/>
        <v>1255454</v>
      </c>
      <c r="CO53" s="65">
        <f t="shared" si="77"/>
        <v>652842</v>
      </c>
      <c r="CP53" s="65">
        <f t="shared" si="78"/>
        <v>1184121</v>
      </c>
      <c r="CQ53" s="40" t="s">
        <v>538</v>
      </c>
    </row>
    <row r="54" spans="1:95" ht="3" customHeight="1" x14ac:dyDescent="0.25">
      <c r="A54" s="39">
        <v>1</v>
      </c>
      <c r="B54" s="28">
        <v>5201</v>
      </c>
      <c r="C54" s="28" t="s">
        <v>504</v>
      </c>
      <c r="D54" s="48">
        <f>+DATA!Q52</f>
        <v>4256961.8370000003</v>
      </c>
      <c r="E54" s="48">
        <f t="shared" si="63"/>
        <v>280250</v>
      </c>
      <c r="F54" s="48">
        <f t="shared" si="64"/>
        <v>425696</v>
      </c>
      <c r="G54" s="49">
        <f>VLOOKUP(B54,'CALC MEC ESTAB Y ESTIM M FINAL'!$B$7:$F$352,5,0)</f>
        <v>2.1928367904999998E-3</v>
      </c>
      <c r="H54" s="49">
        <f>VLOOKUP(B54,'CALC MEC ESTAB Y ESTIM M FINAL'!$B$7:$R$352,17,0)</f>
        <v>-8.59182394E-5</v>
      </c>
      <c r="I54" s="46">
        <f t="shared" si="4"/>
        <v>173720</v>
      </c>
      <c r="J54" s="46">
        <f t="shared" si="5"/>
        <v>0</v>
      </c>
      <c r="K54" s="46">
        <f t="shared" si="65"/>
        <v>106530</v>
      </c>
      <c r="L54" s="46">
        <f>+'DATA UIM IPASCUA DETCOMP'!D16</f>
        <v>2353142</v>
      </c>
      <c r="M54" s="46">
        <f t="shared" si="6"/>
        <v>2633392</v>
      </c>
      <c r="N54" s="46">
        <f t="shared" si="7"/>
        <v>106530</v>
      </c>
      <c r="O54" s="46">
        <f t="shared" si="8"/>
        <v>92378</v>
      </c>
      <c r="P54" s="46">
        <f t="shared" si="9"/>
        <v>0</v>
      </c>
      <c r="Q54" s="46">
        <f t="shared" si="10"/>
        <v>187872</v>
      </c>
      <c r="R54" s="46">
        <f>+'DATA UIM IPASCUA DETCOMP'!D17</f>
        <v>2353142</v>
      </c>
      <c r="S54" s="46">
        <f t="shared" si="11"/>
        <v>2633392</v>
      </c>
      <c r="T54" s="46">
        <f t="shared" si="12"/>
        <v>294402</v>
      </c>
      <c r="U54" s="46">
        <f t="shared" si="13"/>
        <v>263535</v>
      </c>
      <c r="V54" s="46">
        <f t="shared" si="14"/>
        <v>0</v>
      </c>
      <c r="W54" s="46">
        <f t="shared" si="15"/>
        <v>0</v>
      </c>
      <c r="X54" s="46">
        <f>+'DATA UIM IPASCUA DETCOMP'!D18</f>
        <v>2353142</v>
      </c>
      <c r="Y54" s="46">
        <f t="shared" si="16"/>
        <v>2616677</v>
      </c>
      <c r="Z54" s="46">
        <f t="shared" si="17"/>
        <v>294402</v>
      </c>
      <c r="AA54" s="46">
        <f t="shared" si="18"/>
        <v>139933</v>
      </c>
      <c r="AB54" s="46">
        <f t="shared" si="19"/>
        <v>0</v>
      </c>
      <c r="AC54" s="46">
        <f t="shared" si="20"/>
        <v>140317</v>
      </c>
      <c r="AD54" s="46">
        <f>+'DATA UIM IPASCUA DETCOMP'!D19</f>
        <v>2353142</v>
      </c>
      <c r="AE54" s="46">
        <f t="shared" si="21"/>
        <v>2633392</v>
      </c>
      <c r="AF54" s="46">
        <f t="shared" si="22"/>
        <v>434719</v>
      </c>
      <c r="AG54" s="46">
        <f t="shared" si="23"/>
        <v>1217678</v>
      </c>
      <c r="AH54" s="46">
        <f t="shared" si="24"/>
        <v>11239</v>
      </c>
      <c r="AI54" s="46">
        <f t="shared" si="25"/>
        <v>-434719</v>
      </c>
      <c r="AJ54" s="46">
        <f>+'DATA UIM IPASCUA DETCOMP'!D20</f>
        <v>2353142</v>
      </c>
      <c r="AK54" s="46">
        <f t="shared" si="26"/>
        <v>3147340</v>
      </c>
      <c r="AL54" s="46">
        <f t="shared" si="27"/>
        <v>0</v>
      </c>
      <c r="AM54" s="46">
        <f t="shared" si="28"/>
        <v>241191</v>
      </c>
      <c r="AN54" s="46">
        <f t="shared" si="29"/>
        <v>7965</v>
      </c>
      <c r="AO54" s="46">
        <f t="shared" si="30"/>
        <v>39059</v>
      </c>
      <c r="AP54" s="46">
        <f>+'DATA UIM IPASCUA DETCOMP'!D21</f>
        <v>2353142</v>
      </c>
      <c r="AQ54" s="46">
        <f t="shared" si="31"/>
        <v>2641357</v>
      </c>
      <c r="AR54" s="46">
        <f t="shared" si="32"/>
        <v>39059</v>
      </c>
      <c r="AS54" s="46">
        <f t="shared" si="33"/>
        <v>479445</v>
      </c>
      <c r="AT54" s="46">
        <f t="shared" si="34"/>
        <v>46545</v>
      </c>
      <c r="AU54" s="46">
        <f t="shared" si="35"/>
        <v>-39059</v>
      </c>
      <c r="AV54" s="46">
        <f>+'DATA UIM IPASCUA DETCOMP'!D22</f>
        <v>2353142</v>
      </c>
      <c r="AW54" s="46">
        <f t="shared" si="36"/>
        <v>2840073</v>
      </c>
      <c r="AX54" s="46">
        <f t="shared" si="37"/>
        <v>0</v>
      </c>
      <c r="AY54" s="46">
        <f t="shared" si="38"/>
        <v>158368</v>
      </c>
      <c r="AZ54" s="46">
        <f t="shared" si="39"/>
        <v>0</v>
      </c>
      <c r="BA54" s="46">
        <f t="shared" si="40"/>
        <v>121882</v>
      </c>
      <c r="BB54" s="46">
        <f>+'DATA UIM IPASCUA DETCOMP'!D23</f>
        <v>2353142</v>
      </c>
      <c r="BC54" s="46">
        <f t="shared" si="41"/>
        <v>2633392</v>
      </c>
      <c r="BD54" s="46">
        <f t="shared" si="42"/>
        <v>121882</v>
      </c>
      <c r="BE54" s="46">
        <f t="shared" si="43"/>
        <v>306579</v>
      </c>
      <c r="BF54" s="46">
        <f t="shared" si="44"/>
        <v>11411</v>
      </c>
      <c r="BG54" s="46">
        <f t="shared" si="45"/>
        <v>0</v>
      </c>
      <c r="BH54" s="46">
        <f>+'DATA UIM IPASCUA DETCOMP'!D24</f>
        <v>2353141</v>
      </c>
      <c r="BI54" s="46">
        <f t="shared" si="46"/>
        <v>2671131</v>
      </c>
      <c r="BJ54" s="46">
        <f t="shared" si="47"/>
        <v>121882</v>
      </c>
      <c r="BK54" s="46">
        <f t="shared" si="48"/>
        <v>646869</v>
      </c>
      <c r="BL54" s="46">
        <f t="shared" si="49"/>
        <v>0</v>
      </c>
      <c r="BM54" s="46">
        <f t="shared" si="50"/>
        <v>-121882</v>
      </c>
      <c r="BN54" s="46">
        <f>+'DATA UIM IPASCUA DETCOMP'!D25</f>
        <v>2353141</v>
      </c>
      <c r="BO54" s="46">
        <f t="shared" si="51"/>
        <v>2878128</v>
      </c>
      <c r="BP54" s="46">
        <f t="shared" si="52"/>
        <v>0</v>
      </c>
      <c r="BQ54" s="46">
        <f t="shared" si="53"/>
        <v>240081</v>
      </c>
      <c r="BR54" s="46">
        <f t="shared" si="54"/>
        <v>0</v>
      </c>
      <c r="BS54" s="46">
        <f t="shared" si="55"/>
        <v>40169</v>
      </c>
      <c r="BT54" s="46">
        <f>+'DATA UIM IPASCUA DETCOMP'!D26</f>
        <v>2353141</v>
      </c>
      <c r="BU54" s="46">
        <f t="shared" si="56"/>
        <v>2633391</v>
      </c>
      <c r="BV54" s="46">
        <f t="shared" si="57"/>
        <v>40169</v>
      </c>
      <c r="BW54" s="46">
        <f t="shared" si="58"/>
        <v>460061</v>
      </c>
      <c r="BX54" s="46">
        <f t="shared" si="59"/>
        <v>74995</v>
      </c>
      <c r="BY54" s="46">
        <f t="shared" si="60"/>
        <v>-40169</v>
      </c>
      <c r="BZ54" s="46">
        <f>+'DATA UIM IPASCUA DETCOMP'!D27</f>
        <v>2353141</v>
      </c>
      <c r="CA54" s="46">
        <f t="shared" si="61"/>
        <v>2848028</v>
      </c>
      <c r="CB54" s="46">
        <f t="shared" si="62"/>
        <v>0</v>
      </c>
      <c r="CC54" s="155">
        <f t="shared" si="66"/>
        <v>0</v>
      </c>
      <c r="CD54" s="79" t="s">
        <v>538</v>
      </c>
      <c r="CE54" s="65">
        <f t="shared" si="67"/>
        <v>280250</v>
      </c>
      <c r="CF54" s="65">
        <f t="shared" si="68"/>
        <v>280250</v>
      </c>
      <c r="CG54" s="65">
        <f t="shared" si="69"/>
        <v>263535</v>
      </c>
      <c r="CH54" s="65">
        <f t="shared" si="70"/>
        <v>280250</v>
      </c>
      <c r="CI54" s="65">
        <f t="shared" si="71"/>
        <v>794198</v>
      </c>
      <c r="CJ54" s="65">
        <f t="shared" si="72"/>
        <v>288215</v>
      </c>
      <c r="CK54" s="65">
        <f t="shared" si="73"/>
        <v>486931</v>
      </c>
      <c r="CL54" s="65">
        <f t="shared" si="74"/>
        <v>280250</v>
      </c>
      <c r="CM54" s="65">
        <f t="shared" si="75"/>
        <v>317990</v>
      </c>
      <c r="CN54" s="65">
        <f t="shared" si="76"/>
        <v>524987</v>
      </c>
      <c r="CO54" s="65">
        <f t="shared" si="77"/>
        <v>280250</v>
      </c>
      <c r="CP54" s="65">
        <f t="shared" si="78"/>
        <v>494887</v>
      </c>
      <c r="CQ54" s="40" t="s">
        <v>538</v>
      </c>
    </row>
    <row r="55" spans="1:95" ht="3" customHeight="1" x14ac:dyDescent="0.25">
      <c r="A55" s="39">
        <v>1</v>
      </c>
      <c r="B55" s="28">
        <v>5301</v>
      </c>
      <c r="C55" s="28" t="s">
        <v>115</v>
      </c>
      <c r="D55" s="48">
        <f>+DATA!Q53</f>
        <v>7889657.1289999997</v>
      </c>
      <c r="E55" s="48">
        <f t="shared" si="63"/>
        <v>519402</v>
      </c>
      <c r="F55" s="48">
        <f t="shared" si="64"/>
        <v>788966</v>
      </c>
      <c r="G55" s="49">
        <f>VLOOKUP(B55,'CALC MEC ESTAB Y ESTIM M FINAL'!$B$7:$F$352,5,0)</f>
        <v>4.6656279228999998E-3</v>
      </c>
      <c r="H55" s="49">
        <f>VLOOKUP(B55,'CALC MEC ESTAB Y ESTIM M FINAL'!$B$7:$R$352,17,0)</f>
        <v>-4.8623972980000002E-4</v>
      </c>
      <c r="I55" s="46">
        <f t="shared" si="4"/>
        <v>344600</v>
      </c>
      <c r="J55" s="46">
        <f t="shared" si="5"/>
        <v>0</v>
      </c>
      <c r="K55" s="46">
        <f t="shared" si="65"/>
        <v>174802</v>
      </c>
      <c r="L55" s="46">
        <v>0</v>
      </c>
      <c r="M55" s="46">
        <f t="shared" si="6"/>
        <v>519402</v>
      </c>
      <c r="N55" s="46">
        <f t="shared" si="7"/>
        <v>174802</v>
      </c>
      <c r="O55" s="46">
        <f t="shared" si="8"/>
        <v>183246</v>
      </c>
      <c r="P55" s="46">
        <f t="shared" si="9"/>
        <v>0</v>
      </c>
      <c r="Q55" s="46">
        <f t="shared" si="10"/>
        <v>336156</v>
      </c>
      <c r="R55" s="46">
        <v>0</v>
      </c>
      <c r="S55" s="46">
        <f t="shared" si="11"/>
        <v>519402</v>
      </c>
      <c r="T55" s="46">
        <f t="shared" si="12"/>
        <v>510958</v>
      </c>
      <c r="U55" s="46">
        <f t="shared" si="13"/>
        <v>522761</v>
      </c>
      <c r="V55" s="46">
        <f t="shared" si="14"/>
        <v>0</v>
      </c>
      <c r="W55" s="46">
        <f t="shared" si="15"/>
        <v>0</v>
      </c>
      <c r="X55" s="46">
        <v>0</v>
      </c>
      <c r="Y55" s="46">
        <f t="shared" si="16"/>
        <v>522761</v>
      </c>
      <c r="Z55" s="46">
        <f t="shared" si="17"/>
        <v>510958</v>
      </c>
      <c r="AA55" s="46">
        <f t="shared" si="18"/>
        <v>277578</v>
      </c>
      <c r="AB55" s="46">
        <f t="shared" si="19"/>
        <v>0</v>
      </c>
      <c r="AC55" s="46">
        <f t="shared" si="20"/>
        <v>241824</v>
      </c>
      <c r="AD55" s="46">
        <v>0</v>
      </c>
      <c r="AE55" s="46">
        <f t="shared" si="21"/>
        <v>519402</v>
      </c>
      <c r="AF55" s="46">
        <f t="shared" si="22"/>
        <v>752782</v>
      </c>
      <c r="AG55" s="46">
        <f t="shared" si="23"/>
        <v>2415447</v>
      </c>
      <c r="AH55" s="46">
        <f t="shared" si="24"/>
        <v>22294</v>
      </c>
      <c r="AI55" s="46">
        <f t="shared" si="25"/>
        <v>-752782</v>
      </c>
      <c r="AJ55" s="46">
        <v>0</v>
      </c>
      <c r="AK55" s="46">
        <f t="shared" si="26"/>
        <v>1684959</v>
      </c>
      <c r="AL55" s="46">
        <f t="shared" si="27"/>
        <v>0</v>
      </c>
      <c r="AM55" s="46">
        <f t="shared" si="28"/>
        <v>478438</v>
      </c>
      <c r="AN55" s="46">
        <f t="shared" si="29"/>
        <v>15800</v>
      </c>
      <c r="AO55" s="46">
        <f t="shared" si="30"/>
        <v>40964</v>
      </c>
      <c r="AP55" s="46">
        <v>0</v>
      </c>
      <c r="AQ55" s="46">
        <f t="shared" si="31"/>
        <v>535202</v>
      </c>
      <c r="AR55" s="46">
        <f t="shared" si="32"/>
        <v>40964</v>
      </c>
      <c r="AS55" s="46">
        <f t="shared" si="33"/>
        <v>951050</v>
      </c>
      <c r="AT55" s="46">
        <f t="shared" si="34"/>
        <v>92330</v>
      </c>
      <c r="AU55" s="46">
        <f t="shared" si="35"/>
        <v>-40964</v>
      </c>
      <c r="AV55" s="46">
        <v>0</v>
      </c>
      <c r="AW55" s="46">
        <f t="shared" si="36"/>
        <v>1002416</v>
      </c>
      <c r="AX55" s="46">
        <f t="shared" si="37"/>
        <v>0</v>
      </c>
      <c r="AY55" s="46">
        <f t="shared" si="38"/>
        <v>314146</v>
      </c>
      <c r="AZ55" s="46">
        <f t="shared" si="39"/>
        <v>0</v>
      </c>
      <c r="BA55" s="46">
        <f t="shared" si="40"/>
        <v>205256</v>
      </c>
      <c r="BB55" s="46"/>
      <c r="BC55" s="46">
        <f t="shared" si="41"/>
        <v>519402</v>
      </c>
      <c r="BD55" s="46">
        <f t="shared" si="42"/>
        <v>205256</v>
      </c>
      <c r="BE55" s="46">
        <f t="shared" si="43"/>
        <v>608146</v>
      </c>
      <c r="BF55" s="46">
        <f t="shared" si="44"/>
        <v>22635</v>
      </c>
      <c r="BG55" s="46">
        <f t="shared" si="45"/>
        <v>0</v>
      </c>
      <c r="BH55" s="46">
        <v>0</v>
      </c>
      <c r="BI55" s="46">
        <f t="shared" si="46"/>
        <v>630781</v>
      </c>
      <c r="BJ55" s="46">
        <f t="shared" si="47"/>
        <v>205256</v>
      </c>
      <c r="BK55" s="46">
        <f t="shared" si="48"/>
        <v>1283161</v>
      </c>
      <c r="BL55" s="46">
        <f t="shared" si="49"/>
        <v>0</v>
      </c>
      <c r="BM55" s="46">
        <f t="shared" si="50"/>
        <v>-205256</v>
      </c>
      <c r="BN55" s="46">
        <v>0</v>
      </c>
      <c r="BO55" s="46">
        <f t="shared" si="51"/>
        <v>1077905</v>
      </c>
      <c r="BP55" s="46">
        <f t="shared" si="52"/>
        <v>0</v>
      </c>
      <c r="BQ55" s="46">
        <f t="shared" si="53"/>
        <v>476236</v>
      </c>
      <c r="BR55" s="46">
        <f t="shared" si="54"/>
        <v>0</v>
      </c>
      <c r="BS55" s="46">
        <f t="shared" si="55"/>
        <v>43166</v>
      </c>
      <c r="BT55" s="46">
        <v>0</v>
      </c>
      <c r="BU55" s="46">
        <f t="shared" si="56"/>
        <v>519402</v>
      </c>
      <c r="BV55" s="46">
        <f t="shared" si="57"/>
        <v>43166</v>
      </c>
      <c r="BW55" s="46">
        <f t="shared" si="58"/>
        <v>912600</v>
      </c>
      <c r="BX55" s="46">
        <f t="shared" si="59"/>
        <v>148763</v>
      </c>
      <c r="BY55" s="46">
        <f t="shared" si="60"/>
        <v>-43166</v>
      </c>
      <c r="BZ55" s="46">
        <v>0</v>
      </c>
      <c r="CA55" s="46">
        <f t="shared" si="61"/>
        <v>1018197</v>
      </c>
      <c r="CB55" s="46">
        <f t="shared" si="62"/>
        <v>0</v>
      </c>
      <c r="CC55" s="155">
        <f t="shared" si="66"/>
        <v>0</v>
      </c>
      <c r="CD55" s="79" t="s">
        <v>538</v>
      </c>
      <c r="CE55" s="65">
        <f t="shared" si="67"/>
        <v>519402</v>
      </c>
      <c r="CF55" s="65">
        <f t="shared" si="68"/>
        <v>519402</v>
      </c>
      <c r="CG55" s="65">
        <f t="shared" si="69"/>
        <v>522761</v>
      </c>
      <c r="CH55" s="65">
        <f t="shared" si="70"/>
        <v>519402</v>
      </c>
      <c r="CI55" s="65">
        <f t="shared" si="71"/>
        <v>1684959</v>
      </c>
      <c r="CJ55" s="65">
        <f t="shared" si="72"/>
        <v>535202</v>
      </c>
      <c r="CK55" s="65">
        <f t="shared" si="73"/>
        <v>1002416</v>
      </c>
      <c r="CL55" s="65">
        <f t="shared" si="74"/>
        <v>519402</v>
      </c>
      <c r="CM55" s="65">
        <f t="shared" si="75"/>
        <v>630781</v>
      </c>
      <c r="CN55" s="65">
        <f t="shared" si="76"/>
        <v>1077905</v>
      </c>
      <c r="CO55" s="65">
        <f t="shared" si="77"/>
        <v>519402</v>
      </c>
      <c r="CP55" s="65">
        <f t="shared" si="78"/>
        <v>1018197</v>
      </c>
      <c r="CQ55" s="40" t="s">
        <v>538</v>
      </c>
    </row>
    <row r="56" spans="1:95" ht="3" customHeight="1" x14ac:dyDescent="0.25">
      <c r="A56" s="39">
        <v>1</v>
      </c>
      <c r="B56" s="28">
        <v>5302</v>
      </c>
      <c r="C56" s="28" t="s">
        <v>116</v>
      </c>
      <c r="D56" s="48">
        <f>+DATA!Q54</f>
        <v>2054369.078</v>
      </c>
      <c r="E56" s="48">
        <f t="shared" si="63"/>
        <v>135246</v>
      </c>
      <c r="F56" s="48">
        <f t="shared" si="64"/>
        <v>205437</v>
      </c>
      <c r="G56" s="49">
        <f>VLOOKUP(B56,'CALC MEC ESTAB Y ESTIM M FINAL'!$B$7:$F$352,5,0)</f>
        <v>1.0876570388999999E-3</v>
      </c>
      <c r="H56" s="49">
        <f>VLOOKUP(B56,'CALC MEC ESTAB Y ESTIM M FINAL'!$B$7:$R$352,17,0)</f>
        <v>-5.7542710899999999E-5</v>
      </c>
      <c r="I56" s="46">
        <f t="shared" si="4"/>
        <v>84935</v>
      </c>
      <c r="J56" s="46">
        <f t="shared" si="5"/>
        <v>0</v>
      </c>
      <c r="K56" s="46">
        <f t="shared" si="65"/>
        <v>50311</v>
      </c>
      <c r="L56" s="46">
        <v>0</v>
      </c>
      <c r="M56" s="46">
        <f t="shared" si="6"/>
        <v>135246</v>
      </c>
      <c r="N56" s="46">
        <f t="shared" si="7"/>
        <v>50311</v>
      </c>
      <c r="O56" s="46">
        <f t="shared" si="8"/>
        <v>45166</v>
      </c>
      <c r="P56" s="46">
        <f t="shared" si="9"/>
        <v>0</v>
      </c>
      <c r="Q56" s="46">
        <f t="shared" si="10"/>
        <v>90080</v>
      </c>
      <c r="R56" s="46">
        <v>0</v>
      </c>
      <c r="S56" s="46">
        <f t="shared" si="11"/>
        <v>135246</v>
      </c>
      <c r="T56" s="46">
        <f t="shared" si="12"/>
        <v>140391</v>
      </c>
      <c r="U56" s="46">
        <f t="shared" si="13"/>
        <v>128847</v>
      </c>
      <c r="V56" s="46">
        <f t="shared" si="14"/>
        <v>0</v>
      </c>
      <c r="W56" s="46">
        <f t="shared" si="15"/>
        <v>0</v>
      </c>
      <c r="X56" s="46">
        <v>0</v>
      </c>
      <c r="Y56" s="46">
        <f t="shared" si="16"/>
        <v>128847</v>
      </c>
      <c r="Z56" s="46">
        <f t="shared" si="17"/>
        <v>140391</v>
      </c>
      <c r="AA56" s="46">
        <f t="shared" si="18"/>
        <v>68416</v>
      </c>
      <c r="AB56" s="46">
        <f t="shared" si="19"/>
        <v>0</v>
      </c>
      <c r="AC56" s="46">
        <f t="shared" si="20"/>
        <v>66830</v>
      </c>
      <c r="AD56" s="46">
        <v>0</v>
      </c>
      <c r="AE56" s="46">
        <f t="shared" si="21"/>
        <v>135246</v>
      </c>
      <c r="AF56" s="46">
        <f t="shared" si="22"/>
        <v>207221</v>
      </c>
      <c r="AG56" s="46">
        <f t="shared" si="23"/>
        <v>595347</v>
      </c>
      <c r="AH56" s="46">
        <f t="shared" si="24"/>
        <v>5495</v>
      </c>
      <c r="AI56" s="46">
        <f t="shared" si="25"/>
        <v>-207221</v>
      </c>
      <c r="AJ56" s="46">
        <v>0</v>
      </c>
      <c r="AK56" s="46">
        <f t="shared" si="26"/>
        <v>393621</v>
      </c>
      <c r="AL56" s="46">
        <f t="shared" si="27"/>
        <v>0</v>
      </c>
      <c r="AM56" s="46">
        <f t="shared" si="28"/>
        <v>117923</v>
      </c>
      <c r="AN56" s="46">
        <f t="shared" si="29"/>
        <v>3894</v>
      </c>
      <c r="AO56" s="46">
        <f t="shared" si="30"/>
        <v>17323</v>
      </c>
      <c r="AP56" s="46">
        <v>0</v>
      </c>
      <c r="AQ56" s="46">
        <f t="shared" si="31"/>
        <v>139140</v>
      </c>
      <c r="AR56" s="46">
        <f t="shared" si="32"/>
        <v>17323</v>
      </c>
      <c r="AS56" s="46">
        <f t="shared" si="33"/>
        <v>234410</v>
      </c>
      <c r="AT56" s="46">
        <f t="shared" si="34"/>
        <v>22757</v>
      </c>
      <c r="AU56" s="46">
        <f t="shared" si="35"/>
        <v>-17323</v>
      </c>
      <c r="AV56" s="46">
        <v>0</v>
      </c>
      <c r="AW56" s="46">
        <f t="shared" si="36"/>
        <v>239844</v>
      </c>
      <c r="AX56" s="46">
        <f t="shared" si="37"/>
        <v>0</v>
      </c>
      <c r="AY56" s="46">
        <f t="shared" si="38"/>
        <v>77429</v>
      </c>
      <c r="AZ56" s="46">
        <f t="shared" si="39"/>
        <v>0</v>
      </c>
      <c r="BA56" s="46">
        <f t="shared" si="40"/>
        <v>57817</v>
      </c>
      <c r="BB56" s="46"/>
      <c r="BC56" s="46">
        <f t="shared" si="41"/>
        <v>135246</v>
      </c>
      <c r="BD56" s="46">
        <f t="shared" si="42"/>
        <v>57817</v>
      </c>
      <c r="BE56" s="46">
        <f t="shared" si="43"/>
        <v>149893</v>
      </c>
      <c r="BF56" s="46">
        <f t="shared" si="44"/>
        <v>5579</v>
      </c>
      <c r="BG56" s="46">
        <f t="shared" si="45"/>
        <v>0</v>
      </c>
      <c r="BH56" s="46">
        <v>0</v>
      </c>
      <c r="BI56" s="46">
        <f t="shared" si="46"/>
        <v>155472</v>
      </c>
      <c r="BJ56" s="46">
        <f t="shared" si="47"/>
        <v>57817</v>
      </c>
      <c r="BK56" s="46">
        <f t="shared" si="48"/>
        <v>316267</v>
      </c>
      <c r="BL56" s="46">
        <f t="shared" si="49"/>
        <v>0</v>
      </c>
      <c r="BM56" s="46">
        <f t="shared" si="50"/>
        <v>-57817</v>
      </c>
      <c r="BN56" s="46">
        <v>0</v>
      </c>
      <c r="BO56" s="46">
        <f t="shared" si="51"/>
        <v>258450</v>
      </c>
      <c r="BP56" s="46">
        <f t="shared" si="52"/>
        <v>0</v>
      </c>
      <c r="BQ56" s="46">
        <f t="shared" si="53"/>
        <v>117380</v>
      </c>
      <c r="BR56" s="46">
        <f t="shared" si="54"/>
        <v>0</v>
      </c>
      <c r="BS56" s="46">
        <f t="shared" si="55"/>
        <v>17866</v>
      </c>
      <c r="BT56" s="46">
        <v>0</v>
      </c>
      <c r="BU56" s="46">
        <f t="shared" si="56"/>
        <v>135246</v>
      </c>
      <c r="BV56" s="46">
        <f t="shared" si="57"/>
        <v>17866</v>
      </c>
      <c r="BW56" s="46">
        <f t="shared" si="58"/>
        <v>224933</v>
      </c>
      <c r="BX56" s="46">
        <f t="shared" si="59"/>
        <v>36666</v>
      </c>
      <c r="BY56" s="46">
        <f t="shared" si="60"/>
        <v>-17866</v>
      </c>
      <c r="BZ56" s="46">
        <v>0</v>
      </c>
      <c r="CA56" s="46">
        <f t="shared" si="61"/>
        <v>243733</v>
      </c>
      <c r="CB56" s="46">
        <f t="shared" si="62"/>
        <v>0</v>
      </c>
      <c r="CC56" s="155">
        <f t="shared" si="66"/>
        <v>0</v>
      </c>
      <c r="CD56" s="79" t="s">
        <v>538</v>
      </c>
      <c r="CE56" s="65">
        <f t="shared" si="67"/>
        <v>135246</v>
      </c>
      <c r="CF56" s="65">
        <f t="shared" si="68"/>
        <v>135246</v>
      </c>
      <c r="CG56" s="65">
        <f t="shared" si="69"/>
        <v>128847</v>
      </c>
      <c r="CH56" s="65">
        <f t="shared" si="70"/>
        <v>135246</v>
      </c>
      <c r="CI56" s="65">
        <f t="shared" si="71"/>
        <v>393621</v>
      </c>
      <c r="CJ56" s="65">
        <f t="shared" si="72"/>
        <v>139140</v>
      </c>
      <c r="CK56" s="65">
        <f t="shared" si="73"/>
        <v>239844</v>
      </c>
      <c r="CL56" s="65">
        <f t="shared" si="74"/>
        <v>135246</v>
      </c>
      <c r="CM56" s="65">
        <f t="shared" si="75"/>
        <v>155472</v>
      </c>
      <c r="CN56" s="65">
        <f t="shared" si="76"/>
        <v>258450</v>
      </c>
      <c r="CO56" s="65">
        <f t="shared" si="77"/>
        <v>135246</v>
      </c>
      <c r="CP56" s="65">
        <f t="shared" si="78"/>
        <v>243733</v>
      </c>
      <c r="CQ56" s="40" t="s">
        <v>538</v>
      </c>
    </row>
    <row r="57" spans="1:95" ht="3" customHeight="1" x14ac:dyDescent="0.25">
      <c r="A57" s="39">
        <v>1</v>
      </c>
      <c r="B57" s="28">
        <v>5303</v>
      </c>
      <c r="C57" s="28" t="s">
        <v>118</v>
      </c>
      <c r="D57" s="48">
        <f>+DATA!Q55</f>
        <v>1801155.818</v>
      </c>
      <c r="E57" s="48">
        <f t="shared" si="63"/>
        <v>118576</v>
      </c>
      <c r="F57" s="48">
        <f t="shared" si="64"/>
        <v>180116</v>
      </c>
      <c r="G57" s="49">
        <f>VLOOKUP(B57,'CALC MEC ESTAB Y ESTIM M FINAL'!$B$7:$F$352,5,0)</f>
        <v>9.7180654209999995E-4</v>
      </c>
      <c r="H57" s="49">
        <f>VLOOKUP(B57,'CALC MEC ESTAB Y ESTIM M FINAL'!$B$7:$R$352,17,0)</f>
        <v>-6.0295003300000001E-5</v>
      </c>
      <c r="I57" s="46">
        <f t="shared" si="4"/>
        <v>75156</v>
      </c>
      <c r="J57" s="46">
        <f t="shared" si="5"/>
        <v>0</v>
      </c>
      <c r="K57" s="46">
        <f t="shared" si="65"/>
        <v>43420</v>
      </c>
      <c r="L57" s="46">
        <v>0</v>
      </c>
      <c r="M57" s="46">
        <f t="shared" si="6"/>
        <v>118576</v>
      </c>
      <c r="N57" s="46">
        <f t="shared" si="7"/>
        <v>43420</v>
      </c>
      <c r="O57" s="46">
        <f t="shared" si="8"/>
        <v>39965</v>
      </c>
      <c r="P57" s="46">
        <f t="shared" si="9"/>
        <v>0</v>
      </c>
      <c r="Q57" s="46">
        <f t="shared" si="10"/>
        <v>78611</v>
      </c>
      <c r="R57" s="46">
        <v>0</v>
      </c>
      <c r="S57" s="46">
        <f t="shared" si="11"/>
        <v>118576</v>
      </c>
      <c r="T57" s="46">
        <f t="shared" si="12"/>
        <v>122031</v>
      </c>
      <c r="U57" s="46">
        <f t="shared" si="13"/>
        <v>114013</v>
      </c>
      <c r="V57" s="46">
        <f t="shared" si="14"/>
        <v>0</v>
      </c>
      <c r="W57" s="46">
        <f t="shared" si="15"/>
        <v>0</v>
      </c>
      <c r="X57" s="46">
        <v>0</v>
      </c>
      <c r="Y57" s="46">
        <f t="shared" si="16"/>
        <v>114013</v>
      </c>
      <c r="Z57" s="46">
        <f t="shared" si="17"/>
        <v>122031</v>
      </c>
      <c r="AA57" s="46">
        <f t="shared" si="18"/>
        <v>60539</v>
      </c>
      <c r="AB57" s="46">
        <f t="shared" si="19"/>
        <v>0</v>
      </c>
      <c r="AC57" s="46">
        <f t="shared" si="20"/>
        <v>58037</v>
      </c>
      <c r="AD57" s="46">
        <v>0</v>
      </c>
      <c r="AE57" s="46">
        <f t="shared" si="21"/>
        <v>118576</v>
      </c>
      <c r="AF57" s="46">
        <f t="shared" si="22"/>
        <v>180068</v>
      </c>
      <c r="AG57" s="46">
        <f t="shared" si="23"/>
        <v>526801</v>
      </c>
      <c r="AH57" s="46">
        <f t="shared" si="24"/>
        <v>4862</v>
      </c>
      <c r="AI57" s="46">
        <f t="shared" si="25"/>
        <v>-180068</v>
      </c>
      <c r="AJ57" s="46">
        <v>0</v>
      </c>
      <c r="AK57" s="46">
        <f t="shared" si="26"/>
        <v>351595</v>
      </c>
      <c r="AL57" s="46">
        <f t="shared" si="27"/>
        <v>0</v>
      </c>
      <c r="AM57" s="46">
        <f t="shared" si="28"/>
        <v>104346</v>
      </c>
      <c r="AN57" s="46">
        <f t="shared" si="29"/>
        <v>3446</v>
      </c>
      <c r="AO57" s="46">
        <f t="shared" si="30"/>
        <v>14230</v>
      </c>
      <c r="AP57" s="46">
        <v>0</v>
      </c>
      <c r="AQ57" s="46">
        <f t="shared" si="31"/>
        <v>122022</v>
      </c>
      <c r="AR57" s="46">
        <f t="shared" si="32"/>
        <v>14230</v>
      </c>
      <c r="AS57" s="46">
        <f t="shared" si="33"/>
        <v>207421</v>
      </c>
      <c r="AT57" s="46">
        <f t="shared" si="34"/>
        <v>20137</v>
      </c>
      <c r="AU57" s="46">
        <f t="shared" si="35"/>
        <v>-14230</v>
      </c>
      <c r="AV57" s="46">
        <v>0</v>
      </c>
      <c r="AW57" s="46">
        <f t="shared" si="36"/>
        <v>213328</v>
      </c>
      <c r="AX57" s="46">
        <f t="shared" si="37"/>
        <v>0</v>
      </c>
      <c r="AY57" s="46">
        <f t="shared" si="38"/>
        <v>68514</v>
      </c>
      <c r="AZ57" s="46">
        <f t="shared" si="39"/>
        <v>0</v>
      </c>
      <c r="BA57" s="46">
        <f t="shared" si="40"/>
        <v>50062</v>
      </c>
      <c r="BB57" s="46"/>
      <c r="BC57" s="46">
        <f t="shared" si="41"/>
        <v>118576</v>
      </c>
      <c r="BD57" s="46">
        <f t="shared" si="42"/>
        <v>50062</v>
      </c>
      <c r="BE57" s="46">
        <f t="shared" si="43"/>
        <v>132635</v>
      </c>
      <c r="BF57" s="46">
        <f t="shared" si="44"/>
        <v>4937</v>
      </c>
      <c r="BG57" s="46">
        <f t="shared" si="45"/>
        <v>0</v>
      </c>
      <c r="BH57" s="46">
        <v>0</v>
      </c>
      <c r="BI57" s="46">
        <f t="shared" si="46"/>
        <v>137572</v>
      </c>
      <c r="BJ57" s="46">
        <f t="shared" si="47"/>
        <v>50062</v>
      </c>
      <c r="BK57" s="46">
        <f t="shared" si="48"/>
        <v>279853</v>
      </c>
      <c r="BL57" s="46">
        <f t="shared" si="49"/>
        <v>0</v>
      </c>
      <c r="BM57" s="46">
        <f t="shared" si="50"/>
        <v>-50062</v>
      </c>
      <c r="BN57" s="46">
        <v>0</v>
      </c>
      <c r="BO57" s="46">
        <f t="shared" si="51"/>
        <v>229791</v>
      </c>
      <c r="BP57" s="46">
        <f t="shared" si="52"/>
        <v>0</v>
      </c>
      <c r="BQ57" s="46">
        <f t="shared" si="53"/>
        <v>103866</v>
      </c>
      <c r="BR57" s="46">
        <f t="shared" si="54"/>
        <v>0</v>
      </c>
      <c r="BS57" s="46">
        <f t="shared" si="55"/>
        <v>14710</v>
      </c>
      <c r="BT57" s="46">
        <v>0</v>
      </c>
      <c r="BU57" s="46">
        <f t="shared" si="56"/>
        <v>118576</v>
      </c>
      <c r="BV57" s="46">
        <f t="shared" si="57"/>
        <v>14710</v>
      </c>
      <c r="BW57" s="46">
        <f t="shared" si="58"/>
        <v>199035</v>
      </c>
      <c r="BX57" s="46">
        <f t="shared" si="59"/>
        <v>32445</v>
      </c>
      <c r="BY57" s="46">
        <f t="shared" si="60"/>
        <v>-14710</v>
      </c>
      <c r="BZ57" s="46">
        <v>0</v>
      </c>
      <c r="CA57" s="46">
        <f t="shared" si="61"/>
        <v>216770</v>
      </c>
      <c r="CB57" s="46">
        <f t="shared" si="62"/>
        <v>0</v>
      </c>
      <c r="CC57" s="155">
        <f t="shared" si="66"/>
        <v>0</v>
      </c>
      <c r="CD57" s="79" t="s">
        <v>538</v>
      </c>
      <c r="CE57" s="65">
        <f t="shared" si="67"/>
        <v>118576</v>
      </c>
      <c r="CF57" s="65">
        <f t="shared" si="68"/>
        <v>118576</v>
      </c>
      <c r="CG57" s="65">
        <f t="shared" si="69"/>
        <v>114013</v>
      </c>
      <c r="CH57" s="65">
        <f t="shared" si="70"/>
        <v>118576</v>
      </c>
      <c r="CI57" s="65">
        <f t="shared" si="71"/>
        <v>351595</v>
      </c>
      <c r="CJ57" s="65">
        <f t="shared" si="72"/>
        <v>122022</v>
      </c>
      <c r="CK57" s="65">
        <f t="shared" si="73"/>
        <v>213328</v>
      </c>
      <c r="CL57" s="65">
        <f t="shared" si="74"/>
        <v>118576</v>
      </c>
      <c r="CM57" s="65">
        <f t="shared" si="75"/>
        <v>137572</v>
      </c>
      <c r="CN57" s="65">
        <f t="shared" si="76"/>
        <v>229791</v>
      </c>
      <c r="CO57" s="65">
        <f t="shared" si="77"/>
        <v>118576</v>
      </c>
      <c r="CP57" s="65">
        <f t="shared" si="78"/>
        <v>216770</v>
      </c>
      <c r="CQ57" s="40" t="s">
        <v>538</v>
      </c>
    </row>
    <row r="58" spans="1:95" ht="3" customHeight="1" x14ac:dyDescent="0.25">
      <c r="A58" s="39">
        <v>1</v>
      </c>
      <c r="B58" s="28">
        <v>5304</v>
      </c>
      <c r="C58" s="28" t="s">
        <v>117</v>
      </c>
      <c r="D58" s="48">
        <f>+DATA!Q56</f>
        <v>3289223.5219999999</v>
      </c>
      <c r="E58" s="48">
        <f t="shared" si="63"/>
        <v>216541</v>
      </c>
      <c r="F58" s="48">
        <f t="shared" si="64"/>
        <v>328922</v>
      </c>
      <c r="G58" s="49">
        <f>VLOOKUP(B58,'CALC MEC ESTAB Y ESTIM M FINAL'!$B$7:$F$352,5,0)</f>
        <v>1.7360543605999998E-3</v>
      </c>
      <c r="H58" s="49">
        <f>VLOOKUP(B58,'CALC MEC ESTAB Y ESTIM M FINAL'!$B$7:$R$352,17,0)</f>
        <v>-8.8810753499999996E-5</v>
      </c>
      <c r="I58" s="46">
        <f t="shared" si="4"/>
        <v>135819</v>
      </c>
      <c r="J58" s="46">
        <f t="shared" si="5"/>
        <v>0</v>
      </c>
      <c r="K58" s="46">
        <f t="shared" si="65"/>
        <v>80722</v>
      </c>
      <c r="L58" s="46">
        <v>0</v>
      </c>
      <c r="M58" s="46">
        <f t="shared" si="6"/>
        <v>216541</v>
      </c>
      <c r="N58" s="46">
        <f t="shared" si="7"/>
        <v>80722</v>
      </c>
      <c r="O58" s="46">
        <f t="shared" si="8"/>
        <v>72224</v>
      </c>
      <c r="P58" s="46">
        <f t="shared" si="9"/>
        <v>0</v>
      </c>
      <c r="Q58" s="46">
        <f t="shared" si="10"/>
        <v>144317</v>
      </c>
      <c r="R58" s="46">
        <v>0</v>
      </c>
      <c r="S58" s="46">
        <f t="shared" si="11"/>
        <v>216541</v>
      </c>
      <c r="T58" s="46">
        <f t="shared" si="12"/>
        <v>225039</v>
      </c>
      <c r="U58" s="46">
        <f t="shared" si="13"/>
        <v>206038</v>
      </c>
      <c r="V58" s="46">
        <f t="shared" si="14"/>
        <v>0</v>
      </c>
      <c r="W58" s="46">
        <f t="shared" si="15"/>
        <v>0</v>
      </c>
      <c r="X58" s="46">
        <v>0</v>
      </c>
      <c r="Y58" s="46">
        <f t="shared" si="16"/>
        <v>206038</v>
      </c>
      <c r="Z58" s="46">
        <f t="shared" si="17"/>
        <v>225039</v>
      </c>
      <c r="AA58" s="46">
        <f t="shared" si="18"/>
        <v>109403</v>
      </c>
      <c r="AB58" s="46">
        <f t="shared" si="19"/>
        <v>0</v>
      </c>
      <c r="AC58" s="46">
        <f t="shared" si="20"/>
        <v>107138</v>
      </c>
      <c r="AD58" s="46">
        <v>0</v>
      </c>
      <c r="AE58" s="46">
        <f t="shared" si="21"/>
        <v>216541</v>
      </c>
      <c r="AF58" s="46">
        <f t="shared" si="22"/>
        <v>332177</v>
      </c>
      <c r="AG58" s="46">
        <f t="shared" si="23"/>
        <v>952012</v>
      </c>
      <c r="AH58" s="46">
        <f t="shared" si="24"/>
        <v>8787</v>
      </c>
      <c r="AI58" s="46">
        <f t="shared" si="25"/>
        <v>-332177</v>
      </c>
      <c r="AJ58" s="46">
        <v>0</v>
      </c>
      <c r="AK58" s="46">
        <f t="shared" si="26"/>
        <v>628622</v>
      </c>
      <c r="AL58" s="46">
        <f t="shared" si="27"/>
        <v>0</v>
      </c>
      <c r="AM58" s="46">
        <f t="shared" si="28"/>
        <v>188569</v>
      </c>
      <c r="AN58" s="46">
        <f t="shared" si="29"/>
        <v>6227</v>
      </c>
      <c r="AO58" s="46">
        <f t="shared" si="30"/>
        <v>27972</v>
      </c>
      <c r="AP58" s="46">
        <v>0</v>
      </c>
      <c r="AQ58" s="46">
        <f t="shared" si="31"/>
        <v>222768</v>
      </c>
      <c r="AR58" s="46">
        <f t="shared" si="32"/>
        <v>27972</v>
      </c>
      <c r="AS58" s="46">
        <f t="shared" si="33"/>
        <v>374842</v>
      </c>
      <c r="AT58" s="46">
        <f t="shared" si="34"/>
        <v>36390</v>
      </c>
      <c r="AU58" s="46">
        <f t="shared" si="35"/>
        <v>-27972</v>
      </c>
      <c r="AV58" s="46">
        <v>0</v>
      </c>
      <c r="AW58" s="46">
        <f t="shared" si="36"/>
        <v>383260</v>
      </c>
      <c r="AX58" s="46">
        <f t="shared" si="37"/>
        <v>0</v>
      </c>
      <c r="AY58" s="46">
        <f t="shared" si="38"/>
        <v>123816</v>
      </c>
      <c r="AZ58" s="46">
        <f t="shared" si="39"/>
        <v>0</v>
      </c>
      <c r="BA58" s="46">
        <f t="shared" si="40"/>
        <v>92725</v>
      </c>
      <c r="BB58" s="46"/>
      <c r="BC58" s="46">
        <f t="shared" si="41"/>
        <v>216541</v>
      </c>
      <c r="BD58" s="46">
        <f t="shared" si="42"/>
        <v>92725</v>
      </c>
      <c r="BE58" s="46">
        <f t="shared" si="43"/>
        <v>239692</v>
      </c>
      <c r="BF58" s="46">
        <f t="shared" si="44"/>
        <v>8921</v>
      </c>
      <c r="BG58" s="46">
        <f t="shared" si="45"/>
        <v>0</v>
      </c>
      <c r="BH58" s="46">
        <v>0</v>
      </c>
      <c r="BI58" s="46">
        <f t="shared" si="46"/>
        <v>248613</v>
      </c>
      <c r="BJ58" s="46">
        <f t="shared" si="47"/>
        <v>92725</v>
      </c>
      <c r="BK58" s="46">
        <f t="shared" si="48"/>
        <v>505739</v>
      </c>
      <c r="BL58" s="46">
        <f t="shared" si="49"/>
        <v>0</v>
      </c>
      <c r="BM58" s="46">
        <f t="shared" si="50"/>
        <v>-92725</v>
      </c>
      <c r="BN58" s="46">
        <v>0</v>
      </c>
      <c r="BO58" s="46">
        <f t="shared" si="51"/>
        <v>413014</v>
      </c>
      <c r="BP58" s="46">
        <f t="shared" si="52"/>
        <v>0</v>
      </c>
      <c r="BQ58" s="46">
        <f t="shared" si="53"/>
        <v>187701</v>
      </c>
      <c r="BR58" s="46">
        <f t="shared" si="54"/>
        <v>0</v>
      </c>
      <c r="BS58" s="46">
        <f t="shared" si="55"/>
        <v>28840</v>
      </c>
      <c r="BT58" s="46">
        <v>0</v>
      </c>
      <c r="BU58" s="46">
        <f t="shared" si="56"/>
        <v>216541</v>
      </c>
      <c r="BV58" s="46">
        <f t="shared" si="57"/>
        <v>28840</v>
      </c>
      <c r="BW58" s="46">
        <f t="shared" si="58"/>
        <v>359688</v>
      </c>
      <c r="BX58" s="46">
        <f t="shared" si="59"/>
        <v>58633</v>
      </c>
      <c r="BY58" s="46">
        <f t="shared" si="60"/>
        <v>-28840</v>
      </c>
      <c r="BZ58" s="46">
        <v>0</v>
      </c>
      <c r="CA58" s="46">
        <f t="shared" si="61"/>
        <v>389481</v>
      </c>
      <c r="CB58" s="46">
        <f t="shared" si="62"/>
        <v>0</v>
      </c>
      <c r="CC58" s="155">
        <f t="shared" si="66"/>
        <v>0</v>
      </c>
      <c r="CD58" s="79" t="s">
        <v>538</v>
      </c>
      <c r="CE58" s="65">
        <f t="shared" si="67"/>
        <v>216541</v>
      </c>
      <c r="CF58" s="65">
        <f t="shared" si="68"/>
        <v>216541</v>
      </c>
      <c r="CG58" s="65">
        <f t="shared" si="69"/>
        <v>206038</v>
      </c>
      <c r="CH58" s="65">
        <f t="shared" si="70"/>
        <v>216541</v>
      </c>
      <c r="CI58" s="65">
        <f t="shared" si="71"/>
        <v>628622</v>
      </c>
      <c r="CJ58" s="65">
        <f t="shared" si="72"/>
        <v>222768</v>
      </c>
      <c r="CK58" s="65">
        <f t="shared" si="73"/>
        <v>383260</v>
      </c>
      <c r="CL58" s="65">
        <f t="shared" si="74"/>
        <v>216541</v>
      </c>
      <c r="CM58" s="65">
        <f t="shared" si="75"/>
        <v>248613</v>
      </c>
      <c r="CN58" s="65">
        <f t="shared" si="76"/>
        <v>413014</v>
      </c>
      <c r="CO58" s="65">
        <f t="shared" si="77"/>
        <v>216541</v>
      </c>
      <c r="CP58" s="65">
        <f t="shared" si="78"/>
        <v>389481</v>
      </c>
      <c r="CQ58" s="40" t="s">
        <v>538</v>
      </c>
    </row>
    <row r="59" spans="1:95" ht="3" customHeight="1" x14ac:dyDescent="0.25">
      <c r="A59" s="39">
        <v>1</v>
      </c>
      <c r="B59" s="28">
        <v>5401</v>
      </c>
      <c r="C59" s="28" t="s">
        <v>90</v>
      </c>
      <c r="D59" s="48">
        <f>+DATA!Q57</f>
        <v>7308441.3770000003</v>
      </c>
      <c r="E59" s="48">
        <f t="shared" si="63"/>
        <v>481139</v>
      </c>
      <c r="F59" s="48">
        <f t="shared" si="64"/>
        <v>730844</v>
      </c>
      <c r="G59" s="49">
        <f>VLOOKUP(B59,'CALC MEC ESTAB Y ESTIM M FINAL'!$B$7:$F$352,5,0)</f>
        <v>5.1423304400000005E-3</v>
      </c>
      <c r="H59" s="49">
        <f>VLOOKUP(B59,'CALC MEC ESTAB Y ESTIM M FINAL'!$B$7:$R$352,17,0)</f>
        <v>-8.997135278E-4</v>
      </c>
      <c r="I59" s="46">
        <f t="shared" si="4"/>
        <v>349813</v>
      </c>
      <c r="J59" s="46">
        <f t="shared" si="5"/>
        <v>0</v>
      </c>
      <c r="K59" s="46">
        <f t="shared" si="65"/>
        <v>131326</v>
      </c>
      <c r="L59" s="46">
        <v>0</v>
      </c>
      <c r="M59" s="46">
        <f t="shared" si="6"/>
        <v>481139</v>
      </c>
      <c r="N59" s="46">
        <f t="shared" si="7"/>
        <v>131326</v>
      </c>
      <c r="O59" s="46">
        <f t="shared" si="8"/>
        <v>186019</v>
      </c>
      <c r="P59" s="46">
        <f t="shared" si="9"/>
        <v>0</v>
      </c>
      <c r="Q59" s="46">
        <f t="shared" si="10"/>
        <v>295120</v>
      </c>
      <c r="R59" s="46">
        <v>0</v>
      </c>
      <c r="S59" s="46">
        <f t="shared" si="11"/>
        <v>481139</v>
      </c>
      <c r="T59" s="46">
        <f t="shared" si="12"/>
        <v>426446</v>
      </c>
      <c r="U59" s="46">
        <f t="shared" si="13"/>
        <v>530670</v>
      </c>
      <c r="V59" s="46">
        <f t="shared" si="14"/>
        <v>0</v>
      </c>
      <c r="W59" s="46">
        <f t="shared" si="15"/>
        <v>0</v>
      </c>
      <c r="X59" s="46">
        <v>0</v>
      </c>
      <c r="Y59" s="46">
        <f t="shared" si="16"/>
        <v>530670</v>
      </c>
      <c r="Z59" s="46">
        <f t="shared" si="17"/>
        <v>426446</v>
      </c>
      <c r="AA59" s="46">
        <f t="shared" si="18"/>
        <v>281777</v>
      </c>
      <c r="AB59" s="46">
        <f t="shared" si="19"/>
        <v>0</v>
      </c>
      <c r="AC59" s="46">
        <f t="shared" si="20"/>
        <v>199362</v>
      </c>
      <c r="AD59" s="46">
        <v>0</v>
      </c>
      <c r="AE59" s="46">
        <f t="shared" si="21"/>
        <v>481139</v>
      </c>
      <c r="AF59" s="46">
        <f t="shared" si="22"/>
        <v>625808</v>
      </c>
      <c r="AG59" s="46">
        <f t="shared" si="23"/>
        <v>2451989</v>
      </c>
      <c r="AH59" s="46">
        <f t="shared" si="24"/>
        <v>22631</v>
      </c>
      <c r="AI59" s="46">
        <f t="shared" si="25"/>
        <v>-625808</v>
      </c>
      <c r="AJ59" s="46">
        <v>0</v>
      </c>
      <c r="AK59" s="46">
        <f t="shared" si="26"/>
        <v>1848812</v>
      </c>
      <c r="AL59" s="46">
        <f t="shared" si="27"/>
        <v>0</v>
      </c>
      <c r="AM59" s="46">
        <f t="shared" si="28"/>
        <v>485676</v>
      </c>
      <c r="AN59" s="46">
        <f t="shared" si="29"/>
        <v>16039</v>
      </c>
      <c r="AO59" s="46">
        <f t="shared" si="30"/>
        <v>0</v>
      </c>
      <c r="AP59" s="46">
        <v>0</v>
      </c>
      <c r="AQ59" s="46">
        <f t="shared" si="31"/>
        <v>501715</v>
      </c>
      <c r="AR59" s="46">
        <f t="shared" si="32"/>
        <v>0</v>
      </c>
      <c r="AS59" s="46">
        <f t="shared" si="33"/>
        <v>965438</v>
      </c>
      <c r="AT59" s="46">
        <f t="shared" si="34"/>
        <v>93727</v>
      </c>
      <c r="AU59" s="46">
        <f t="shared" si="35"/>
        <v>0</v>
      </c>
      <c r="AV59" s="46">
        <v>0</v>
      </c>
      <c r="AW59" s="46">
        <f t="shared" si="36"/>
        <v>1059165</v>
      </c>
      <c r="AX59" s="46">
        <f t="shared" si="37"/>
        <v>0</v>
      </c>
      <c r="AY59" s="46">
        <f t="shared" si="38"/>
        <v>318899</v>
      </c>
      <c r="AZ59" s="46">
        <f t="shared" si="39"/>
        <v>0</v>
      </c>
      <c r="BA59" s="46">
        <f t="shared" si="40"/>
        <v>162240</v>
      </c>
      <c r="BB59" s="46"/>
      <c r="BC59" s="46">
        <f t="shared" si="41"/>
        <v>481139</v>
      </c>
      <c r="BD59" s="46">
        <f t="shared" si="42"/>
        <v>162240</v>
      </c>
      <c r="BE59" s="46">
        <f t="shared" si="43"/>
        <v>617346</v>
      </c>
      <c r="BF59" s="46">
        <f t="shared" si="44"/>
        <v>22977</v>
      </c>
      <c r="BG59" s="46">
        <f t="shared" si="45"/>
        <v>0</v>
      </c>
      <c r="BH59" s="46">
        <v>0</v>
      </c>
      <c r="BI59" s="46">
        <f t="shared" si="46"/>
        <v>640323</v>
      </c>
      <c r="BJ59" s="46">
        <f t="shared" si="47"/>
        <v>162240</v>
      </c>
      <c r="BK59" s="46">
        <f t="shared" si="48"/>
        <v>1302574</v>
      </c>
      <c r="BL59" s="46">
        <f t="shared" si="49"/>
        <v>0</v>
      </c>
      <c r="BM59" s="46">
        <f t="shared" si="50"/>
        <v>-162240</v>
      </c>
      <c r="BN59" s="46">
        <v>0</v>
      </c>
      <c r="BO59" s="46">
        <f t="shared" si="51"/>
        <v>1140334</v>
      </c>
      <c r="BP59" s="46">
        <f t="shared" si="52"/>
        <v>0</v>
      </c>
      <c r="BQ59" s="46">
        <f t="shared" si="53"/>
        <v>483441</v>
      </c>
      <c r="BR59" s="46">
        <f t="shared" si="54"/>
        <v>0</v>
      </c>
      <c r="BS59" s="46">
        <f t="shared" si="55"/>
        <v>0</v>
      </c>
      <c r="BT59" s="46">
        <v>0</v>
      </c>
      <c r="BU59" s="46">
        <f t="shared" si="56"/>
        <v>483441</v>
      </c>
      <c r="BV59" s="46">
        <f t="shared" si="57"/>
        <v>0</v>
      </c>
      <c r="BW59" s="46">
        <f t="shared" si="58"/>
        <v>926406</v>
      </c>
      <c r="BX59" s="46">
        <f t="shared" si="59"/>
        <v>151014</v>
      </c>
      <c r="BY59" s="46">
        <f t="shared" si="60"/>
        <v>0</v>
      </c>
      <c r="BZ59" s="46">
        <v>0</v>
      </c>
      <c r="CA59" s="46">
        <f t="shared" si="61"/>
        <v>1077420</v>
      </c>
      <c r="CB59" s="46">
        <f t="shared" si="62"/>
        <v>0</v>
      </c>
      <c r="CC59" s="155">
        <f t="shared" si="66"/>
        <v>0</v>
      </c>
      <c r="CD59" s="79" t="s">
        <v>538</v>
      </c>
      <c r="CE59" s="65">
        <f t="shared" si="67"/>
        <v>481139</v>
      </c>
      <c r="CF59" s="65">
        <f t="shared" si="68"/>
        <v>481139</v>
      </c>
      <c r="CG59" s="65">
        <f t="shared" si="69"/>
        <v>530670</v>
      </c>
      <c r="CH59" s="65">
        <f t="shared" si="70"/>
        <v>481139</v>
      </c>
      <c r="CI59" s="65">
        <f t="shared" si="71"/>
        <v>1848812</v>
      </c>
      <c r="CJ59" s="65">
        <f t="shared" si="72"/>
        <v>501715</v>
      </c>
      <c r="CK59" s="65">
        <f t="shared" si="73"/>
        <v>1059165</v>
      </c>
      <c r="CL59" s="65">
        <f t="shared" si="74"/>
        <v>481139</v>
      </c>
      <c r="CM59" s="65">
        <f t="shared" si="75"/>
        <v>640323</v>
      </c>
      <c r="CN59" s="65">
        <f t="shared" si="76"/>
        <v>1140334</v>
      </c>
      <c r="CO59" s="65">
        <f t="shared" si="77"/>
        <v>483441</v>
      </c>
      <c r="CP59" s="65">
        <f t="shared" si="78"/>
        <v>1077420</v>
      </c>
      <c r="CQ59" s="40" t="s">
        <v>538</v>
      </c>
    </row>
    <row r="60" spans="1:95" ht="3" customHeight="1" x14ac:dyDescent="0.25">
      <c r="A60" s="39">
        <v>1</v>
      </c>
      <c r="B60" s="28">
        <v>5402</v>
      </c>
      <c r="C60" s="28" t="s">
        <v>92</v>
      </c>
      <c r="D60" s="48">
        <f>+DATA!Q58</f>
        <v>3363859.8059999999</v>
      </c>
      <c r="E60" s="48">
        <f t="shared" si="63"/>
        <v>221454</v>
      </c>
      <c r="F60" s="48">
        <f t="shared" si="64"/>
        <v>336386</v>
      </c>
      <c r="G60" s="49">
        <f>VLOOKUP(B60,'CALC MEC ESTAB Y ESTIM M FINAL'!$B$7:$F$352,5,0)</f>
        <v>1.9136556924999998E-3</v>
      </c>
      <c r="H60" s="49">
        <f>VLOOKUP(B60,'CALC MEC ESTAB Y ESTIM M FINAL'!$B$7:$R$352,17,0)</f>
        <v>-1.6588621429999999E-4</v>
      </c>
      <c r="I60" s="46">
        <f t="shared" si="4"/>
        <v>144107</v>
      </c>
      <c r="J60" s="46">
        <f t="shared" si="5"/>
        <v>0</v>
      </c>
      <c r="K60" s="46">
        <f t="shared" si="65"/>
        <v>77347</v>
      </c>
      <c r="L60" s="46">
        <v>0</v>
      </c>
      <c r="M60" s="46">
        <f t="shared" si="6"/>
        <v>221454</v>
      </c>
      <c r="N60" s="46">
        <f t="shared" si="7"/>
        <v>77347</v>
      </c>
      <c r="O60" s="46">
        <f t="shared" si="8"/>
        <v>76631</v>
      </c>
      <c r="P60" s="46">
        <f t="shared" si="9"/>
        <v>0</v>
      </c>
      <c r="Q60" s="46">
        <f t="shared" si="10"/>
        <v>144823</v>
      </c>
      <c r="R60" s="46">
        <v>0</v>
      </c>
      <c r="S60" s="46">
        <f t="shared" si="11"/>
        <v>221454</v>
      </c>
      <c r="T60" s="46">
        <f t="shared" si="12"/>
        <v>222170</v>
      </c>
      <c r="U60" s="46">
        <f t="shared" si="13"/>
        <v>218612</v>
      </c>
      <c r="V60" s="46">
        <f t="shared" si="14"/>
        <v>0</v>
      </c>
      <c r="W60" s="46">
        <f t="shared" si="15"/>
        <v>0</v>
      </c>
      <c r="X60" s="46">
        <v>0</v>
      </c>
      <c r="Y60" s="46">
        <f t="shared" si="16"/>
        <v>218612</v>
      </c>
      <c r="Z60" s="46">
        <f t="shared" si="17"/>
        <v>222170</v>
      </c>
      <c r="AA60" s="46">
        <f t="shared" si="18"/>
        <v>116080</v>
      </c>
      <c r="AB60" s="46">
        <f t="shared" si="19"/>
        <v>0</v>
      </c>
      <c r="AC60" s="46">
        <f t="shared" si="20"/>
        <v>105374</v>
      </c>
      <c r="AD60" s="46">
        <v>0</v>
      </c>
      <c r="AE60" s="46">
        <f t="shared" si="21"/>
        <v>221454</v>
      </c>
      <c r="AF60" s="46">
        <f t="shared" si="22"/>
        <v>327544</v>
      </c>
      <c r="AG60" s="46">
        <f t="shared" si="23"/>
        <v>1010110</v>
      </c>
      <c r="AH60" s="46">
        <f t="shared" si="24"/>
        <v>9323</v>
      </c>
      <c r="AI60" s="46">
        <f t="shared" si="25"/>
        <v>-327544</v>
      </c>
      <c r="AJ60" s="46">
        <v>0</v>
      </c>
      <c r="AK60" s="46">
        <f t="shared" si="26"/>
        <v>691889</v>
      </c>
      <c r="AL60" s="46">
        <f t="shared" si="27"/>
        <v>0</v>
      </c>
      <c r="AM60" s="46">
        <f t="shared" si="28"/>
        <v>200077</v>
      </c>
      <c r="AN60" s="46">
        <f t="shared" si="29"/>
        <v>6607</v>
      </c>
      <c r="AO60" s="46">
        <f t="shared" si="30"/>
        <v>21377</v>
      </c>
      <c r="AP60" s="46">
        <v>0</v>
      </c>
      <c r="AQ60" s="46">
        <f t="shared" si="31"/>
        <v>228061</v>
      </c>
      <c r="AR60" s="46">
        <f t="shared" si="32"/>
        <v>21377</v>
      </c>
      <c r="AS60" s="46">
        <f t="shared" si="33"/>
        <v>397718</v>
      </c>
      <c r="AT60" s="46">
        <f t="shared" si="34"/>
        <v>38611</v>
      </c>
      <c r="AU60" s="46">
        <f t="shared" si="35"/>
        <v>-21377</v>
      </c>
      <c r="AV60" s="46">
        <v>0</v>
      </c>
      <c r="AW60" s="46">
        <f t="shared" si="36"/>
        <v>414952</v>
      </c>
      <c r="AX60" s="46">
        <f t="shared" si="37"/>
        <v>0</v>
      </c>
      <c r="AY60" s="46">
        <f t="shared" si="38"/>
        <v>131372</v>
      </c>
      <c r="AZ60" s="46">
        <f t="shared" si="39"/>
        <v>0</v>
      </c>
      <c r="BA60" s="46">
        <f t="shared" si="40"/>
        <v>90082</v>
      </c>
      <c r="BB60" s="46"/>
      <c r="BC60" s="46">
        <f t="shared" si="41"/>
        <v>221454</v>
      </c>
      <c r="BD60" s="46">
        <f t="shared" si="42"/>
        <v>90082</v>
      </c>
      <c r="BE60" s="46">
        <f t="shared" si="43"/>
        <v>254319</v>
      </c>
      <c r="BF60" s="46">
        <f t="shared" si="44"/>
        <v>9466</v>
      </c>
      <c r="BG60" s="46">
        <f t="shared" si="45"/>
        <v>0</v>
      </c>
      <c r="BH60" s="46">
        <v>0</v>
      </c>
      <c r="BI60" s="46">
        <f t="shared" si="46"/>
        <v>263785</v>
      </c>
      <c r="BJ60" s="46">
        <f t="shared" si="47"/>
        <v>90082</v>
      </c>
      <c r="BK60" s="46">
        <f t="shared" si="48"/>
        <v>536602</v>
      </c>
      <c r="BL60" s="46">
        <f t="shared" si="49"/>
        <v>0</v>
      </c>
      <c r="BM60" s="46">
        <f t="shared" si="50"/>
        <v>-90082</v>
      </c>
      <c r="BN60" s="46">
        <v>0</v>
      </c>
      <c r="BO60" s="46">
        <f t="shared" si="51"/>
        <v>446520</v>
      </c>
      <c r="BP60" s="46">
        <f t="shared" si="52"/>
        <v>0</v>
      </c>
      <c r="BQ60" s="46">
        <f t="shared" si="53"/>
        <v>199156</v>
      </c>
      <c r="BR60" s="46">
        <f t="shared" si="54"/>
        <v>0</v>
      </c>
      <c r="BS60" s="46">
        <f t="shared" si="55"/>
        <v>22298</v>
      </c>
      <c r="BT60" s="46">
        <v>0</v>
      </c>
      <c r="BU60" s="46">
        <f t="shared" si="56"/>
        <v>221454</v>
      </c>
      <c r="BV60" s="46">
        <f t="shared" si="57"/>
        <v>22298</v>
      </c>
      <c r="BW60" s="46">
        <f t="shared" si="58"/>
        <v>381638</v>
      </c>
      <c r="BX60" s="46">
        <f t="shared" si="59"/>
        <v>62211</v>
      </c>
      <c r="BY60" s="46">
        <f t="shared" si="60"/>
        <v>-22298</v>
      </c>
      <c r="BZ60" s="46">
        <v>0</v>
      </c>
      <c r="CA60" s="46">
        <f t="shared" si="61"/>
        <v>421551</v>
      </c>
      <c r="CB60" s="46">
        <f t="shared" si="62"/>
        <v>0</v>
      </c>
      <c r="CC60" s="155">
        <f t="shared" si="66"/>
        <v>0</v>
      </c>
      <c r="CD60" s="79" t="s">
        <v>538</v>
      </c>
      <c r="CE60" s="65">
        <f t="shared" si="67"/>
        <v>221454</v>
      </c>
      <c r="CF60" s="65">
        <f t="shared" si="68"/>
        <v>221454</v>
      </c>
      <c r="CG60" s="65">
        <f t="shared" si="69"/>
        <v>218612</v>
      </c>
      <c r="CH60" s="65">
        <f t="shared" si="70"/>
        <v>221454</v>
      </c>
      <c r="CI60" s="65">
        <f t="shared" si="71"/>
        <v>691889</v>
      </c>
      <c r="CJ60" s="65">
        <f t="shared" si="72"/>
        <v>228061</v>
      </c>
      <c r="CK60" s="65">
        <f t="shared" si="73"/>
        <v>414952</v>
      </c>
      <c r="CL60" s="65">
        <f t="shared" si="74"/>
        <v>221454</v>
      </c>
      <c r="CM60" s="65">
        <f t="shared" si="75"/>
        <v>263785</v>
      </c>
      <c r="CN60" s="65">
        <f t="shared" si="76"/>
        <v>446520</v>
      </c>
      <c r="CO60" s="65">
        <f t="shared" si="77"/>
        <v>221454</v>
      </c>
      <c r="CP60" s="65">
        <f t="shared" si="78"/>
        <v>421551</v>
      </c>
      <c r="CQ60" s="40" t="s">
        <v>538</v>
      </c>
    </row>
    <row r="61" spans="1:95" ht="3" customHeight="1" x14ac:dyDescent="0.25">
      <c r="A61" s="39">
        <v>1</v>
      </c>
      <c r="B61" s="28">
        <v>5403</v>
      </c>
      <c r="C61" s="28" t="s">
        <v>94</v>
      </c>
      <c r="D61" s="48">
        <f>+DATA!Q59</f>
        <v>1568407.111</v>
      </c>
      <c r="E61" s="48">
        <f t="shared" si="63"/>
        <v>103253</v>
      </c>
      <c r="F61" s="48">
        <f t="shared" si="64"/>
        <v>156841</v>
      </c>
      <c r="G61" s="49">
        <f>VLOOKUP(B61,'CALC MEC ESTAB Y ESTIM M FINAL'!$B$7:$F$352,5,0)</f>
        <v>8.3977310849999993E-4</v>
      </c>
      <c r="H61" s="49">
        <f>VLOOKUP(B61,'CALC MEC ESTAB Y ESTIM M FINAL'!$B$7:$R$352,17,0)</f>
        <v>-4.9123063800000002E-5</v>
      </c>
      <c r="I61" s="46">
        <f t="shared" si="4"/>
        <v>65191</v>
      </c>
      <c r="J61" s="46">
        <f t="shared" si="5"/>
        <v>0</v>
      </c>
      <c r="K61" s="46">
        <f t="shared" si="65"/>
        <v>38062</v>
      </c>
      <c r="L61" s="46">
        <v>0</v>
      </c>
      <c r="M61" s="46">
        <f t="shared" si="6"/>
        <v>103253</v>
      </c>
      <c r="N61" s="46">
        <f t="shared" si="7"/>
        <v>38062</v>
      </c>
      <c r="O61" s="46">
        <f t="shared" si="8"/>
        <v>34666</v>
      </c>
      <c r="P61" s="46">
        <f t="shared" si="9"/>
        <v>0</v>
      </c>
      <c r="Q61" s="46">
        <f t="shared" si="10"/>
        <v>68587</v>
      </c>
      <c r="R61" s="46">
        <v>0</v>
      </c>
      <c r="S61" s="46">
        <f t="shared" si="11"/>
        <v>103253</v>
      </c>
      <c r="T61" s="46">
        <f t="shared" si="12"/>
        <v>106649</v>
      </c>
      <c r="U61" s="46">
        <f t="shared" si="13"/>
        <v>98895</v>
      </c>
      <c r="V61" s="46">
        <f t="shared" si="14"/>
        <v>0</v>
      </c>
      <c r="W61" s="46">
        <f t="shared" si="15"/>
        <v>0</v>
      </c>
      <c r="X61" s="46">
        <v>0</v>
      </c>
      <c r="Y61" s="46">
        <f t="shared" si="16"/>
        <v>98895</v>
      </c>
      <c r="Z61" s="46">
        <f t="shared" si="17"/>
        <v>106649</v>
      </c>
      <c r="AA61" s="46">
        <f t="shared" si="18"/>
        <v>52512</v>
      </c>
      <c r="AB61" s="46">
        <f t="shared" si="19"/>
        <v>0</v>
      </c>
      <c r="AC61" s="46">
        <f t="shared" si="20"/>
        <v>50741</v>
      </c>
      <c r="AD61" s="46">
        <v>0</v>
      </c>
      <c r="AE61" s="46">
        <f t="shared" si="21"/>
        <v>103253</v>
      </c>
      <c r="AF61" s="46">
        <f t="shared" si="22"/>
        <v>157390</v>
      </c>
      <c r="AG61" s="46">
        <f t="shared" si="23"/>
        <v>456950</v>
      </c>
      <c r="AH61" s="46">
        <f t="shared" si="24"/>
        <v>4218</v>
      </c>
      <c r="AI61" s="46">
        <f t="shared" si="25"/>
        <v>-157390</v>
      </c>
      <c r="AJ61" s="46">
        <v>0</v>
      </c>
      <c r="AK61" s="46">
        <f t="shared" si="26"/>
        <v>303778</v>
      </c>
      <c r="AL61" s="46">
        <f t="shared" si="27"/>
        <v>0</v>
      </c>
      <c r="AM61" s="46">
        <f t="shared" si="28"/>
        <v>90510</v>
      </c>
      <c r="AN61" s="46">
        <f t="shared" si="29"/>
        <v>2989</v>
      </c>
      <c r="AO61" s="46">
        <f t="shared" si="30"/>
        <v>12743</v>
      </c>
      <c r="AP61" s="46">
        <v>0</v>
      </c>
      <c r="AQ61" s="46">
        <f t="shared" si="31"/>
        <v>106242</v>
      </c>
      <c r="AR61" s="46">
        <f t="shared" si="32"/>
        <v>12743</v>
      </c>
      <c r="AS61" s="46">
        <f t="shared" si="33"/>
        <v>179918</v>
      </c>
      <c r="AT61" s="46">
        <f t="shared" si="34"/>
        <v>17467</v>
      </c>
      <c r="AU61" s="46">
        <f t="shared" si="35"/>
        <v>-12743</v>
      </c>
      <c r="AV61" s="46">
        <v>0</v>
      </c>
      <c r="AW61" s="46">
        <f t="shared" si="36"/>
        <v>184642</v>
      </c>
      <c r="AX61" s="46">
        <f t="shared" si="37"/>
        <v>0</v>
      </c>
      <c r="AY61" s="46">
        <f t="shared" si="38"/>
        <v>59430</v>
      </c>
      <c r="AZ61" s="46">
        <f t="shared" si="39"/>
        <v>0</v>
      </c>
      <c r="BA61" s="46">
        <f t="shared" si="40"/>
        <v>43823</v>
      </c>
      <c r="BB61" s="46"/>
      <c r="BC61" s="46">
        <f t="shared" si="41"/>
        <v>103253</v>
      </c>
      <c r="BD61" s="46">
        <f t="shared" si="42"/>
        <v>43823</v>
      </c>
      <c r="BE61" s="46">
        <f t="shared" si="43"/>
        <v>115048</v>
      </c>
      <c r="BF61" s="46">
        <f t="shared" si="44"/>
        <v>4282</v>
      </c>
      <c r="BG61" s="46">
        <f t="shared" si="45"/>
        <v>0</v>
      </c>
      <c r="BH61" s="46">
        <v>0</v>
      </c>
      <c r="BI61" s="46">
        <f t="shared" si="46"/>
        <v>119330</v>
      </c>
      <c r="BJ61" s="46">
        <f t="shared" si="47"/>
        <v>43823</v>
      </c>
      <c r="BK61" s="46">
        <f t="shared" si="48"/>
        <v>242746</v>
      </c>
      <c r="BL61" s="46">
        <f t="shared" si="49"/>
        <v>0</v>
      </c>
      <c r="BM61" s="46">
        <f t="shared" si="50"/>
        <v>-43823</v>
      </c>
      <c r="BN61" s="46">
        <v>0</v>
      </c>
      <c r="BO61" s="46">
        <f t="shared" si="51"/>
        <v>198923</v>
      </c>
      <c r="BP61" s="46">
        <f t="shared" si="52"/>
        <v>0</v>
      </c>
      <c r="BQ61" s="46">
        <f t="shared" si="53"/>
        <v>90094</v>
      </c>
      <c r="BR61" s="46">
        <f t="shared" si="54"/>
        <v>0</v>
      </c>
      <c r="BS61" s="46">
        <f t="shared" si="55"/>
        <v>13159</v>
      </c>
      <c r="BT61" s="46">
        <v>0</v>
      </c>
      <c r="BU61" s="46">
        <f t="shared" si="56"/>
        <v>103253</v>
      </c>
      <c r="BV61" s="46">
        <f t="shared" si="57"/>
        <v>13159</v>
      </c>
      <c r="BW61" s="46">
        <f t="shared" si="58"/>
        <v>172644</v>
      </c>
      <c r="BX61" s="46">
        <f t="shared" si="59"/>
        <v>28143</v>
      </c>
      <c r="BY61" s="46">
        <f t="shared" si="60"/>
        <v>-13159</v>
      </c>
      <c r="BZ61" s="46">
        <v>0</v>
      </c>
      <c r="CA61" s="46">
        <f t="shared" si="61"/>
        <v>187628</v>
      </c>
      <c r="CB61" s="46">
        <f t="shared" si="62"/>
        <v>0</v>
      </c>
      <c r="CC61" s="155">
        <f t="shared" si="66"/>
        <v>0</v>
      </c>
      <c r="CD61" s="79" t="s">
        <v>538</v>
      </c>
      <c r="CE61" s="65">
        <f t="shared" si="67"/>
        <v>103253</v>
      </c>
      <c r="CF61" s="65">
        <f t="shared" si="68"/>
        <v>103253</v>
      </c>
      <c r="CG61" s="65">
        <f t="shared" si="69"/>
        <v>98895</v>
      </c>
      <c r="CH61" s="65">
        <f t="shared" si="70"/>
        <v>103253</v>
      </c>
      <c r="CI61" s="65">
        <f t="shared" si="71"/>
        <v>303778</v>
      </c>
      <c r="CJ61" s="65">
        <f t="shared" si="72"/>
        <v>106242</v>
      </c>
      <c r="CK61" s="65">
        <f t="shared" si="73"/>
        <v>184642</v>
      </c>
      <c r="CL61" s="65">
        <f t="shared" si="74"/>
        <v>103253</v>
      </c>
      <c r="CM61" s="65">
        <f t="shared" si="75"/>
        <v>119330</v>
      </c>
      <c r="CN61" s="65">
        <f t="shared" si="76"/>
        <v>198923</v>
      </c>
      <c r="CO61" s="65">
        <f t="shared" si="77"/>
        <v>103253</v>
      </c>
      <c r="CP61" s="65">
        <f t="shared" si="78"/>
        <v>187628</v>
      </c>
      <c r="CQ61" s="40" t="s">
        <v>538</v>
      </c>
    </row>
    <row r="62" spans="1:95" ht="3" customHeight="1" x14ac:dyDescent="0.25">
      <c r="A62" s="39">
        <v>1</v>
      </c>
      <c r="B62" s="28">
        <v>5404</v>
      </c>
      <c r="C62" s="28" t="s">
        <v>91</v>
      </c>
      <c r="D62" s="48">
        <f>+DATA!Q60</f>
        <v>2302268.4419999998</v>
      </c>
      <c r="E62" s="48">
        <f t="shared" si="63"/>
        <v>151566</v>
      </c>
      <c r="F62" s="48">
        <f t="shared" si="64"/>
        <v>230227</v>
      </c>
      <c r="G62" s="49">
        <f>VLOOKUP(B62,'CALC MEC ESTAB Y ESTIM M FINAL'!$B$7:$F$352,5,0)</f>
        <v>1.3164872482999998E-3</v>
      </c>
      <c r="H62" s="49">
        <f>VLOOKUP(B62,'CALC MEC ESTAB Y ESTIM M FINAL'!$B$7:$R$352,17,0)</f>
        <v>-1.180346588E-4</v>
      </c>
      <c r="I62" s="46">
        <f t="shared" si="4"/>
        <v>98815</v>
      </c>
      <c r="J62" s="46">
        <f t="shared" si="5"/>
        <v>0</v>
      </c>
      <c r="K62" s="46">
        <f t="shared" si="65"/>
        <v>52751</v>
      </c>
      <c r="L62" s="46">
        <v>0</v>
      </c>
      <c r="M62" s="46">
        <f t="shared" si="6"/>
        <v>151566</v>
      </c>
      <c r="N62" s="46">
        <f t="shared" si="7"/>
        <v>52751</v>
      </c>
      <c r="O62" s="46">
        <f t="shared" si="8"/>
        <v>52546</v>
      </c>
      <c r="P62" s="46">
        <f t="shared" si="9"/>
        <v>0</v>
      </c>
      <c r="Q62" s="46">
        <f t="shared" si="10"/>
        <v>99020</v>
      </c>
      <c r="R62" s="46">
        <v>0</v>
      </c>
      <c r="S62" s="46">
        <f t="shared" si="11"/>
        <v>151566</v>
      </c>
      <c r="T62" s="46">
        <f t="shared" si="12"/>
        <v>151771</v>
      </c>
      <c r="U62" s="46">
        <f t="shared" si="13"/>
        <v>149903</v>
      </c>
      <c r="V62" s="46">
        <f t="shared" si="14"/>
        <v>0</v>
      </c>
      <c r="W62" s="46">
        <f t="shared" si="15"/>
        <v>0</v>
      </c>
      <c r="X62" s="46">
        <v>0</v>
      </c>
      <c r="Y62" s="46">
        <f t="shared" si="16"/>
        <v>149903</v>
      </c>
      <c r="Z62" s="46">
        <f t="shared" si="17"/>
        <v>151771</v>
      </c>
      <c r="AA62" s="46">
        <f t="shared" si="18"/>
        <v>79596</v>
      </c>
      <c r="AB62" s="46">
        <f t="shared" si="19"/>
        <v>0</v>
      </c>
      <c r="AC62" s="46">
        <f t="shared" si="20"/>
        <v>71970</v>
      </c>
      <c r="AD62" s="46">
        <v>0</v>
      </c>
      <c r="AE62" s="46">
        <f t="shared" si="21"/>
        <v>151566</v>
      </c>
      <c r="AF62" s="46">
        <f t="shared" si="22"/>
        <v>223741</v>
      </c>
      <c r="AG62" s="46">
        <f t="shared" si="23"/>
        <v>692637</v>
      </c>
      <c r="AH62" s="46">
        <f t="shared" si="24"/>
        <v>6393</v>
      </c>
      <c r="AI62" s="46">
        <f t="shared" si="25"/>
        <v>-223741</v>
      </c>
      <c r="AJ62" s="46">
        <v>0</v>
      </c>
      <c r="AK62" s="46">
        <f t="shared" si="26"/>
        <v>475289</v>
      </c>
      <c r="AL62" s="46">
        <f t="shared" si="27"/>
        <v>0</v>
      </c>
      <c r="AM62" s="46">
        <f t="shared" si="28"/>
        <v>137194</v>
      </c>
      <c r="AN62" s="46">
        <f t="shared" si="29"/>
        <v>4531</v>
      </c>
      <c r="AO62" s="46">
        <f t="shared" si="30"/>
        <v>14372</v>
      </c>
      <c r="AP62" s="46">
        <v>0</v>
      </c>
      <c r="AQ62" s="46">
        <f t="shared" si="31"/>
        <v>156097</v>
      </c>
      <c r="AR62" s="46">
        <f t="shared" si="32"/>
        <v>14372</v>
      </c>
      <c r="AS62" s="46">
        <f t="shared" si="33"/>
        <v>272717</v>
      </c>
      <c r="AT62" s="46">
        <f t="shared" si="34"/>
        <v>26476</v>
      </c>
      <c r="AU62" s="46">
        <f t="shared" si="35"/>
        <v>-14372</v>
      </c>
      <c r="AV62" s="46">
        <v>0</v>
      </c>
      <c r="AW62" s="46">
        <f t="shared" si="36"/>
        <v>284821</v>
      </c>
      <c r="AX62" s="46">
        <f t="shared" si="37"/>
        <v>0</v>
      </c>
      <c r="AY62" s="46">
        <f t="shared" si="38"/>
        <v>90082</v>
      </c>
      <c r="AZ62" s="46">
        <f t="shared" si="39"/>
        <v>0</v>
      </c>
      <c r="BA62" s="46">
        <f t="shared" si="40"/>
        <v>61484</v>
      </c>
      <c r="BB62" s="46"/>
      <c r="BC62" s="46">
        <f t="shared" si="41"/>
        <v>151566</v>
      </c>
      <c r="BD62" s="46">
        <f t="shared" si="42"/>
        <v>61484</v>
      </c>
      <c r="BE62" s="46">
        <f t="shared" si="43"/>
        <v>174388</v>
      </c>
      <c r="BF62" s="46">
        <f t="shared" si="44"/>
        <v>6491</v>
      </c>
      <c r="BG62" s="46">
        <f t="shared" si="45"/>
        <v>0</v>
      </c>
      <c r="BH62" s="46">
        <v>0</v>
      </c>
      <c r="BI62" s="46">
        <f t="shared" si="46"/>
        <v>180879</v>
      </c>
      <c r="BJ62" s="46">
        <f t="shared" si="47"/>
        <v>61484</v>
      </c>
      <c r="BK62" s="46">
        <f t="shared" si="48"/>
        <v>367950</v>
      </c>
      <c r="BL62" s="46">
        <f t="shared" si="49"/>
        <v>0</v>
      </c>
      <c r="BM62" s="46">
        <f t="shared" si="50"/>
        <v>-61484</v>
      </c>
      <c r="BN62" s="46">
        <v>0</v>
      </c>
      <c r="BO62" s="46">
        <f t="shared" si="51"/>
        <v>306466</v>
      </c>
      <c r="BP62" s="46">
        <f t="shared" si="52"/>
        <v>0</v>
      </c>
      <c r="BQ62" s="46">
        <f t="shared" si="53"/>
        <v>136562</v>
      </c>
      <c r="BR62" s="46">
        <f t="shared" si="54"/>
        <v>0</v>
      </c>
      <c r="BS62" s="46">
        <f t="shared" si="55"/>
        <v>15004</v>
      </c>
      <c r="BT62" s="46">
        <v>0</v>
      </c>
      <c r="BU62" s="46">
        <f t="shared" si="56"/>
        <v>151566</v>
      </c>
      <c r="BV62" s="46">
        <f t="shared" si="57"/>
        <v>15004</v>
      </c>
      <c r="BW62" s="46">
        <f t="shared" si="58"/>
        <v>261691</v>
      </c>
      <c r="BX62" s="46">
        <f t="shared" si="59"/>
        <v>42658</v>
      </c>
      <c r="BY62" s="46">
        <f t="shared" si="60"/>
        <v>-15004</v>
      </c>
      <c r="BZ62" s="46">
        <v>0</v>
      </c>
      <c r="CA62" s="46">
        <f t="shared" si="61"/>
        <v>289345</v>
      </c>
      <c r="CB62" s="46">
        <f t="shared" si="62"/>
        <v>0</v>
      </c>
      <c r="CC62" s="155">
        <f t="shared" si="66"/>
        <v>0</v>
      </c>
      <c r="CD62" s="79" t="s">
        <v>538</v>
      </c>
      <c r="CE62" s="65">
        <f t="shared" si="67"/>
        <v>151566</v>
      </c>
      <c r="CF62" s="65">
        <f t="shared" si="68"/>
        <v>151566</v>
      </c>
      <c r="CG62" s="65">
        <f t="shared" si="69"/>
        <v>149903</v>
      </c>
      <c r="CH62" s="65">
        <f t="shared" si="70"/>
        <v>151566</v>
      </c>
      <c r="CI62" s="65">
        <f t="shared" si="71"/>
        <v>475289</v>
      </c>
      <c r="CJ62" s="65">
        <f t="shared" si="72"/>
        <v>156097</v>
      </c>
      <c r="CK62" s="65">
        <f t="shared" si="73"/>
        <v>284821</v>
      </c>
      <c r="CL62" s="65">
        <f t="shared" si="74"/>
        <v>151566</v>
      </c>
      <c r="CM62" s="65">
        <f t="shared" si="75"/>
        <v>180879</v>
      </c>
      <c r="CN62" s="65">
        <f t="shared" si="76"/>
        <v>306466</v>
      </c>
      <c r="CO62" s="65">
        <f t="shared" si="77"/>
        <v>151566</v>
      </c>
      <c r="CP62" s="65">
        <f t="shared" si="78"/>
        <v>289345</v>
      </c>
      <c r="CQ62" s="40" t="s">
        <v>538</v>
      </c>
    </row>
    <row r="63" spans="1:95" ht="3" customHeight="1" x14ac:dyDescent="0.25">
      <c r="A63" s="39">
        <v>1</v>
      </c>
      <c r="B63" s="28">
        <v>5405</v>
      </c>
      <c r="C63" s="28" t="s">
        <v>93</v>
      </c>
      <c r="D63" s="48">
        <f>+DATA!Q61</f>
        <v>1498823.581</v>
      </c>
      <c r="E63" s="48">
        <f t="shared" si="63"/>
        <v>98673</v>
      </c>
      <c r="F63" s="48">
        <f t="shared" si="64"/>
        <v>149882</v>
      </c>
      <c r="G63" s="49">
        <f>VLOOKUP(B63,'CALC MEC ESTAB Y ESTIM M FINAL'!$B$7:$F$352,5,0)</f>
        <v>7.8789411909999997E-4</v>
      </c>
      <c r="H63" s="49">
        <f>VLOOKUP(B63,'CALC MEC ESTAB Y ESTIM M FINAL'!$B$7:$R$352,17,0)</f>
        <v>-3.8986933199999998E-5</v>
      </c>
      <c r="I63" s="46">
        <f t="shared" si="4"/>
        <v>61749</v>
      </c>
      <c r="J63" s="46">
        <f t="shared" si="5"/>
        <v>0</v>
      </c>
      <c r="K63" s="46">
        <f t="shared" si="65"/>
        <v>36924</v>
      </c>
      <c r="L63" s="46">
        <v>0</v>
      </c>
      <c r="M63" s="46">
        <f t="shared" si="6"/>
        <v>98673</v>
      </c>
      <c r="N63" s="46">
        <f t="shared" si="7"/>
        <v>36924</v>
      </c>
      <c r="O63" s="46">
        <f t="shared" si="8"/>
        <v>32836</v>
      </c>
      <c r="P63" s="46">
        <f t="shared" si="9"/>
        <v>0</v>
      </c>
      <c r="Q63" s="46">
        <f t="shared" si="10"/>
        <v>65837</v>
      </c>
      <c r="R63" s="46">
        <v>0</v>
      </c>
      <c r="S63" s="46">
        <f t="shared" si="11"/>
        <v>98673</v>
      </c>
      <c r="T63" s="46">
        <f t="shared" si="12"/>
        <v>102761</v>
      </c>
      <c r="U63" s="46">
        <f t="shared" si="13"/>
        <v>93674</v>
      </c>
      <c r="V63" s="46">
        <f t="shared" si="14"/>
        <v>0</v>
      </c>
      <c r="W63" s="46">
        <f t="shared" si="15"/>
        <v>0</v>
      </c>
      <c r="X63" s="46">
        <v>0</v>
      </c>
      <c r="Y63" s="46">
        <f t="shared" si="16"/>
        <v>93674</v>
      </c>
      <c r="Z63" s="46">
        <f t="shared" si="17"/>
        <v>102761</v>
      </c>
      <c r="AA63" s="46">
        <f t="shared" si="18"/>
        <v>49739</v>
      </c>
      <c r="AB63" s="46">
        <f t="shared" si="19"/>
        <v>0</v>
      </c>
      <c r="AC63" s="46">
        <f t="shared" si="20"/>
        <v>48934</v>
      </c>
      <c r="AD63" s="46">
        <v>0</v>
      </c>
      <c r="AE63" s="46">
        <f t="shared" si="21"/>
        <v>98673</v>
      </c>
      <c r="AF63" s="46">
        <f t="shared" si="22"/>
        <v>151695</v>
      </c>
      <c r="AG63" s="46">
        <f t="shared" si="23"/>
        <v>432825</v>
      </c>
      <c r="AH63" s="46">
        <f t="shared" si="24"/>
        <v>3995</v>
      </c>
      <c r="AI63" s="46">
        <f t="shared" si="25"/>
        <v>-151695</v>
      </c>
      <c r="AJ63" s="46">
        <v>0</v>
      </c>
      <c r="AK63" s="46">
        <f t="shared" si="26"/>
        <v>285125</v>
      </c>
      <c r="AL63" s="46">
        <f t="shared" si="27"/>
        <v>0</v>
      </c>
      <c r="AM63" s="46">
        <f t="shared" si="28"/>
        <v>85732</v>
      </c>
      <c r="AN63" s="46">
        <f t="shared" si="29"/>
        <v>2831</v>
      </c>
      <c r="AO63" s="46">
        <f t="shared" si="30"/>
        <v>12941</v>
      </c>
      <c r="AP63" s="46">
        <v>0</v>
      </c>
      <c r="AQ63" s="46">
        <f t="shared" si="31"/>
        <v>101504</v>
      </c>
      <c r="AR63" s="46">
        <f t="shared" si="32"/>
        <v>12941</v>
      </c>
      <c r="AS63" s="46">
        <f t="shared" si="33"/>
        <v>170419</v>
      </c>
      <c r="AT63" s="46">
        <f t="shared" si="34"/>
        <v>16545</v>
      </c>
      <c r="AU63" s="46">
        <f t="shared" si="35"/>
        <v>-12941</v>
      </c>
      <c r="AV63" s="46">
        <v>0</v>
      </c>
      <c r="AW63" s="46">
        <f t="shared" si="36"/>
        <v>174023</v>
      </c>
      <c r="AX63" s="46">
        <f t="shared" si="37"/>
        <v>0</v>
      </c>
      <c r="AY63" s="46">
        <f t="shared" si="38"/>
        <v>56292</v>
      </c>
      <c r="AZ63" s="46">
        <f t="shared" si="39"/>
        <v>0</v>
      </c>
      <c r="BA63" s="46">
        <f t="shared" si="40"/>
        <v>42381</v>
      </c>
      <c r="BB63" s="46"/>
      <c r="BC63" s="46">
        <f t="shared" si="41"/>
        <v>98673</v>
      </c>
      <c r="BD63" s="46">
        <f t="shared" si="42"/>
        <v>42381</v>
      </c>
      <c r="BE63" s="46">
        <f t="shared" si="43"/>
        <v>108974</v>
      </c>
      <c r="BF63" s="46">
        <f t="shared" si="44"/>
        <v>4056</v>
      </c>
      <c r="BG63" s="46">
        <f t="shared" si="45"/>
        <v>0</v>
      </c>
      <c r="BH63" s="46">
        <v>0</v>
      </c>
      <c r="BI63" s="46">
        <f t="shared" si="46"/>
        <v>113030</v>
      </c>
      <c r="BJ63" s="46">
        <f t="shared" si="47"/>
        <v>42381</v>
      </c>
      <c r="BK63" s="46">
        <f t="shared" si="48"/>
        <v>229930</v>
      </c>
      <c r="BL63" s="46">
        <f t="shared" si="49"/>
        <v>0</v>
      </c>
      <c r="BM63" s="46">
        <f t="shared" si="50"/>
        <v>-42381</v>
      </c>
      <c r="BN63" s="46">
        <v>0</v>
      </c>
      <c r="BO63" s="46">
        <f t="shared" si="51"/>
        <v>187549</v>
      </c>
      <c r="BP63" s="46">
        <f t="shared" si="52"/>
        <v>0</v>
      </c>
      <c r="BQ63" s="46">
        <f t="shared" si="53"/>
        <v>85337</v>
      </c>
      <c r="BR63" s="46">
        <f t="shared" si="54"/>
        <v>0</v>
      </c>
      <c r="BS63" s="46">
        <f t="shared" si="55"/>
        <v>13336</v>
      </c>
      <c r="BT63" s="46">
        <v>0</v>
      </c>
      <c r="BU63" s="46">
        <f t="shared" si="56"/>
        <v>98673</v>
      </c>
      <c r="BV63" s="46">
        <f t="shared" si="57"/>
        <v>13336</v>
      </c>
      <c r="BW63" s="46">
        <f t="shared" si="58"/>
        <v>163529</v>
      </c>
      <c r="BX63" s="46">
        <f t="shared" si="59"/>
        <v>26657</v>
      </c>
      <c r="BY63" s="46">
        <f t="shared" si="60"/>
        <v>-13336</v>
      </c>
      <c r="BZ63" s="46">
        <v>0</v>
      </c>
      <c r="CA63" s="46">
        <f t="shared" si="61"/>
        <v>176850</v>
      </c>
      <c r="CB63" s="46">
        <f t="shared" si="62"/>
        <v>0</v>
      </c>
      <c r="CC63" s="155">
        <f t="shared" si="66"/>
        <v>0</v>
      </c>
      <c r="CD63" s="79" t="s">
        <v>538</v>
      </c>
      <c r="CE63" s="65">
        <f t="shared" si="67"/>
        <v>98673</v>
      </c>
      <c r="CF63" s="65">
        <f t="shared" si="68"/>
        <v>98673</v>
      </c>
      <c r="CG63" s="65">
        <f t="shared" si="69"/>
        <v>93674</v>
      </c>
      <c r="CH63" s="65">
        <f t="shared" si="70"/>
        <v>98673</v>
      </c>
      <c r="CI63" s="65">
        <f t="shared" si="71"/>
        <v>285125</v>
      </c>
      <c r="CJ63" s="65">
        <f t="shared" si="72"/>
        <v>101504</v>
      </c>
      <c r="CK63" s="65">
        <f t="shared" si="73"/>
        <v>174023</v>
      </c>
      <c r="CL63" s="65">
        <f t="shared" si="74"/>
        <v>98673</v>
      </c>
      <c r="CM63" s="65">
        <f t="shared" si="75"/>
        <v>113030</v>
      </c>
      <c r="CN63" s="65">
        <f t="shared" si="76"/>
        <v>187549</v>
      </c>
      <c r="CO63" s="65">
        <f t="shared" si="77"/>
        <v>98673</v>
      </c>
      <c r="CP63" s="65">
        <f t="shared" si="78"/>
        <v>176850</v>
      </c>
      <c r="CQ63" s="40" t="s">
        <v>538</v>
      </c>
    </row>
    <row r="64" spans="1:95" ht="3" customHeight="1" x14ac:dyDescent="0.25">
      <c r="A64" s="39">
        <v>1</v>
      </c>
      <c r="B64" s="28">
        <v>5501</v>
      </c>
      <c r="C64" s="28" t="s">
        <v>105</v>
      </c>
      <c r="D64" s="48">
        <f>+DATA!Q62</f>
        <v>9479941.1699999999</v>
      </c>
      <c r="E64" s="48">
        <f t="shared" si="63"/>
        <v>624096</v>
      </c>
      <c r="F64" s="48">
        <f t="shared" si="64"/>
        <v>947994</v>
      </c>
      <c r="G64" s="49">
        <f>VLOOKUP(B64,'CALC MEC ESTAB Y ESTIM M FINAL'!$B$7:$F$352,5,0)</f>
        <v>4.9125323882999996E-3</v>
      </c>
      <c r="H64" s="49">
        <f>VLOOKUP(B64,'CALC MEC ESTAB Y ESTIM M FINAL'!$B$7:$R$352,17,0)</f>
        <v>-2.072798179E-4</v>
      </c>
      <c r="I64" s="46">
        <f t="shared" si="4"/>
        <v>387958</v>
      </c>
      <c r="J64" s="46">
        <f t="shared" si="5"/>
        <v>0</v>
      </c>
      <c r="K64" s="46">
        <f t="shared" si="65"/>
        <v>236138</v>
      </c>
      <c r="L64" s="46">
        <v>0</v>
      </c>
      <c r="M64" s="46">
        <f t="shared" si="6"/>
        <v>624096</v>
      </c>
      <c r="N64" s="46">
        <f t="shared" si="7"/>
        <v>236138</v>
      </c>
      <c r="O64" s="46">
        <f t="shared" si="8"/>
        <v>206303</v>
      </c>
      <c r="P64" s="46">
        <f t="shared" si="9"/>
        <v>0</v>
      </c>
      <c r="Q64" s="46">
        <f t="shared" si="10"/>
        <v>417793</v>
      </c>
      <c r="R64" s="46">
        <v>0</v>
      </c>
      <c r="S64" s="46">
        <f t="shared" si="11"/>
        <v>624096</v>
      </c>
      <c r="T64" s="46">
        <f t="shared" si="12"/>
        <v>653931</v>
      </c>
      <c r="U64" s="46">
        <f t="shared" si="13"/>
        <v>588536</v>
      </c>
      <c r="V64" s="46">
        <f t="shared" si="14"/>
        <v>0</v>
      </c>
      <c r="W64" s="46">
        <f t="shared" si="15"/>
        <v>0</v>
      </c>
      <c r="X64" s="46">
        <v>0</v>
      </c>
      <c r="Y64" s="46">
        <f t="shared" si="16"/>
        <v>588536</v>
      </c>
      <c r="Z64" s="46">
        <f t="shared" si="17"/>
        <v>653931</v>
      </c>
      <c r="AA64" s="46">
        <f t="shared" si="18"/>
        <v>312504</v>
      </c>
      <c r="AB64" s="46">
        <f t="shared" si="19"/>
        <v>0</v>
      </c>
      <c r="AC64" s="46">
        <f t="shared" si="20"/>
        <v>311592</v>
      </c>
      <c r="AD64" s="46">
        <v>0</v>
      </c>
      <c r="AE64" s="46">
        <f t="shared" si="21"/>
        <v>624096</v>
      </c>
      <c r="AF64" s="46">
        <f t="shared" si="22"/>
        <v>965523</v>
      </c>
      <c r="AG64" s="46">
        <f t="shared" si="23"/>
        <v>2719366</v>
      </c>
      <c r="AH64" s="46">
        <f t="shared" si="24"/>
        <v>25099</v>
      </c>
      <c r="AI64" s="46">
        <f t="shared" si="25"/>
        <v>-965523</v>
      </c>
      <c r="AJ64" s="46">
        <v>0</v>
      </c>
      <c r="AK64" s="46">
        <f t="shared" si="26"/>
        <v>1778942</v>
      </c>
      <c r="AL64" s="46">
        <f t="shared" si="27"/>
        <v>0</v>
      </c>
      <c r="AM64" s="46">
        <f t="shared" si="28"/>
        <v>538637</v>
      </c>
      <c r="AN64" s="46">
        <f t="shared" si="29"/>
        <v>17788</v>
      </c>
      <c r="AO64" s="46">
        <f t="shared" si="30"/>
        <v>85459</v>
      </c>
      <c r="AP64" s="46">
        <v>0</v>
      </c>
      <c r="AQ64" s="46">
        <f t="shared" si="31"/>
        <v>641884</v>
      </c>
      <c r="AR64" s="46">
        <f t="shared" si="32"/>
        <v>85459</v>
      </c>
      <c r="AS64" s="46">
        <f t="shared" si="33"/>
        <v>1070714</v>
      </c>
      <c r="AT64" s="46">
        <f t="shared" si="34"/>
        <v>103947</v>
      </c>
      <c r="AU64" s="46">
        <f t="shared" si="35"/>
        <v>-85459</v>
      </c>
      <c r="AV64" s="46">
        <v>0</v>
      </c>
      <c r="AW64" s="46">
        <f t="shared" si="36"/>
        <v>1089202</v>
      </c>
      <c r="AX64" s="46">
        <f t="shared" si="37"/>
        <v>0</v>
      </c>
      <c r="AY64" s="46">
        <f t="shared" si="38"/>
        <v>353673</v>
      </c>
      <c r="AZ64" s="46">
        <f t="shared" si="39"/>
        <v>0</v>
      </c>
      <c r="BA64" s="46">
        <f t="shared" si="40"/>
        <v>270423</v>
      </c>
      <c r="BB64" s="46"/>
      <c r="BC64" s="46">
        <f t="shared" si="41"/>
        <v>624096</v>
      </c>
      <c r="BD64" s="46">
        <f t="shared" si="42"/>
        <v>270423</v>
      </c>
      <c r="BE64" s="46">
        <f t="shared" si="43"/>
        <v>684665</v>
      </c>
      <c r="BF64" s="46">
        <f t="shared" si="44"/>
        <v>25483</v>
      </c>
      <c r="BG64" s="46">
        <f t="shared" si="45"/>
        <v>0</v>
      </c>
      <c r="BH64" s="46">
        <v>0</v>
      </c>
      <c r="BI64" s="46">
        <f t="shared" si="46"/>
        <v>710148</v>
      </c>
      <c r="BJ64" s="46">
        <f t="shared" si="47"/>
        <v>270423</v>
      </c>
      <c r="BK64" s="46">
        <f t="shared" si="48"/>
        <v>1444613</v>
      </c>
      <c r="BL64" s="46">
        <f t="shared" si="49"/>
        <v>0</v>
      </c>
      <c r="BM64" s="46">
        <f t="shared" si="50"/>
        <v>-270423</v>
      </c>
      <c r="BN64" s="46">
        <v>0</v>
      </c>
      <c r="BO64" s="46">
        <f t="shared" si="51"/>
        <v>1174190</v>
      </c>
      <c r="BP64" s="46">
        <f t="shared" si="52"/>
        <v>0</v>
      </c>
      <c r="BQ64" s="46">
        <f t="shared" si="53"/>
        <v>536158</v>
      </c>
      <c r="BR64" s="46">
        <f t="shared" si="54"/>
        <v>0</v>
      </c>
      <c r="BS64" s="46">
        <f t="shared" si="55"/>
        <v>87938</v>
      </c>
      <c r="BT64" s="46">
        <v>0</v>
      </c>
      <c r="BU64" s="46">
        <f t="shared" si="56"/>
        <v>624096</v>
      </c>
      <c r="BV64" s="46">
        <f t="shared" si="57"/>
        <v>87938</v>
      </c>
      <c r="BW64" s="46">
        <f t="shared" si="58"/>
        <v>1027426</v>
      </c>
      <c r="BX64" s="46">
        <f t="shared" si="59"/>
        <v>167481</v>
      </c>
      <c r="BY64" s="46">
        <f t="shared" si="60"/>
        <v>-87938</v>
      </c>
      <c r="BZ64" s="46">
        <v>0</v>
      </c>
      <c r="CA64" s="46">
        <f t="shared" si="61"/>
        <v>1106969</v>
      </c>
      <c r="CB64" s="46">
        <f t="shared" si="62"/>
        <v>0</v>
      </c>
      <c r="CC64" s="155">
        <f t="shared" si="66"/>
        <v>0</v>
      </c>
      <c r="CD64" s="79" t="s">
        <v>538</v>
      </c>
      <c r="CE64" s="65">
        <f t="shared" si="67"/>
        <v>624096</v>
      </c>
      <c r="CF64" s="65">
        <f t="shared" si="68"/>
        <v>624096</v>
      </c>
      <c r="CG64" s="65">
        <f t="shared" si="69"/>
        <v>588536</v>
      </c>
      <c r="CH64" s="65">
        <f t="shared" si="70"/>
        <v>624096</v>
      </c>
      <c r="CI64" s="65">
        <f t="shared" si="71"/>
        <v>1778942</v>
      </c>
      <c r="CJ64" s="65">
        <f t="shared" si="72"/>
        <v>641884</v>
      </c>
      <c r="CK64" s="65">
        <f t="shared" si="73"/>
        <v>1089202</v>
      </c>
      <c r="CL64" s="65">
        <f t="shared" si="74"/>
        <v>624096</v>
      </c>
      <c r="CM64" s="65">
        <f t="shared" si="75"/>
        <v>710148</v>
      </c>
      <c r="CN64" s="65">
        <f t="shared" si="76"/>
        <v>1174190</v>
      </c>
      <c r="CO64" s="65">
        <f t="shared" si="77"/>
        <v>624096</v>
      </c>
      <c r="CP64" s="65">
        <f t="shared" si="78"/>
        <v>1106969</v>
      </c>
      <c r="CQ64" s="40" t="s">
        <v>538</v>
      </c>
    </row>
    <row r="65" spans="1:95" ht="3" customHeight="1" x14ac:dyDescent="0.25">
      <c r="A65" s="39">
        <v>1</v>
      </c>
      <c r="B65" s="28">
        <v>5502</v>
      </c>
      <c r="C65" s="28" t="s">
        <v>108</v>
      </c>
      <c r="D65" s="48">
        <f>+DATA!Q63</f>
        <v>6246648.0159999998</v>
      </c>
      <c r="E65" s="48">
        <f t="shared" si="63"/>
        <v>411238</v>
      </c>
      <c r="F65" s="48">
        <f t="shared" si="64"/>
        <v>624665</v>
      </c>
      <c r="G65" s="49">
        <f>VLOOKUP(B65,'CALC MEC ESTAB Y ESTIM M FINAL'!$B$7:$F$352,5,0)</f>
        <v>3.0011270000000001E-3</v>
      </c>
      <c r="H65" s="49">
        <f>VLOOKUP(B65,'CALC MEC ESTAB Y ESTIM M FINAL'!$B$7:$R$352,17,0)</f>
        <v>-7.9602270999999992E-6</v>
      </c>
      <c r="I65" s="46">
        <f t="shared" si="4"/>
        <v>246793</v>
      </c>
      <c r="J65" s="46">
        <f t="shared" si="5"/>
        <v>0</v>
      </c>
      <c r="K65" s="46">
        <f t="shared" si="65"/>
        <v>164445</v>
      </c>
      <c r="L65" s="46">
        <v>0</v>
      </c>
      <c r="M65" s="46">
        <f t="shared" si="6"/>
        <v>411238</v>
      </c>
      <c r="N65" s="46">
        <f t="shared" si="7"/>
        <v>164445</v>
      </c>
      <c r="O65" s="46">
        <f t="shared" si="8"/>
        <v>131236</v>
      </c>
      <c r="P65" s="46">
        <f t="shared" si="9"/>
        <v>0</v>
      </c>
      <c r="Q65" s="46">
        <f t="shared" si="10"/>
        <v>280002</v>
      </c>
      <c r="R65" s="46">
        <v>0</v>
      </c>
      <c r="S65" s="46">
        <f t="shared" si="11"/>
        <v>411238</v>
      </c>
      <c r="T65" s="46">
        <f t="shared" si="12"/>
        <v>444447</v>
      </c>
      <c r="U65" s="46">
        <f t="shared" si="13"/>
        <v>374387</v>
      </c>
      <c r="V65" s="46">
        <f t="shared" si="14"/>
        <v>0</v>
      </c>
      <c r="W65" s="46">
        <f t="shared" si="15"/>
        <v>0</v>
      </c>
      <c r="X65" s="46">
        <v>0</v>
      </c>
      <c r="Y65" s="46">
        <f t="shared" si="16"/>
        <v>374387</v>
      </c>
      <c r="Z65" s="46">
        <f t="shared" si="17"/>
        <v>444447</v>
      </c>
      <c r="AA65" s="46">
        <f t="shared" si="18"/>
        <v>198794</v>
      </c>
      <c r="AB65" s="46">
        <f t="shared" si="19"/>
        <v>0</v>
      </c>
      <c r="AC65" s="46">
        <f t="shared" si="20"/>
        <v>212444</v>
      </c>
      <c r="AD65" s="46">
        <v>0</v>
      </c>
      <c r="AE65" s="46">
        <f t="shared" si="21"/>
        <v>411238</v>
      </c>
      <c r="AF65" s="46">
        <f t="shared" si="22"/>
        <v>656891</v>
      </c>
      <c r="AG65" s="46">
        <f t="shared" si="23"/>
        <v>1729879</v>
      </c>
      <c r="AH65" s="46">
        <f t="shared" si="24"/>
        <v>15966</v>
      </c>
      <c r="AI65" s="46">
        <f t="shared" si="25"/>
        <v>-656891</v>
      </c>
      <c r="AJ65" s="46">
        <v>0</v>
      </c>
      <c r="AK65" s="46">
        <f t="shared" si="26"/>
        <v>1088954</v>
      </c>
      <c r="AL65" s="46">
        <f t="shared" si="27"/>
        <v>0</v>
      </c>
      <c r="AM65" s="46">
        <f t="shared" si="28"/>
        <v>342645</v>
      </c>
      <c r="AN65" s="46">
        <f t="shared" si="29"/>
        <v>11315</v>
      </c>
      <c r="AO65" s="46">
        <f t="shared" si="30"/>
        <v>68593</v>
      </c>
      <c r="AP65" s="46">
        <v>0</v>
      </c>
      <c r="AQ65" s="46">
        <f t="shared" si="31"/>
        <v>422553</v>
      </c>
      <c r="AR65" s="46">
        <f t="shared" si="32"/>
        <v>68593</v>
      </c>
      <c r="AS65" s="46">
        <f t="shared" si="33"/>
        <v>681117</v>
      </c>
      <c r="AT65" s="46">
        <f t="shared" si="34"/>
        <v>66124</v>
      </c>
      <c r="AU65" s="46">
        <f t="shared" si="35"/>
        <v>-56452</v>
      </c>
      <c r="AV65" s="46">
        <v>0</v>
      </c>
      <c r="AW65" s="46">
        <f t="shared" si="36"/>
        <v>690789</v>
      </c>
      <c r="AX65" s="46">
        <f t="shared" si="37"/>
        <v>12141</v>
      </c>
      <c r="AY65" s="46">
        <f t="shared" si="38"/>
        <v>224983</v>
      </c>
      <c r="AZ65" s="46">
        <f t="shared" si="39"/>
        <v>0</v>
      </c>
      <c r="BA65" s="46">
        <f t="shared" si="40"/>
        <v>186255</v>
      </c>
      <c r="BB65" s="46"/>
      <c r="BC65" s="46">
        <f t="shared" si="41"/>
        <v>411238</v>
      </c>
      <c r="BD65" s="46">
        <f t="shared" si="42"/>
        <v>198396</v>
      </c>
      <c r="BE65" s="46">
        <f t="shared" si="43"/>
        <v>435538</v>
      </c>
      <c r="BF65" s="46">
        <f t="shared" si="44"/>
        <v>16210</v>
      </c>
      <c r="BG65" s="46">
        <f t="shared" si="45"/>
        <v>0</v>
      </c>
      <c r="BH65" s="46">
        <v>0</v>
      </c>
      <c r="BI65" s="46">
        <f t="shared" si="46"/>
        <v>451748</v>
      </c>
      <c r="BJ65" s="46">
        <f t="shared" si="47"/>
        <v>198396</v>
      </c>
      <c r="BK65" s="46">
        <f t="shared" si="48"/>
        <v>918966</v>
      </c>
      <c r="BL65" s="46">
        <f t="shared" si="49"/>
        <v>0</v>
      </c>
      <c r="BM65" s="46">
        <f t="shared" si="50"/>
        <v>-198396</v>
      </c>
      <c r="BN65" s="46">
        <v>0</v>
      </c>
      <c r="BO65" s="46">
        <f t="shared" si="51"/>
        <v>720570</v>
      </c>
      <c r="BP65" s="46">
        <f t="shared" si="52"/>
        <v>0</v>
      </c>
      <c r="BQ65" s="46">
        <f t="shared" si="53"/>
        <v>341068</v>
      </c>
      <c r="BR65" s="46">
        <f t="shared" si="54"/>
        <v>0</v>
      </c>
      <c r="BS65" s="46">
        <f t="shared" si="55"/>
        <v>70170</v>
      </c>
      <c r="BT65" s="46">
        <v>0</v>
      </c>
      <c r="BU65" s="46">
        <f t="shared" si="56"/>
        <v>411238</v>
      </c>
      <c r="BV65" s="46">
        <f t="shared" si="57"/>
        <v>70170</v>
      </c>
      <c r="BW65" s="46">
        <f t="shared" si="58"/>
        <v>653580</v>
      </c>
      <c r="BX65" s="46">
        <f t="shared" si="59"/>
        <v>106540</v>
      </c>
      <c r="BY65" s="46">
        <f t="shared" si="60"/>
        <v>-70170</v>
      </c>
      <c r="BZ65" s="46">
        <v>0</v>
      </c>
      <c r="CA65" s="46">
        <f t="shared" si="61"/>
        <v>689950</v>
      </c>
      <c r="CB65" s="46">
        <f t="shared" si="62"/>
        <v>0</v>
      </c>
      <c r="CC65" s="155">
        <f t="shared" si="66"/>
        <v>0</v>
      </c>
      <c r="CD65" s="79" t="s">
        <v>538</v>
      </c>
      <c r="CE65" s="65">
        <f t="shared" si="67"/>
        <v>411238</v>
      </c>
      <c r="CF65" s="65">
        <f t="shared" si="68"/>
        <v>411238</v>
      </c>
      <c r="CG65" s="65">
        <f t="shared" si="69"/>
        <v>374387</v>
      </c>
      <c r="CH65" s="65">
        <f t="shared" si="70"/>
        <v>411238</v>
      </c>
      <c r="CI65" s="65">
        <f t="shared" si="71"/>
        <v>1088954</v>
      </c>
      <c r="CJ65" s="65">
        <f t="shared" si="72"/>
        <v>422553</v>
      </c>
      <c r="CK65" s="65">
        <f t="shared" si="73"/>
        <v>690789</v>
      </c>
      <c r="CL65" s="65">
        <f t="shared" si="74"/>
        <v>411238</v>
      </c>
      <c r="CM65" s="65">
        <f t="shared" si="75"/>
        <v>451748</v>
      </c>
      <c r="CN65" s="65">
        <f t="shared" si="76"/>
        <v>720570</v>
      </c>
      <c r="CO65" s="65">
        <f t="shared" si="77"/>
        <v>411238</v>
      </c>
      <c r="CP65" s="65">
        <f t="shared" si="78"/>
        <v>689950</v>
      </c>
      <c r="CQ65" s="40" t="s">
        <v>538</v>
      </c>
    </row>
    <row r="66" spans="1:95" ht="3" customHeight="1" x14ac:dyDescent="0.25">
      <c r="A66" s="39">
        <v>1</v>
      </c>
      <c r="B66" s="28">
        <v>5503</v>
      </c>
      <c r="C66" s="28" t="s">
        <v>107</v>
      </c>
      <c r="D66" s="48">
        <f>+DATA!Q64</f>
        <v>2839445.0269999998</v>
      </c>
      <c r="E66" s="48">
        <f t="shared" si="63"/>
        <v>186930</v>
      </c>
      <c r="F66" s="48">
        <f t="shared" si="64"/>
        <v>283945</v>
      </c>
      <c r="G66" s="49">
        <f>VLOOKUP(B66,'CALC MEC ESTAB Y ESTIM M FINAL'!$B$7:$F$352,5,0)</f>
        <v>1.5758481016999999E-3</v>
      </c>
      <c r="H66" s="49">
        <f>VLOOKUP(B66,'CALC MEC ESTAB Y ESTIM M FINAL'!$B$7:$R$352,17,0)</f>
        <v>-1.189697054E-4</v>
      </c>
      <c r="I66" s="46">
        <f t="shared" si="4"/>
        <v>120123</v>
      </c>
      <c r="J66" s="46">
        <f t="shared" si="5"/>
        <v>0</v>
      </c>
      <c r="K66" s="46">
        <f t="shared" si="65"/>
        <v>66807</v>
      </c>
      <c r="L66" s="46">
        <v>0</v>
      </c>
      <c r="M66" s="46">
        <f t="shared" si="6"/>
        <v>186930</v>
      </c>
      <c r="N66" s="46">
        <f t="shared" si="7"/>
        <v>66807</v>
      </c>
      <c r="O66" s="46">
        <f t="shared" si="8"/>
        <v>63877</v>
      </c>
      <c r="P66" s="46">
        <f t="shared" si="9"/>
        <v>0</v>
      </c>
      <c r="Q66" s="46">
        <f t="shared" si="10"/>
        <v>123053</v>
      </c>
      <c r="R66" s="46">
        <v>0</v>
      </c>
      <c r="S66" s="46">
        <f t="shared" si="11"/>
        <v>186930</v>
      </c>
      <c r="T66" s="46">
        <f t="shared" si="12"/>
        <v>189860</v>
      </c>
      <c r="U66" s="46">
        <f t="shared" si="13"/>
        <v>182227</v>
      </c>
      <c r="V66" s="46">
        <f t="shared" si="14"/>
        <v>0</v>
      </c>
      <c r="W66" s="46">
        <f t="shared" si="15"/>
        <v>0</v>
      </c>
      <c r="X66" s="46">
        <v>0</v>
      </c>
      <c r="Y66" s="46">
        <f t="shared" si="16"/>
        <v>182227</v>
      </c>
      <c r="Z66" s="46">
        <f t="shared" si="17"/>
        <v>189860</v>
      </c>
      <c r="AA66" s="46">
        <f t="shared" si="18"/>
        <v>96760</v>
      </c>
      <c r="AB66" s="46">
        <f t="shared" si="19"/>
        <v>0</v>
      </c>
      <c r="AC66" s="46">
        <f t="shared" si="20"/>
        <v>90170</v>
      </c>
      <c r="AD66" s="46">
        <v>0</v>
      </c>
      <c r="AE66" s="46">
        <f t="shared" si="21"/>
        <v>186930</v>
      </c>
      <c r="AF66" s="46">
        <f t="shared" si="22"/>
        <v>280030</v>
      </c>
      <c r="AG66" s="46">
        <f t="shared" si="23"/>
        <v>841992</v>
      </c>
      <c r="AH66" s="46">
        <f t="shared" si="24"/>
        <v>7771</v>
      </c>
      <c r="AI66" s="46">
        <f t="shared" si="25"/>
        <v>-280030</v>
      </c>
      <c r="AJ66" s="46">
        <v>0</v>
      </c>
      <c r="AK66" s="46">
        <f t="shared" si="26"/>
        <v>569733</v>
      </c>
      <c r="AL66" s="46">
        <f t="shared" si="27"/>
        <v>0</v>
      </c>
      <c r="AM66" s="46">
        <f t="shared" si="28"/>
        <v>166777</v>
      </c>
      <c r="AN66" s="46">
        <f t="shared" si="29"/>
        <v>5508</v>
      </c>
      <c r="AO66" s="46">
        <f t="shared" si="30"/>
        <v>20153</v>
      </c>
      <c r="AP66" s="46">
        <v>0</v>
      </c>
      <c r="AQ66" s="46">
        <f t="shared" si="31"/>
        <v>192438</v>
      </c>
      <c r="AR66" s="46">
        <f t="shared" si="32"/>
        <v>20153</v>
      </c>
      <c r="AS66" s="46">
        <f t="shared" si="33"/>
        <v>331523</v>
      </c>
      <c r="AT66" s="46">
        <f t="shared" si="34"/>
        <v>32185</v>
      </c>
      <c r="AU66" s="46">
        <f t="shared" si="35"/>
        <v>-20153</v>
      </c>
      <c r="AV66" s="46">
        <v>0</v>
      </c>
      <c r="AW66" s="46">
        <f t="shared" si="36"/>
        <v>343555</v>
      </c>
      <c r="AX66" s="46">
        <f t="shared" si="37"/>
        <v>0</v>
      </c>
      <c r="AY66" s="46">
        <f t="shared" si="38"/>
        <v>109507</v>
      </c>
      <c r="AZ66" s="46">
        <f t="shared" si="39"/>
        <v>0</v>
      </c>
      <c r="BA66" s="46">
        <f t="shared" si="40"/>
        <v>77423</v>
      </c>
      <c r="BB66" s="46"/>
      <c r="BC66" s="46">
        <f t="shared" si="41"/>
        <v>186930</v>
      </c>
      <c r="BD66" s="46">
        <f t="shared" si="42"/>
        <v>77423</v>
      </c>
      <c r="BE66" s="46">
        <f t="shared" si="43"/>
        <v>211991</v>
      </c>
      <c r="BF66" s="46">
        <f t="shared" si="44"/>
        <v>7890</v>
      </c>
      <c r="BG66" s="46">
        <f t="shared" si="45"/>
        <v>0</v>
      </c>
      <c r="BH66" s="46">
        <v>0</v>
      </c>
      <c r="BI66" s="46">
        <f t="shared" si="46"/>
        <v>219881</v>
      </c>
      <c r="BJ66" s="46">
        <f t="shared" si="47"/>
        <v>77423</v>
      </c>
      <c r="BK66" s="46">
        <f t="shared" si="48"/>
        <v>447293</v>
      </c>
      <c r="BL66" s="46">
        <f t="shared" si="49"/>
        <v>0</v>
      </c>
      <c r="BM66" s="46">
        <f t="shared" si="50"/>
        <v>-77423</v>
      </c>
      <c r="BN66" s="46">
        <v>0</v>
      </c>
      <c r="BO66" s="46">
        <f t="shared" si="51"/>
        <v>369870</v>
      </c>
      <c r="BP66" s="46">
        <f t="shared" si="52"/>
        <v>0</v>
      </c>
      <c r="BQ66" s="46">
        <f t="shared" si="53"/>
        <v>166009</v>
      </c>
      <c r="BR66" s="46">
        <f t="shared" si="54"/>
        <v>0</v>
      </c>
      <c r="BS66" s="46">
        <f t="shared" si="55"/>
        <v>20921</v>
      </c>
      <c r="BT66" s="46">
        <v>0</v>
      </c>
      <c r="BU66" s="46">
        <f t="shared" si="56"/>
        <v>186930</v>
      </c>
      <c r="BV66" s="46">
        <f t="shared" si="57"/>
        <v>20921</v>
      </c>
      <c r="BW66" s="46">
        <f t="shared" si="58"/>
        <v>318120</v>
      </c>
      <c r="BX66" s="46">
        <f t="shared" si="59"/>
        <v>51857</v>
      </c>
      <c r="BY66" s="46">
        <f t="shared" si="60"/>
        <v>-20921</v>
      </c>
      <c r="BZ66" s="46">
        <v>0</v>
      </c>
      <c r="CA66" s="46">
        <f t="shared" si="61"/>
        <v>349056</v>
      </c>
      <c r="CB66" s="46">
        <f t="shared" si="62"/>
        <v>0</v>
      </c>
      <c r="CC66" s="155">
        <f t="shared" si="66"/>
        <v>0</v>
      </c>
      <c r="CD66" s="79" t="s">
        <v>538</v>
      </c>
      <c r="CE66" s="65">
        <f t="shared" si="67"/>
        <v>186930</v>
      </c>
      <c r="CF66" s="65">
        <f t="shared" si="68"/>
        <v>186930</v>
      </c>
      <c r="CG66" s="65">
        <f t="shared" si="69"/>
        <v>182227</v>
      </c>
      <c r="CH66" s="65">
        <f t="shared" si="70"/>
        <v>186930</v>
      </c>
      <c r="CI66" s="65">
        <f t="shared" si="71"/>
        <v>569733</v>
      </c>
      <c r="CJ66" s="65">
        <f t="shared" si="72"/>
        <v>192438</v>
      </c>
      <c r="CK66" s="65">
        <f t="shared" si="73"/>
        <v>343555</v>
      </c>
      <c r="CL66" s="65">
        <f t="shared" si="74"/>
        <v>186930</v>
      </c>
      <c r="CM66" s="65">
        <f t="shared" si="75"/>
        <v>219881</v>
      </c>
      <c r="CN66" s="65">
        <f t="shared" si="76"/>
        <v>369870</v>
      </c>
      <c r="CO66" s="65">
        <f t="shared" si="77"/>
        <v>186930</v>
      </c>
      <c r="CP66" s="65">
        <f t="shared" si="78"/>
        <v>349056</v>
      </c>
      <c r="CQ66" s="40" t="s">
        <v>538</v>
      </c>
    </row>
    <row r="67" spans="1:95" ht="3" customHeight="1" x14ac:dyDescent="0.25">
      <c r="A67" s="39">
        <v>1</v>
      </c>
      <c r="B67" s="28">
        <v>5504</v>
      </c>
      <c r="C67" s="28" t="s">
        <v>109</v>
      </c>
      <c r="D67" s="48">
        <f>+DATA!Q65</f>
        <v>2898347.5759999999</v>
      </c>
      <c r="E67" s="48">
        <f t="shared" si="63"/>
        <v>190808</v>
      </c>
      <c r="F67" s="48">
        <f t="shared" si="64"/>
        <v>289835</v>
      </c>
      <c r="G67" s="49">
        <f>VLOOKUP(B67,'CALC MEC ESTAB Y ESTIM M FINAL'!$B$7:$F$352,5,0)</f>
        <v>1.5442511086E-3</v>
      </c>
      <c r="H67" s="49">
        <f>VLOOKUP(B67,'CALC MEC ESTAB Y ESTIM M FINAL'!$B$7:$R$352,17,0)</f>
        <v>-8.7143594300000002E-5</v>
      </c>
      <c r="I67" s="46">
        <f t="shared" si="4"/>
        <v>120142</v>
      </c>
      <c r="J67" s="46">
        <f t="shared" si="5"/>
        <v>0</v>
      </c>
      <c r="K67" s="46">
        <f t="shared" si="65"/>
        <v>70666</v>
      </c>
      <c r="L67" s="46">
        <v>0</v>
      </c>
      <c r="M67" s="46">
        <f t="shared" si="6"/>
        <v>190808</v>
      </c>
      <c r="N67" s="46">
        <f t="shared" si="7"/>
        <v>70666</v>
      </c>
      <c r="O67" s="46">
        <f t="shared" si="8"/>
        <v>63887</v>
      </c>
      <c r="P67" s="46">
        <f t="shared" si="9"/>
        <v>0</v>
      </c>
      <c r="Q67" s="46">
        <f t="shared" si="10"/>
        <v>126921</v>
      </c>
      <c r="R67" s="46">
        <v>0</v>
      </c>
      <c r="S67" s="46">
        <f t="shared" si="11"/>
        <v>190808</v>
      </c>
      <c r="T67" s="46">
        <f t="shared" si="12"/>
        <v>197587</v>
      </c>
      <c r="U67" s="46">
        <f t="shared" si="13"/>
        <v>182256</v>
      </c>
      <c r="V67" s="46">
        <f t="shared" si="14"/>
        <v>0</v>
      </c>
      <c r="W67" s="46">
        <f t="shared" si="15"/>
        <v>0</v>
      </c>
      <c r="X67" s="46">
        <v>0</v>
      </c>
      <c r="Y67" s="46">
        <f t="shared" si="16"/>
        <v>182256</v>
      </c>
      <c r="Z67" s="46">
        <f t="shared" si="17"/>
        <v>197587</v>
      </c>
      <c r="AA67" s="46">
        <f t="shared" si="18"/>
        <v>96775</v>
      </c>
      <c r="AB67" s="46">
        <f t="shared" si="19"/>
        <v>0</v>
      </c>
      <c r="AC67" s="46">
        <f t="shared" si="20"/>
        <v>94033</v>
      </c>
      <c r="AD67" s="46">
        <v>0</v>
      </c>
      <c r="AE67" s="46">
        <f t="shared" si="21"/>
        <v>190808</v>
      </c>
      <c r="AF67" s="46">
        <f t="shared" si="22"/>
        <v>291620</v>
      </c>
      <c r="AG67" s="46">
        <f t="shared" si="23"/>
        <v>842125</v>
      </c>
      <c r="AH67" s="46">
        <f t="shared" si="24"/>
        <v>7773</v>
      </c>
      <c r="AI67" s="46">
        <f t="shared" si="25"/>
        <v>-291620</v>
      </c>
      <c r="AJ67" s="46">
        <v>0</v>
      </c>
      <c r="AK67" s="46">
        <f t="shared" si="26"/>
        <v>558278</v>
      </c>
      <c r="AL67" s="46">
        <f t="shared" si="27"/>
        <v>0</v>
      </c>
      <c r="AM67" s="46">
        <f t="shared" si="28"/>
        <v>166803</v>
      </c>
      <c r="AN67" s="46">
        <f t="shared" si="29"/>
        <v>5508</v>
      </c>
      <c r="AO67" s="46">
        <f t="shared" si="30"/>
        <v>24005</v>
      </c>
      <c r="AP67" s="46">
        <v>0</v>
      </c>
      <c r="AQ67" s="46">
        <f t="shared" si="31"/>
        <v>196316</v>
      </c>
      <c r="AR67" s="46">
        <f t="shared" si="32"/>
        <v>24005</v>
      </c>
      <c r="AS67" s="46">
        <f t="shared" si="33"/>
        <v>331575</v>
      </c>
      <c r="AT67" s="46">
        <f t="shared" si="34"/>
        <v>32190</v>
      </c>
      <c r="AU67" s="46">
        <f t="shared" si="35"/>
        <v>-24005</v>
      </c>
      <c r="AV67" s="46">
        <v>0</v>
      </c>
      <c r="AW67" s="46">
        <f t="shared" si="36"/>
        <v>339760</v>
      </c>
      <c r="AX67" s="46">
        <f t="shared" si="37"/>
        <v>0</v>
      </c>
      <c r="AY67" s="46">
        <f t="shared" si="38"/>
        <v>109524</v>
      </c>
      <c r="AZ67" s="46">
        <f t="shared" si="39"/>
        <v>0</v>
      </c>
      <c r="BA67" s="46">
        <f t="shared" si="40"/>
        <v>81284</v>
      </c>
      <c r="BB67" s="46"/>
      <c r="BC67" s="46">
        <f t="shared" si="41"/>
        <v>190808</v>
      </c>
      <c r="BD67" s="46">
        <f t="shared" si="42"/>
        <v>81284</v>
      </c>
      <c r="BE67" s="46">
        <f t="shared" si="43"/>
        <v>212025</v>
      </c>
      <c r="BF67" s="46">
        <f t="shared" si="44"/>
        <v>7891</v>
      </c>
      <c r="BG67" s="46">
        <f t="shared" si="45"/>
        <v>0</v>
      </c>
      <c r="BH67" s="46">
        <v>0</v>
      </c>
      <c r="BI67" s="46">
        <f t="shared" si="46"/>
        <v>219916</v>
      </c>
      <c r="BJ67" s="46">
        <f t="shared" si="47"/>
        <v>81284</v>
      </c>
      <c r="BK67" s="46">
        <f t="shared" si="48"/>
        <v>447363</v>
      </c>
      <c r="BL67" s="46">
        <f t="shared" si="49"/>
        <v>0</v>
      </c>
      <c r="BM67" s="46">
        <f t="shared" si="50"/>
        <v>-81284</v>
      </c>
      <c r="BN67" s="46">
        <v>0</v>
      </c>
      <c r="BO67" s="46">
        <f t="shared" si="51"/>
        <v>366079</v>
      </c>
      <c r="BP67" s="46">
        <f t="shared" si="52"/>
        <v>0</v>
      </c>
      <c r="BQ67" s="46">
        <f t="shared" si="53"/>
        <v>166036</v>
      </c>
      <c r="BR67" s="46">
        <f t="shared" si="54"/>
        <v>0</v>
      </c>
      <c r="BS67" s="46">
        <f t="shared" si="55"/>
        <v>24772</v>
      </c>
      <c r="BT67" s="46">
        <v>0</v>
      </c>
      <c r="BU67" s="46">
        <f t="shared" si="56"/>
        <v>190808</v>
      </c>
      <c r="BV67" s="46">
        <f t="shared" si="57"/>
        <v>24772</v>
      </c>
      <c r="BW67" s="46">
        <f t="shared" si="58"/>
        <v>318170</v>
      </c>
      <c r="BX67" s="46">
        <f t="shared" si="59"/>
        <v>51865</v>
      </c>
      <c r="BY67" s="46">
        <f t="shared" si="60"/>
        <v>-24772</v>
      </c>
      <c r="BZ67" s="46">
        <v>0</v>
      </c>
      <c r="CA67" s="46">
        <f t="shared" si="61"/>
        <v>345263</v>
      </c>
      <c r="CB67" s="46">
        <f t="shared" si="62"/>
        <v>0</v>
      </c>
      <c r="CC67" s="155">
        <f t="shared" si="66"/>
        <v>0</v>
      </c>
      <c r="CD67" s="79" t="s">
        <v>538</v>
      </c>
      <c r="CE67" s="65">
        <f t="shared" si="67"/>
        <v>190808</v>
      </c>
      <c r="CF67" s="65">
        <f t="shared" si="68"/>
        <v>190808</v>
      </c>
      <c r="CG67" s="65">
        <f t="shared" si="69"/>
        <v>182256</v>
      </c>
      <c r="CH67" s="65">
        <f t="shared" si="70"/>
        <v>190808</v>
      </c>
      <c r="CI67" s="65">
        <f t="shared" si="71"/>
        <v>558278</v>
      </c>
      <c r="CJ67" s="65">
        <f t="shared" si="72"/>
        <v>196316</v>
      </c>
      <c r="CK67" s="65">
        <f t="shared" si="73"/>
        <v>339760</v>
      </c>
      <c r="CL67" s="65">
        <f t="shared" si="74"/>
        <v>190808</v>
      </c>
      <c r="CM67" s="65">
        <f t="shared" si="75"/>
        <v>219916</v>
      </c>
      <c r="CN67" s="65">
        <f t="shared" si="76"/>
        <v>366079</v>
      </c>
      <c r="CO67" s="65">
        <f t="shared" si="77"/>
        <v>190808</v>
      </c>
      <c r="CP67" s="65">
        <f t="shared" si="78"/>
        <v>345263</v>
      </c>
      <c r="CQ67" s="40" t="s">
        <v>538</v>
      </c>
    </row>
    <row r="68" spans="1:95" ht="3" customHeight="1" x14ac:dyDescent="0.25">
      <c r="A68" s="39">
        <v>1</v>
      </c>
      <c r="B68" s="28">
        <v>5506</v>
      </c>
      <c r="C68" s="28" t="s">
        <v>106</v>
      </c>
      <c r="D68" s="48">
        <f>+DATA!Q66</f>
        <v>3218586.35</v>
      </c>
      <c r="E68" s="48">
        <f t="shared" si="63"/>
        <v>211890</v>
      </c>
      <c r="F68" s="48">
        <f t="shared" si="64"/>
        <v>321859</v>
      </c>
      <c r="G68" s="49">
        <f>VLOOKUP(B68,'CALC MEC ESTAB Y ESTIM M FINAL'!$B$7:$F$352,5,0)</f>
        <v>1.6896458145E-3</v>
      </c>
      <c r="H68" s="49">
        <f>VLOOKUP(B68,'CALC MEC ESTAB Y ESTIM M FINAL'!$B$7:$R$352,17,0)</f>
        <v>-8.2913688799999999E-5</v>
      </c>
      <c r="I68" s="46">
        <f t="shared" si="4"/>
        <v>132479</v>
      </c>
      <c r="J68" s="46">
        <f t="shared" si="5"/>
        <v>0</v>
      </c>
      <c r="K68" s="46">
        <f t="shared" si="65"/>
        <v>79411</v>
      </c>
      <c r="L68" s="46">
        <v>0</v>
      </c>
      <c r="M68" s="46">
        <f t="shared" si="6"/>
        <v>211890</v>
      </c>
      <c r="N68" s="46">
        <f t="shared" si="7"/>
        <v>79411</v>
      </c>
      <c r="O68" s="46">
        <f t="shared" si="8"/>
        <v>70448</v>
      </c>
      <c r="P68" s="46">
        <f t="shared" si="9"/>
        <v>0</v>
      </c>
      <c r="Q68" s="46">
        <f t="shared" si="10"/>
        <v>141442</v>
      </c>
      <c r="R68" s="46">
        <v>0</v>
      </c>
      <c r="S68" s="46">
        <f t="shared" si="11"/>
        <v>211890</v>
      </c>
      <c r="T68" s="46">
        <f t="shared" si="12"/>
        <v>220853</v>
      </c>
      <c r="U68" s="46">
        <f t="shared" si="13"/>
        <v>200971</v>
      </c>
      <c r="V68" s="46">
        <f t="shared" si="14"/>
        <v>0</v>
      </c>
      <c r="W68" s="46">
        <f t="shared" si="15"/>
        <v>0</v>
      </c>
      <c r="X68" s="46">
        <v>0</v>
      </c>
      <c r="Y68" s="46">
        <f t="shared" si="16"/>
        <v>200971</v>
      </c>
      <c r="Z68" s="46">
        <f t="shared" si="17"/>
        <v>220853</v>
      </c>
      <c r="AA68" s="46">
        <f t="shared" si="18"/>
        <v>106713</v>
      </c>
      <c r="AB68" s="46">
        <f t="shared" si="19"/>
        <v>0</v>
      </c>
      <c r="AC68" s="46">
        <f t="shared" si="20"/>
        <v>105177</v>
      </c>
      <c r="AD68" s="46">
        <v>0</v>
      </c>
      <c r="AE68" s="46">
        <f t="shared" si="21"/>
        <v>211890</v>
      </c>
      <c r="AF68" s="46">
        <f t="shared" si="22"/>
        <v>326030</v>
      </c>
      <c r="AG68" s="46">
        <f t="shared" si="23"/>
        <v>928599</v>
      </c>
      <c r="AH68" s="46">
        <f t="shared" si="24"/>
        <v>8571</v>
      </c>
      <c r="AI68" s="46">
        <f t="shared" si="25"/>
        <v>-326030</v>
      </c>
      <c r="AJ68" s="46">
        <v>0</v>
      </c>
      <c r="AK68" s="46">
        <f t="shared" si="26"/>
        <v>611140</v>
      </c>
      <c r="AL68" s="46">
        <f t="shared" si="27"/>
        <v>0</v>
      </c>
      <c r="AM68" s="46">
        <f t="shared" si="28"/>
        <v>183932</v>
      </c>
      <c r="AN68" s="46">
        <f t="shared" si="29"/>
        <v>6074</v>
      </c>
      <c r="AO68" s="46">
        <f t="shared" si="30"/>
        <v>27958</v>
      </c>
      <c r="AP68" s="46">
        <v>0</v>
      </c>
      <c r="AQ68" s="46">
        <f t="shared" si="31"/>
        <v>217964</v>
      </c>
      <c r="AR68" s="46">
        <f t="shared" si="32"/>
        <v>27958</v>
      </c>
      <c r="AS68" s="46">
        <f t="shared" si="33"/>
        <v>365624</v>
      </c>
      <c r="AT68" s="46">
        <f t="shared" si="34"/>
        <v>35495</v>
      </c>
      <c r="AU68" s="46">
        <f t="shared" si="35"/>
        <v>-27958</v>
      </c>
      <c r="AV68" s="46">
        <v>0</v>
      </c>
      <c r="AW68" s="46">
        <f t="shared" si="36"/>
        <v>373161</v>
      </c>
      <c r="AX68" s="46">
        <f t="shared" si="37"/>
        <v>0</v>
      </c>
      <c r="AY68" s="46">
        <f t="shared" si="38"/>
        <v>120771</v>
      </c>
      <c r="AZ68" s="46">
        <f t="shared" si="39"/>
        <v>0</v>
      </c>
      <c r="BA68" s="46">
        <f t="shared" si="40"/>
        <v>91119</v>
      </c>
      <c r="BB68" s="46"/>
      <c r="BC68" s="46">
        <f t="shared" si="41"/>
        <v>211890</v>
      </c>
      <c r="BD68" s="46">
        <f t="shared" si="42"/>
        <v>91119</v>
      </c>
      <c r="BE68" s="46">
        <f t="shared" si="43"/>
        <v>233797</v>
      </c>
      <c r="BF68" s="46">
        <f t="shared" si="44"/>
        <v>8702</v>
      </c>
      <c r="BG68" s="46">
        <f t="shared" si="45"/>
        <v>0</v>
      </c>
      <c r="BH68" s="46">
        <v>0</v>
      </c>
      <c r="BI68" s="46">
        <f t="shared" si="46"/>
        <v>242499</v>
      </c>
      <c r="BJ68" s="46">
        <f t="shared" si="47"/>
        <v>91119</v>
      </c>
      <c r="BK68" s="46">
        <f t="shared" si="48"/>
        <v>493301</v>
      </c>
      <c r="BL68" s="46">
        <f t="shared" si="49"/>
        <v>0</v>
      </c>
      <c r="BM68" s="46">
        <f t="shared" si="50"/>
        <v>-91119</v>
      </c>
      <c r="BN68" s="46">
        <v>0</v>
      </c>
      <c r="BO68" s="46">
        <f t="shared" si="51"/>
        <v>402182</v>
      </c>
      <c r="BP68" s="46">
        <f t="shared" si="52"/>
        <v>0</v>
      </c>
      <c r="BQ68" s="46">
        <f t="shared" si="53"/>
        <v>183085</v>
      </c>
      <c r="BR68" s="46">
        <f t="shared" si="54"/>
        <v>0</v>
      </c>
      <c r="BS68" s="46">
        <f t="shared" si="55"/>
        <v>28805</v>
      </c>
      <c r="BT68" s="46">
        <v>0</v>
      </c>
      <c r="BU68" s="46">
        <f t="shared" si="56"/>
        <v>211890</v>
      </c>
      <c r="BV68" s="46">
        <f t="shared" si="57"/>
        <v>28805</v>
      </c>
      <c r="BW68" s="46">
        <f t="shared" si="58"/>
        <v>350842</v>
      </c>
      <c r="BX68" s="46">
        <f t="shared" si="59"/>
        <v>57191</v>
      </c>
      <c r="BY68" s="46">
        <f t="shared" si="60"/>
        <v>-28805</v>
      </c>
      <c r="BZ68" s="46">
        <v>0</v>
      </c>
      <c r="CA68" s="46">
        <f t="shared" si="61"/>
        <v>379228</v>
      </c>
      <c r="CB68" s="46">
        <f t="shared" si="62"/>
        <v>0</v>
      </c>
      <c r="CC68" s="155">
        <f t="shared" si="66"/>
        <v>0</v>
      </c>
      <c r="CD68" s="79" t="s">
        <v>538</v>
      </c>
      <c r="CE68" s="65">
        <f t="shared" si="67"/>
        <v>211890</v>
      </c>
      <c r="CF68" s="65">
        <f t="shared" si="68"/>
        <v>211890</v>
      </c>
      <c r="CG68" s="65">
        <f t="shared" si="69"/>
        <v>200971</v>
      </c>
      <c r="CH68" s="65">
        <f t="shared" si="70"/>
        <v>211890</v>
      </c>
      <c r="CI68" s="65">
        <f t="shared" si="71"/>
        <v>611140</v>
      </c>
      <c r="CJ68" s="65">
        <f t="shared" si="72"/>
        <v>217964</v>
      </c>
      <c r="CK68" s="65">
        <f t="shared" si="73"/>
        <v>373161</v>
      </c>
      <c r="CL68" s="65">
        <f t="shared" si="74"/>
        <v>211890</v>
      </c>
      <c r="CM68" s="65">
        <f t="shared" si="75"/>
        <v>242499</v>
      </c>
      <c r="CN68" s="65">
        <f t="shared" si="76"/>
        <v>402182</v>
      </c>
      <c r="CO68" s="65">
        <f t="shared" si="77"/>
        <v>211890</v>
      </c>
      <c r="CP68" s="65">
        <f t="shared" si="78"/>
        <v>379228</v>
      </c>
      <c r="CQ68" s="40" t="s">
        <v>538</v>
      </c>
    </row>
    <row r="69" spans="1:95" ht="3" customHeight="1" x14ac:dyDescent="0.25">
      <c r="A69" s="39">
        <v>1</v>
      </c>
      <c r="B69" s="28">
        <v>5601</v>
      </c>
      <c r="C69" s="28" t="s">
        <v>99</v>
      </c>
      <c r="D69" s="48">
        <f>+DATA!Q67</f>
        <v>9663049.9279999994</v>
      </c>
      <c r="E69" s="48">
        <f t="shared" si="63"/>
        <v>636151</v>
      </c>
      <c r="F69" s="48">
        <f t="shared" si="64"/>
        <v>966305</v>
      </c>
      <c r="G69" s="49">
        <f>VLOOKUP(B69,'CALC MEC ESTAB Y ESTIM M FINAL'!$B$7:$F$352,5,0)</f>
        <v>5.7598125402999996E-3</v>
      </c>
      <c r="H69" s="49">
        <f>VLOOKUP(B69,'CALC MEC ESTAB Y ESTIM M FINAL'!$B$7:$R$352,17,0)</f>
        <v>-6.2225342499999995E-4</v>
      </c>
      <c r="I69" s="46">
        <f t="shared" si="4"/>
        <v>423603</v>
      </c>
      <c r="J69" s="46">
        <f t="shared" si="5"/>
        <v>0</v>
      </c>
      <c r="K69" s="46">
        <f t="shared" si="65"/>
        <v>212548</v>
      </c>
      <c r="L69" s="46">
        <v>0</v>
      </c>
      <c r="M69" s="46">
        <f t="shared" si="6"/>
        <v>636151</v>
      </c>
      <c r="N69" s="46">
        <f t="shared" si="7"/>
        <v>212548</v>
      </c>
      <c r="O69" s="46">
        <f t="shared" si="8"/>
        <v>225258</v>
      </c>
      <c r="P69" s="46">
        <f t="shared" si="9"/>
        <v>0</v>
      </c>
      <c r="Q69" s="46">
        <f t="shared" si="10"/>
        <v>410893</v>
      </c>
      <c r="R69" s="46">
        <v>0</v>
      </c>
      <c r="S69" s="46">
        <f t="shared" si="11"/>
        <v>636151</v>
      </c>
      <c r="T69" s="46">
        <f t="shared" si="12"/>
        <v>623441</v>
      </c>
      <c r="U69" s="46">
        <f t="shared" si="13"/>
        <v>642609</v>
      </c>
      <c r="V69" s="46">
        <f t="shared" si="14"/>
        <v>0</v>
      </c>
      <c r="W69" s="46">
        <f t="shared" si="15"/>
        <v>0</v>
      </c>
      <c r="X69" s="46">
        <v>0</v>
      </c>
      <c r="Y69" s="46">
        <f t="shared" si="16"/>
        <v>642609</v>
      </c>
      <c r="Z69" s="46">
        <f t="shared" si="17"/>
        <v>623441</v>
      </c>
      <c r="AA69" s="46">
        <f t="shared" si="18"/>
        <v>341216</v>
      </c>
      <c r="AB69" s="46">
        <f t="shared" si="19"/>
        <v>0</v>
      </c>
      <c r="AC69" s="46">
        <f t="shared" si="20"/>
        <v>294935</v>
      </c>
      <c r="AD69" s="46">
        <v>0</v>
      </c>
      <c r="AE69" s="46">
        <f t="shared" si="21"/>
        <v>636151</v>
      </c>
      <c r="AF69" s="46">
        <f t="shared" si="22"/>
        <v>918376</v>
      </c>
      <c r="AG69" s="46">
        <f t="shared" si="23"/>
        <v>2969214</v>
      </c>
      <c r="AH69" s="46">
        <f t="shared" si="24"/>
        <v>27405</v>
      </c>
      <c r="AI69" s="46">
        <f t="shared" si="25"/>
        <v>-918376</v>
      </c>
      <c r="AJ69" s="46">
        <v>0</v>
      </c>
      <c r="AK69" s="46">
        <f t="shared" si="26"/>
        <v>2078243</v>
      </c>
      <c r="AL69" s="46">
        <f t="shared" si="27"/>
        <v>0</v>
      </c>
      <c r="AM69" s="46">
        <f t="shared" si="28"/>
        <v>588126</v>
      </c>
      <c r="AN69" s="46">
        <f t="shared" si="29"/>
        <v>19422</v>
      </c>
      <c r="AO69" s="46">
        <f t="shared" si="30"/>
        <v>48025</v>
      </c>
      <c r="AP69" s="46">
        <v>0</v>
      </c>
      <c r="AQ69" s="46">
        <f t="shared" si="31"/>
        <v>655573</v>
      </c>
      <c r="AR69" s="46">
        <f t="shared" si="32"/>
        <v>48025</v>
      </c>
      <c r="AS69" s="46">
        <f t="shared" si="33"/>
        <v>1169089</v>
      </c>
      <c r="AT69" s="46">
        <f t="shared" si="34"/>
        <v>113497</v>
      </c>
      <c r="AU69" s="46">
        <f t="shared" si="35"/>
        <v>-48025</v>
      </c>
      <c r="AV69" s="46">
        <v>0</v>
      </c>
      <c r="AW69" s="46">
        <f t="shared" si="36"/>
        <v>1234561</v>
      </c>
      <c r="AX69" s="46">
        <f t="shared" si="37"/>
        <v>0</v>
      </c>
      <c r="AY69" s="46">
        <f t="shared" si="38"/>
        <v>386168</v>
      </c>
      <c r="AZ69" s="46">
        <f t="shared" si="39"/>
        <v>0</v>
      </c>
      <c r="BA69" s="46">
        <f t="shared" si="40"/>
        <v>249983</v>
      </c>
      <c r="BB69" s="46"/>
      <c r="BC69" s="46">
        <f t="shared" si="41"/>
        <v>636151</v>
      </c>
      <c r="BD69" s="46">
        <f t="shared" si="42"/>
        <v>249983</v>
      </c>
      <c r="BE69" s="46">
        <f t="shared" si="43"/>
        <v>747570</v>
      </c>
      <c r="BF69" s="46">
        <f t="shared" si="44"/>
        <v>27824</v>
      </c>
      <c r="BG69" s="46">
        <f t="shared" si="45"/>
        <v>0</v>
      </c>
      <c r="BH69" s="46">
        <v>0</v>
      </c>
      <c r="BI69" s="46">
        <f t="shared" si="46"/>
        <v>775394</v>
      </c>
      <c r="BJ69" s="46">
        <f t="shared" si="47"/>
        <v>249983</v>
      </c>
      <c r="BK69" s="46">
        <f t="shared" si="48"/>
        <v>1577340</v>
      </c>
      <c r="BL69" s="46">
        <f t="shared" si="49"/>
        <v>0</v>
      </c>
      <c r="BM69" s="46">
        <f t="shared" si="50"/>
        <v>-249983</v>
      </c>
      <c r="BN69" s="46">
        <v>0</v>
      </c>
      <c r="BO69" s="46">
        <f t="shared" si="51"/>
        <v>1327357</v>
      </c>
      <c r="BP69" s="46">
        <f t="shared" si="52"/>
        <v>0</v>
      </c>
      <c r="BQ69" s="46">
        <f t="shared" si="53"/>
        <v>585418</v>
      </c>
      <c r="BR69" s="46">
        <f t="shared" si="54"/>
        <v>0</v>
      </c>
      <c r="BS69" s="46">
        <f t="shared" si="55"/>
        <v>50733</v>
      </c>
      <c r="BT69" s="46">
        <v>0</v>
      </c>
      <c r="BU69" s="46">
        <f t="shared" si="56"/>
        <v>636151</v>
      </c>
      <c r="BV69" s="46">
        <f t="shared" si="57"/>
        <v>50733</v>
      </c>
      <c r="BW69" s="46">
        <f t="shared" si="58"/>
        <v>1121824</v>
      </c>
      <c r="BX69" s="46">
        <f t="shared" si="59"/>
        <v>182869</v>
      </c>
      <c r="BY69" s="46">
        <f t="shared" si="60"/>
        <v>-50733</v>
      </c>
      <c r="BZ69" s="46">
        <v>0</v>
      </c>
      <c r="CA69" s="46">
        <f t="shared" si="61"/>
        <v>1253960</v>
      </c>
      <c r="CB69" s="46">
        <f t="shared" si="62"/>
        <v>0</v>
      </c>
      <c r="CC69" s="155">
        <f t="shared" si="66"/>
        <v>0</v>
      </c>
      <c r="CD69" s="79" t="s">
        <v>538</v>
      </c>
      <c r="CE69" s="65">
        <f t="shared" si="67"/>
        <v>636151</v>
      </c>
      <c r="CF69" s="65">
        <f t="shared" si="68"/>
        <v>636151</v>
      </c>
      <c r="CG69" s="65">
        <f t="shared" si="69"/>
        <v>642609</v>
      </c>
      <c r="CH69" s="65">
        <f t="shared" si="70"/>
        <v>636151</v>
      </c>
      <c r="CI69" s="65">
        <f t="shared" si="71"/>
        <v>2078243</v>
      </c>
      <c r="CJ69" s="65">
        <f t="shared" si="72"/>
        <v>655573</v>
      </c>
      <c r="CK69" s="65">
        <f t="shared" si="73"/>
        <v>1234561</v>
      </c>
      <c r="CL69" s="65">
        <f t="shared" si="74"/>
        <v>636151</v>
      </c>
      <c r="CM69" s="65">
        <f t="shared" si="75"/>
        <v>775394</v>
      </c>
      <c r="CN69" s="65">
        <f t="shared" si="76"/>
        <v>1327357</v>
      </c>
      <c r="CO69" s="65">
        <f t="shared" si="77"/>
        <v>636151</v>
      </c>
      <c r="CP69" s="65">
        <f t="shared" si="78"/>
        <v>1253960</v>
      </c>
      <c r="CQ69" s="40" t="s">
        <v>538</v>
      </c>
    </row>
    <row r="70" spans="1:95" ht="3" customHeight="1" x14ac:dyDescent="0.25">
      <c r="A70" s="39">
        <v>1</v>
      </c>
      <c r="B70" s="28">
        <v>5602</v>
      </c>
      <c r="C70" s="28" t="s">
        <v>104</v>
      </c>
      <c r="D70" s="48">
        <f>+DATA!Q68</f>
        <v>1822419.031</v>
      </c>
      <c r="E70" s="48">
        <f t="shared" si="63"/>
        <v>119976</v>
      </c>
      <c r="F70" s="48">
        <f t="shared" si="64"/>
        <v>182242</v>
      </c>
      <c r="G70" s="49">
        <f>VLOOKUP(B70,'CALC MEC ESTAB Y ESTIM M FINAL'!$B$7:$F$352,5,0)</f>
        <v>9.5929743669999996E-4</v>
      </c>
      <c r="H70" s="49">
        <f>VLOOKUP(B70,'CALC MEC ESTAB Y ESTIM M FINAL'!$B$7:$R$352,17,0)</f>
        <v>-4.7990720299999997E-5</v>
      </c>
      <c r="I70" s="46">
        <f t="shared" si="4"/>
        <v>75139</v>
      </c>
      <c r="J70" s="46">
        <f t="shared" si="5"/>
        <v>0</v>
      </c>
      <c r="K70" s="46">
        <f t="shared" si="65"/>
        <v>44837</v>
      </c>
      <c r="L70" s="46">
        <v>0</v>
      </c>
      <c r="M70" s="46">
        <f t="shared" si="6"/>
        <v>119976</v>
      </c>
      <c r="N70" s="46">
        <f t="shared" si="7"/>
        <v>44837</v>
      </c>
      <c r="O70" s="46">
        <f t="shared" si="8"/>
        <v>39956</v>
      </c>
      <c r="P70" s="46">
        <f t="shared" si="9"/>
        <v>0</v>
      </c>
      <c r="Q70" s="46">
        <f t="shared" si="10"/>
        <v>80020</v>
      </c>
      <c r="R70" s="46">
        <v>0</v>
      </c>
      <c r="S70" s="46">
        <f t="shared" si="11"/>
        <v>119976</v>
      </c>
      <c r="T70" s="46">
        <f t="shared" si="12"/>
        <v>124857</v>
      </c>
      <c r="U70" s="46">
        <f t="shared" si="13"/>
        <v>113987</v>
      </c>
      <c r="V70" s="46">
        <f t="shared" si="14"/>
        <v>0</v>
      </c>
      <c r="W70" s="46">
        <f t="shared" si="15"/>
        <v>0</v>
      </c>
      <c r="X70" s="46">
        <v>0</v>
      </c>
      <c r="Y70" s="46">
        <f t="shared" si="16"/>
        <v>113987</v>
      </c>
      <c r="Z70" s="46">
        <f t="shared" si="17"/>
        <v>124857</v>
      </c>
      <c r="AA70" s="46">
        <f t="shared" si="18"/>
        <v>60525</v>
      </c>
      <c r="AB70" s="46">
        <f t="shared" si="19"/>
        <v>0</v>
      </c>
      <c r="AC70" s="46">
        <f t="shared" si="20"/>
        <v>59451</v>
      </c>
      <c r="AD70" s="46">
        <v>0</v>
      </c>
      <c r="AE70" s="46">
        <f t="shared" si="21"/>
        <v>119976</v>
      </c>
      <c r="AF70" s="46">
        <f t="shared" si="22"/>
        <v>184308</v>
      </c>
      <c r="AG70" s="46">
        <f t="shared" si="23"/>
        <v>526683</v>
      </c>
      <c r="AH70" s="46">
        <f t="shared" si="24"/>
        <v>4861</v>
      </c>
      <c r="AI70" s="46">
        <f t="shared" si="25"/>
        <v>-184308</v>
      </c>
      <c r="AJ70" s="46">
        <v>0</v>
      </c>
      <c r="AK70" s="46">
        <f t="shared" si="26"/>
        <v>347236</v>
      </c>
      <c r="AL70" s="46">
        <f t="shared" si="27"/>
        <v>0</v>
      </c>
      <c r="AM70" s="46">
        <f t="shared" si="28"/>
        <v>104322</v>
      </c>
      <c r="AN70" s="46">
        <f t="shared" si="29"/>
        <v>3445</v>
      </c>
      <c r="AO70" s="46">
        <f t="shared" si="30"/>
        <v>15654</v>
      </c>
      <c r="AP70" s="46">
        <v>0</v>
      </c>
      <c r="AQ70" s="46">
        <f t="shared" si="31"/>
        <v>123421</v>
      </c>
      <c r="AR70" s="46">
        <f t="shared" si="32"/>
        <v>15654</v>
      </c>
      <c r="AS70" s="46">
        <f t="shared" si="33"/>
        <v>207374</v>
      </c>
      <c r="AT70" s="46">
        <f t="shared" si="34"/>
        <v>20132</v>
      </c>
      <c r="AU70" s="46">
        <f t="shared" si="35"/>
        <v>-15654</v>
      </c>
      <c r="AV70" s="46">
        <v>0</v>
      </c>
      <c r="AW70" s="46">
        <f t="shared" si="36"/>
        <v>211852</v>
      </c>
      <c r="AX70" s="46">
        <f t="shared" si="37"/>
        <v>0</v>
      </c>
      <c r="AY70" s="46">
        <f t="shared" si="38"/>
        <v>68499</v>
      </c>
      <c r="AZ70" s="46">
        <f t="shared" si="39"/>
        <v>0</v>
      </c>
      <c r="BA70" s="46">
        <f t="shared" si="40"/>
        <v>51477</v>
      </c>
      <c r="BB70" s="46"/>
      <c r="BC70" s="46">
        <f t="shared" si="41"/>
        <v>119976</v>
      </c>
      <c r="BD70" s="46">
        <f t="shared" si="42"/>
        <v>51477</v>
      </c>
      <c r="BE70" s="46">
        <f t="shared" si="43"/>
        <v>132605</v>
      </c>
      <c r="BF70" s="46">
        <f t="shared" si="44"/>
        <v>4935</v>
      </c>
      <c r="BG70" s="46">
        <f t="shared" si="45"/>
        <v>0</v>
      </c>
      <c r="BH70" s="46">
        <v>0</v>
      </c>
      <c r="BI70" s="46">
        <f t="shared" si="46"/>
        <v>137540</v>
      </c>
      <c r="BJ70" s="46">
        <f t="shared" si="47"/>
        <v>51477</v>
      </c>
      <c r="BK70" s="46">
        <f t="shared" si="48"/>
        <v>279791</v>
      </c>
      <c r="BL70" s="46">
        <f t="shared" si="49"/>
        <v>0</v>
      </c>
      <c r="BM70" s="46">
        <f t="shared" si="50"/>
        <v>-51477</v>
      </c>
      <c r="BN70" s="46">
        <v>0</v>
      </c>
      <c r="BO70" s="46">
        <f t="shared" si="51"/>
        <v>228314</v>
      </c>
      <c r="BP70" s="46">
        <f t="shared" si="52"/>
        <v>0</v>
      </c>
      <c r="BQ70" s="46">
        <f t="shared" si="53"/>
        <v>103842</v>
      </c>
      <c r="BR70" s="46">
        <f t="shared" si="54"/>
        <v>0</v>
      </c>
      <c r="BS70" s="46">
        <f t="shared" si="55"/>
        <v>16134</v>
      </c>
      <c r="BT70" s="46">
        <v>0</v>
      </c>
      <c r="BU70" s="46">
        <f t="shared" si="56"/>
        <v>119976</v>
      </c>
      <c r="BV70" s="46">
        <f t="shared" si="57"/>
        <v>16134</v>
      </c>
      <c r="BW70" s="46">
        <f t="shared" si="58"/>
        <v>198990</v>
      </c>
      <c r="BX70" s="46">
        <f t="shared" si="59"/>
        <v>32438</v>
      </c>
      <c r="BY70" s="46">
        <f t="shared" si="60"/>
        <v>-16134</v>
      </c>
      <c r="BZ70" s="46">
        <v>0</v>
      </c>
      <c r="CA70" s="46">
        <f t="shared" si="61"/>
        <v>215294</v>
      </c>
      <c r="CB70" s="46">
        <f t="shared" si="62"/>
        <v>0</v>
      </c>
      <c r="CC70" s="155">
        <f t="shared" si="66"/>
        <v>0</v>
      </c>
      <c r="CD70" s="79" t="s">
        <v>538</v>
      </c>
      <c r="CE70" s="65">
        <f t="shared" si="67"/>
        <v>119976</v>
      </c>
      <c r="CF70" s="65">
        <f t="shared" si="68"/>
        <v>119976</v>
      </c>
      <c r="CG70" s="65">
        <f t="shared" si="69"/>
        <v>113987</v>
      </c>
      <c r="CH70" s="65">
        <f t="shared" si="70"/>
        <v>119976</v>
      </c>
      <c r="CI70" s="65">
        <f t="shared" si="71"/>
        <v>347236</v>
      </c>
      <c r="CJ70" s="65">
        <f t="shared" si="72"/>
        <v>123421</v>
      </c>
      <c r="CK70" s="65">
        <f t="shared" si="73"/>
        <v>211852</v>
      </c>
      <c r="CL70" s="65">
        <f t="shared" si="74"/>
        <v>119976</v>
      </c>
      <c r="CM70" s="65">
        <f t="shared" si="75"/>
        <v>137540</v>
      </c>
      <c r="CN70" s="65">
        <f t="shared" si="76"/>
        <v>228314</v>
      </c>
      <c r="CO70" s="65">
        <f t="shared" si="77"/>
        <v>119976</v>
      </c>
      <c r="CP70" s="65">
        <f t="shared" si="78"/>
        <v>215294</v>
      </c>
      <c r="CQ70" s="40" t="s">
        <v>538</v>
      </c>
    </row>
    <row r="71" spans="1:95" ht="3" customHeight="1" x14ac:dyDescent="0.25">
      <c r="A71" s="39">
        <v>1</v>
      </c>
      <c r="B71" s="28">
        <v>5603</v>
      </c>
      <c r="C71" s="28" t="s">
        <v>101</v>
      </c>
      <c r="D71" s="48">
        <f>+DATA!Q69</f>
        <v>11236571.761</v>
      </c>
      <c r="E71" s="48">
        <f t="shared" si="63"/>
        <v>739741</v>
      </c>
      <c r="F71" s="48">
        <f t="shared" si="64"/>
        <v>1123657</v>
      </c>
      <c r="G71" s="49">
        <f>VLOOKUP(B71,'CALC MEC ESTAB Y ESTIM M FINAL'!$B$7:$F$352,5,0)</f>
        <v>6.0738851694000003E-3</v>
      </c>
      <c r="H71" s="49">
        <f>VLOOKUP(B71,'CALC MEC ESTAB Y ESTIM M FINAL'!$B$7:$R$352,17,0)</f>
        <v>-3.8367491300000001E-4</v>
      </c>
      <c r="I71" s="46">
        <f t="shared" ref="I71:I134" si="79">ROUND(($G71+$H71)*$I$4,0)</f>
        <v>469170</v>
      </c>
      <c r="J71" s="46">
        <f t="shared" ref="J71:J134" si="80">ROUND($J$4*($G71+$H71),0)</f>
        <v>0</v>
      </c>
      <c r="K71" s="46">
        <f t="shared" ref="K71:K134" si="81">IF($E71&gt;I71,$E71-I71,0)</f>
        <v>270571</v>
      </c>
      <c r="L71" s="46">
        <v>0</v>
      </c>
      <c r="M71" s="46">
        <f t="shared" ref="M71:M134" si="82">I71+J71+K71+L71</f>
        <v>739741</v>
      </c>
      <c r="N71" s="46">
        <f t="shared" ref="N71:N134" si="83">K71</f>
        <v>270571</v>
      </c>
      <c r="O71" s="46">
        <f t="shared" ref="O71:O134" si="84">ROUND(($G71+$H71)*$O$4,0)</f>
        <v>249489</v>
      </c>
      <c r="P71" s="46">
        <f t="shared" ref="P71:P134" si="85">ROUND($P$4*($G71+$H71),0)</f>
        <v>0</v>
      </c>
      <c r="Q71" s="46">
        <f t="shared" ref="Q71:Q134" si="86">IF($E71&gt;O71,$E71-O71,0)</f>
        <v>490252</v>
      </c>
      <c r="R71" s="46">
        <v>0</v>
      </c>
      <c r="S71" s="46">
        <f t="shared" ref="S71:S134" si="87">O71+P71+Q71+R71</f>
        <v>739741</v>
      </c>
      <c r="T71" s="46">
        <f t="shared" ref="T71:T134" si="88">N71+Q71</f>
        <v>760823</v>
      </c>
      <c r="U71" s="46">
        <f t="shared" ref="U71:U134" si="89">ROUND(($G71+$H71)*$U$4,0)</f>
        <v>711735</v>
      </c>
      <c r="V71" s="46">
        <f t="shared" ref="V71:V134" si="90">+ROUND($V$4*($G71+$H71),0)</f>
        <v>0</v>
      </c>
      <c r="W71" s="46">
        <f t="shared" ref="W71:W134" si="91">IF(U71&lt;$F71,0,IF(U71-$F71&gt;T71,-T71,-(U71-$F71)))</f>
        <v>0</v>
      </c>
      <c r="X71" s="46">
        <v>0</v>
      </c>
      <c r="Y71" s="46">
        <f t="shared" ref="Y71:Y134" si="92">U71+V71+W71+X71</f>
        <v>711735</v>
      </c>
      <c r="Z71" s="46">
        <f t="shared" ref="Z71:Z134" si="93">T71+W71</f>
        <v>760823</v>
      </c>
      <c r="AA71" s="46">
        <f t="shared" ref="AA71:AA134" si="94">ROUND(($G71+$H71)*$AA$4,0)</f>
        <v>377920</v>
      </c>
      <c r="AB71" s="46">
        <f t="shared" ref="AB71:AB134" si="95">ROUND($AB$4*($G71*$H71),0)</f>
        <v>0</v>
      </c>
      <c r="AC71" s="46">
        <f t="shared" ref="AC71:AC134" si="96">IF($E71&gt;AA71,$E71-AA71,0)</f>
        <v>361821</v>
      </c>
      <c r="AD71" s="46">
        <v>0</v>
      </c>
      <c r="AE71" s="46">
        <f t="shared" ref="AE71:AE134" si="97">AA71+AB71+AC71+AD71</f>
        <v>739741</v>
      </c>
      <c r="AF71" s="46">
        <f t="shared" ref="AF71:AF134" si="98">Z71+AC71</f>
        <v>1122644</v>
      </c>
      <c r="AG71" s="46">
        <f t="shared" ref="AG71:AG134" si="99">ROUND(($G71+$H71)*$AG$4,0)</f>
        <v>3288615</v>
      </c>
      <c r="AH71" s="46">
        <f t="shared" ref="AH71:AH134" si="100">+ROUND($AH$4*($G71+$H71),0)</f>
        <v>30353</v>
      </c>
      <c r="AI71" s="46">
        <f t="shared" ref="AI71:AI134" si="101">IF(AG71&lt;$F71,0,IF(AG71-$F71&gt;AF71,-AF71,-(AG71-$F71)))</f>
        <v>-1122644</v>
      </c>
      <c r="AJ71" s="46">
        <v>0</v>
      </c>
      <c r="AK71" s="46">
        <f t="shared" ref="AK71:AK134" si="102">AG71+AH71+AI71+AJ71</f>
        <v>2196324</v>
      </c>
      <c r="AL71" s="46">
        <f t="shared" ref="AL71:AL134" si="103">AF71+AI71</f>
        <v>0</v>
      </c>
      <c r="AM71" s="46">
        <f t="shared" ref="AM71:AM134" si="104">ROUND(($G71+$H71)*$AM$4,0)</f>
        <v>651391</v>
      </c>
      <c r="AN71" s="46">
        <f t="shared" ref="AN71:AN134" si="105">ROUND($AN$4*($G71+$H71),0)</f>
        <v>21511</v>
      </c>
      <c r="AO71" s="46">
        <f t="shared" ref="AO71:AO134" si="106">IF($E71&gt;AM71,$E71-AM71,0)</f>
        <v>88350</v>
      </c>
      <c r="AP71" s="46">
        <v>0</v>
      </c>
      <c r="AQ71" s="46">
        <f t="shared" ref="AQ71:AQ134" si="107">AM71+AN71+AO71+AP71</f>
        <v>761252</v>
      </c>
      <c r="AR71" s="46">
        <f t="shared" ref="AR71:AR134" si="108">AL71+AO71</f>
        <v>88350</v>
      </c>
      <c r="AS71" s="46">
        <f t="shared" ref="AS71:AS134" si="109">ROUND(($G71+$H71)*$AS$4,0)</f>
        <v>1294849</v>
      </c>
      <c r="AT71" s="46">
        <f t="shared" ref="AT71:AT134" si="110">+ROUND($AT$4*($G71+$H71),0)</f>
        <v>125706</v>
      </c>
      <c r="AU71" s="46">
        <f t="shared" ref="AU71:AU134" si="111">IF(AS71&lt;$F71,0,IF(AS71-$F71&gt;AR71,-AR71,-(AS71-$F71)))</f>
        <v>-88350</v>
      </c>
      <c r="AV71" s="46">
        <v>0</v>
      </c>
      <c r="AW71" s="46">
        <f t="shared" ref="AW71:AW134" si="112">AS71+AT71+AU71+AV71</f>
        <v>1332205</v>
      </c>
      <c r="AX71" s="46">
        <f t="shared" ref="AX71:AX134" si="113">AR71+AU71</f>
        <v>0</v>
      </c>
      <c r="AY71" s="46">
        <f t="shared" ref="AY71:AY134" si="114">ROUND(($G71+$H71)*$AY$4,0)</f>
        <v>427708</v>
      </c>
      <c r="AZ71" s="46">
        <f t="shared" ref="AZ71:AZ134" si="115">ROUND($AZ$4*($G71+$H71),0)</f>
        <v>0</v>
      </c>
      <c r="BA71" s="46">
        <f t="shared" ref="BA71:BA134" si="116">IF($E71&gt;AY71,$E71-AY71,0)</f>
        <v>312033</v>
      </c>
      <c r="BB71" s="46"/>
      <c r="BC71" s="46">
        <f t="shared" ref="BC71:BC134" si="117">AY71+AZ71+BA71+BB71</f>
        <v>739741</v>
      </c>
      <c r="BD71" s="46">
        <f t="shared" ref="BD71:BD134" si="118">AX71+BA71</f>
        <v>312033</v>
      </c>
      <c r="BE71" s="46">
        <f t="shared" ref="BE71:BE134" si="119">ROUND(($G71+$H71)*$BE$4,0)</f>
        <v>827987</v>
      </c>
      <c r="BF71" s="46">
        <f t="shared" ref="BF71:BF134" si="120">ROUND($BF$4*($G71+$H71),0)</f>
        <v>30817</v>
      </c>
      <c r="BG71" s="46">
        <f t="shared" ref="BG71:BG134" si="121">IF(BE71&lt;$F71,0,IF(BE71-$F71&gt;BD71,-BD71,-(BE71-$F71)))</f>
        <v>0</v>
      </c>
      <c r="BH71" s="46">
        <v>0</v>
      </c>
      <c r="BI71" s="46">
        <f t="shared" ref="BI71:BI134" si="122">BE71+BF71+BG71+BH71</f>
        <v>858804</v>
      </c>
      <c r="BJ71" s="46">
        <f t="shared" ref="BJ71:BJ134" si="123">BD71+BG71</f>
        <v>312033</v>
      </c>
      <c r="BK71" s="46">
        <f t="shared" ref="BK71:BK134" si="124">ROUND(($G71+$H71)*$BK$4,0)</f>
        <v>1747016</v>
      </c>
      <c r="BL71" s="46">
        <f t="shared" ref="BL71:BL134" si="125">+ROUND($BL$4*($G71+$H71),0)</f>
        <v>0</v>
      </c>
      <c r="BM71" s="46">
        <f t="shared" ref="BM71:BM134" si="126">IF(BK71&lt;$F71,0,IF(BK71-$F71&gt;BJ71,-BJ71,-(BK71-$F71)))</f>
        <v>-312033</v>
      </c>
      <c r="BN71" s="46">
        <v>0</v>
      </c>
      <c r="BO71" s="46">
        <f t="shared" ref="BO71:BO134" si="127">BK71+BL71+BM71+BN71</f>
        <v>1434983</v>
      </c>
      <c r="BP71" s="46">
        <f t="shared" ref="BP71:BP134" si="128">BJ71+BM71</f>
        <v>0</v>
      </c>
      <c r="BQ71" s="46">
        <f t="shared" ref="BQ71:BQ134" si="129">ROUND(($G71+$H71)*$BQ$4,0)</f>
        <v>648392</v>
      </c>
      <c r="BR71" s="46">
        <f t="shared" ref="BR71:BR134" si="130">+ROUND($BR$4*($G71+$H71),0)</f>
        <v>0</v>
      </c>
      <c r="BS71" s="46">
        <f t="shared" ref="BS71:BS134" si="131">IF($E71&gt;BQ71,$E71-BQ71,0)</f>
        <v>91349</v>
      </c>
      <c r="BT71" s="46">
        <v>0</v>
      </c>
      <c r="BU71" s="46">
        <f t="shared" ref="BU71:BU134" si="132">BQ71+BR71+BS71+BT71</f>
        <v>739741</v>
      </c>
      <c r="BV71" s="46">
        <f t="shared" ref="BV71:BV134" si="133">BP71+BS71</f>
        <v>91349</v>
      </c>
      <c r="BW71" s="46">
        <f t="shared" ref="BW71:BW134" si="134">ROUND(($G71+$H71)*$BW$4,0)</f>
        <v>1242499</v>
      </c>
      <c r="BX71" s="46">
        <f t="shared" ref="BX71:BX134" si="135">+ROUND($BX$4*($G71+$H71),0)</f>
        <v>202540</v>
      </c>
      <c r="BY71" s="46">
        <f t="shared" ref="BY71:BY134" si="136">-BV71</f>
        <v>-91349</v>
      </c>
      <c r="BZ71" s="46">
        <v>0</v>
      </c>
      <c r="CA71" s="46">
        <f t="shared" ref="CA71:CA134" si="137">BW71+BX71+BY71+BZ71</f>
        <v>1353690</v>
      </c>
      <c r="CB71" s="46">
        <f t="shared" ref="CB71:CB134" si="138">BV71+BY71</f>
        <v>0</v>
      </c>
      <c r="CC71" s="155">
        <f t="shared" si="66"/>
        <v>0</v>
      </c>
      <c r="CD71" s="79" t="s">
        <v>538</v>
      </c>
      <c r="CE71" s="65">
        <f t="shared" si="67"/>
        <v>739741</v>
      </c>
      <c r="CF71" s="65">
        <f t="shared" si="68"/>
        <v>739741</v>
      </c>
      <c r="CG71" s="65">
        <f t="shared" si="69"/>
        <v>711735</v>
      </c>
      <c r="CH71" s="65">
        <f t="shared" si="70"/>
        <v>739741</v>
      </c>
      <c r="CI71" s="65">
        <f t="shared" si="71"/>
        <v>2196324</v>
      </c>
      <c r="CJ71" s="65">
        <f t="shared" si="72"/>
        <v>761252</v>
      </c>
      <c r="CK71" s="65">
        <f t="shared" si="73"/>
        <v>1332205</v>
      </c>
      <c r="CL71" s="65">
        <f t="shared" si="74"/>
        <v>739741</v>
      </c>
      <c r="CM71" s="65">
        <f t="shared" si="75"/>
        <v>858804</v>
      </c>
      <c r="CN71" s="65">
        <f t="shared" si="76"/>
        <v>1434983</v>
      </c>
      <c r="CO71" s="65">
        <f t="shared" si="77"/>
        <v>739741</v>
      </c>
      <c r="CP71" s="65">
        <f t="shared" si="78"/>
        <v>1353690</v>
      </c>
      <c r="CQ71" s="40" t="s">
        <v>538</v>
      </c>
    </row>
    <row r="72" spans="1:95" ht="3" customHeight="1" x14ac:dyDescent="0.25">
      <c r="A72" s="39">
        <v>1</v>
      </c>
      <c r="B72" s="28">
        <v>5604</v>
      </c>
      <c r="C72" s="28" t="s">
        <v>103</v>
      </c>
      <c r="D72" s="48">
        <f>+DATA!Q70</f>
        <v>15640618.529999999</v>
      </c>
      <c r="E72" s="48">
        <f t="shared" ref="E72:E135" si="139">ROUND(D72/12*$E$4,0)*A72</f>
        <v>1029674</v>
      </c>
      <c r="F72" s="48">
        <f t="shared" ref="F72:F135" si="140">ROUND(D72/12*$F$4,0)*A72</f>
        <v>1564062</v>
      </c>
      <c r="G72" s="49">
        <f>VLOOKUP(B72,'CALC MEC ESTAB Y ESTIM M FINAL'!$B$7:$F$352,5,0)</f>
        <v>9.0897504326999997E-3</v>
      </c>
      <c r="H72" s="49">
        <f>VLOOKUP(B72,'CALC MEC ESTAB Y ESTIM M FINAL'!$B$7:$R$352,17,0)</f>
        <v>-8.7974954320000005E-4</v>
      </c>
      <c r="I72" s="46">
        <f t="shared" si="79"/>
        <v>676932</v>
      </c>
      <c r="J72" s="46">
        <f t="shared" si="80"/>
        <v>0</v>
      </c>
      <c r="K72" s="46">
        <f t="shared" si="81"/>
        <v>352742</v>
      </c>
      <c r="L72" s="46">
        <v>0</v>
      </c>
      <c r="M72" s="46">
        <f t="shared" si="82"/>
        <v>1029674</v>
      </c>
      <c r="N72" s="46">
        <f t="shared" si="83"/>
        <v>352742</v>
      </c>
      <c r="O72" s="46">
        <f t="shared" si="84"/>
        <v>359970</v>
      </c>
      <c r="P72" s="46">
        <f t="shared" si="85"/>
        <v>0</v>
      </c>
      <c r="Q72" s="46">
        <f t="shared" si="86"/>
        <v>669704</v>
      </c>
      <c r="R72" s="46">
        <v>0</v>
      </c>
      <c r="S72" s="46">
        <f t="shared" si="87"/>
        <v>1029674</v>
      </c>
      <c r="T72" s="46">
        <f t="shared" si="88"/>
        <v>1022446</v>
      </c>
      <c r="U72" s="46">
        <f t="shared" si="89"/>
        <v>1026913</v>
      </c>
      <c r="V72" s="46">
        <f t="shared" si="90"/>
        <v>0</v>
      </c>
      <c r="W72" s="46">
        <f t="shared" si="91"/>
        <v>0</v>
      </c>
      <c r="X72" s="46">
        <v>0</v>
      </c>
      <c r="Y72" s="46">
        <f t="shared" si="92"/>
        <v>1026913</v>
      </c>
      <c r="Z72" s="46">
        <f t="shared" si="93"/>
        <v>1022446</v>
      </c>
      <c r="AA72" s="46">
        <f t="shared" si="94"/>
        <v>545275</v>
      </c>
      <c r="AB72" s="46">
        <f t="shared" si="95"/>
        <v>0</v>
      </c>
      <c r="AC72" s="46">
        <f t="shared" si="96"/>
        <v>484399</v>
      </c>
      <c r="AD72" s="46">
        <v>0</v>
      </c>
      <c r="AE72" s="46">
        <f t="shared" si="97"/>
        <v>1029674</v>
      </c>
      <c r="AF72" s="46">
        <f t="shared" si="98"/>
        <v>1506845</v>
      </c>
      <c r="AG72" s="46">
        <f t="shared" si="99"/>
        <v>4744910</v>
      </c>
      <c r="AH72" s="46">
        <f t="shared" si="100"/>
        <v>43794</v>
      </c>
      <c r="AI72" s="46">
        <f t="shared" si="101"/>
        <v>-1506845</v>
      </c>
      <c r="AJ72" s="46">
        <v>0</v>
      </c>
      <c r="AK72" s="46">
        <f t="shared" si="102"/>
        <v>3281859</v>
      </c>
      <c r="AL72" s="46">
        <f t="shared" si="103"/>
        <v>0</v>
      </c>
      <c r="AM72" s="46">
        <f t="shared" si="104"/>
        <v>939845</v>
      </c>
      <c r="AN72" s="46">
        <f t="shared" si="105"/>
        <v>31037</v>
      </c>
      <c r="AO72" s="46">
        <f t="shared" si="106"/>
        <v>89829</v>
      </c>
      <c r="AP72" s="46">
        <v>0</v>
      </c>
      <c r="AQ72" s="46">
        <f t="shared" si="107"/>
        <v>1060711</v>
      </c>
      <c r="AR72" s="46">
        <f t="shared" si="108"/>
        <v>89829</v>
      </c>
      <c r="AS72" s="46">
        <f t="shared" si="109"/>
        <v>1868245</v>
      </c>
      <c r="AT72" s="46">
        <f t="shared" si="110"/>
        <v>181373</v>
      </c>
      <c r="AU72" s="46">
        <f t="shared" si="111"/>
        <v>-89829</v>
      </c>
      <c r="AV72" s="46">
        <v>0</v>
      </c>
      <c r="AW72" s="46">
        <f t="shared" si="112"/>
        <v>1959789</v>
      </c>
      <c r="AX72" s="46">
        <f t="shared" si="113"/>
        <v>0</v>
      </c>
      <c r="AY72" s="46">
        <f t="shared" si="114"/>
        <v>617110</v>
      </c>
      <c r="AZ72" s="46">
        <f t="shared" si="115"/>
        <v>0</v>
      </c>
      <c r="BA72" s="46">
        <f t="shared" si="116"/>
        <v>412564</v>
      </c>
      <c r="BB72" s="46"/>
      <c r="BC72" s="46">
        <f t="shared" si="117"/>
        <v>1029674</v>
      </c>
      <c r="BD72" s="46">
        <f t="shared" si="118"/>
        <v>412564</v>
      </c>
      <c r="BE72" s="46">
        <f t="shared" si="119"/>
        <v>1194643</v>
      </c>
      <c r="BF72" s="46">
        <f t="shared" si="120"/>
        <v>44464</v>
      </c>
      <c r="BG72" s="46">
        <f t="shared" si="121"/>
        <v>0</v>
      </c>
      <c r="BH72" s="46">
        <v>0</v>
      </c>
      <c r="BI72" s="46">
        <f t="shared" si="122"/>
        <v>1239107</v>
      </c>
      <c r="BJ72" s="46">
        <f t="shared" si="123"/>
        <v>412564</v>
      </c>
      <c r="BK72" s="46">
        <f t="shared" si="124"/>
        <v>2520645</v>
      </c>
      <c r="BL72" s="46">
        <f t="shared" si="125"/>
        <v>0</v>
      </c>
      <c r="BM72" s="46">
        <f t="shared" si="126"/>
        <v>-412564</v>
      </c>
      <c r="BN72" s="46">
        <v>0</v>
      </c>
      <c r="BO72" s="46">
        <f t="shared" si="127"/>
        <v>2108081</v>
      </c>
      <c r="BP72" s="46">
        <f t="shared" si="128"/>
        <v>0</v>
      </c>
      <c r="BQ72" s="46">
        <f t="shared" si="129"/>
        <v>935519</v>
      </c>
      <c r="BR72" s="46">
        <f t="shared" si="130"/>
        <v>0</v>
      </c>
      <c r="BS72" s="46">
        <f t="shared" si="131"/>
        <v>94155</v>
      </c>
      <c r="BT72" s="46">
        <v>0</v>
      </c>
      <c r="BU72" s="46">
        <f t="shared" si="132"/>
        <v>1029674</v>
      </c>
      <c r="BV72" s="46">
        <f t="shared" si="133"/>
        <v>94155</v>
      </c>
      <c r="BW72" s="46">
        <f t="shared" si="134"/>
        <v>1792714</v>
      </c>
      <c r="BX72" s="46">
        <f t="shared" si="135"/>
        <v>292231</v>
      </c>
      <c r="BY72" s="46">
        <f t="shared" si="136"/>
        <v>-94155</v>
      </c>
      <c r="BZ72" s="46">
        <v>0</v>
      </c>
      <c r="CA72" s="46">
        <f t="shared" si="137"/>
        <v>1990790</v>
      </c>
      <c r="CB72" s="46">
        <f t="shared" si="138"/>
        <v>0</v>
      </c>
      <c r="CC72" s="155">
        <f t="shared" ref="CC72:CC135" si="141">+K72+Q72+W72+AC72+AI72+AO72+AU72+BA72+BG72+BM72+BS72+BY72</f>
        <v>0</v>
      </c>
      <c r="CD72" s="79" t="s">
        <v>538</v>
      </c>
      <c r="CE72" s="65">
        <f t="shared" ref="CE72:CE135" si="142">+M72-L72</f>
        <v>1029674</v>
      </c>
      <c r="CF72" s="65">
        <f t="shared" ref="CF72:CF135" si="143">+S72-R72</f>
        <v>1029674</v>
      </c>
      <c r="CG72" s="65">
        <f t="shared" ref="CG72:CG135" si="144">+Y72-X72</f>
        <v>1026913</v>
      </c>
      <c r="CH72" s="65">
        <f t="shared" ref="CH72:CH135" si="145">+AE72-AD72</f>
        <v>1029674</v>
      </c>
      <c r="CI72" s="65">
        <f t="shared" ref="CI72:CI135" si="146">+AK72-AJ72</f>
        <v>3281859</v>
      </c>
      <c r="CJ72" s="65">
        <f t="shared" ref="CJ72:CJ135" si="147">+AQ72-AP72</f>
        <v>1060711</v>
      </c>
      <c r="CK72" s="65">
        <f t="shared" ref="CK72:CK135" si="148">+AW72-AV72</f>
        <v>1959789</v>
      </c>
      <c r="CL72" s="65">
        <f t="shared" ref="CL72:CL135" si="149">+BC72-BB72</f>
        <v>1029674</v>
      </c>
      <c r="CM72" s="65">
        <f t="shared" ref="CM72:CM135" si="150">+BI72-BH72</f>
        <v>1239107</v>
      </c>
      <c r="CN72" s="65">
        <f t="shared" ref="CN72:CN135" si="151">+BO72-BN72</f>
        <v>2108081</v>
      </c>
      <c r="CO72" s="65">
        <f t="shared" ref="CO72:CO135" si="152">+BU72-BT72</f>
        <v>1029674</v>
      </c>
      <c r="CP72" s="65">
        <f t="shared" ref="CP72:CP135" si="153">+CA72-BZ72</f>
        <v>1990790</v>
      </c>
      <c r="CQ72" s="40" t="s">
        <v>538</v>
      </c>
    </row>
    <row r="73" spans="1:95" ht="3" customHeight="1" x14ac:dyDescent="0.25">
      <c r="A73" s="39">
        <v>1</v>
      </c>
      <c r="B73" s="28">
        <v>5605</v>
      </c>
      <c r="C73" s="28" t="s">
        <v>102</v>
      </c>
      <c r="D73" s="48">
        <f>+DATA!Q71</f>
        <v>15993531.819</v>
      </c>
      <c r="E73" s="48">
        <f t="shared" si="139"/>
        <v>1052908</v>
      </c>
      <c r="F73" s="48">
        <f t="shared" si="140"/>
        <v>1599353</v>
      </c>
      <c r="G73" s="49">
        <f>VLOOKUP(B73,'CALC MEC ESTAB Y ESTIM M FINAL'!$B$7:$F$352,5,0)</f>
        <v>1.0296521052200001E-2</v>
      </c>
      <c r="H73" s="49">
        <f>VLOOKUP(B73,'CALC MEC ESTAB Y ESTIM M FINAL'!$B$7:$R$352,17,0)</f>
        <v>-1.4477868248E-3</v>
      </c>
      <c r="I73" s="46">
        <f t="shared" si="79"/>
        <v>729597</v>
      </c>
      <c r="J73" s="46">
        <f t="shared" si="80"/>
        <v>0</v>
      </c>
      <c r="K73" s="46">
        <f t="shared" si="81"/>
        <v>323311</v>
      </c>
      <c r="L73" s="46">
        <v>0</v>
      </c>
      <c r="M73" s="46">
        <f t="shared" si="82"/>
        <v>1052908</v>
      </c>
      <c r="N73" s="46">
        <f t="shared" si="83"/>
        <v>323311</v>
      </c>
      <c r="O73" s="46">
        <f t="shared" si="84"/>
        <v>387975</v>
      </c>
      <c r="P73" s="46">
        <f t="shared" si="85"/>
        <v>0</v>
      </c>
      <c r="Q73" s="46">
        <f t="shared" si="86"/>
        <v>664933</v>
      </c>
      <c r="R73" s="46">
        <v>0</v>
      </c>
      <c r="S73" s="46">
        <f t="shared" si="87"/>
        <v>1052908</v>
      </c>
      <c r="T73" s="46">
        <f t="shared" si="88"/>
        <v>988244</v>
      </c>
      <c r="U73" s="46">
        <f t="shared" si="89"/>
        <v>1106806</v>
      </c>
      <c r="V73" s="46">
        <f t="shared" si="90"/>
        <v>0</v>
      </c>
      <c r="W73" s="46">
        <f t="shared" si="91"/>
        <v>0</v>
      </c>
      <c r="X73" s="46">
        <v>0</v>
      </c>
      <c r="Y73" s="46">
        <f t="shared" si="92"/>
        <v>1106806</v>
      </c>
      <c r="Z73" s="46">
        <f t="shared" si="93"/>
        <v>988244</v>
      </c>
      <c r="AA73" s="46">
        <f t="shared" si="94"/>
        <v>587697</v>
      </c>
      <c r="AB73" s="46">
        <f t="shared" si="95"/>
        <v>0</v>
      </c>
      <c r="AC73" s="46">
        <f t="shared" si="96"/>
        <v>465211</v>
      </c>
      <c r="AD73" s="46">
        <v>0</v>
      </c>
      <c r="AE73" s="46">
        <f t="shared" si="97"/>
        <v>1052908</v>
      </c>
      <c r="AF73" s="46">
        <f t="shared" si="98"/>
        <v>1453455</v>
      </c>
      <c r="AG73" s="46">
        <f t="shared" si="99"/>
        <v>5114061</v>
      </c>
      <c r="AH73" s="46">
        <f t="shared" si="100"/>
        <v>47201</v>
      </c>
      <c r="AI73" s="46">
        <f t="shared" si="101"/>
        <v>-1453455</v>
      </c>
      <c r="AJ73" s="46">
        <v>0</v>
      </c>
      <c r="AK73" s="46">
        <f t="shared" si="102"/>
        <v>3707807</v>
      </c>
      <c r="AL73" s="46">
        <f t="shared" si="103"/>
        <v>0</v>
      </c>
      <c r="AM73" s="46">
        <f t="shared" si="104"/>
        <v>1012965</v>
      </c>
      <c r="AN73" s="46">
        <f t="shared" si="105"/>
        <v>33452</v>
      </c>
      <c r="AO73" s="46">
        <f t="shared" si="106"/>
        <v>39943</v>
      </c>
      <c r="AP73" s="46">
        <v>0</v>
      </c>
      <c r="AQ73" s="46">
        <f t="shared" si="107"/>
        <v>1086360</v>
      </c>
      <c r="AR73" s="46">
        <f t="shared" si="108"/>
        <v>39943</v>
      </c>
      <c r="AS73" s="46">
        <f t="shared" si="109"/>
        <v>2013594</v>
      </c>
      <c r="AT73" s="46">
        <f t="shared" si="110"/>
        <v>195483</v>
      </c>
      <c r="AU73" s="46">
        <f t="shared" si="111"/>
        <v>-39943</v>
      </c>
      <c r="AV73" s="46">
        <v>0</v>
      </c>
      <c r="AW73" s="46">
        <f t="shared" si="112"/>
        <v>2169134</v>
      </c>
      <c r="AX73" s="46">
        <f t="shared" si="113"/>
        <v>0</v>
      </c>
      <c r="AY73" s="46">
        <f t="shared" si="114"/>
        <v>665121</v>
      </c>
      <c r="AZ73" s="46">
        <f t="shared" si="115"/>
        <v>0</v>
      </c>
      <c r="BA73" s="46">
        <f t="shared" si="116"/>
        <v>387787</v>
      </c>
      <c r="BB73" s="46"/>
      <c r="BC73" s="46">
        <f t="shared" si="117"/>
        <v>1052908</v>
      </c>
      <c r="BD73" s="46">
        <f t="shared" si="118"/>
        <v>387787</v>
      </c>
      <c r="BE73" s="46">
        <f t="shared" si="119"/>
        <v>1287586</v>
      </c>
      <c r="BF73" s="46">
        <f t="shared" si="120"/>
        <v>47923</v>
      </c>
      <c r="BG73" s="46">
        <f t="shared" si="121"/>
        <v>0</v>
      </c>
      <c r="BH73" s="46">
        <v>0</v>
      </c>
      <c r="BI73" s="46">
        <f t="shared" si="122"/>
        <v>1335509</v>
      </c>
      <c r="BJ73" s="46">
        <f t="shared" si="123"/>
        <v>387787</v>
      </c>
      <c r="BK73" s="46">
        <f t="shared" si="124"/>
        <v>2716750</v>
      </c>
      <c r="BL73" s="46">
        <f t="shared" si="125"/>
        <v>0</v>
      </c>
      <c r="BM73" s="46">
        <f t="shared" si="126"/>
        <v>-387787</v>
      </c>
      <c r="BN73" s="46">
        <v>0</v>
      </c>
      <c r="BO73" s="46">
        <f t="shared" si="127"/>
        <v>2328963</v>
      </c>
      <c r="BP73" s="46">
        <f t="shared" si="128"/>
        <v>0</v>
      </c>
      <c r="BQ73" s="46">
        <f t="shared" si="129"/>
        <v>1008302</v>
      </c>
      <c r="BR73" s="46">
        <f t="shared" si="130"/>
        <v>0</v>
      </c>
      <c r="BS73" s="46">
        <f t="shared" si="131"/>
        <v>44606</v>
      </c>
      <c r="BT73" s="46">
        <v>0</v>
      </c>
      <c r="BU73" s="46">
        <f t="shared" si="132"/>
        <v>1052908</v>
      </c>
      <c r="BV73" s="46">
        <f t="shared" si="133"/>
        <v>44606</v>
      </c>
      <c r="BW73" s="46">
        <f t="shared" si="134"/>
        <v>1932186</v>
      </c>
      <c r="BX73" s="46">
        <f t="shared" si="135"/>
        <v>314966</v>
      </c>
      <c r="BY73" s="46">
        <f t="shared" si="136"/>
        <v>-44606</v>
      </c>
      <c r="BZ73" s="46">
        <v>0</v>
      </c>
      <c r="CA73" s="46">
        <f t="shared" si="137"/>
        <v>2202546</v>
      </c>
      <c r="CB73" s="46">
        <f t="shared" si="138"/>
        <v>0</v>
      </c>
      <c r="CC73" s="155">
        <f t="shared" si="141"/>
        <v>0</v>
      </c>
      <c r="CD73" s="79" t="s">
        <v>538</v>
      </c>
      <c r="CE73" s="65">
        <f t="shared" si="142"/>
        <v>1052908</v>
      </c>
      <c r="CF73" s="65">
        <f t="shared" si="143"/>
        <v>1052908</v>
      </c>
      <c r="CG73" s="65">
        <f t="shared" si="144"/>
        <v>1106806</v>
      </c>
      <c r="CH73" s="65">
        <f t="shared" si="145"/>
        <v>1052908</v>
      </c>
      <c r="CI73" s="65">
        <f t="shared" si="146"/>
        <v>3707807</v>
      </c>
      <c r="CJ73" s="65">
        <f t="shared" si="147"/>
        <v>1086360</v>
      </c>
      <c r="CK73" s="65">
        <f t="shared" si="148"/>
        <v>2169134</v>
      </c>
      <c r="CL73" s="65">
        <f t="shared" si="149"/>
        <v>1052908</v>
      </c>
      <c r="CM73" s="65">
        <f t="shared" si="150"/>
        <v>1335509</v>
      </c>
      <c r="CN73" s="65">
        <f t="shared" si="151"/>
        <v>2328963</v>
      </c>
      <c r="CO73" s="65">
        <f t="shared" si="152"/>
        <v>1052908</v>
      </c>
      <c r="CP73" s="65">
        <f t="shared" si="153"/>
        <v>2202546</v>
      </c>
      <c r="CQ73" s="40" t="s">
        <v>538</v>
      </c>
    </row>
    <row r="74" spans="1:95" ht="3" customHeight="1" x14ac:dyDescent="0.25">
      <c r="A74" s="39">
        <v>1</v>
      </c>
      <c r="B74" s="28">
        <v>5606</v>
      </c>
      <c r="C74" s="28" t="s">
        <v>100</v>
      </c>
      <c r="D74" s="48">
        <f>+DATA!Q72</f>
        <v>1914113.497</v>
      </c>
      <c r="E74" s="48">
        <f t="shared" si="139"/>
        <v>126012</v>
      </c>
      <c r="F74" s="48">
        <f t="shared" si="140"/>
        <v>191411</v>
      </c>
      <c r="G74" s="49">
        <f>VLOOKUP(B74,'CALC MEC ESTAB Y ESTIM M FINAL'!$B$7:$F$352,5,0)</f>
        <v>1.0024095685E-3</v>
      </c>
      <c r="H74" s="49">
        <f>VLOOKUP(B74,'CALC MEC ESTAB Y ESTIM M FINAL'!$B$7:$R$352,17,0)</f>
        <v>-4.7510513599999997E-5</v>
      </c>
      <c r="I74" s="46">
        <f t="shared" si="79"/>
        <v>78733</v>
      </c>
      <c r="J74" s="46">
        <f t="shared" si="80"/>
        <v>0</v>
      </c>
      <c r="K74" s="46">
        <f t="shared" si="81"/>
        <v>47279</v>
      </c>
      <c r="L74" s="46">
        <v>0</v>
      </c>
      <c r="M74" s="46">
        <f t="shared" si="82"/>
        <v>126012</v>
      </c>
      <c r="N74" s="46">
        <f t="shared" si="83"/>
        <v>47279</v>
      </c>
      <c r="O74" s="46">
        <f t="shared" si="84"/>
        <v>41868</v>
      </c>
      <c r="P74" s="46">
        <f t="shared" si="85"/>
        <v>0</v>
      </c>
      <c r="Q74" s="46">
        <f t="shared" si="86"/>
        <v>84144</v>
      </c>
      <c r="R74" s="46">
        <v>0</v>
      </c>
      <c r="S74" s="46">
        <f t="shared" si="87"/>
        <v>126012</v>
      </c>
      <c r="T74" s="46">
        <f t="shared" si="88"/>
        <v>131423</v>
      </c>
      <c r="U74" s="46">
        <f t="shared" si="89"/>
        <v>119439</v>
      </c>
      <c r="V74" s="46">
        <f t="shared" si="90"/>
        <v>0</v>
      </c>
      <c r="W74" s="46">
        <f t="shared" si="91"/>
        <v>0</v>
      </c>
      <c r="X74" s="46">
        <v>0</v>
      </c>
      <c r="Y74" s="46">
        <f t="shared" si="92"/>
        <v>119439</v>
      </c>
      <c r="Z74" s="46">
        <f t="shared" si="93"/>
        <v>131423</v>
      </c>
      <c r="AA74" s="46">
        <f t="shared" si="94"/>
        <v>63420</v>
      </c>
      <c r="AB74" s="46">
        <f t="shared" si="95"/>
        <v>0</v>
      </c>
      <c r="AC74" s="46">
        <f t="shared" si="96"/>
        <v>62592</v>
      </c>
      <c r="AD74" s="46">
        <v>0</v>
      </c>
      <c r="AE74" s="46">
        <f t="shared" si="97"/>
        <v>126012</v>
      </c>
      <c r="AF74" s="46">
        <f t="shared" si="98"/>
        <v>194015</v>
      </c>
      <c r="AG74" s="46">
        <f t="shared" si="99"/>
        <v>551877</v>
      </c>
      <c r="AH74" s="46">
        <f t="shared" si="100"/>
        <v>5094</v>
      </c>
      <c r="AI74" s="46">
        <f t="shared" si="101"/>
        <v>-194015</v>
      </c>
      <c r="AJ74" s="46">
        <v>0</v>
      </c>
      <c r="AK74" s="46">
        <f t="shared" si="102"/>
        <v>362956</v>
      </c>
      <c r="AL74" s="46">
        <f t="shared" si="103"/>
        <v>0</v>
      </c>
      <c r="AM74" s="46">
        <f t="shared" si="104"/>
        <v>109313</v>
      </c>
      <c r="AN74" s="46">
        <f t="shared" si="105"/>
        <v>3610</v>
      </c>
      <c r="AO74" s="46">
        <f t="shared" si="106"/>
        <v>16699</v>
      </c>
      <c r="AP74" s="46">
        <v>0</v>
      </c>
      <c r="AQ74" s="46">
        <f t="shared" si="107"/>
        <v>129622</v>
      </c>
      <c r="AR74" s="46">
        <f t="shared" si="108"/>
        <v>16699</v>
      </c>
      <c r="AS74" s="46">
        <f t="shared" si="109"/>
        <v>217294</v>
      </c>
      <c r="AT74" s="46">
        <f t="shared" si="110"/>
        <v>21095</v>
      </c>
      <c r="AU74" s="46">
        <f t="shared" si="111"/>
        <v>-16699</v>
      </c>
      <c r="AV74" s="46">
        <v>0</v>
      </c>
      <c r="AW74" s="46">
        <f t="shared" si="112"/>
        <v>221690</v>
      </c>
      <c r="AX74" s="46">
        <f t="shared" si="113"/>
        <v>0</v>
      </c>
      <c r="AY74" s="46">
        <f t="shared" si="114"/>
        <v>71776</v>
      </c>
      <c r="AZ74" s="46">
        <f t="shared" si="115"/>
        <v>0</v>
      </c>
      <c r="BA74" s="46">
        <f t="shared" si="116"/>
        <v>54236</v>
      </c>
      <c r="BB74" s="46"/>
      <c r="BC74" s="46">
        <f t="shared" si="117"/>
        <v>126012</v>
      </c>
      <c r="BD74" s="46">
        <f t="shared" si="118"/>
        <v>54236</v>
      </c>
      <c r="BE74" s="46">
        <f t="shared" si="119"/>
        <v>138948</v>
      </c>
      <c r="BF74" s="46">
        <f t="shared" si="120"/>
        <v>5172</v>
      </c>
      <c r="BG74" s="46">
        <f t="shared" si="121"/>
        <v>0</v>
      </c>
      <c r="BH74" s="46">
        <v>0</v>
      </c>
      <c r="BI74" s="46">
        <f t="shared" si="122"/>
        <v>144120</v>
      </c>
      <c r="BJ74" s="46">
        <f t="shared" si="123"/>
        <v>54236</v>
      </c>
      <c r="BK74" s="46">
        <f t="shared" si="124"/>
        <v>293174</v>
      </c>
      <c r="BL74" s="46">
        <f t="shared" si="125"/>
        <v>0</v>
      </c>
      <c r="BM74" s="46">
        <f t="shared" si="126"/>
        <v>-54236</v>
      </c>
      <c r="BN74" s="46">
        <v>0</v>
      </c>
      <c r="BO74" s="46">
        <f t="shared" si="127"/>
        <v>238938</v>
      </c>
      <c r="BP74" s="46">
        <f t="shared" si="128"/>
        <v>0</v>
      </c>
      <c r="BQ74" s="46">
        <f t="shared" si="129"/>
        <v>108810</v>
      </c>
      <c r="BR74" s="46">
        <f t="shared" si="130"/>
        <v>0</v>
      </c>
      <c r="BS74" s="46">
        <f t="shared" si="131"/>
        <v>17202</v>
      </c>
      <c r="BT74" s="46">
        <v>0</v>
      </c>
      <c r="BU74" s="46">
        <f t="shared" si="132"/>
        <v>126012</v>
      </c>
      <c r="BV74" s="46">
        <f t="shared" si="133"/>
        <v>17202</v>
      </c>
      <c r="BW74" s="46">
        <f t="shared" si="134"/>
        <v>208509</v>
      </c>
      <c r="BX74" s="46">
        <f t="shared" si="135"/>
        <v>33989</v>
      </c>
      <c r="BY74" s="46">
        <f t="shared" si="136"/>
        <v>-17202</v>
      </c>
      <c r="BZ74" s="46">
        <v>0</v>
      </c>
      <c r="CA74" s="46">
        <f t="shared" si="137"/>
        <v>225296</v>
      </c>
      <c r="CB74" s="46">
        <f t="shared" si="138"/>
        <v>0</v>
      </c>
      <c r="CC74" s="155">
        <f t="shared" si="141"/>
        <v>0</v>
      </c>
      <c r="CD74" s="79" t="s">
        <v>538</v>
      </c>
      <c r="CE74" s="65">
        <f t="shared" si="142"/>
        <v>126012</v>
      </c>
      <c r="CF74" s="65">
        <f t="shared" si="143"/>
        <v>126012</v>
      </c>
      <c r="CG74" s="65">
        <f t="shared" si="144"/>
        <v>119439</v>
      </c>
      <c r="CH74" s="65">
        <f t="shared" si="145"/>
        <v>126012</v>
      </c>
      <c r="CI74" s="65">
        <f t="shared" si="146"/>
        <v>362956</v>
      </c>
      <c r="CJ74" s="65">
        <f t="shared" si="147"/>
        <v>129622</v>
      </c>
      <c r="CK74" s="65">
        <f t="shared" si="148"/>
        <v>221690</v>
      </c>
      <c r="CL74" s="65">
        <f t="shared" si="149"/>
        <v>126012</v>
      </c>
      <c r="CM74" s="65">
        <f t="shared" si="150"/>
        <v>144120</v>
      </c>
      <c r="CN74" s="65">
        <f t="shared" si="151"/>
        <v>238938</v>
      </c>
      <c r="CO74" s="65">
        <f t="shared" si="152"/>
        <v>126012</v>
      </c>
      <c r="CP74" s="65">
        <f t="shared" si="153"/>
        <v>225296</v>
      </c>
      <c r="CQ74" s="40" t="s">
        <v>538</v>
      </c>
    </row>
    <row r="75" spans="1:95" ht="3" customHeight="1" x14ac:dyDescent="0.25">
      <c r="A75" s="39">
        <v>1</v>
      </c>
      <c r="B75" s="28">
        <v>5701</v>
      </c>
      <c r="C75" s="28" t="s">
        <v>111</v>
      </c>
      <c r="D75" s="48">
        <f>+DATA!Q73</f>
        <v>8967904.1119999997</v>
      </c>
      <c r="E75" s="48">
        <f t="shared" si="139"/>
        <v>590387</v>
      </c>
      <c r="F75" s="48">
        <f t="shared" si="140"/>
        <v>896790</v>
      </c>
      <c r="G75" s="49">
        <f>VLOOKUP(B75,'CALC MEC ESTAB Y ESTIM M FINAL'!$B$7:$F$352,5,0)</f>
        <v>4.5369317958999997E-3</v>
      </c>
      <c r="H75" s="49">
        <f>VLOOKUP(B75,'CALC MEC ESTAB Y ESTIM M FINAL'!$B$7:$R$352,17,0)</f>
        <v>-1.3596542799999999E-4</v>
      </c>
      <c r="I75" s="46">
        <f t="shared" si="79"/>
        <v>362869</v>
      </c>
      <c r="J75" s="46">
        <f t="shared" si="80"/>
        <v>0</v>
      </c>
      <c r="K75" s="46">
        <f t="shared" si="81"/>
        <v>227518</v>
      </c>
      <c r="L75" s="46">
        <v>0</v>
      </c>
      <c r="M75" s="46">
        <f t="shared" si="82"/>
        <v>590387</v>
      </c>
      <c r="N75" s="46">
        <f t="shared" si="83"/>
        <v>227518</v>
      </c>
      <c r="O75" s="46">
        <f t="shared" si="84"/>
        <v>192962</v>
      </c>
      <c r="P75" s="46">
        <f t="shared" si="85"/>
        <v>0</v>
      </c>
      <c r="Q75" s="46">
        <f t="shared" si="86"/>
        <v>397425</v>
      </c>
      <c r="R75" s="46">
        <v>0</v>
      </c>
      <c r="S75" s="46">
        <f t="shared" si="87"/>
        <v>590387</v>
      </c>
      <c r="T75" s="46">
        <f t="shared" si="88"/>
        <v>624943</v>
      </c>
      <c r="U75" s="46">
        <f t="shared" si="89"/>
        <v>550476</v>
      </c>
      <c r="V75" s="46">
        <f t="shared" si="90"/>
        <v>0</v>
      </c>
      <c r="W75" s="46">
        <f t="shared" si="91"/>
        <v>0</v>
      </c>
      <c r="X75" s="46">
        <v>0</v>
      </c>
      <c r="Y75" s="46">
        <f t="shared" si="92"/>
        <v>550476</v>
      </c>
      <c r="Z75" s="46">
        <f t="shared" si="93"/>
        <v>624943</v>
      </c>
      <c r="AA75" s="46">
        <f t="shared" si="94"/>
        <v>292294</v>
      </c>
      <c r="AB75" s="46">
        <f t="shared" si="95"/>
        <v>0</v>
      </c>
      <c r="AC75" s="46">
        <f t="shared" si="96"/>
        <v>298093</v>
      </c>
      <c r="AD75" s="46">
        <v>0</v>
      </c>
      <c r="AE75" s="46">
        <f t="shared" si="97"/>
        <v>590387</v>
      </c>
      <c r="AF75" s="46">
        <f t="shared" si="98"/>
        <v>923036</v>
      </c>
      <c r="AG75" s="46">
        <f t="shared" si="99"/>
        <v>2543506</v>
      </c>
      <c r="AH75" s="46">
        <f t="shared" si="100"/>
        <v>23476</v>
      </c>
      <c r="AI75" s="46">
        <f t="shared" si="101"/>
        <v>-923036</v>
      </c>
      <c r="AJ75" s="46">
        <v>0</v>
      </c>
      <c r="AK75" s="46">
        <f t="shared" si="102"/>
        <v>1643946</v>
      </c>
      <c r="AL75" s="46">
        <f t="shared" si="103"/>
        <v>0</v>
      </c>
      <c r="AM75" s="46">
        <f t="shared" si="104"/>
        <v>503804</v>
      </c>
      <c r="AN75" s="46">
        <f t="shared" si="105"/>
        <v>16638</v>
      </c>
      <c r="AO75" s="46">
        <f t="shared" si="106"/>
        <v>86583</v>
      </c>
      <c r="AP75" s="46">
        <v>0</v>
      </c>
      <c r="AQ75" s="46">
        <f t="shared" si="107"/>
        <v>607025</v>
      </c>
      <c r="AR75" s="46">
        <f t="shared" si="108"/>
        <v>86583</v>
      </c>
      <c r="AS75" s="46">
        <f t="shared" si="109"/>
        <v>1001472</v>
      </c>
      <c r="AT75" s="46">
        <f t="shared" si="110"/>
        <v>97225</v>
      </c>
      <c r="AU75" s="46">
        <f t="shared" si="111"/>
        <v>-86583</v>
      </c>
      <c r="AV75" s="46">
        <v>0</v>
      </c>
      <c r="AW75" s="46">
        <f t="shared" si="112"/>
        <v>1012114</v>
      </c>
      <c r="AX75" s="46">
        <f t="shared" si="113"/>
        <v>0</v>
      </c>
      <c r="AY75" s="46">
        <f t="shared" si="114"/>
        <v>330801</v>
      </c>
      <c r="AZ75" s="46">
        <f t="shared" si="115"/>
        <v>0</v>
      </c>
      <c r="BA75" s="46">
        <f t="shared" si="116"/>
        <v>259586</v>
      </c>
      <c r="BB75" s="46"/>
      <c r="BC75" s="46">
        <f t="shared" si="117"/>
        <v>590387</v>
      </c>
      <c r="BD75" s="46">
        <f t="shared" si="118"/>
        <v>259586</v>
      </c>
      <c r="BE75" s="46">
        <f t="shared" si="119"/>
        <v>640388</v>
      </c>
      <c r="BF75" s="46">
        <f t="shared" si="120"/>
        <v>23835</v>
      </c>
      <c r="BG75" s="46">
        <f t="shared" si="121"/>
        <v>0</v>
      </c>
      <c r="BH75" s="46">
        <v>0</v>
      </c>
      <c r="BI75" s="46">
        <f t="shared" si="122"/>
        <v>664223</v>
      </c>
      <c r="BJ75" s="46">
        <f t="shared" si="123"/>
        <v>259586</v>
      </c>
      <c r="BK75" s="46">
        <f t="shared" si="124"/>
        <v>1351190</v>
      </c>
      <c r="BL75" s="46">
        <f t="shared" si="125"/>
        <v>0</v>
      </c>
      <c r="BM75" s="46">
        <f t="shared" si="126"/>
        <v>-259586</v>
      </c>
      <c r="BN75" s="46">
        <v>0</v>
      </c>
      <c r="BO75" s="46">
        <f t="shared" si="127"/>
        <v>1091604</v>
      </c>
      <c r="BP75" s="46">
        <f t="shared" si="128"/>
        <v>0</v>
      </c>
      <c r="BQ75" s="46">
        <f t="shared" si="129"/>
        <v>501485</v>
      </c>
      <c r="BR75" s="46">
        <f t="shared" si="130"/>
        <v>0</v>
      </c>
      <c r="BS75" s="46">
        <f t="shared" si="131"/>
        <v>88902</v>
      </c>
      <c r="BT75" s="46">
        <v>0</v>
      </c>
      <c r="BU75" s="46">
        <f t="shared" si="132"/>
        <v>590387</v>
      </c>
      <c r="BV75" s="46">
        <f t="shared" si="133"/>
        <v>88902</v>
      </c>
      <c r="BW75" s="46">
        <f t="shared" si="134"/>
        <v>960983</v>
      </c>
      <c r="BX75" s="46">
        <f t="shared" si="135"/>
        <v>156650</v>
      </c>
      <c r="BY75" s="46">
        <f t="shared" si="136"/>
        <v>-88902</v>
      </c>
      <c r="BZ75" s="46">
        <v>0</v>
      </c>
      <c r="CA75" s="46">
        <f t="shared" si="137"/>
        <v>1028731</v>
      </c>
      <c r="CB75" s="46">
        <f t="shared" si="138"/>
        <v>0</v>
      </c>
      <c r="CC75" s="155">
        <f t="shared" si="141"/>
        <v>0</v>
      </c>
      <c r="CD75" s="79" t="s">
        <v>538</v>
      </c>
      <c r="CE75" s="65">
        <f t="shared" si="142"/>
        <v>590387</v>
      </c>
      <c r="CF75" s="65">
        <f t="shared" si="143"/>
        <v>590387</v>
      </c>
      <c r="CG75" s="65">
        <f t="shared" si="144"/>
        <v>550476</v>
      </c>
      <c r="CH75" s="65">
        <f t="shared" si="145"/>
        <v>590387</v>
      </c>
      <c r="CI75" s="65">
        <f t="shared" si="146"/>
        <v>1643946</v>
      </c>
      <c r="CJ75" s="65">
        <f t="shared" si="147"/>
        <v>607025</v>
      </c>
      <c r="CK75" s="65">
        <f t="shared" si="148"/>
        <v>1012114</v>
      </c>
      <c r="CL75" s="65">
        <f t="shared" si="149"/>
        <v>590387</v>
      </c>
      <c r="CM75" s="65">
        <f t="shared" si="150"/>
        <v>664223</v>
      </c>
      <c r="CN75" s="65">
        <f t="shared" si="151"/>
        <v>1091604</v>
      </c>
      <c r="CO75" s="65">
        <f t="shared" si="152"/>
        <v>590387</v>
      </c>
      <c r="CP75" s="65">
        <f t="shared" si="153"/>
        <v>1028731</v>
      </c>
      <c r="CQ75" s="40" t="s">
        <v>538</v>
      </c>
    </row>
    <row r="76" spans="1:95" ht="3" customHeight="1" x14ac:dyDescent="0.25">
      <c r="A76" s="39">
        <v>1</v>
      </c>
      <c r="B76" s="28">
        <v>5702</v>
      </c>
      <c r="C76" s="28" t="s">
        <v>113</v>
      </c>
      <c r="D76" s="48">
        <f>+DATA!Q74</f>
        <v>2616538.6949999998</v>
      </c>
      <c r="E76" s="48">
        <f t="shared" si="139"/>
        <v>172255</v>
      </c>
      <c r="F76" s="48">
        <f t="shared" si="140"/>
        <v>261654</v>
      </c>
      <c r="G76" s="49">
        <f>VLOOKUP(B76,'CALC MEC ESTAB Y ESTIM M FINAL'!$B$7:$F$352,5,0)</f>
        <v>1.3345881378E-3</v>
      </c>
      <c r="H76" s="49">
        <f>VLOOKUP(B76,'CALC MEC ESTAB Y ESTIM M FINAL'!$B$7:$R$352,17,0)</f>
        <v>-4.4837844600000003E-5</v>
      </c>
      <c r="I76" s="46">
        <f t="shared" si="79"/>
        <v>106343</v>
      </c>
      <c r="J76" s="46">
        <f t="shared" si="80"/>
        <v>0</v>
      </c>
      <c r="K76" s="46">
        <f t="shared" si="81"/>
        <v>65912</v>
      </c>
      <c r="L76" s="46">
        <v>0</v>
      </c>
      <c r="M76" s="46">
        <f t="shared" si="82"/>
        <v>172255</v>
      </c>
      <c r="N76" s="46">
        <f t="shared" si="83"/>
        <v>65912</v>
      </c>
      <c r="O76" s="46">
        <f t="shared" si="84"/>
        <v>56549</v>
      </c>
      <c r="P76" s="46">
        <f t="shared" si="85"/>
        <v>0</v>
      </c>
      <c r="Q76" s="46">
        <f t="shared" si="86"/>
        <v>115706</v>
      </c>
      <c r="R76" s="46">
        <v>0</v>
      </c>
      <c r="S76" s="46">
        <f t="shared" si="87"/>
        <v>172255</v>
      </c>
      <c r="T76" s="46">
        <f t="shared" si="88"/>
        <v>181618</v>
      </c>
      <c r="U76" s="46">
        <f t="shared" si="89"/>
        <v>161323</v>
      </c>
      <c r="V76" s="46">
        <f t="shared" si="90"/>
        <v>0</v>
      </c>
      <c r="W76" s="46">
        <f t="shared" si="91"/>
        <v>0</v>
      </c>
      <c r="X76" s="46">
        <v>0</v>
      </c>
      <c r="Y76" s="46">
        <f t="shared" si="92"/>
        <v>161323</v>
      </c>
      <c r="Z76" s="46">
        <f t="shared" si="93"/>
        <v>181618</v>
      </c>
      <c r="AA76" s="46">
        <f t="shared" si="94"/>
        <v>85660</v>
      </c>
      <c r="AB76" s="46">
        <f t="shared" si="95"/>
        <v>0</v>
      </c>
      <c r="AC76" s="46">
        <f t="shared" si="96"/>
        <v>86595</v>
      </c>
      <c r="AD76" s="46">
        <v>0</v>
      </c>
      <c r="AE76" s="46">
        <f t="shared" si="97"/>
        <v>172255</v>
      </c>
      <c r="AF76" s="46">
        <f t="shared" si="98"/>
        <v>268213</v>
      </c>
      <c r="AG76" s="46">
        <f t="shared" si="99"/>
        <v>745402</v>
      </c>
      <c r="AH76" s="46">
        <f t="shared" si="100"/>
        <v>6880</v>
      </c>
      <c r="AI76" s="46">
        <f t="shared" si="101"/>
        <v>-268213</v>
      </c>
      <c r="AJ76" s="46">
        <v>0</v>
      </c>
      <c r="AK76" s="46">
        <f t="shared" si="102"/>
        <v>484069</v>
      </c>
      <c r="AL76" s="46">
        <f t="shared" si="103"/>
        <v>0</v>
      </c>
      <c r="AM76" s="46">
        <f t="shared" si="104"/>
        <v>147645</v>
      </c>
      <c r="AN76" s="46">
        <f t="shared" si="105"/>
        <v>4876</v>
      </c>
      <c r="AO76" s="46">
        <f t="shared" si="106"/>
        <v>24610</v>
      </c>
      <c r="AP76" s="46">
        <v>0</v>
      </c>
      <c r="AQ76" s="46">
        <f t="shared" si="107"/>
        <v>177131</v>
      </c>
      <c r="AR76" s="46">
        <f t="shared" si="108"/>
        <v>24610</v>
      </c>
      <c r="AS76" s="46">
        <f t="shared" si="109"/>
        <v>293492</v>
      </c>
      <c r="AT76" s="46">
        <f t="shared" si="110"/>
        <v>28493</v>
      </c>
      <c r="AU76" s="46">
        <f t="shared" si="111"/>
        <v>-24610</v>
      </c>
      <c r="AV76" s="46">
        <v>0</v>
      </c>
      <c r="AW76" s="46">
        <f t="shared" si="112"/>
        <v>297375</v>
      </c>
      <c r="AX76" s="46">
        <f t="shared" si="113"/>
        <v>0</v>
      </c>
      <c r="AY76" s="46">
        <f t="shared" si="114"/>
        <v>96945</v>
      </c>
      <c r="AZ76" s="46">
        <f t="shared" si="115"/>
        <v>0</v>
      </c>
      <c r="BA76" s="46">
        <f t="shared" si="116"/>
        <v>75310</v>
      </c>
      <c r="BB76" s="46"/>
      <c r="BC76" s="46">
        <f t="shared" si="117"/>
        <v>172255</v>
      </c>
      <c r="BD76" s="46">
        <f t="shared" si="118"/>
        <v>75310</v>
      </c>
      <c r="BE76" s="46">
        <f t="shared" si="119"/>
        <v>187672</v>
      </c>
      <c r="BF76" s="46">
        <f t="shared" si="120"/>
        <v>6985</v>
      </c>
      <c r="BG76" s="46">
        <f t="shared" si="121"/>
        <v>0</v>
      </c>
      <c r="BH76" s="46">
        <v>0</v>
      </c>
      <c r="BI76" s="46">
        <f t="shared" si="122"/>
        <v>194657</v>
      </c>
      <c r="BJ76" s="46">
        <f t="shared" si="123"/>
        <v>75310</v>
      </c>
      <c r="BK76" s="46">
        <f t="shared" si="124"/>
        <v>395981</v>
      </c>
      <c r="BL76" s="46">
        <f t="shared" si="125"/>
        <v>0</v>
      </c>
      <c r="BM76" s="46">
        <f t="shared" si="126"/>
        <v>-75310</v>
      </c>
      <c r="BN76" s="46">
        <v>0</v>
      </c>
      <c r="BO76" s="46">
        <f t="shared" si="127"/>
        <v>320671</v>
      </c>
      <c r="BP76" s="46">
        <f t="shared" si="128"/>
        <v>0</v>
      </c>
      <c r="BQ76" s="46">
        <f t="shared" si="129"/>
        <v>146965</v>
      </c>
      <c r="BR76" s="46">
        <f t="shared" si="130"/>
        <v>0</v>
      </c>
      <c r="BS76" s="46">
        <f t="shared" si="131"/>
        <v>25290</v>
      </c>
      <c r="BT76" s="46">
        <v>0</v>
      </c>
      <c r="BU76" s="46">
        <f t="shared" si="132"/>
        <v>172255</v>
      </c>
      <c r="BV76" s="46">
        <f t="shared" si="133"/>
        <v>25290</v>
      </c>
      <c r="BW76" s="46">
        <f t="shared" si="134"/>
        <v>281626</v>
      </c>
      <c r="BX76" s="46">
        <f t="shared" si="135"/>
        <v>45908</v>
      </c>
      <c r="BY76" s="46">
        <f t="shared" si="136"/>
        <v>-25290</v>
      </c>
      <c r="BZ76" s="46">
        <v>0</v>
      </c>
      <c r="CA76" s="46">
        <f t="shared" si="137"/>
        <v>302244</v>
      </c>
      <c r="CB76" s="46">
        <f t="shared" si="138"/>
        <v>0</v>
      </c>
      <c r="CC76" s="155">
        <f t="shared" si="141"/>
        <v>0</v>
      </c>
      <c r="CD76" s="79" t="s">
        <v>538</v>
      </c>
      <c r="CE76" s="65">
        <f t="shared" si="142"/>
        <v>172255</v>
      </c>
      <c r="CF76" s="65">
        <f t="shared" si="143"/>
        <v>172255</v>
      </c>
      <c r="CG76" s="65">
        <f t="shared" si="144"/>
        <v>161323</v>
      </c>
      <c r="CH76" s="65">
        <f t="shared" si="145"/>
        <v>172255</v>
      </c>
      <c r="CI76" s="65">
        <f t="shared" si="146"/>
        <v>484069</v>
      </c>
      <c r="CJ76" s="65">
        <f t="shared" si="147"/>
        <v>177131</v>
      </c>
      <c r="CK76" s="65">
        <f t="shared" si="148"/>
        <v>297375</v>
      </c>
      <c r="CL76" s="65">
        <f t="shared" si="149"/>
        <v>172255</v>
      </c>
      <c r="CM76" s="65">
        <f t="shared" si="150"/>
        <v>194657</v>
      </c>
      <c r="CN76" s="65">
        <f t="shared" si="151"/>
        <v>320671</v>
      </c>
      <c r="CO76" s="65">
        <f t="shared" si="152"/>
        <v>172255</v>
      </c>
      <c r="CP76" s="65">
        <f t="shared" si="153"/>
        <v>302244</v>
      </c>
      <c r="CQ76" s="40" t="s">
        <v>538</v>
      </c>
    </row>
    <row r="77" spans="1:95" ht="3" customHeight="1" x14ac:dyDescent="0.25">
      <c r="A77" s="39">
        <v>1</v>
      </c>
      <c r="B77" s="28">
        <v>5703</v>
      </c>
      <c r="C77" s="28" t="s">
        <v>0</v>
      </c>
      <c r="D77" s="48">
        <f>+DATA!Q75</f>
        <v>3990872.463</v>
      </c>
      <c r="E77" s="48">
        <f t="shared" si="139"/>
        <v>262732</v>
      </c>
      <c r="F77" s="48">
        <f t="shared" si="140"/>
        <v>399087</v>
      </c>
      <c r="G77" s="49">
        <f>VLOOKUP(B77,'CALC MEC ESTAB Y ESTIM M FINAL'!$B$7:$F$352,5,0)</f>
        <v>2.5505791692000002E-3</v>
      </c>
      <c r="H77" s="49">
        <f>VLOOKUP(B77,'CALC MEC ESTAB Y ESTIM M FINAL'!$B$7:$R$352,17,0)</f>
        <v>-3.5020982799999998E-4</v>
      </c>
      <c r="I77" s="46">
        <f t="shared" si="79"/>
        <v>181425</v>
      </c>
      <c r="J77" s="46">
        <f t="shared" si="80"/>
        <v>0</v>
      </c>
      <c r="K77" s="46">
        <f t="shared" si="81"/>
        <v>81307</v>
      </c>
      <c r="L77" s="46">
        <v>0</v>
      </c>
      <c r="M77" s="46">
        <f t="shared" si="82"/>
        <v>262732</v>
      </c>
      <c r="N77" s="46">
        <f t="shared" si="83"/>
        <v>81307</v>
      </c>
      <c r="O77" s="46">
        <f t="shared" si="84"/>
        <v>96476</v>
      </c>
      <c r="P77" s="46">
        <f t="shared" si="85"/>
        <v>0</v>
      </c>
      <c r="Q77" s="46">
        <f t="shared" si="86"/>
        <v>166256</v>
      </c>
      <c r="R77" s="46">
        <v>0</v>
      </c>
      <c r="S77" s="46">
        <f t="shared" si="87"/>
        <v>262732</v>
      </c>
      <c r="T77" s="46">
        <f t="shared" si="88"/>
        <v>247563</v>
      </c>
      <c r="U77" s="46">
        <f t="shared" si="89"/>
        <v>275224</v>
      </c>
      <c r="V77" s="46">
        <f t="shared" si="90"/>
        <v>0</v>
      </c>
      <c r="W77" s="46">
        <f t="shared" si="91"/>
        <v>0</v>
      </c>
      <c r="X77" s="46">
        <v>0</v>
      </c>
      <c r="Y77" s="46">
        <f t="shared" si="92"/>
        <v>275224</v>
      </c>
      <c r="Z77" s="46">
        <f t="shared" si="93"/>
        <v>247563</v>
      </c>
      <c r="AA77" s="46">
        <f t="shared" si="94"/>
        <v>146140</v>
      </c>
      <c r="AB77" s="46">
        <f t="shared" si="95"/>
        <v>0</v>
      </c>
      <c r="AC77" s="46">
        <f t="shared" si="96"/>
        <v>116592</v>
      </c>
      <c r="AD77" s="46">
        <v>0</v>
      </c>
      <c r="AE77" s="46">
        <f t="shared" si="97"/>
        <v>262732</v>
      </c>
      <c r="AF77" s="46">
        <f t="shared" si="98"/>
        <v>364155</v>
      </c>
      <c r="AG77" s="46">
        <f t="shared" si="99"/>
        <v>1271687</v>
      </c>
      <c r="AH77" s="46">
        <f t="shared" si="100"/>
        <v>11737</v>
      </c>
      <c r="AI77" s="46">
        <f t="shared" si="101"/>
        <v>-364155</v>
      </c>
      <c r="AJ77" s="46">
        <v>0</v>
      </c>
      <c r="AK77" s="46">
        <f t="shared" si="102"/>
        <v>919269</v>
      </c>
      <c r="AL77" s="46">
        <f t="shared" si="103"/>
        <v>0</v>
      </c>
      <c r="AM77" s="46">
        <f t="shared" si="104"/>
        <v>251889</v>
      </c>
      <c r="AN77" s="46">
        <f t="shared" si="105"/>
        <v>8318</v>
      </c>
      <c r="AO77" s="46">
        <f t="shared" si="106"/>
        <v>10843</v>
      </c>
      <c r="AP77" s="46">
        <v>0</v>
      </c>
      <c r="AQ77" s="46">
        <f t="shared" si="107"/>
        <v>271050</v>
      </c>
      <c r="AR77" s="46">
        <f t="shared" si="108"/>
        <v>10843</v>
      </c>
      <c r="AS77" s="46">
        <f t="shared" si="109"/>
        <v>500710</v>
      </c>
      <c r="AT77" s="46">
        <f t="shared" si="110"/>
        <v>48610</v>
      </c>
      <c r="AU77" s="46">
        <f t="shared" si="111"/>
        <v>-10843</v>
      </c>
      <c r="AV77" s="46">
        <v>0</v>
      </c>
      <c r="AW77" s="46">
        <f t="shared" si="112"/>
        <v>538477</v>
      </c>
      <c r="AX77" s="46">
        <f t="shared" si="113"/>
        <v>0</v>
      </c>
      <c r="AY77" s="46">
        <f t="shared" si="114"/>
        <v>165392</v>
      </c>
      <c r="AZ77" s="46">
        <f t="shared" si="115"/>
        <v>0</v>
      </c>
      <c r="BA77" s="46">
        <f t="shared" si="116"/>
        <v>97340</v>
      </c>
      <c r="BB77" s="46"/>
      <c r="BC77" s="46">
        <f t="shared" si="117"/>
        <v>262732</v>
      </c>
      <c r="BD77" s="46">
        <f t="shared" si="118"/>
        <v>97340</v>
      </c>
      <c r="BE77" s="46">
        <f t="shared" si="119"/>
        <v>320177</v>
      </c>
      <c r="BF77" s="46">
        <f t="shared" si="120"/>
        <v>11917</v>
      </c>
      <c r="BG77" s="46">
        <f t="shared" si="121"/>
        <v>0</v>
      </c>
      <c r="BH77" s="46">
        <v>0</v>
      </c>
      <c r="BI77" s="46">
        <f t="shared" si="122"/>
        <v>332094</v>
      </c>
      <c r="BJ77" s="46">
        <f t="shared" si="123"/>
        <v>97340</v>
      </c>
      <c r="BK77" s="46">
        <f t="shared" si="124"/>
        <v>675560</v>
      </c>
      <c r="BL77" s="46">
        <f t="shared" si="125"/>
        <v>0</v>
      </c>
      <c r="BM77" s="46">
        <f t="shared" si="126"/>
        <v>-97340</v>
      </c>
      <c r="BN77" s="46">
        <v>0</v>
      </c>
      <c r="BO77" s="46">
        <f t="shared" si="127"/>
        <v>578220</v>
      </c>
      <c r="BP77" s="46">
        <f t="shared" si="128"/>
        <v>0</v>
      </c>
      <c r="BQ77" s="46">
        <f t="shared" si="129"/>
        <v>250729</v>
      </c>
      <c r="BR77" s="46">
        <f t="shared" si="130"/>
        <v>0</v>
      </c>
      <c r="BS77" s="46">
        <f t="shared" si="131"/>
        <v>12003</v>
      </c>
      <c r="BT77" s="46">
        <v>0</v>
      </c>
      <c r="BU77" s="46">
        <f t="shared" si="132"/>
        <v>262732</v>
      </c>
      <c r="BV77" s="46">
        <f t="shared" si="133"/>
        <v>12003</v>
      </c>
      <c r="BW77" s="46">
        <f t="shared" si="134"/>
        <v>480467</v>
      </c>
      <c r="BX77" s="46">
        <f t="shared" si="135"/>
        <v>78321</v>
      </c>
      <c r="BY77" s="46">
        <f t="shared" si="136"/>
        <v>-12003</v>
      </c>
      <c r="BZ77" s="46">
        <v>0</v>
      </c>
      <c r="CA77" s="46">
        <f t="shared" si="137"/>
        <v>546785</v>
      </c>
      <c r="CB77" s="46">
        <f t="shared" si="138"/>
        <v>0</v>
      </c>
      <c r="CC77" s="155">
        <f t="shared" si="141"/>
        <v>0</v>
      </c>
      <c r="CD77" s="79" t="s">
        <v>538</v>
      </c>
      <c r="CE77" s="65">
        <f t="shared" si="142"/>
        <v>262732</v>
      </c>
      <c r="CF77" s="65">
        <f t="shared" si="143"/>
        <v>262732</v>
      </c>
      <c r="CG77" s="65">
        <f t="shared" si="144"/>
        <v>275224</v>
      </c>
      <c r="CH77" s="65">
        <f t="shared" si="145"/>
        <v>262732</v>
      </c>
      <c r="CI77" s="65">
        <f t="shared" si="146"/>
        <v>919269</v>
      </c>
      <c r="CJ77" s="65">
        <f t="shared" si="147"/>
        <v>271050</v>
      </c>
      <c r="CK77" s="65">
        <f t="shared" si="148"/>
        <v>538477</v>
      </c>
      <c r="CL77" s="65">
        <f t="shared" si="149"/>
        <v>262732</v>
      </c>
      <c r="CM77" s="65">
        <f t="shared" si="150"/>
        <v>332094</v>
      </c>
      <c r="CN77" s="65">
        <f t="shared" si="151"/>
        <v>578220</v>
      </c>
      <c r="CO77" s="65">
        <f t="shared" si="152"/>
        <v>262732</v>
      </c>
      <c r="CP77" s="65">
        <f t="shared" si="153"/>
        <v>546785</v>
      </c>
      <c r="CQ77" s="40" t="s">
        <v>538</v>
      </c>
    </row>
    <row r="78" spans="1:95" ht="3" customHeight="1" x14ac:dyDescent="0.25">
      <c r="A78" s="39">
        <v>1</v>
      </c>
      <c r="B78" s="28">
        <v>5704</v>
      </c>
      <c r="C78" s="28" t="s">
        <v>112</v>
      </c>
      <c r="D78" s="48">
        <f>+DATA!Q76</f>
        <v>1660206.398</v>
      </c>
      <c r="E78" s="48">
        <f t="shared" si="139"/>
        <v>109297</v>
      </c>
      <c r="F78" s="48">
        <f t="shared" si="140"/>
        <v>166021</v>
      </c>
      <c r="G78" s="49">
        <f>VLOOKUP(B78,'CALC MEC ESTAB Y ESTIM M FINAL'!$B$7:$F$352,5,0)</f>
        <v>8.8600442689999997E-4</v>
      </c>
      <c r="H78" s="49">
        <f>VLOOKUP(B78,'CALC MEC ESTAB Y ESTIM M FINAL'!$B$7:$R$352,17,0)</f>
        <v>-5.0107434599999997E-5</v>
      </c>
      <c r="I78" s="46">
        <f t="shared" si="79"/>
        <v>68922</v>
      </c>
      <c r="J78" s="46">
        <f t="shared" si="80"/>
        <v>0</v>
      </c>
      <c r="K78" s="46">
        <f t="shared" si="81"/>
        <v>40375</v>
      </c>
      <c r="L78" s="46">
        <v>0</v>
      </c>
      <c r="M78" s="46">
        <f t="shared" si="82"/>
        <v>109297</v>
      </c>
      <c r="N78" s="46">
        <f t="shared" si="83"/>
        <v>40375</v>
      </c>
      <c r="O78" s="46">
        <f t="shared" si="84"/>
        <v>36650</v>
      </c>
      <c r="P78" s="46">
        <f t="shared" si="85"/>
        <v>0</v>
      </c>
      <c r="Q78" s="46">
        <f t="shared" si="86"/>
        <v>72647</v>
      </c>
      <c r="R78" s="46">
        <v>0</v>
      </c>
      <c r="S78" s="46">
        <f t="shared" si="87"/>
        <v>109297</v>
      </c>
      <c r="T78" s="46">
        <f t="shared" si="88"/>
        <v>113022</v>
      </c>
      <c r="U78" s="46">
        <f t="shared" si="89"/>
        <v>104555</v>
      </c>
      <c r="V78" s="46">
        <f t="shared" si="90"/>
        <v>0</v>
      </c>
      <c r="W78" s="46">
        <f t="shared" si="91"/>
        <v>0</v>
      </c>
      <c r="X78" s="46">
        <v>0</v>
      </c>
      <c r="Y78" s="46">
        <f t="shared" si="92"/>
        <v>104555</v>
      </c>
      <c r="Z78" s="46">
        <f t="shared" si="93"/>
        <v>113022</v>
      </c>
      <c r="AA78" s="46">
        <f t="shared" si="94"/>
        <v>55517</v>
      </c>
      <c r="AB78" s="46">
        <f t="shared" si="95"/>
        <v>0</v>
      </c>
      <c r="AC78" s="46">
        <f t="shared" si="96"/>
        <v>53780</v>
      </c>
      <c r="AD78" s="46">
        <v>0</v>
      </c>
      <c r="AE78" s="46">
        <f t="shared" si="97"/>
        <v>109297</v>
      </c>
      <c r="AF78" s="46">
        <f t="shared" si="98"/>
        <v>166802</v>
      </c>
      <c r="AG78" s="46">
        <f t="shared" si="99"/>
        <v>483101</v>
      </c>
      <c r="AH78" s="46">
        <f t="shared" si="100"/>
        <v>4459</v>
      </c>
      <c r="AI78" s="46">
        <f t="shared" si="101"/>
        <v>-166802</v>
      </c>
      <c r="AJ78" s="46">
        <v>0</v>
      </c>
      <c r="AK78" s="46">
        <f t="shared" si="102"/>
        <v>320758</v>
      </c>
      <c r="AL78" s="46">
        <f t="shared" si="103"/>
        <v>0</v>
      </c>
      <c r="AM78" s="46">
        <f t="shared" si="104"/>
        <v>95690</v>
      </c>
      <c r="AN78" s="46">
        <f t="shared" si="105"/>
        <v>3160</v>
      </c>
      <c r="AO78" s="46">
        <f t="shared" si="106"/>
        <v>13607</v>
      </c>
      <c r="AP78" s="46">
        <v>0</v>
      </c>
      <c r="AQ78" s="46">
        <f t="shared" si="107"/>
        <v>112457</v>
      </c>
      <c r="AR78" s="46">
        <f t="shared" si="108"/>
        <v>13607</v>
      </c>
      <c r="AS78" s="46">
        <f t="shared" si="109"/>
        <v>190214</v>
      </c>
      <c r="AT78" s="46">
        <f t="shared" si="110"/>
        <v>18466</v>
      </c>
      <c r="AU78" s="46">
        <f t="shared" si="111"/>
        <v>-13607</v>
      </c>
      <c r="AV78" s="46">
        <v>0</v>
      </c>
      <c r="AW78" s="46">
        <f t="shared" si="112"/>
        <v>195073</v>
      </c>
      <c r="AX78" s="46">
        <f t="shared" si="113"/>
        <v>0</v>
      </c>
      <c r="AY78" s="46">
        <f t="shared" si="114"/>
        <v>62831</v>
      </c>
      <c r="AZ78" s="46">
        <f t="shared" si="115"/>
        <v>0</v>
      </c>
      <c r="BA78" s="46">
        <f t="shared" si="116"/>
        <v>46466</v>
      </c>
      <c r="BB78" s="46"/>
      <c r="BC78" s="46">
        <f t="shared" si="117"/>
        <v>109297</v>
      </c>
      <c r="BD78" s="46">
        <f t="shared" si="118"/>
        <v>46466</v>
      </c>
      <c r="BE78" s="46">
        <f t="shared" si="119"/>
        <v>121632</v>
      </c>
      <c r="BF78" s="46">
        <f t="shared" si="120"/>
        <v>4527</v>
      </c>
      <c r="BG78" s="46">
        <f t="shared" si="121"/>
        <v>0</v>
      </c>
      <c r="BH78" s="46">
        <v>0</v>
      </c>
      <c r="BI78" s="46">
        <f t="shared" si="122"/>
        <v>126159</v>
      </c>
      <c r="BJ78" s="46">
        <f t="shared" si="123"/>
        <v>46466</v>
      </c>
      <c r="BK78" s="46">
        <f t="shared" si="124"/>
        <v>256638</v>
      </c>
      <c r="BL78" s="46">
        <f t="shared" si="125"/>
        <v>0</v>
      </c>
      <c r="BM78" s="46">
        <f t="shared" si="126"/>
        <v>-46466</v>
      </c>
      <c r="BN78" s="46">
        <v>0</v>
      </c>
      <c r="BO78" s="46">
        <f t="shared" si="127"/>
        <v>210172</v>
      </c>
      <c r="BP78" s="46">
        <f t="shared" si="128"/>
        <v>0</v>
      </c>
      <c r="BQ78" s="46">
        <f t="shared" si="129"/>
        <v>95249</v>
      </c>
      <c r="BR78" s="46">
        <f t="shared" si="130"/>
        <v>0</v>
      </c>
      <c r="BS78" s="46">
        <f t="shared" si="131"/>
        <v>14048</v>
      </c>
      <c r="BT78" s="46">
        <v>0</v>
      </c>
      <c r="BU78" s="46">
        <f t="shared" si="132"/>
        <v>109297</v>
      </c>
      <c r="BV78" s="46">
        <f t="shared" si="133"/>
        <v>14048</v>
      </c>
      <c r="BW78" s="46">
        <f t="shared" si="134"/>
        <v>182524</v>
      </c>
      <c r="BX78" s="46">
        <f t="shared" si="135"/>
        <v>29753</v>
      </c>
      <c r="BY78" s="46">
        <f t="shared" si="136"/>
        <v>-14048</v>
      </c>
      <c r="BZ78" s="46">
        <v>0</v>
      </c>
      <c r="CA78" s="46">
        <f t="shared" si="137"/>
        <v>198229</v>
      </c>
      <c r="CB78" s="46">
        <f t="shared" si="138"/>
        <v>0</v>
      </c>
      <c r="CC78" s="155">
        <f t="shared" si="141"/>
        <v>0</v>
      </c>
      <c r="CD78" s="79" t="s">
        <v>538</v>
      </c>
      <c r="CE78" s="65">
        <f t="shared" si="142"/>
        <v>109297</v>
      </c>
      <c r="CF78" s="65">
        <f t="shared" si="143"/>
        <v>109297</v>
      </c>
      <c r="CG78" s="65">
        <f t="shared" si="144"/>
        <v>104555</v>
      </c>
      <c r="CH78" s="65">
        <f t="shared" si="145"/>
        <v>109297</v>
      </c>
      <c r="CI78" s="65">
        <f t="shared" si="146"/>
        <v>320758</v>
      </c>
      <c r="CJ78" s="65">
        <f t="shared" si="147"/>
        <v>112457</v>
      </c>
      <c r="CK78" s="65">
        <f t="shared" si="148"/>
        <v>195073</v>
      </c>
      <c r="CL78" s="65">
        <f t="shared" si="149"/>
        <v>109297</v>
      </c>
      <c r="CM78" s="65">
        <f t="shared" si="150"/>
        <v>126159</v>
      </c>
      <c r="CN78" s="65">
        <f t="shared" si="151"/>
        <v>210172</v>
      </c>
      <c r="CO78" s="65">
        <f t="shared" si="152"/>
        <v>109297</v>
      </c>
      <c r="CP78" s="65">
        <f t="shared" si="153"/>
        <v>198229</v>
      </c>
      <c r="CQ78" s="40" t="s">
        <v>538</v>
      </c>
    </row>
    <row r="79" spans="1:95" ht="3" customHeight="1" x14ac:dyDescent="0.25">
      <c r="A79" s="39">
        <v>1</v>
      </c>
      <c r="B79" s="28">
        <v>5705</v>
      </c>
      <c r="C79" s="28" t="s">
        <v>114</v>
      </c>
      <c r="D79" s="48">
        <f>+DATA!Q77</f>
        <v>3399071.9810000001</v>
      </c>
      <c r="E79" s="48">
        <f t="shared" si="139"/>
        <v>223772</v>
      </c>
      <c r="F79" s="48">
        <f t="shared" si="140"/>
        <v>339907</v>
      </c>
      <c r="G79" s="49">
        <f>VLOOKUP(B79,'CALC MEC ESTAB Y ESTIM M FINAL'!$B$7:$F$352,5,0)</f>
        <v>1.831114653E-3</v>
      </c>
      <c r="H79" s="49">
        <f>VLOOKUP(B79,'CALC MEC ESTAB Y ESTIM M FINAL'!$B$7:$R$352,17,0)</f>
        <v>-1.121220922E-4</v>
      </c>
      <c r="I79" s="46">
        <f t="shared" si="79"/>
        <v>141735</v>
      </c>
      <c r="J79" s="46">
        <f t="shared" si="80"/>
        <v>0</v>
      </c>
      <c r="K79" s="46">
        <f t="shared" si="81"/>
        <v>82037</v>
      </c>
      <c r="L79" s="46">
        <v>0</v>
      </c>
      <c r="M79" s="46">
        <f t="shared" si="82"/>
        <v>223772</v>
      </c>
      <c r="N79" s="46">
        <f t="shared" si="83"/>
        <v>82037</v>
      </c>
      <c r="O79" s="46">
        <f t="shared" si="84"/>
        <v>75370</v>
      </c>
      <c r="P79" s="46">
        <f t="shared" si="85"/>
        <v>0</v>
      </c>
      <c r="Q79" s="46">
        <f t="shared" si="86"/>
        <v>148402</v>
      </c>
      <c r="R79" s="46">
        <v>0</v>
      </c>
      <c r="S79" s="46">
        <f t="shared" si="87"/>
        <v>223772</v>
      </c>
      <c r="T79" s="46">
        <f t="shared" si="88"/>
        <v>230439</v>
      </c>
      <c r="U79" s="46">
        <f t="shared" si="89"/>
        <v>215013</v>
      </c>
      <c r="V79" s="46">
        <f t="shared" si="90"/>
        <v>0</v>
      </c>
      <c r="W79" s="46">
        <f t="shared" si="91"/>
        <v>0</v>
      </c>
      <c r="X79" s="46">
        <v>0</v>
      </c>
      <c r="Y79" s="46">
        <f t="shared" si="92"/>
        <v>215013</v>
      </c>
      <c r="Z79" s="46">
        <f t="shared" si="93"/>
        <v>230439</v>
      </c>
      <c r="AA79" s="46">
        <f t="shared" si="94"/>
        <v>114168</v>
      </c>
      <c r="AB79" s="46">
        <f t="shared" si="95"/>
        <v>0</v>
      </c>
      <c r="AC79" s="46">
        <f t="shared" si="96"/>
        <v>109604</v>
      </c>
      <c r="AD79" s="46">
        <v>0</v>
      </c>
      <c r="AE79" s="46">
        <f t="shared" si="97"/>
        <v>223772</v>
      </c>
      <c r="AF79" s="46">
        <f t="shared" si="98"/>
        <v>340043</v>
      </c>
      <c r="AG79" s="46">
        <f t="shared" si="99"/>
        <v>993479</v>
      </c>
      <c r="AH79" s="46">
        <f t="shared" si="100"/>
        <v>9170</v>
      </c>
      <c r="AI79" s="46">
        <f t="shared" si="101"/>
        <v>-340043</v>
      </c>
      <c r="AJ79" s="46">
        <v>0</v>
      </c>
      <c r="AK79" s="46">
        <f t="shared" si="102"/>
        <v>662606</v>
      </c>
      <c r="AL79" s="46">
        <f t="shared" si="103"/>
        <v>0</v>
      </c>
      <c r="AM79" s="46">
        <f t="shared" si="104"/>
        <v>196783</v>
      </c>
      <c r="AN79" s="46">
        <f t="shared" si="105"/>
        <v>6499</v>
      </c>
      <c r="AO79" s="46">
        <f t="shared" si="106"/>
        <v>26989</v>
      </c>
      <c r="AP79" s="46">
        <v>0</v>
      </c>
      <c r="AQ79" s="46">
        <f t="shared" si="107"/>
        <v>230271</v>
      </c>
      <c r="AR79" s="46">
        <f t="shared" si="108"/>
        <v>26989</v>
      </c>
      <c r="AS79" s="46">
        <f t="shared" si="109"/>
        <v>391169</v>
      </c>
      <c r="AT79" s="46">
        <f t="shared" si="110"/>
        <v>37975</v>
      </c>
      <c r="AU79" s="46">
        <f t="shared" si="111"/>
        <v>-26989</v>
      </c>
      <c r="AV79" s="46">
        <v>0</v>
      </c>
      <c r="AW79" s="46">
        <f t="shared" si="112"/>
        <v>402155</v>
      </c>
      <c r="AX79" s="46">
        <f t="shared" si="113"/>
        <v>0</v>
      </c>
      <c r="AY79" s="46">
        <f t="shared" si="114"/>
        <v>129209</v>
      </c>
      <c r="AZ79" s="46">
        <f t="shared" si="115"/>
        <v>0</v>
      </c>
      <c r="BA79" s="46">
        <f t="shared" si="116"/>
        <v>94563</v>
      </c>
      <c r="BB79" s="46"/>
      <c r="BC79" s="46">
        <f t="shared" si="117"/>
        <v>223772</v>
      </c>
      <c r="BD79" s="46">
        <f t="shared" si="118"/>
        <v>94563</v>
      </c>
      <c r="BE79" s="46">
        <f t="shared" si="119"/>
        <v>250132</v>
      </c>
      <c r="BF79" s="46">
        <f t="shared" si="120"/>
        <v>9310</v>
      </c>
      <c r="BG79" s="46">
        <f t="shared" si="121"/>
        <v>0</v>
      </c>
      <c r="BH79" s="46">
        <v>0</v>
      </c>
      <c r="BI79" s="46">
        <f t="shared" si="122"/>
        <v>259442</v>
      </c>
      <c r="BJ79" s="46">
        <f t="shared" si="123"/>
        <v>94563</v>
      </c>
      <c r="BK79" s="46">
        <f t="shared" si="124"/>
        <v>527767</v>
      </c>
      <c r="BL79" s="46">
        <f t="shared" si="125"/>
        <v>0</v>
      </c>
      <c r="BM79" s="46">
        <f t="shared" si="126"/>
        <v>-94563</v>
      </c>
      <c r="BN79" s="46">
        <v>0</v>
      </c>
      <c r="BO79" s="46">
        <f t="shared" si="127"/>
        <v>433204</v>
      </c>
      <c r="BP79" s="46">
        <f t="shared" si="128"/>
        <v>0</v>
      </c>
      <c r="BQ79" s="46">
        <f t="shared" si="129"/>
        <v>195877</v>
      </c>
      <c r="BR79" s="46">
        <f t="shared" si="130"/>
        <v>0</v>
      </c>
      <c r="BS79" s="46">
        <f t="shared" si="131"/>
        <v>27895</v>
      </c>
      <c r="BT79" s="46">
        <v>0</v>
      </c>
      <c r="BU79" s="46">
        <f t="shared" si="132"/>
        <v>223772</v>
      </c>
      <c r="BV79" s="46">
        <f t="shared" si="133"/>
        <v>27895</v>
      </c>
      <c r="BW79" s="46">
        <f t="shared" si="134"/>
        <v>375355</v>
      </c>
      <c r="BX79" s="46">
        <f t="shared" si="135"/>
        <v>61187</v>
      </c>
      <c r="BY79" s="46">
        <f t="shared" si="136"/>
        <v>-27895</v>
      </c>
      <c r="BZ79" s="46">
        <v>0</v>
      </c>
      <c r="CA79" s="46">
        <f t="shared" si="137"/>
        <v>408647</v>
      </c>
      <c r="CB79" s="46">
        <f t="shared" si="138"/>
        <v>0</v>
      </c>
      <c r="CC79" s="155">
        <f t="shared" si="141"/>
        <v>0</v>
      </c>
      <c r="CD79" s="79" t="s">
        <v>538</v>
      </c>
      <c r="CE79" s="65">
        <f t="shared" si="142"/>
        <v>223772</v>
      </c>
      <c r="CF79" s="65">
        <f t="shared" si="143"/>
        <v>223772</v>
      </c>
      <c r="CG79" s="65">
        <f t="shared" si="144"/>
        <v>215013</v>
      </c>
      <c r="CH79" s="65">
        <f t="shared" si="145"/>
        <v>223772</v>
      </c>
      <c r="CI79" s="65">
        <f t="shared" si="146"/>
        <v>662606</v>
      </c>
      <c r="CJ79" s="65">
        <f t="shared" si="147"/>
        <v>230271</v>
      </c>
      <c r="CK79" s="65">
        <f t="shared" si="148"/>
        <v>402155</v>
      </c>
      <c r="CL79" s="65">
        <f t="shared" si="149"/>
        <v>223772</v>
      </c>
      <c r="CM79" s="65">
        <f t="shared" si="150"/>
        <v>259442</v>
      </c>
      <c r="CN79" s="65">
        <f t="shared" si="151"/>
        <v>433204</v>
      </c>
      <c r="CO79" s="65">
        <f t="shared" si="152"/>
        <v>223772</v>
      </c>
      <c r="CP79" s="65">
        <f t="shared" si="153"/>
        <v>408647</v>
      </c>
      <c r="CQ79" s="40" t="s">
        <v>538</v>
      </c>
    </row>
    <row r="80" spans="1:95" ht="3" customHeight="1" x14ac:dyDescent="0.25">
      <c r="A80" s="39">
        <v>1</v>
      </c>
      <c r="B80" s="28">
        <v>5706</v>
      </c>
      <c r="C80" s="28" t="s">
        <v>382</v>
      </c>
      <c r="D80" s="48">
        <f>+DATA!Q78</f>
        <v>2728331.7069999999</v>
      </c>
      <c r="E80" s="48">
        <f t="shared" si="139"/>
        <v>179615</v>
      </c>
      <c r="F80" s="48">
        <f t="shared" si="140"/>
        <v>272833</v>
      </c>
      <c r="G80" s="49">
        <f>VLOOKUP(B80,'CALC MEC ESTAB Y ESTIM M FINAL'!$B$7:$F$352,5,0)</f>
        <v>1.5418469723999999E-3</v>
      </c>
      <c r="H80" s="49">
        <f>VLOOKUP(B80,'CALC MEC ESTAB Y ESTIM M FINAL'!$B$7:$R$352,17,0)</f>
        <v>-1.294088277E-4</v>
      </c>
      <c r="I80" s="46">
        <f t="shared" si="79"/>
        <v>116459</v>
      </c>
      <c r="J80" s="46">
        <f t="shared" si="80"/>
        <v>0</v>
      </c>
      <c r="K80" s="46">
        <f t="shared" si="81"/>
        <v>63156</v>
      </c>
      <c r="L80" s="46">
        <v>0</v>
      </c>
      <c r="M80" s="46">
        <f t="shared" si="82"/>
        <v>179615</v>
      </c>
      <c r="N80" s="46">
        <f t="shared" si="83"/>
        <v>63156</v>
      </c>
      <c r="O80" s="46">
        <f t="shared" si="84"/>
        <v>61929</v>
      </c>
      <c r="P80" s="46">
        <f t="shared" si="85"/>
        <v>0</v>
      </c>
      <c r="Q80" s="46">
        <f t="shared" si="86"/>
        <v>117686</v>
      </c>
      <c r="R80" s="46">
        <v>0</v>
      </c>
      <c r="S80" s="46">
        <f t="shared" si="87"/>
        <v>179615</v>
      </c>
      <c r="T80" s="46">
        <f t="shared" si="88"/>
        <v>180842</v>
      </c>
      <c r="U80" s="46">
        <f t="shared" si="89"/>
        <v>176669</v>
      </c>
      <c r="V80" s="46">
        <f t="shared" si="90"/>
        <v>0</v>
      </c>
      <c r="W80" s="46">
        <f t="shared" si="91"/>
        <v>0</v>
      </c>
      <c r="X80" s="46">
        <v>0</v>
      </c>
      <c r="Y80" s="46">
        <f t="shared" si="92"/>
        <v>176669</v>
      </c>
      <c r="Z80" s="46">
        <f t="shared" si="93"/>
        <v>180842</v>
      </c>
      <c r="AA80" s="46">
        <f t="shared" si="94"/>
        <v>93808</v>
      </c>
      <c r="AB80" s="46">
        <f t="shared" si="95"/>
        <v>0</v>
      </c>
      <c r="AC80" s="46">
        <f t="shared" si="96"/>
        <v>85807</v>
      </c>
      <c r="AD80" s="46">
        <v>0</v>
      </c>
      <c r="AE80" s="46">
        <f t="shared" si="97"/>
        <v>179615</v>
      </c>
      <c r="AF80" s="46">
        <f t="shared" si="98"/>
        <v>266649</v>
      </c>
      <c r="AG80" s="46">
        <f t="shared" si="99"/>
        <v>816308</v>
      </c>
      <c r="AH80" s="46">
        <f t="shared" si="100"/>
        <v>7534</v>
      </c>
      <c r="AI80" s="46">
        <f t="shared" si="101"/>
        <v>-266649</v>
      </c>
      <c r="AJ80" s="46">
        <v>0</v>
      </c>
      <c r="AK80" s="46">
        <f t="shared" si="102"/>
        <v>557193</v>
      </c>
      <c r="AL80" s="46">
        <f t="shared" si="103"/>
        <v>0</v>
      </c>
      <c r="AM80" s="46">
        <f t="shared" si="104"/>
        <v>161690</v>
      </c>
      <c r="AN80" s="46">
        <f t="shared" si="105"/>
        <v>5340</v>
      </c>
      <c r="AO80" s="46">
        <f t="shared" si="106"/>
        <v>17925</v>
      </c>
      <c r="AP80" s="46">
        <v>0</v>
      </c>
      <c r="AQ80" s="46">
        <f t="shared" si="107"/>
        <v>184955</v>
      </c>
      <c r="AR80" s="46">
        <f t="shared" si="108"/>
        <v>17925</v>
      </c>
      <c r="AS80" s="46">
        <f t="shared" si="109"/>
        <v>321411</v>
      </c>
      <c r="AT80" s="46">
        <f t="shared" si="110"/>
        <v>31203</v>
      </c>
      <c r="AU80" s="46">
        <f t="shared" si="111"/>
        <v>-17925</v>
      </c>
      <c r="AV80" s="46">
        <v>0</v>
      </c>
      <c r="AW80" s="46">
        <f t="shared" si="112"/>
        <v>334689</v>
      </c>
      <c r="AX80" s="46">
        <f t="shared" si="113"/>
        <v>0</v>
      </c>
      <c r="AY80" s="46">
        <f t="shared" si="114"/>
        <v>106167</v>
      </c>
      <c r="AZ80" s="46">
        <f t="shared" si="115"/>
        <v>0</v>
      </c>
      <c r="BA80" s="46">
        <f t="shared" si="116"/>
        <v>73448</v>
      </c>
      <c r="BB80" s="46"/>
      <c r="BC80" s="46">
        <f t="shared" si="117"/>
        <v>179615</v>
      </c>
      <c r="BD80" s="46">
        <f t="shared" si="118"/>
        <v>73448</v>
      </c>
      <c r="BE80" s="46">
        <f t="shared" si="119"/>
        <v>205525</v>
      </c>
      <c r="BF80" s="46">
        <f t="shared" si="120"/>
        <v>7649</v>
      </c>
      <c r="BG80" s="46">
        <f t="shared" si="121"/>
        <v>0</v>
      </c>
      <c r="BH80" s="46">
        <v>0</v>
      </c>
      <c r="BI80" s="46">
        <f t="shared" si="122"/>
        <v>213174</v>
      </c>
      <c r="BJ80" s="46">
        <f t="shared" si="123"/>
        <v>73448</v>
      </c>
      <c r="BK80" s="46">
        <f t="shared" si="124"/>
        <v>433649</v>
      </c>
      <c r="BL80" s="46">
        <f t="shared" si="125"/>
        <v>0</v>
      </c>
      <c r="BM80" s="46">
        <f t="shared" si="126"/>
        <v>-73448</v>
      </c>
      <c r="BN80" s="46">
        <v>0</v>
      </c>
      <c r="BO80" s="46">
        <f t="shared" si="127"/>
        <v>360201</v>
      </c>
      <c r="BP80" s="46">
        <f t="shared" si="128"/>
        <v>0</v>
      </c>
      <c r="BQ80" s="46">
        <f t="shared" si="129"/>
        <v>160946</v>
      </c>
      <c r="BR80" s="46">
        <f t="shared" si="130"/>
        <v>0</v>
      </c>
      <c r="BS80" s="46">
        <f t="shared" si="131"/>
        <v>18669</v>
      </c>
      <c r="BT80" s="46">
        <v>0</v>
      </c>
      <c r="BU80" s="46">
        <f t="shared" si="132"/>
        <v>179615</v>
      </c>
      <c r="BV80" s="46">
        <f t="shared" si="133"/>
        <v>18669</v>
      </c>
      <c r="BW80" s="46">
        <f t="shared" si="134"/>
        <v>308416</v>
      </c>
      <c r="BX80" s="46">
        <f t="shared" si="135"/>
        <v>50275</v>
      </c>
      <c r="BY80" s="46">
        <f t="shared" si="136"/>
        <v>-18669</v>
      </c>
      <c r="BZ80" s="46">
        <v>0</v>
      </c>
      <c r="CA80" s="46">
        <f t="shared" si="137"/>
        <v>340022</v>
      </c>
      <c r="CB80" s="46">
        <f t="shared" si="138"/>
        <v>0</v>
      </c>
      <c r="CC80" s="155">
        <f t="shared" si="141"/>
        <v>0</v>
      </c>
      <c r="CD80" s="79" t="s">
        <v>538</v>
      </c>
      <c r="CE80" s="65">
        <f t="shared" si="142"/>
        <v>179615</v>
      </c>
      <c r="CF80" s="65">
        <f t="shared" si="143"/>
        <v>179615</v>
      </c>
      <c r="CG80" s="65">
        <f t="shared" si="144"/>
        <v>176669</v>
      </c>
      <c r="CH80" s="65">
        <f t="shared" si="145"/>
        <v>179615</v>
      </c>
      <c r="CI80" s="65">
        <f t="shared" si="146"/>
        <v>557193</v>
      </c>
      <c r="CJ80" s="65">
        <f t="shared" si="147"/>
        <v>184955</v>
      </c>
      <c r="CK80" s="65">
        <f t="shared" si="148"/>
        <v>334689</v>
      </c>
      <c r="CL80" s="65">
        <f t="shared" si="149"/>
        <v>179615</v>
      </c>
      <c r="CM80" s="65">
        <f t="shared" si="150"/>
        <v>213174</v>
      </c>
      <c r="CN80" s="65">
        <f t="shared" si="151"/>
        <v>360201</v>
      </c>
      <c r="CO80" s="65">
        <f t="shared" si="152"/>
        <v>179615</v>
      </c>
      <c r="CP80" s="65">
        <f t="shared" si="153"/>
        <v>340022</v>
      </c>
      <c r="CQ80" s="40" t="s">
        <v>538</v>
      </c>
    </row>
    <row r="81" spans="1:95" ht="3" customHeight="1" x14ac:dyDescent="0.25">
      <c r="A81" s="39">
        <v>1</v>
      </c>
      <c r="B81" s="28">
        <v>5801</v>
      </c>
      <c r="C81" s="28" t="s">
        <v>383</v>
      </c>
      <c r="D81" s="48">
        <f>+DATA!Q79</f>
        <v>15719065.389</v>
      </c>
      <c r="E81" s="48">
        <f t="shared" si="139"/>
        <v>1034838</v>
      </c>
      <c r="F81" s="48">
        <f t="shared" si="140"/>
        <v>1571907</v>
      </c>
      <c r="G81" s="49">
        <f>VLOOKUP(B81,'CALC MEC ESTAB Y ESTIM M FINAL'!$B$7:$F$352,5,0)</f>
        <v>8.6961211084000019E-3</v>
      </c>
      <c r="H81" s="49">
        <f>VLOOKUP(B81,'CALC MEC ESTAB Y ESTIM M FINAL'!$B$7:$R$352,17,0)</f>
        <v>-6.4410230009999999E-4</v>
      </c>
      <c r="I81" s="46">
        <f t="shared" si="79"/>
        <v>663906</v>
      </c>
      <c r="J81" s="46">
        <f t="shared" si="80"/>
        <v>0</v>
      </c>
      <c r="K81" s="46">
        <f t="shared" si="81"/>
        <v>370932</v>
      </c>
      <c r="L81" s="46">
        <v>0</v>
      </c>
      <c r="M81" s="46">
        <f t="shared" si="82"/>
        <v>1034838</v>
      </c>
      <c r="N81" s="46">
        <f t="shared" si="83"/>
        <v>370932</v>
      </c>
      <c r="O81" s="46">
        <f t="shared" si="84"/>
        <v>353043</v>
      </c>
      <c r="P81" s="46">
        <f t="shared" si="85"/>
        <v>0</v>
      </c>
      <c r="Q81" s="46">
        <f t="shared" si="86"/>
        <v>681795</v>
      </c>
      <c r="R81" s="46">
        <v>0</v>
      </c>
      <c r="S81" s="46">
        <f t="shared" si="87"/>
        <v>1034838</v>
      </c>
      <c r="T81" s="46">
        <f t="shared" si="88"/>
        <v>1052727</v>
      </c>
      <c r="U81" s="46">
        <f t="shared" si="89"/>
        <v>1007152</v>
      </c>
      <c r="V81" s="46">
        <f t="shared" si="90"/>
        <v>0</v>
      </c>
      <c r="W81" s="46">
        <f t="shared" si="91"/>
        <v>0</v>
      </c>
      <c r="X81" s="46">
        <v>0</v>
      </c>
      <c r="Y81" s="46">
        <f t="shared" si="92"/>
        <v>1007152</v>
      </c>
      <c r="Z81" s="46">
        <f t="shared" si="93"/>
        <v>1052727</v>
      </c>
      <c r="AA81" s="46">
        <f t="shared" si="94"/>
        <v>534782</v>
      </c>
      <c r="AB81" s="46">
        <f t="shared" si="95"/>
        <v>0</v>
      </c>
      <c r="AC81" s="46">
        <f t="shared" si="96"/>
        <v>500056</v>
      </c>
      <c r="AD81" s="46">
        <v>0</v>
      </c>
      <c r="AE81" s="46">
        <f t="shared" si="97"/>
        <v>1034838</v>
      </c>
      <c r="AF81" s="46">
        <f t="shared" si="98"/>
        <v>1552783</v>
      </c>
      <c r="AG81" s="46">
        <f t="shared" si="99"/>
        <v>4653605</v>
      </c>
      <c r="AH81" s="46">
        <f t="shared" si="100"/>
        <v>42952</v>
      </c>
      <c r="AI81" s="46">
        <f t="shared" si="101"/>
        <v>-1552783</v>
      </c>
      <c r="AJ81" s="46">
        <v>0</v>
      </c>
      <c r="AK81" s="46">
        <f t="shared" si="102"/>
        <v>3143774</v>
      </c>
      <c r="AL81" s="46">
        <f t="shared" si="103"/>
        <v>0</v>
      </c>
      <c r="AM81" s="46">
        <f t="shared" si="104"/>
        <v>921760</v>
      </c>
      <c r="AN81" s="46">
        <f t="shared" si="105"/>
        <v>30440</v>
      </c>
      <c r="AO81" s="46">
        <f t="shared" si="106"/>
        <v>113078</v>
      </c>
      <c r="AP81" s="46">
        <v>0</v>
      </c>
      <c r="AQ81" s="46">
        <f t="shared" si="107"/>
        <v>1065278</v>
      </c>
      <c r="AR81" s="46">
        <f t="shared" si="108"/>
        <v>113078</v>
      </c>
      <c r="AS81" s="46">
        <f t="shared" si="109"/>
        <v>1832295</v>
      </c>
      <c r="AT81" s="46">
        <f t="shared" si="110"/>
        <v>177883</v>
      </c>
      <c r="AU81" s="46">
        <f t="shared" si="111"/>
        <v>-113078</v>
      </c>
      <c r="AV81" s="46">
        <v>0</v>
      </c>
      <c r="AW81" s="46">
        <f t="shared" si="112"/>
        <v>1897100</v>
      </c>
      <c r="AX81" s="46">
        <f t="shared" si="113"/>
        <v>0</v>
      </c>
      <c r="AY81" s="46">
        <f t="shared" si="114"/>
        <v>605235</v>
      </c>
      <c r="AZ81" s="46">
        <f t="shared" si="115"/>
        <v>0</v>
      </c>
      <c r="BA81" s="46">
        <f t="shared" si="116"/>
        <v>429603</v>
      </c>
      <c r="BB81" s="46"/>
      <c r="BC81" s="46">
        <f t="shared" si="117"/>
        <v>1034838</v>
      </c>
      <c r="BD81" s="46">
        <f t="shared" si="118"/>
        <v>429603</v>
      </c>
      <c r="BE81" s="46">
        <f t="shared" si="119"/>
        <v>1171655</v>
      </c>
      <c r="BF81" s="46">
        <f t="shared" si="120"/>
        <v>43608</v>
      </c>
      <c r="BG81" s="46">
        <f t="shared" si="121"/>
        <v>0</v>
      </c>
      <c r="BH81" s="46">
        <v>0</v>
      </c>
      <c r="BI81" s="46">
        <f t="shared" si="122"/>
        <v>1215263</v>
      </c>
      <c r="BJ81" s="46">
        <f t="shared" si="123"/>
        <v>429603</v>
      </c>
      <c r="BK81" s="46">
        <f t="shared" si="124"/>
        <v>2472141</v>
      </c>
      <c r="BL81" s="46">
        <f t="shared" si="125"/>
        <v>0</v>
      </c>
      <c r="BM81" s="46">
        <f t="shared" si="126"/>
        <v>-429603</v>
      </c>
      <c r="BN81" s="46">
        <v>0</v>
      </c>
      <c r="BO81" s="46">
        <f t="shared" si="127"/>
        <v>2042538</v>
      </c>
      <c r="BP81" s="46">
        <f t="shared" si="128"/>
        <v>0</v>
      </c>
      <c r="BQ81" s="46">
        <f t="shared" si="129"/>
        <v>917517</v>
      </c>
      <c r="BR81" s="46">
        <f t="shared" si="130"/>
        <v>0</v>
      </c>
      <c r="BS81" s="46">
        <f t="shared" si="131"/>
        <v>117321</v>
      </c>
      <c r="BT81" s="46">
        <v>0</v>
      </c>
      <c r="BU81" s="46">
        <f t="shared" si="132"/>
        <v>1034838</v>
      </c>
      <c r="BV81" s="46">
        <f t="shared" si="133"/>
        <v>117321</v>
      </c>
      <c r="BW81" s="46">
        <f t="shared" si="134"/>
        <v>1758217</v>
      </c>
      <c r="BX81" s="46">
        <f t="shared" si="135"/>
        <v>286608</v>
      </c>
      <c r="BY81" s="46">
        <f t="shared" si="136"/>
        <v>-117321</v>
      </c>
      <c r="BZ81" s="46">
        <v>0</v>
      </c>
      <c r="CA81" s="46">
        <f t="shared" si="137"/>
        <v>1927504</v>
      </c>
      <c r="CB81" s="46">
        <f t="shared" si="138"/>
        <v>0</v>
      </c>
      <c r="CC81" s="155">
        <f t="shared" si="141"/>
        <v>0</v>
      </c>
      <c r="CD81" s="79" t="s">
        <v>538</v>
      </c>
      <c r="CE81" s="65">
        <f t="shared" si="142"/>
        <v>1034838</v>
      </c>
      <c r="CF81" s="65">
        <f t="shared" si="143"/>
        <v>1034838</v>
      </c>
      <c r="CG81" s="65">
        <f t="shared" si="144"/>
        <v>1007152</v>
      </c>
      <c r="CH81" s="65">
        <f t="shared" si="145"/>
        <v>1034838</v>
      </c>
      <c r="CI81" s="65">
        <f t="shared" si="146"/>
        <v>3143774</v>
      </c>
      <c r="CJ81" s="65">
        <f t="shared" si="147"/>
        <v>1065278</v>
      </c>
      <c r="CK81" s="65">
        <f t="shared" si="148"/>
        <v>1897100</v>
      </c>
      <c r="CL81" s="65">
        <f t="shared" si="149"/>
        <v>1034838</v>
      </c>
      <c r="CM81" s="65">
        <f t="shared" si="150"/>
        <v>1215263</v>
      </c>
      <c r="CN81" s="65">
        <f t="shared" si="151"/>
        <v>2042538</v>
      </c>
      <c r="CO81" s="65">
        <f t="shared" si="152"/>
        <v>1034838</v>
      </c>
      <c r="CP81" s="65">
        <f t="shared" si="153"/>
        <v>1927504</v>
      </c>
      <c r="CQ81" s="40" t="s">
        <v>538</v>
      </c>
    </row>
    <row r="82" spans="1:95" ht="3" customHeight="1" x14ac:dyDescent="0.25">
      <c r="A82" s="39">
        <v>1</v>
      </c>
      <c r="B82" s="28">
        <v>5802</v>
      </c>
      <c r="C82" s="28" t="s">
        <v>110</v>
      </c>
      <c r="D82" s="48">
        <f>+DATA!Q80</f>
        <v>5892515.4500000002</v>
      </c>
      <c r="E82" s="48">
        <f t="shared" si="139"/>
        <v>387924</v>
      </c>
      <c r="F82" s="48">
        <f t="shared" si="140"/>
        <v>589252</v>
      </c>
      <c r="G82" s="49">
        <f>VLOOKUP(B82,'CALC MEC ESTAB Y ESTIM M FINAL'!$B$7:$F$352,5,0)</f>
        <v>3.0663077543999998E-3</v>
      </c>
      <c r="H82" s="49">
        <f>VLOOKUP(B82,'CALC MEC ESTAB Y ESTIM M FINAL'!$B$7:$R$352,17,0)</f>
        <v>-1.358139321E-4</v>
      </c>
      <c r="I82" s="46">
        <f t="shared" si="79"/>
        <v>241626</v>
      </c>
      <c r="J82" s="46">
        <f t="shared" si="80"/>
        <v>0</v>
      </c>
      <c r="K82" s="46">
        <f t="shared" si="81"/>
        <v>146298</v>
      </c>
      <c r="L82" s="46">
        <v>0</v>
      </c>
      <c r="M82" s="46">
        <f t="shared" si="82"/>
        <v>387924</v>
      </c>
      <c r="N82" s="46">
        <f t="shared" si="83"/>
        <v>146298</v>
      </c>
      <c r="O82" s="46">
        <f t="shared" si="84"/>
        <v>128488</v>
      </c>
      <c r="P82" s="46">
        <f t="shared" si="85"/>
        <v>0</v>
      </c>
      <c r="Q82" s="46">
        <f t="shared" si="86"/>
        <v>259436</v>
      </c>
      <c r="R82" s="46">
        <v>0</v>
      </c>
      <c r="S82" s="46">
        <f t="shared" si="87"/>
        <v>387924</v>
      </c>
      <c r="T82" s="46">
        <f t="shared" si="88"/>
        <v>405734</v>
      </c>
      <c r="U82" s="46">
        <f t="shared" si="89"/>
        <v>366548</v>
      </c>
      <c r="V82" s="46">
        <f t="shared" si="90"/>
        <v>0</v>
      </c>
      <c r="W82" s="46">
        <f t="shared" si="91"/>
        <v>0</v>
      </c>
      <c r="X82" s="46">
        <v>0</v>
      </c>
      <c r="Y82" s="46">
        <f t="shared" si="92"/>
        <v>366548</v>
      </c>
      <c r="Z82" s="46">
        <f t="shared" si="93"/>
        <v>405734</v>
      </c>
      <c r="AA82" s="46">
        <f t="shared" si="94"/>
        <v>194631</v>
      </c>
      <c r="AB82" s="46">
        <f t="shared" si="95"/>
        <v>0</v>
      </c>
      <c r="AC82" s="46">
        <f t="shared" si="96"/>
        <v>193293</v>
      </c>
      <c r="AD82" s="46">
        <v>0</v>
      </c>
      <c r="AE82" s="46">
        <f t="shared" si="97"/>
        <v>387924</v>
      </c>
      <c r="AF82" s="46">
        <f t="shared" si="98"/>
        <v>599027</v>
      </c>
      <c r="AG82" s="46">
        <f t="shared" si="99"/>
        <v>1693657</v>
      </c>
      <c r="AH82" s="46">
        <f t="shared" si="100"/>
        <v>15632</v>
      </c>
      <c r="AI82" s="46">
        <f t="shared" si="101"/>
        <v>-599027</v>
      </c>
      <c r="AJ82" s="46">
        <v>0</v>
      </c>
      <c r="AK82" s="46">
        <f t="shared" si="102"/>
        <v>1110262</v>
      </c>
      <c r="AL82" s="46">
        <f t="shared" si="103"/>
        <v>0</v>
      </c>
      <c r="AM82" s="46">
        <f t="shared" si="104"/>
        <v>335470</v>
      </c>
      <c r="AN82" s="46">
        <f t="shared" si="105"/>
        <v>11079</v>
      </c>
      <c r="AO82" s="46">
        <f t="shared" si="106"/>
        <v>52454</v>
      </c>
      <c r="AP82" s="46">
        <v>0</v>
      </c>
      <c r="AQ82" s="46">
        <f t="shared" si="107"/>
        <v>399003</v>
      </c>
      <c r="AR82" s="46">
        <f t="shared" si="108"/>
        <v>52454</v>
      </c>
      <c r="AS82" s="46">
        <f t="shared" si="109"/>
        <v>666855</v>
      </c>
      <c r="AT82" s="46">
        <f t="shared" si="110"/>
        <v>64740</v>
      </c>
      <c r="AU82" s="46">
        <f t="shared" si="111"/>
        <v>-52454</v>
      </c>
      <c r="AV82" s="46">
        <v>0</v>
      </c>
      <c r="AW82" s="46">
        <f t="shared" si="112"/>
        <v>679141</v>
      </c>
      <c r="AX82" s="46">
        <f t="shared" si="113"/>
        <v>0</v>
      </c>
      <c r="AY82" s="46">
        <f t="shared" si="114"/>
        <v>220272</v>
      </c>
      <c r="AZ82" s="46">
        <f t="shared" si="115"/>
        <v>0</v>
      </c>
      <c r="BA82" s="46">
        <f t="shared" si="116"/>
        <v>167652</v>
      </c>
      <c r="BB82" s="46"/>
      <c r="BC82" s="46">
        <f t="shared" si="117"/>
        <v>387924</v>
      </c>
      <c r="BD82" s="46">
        <f t="shared" si="118"/>
        <v>167652</v>
      </c>
      <c r="BE82" s="46">
        <f t="shared" si="119"/>
        <v>426418</v>
      </c>
      <c r="BF82" s="46">
        <f t="shared" si="120"/>
        <v>15871</v>
      </c>
      <c r="BG82" s="46">
        <f t="shared" si="121"/>
        <v>0</v>
      </c>
      <c r="BH82" s="46">
        <v>0</v>
      </c>
      <c r="BI82" s="46">
        <f t="shared" si="122"/>
        <v>442289</v>
      </c>
      <c r="BJ82" s="46">
        <f t="shared" si="123"/>
        <v>167652</v>
      </c>
      <c r="BK82" s="46">
        <f t="shared" si="124"/>
        <v>899724</v>
      </c>
      <c r="BL82" s="46">
        <f t="shared" si="125"/>
        <v>0</v>
      </c>
      <c r="BM82" s="46">
        <f t="shared" si="126"/>
        <v>-167652</v>
      </c>
      <c r="BN82" s="46">
        <v>0</v>
      </c>
      <c r="BO82" s="46">
        <f t="shared" si="127"/>
        <v>732072</v>
      </c>
      <c r="BP82" s="46">
        <f t="shared" si="128"/>
        <v>0</v>
      </c>
      <c r="BQ82" s="46">
        <f t="shared" si="129"/>
        <v>333926</v>
      </c>
      <c r="BR82" s="46">
        <f t="shared" si="130"/>
        <v>0</v>
      </c>
      <c r="BS82" s="46">
        <f t="shared" si="131"/>
        <v>53998</v>
      </c>
      <c r="BT82" s="46">
        <v>0</v>
      </c>
      <c r="BU82" s="46">
        <f t="shared" si="132"/>
        <v>387924</v>
      </c>
      <c r="BV82" s="46">
        <f t="shared" si="133"/>
        <v>53998</v>
      </c>
      <c r="BW82" s="46">
        <f t="shared" si="134"/>
        <v>639895</v>
      </c>
      <c r="BX82" s="46">
        <f t="shared" si="135"/>
        <v>104309</v>
      </c>
      <c r="BY82" s="46">
        <f t="shared" si="136"/>
        <v>-53998</v>
      </c>
      <c r="BZ82" s="46">
        <v>0</v>
      </c>
      <c r="CA82" s="46">
        <f t="shared" si="137"/>
        <v>690206</v>
      </c>
      <c r="CB82" s="46">
        <f t="shared" si="138"/>
        <v>0</v>
      </c>
      <c r="CC82" s="155">
        <f t="shared" si="141"/>
        <v>0</v>
      </c>
      <c r="CD82" s="79" t="s">
        <v>538</v>
      </c>
      <c r="CE82" s="65">
        <f t="shared" si="142"/>
        <v>387924</v>
      </c>
      <c r="CF82" s="65">
        <f t="shared" si="143"/>
        <v>387924</v>
      </c>
      <c r="CG82" s="65">
        <f t="shared" si="144"/>
        <v>366548</v>
      </c>
      <c r="CH82" s="65">
        <f t="shared" si="145"/>
        <v>387924</v>
      </c>
      <c r="CI82" s="65">
        <f t="shared" si="146"/>
        <v>1110262</v>
      </c>
      <c r="CJ82" s="65">
        <f t="shared" si="147"/>
        <v>399003</v>
      </c>
      <c r="CK82" s="65">
        <f t="shared" si="148"/>
        <v>679141</v>
      </c>
      <c r="CL82" s="65">
        <f t="shared" si="149"/>
        <v>387924</v>
      </c>
      <c r="CM82" s="65">
        <f t="shared" si="150"/>
        <v>442289</v>
      </c>
      <c r="CN82" s="65">
        <f t="shared" si="151"/>
        <v>732072</v>
      </c>
      <c r="CO82" s="65">
        <f t="shared" si="152"/>
        <v>387924</v>
      </c>
      <c r="CP82" s="65">
        <f t="shared" si="153"/>
        <v>690206</v>
      </c>
      <c r="CQ82" s="40" t="s">
        <v>538</v>
      </c>
    </row>
    <row r="83" spans="1:95" ht="3" customHeight="1" x14ac:dyDescent="0.25">
      <c r="A83" s="39">
        <v>1</v>
      </c>
      <c r="B83" s="28">
        <v>5803</v>
      </c>
      <c r="C83" s="28" t="s">
        <v>384</v>
      </c>
      <c r="D83" s="48">
        <f>+DATA!Q81</f>
        <v>2362523.798</v>
      </c>
      <c r="E83" s="48">
        <f t="shared" si="139"/>
        <v>155533</v>
      </c>
      <c r="F83" s="48">
        <f t="shared" si="140"/>
        <v>236252</v>
      </c>
      <c r="G83" s="49">
        <f>VLOOKUP(B83,'CALC MEC ESTAB Y ESTIM M FINAL'!$B$7:$F$352,5,0)</f>
        <v>1.1035310834000001E-3</v>
      </c>
      <c r="H83" s="49">
        <f>VLOOKUP(B83,'CALC MEC ESTAB Y ESTIM M FINAL'!$B$7:$R$352,17,0)</f>
        <v>2.5993520199999999E-5</v>
      </c>
      <c r="I83" s="46">
        <f t="shared" si="79"/>
        <v>93132</v>
      </c>
      <c r="J83" s="46">
        <f t="shared" si="80"/>
        <v>0</v>
      </c>
      <c r="K83" s="46">
        <f t="shared" si="81"/>
        <v>62401</v>
      </c>
      <c r="L83" s="46">
        <v>0</v>
      </c>
      <c r="M83" s="46">
        <f t="shared" si="82"/>
        <v>155533</v>
      </c>
      <c r="N83" s="46">
        <f t="shared" si="83"/>
        <v>62401</v>
      </c>
      <c r="O83" s="46">
        <f t="shared" si="84"/>
        <v>49524</v>
      </c>
      <c r="P83" s="46">
        <f t="shared" si="85"/>
        <v>0</v>
      </c>
      <c r="Q83" s="46">
        <f t="shared" si="86"/>
        <v>106009</v>
      </c>
      <c r="R83" s="46">
        <v>0</v>
      </c>
      <c r="S83" s="46">
        <f t="shared" si="87"/>
        <v>155533</v>
      </c>
      <c r="T83" s="46">
        <f t="shared" si="88"/>
        <v>168410</v>
      </c>
      <c r="U83" s="46">
        <f t="shared" si="89"/>
        <v>141282</v>
      </c>
      <c r="V83" s="46">
        <f t="shared" si="90"/>
        <v>0</v>
      </c>
      <c r="W83" s="46">
        <f t="shared" si="91"/>
        <v>0</v>
      </c>
      <c r="X83" s="46">
        <v>0</v>
      </c>
      <c r="Y83" s="46">
        <f t="shared" si="92"/>
        <v>141282</v>
      </c>
      <c r="Z83" s="46">
        <f t="shared" si="93"/>
        <v>168410</v>
      </c>
      <c r="AA83" s="46">
        <f t="shared" si="94"/>
        <v>75018</v>
      </c>
      <c r="AB83" s="46">
        <f t="shared" si="95"/>
        <v>0</v>
      </c>
      <c r="AC83" s="46">
        <f t="shared" si="96"/>
        <v>80515</v>
      </c>
      <c r="AD83" s="46">
        <v>0</v>
      </c>
      <c r="AE83" s="46">
        <f t="shared" si="97"/>
        <v>155533</v>
      </c>
      <c r="AF83" s="46">
        <f t="shared" si="98"/>
        <v>248925</v>
      </c>
      <c r="AG83" s="46">
        <f t="shared" si="99"/>
        <v>652800</v>
      </c>
      <c r="AH83" s="46">
        <f t="shared" si="100"/>
        <v>6025</v>
      </c>
      <c r="AI83" s="46">
        <f t="shared" si="101"/>
        <v>-248925</v>
      </c>
      <c r="AJ83" s="46">
        <v>0</v>
      </c>
      <c r="AK83" s="46">
        <f t="shared" si="102"/>
        <v>409900</v>
      </c>
      <c r="AL83" s="46">
        <f t="shared" si="103"/>
        <v>0</v>
      </c>
      <c r="AM83" s="46">
        <f t="shared" si="104"/>
        <v>129303</v>
      </c>
      <c r="AN83" s="46">
        <f t="shared" si="105"/>
        <v>4270</v>
      </c>
      <c r="AO83" s="46">
        <f t="shared" si="106"/>
        <v>26230</v>
      </c>
      <c r="AP83" s="46">
        <v>0</v>
      </c>
      <c r="AQ83" s="46">
        <f t="shared" si="107"/>
        <v>159803</v>
      </c>
      <c r="AR83" s="46">
        <f t="shared" si="108"/>
        <v>26230</v>
      </c>
      <c r="AS83" s="46">
        <f t="shared" si="109"/>
        <v>257032</v>
      </c>
      <c r="AT83" s="46">
        <f t="shared" si="110"/>
        <v>24953</v>
      </c>
      <c r="AU83" s="46">
        <f t="shared" si="111"/>
        <v>-20780</v>
      </c>
      <c r="AV83" s="46">
        <v>0</v>
      </c>
      <c r="AW83" s="46">
        <f t="shared" si="112"/>
        <v>261205</v>
      </c>
      <c r="AX83" s="46">
        <f t="shared" si="113"/>
        <v>5450</v>
      </c>
      <c r="AY83" s="46">
        <f t="shared" si="114"/>
        <v>84901</v>
      </c>
      <c r="AZ83" s="46">
        <f t="shared" si="115"/>
        <v>0</v>
      </c>
      <c r="BA83" s="46">
        <f t="shared" si="116"/>
        <v>70632</v>
      </c>
      <c r="BB83" s="46"/>
      <c r="BC83" s="46">
        <f t="shared" si="117"/>
        <v>155533</v>
      </c>
      <c r="BD83" s="46">
        <f t="shared" si="118"/>
        <v>76082</v>
      </c>
      <c r="BE83" s="46">
        <f t="shared" si="119"/>
        <v>164358</v>
      </c>
      <c r="BF83" s="46">
        <f t="shared" si="120"/>
        <v>6117</v>
      </c>
      <c r="BG83" s="46">
        <f t="shared" si="121"/>
        <v>0</v>
      </c>
      <c r="BH83" s="46">
        <v>0</v>
      </c>
      <c r="BI83" s="46">
        <f t="shared" si="122"/>
        <v>170475</v>
      </c>
      <c r="BJ83" s="46">
        <f t="shared" si="123"/>
        <v>76082</v>
      </c>
      <c r="BK83" s="46">
        <f t="shared" si="124"/>
        <v>346788</v>
      </c>
      <c r="BL83" s="46">
        <f t="shared" si="125"/>
        <v>0</v>
      </c>
      <c r="BM83" s="46">
        <f t="shared" si="126"/>
        <v>-76082</v>
      </c>
      <c r="BN83" s="46">
        <v>0</v>
      </c>
      <c r="BO83" s="46">
        <f t="shared" si="127"/>
        <v>270706</v>
      </c>
      <c r="BP83" s="46">
        <f t="shared" si="128"/>
        <v>0</v>
      </c>
      <c r="BQ83" s="46">
        <f t="shared" si="129"/>
        <v>128708</v>
      </c>
      <c r="BR83" s="46">
        <f t="shared" si="130"/>
        <v>0</v>
      </c>
      <c r="BS83" s="46">
        <f t="shared" si="131"/>
        <v>26825</v>
      </c>
      <c r="BT83" s="46">
        <v>0</v>
      </c>
      <c r="BU83" s="46">
        <f t="shared" si="132"/>
        <v>155533</v>
      </c>
      <c r="BV83" s="46">
        <f t="shared" si="133"/>
        <v>26825</v>
      </c>
      <c r="BW83" s="46">
        <f t="shared" si="134"/>
        <v>246640</v>
      </c>
      <c r="BX83" s="46">
        <f t="shared" si="135"/>
        <v>40205</v>
      </c>
      <c r="BY83" s="46">
        <f t="shared" si="136"/>
        <v>-26825</v>
      </c>
      <c r="BZ83" s="46">
        <v>0</v>
      </c>
      <c r="CA83" s="46">
        <f t="shared" si="137"/>
        <v>260020</v>
      </c>
      <c r="CB83" s="46">
        <f t="shared" si="138"/>
        <v>0</v>
      </c>
      <c r="CC83" s="155">
        <f t="shared" si="141"/>
        <v>0</v>
      </c>
      <c r="CD83" s="79" t="s">
        <v>538</v>
      </c>
      <c r="CE83" s="65">
        <f t="shared" si="142"/>
        <v>155533</v>
      </c>
      <c r="CF83" s="65">
        <f t="shared" si="143"/>
        <v>155533</v>
      </c>
      <c r="CG83" s="65">
        <f t="shared" si="144"/>
        <v>141282</v>
      </c>
      <c r="CH83" s="65">
        <f t="shared" si="145"/>
        <v>155533</v>
      </c>
      <c r="CI83" s="65">
        <f t="shared" si="146"/>
        <v>409900</v>
      </c>
      <c r="CJ83" s="65">
        <f t="shared" si="147"/>
        <v>159803</v>
      </c>
      <c r="CK83" s="65">
        <f t="shared" si="148"/>
        <v>261205</v>
      </c>
      <c r="CL83" s="65">
        <f t="shared" si="149"/>
        <v>155533</v>
      </c>
      <c r="CM83" s="65">
        <f t="shared" si="150"/>
        <v>170475</v>
      </c>
      <c r="CN83" s="65">
        <f t="shared" si="151"/>
        <v>270706</v>
      </c>
      <c r="CO83" s="65">
        <f t="shared" si="152"/>
        <v>155533</v>
      </c>
      <c r="CP83" s="65">
        <f t="shared" si="153"/>
        <v>260020</v>
      </c>
      <c r="CQ83" s="40" t="s">
        <v>538</v>
      </c>
    </row>
    <row r="84" spans="1:95" ht="3" customHeight="1" x14ac:dyDescent="0.25">
      <c r="A84" s="39">
        <v>1</v>
      </c>
      <c r="B84" s="28">
        <v>5804</v>
      </c>
      <c r="C84" s="28" t="s">
        <v>96</v>
      </c>
      <c r="D84" s="48">
        <f>+DATA!Q82</f>
        <v>14619187.832</v>
      </c>
      <c r="E84" s="48">
        <f t="shared" si="139"/>
        <v>962430</v>
      </c>
      <c r="F84" s="48">
        <f t="shared" si="140"/>
        <v>1461919</v>
      </c>
      <c r="G84" s="49">
        <f>VLOOKUP(B84,'CALC MEC ESTAB Y ESTIM M FINAL'!$B$7:$F$352,5,0)</f>
        <v>7.2492652494000002E-3</v>
      </c>
      <c r="H84" s="49">
        <f>VLOOKUP(B84,'CALC MEC ESTAB Y ESTIM M FINAL'!$B$7:$R$352,17,0)</f>
        <v>-1.4166308190000001E-4</v>
      </c>
      <c r="I84" s="46">
        <f t="shared" si="79"/>
        <v>586037</v>
      </c>
      <c r="J84" s="46">
        <f t="shared" si="80"/>
        <v>0</v>
      </c>
      <c r="K84" s="46">
        <f t="shared" si="81"/>
        <v>376393</v>
      </c>
      <c r="L84" s="46">
        <v>0</v>
      </c>
      <c r="M84" s="46">
        <f t="shared" si="82"/>
        <v>962430</v>
      </c>
      <c r="N84" s="46">
        <f t="shared" si="83"/>
        <v>376393</v>
      </c>
      <c r="O84" s="46">
        <f t="shared" si="84"/>
        <v>311635</v>
      </c>
      <c r="P84" s="46">
        <f t="shared" si="85"/>
        <v>0</v>
      </c>
      <c r="Q84" s="46">
        <f t="shared" si="86"/>
        <v>650795</v>
      </c>
      <c r="R84" s="46">
        <v>0</v>
      </c>
      <c r="S84" s="46">
        <f t="shared" si="87"/>
        <v>962430</v>
      </c>
      <c r="T84" s="46">
        <f t="shared" si="88"/>
        <v>1027188</v>
      </c>
      <c r="U84" s="46">
        <f t="shared" si="89"/>
        <v>889024</v>
      </c>
      <c r="V84" s="46">
        <f t="shared" si="90"/>
        <v>0</v>
      </c>
      <c r="W84" s="46">
        <f t="shared" si="91"/>
        <v>0</v>
      </c>
      <c r="X84" s="46">
        <v>0</v>
      </c>
      <c r="Y84" s="46">
        <f t="shared" si="92"/>
        <v>889024</v>
      </c>
      <c r="Z84" s="46">
        <f t="shared" si="93"/>
        <v>1027188</v>
      </c>
      <c r="AA84" s="46">
        <f t="shared" si="94"/>
        <v>472058</v>
      </c>
      <c r="AB84" s="46">
        <f t="shared" si="95"/>
        <v>0</v>
      </c>
      <c r="AC84" s="46">
        <f t="shared" si="96"/>
        <v>490372</v>
      </c>
      <c r="AD84" s="46">
        <v>0</v>
      </c>
      <c r="AE84" s="46">
        <f t="shared" si="97"/>
        <v>962430</v>
      </c>
      <c r="AF84" s="46">
        <f t="shared" si="98"/>
        <v>1517560</v>
      </c>
      <c r="AG84" s="46">
        <f t="shared" si="99"/>
        <v>4107786</v>
      </c>
      <c r="AH84" s="46">
        <f t="shared" si="100"/>
        <v>37914</v>
      </c>
      <c r="AI84" s="46">
        <f t="shared" si="101"/>
        <v>-1517560</v>
      </c>
      <c r="AJ84" s="46">
        <v>0</v>
      </c>
      <c r="AK84" s="46">
        <f t="shared" si="102"/>
        <v>2628140</v>
      </c>
      <c r="AL84" s="46">
        <f t="shared" si="103"/>
        <v>0</v>
      </c>
      <c r="AM84" s="46">
        <f t="shared" si="104"/>
        <v>813648</v>
      </c>
      <c r="AN84" s="46">
        <f t="shared" si="105"/>
        <v>26870</v>
      </c>
      <c r="AO84" s="46">
        <f t="shared" si="106"/>
        <v>148782</v>
      </c>
      <c r="AP84" s="46">
        <v>0</v>
      </c>
      <c r="AQ84" s="46">
        <f t="shared" si="107"/>
        <v>989300</v>
      </c>
      <c r="AR84" s="46">
        <f t="shared" si="108"/>
        <v>148782</v>
      </c>
      <c r="AS84" s="46">
        <f t="shared" si="109"/>
        <v>1617386</v>
      </c>
      <c r="AT84" s="46">
        <f t="shared" si="110"/>
        <v>157019</v>
      </c>
      <c r="AU84" s="46">
        <f t="shared" si="111"/>
        <v>-148782</v>
      </c>
      <c r="AV84" s="46">
        <v>0</v>
      </c>
      <c r="AW84" s="46">
        <f t="shared" si="112"/>
        <v>1625623</v>
      </c>
      <c r="AX84" s="46">
        <f t="shared" si="113"/>
        <v>0</v>
      </c>
      <c r="AY84" s="46">
        <f t="shared" si="114"/>
        <v>534247</v>
      </c>
      <c r="AZ84" s="46">
        <f t="shared" si="115"/>
        <v>0</v>
      </c>
      <c r="BA84" s="46">
        <f t="shared" si="116"/>
        <v>428183</v>
      </c>
      <c r="BB84" s="46"/>
      <c r="BC84" s="46">
        <f t="shared" si="117"/>
        <v>962430</v>
      </c>
      <c r="BD84" s="46">
        <f t="shared" si="118"/>
        <v>428183</v>
      </c>
      <c r="BE84" s="46">
        <f t="shared" si="119"/>
        <v>1034232</v>
      </c>
      <c r="BF84" s="46">
        <f t="shared" si="120"/>
        <v>38493</v>
      </c>
      <c r="BG84" s="46">
        <f t="shared" si="121"/>
        <v>0</v>
      </c>
      <c r="BH84" s="46">
        <v>0</v>
      </c>
      <c r="BI84" s="46">
        <f t="shared" si="122"/>
        <v>1072725</v>
      </c>
      <c r="BJ84" s="46">
        <f t="shared" si="123"/>
        <v>428183</v>
      </c>
      <c r="BK84" s="46">
        <f t="shared" si="124"/>
        <v>2182185</v>
      </c>
      <c r="BL84" s="46">
        <f t="shared" si="125"/>
        <v>0</v>
      </c>
      <c r="BM84" s="46">
        <f t="shared" si="126"/>
        <v>-428183</v>
      </c>
      <c r="BN84" s="46">
        <v>0</v>
      </c>
      <c r="BO84" s="46">
        <f t="shared" si="127"/>
        <v>1754002</v>
      </c>
      <c r="BP84" s="46">
        <f t="shared" si="128"/>
        <v>0</v>
      </c>
      <c r="BQ84" s="46">
        <f t="shared" si="129"/>
        <v>809902</v>
      </c>
      <c r="BR84" s="46">
        <f t="shared" si="130"/>
        <v>0</v>
      </c>
      <c r="BS84" s="46">
        <f t="shared" si="131"/>
        <v>152528</v>
      </c>
      <c r="BT84" s="46">
        <v>0</v>
      </c>
      <c r="BU84" s="46">
        <f t="shared" si="132"/>
        <v>962430</v>
      </c>
      <c r="BV84" s="46">
        <f t="shared" si="133"/>
        <v>152528</v>
      </c>
      <c r="BW84" s="46">
        <f t="shared" si="134"/>
        <v>1551997</v>
      </c>
      <c r="BX84" s="46">
        <f t="shared" si="135"/>
        <v>252991</v>
      </c>
      <c r="BY84" s="46">
        <f t="shared" si="136"/>
        <v>-152528</v>
      </c>
      <c r="BZ84" s="46">
        <v>0</v>
      </c>
      <c r="CA84" s="46">
        <f t="shared" si="137"/>
        <v>1652460</v>
      </c>
      <c r="CB84" s="46">
        <f t="shared" si="138"/>
        <v>0</v>
      </c>
      <c r="CC84" s="155">
        <f t="shared" si="141"/>
        <v>0</v>
      </c>
      <c r="CD84" s="79" t="s">
        <v>538</v>
      </c>
      <c r="CE84" s="65">
        <f t="shared" si="142"/>
        <v>962430</v>
      </c>
      <c r="CF84" s="65">
        <f t="shared" si="143"/>
        <v>962430</v>
      </c>
      <c r="CG84" s="65">
        <f t="shared" si="144"/>
        <v>889024</v>
      </c>
      <c r="CH84" s="65">
        <f t="shared" si="145"/>
        <v>962430</v>
      </c>
      <c r="CI84" s="65">
        <f t="shared" si="146"/>
        <v>2628140</v>
      </c>
      <c r="CJ84" s="65">
        <f t="shared" si="147"/>
        <v>989300</v>
      </c>
      <c r="CK84" s="65">
        <f t="shared" si="148"/>
        <v>1625623</v>
      </c>
      <c r="CL84" s="65">
        <f t="shared" si="149"/>
        <v>962430</v>
      </c>
      <c r="CM84" s="65">
        <f t="shared" si="150"/>
        <v>1072725</v>
      </c>
      <c r="CN84" s="65">
        <f t="shared" si="151"/>
        <v>1754002</v>
      </c>
      <c r="CO84" s="65">
        <f t="shared" si="152"/>
        <v>962430</v>
      </c>
      <c r="CP84" s="65">
        <f t="shared" si="153"/>
        <v>1652460</v>
      </c>
      <c r="CQ84" s="40" t="s">
        <v>538</v>
      </c>
    </row>
    <row r="85" spans="1:95" ht="3" customHeight="1" x14ac:dyDescent="0.25">
      <c r="A85" s="39">
        <v>1</v>
      </c>
      <c r="B85" s="28">
        <v>6101</v>
      </c>
      <c r="C85" s="28" t="s">
        <v>119</v>
      </c>
      <c r="D85" s="48">
        <f>+DATA!Q83</f>
        <v>20215962.734000001</v>
      </c>
      <c r="E85" s="48">
        <f t="shared" si="139"/>
        <v>1330884</v>
      </c>
      <c r="F85" s="48">
        <f t="shared" si="140"/>
        <v>2021596</v>
      </c>
      <c r="G85" s="49">
        <f>VLOOKUP(B85,'CALC MEC ESTAB Y ESTIM M FINAL'!$B$7:$F$352,5,0)</f>
        <v>1.13868389505E-2</v>
      </c>
      <c r="H85" s="49">
        <f>VLOOKUP(B85,'CALC MEC ESTAB Y ESTIM M FINAL'!$B$7:$R$352,17,0)</f>
        <v>-9.3666759789999999E-4</v>
      </c>
      <c r="I85" s="46">
        <f t="shared" si="79"/>
        <v>861639</v>
      </c>
      <c r="J85" s="46">
        <f t="shared" si="80"/>
        <v>0</v>
      </c>
      <c r="K85" s="46">
        <f t="shared" si="81"/>
        <v>469245</v>
      </c>
      <c r="L85" s="46">
        <v>0</v>
      </c>
      <c r="M85" s="46">
        <f t="shared" si="82"/>
        <v>1330884</v>
      </c>
      <c r="N85" s="46">
        <f t="shared" si="83"/>
        <v>469245</v>
      </c>
      <c r="O85" s="46">
        <f t="shared" si="84"/>
        <v>458191</v>
      </c>
      <c r="P85" s="46">
        <f t="shared" si="85"/>
        <v>0</v>
      </c>
      <c r="Q85" s="46">
        <f t="shared" si="86"/>
        <v>872693</v>
      </c>
      <c r="R85" s="46">
        <v>0</v>
      </c>
      <c r="S85" s="46">
        <f t="shared" si="87"/>
        <v>1330884</v>
      </c>
      <c r="T85" s="46">
        <f t="shared" si="88"/>
        <v>1341938</v>
      </c>
      <c r="U85" s="46">
        <f t="shared" si="89"/>
        <v>1307115</v>
      </c>
      <c r="V85" s="46">
        <f t="shared" si="90"/>
        <v>0</v>
      </c>
      <c r="W85" s="46">
        <f t="shared" si="91"/>
        <v>0</v>
      </c>
      <c r="X85" s="46">
        <v>0</v>
      </c>
      <c r="Y85" s="46">
        <f t="shared" si="92"/>
        <v>1307115</v>
      </c>
      <c r="Z85" s="46">
        <f t="shared" si="93"/>
        <v>1341938</v>
      </c>
      <c r="AA85" s="46">
        <f t="shared" si="94"/>
        <v>694058</v>
      </c>
      <c r="AB85" s="46">
        <f t="shared" si="95"/>
        <v>0</v>
      </c>
      <c r="AC85" s="46">
        <f t="shared" si="96"/>
        <v>636826</v>
      </c>
      <c r="AD85" s="46">
        <v>0</v>
      </c>
      <c r="AE85" s="46">
        <f t="shared" si="97"/>
        <v>1330884</v>
      </c>
      <c r="AF85" s="46">
        <f t="shared" si="98"/>
        <v>1978764</v>
      </c>
      <c r="AG85" s="46">
        <f t="shared" si="99"/>
        <v>6039600</v>
      </c>
      <c r="AH85" s="46">
        <f t="shared" si="100"/>
        <v>55744</v>
      </c>
      <c r="AI85" s="46">
        <f t="shared" si="101"/>
        <v>-1978764</v>
      </c>
      <c r="AJ85" s="46">
        <v>0</v>
      </c>
      <c r="AK85" s="46">
        <f t="shared" si="102"/>
        <v>4116580</v>
      </c>
      <c r="AL85" s="46">
        <f t="shared" si="103"/>
        <v>0</v>
      </c>
      <c r="AM85" s="46">
        <f t="shared" si="104"/>
        <v>1196290</v>
      </c>
      <c r="AN85" s="46">
        <f t="shared" si="105"/>
        <v>39506</v>
      </c>
      <c r="AO85" s="46">
        <f t="shared" si="106"/>
        <v>134594</v>
      </c>
      <c r="AP85" s="46">
        <v>0</v>
      </c>
      <c r="AQ85" s="46">
        <f t="shared" si="107"/>
        <v>1370390</v>
      </c>
      <c r="AR85" s="46">
        <f t="shared" si="108"/>
        <v>134594</v>
      </c>
      <c r="AS85" s="46">
        <f t="shared" si="109"/>
        <v>2378012</v>
      </c>
      <c r="AT85" s="46">
        <f t="shared" si="110"/>
        <v>230862</v>
      </c>
      <c r="AU85" s="46">
        <f t="shared" si="111"/>
        <v>-134594</v>
      </c>
      <c r="AV85" s="46">
        <v>0</v>
      </c>
      <c r="AW85" s="46">
        <f t="shared" si="112"/>
        <v>2474280</v>
      </c>
      <c r="AX85" s="46">
        <f t="shared" si="113"/>
        <v>0</v>
      </c>
      <c r="AY85" s="46">
        <f t="shared" si="114"/>
        <v>785494</v>
      </c>
      <c r="AZ85" s="46">
        <f t="shared" si="115"/>
        <v>0</v>
      </c>
      <c r="BA85" s="46">
        <f t="shared" si="116"/>
        <v>545390</v>
      </c>
      <c r="BB85" s="46"/>
      <c r="BC85" s="46">
        <f t="shared" si="117"/>
        <v>1330884</v>
      </c>
      <c r="BD85" s="46">
        <f t="shared" si="118"/>
        <v>545390</v>
      </c>
      <c r="BE85" s="46">
        <f t="shared" si="119"/>
        <v>1520612</v>
      </c>
      <c r="BF85" s="46">
        <f t="shared" si="120"/>
        <v>56596</v>
      </c>
      <c r="BG85" s="46">
        <f t="shared" si="121"/>
        <v>0</v>
      </c>
      <c r="BH85" s="46">
        <v>0</v>
      </c>
      <c r="BI85" s="46">
        <f t="shared" si="122"/>
        <v>1577208</v>
      </c>
      <c r="BJ85" s="46">
        <f t="shared" si="123"/>
        <v>545390</v>
      </c>
      <c r="BK85" s="46">
        <f t="shared" si="124"/>
        <v>3208425</v>
      </c>
      <c r="BL85" s="46">
        <f t="shared" si="125"/>
        <v>0</v>
      </c>
      <c r="BM85" s="46">
        <f t="shared" si="126"/>
        <v>-545390</v>
      </c>
      <c r="BN85" s="46">
        <v>0</v>
      </c>
      <c r="BO85" s="46">
        <f t="shared" si="127"/>
        <v>2663035</v>
      </c>
      <c r="BP85" s="46">
        <f t="shared" si="128"/>
        <v>0</v>
      </c>
      <c r="BQ85" s="46">
        <f t="shared" si="129"/>
        <v>1190784</v>
      </c>
      <c r="BR85" s="46">
        <f t="shared" si="130"/>
        <v>0</v>
      </c>
      <c r="BS85" s="46">
        <f t="shared" si="131"/>
        <v>140100</v>
      </c>
      <c r="BT85" s="46">
        <v>0</v>
      </c>
      <c r="BU85" s="46">
        <f t="shared" si="132"/>
        <v>1330884</v>
      </c>
      <c r="BV85" s="46">
        <f t="shared" si="133"/>
        <v>140100</v>
      </c>
      <c r="BW85" s="46">
        <f t="shared" si="134"/>
        <v>2281871</v>
      </c>
      <c r="BX85" s="46">
        <f t="shared" si="135"/>
        <v>371969</v>
      </c>
      <c r="BY85" s="46">
        <f t="shared" si="136"/>
        <v>-140100</v>
      </c>
      <c r="BZ85" s="46">
        <v>0</v>
      </c>
      <c r="CA85" s="46">
        <f t="shared" si="137"/>
        <v>2513740</v>
      </c>
      <c r="CB85" s="46">
        <f t="shared" si="138"/>
        <v>0</v>
      </c>
      <c r="CC85" s="155">
        <f t="shared" si="141"/>
        <v>0</v>
      </c>
      <c r="CD85" s="79" t="s">
        <v>538</v>
      </c>
      <c r="CE85" s="65">
        <f t="shared" si="142"/>
        <v>1330884</v>
      </c>
      <c r="CF85" s="65">
        <f t="shared" si="143"/>
        <v>1330884</v>
      </c>
      <c r="CG85" s="65">
        <f t="shared" si="144"/>
        <v>1307115</v>
      </c>
      <c r="CH85" s="65">
        <f t="shared" si="145"/>
        <v>1330884</v>
      </c>
      <c r="CI85" s="65">
        <f t="shared" si="146"/>
        <v>4116580</v>
      </c>
      <c r="CJ85" s="65">
        <f t="shared" si="147"/>
        <v>1370390</v>
      </c>
      <c r="CK85" s="65">
        <f t="shared" si="148"/>
        <v>2474280</v>
      </c>
      <c r="CL85" s="65">
        <f t="shared" si="149"/>
        <v>1330884</v>
      </c>
      <c r="CM85" s="65">
        <f t="shared" si="150"/>
        <v>1577208</v>
      </c>
      <c r="CN85" s="65">
        <f t="shared" si="151"/>
        <v>2663035</v>
      </c>
      <c r="CO85" s="65">
        <f t="shared" si="152"/>
        <v>1330884</v>
      </c>
      <c r="CP85" s="65">
        <f t="shared" si="153"/>
        <v>2513740</v>
      </c>
      <c r="CQ85" s="40" t="s">
        <v>538</v>
      </c>
    </row>
    <row r="86" spans="1:95" ht="3" customHeight="1" x14ac:dyDescent="0.25">
      <c r="A86" s="39">
        <v>1</v>
      </c>
      <c r="B86" s="28">
        <v>6102</v>
      </c>
      <c r="C86" s="28" t="s">
        <v>124</v>
      </c>
      <c r="D86" s="48">
        <f>+DATA!Q84</f>
        <v>2110206.6540000001</v>
      </c>
      <c r="E86" s="48">
        <f t="shared" si="139"/>
        <v>138922</v>
      </c>
      <c r="F86" s="48">
        <f t="shared" si="140"/>
        <v>211021</v>
      </c>
      <c r="G86" s="49">
        <f>VLOOKUP(B86,'CALC MEC ESTAB Y ESTIM M FINAL'!$B$7:$F$352,5,0)</f>
        <v>1.0002736970000001E-3</v>
      </c>
      <c r="H86" s="49">
        <f>VLOOKUP(B86,'CALC MEC ESTAB Y ESTIM M FINAL'!$B$7:$R$352,17,0)</f>
        <v>8.6180010000000006E-6</v>
      </c>
      <c r="I86" s="46">
        <f t="shared" si="79"/>
        <v>83185</v>
      </c>
      <c r="J86" s="46">
        <f t="shared" si="80"/>
        <v>0</v>
      </c>
      <c r="K86" s="46">
        <f t="shared" si="81"/>
        <v>55737</v>
      </c>
      <c r="L86" s="46">
        <v>0</v>
      </c>
      <c r="M86" s="46">
        <f t="shared" si="82"/>
        <v>138922</v>
      </c>
      <c r="N86" s="46">
        <f t="shared" si="83"/>
        <v>55737</v>
      </c>
      <c r="O86" s="46">
        <f t="shared" si="84"/>
        <v>44235</v>
      </c>
      <c r="P86" s="46">
        <f t="shared" si="85"/>
        <v>0</v>
      </c>
      <c r="Q86" s="46">
        <f t="shared" si="86"/>
        <v>94687</v>
      </c>
      <c r="R86" s="46">
        <v>0</v>
      </c>
      <c r="S86" s="46">
        <f t="shared" si="87"/>
        <v>138922</v>
      </c>
      <c r="T86" s="46">
        <f t="shared" si="88"/>
        <v>150424</v>
      </c>
      <c r="U86" s="46">
        <f t="shared" si="89"/>
        <v>126193</v>
      </c>
      <c r="V86" s="46">
        <f t="shared" si="90"/>
        <v>0</v>
      </c>
      <c r="W86" s="46">
        <f t="shared" si="91"/>
        <v>0</v>
      </c>
      <c r="X86" s="46">
        <v>0</v>
      </c>
      <c r="Y86" s="46">
        <f t="shared" si="92"/>
        <v>126193</v>
      </c>
      <c r="Z86" s="46">
        <f t="shared" si="93"/>
        <v>150424</v>
      </c>
      <c r="AA86" s="46">
        <f t="shared" si="94"/>
        <v>67006</v>
      </c>
      <c r="AB86" s="46">
        <f t="shared" si="95"/>
        <v>0</v>
      </c>
      <c r="AC86" s="46">
        <f t="shared" si="96"/>
        <v>71916</v>
      </c>
      <c r="AD86" s="46">
        <v>0</v>
      </c>
      <c r="AE86" s="46">
        <f t="shared" si="97"/>
        <v>138922</v>
      </c>
      <c r="AF86" s="46">
        <f t="shared" si="98"/>
        <v>222340</v>
      </c>
      <c r="AG86" s="46">
        <f t="shared" si="99"/>
        <v>583082</v>
      </c>
      <c r="AH86" s="46">
        <f t="shared" si="100"/>
        <v>5382</v>
      </c>
      <c r="AI86" s="46">
        <f t="shared" si="101"/>
        <v>-222340</v>
      </c>
      <c r="AJ86" s="46">
        <v>0</v>
      </c>
      <c r="AK86" s="46">
        <f t="shared" si="102"/>
        <v>366124</v>
      </c>
      <c r="AL86" s="46">
        <f t="shared" si="103"/>
        <v>0</v>
      </c>
      <c r="AM86" s="46">
        <f t="shared" si="104"/>
        <v>115494</v>
      </c>
      <c r="AN86" s="46">
        <f t="shared" si="105"/>
        <v>3814</v>
      </c>
      <c r="AO86" s="46">
        <f t="shared" si="106"/>
        <v>23428</v>
      </c>
      <c r="AP86" s="46">
        <v>0</v>
      </c>
      <c r="AQ86" s="46">
        <f t="shared" si="107"/>
        <v>142736</v>
      </c>
      <c r="AR86" s="46">
        <f t="shared" si="108"/>
        <v>23428</v>
      </c>
      <c r="AS86" s="46">
        <f t="shared" si="109"/>
        <v>229581</v>
      </c>
      <c r="AT86" s="46">
        <f t="shared" si="110"/>
        <v>22288</v>
      </c>
      <c r="AU86" s="46">
        <f t="shared" si="111"/>
        <v>-18560</v>
      </c>
      <c r="AV86" s="46">
        <v>0</v>
      </c>
      <c r="AW86" s="46">
        <f t="shared" si="112"/>
        <v>233309</v>
      </c>
      <c r="AX86" s="46">
        <f t="shared" si="113"/>
        <v>4868</v>
      </c>
      <c r="AY86" s="46">
        <f t="shared" si="114"/>
        <v>75834</v>
      </c>
      <c r="AZ86" s="46">
        <f t="shared" si="115"/>
        <v>0</v>
      </c>
      <c r="BA86" s="46">
        <f t="shared" si="116"/>
        <v>63088</v>
      </c>
      <c r="BB86" s="46"/>
      <c r="BC86" s="46">
        <f t="shared" si="117"/>
        <v>138922</v>
      </c>
      <c r="BD86" s="46">
        <f t="shared" si="118"/>
        <v>67956</v>
      </c>
      <c r="BE86" s="46">
        <f t="shared" si="119"/>
        <v>146805</v>
      </c>
      <c r="BF86" s="46">
        <f t="shared" si="120"/>
        <v>5464</v>
      </c>
      <c r="BG86" s="46">
        <f t="shared" si="121"/>
        <v>0</v>
      </c>
      <c r="BH86" s="46">
        <v>0</v>
      </c>
      <c r="BI86" s="46">
        <f t="shared" si="122"/>
        <v>152269</v>
      </c>
      <c r="BJ86" s="46">
        <f t="shared" si="123"/>
        <v>67956</v>
      </c>
      <c r="BK86" s="46">
        <f t="shared" si="124"/>
        <v>309751</v>
      </c>
      <c r="BL86" s="46">
        <f t="shared" si="125"/>
        <v>0</v>
      </c>
      <c r="BM86" s="46">
        <f t="shared" si="126"/>
        <v>-67956</v>
      </c>
      <c r="BN86" s="46">
        <v>0</v>
      </c>
      <c r="BO86" s="46">
        <f t="shared" si="127"/>
        <v>241795</v>
      </c>
      <c r="BP86" s="46">
        <f t="shared" si="128"/>
        <v>0</v>
      </c>
      <c r="BQ86" s="46">
        <f t="shared" si="129"/>
        <v>114962</v>
      </c>
      <c r="BR86" s="46">
        <f t="shared" si="130"/>
        <v>0</v>
      </c>
      <c r="BS86" s="46">
        <f t="shared" si="131"/>
        <v>23960</v>
      </c>
      <c r="BT86" s="46">
        <v>0</v>
      </c>
      <c r="BU86" s="46">
        <f t="shared" si="132"/>
        <v>138922</v>
      </c>
      <c r="BV86" s="46">
        <f t="shared" si="133"/>
        <v>23960</v>
      </c>
      <c r="BW86" s="46">
        <f t="shared" si="134"/>
        <v>220299</v>
      </c>
      <c r="BX86" s="46">
        <f t="shared" si="135"/>
        <v>35911</v>
      </c>
      <c r="BY86" s="46">
        <f t="shared" si="136"/>
        <v>-23960</v>
      </c>
      <c r="BZ86" s="46">
        <v>0</v>
      </c>
      <c r="CA86" s="46">
        <f t="shared" si="137"/>
        <v>232250</v>
      </c>
      <c r="CB86" s="46">
        <f t="shared" si="138"/>
        <v>0</v>
      </c>
      <c r="CC86" s="155">
        <f t="shared" si="141"/>
        <v>0</v>
      </c>
      <c r="CD86" s="79" t="s">
        <v>538</v>
      </c>
      <c r="CE86" s="65">
        <f t="shared" si="142"/>
        <v>138922</v>
      </c>
      <c r="CF86" s="65">
        <f t="shared" si="143"/>
        <v>138922</v>
      </c>
      <c r="CG86" s="65">
        <f t="shared" si="144"/>
        <v>126193</v>
      </c>
      <c r="CH86" s="65">
        <f t="shared" si="145"/>
        <v>138922</v>
      </c>
      <c r="CI86" s="65">
        <f t="shared" si="146"/>
        <v>366124</v>
      </c>
      <c r="CJ86" s="65">
        <f t="shared" si="147"/>
        <v>142736</v>
      </c>
      <c r="CK86" s="65">
        <f t="shared" si="148"/>
        <v>233309</v>
      </c>
      <c r="CL86" s="65">
        <f t="shared" si="149"/>
        <v>138922</v>
      </c>
      <c r="CM86" s="65">
        <f t="shared" si="150"/>
        <v>152269</v>
      </c>
      <c r="CN86" s="65">
        <f t="shared" si="151"/>
        <v>241795</v>
      </c>
      <c r="CO86" s="65">
        <f t="shared" si="152"/>
        <v>138922</v>
      </c>
      <c r="CP86" s="65">
        <f t="shared" si="153"/>
        <v>232250</v>
      </c>
      <c r="CQ86" s="40" t="s">
        <v>538</v>
      </c>
    </row>
    <row r="87" spans="1:95" ht="3" customHeight="1" x14ac:dyDescent="0.25">
      <c r="A87" s="39">
        <v>1</v>
      </c>
      <c r="B87" s="28">
        <v>6103</v>
      </c>
      <c r="C87" s="28" t="s">
        <v>131</v>
      </c>
      <c r="D87" s="48">
        <f>+DATA!Q85</f>
        <v>2139955.301</v>
      </c>
      <c r="E87" s="48">
        <f t="shared" si="139"/>
        <v>140880</v>
      </c>
      <c r="F87" s="48">
        <f t="shared" si="140"/>
        <v>213996</v>
      </c>
      <c r="G87" s="49">
        <f>VLOOKUP(B87,'CALC MEC ESTAB Y ESTIM M FINAL'!$B$7:$F$352,5,0)</f>
        <v>1.1514581380999999E-3</v>
      </c>
      <c r="H87" s="49">
        <f>VLOOKUP(B87,'CALC MEC ESTAB Y ESTIM M FINAL'!$B$7:$R$352,17,0)</f>
        <v>-6.9967838300000003E-5</v>
      </c>
      <c r="I87" s="46">
        <f t="shared" si="79"/>
        <v>89171</v>
      </c>
      <c r="J87" s="46">
        <f t="shared" si="80"/>
        <v>0</v>
      </c>
      <c r="K87" s="46">
        <f t="shared" si="81"/>
        <v>51709</v>
      </c>
      <c r="L87" s="46">
        <v>0</v>
      </c>
      <c r="M87" s="46">
        <f t="shared" si="82"/>
        <v>140880</v>
      </c>
      <c r="N87" s="46">
        <f t="shared" si="83"/>
        <v>51709</v>
      </c>
      <c r="O87" s="46">
        <f t="shared" si="84"/>
        <v>47418</v>
      </c>
      <c r="P87" s="46">
        <f t="shared" si="85"/>
        <v>0</v>
      </c>
      <c r="Q87" s="46">
        <f t="shared" si="86"/>
        <v>93462</v>
      </c>
      <c r="R87" s="46">
        <v>0</v>
      </c>
      <c r="S87" s="46">
        <f t="shared" si="87"/>
        <v>140880</v>
      </c>
      <c r="T87" s="46">
        <f t="shared" si="88"/>
        <v>145171</v>
      </c>
      <c r="U87" s="46">
        <f t="shared" si="89"/>
        <v>135274</v>
      </c>
      <c r="V87" s="46">
        <f t="shared" si="90"/>
        <v>0</v>
      </c>
      <c r="W87" s="46">
        <f t="shared" si="91"/>
        <v>0</v>
      </c>
      <c r="X87" s="46">
        <v>0</v>
      </c>
      <c r="Y87" s="46">
        <f t="shared" si="92"/>
        <v>135274</v>
      </c>
      <c r="Z87" s="46">
        <f t="shared" si="93"/>
        <v>145171</v>
      </c>
      <c r="AA87" s="46">
        <f t="shared" si="94"/>
        <v>71828</v>
      </c>
      <c r="AB87" s="46">
        <f t="shared" si="95"/>
        <v>0</v>
      </c>
      <c r="AC87" s="46">
        <f t="shared" si="96"/>
        <v>69052</v>
      </c>
      <c r="AD87" s="46">
        <v>0</v>
      </c>
      <c r="AE87" s="46">
        <f t="shared" si="97"/>
        <v>140880</v>
      </c>
      <c r="AF87" s="46">
        <f t="shared" si="98"/>
        <v>214223</v>
      </c>
      <c r="AG87" s="46">
        <f t="shared" si="99"/>
        <v>625039</v>
      </c>
      <c r="AH87" s="46">
        <f t="shared" si="100"/>
        <v>5769</v>
      </c>
      <c r="AI87" s="46">
        <f t="shared" si="101"/>
        <v>-214223</v>
      </c>
      <c r="AJ87" s="46">
        <v>0</v>
      </c>
      <c r="AK87" s="46">
        <f t="shared" si="102"/>
        <v>416585</v>
      </c>
      <c r="AL87" s="46">
        <f t="shared" si="103"/>
        <v>0</v>
      </c>
      <c r="AM87" s="46">
        <f t="shared" si="104"/>
        <v>123804</v>
      </c>
      <c r="AN87" s="46">
        <f t="shared" si="105"/>
        <v>4089</v>
      </c>
      <c r="AO87" s="46">
        <f t="shared" si="106"/>
        <v>17076</v>
      </c>
      <c r="AP87" s="46">
        <v>0</v>
      </c>
      <c r="AQ87" s="46">
        <f t="shared" si="107"/>
        <v>144969</v>
      </c>
      <c r="AR87" s="46">
        <f t="shared" si="108"/>
        <v>17076</v>
      </c>
      <c r="AS87" s="46">
        <f t="shared" si="109"/>
        <v>246101</v>
      </c>
      <c r="AT87" s="46">
        <f t="shared" si="110"/>
        <v>23892</v>
      </c>
      <c r="AU87" s="46">
        <f t="shared" si="111"/>
        <v>-17076</v>
      </c>
      <c r="AV87" s="46">
        <v>0</v>
      </c>
      <c r="AW87" s="46">
        <f t="shared" si="112"/>
        <v>252917</v>
      </c>
      <c r="AX87" s="46">
        <f t="shared" si="113"/>
        <v>0</v>
      </c>
      <c r="AY87" s="46">
        <f t="shared" si="114"/>
        <v>81291</v>
      </c>
      <c r="AZ87" s="46">
        <f t="shared" si="115"/>
        <v>0</v>
      </c>
      <c r="BA87" s="46">
        <f t="shared" si="116"/>
        <v>59589</v>
      </c>
      <c r="BB87" s="46"/>
      <c r="BC87" s="46">
        <f t="shared" si="117"/>
        <v>140880</v>
      </c>
      <c r="BD87" s="46">
        <f t="shared" si="118"/>
        <v>59589</v>
      </c>
      <c r="BE87" s="46">
        <f t="shared" si="119"/>
        <v>157368</v>
      </c>
      <c r="BF87" s="46">
        <f t="shared" si="120"/>
        <v>5857</v>
      </c>
      <c r="BG87" s="46">
        <f t="shared" si="121"/>
        <v>0</v>
      </c>
      <c r="BH87" s="46">
        <v>0</v>
      </c>
      <c r="BI87" s="46">
        <f t="shared" si="122"/>
        <v>163225</v>
      </c>
      <c r="BJ87" s="46">
        <f t="shared" si="123"/>
        <v>59589</v>
      </c>
      <c r="BK87" s="46">
        <f t="shared" si="124"/>
        <v>332041</v>
      </c>
      <c r="BL87" s="46">
        <f t="shared" si="125"/>
        <v>0</v>
      </c>
      <c r="BM87" s="46">
        <f t="shared" si="126"/>
        <v>-59589</v>
      </c>
      <c r="BN87" s="46">
        <v>0</v>
      </c>
      <c r="BO87" s="46">
        <f t="shared" si="127"/>
        <v>272452</v>
      </c>
      <c r="BP87" s="46">
        <f t="shared" si="128"/>
        <v>0</v>
      </c>
      <c r="BQ87" s="46">
        <f t="shared" si="129"/>
        <v>123234</v>
      </c>
      <c r="BR87" s="46">
        <f t="shared" si="130"/>
        <v>0</v>
      </c>
      <c r="BS87" s="46">
        <f t="shared" si="131"/>
        <v>17646</v>
      </c>
      <c r="BT87" s="46">
        <v>0</v>
      </c>
      <c r="BU87" s="46">
        <f t="shared" si="132"/>
        <v>140880</v>
      </c>
      <c r="BV87" s="46">
        <f t="shared" si="133"/>
        <v>17646</v>
      </c>
      <c r="BW87" s="46">
        <f t="shared" si="134"/>
        <v>236151</v>
      </c>
      <c r="BX87" s="46">
        <f t="shared" si="135"/>
        <v>38495</v>
      </c>
      <c r="BY87" s="46">
        <f t="shared" si="136"/>
        <v>-17646</v>
      </c>
      <c r="BZ87" s="46">
        <v>0</v>
      </c>
      <c r="CA87" s="46">
        <f t="shared" si="137"/>
        <v>257000</v>
      </c>
      <c r="CB87" s="46">
        <f t="shared" si="138"/>
        <v>0</v>
      </c>
      <c r="CC87" s="155">
        <f t="shared" si="141"/>
        <v>0</v>
      </c>
      <c r="CD87" s="79" t="s">
        <v>538</v>
      </c>
      <c r="CE87" s="65">
        <f t="shared" si="142"/>
        <v>140880</v>
      </c>
      <c r="CF87" s="65">
        <f t="shared" si="143"/>
        <v>140880</v>
      </c>
      <c r="CG87" s="65">
        <f t="shared" si="144"/>
        <v>135274</v>
      </c>
      <c r="CH87" s="65">
        <f t="shared" si="145"/>
        <v>140880</v>
      </c>
      <c r="CI87" s="65">
        <f t="shared" si="146"/>
        <v>416585</v>
      </c>
      <c r="CJ87" s="65">
        <f t="shared" si="147"/>
        <v>144969</v>
      </c>
      <c r="CK87" s="65">
        <f t="shared" si="148"/>
        <v>252917</v>
      </c>
      <c r="CL87" s="65">
        <f t="shared" si="149"/>
        <v>140880</v>
      </c>
      <c r="CM87" s="65">
        <f t="shared" si="150"/>
        <v>163225</v>
      </c>
      <c r="CN87" s="65">
        <f t="shared" si="151"/>
        <v>272452</v>
      </c>
      <c r="CO87" s="65">
        <f t="shared" si="152"/>
        <v>140880</v>
      </c>
      <c r="CP87" s="65">
        <f t="shared" si="153"/>
        <v>257000</v>
      </c>
      <c r="CQ87" s="40" t="s">
        <v>538</v>
      </c>
    </row>
    <row r="88" spans="1:95" ht="3" customHeight="1" x14ac:dyDescent="0.25">
      <c r="A88" s="39">
        <v>1</v>
      </c>
      <c r="B88" s="28">
        <v>6104</v>
      </c>
      <c r="C88" s="28" t="s">
        <v>123</v>
      </c>
      <c r="D88" s="48">
        <f>+DATA!Q86</f>
        <v>3970631.861</v>
      </c>
      <c r="E88" s="48">
        <f t="shared" si="139"/>
        <v>261400</v>
      </c>
      <c r="F88" s="48">
        <f t="shared" si="140"/>
        <v>397063</v>
      </c>
      <c r="G88" s="49">
        <f>VLOOKUP(B88,'CALC MEC ESTAB Y ESTIM M FINAL'!$B$7:$F$352,5,0)</f>
        <v>2.1624887142000001E-3</v>
      </c>
      <c r="H88" s="49">
        <f>VLOOKUP(B88,'CALC MEC ESTAB Y ESTIM M FINAL'!$B$7:$R$352,17,0)</f>
        <v>-1.43487374E-4</v>
      </c>
      <c r="I88" s="46">
        <f t="shared" si="79"/>
        <v>166471</v>
      </c>
      <c r="J88" s="46">
        <f t="shared" si="80"/>
        <v>0</v>
      </c>
      <c r="K88" s="46">
        <f t="shared" si="81"/>
        <v>94929</v>
      </c>
      <c r="L88" s="46">
        <v>0</v>
      </c>
      <c r="M88" s="46">
        <f t="shared" si="82"/>
        <v>261400</v>
      </c>
      <c r="N88" s="46">
        <f t="shared" si="83"/>
        <v>94929</v>
      </c>
      <c r="O88" s="46">
        <f t="shared" si="84"/>
        <v>88524</v>
      </c>
      <c r="P88" s="46">
        <f t="shared" si="85"/>
        <v>0</v>
      </c>
      <c r="Q88" s="46">
        <f t="shared" si="86"/>
        <v>172876</v>
      </c>
      <c r="R88" s="46">
        <v>0</v>
      </c>
      <c r="S88" s="46">
        <f t="shared" si="87"/>
        <v>261400</v>
      </c>
      <c r="T88" s="46">
        <f t="shared" si="88"/>
        <v>267805</v>
      </c>
      <c r="U88" s="46">
        <f t="shared" si="89"/>
        <v>252538</v>
      </c>
      <c r="V88" s="46">
        <f t="shared" si="90"/>
        <v>0</v>
      </c>
      <c r="W88" s="46">
        <f t="shared" si="91"/>
        <v>0</v>
      </c>
      <c r="X88" s="46">
        <v>0</v>
      </c>
      <c r="Y88" s="46">
        <f t="shared" si="92"/>
        <v>252538</v>
      </c>
      <c r="Z88" s="46">
        <f t="shared" si="93"/>
        <v>267805</v>
      </c>
      <c r="AA88" s="46">
        <f t="shared" si="94"/>
        <v>134094</v>
      </c>
      <c r="AB88" s="46">
        <f t="shared" si="95"/>
        <v>0</v>
      </c>
      <c r="AC88" s="46">
        <f t="shared" si="96"/>
        <v>127306</v>
      </c>
      <c r="AD88" s="46">
        <v>0</v>
      </c>
      <c r="AE88" s="46">
        <f t="shared" si="97"/>
        <v>261400</v>
      </c>
      <c r="AF88" s="46">
        <f t="shared" si="98"/>
        <v>395111</v>
      </c>
      <c r="AG88" s="46">
        <f t="shared" si="99"/>
        <v>1166867</v>
      </c>
      <c r="AH88" s="46">
        <f t="shared" si="100"/>
        <v>10770</v>
      </c>
      <c r="AI88" s="46">
        <f t="shared" si="101"/>
        <v>-395111</v>
      </c>
      <c r="AJ88" s="46">
        <v>0</v>
      </c>
      <c r="AK88" s="46">
        <f t="shared" si="102"/>
        <v>782526</v>
      </c>
      <c r="AL88" s="46">
        <f t="shared" si="103"/>
        <v>0</v>
      </c>
      <c r="AM88" s="46">
        <f t="shared" si="104"/>
        <v>231127</v>
      </c>
      <c r="AN88" s="46">
        <f t="shared" si="105"/>
        <v>7633</v>
      </c>
      <c r="AO88" s="46">
        <f t="shared" si="106"/>
        <v>30273</v>
      </c>
      <c r="AP88" s="46">
        <v>0</v>
      </c>
      <c r="AQ88" s="46">
        <f t="shared" si="107"/>
        <v>269033</v>
      </c>
      <c r="AR88" s="46">
        <f t="shared" si="108"/>
        <v>30273</v>
      </c>
      <c r="AS88" s="46">
        <f t="shared" si="109"/>
        <v>459438</v>
      </c>
      <c r="AT88" s="46">
        <f t="shared" si="110"/>
        <v>44603</v>
      </c>
      <c r="AU88" s="46">
        <f t="shared" si="111"/>
        <v>-30273</v>
      </c>
      <c r="AV88" s="46">
        <v>0</v>
      </c>
      <c r="AW88" s="46">
        <f t="shared" si="112"/>
        <v>473768</v>
      </c>
      <c r="AX88" s="46">
        <f t="shared" si="113"/>
        <v>0</v>
      </c>
      <c r="AY88" s="46">
        <f t="shared" si="114"/>
        <v>151760</v>
      </c>
      <c r="AZ88" s="46">
        <f t="shared" si="115"/>
        <v>0</v>
      </c>
      <c r="BA88" s="46">
        <f t="shared" si="116"/>
        <v>109640</v>
      </c>
      <c r="BB88" s="46"/>
      <c r="BC88" s="46">
        <f t="shared" si="117"/>
        <v>261400</v>
      </c>
      <c r="BD88" s="46">
        <f t="shared" si="118"/>
        <v>109640</v>
      </c>
      <c r="BE88" s="46">
        <f t="shared" si="119"/>
        <v>293786</v>
      </c>
      <c r="BF88" s="46">
        <f t="shared" si="120"/>
        <v>10934</v>
      </c>
      <c r="BG88" s="46">
        <f t="shared" si="121"/>
        <v>0</v>
      </c>
      <c r="BH88" s="46">
        <v>0</v>
      </c>
      <c r="BI88" s="46">
        <f t="shared" si="122"/>
        <v>304720</v>
      </c>
      <c r="BJ88" s="46">
        <f t="shared" si="123"/>
        <v>109640</v>
      </c>
      <c r="BK88" s="46">
        <f t="shared" si="124"/>
        <v>619876</v>
      </c>
      <c r="BL88" s="46">
        <f t="shared" si="125"/>
        <v>0</v>
      </c>
      <c r="BM88" s="46">
        <f t="shared" si="126"/>
        <v>-109640</v>
      </c>
      <c r="BN88" s="46">
        <v>0</v>
      </c>
      <c r="BO88" s="46">
        <f t="shared" si="127"/>
        <v>510236</v>
      </c>
      <c r="BP88" s="46">
        <f t="shared" si="128"/>
        <v>0</v>
      </c>
      <c r="BQ88" s="46">
        <f t="shared" si="129"/>
        <v>230063</v>
      </c>
      <c r="BR88" s="46">
        <f t="shared" si="130"/>
        <v>0</v>
      </c>
      <c r="BS88" s="46">
        <f t="shared" si="131"/>
        <v>31337</v>
      </c>
      <c r="BT88" s="46">
        <v>0</v>
      </c>
      <c r="BU88" s="46">
        <f t="shared" si="132"/>
        <v>261400</v>
      </c>
      <c r="BV88" s="46">
        <f t="shared" si="133"/>
        <v>31337</v>
      </c>
      <c r="BW88" s="46">
        <f t="shared" si="134"/>
        <v>440864</v>
      </c>
      <c r="BX88" s="46">
        <f t="shared" si="135"/>
        <v>71865</v>
      </c>
      <c r="BY88" s="46">
        <f t="shared" si="136"/>
        <v>-31337</v>
      </c>
      <c r="BZ88" s="46">
        <v>0</v>
      </c>
      <c r="CA88" s="46">
        <f t="shared" si="137"/>
        <v>481392</v>
      </c>
      <c r="CB88" s="46">
        <f t="shared" si="138"/>
        <v>0</v>
      </c>
      <c r="CC88" s="155">
        <f t="shared" si="141"/>
        <v>0</v>
      </c>
      <c r="CD88" s="79" t="s">
        <v>538</v>
      </c>
      <c r="CE88" s="65">
        <f t="shared" si="142"/>
        <v>261400</v>
      </c>
      <c r="CF88" s="65">
        <f t="shared" si="143"/>
        <v>261400</v>
      </c>
      <c r="CG88" s="65">
        <f t="shared" si="144"/>
        <v>252538</v>
      </c>
      <c r="CH88" s="65">
        <f t="shared" si="145"/>
        <v>261400</v>
      </c>
      <c r="CI88" s="65">
        <f t="shared" si="146"/>
        <v>782526</v>
      </c>
      <c r="CJ88" s="65">
        <f t="shared" si="147"/>
        <v>269033</v>
      </c>
      <c r="CK88" s="65">
        <f t="shared" si="148"/>
        <v>473768</v>
      </c>
      <c r="CL88" s="65">
        <f t="shared" si="149"/>
        <v>261400</v>
      </c>
      <c r="CM88" s="65">
        <f t="shared" si="150"/>
        <v>304720</v>
      </c>
      <c r="CN88" s="65">
        <f t="shared" si="151"/>
        <v>510236</v>
      </c>
      <c r="CO88" s="65">
        <f t="shared" si="152"/>
        <v>261400</v>
      </c>
      <c r="CP88" s="65">
        <f t="shared" si="153"/>
        <v>481392</v>
      </c>
      <c r="CQ88" s="40" t="s">
        <v>538</v>
      </c>
    </row>
    <row r="89" spans="1:95" ht="3" customHeight="1" x14ac:dyDescent="0.25">
      <c r="A89" s="39">
        <v>1</v>
      </c>
      <c r="B89" s="28">
        <v>6105</v>
      </c>
      <c r="C89" s="28" t="s">
        <v>122</v>
      </c>
      <c r="D89" s="48">
        <f>+DATA!Q87</f>
        <v>3385011.3689999999</v>
      </c>
      <c r="E89" s="48">
        <f t="shared" si="139"/>
        <v>222847</v>
      </c>
      <c r="F89" s="48">
        <f t="shared" si="140"/>
        <v>338501</v>
      </c>
      <c r="G89" s="49">
        <f>VLOOKUP(B89,'CALC MEC ESTAB Y ESTIM M FINAL'!$B$7:$F$352,5,0)</f>
        <v>1.9262410641999999E-3</v>
      </c>
      <c r="H89" s="49">
        <f>VLOOKUP(B89,'CALC MEC ESTAB Y ESTIM M FINAL'!$B$7:$R$352,17,0)</f>
        <v>-1.6717991850000001E-4</v>
      </c>
      <c r="I89" s="46">
        <f t="shared" si="79"/>
        <v>145038</v>
      </c>
      <c r="J89" s="46">
        <f t="shared" si="80"/>
        <v>0</v>
      </c>
      <c r="K89" s="46">
        <f t="shared" si="81"/>
        <v>77809</v>
      </c>
      <c r="L89" s="46">
        <v>0</v>
      </c>
      <c r="M89" s="46">
        <f t="shared" si="82"/>
        <v>222847</v>
      </c>
      <c r="N89" s="46">
        <f t="shared" si="83"/>
        <v>77809</v>
      </c>
      <c r="O89" s="46">
        <f t="shared" si="84"/>
        <v>77127</v>
      </c>
      <c r="P89" s="46">
        <f t="shared" si="85"/>
        <v>0</v>
      </c>
      <c r="Q89" s="46">
        <f t="shared" si="86"/>
        <v>145720</v>
      </c>
      <c r="R89" s="46">
        <v>0</v>
      </c>
      <c r="S89" s="46">
        <f t="shared" si="87"/>
        <v>222847</v>
      </c>
      <c r="T89" s="46">
        <f t="shared" si="88"/>
        <v>223529</v>
      </c>
      <c r="U89" s="46">
        <f t="shared" si="89"/>
        <v>220025</v>
      </c>
      <c r="V89" s="46">
        <f t="shared" si="90"/>
        <v>0</v>
      </c>
      <c r="W89" s="46">
        <f t="shared" si="91"/>
        <v>0</v>
      </c>
      <c r="X89" s="46">
        <v>0</v>
      </c>
      <c r="Y89" s="46">
        <f t="shared" si="92"/>
        <v>220025</v>
      </c>
      <c r="Z89" s="46">
        <f t="shared" si="93"/>
        <v>223529</v>
      </c>
      <c r="AA89" s="46">
        <f t="shared" si="94"/>
        <v>116830</v>
      </c>
      <c r="AB89" s="46">
        <f t="shared" si="95"/>
        <v>0</v>
      </c>
      <c r="AC89" s="46">
        <f t="shared" si="96"/>
        <v>106017</v>
      </c>
      <c r="AD89" s="46">
        <v>0</v>
      </c>
      <c r="AE89" s="46">
        <f t="shared" si="97"/>
        <v>222847</v>
      </c>
      <c r="AF89" s="46">
        <f t="shared" si="98"/>
        <v>329546</v>
      </c>
      <c r="AG89" s="46">
        <f t="shared" si="99"/>
        <v>1016636</v>
      </c>
      <c r="AH89" s="46">
        <f t="shared" si="100"/>
        <v>9383</v>
      </c>
      <c r="AI89" s="46">
        <f t="shared" si="101"/>
        <v>-329546</v>
      </c>
      <c r="AJ89" s="46">
        <v>0</v>
      </c>
      <c r="AK89" s="46">
        <f t="shared" si="102"/>
        <v>696473</v>
      </c>
      <c r="AL89" s="46">
        <f t="shared" si="103"/>
        <v>0</v>
      </c>
      <c r="AM89" s="46">
        <f t="shared" si="104"/>
        <v>201370</v>
      </c>
      <c r="AN89" s="46">
        <f t="shared" si="105"/>
        <v>6650</v>
      </c>
      <c r="AO89" s="46">
        <f t="shared" si="106"/>
        <v>21477</v>
      </c>
      <c r="AP89" s="46">
        <v>0</v>
      </c>
      <c r="AQ89" s="46">
        <f t="shared" si="107"/>
        <v>229497</v>
      </c>
      <c r="AR89" s="46">
        <f t="shared" si="108"/>
        <v>21477</v>
      </c>
      <c r="AS89" s="46">
        <f t="shared" si="109"/>
        <v>400287</v>
      </c>
      <c r="AT89" s="46">
        <f t="shared" si="110"/>
        <v>38861</v>
      </c>
      <c r="AU89" s="46">
        <f t="shared" si="111"/>
        <v>-21477</v>
      </c>
      <c r="AV89" s="46">
        <v>0</v>
      </c>
      <c r="AW89" s="46">
        <f t="shared" si="112"/>
        <v>417671</v>
      </c>
      <c r="AX89" s="46">
        <f t="shared" si="113"/>
        <v>0</v>
      </c>
      <c r="AY89" s="46">
        <f t="shared" si="114"/>
        <v>132221</v>
      </c>
      <c r="AZ89" s="46">
        <f t="shared" si="115"/>
        <v>0</v>
      </c>
      <c r="BA89" s="46">
        <f t="shared" si="116"/>
        <v>90626</v>
      </c>
      <c r="BB89" s="46"/>
      <c r="BC89" s="46">
        <f t="shared" si="117"/>
        <v>222847</v>
      </c>
      <c r="BD89" s="46">
        <f t="shared" si="118"/>
        <v>90626</v>
      </c>
      <c r="BE89" s="46">
        <f t="shared" si="119"/>
        <v>255962</v>
      </c>
      <c r="BF89" s="46">
        <f t="shared" si="120"/>
        <v>9527</v>
      </c>
      <c r="BG89" s="46">
        <f t="shared" si="121"/>
        <v>0</v>
      </c>
      <c r="BH89" s="46">
        <v>0</v>
      </c>
      <c r="BI89" s="46">
        <f t="shared" si="122"/>
        <v>265489</v>
      </c>
      <c r="BJ89" s="46">
        <f t="shared" si="123"/>
        <v>90626</v>
      </c>
      <c r="BK89" s="46">
        <f t="shared" si="124"/>
        <v>540069</v>
      </c>
      <c r="BL89" s="46">
        <f t="shared" si="125"/>
        <v>0</v>
      </c>
      <c r="BM89" s="46">
        <f t="shared" si="126"/>
        <v>-90626</v>
      </c>
      <c r="BN89" s="46">
        <v>0</v>
      </c>
      <c r="BO89" s="46">
        <f t="shared" si="127"/>
        <v>449443</v>
      </c>
      <c r="BP89" s="46">
        <f t="shared" si="128"/>
        <v>0</v>
      </c>
      <c r="BQ89" s="46">
        <f t="shared" si="129"/>
        <v>200443</v>
      </c>
      <c r="BR89" s="46">
        <f t="shared" si="130"/>
        <v>0</v>
      </c>
      <c r="BS89" s="46">
        <f t="shared" si="131"/>
        <v>22404</v>
      </c>
      <c r="BT89" s="46">
        <v>0</v>
      </c>
      <c r="BU89" s="46">
        <f t="shared" si="132"/>
        <v>222847</v>
      </c>
      <c r="BV89" s="46">
        <f t="shared" si="133"/>
        <v>22404</v>
      </c>
      <c r="BW89" s="46">
        <f t="shared" si="134"/>
        <v>384104</v>
      </c>
      <c r="BX89" s="46">
        <f t="shared" si="135"/>
        <v>62613</v>
      </c>
      <c r="BY89" s="46">
        <f t="shared" si="136"/>
        <v>-22404</v>
      </c>
      <c r="BZ89" s="46">
        <v>0</v>
      </c>
      <c r="CA89" s="46">
        <f t="shared" si="137"/>
        <v>424313</v>
      </c>
      <c r="CB89" s="46">
        <f t="shared" si="138"/>
        <v>0</v>
      </c>
      <c r="CC89" s="155">
        <f t="shared" si="141"/>
        <v>0</v>
      </c>
      <c r="CD89" s="79" t="s">
        <v>538</v>
      </c>
      <c r="CE89" s="65">
        <f t="shared" si="142"/>
        <v>222847</v>
      </c>
      <c r="CF89" s="65">
        <f t="shared" si="143"/>
        <v>222847</v>
      </c>
      <c r="CG89" s="65">
        <f t="shared" si="144"/>
        <v>220025</v>
      </c>
      <c r="CH89" s="65">
        <f t="shared" si="145"/>
        <v>222847</v>
      </c>
      <c r="CI89" s="65">
        <f t="shared" si="146"/>
        <v>696473</v>
      </c>
      <c r="CJ89" s="65">
        <f t="shared" si="147"/>
        <v>229497</v>
      </c>
      <c r="CK89" s="65">
        <f t="shared" si="148"/>
        <v>417671</v>
      </c>
      <c r="CL89" s="65">
        <f t="shared" si="149"/>
        <v>222847</v>
      </c>
      <c r="CM89" s="65">
        <f t="shared" si="150"/>
        <v>265489</v>
      </c>
      <c r="CN89" s="65">
        <f t="shared" si="151"/>
        <v>449443</v>
      </c>
      <c r="CO89" s="65">
        <f t="shared" si="152"/>
        <v>222847</v>
      </c>
      <c r="CP89" s="65">
        <f t="shared" si="153"/>
        <v>424313</v>
      </c>
      <c r="CQ89" s="40" t="s">
        <v>538</v>
      </c>
    </row>
    <row r="90" spans="1:95" ht="3" customHeight="1" x14ac:dyDescent="0.25">
      <c r="A90" s="39">
        <v>1</v>
      </c>
      <c r="B90" s="28">
        <v>6106</v>
      </c>
      <c r="C90" s="28" t="s">
        <v>120</v>
      </c>
      <c r="D90" s="48">
        <f>+DATA!Q88</f>
        <v>4580929.4780000001</v>
      </c>
      <c r="E90" s="48">
        <f t="shared" si="139"/>
        <v>301578</v>
      </c>
      <c r="F90" s="48">
        <f t="shared" si="140"/>
        <v>458093</v>
      </c>
      <c r="G90" s="49">
        <f>VLOOKUP(B90,'CALC MEC ESTAB Y ESTIM M FINAL'!$B$7:$F$352,5,0)</f>
        <v>2.6043275477E-3</v>
      </c>
      <c r="H90" s="49">
        <f>VLOOKUP(B90,'CALC MEC ESTAB Y ESTIM M FINAL'!$B$7:$R$352,17,0)</f>
        <v>-2.2637534370000001E-4</v>
      </c>
      <c r="I90" s="46">
        <f t="shared" si="79"/>
        <v>196067</v>
      </c>
      <c r="J90" s="46">
        <f t="shared" si="80"/>
        <v>0</v>
      </c>
      <c r="K90" s="46">
        <f t="shared" si="81"/>
        <v>105511</v>
      </c>
      <c r="L90" s="46">
        <v>0</v>
      </c>
      <c r="M90" s="46">
        <f t="shared" si="82"/>
        <v>301578</v>
      </c>
      <c r="N90" s="46">
        <f t="shared" si="83"/>
        <v>105511</v>
      </c>
      <c r="O90" s="46">
        <f t="shared" si="84"/>
        <v>104262</v>
      </c>
      <c r="P90" s="46">
        <f t="shared" si="85"/>
        <v>0</v>
      </c>
      <c r="Q90" s="46">
        <f t="shared" si="86"/>
        <v>197316</v>
      </c>
      <c r="R90" s="46">
        <v>0</v>
      </c>
      <c r="S90" s="46">
        <f t="shared" si="87"/>
        <v>301578</v>
      </c>
      <c r="T90" s="46">
        <f t="shared" si="88"/>
        <v>302827</v>
      </c>
      <c r="U90" s="46">
        <f t="shared" si="89"/>
        <v>297436</v>
      </c>
      <c r="V90" s="46">
        <f t="shared" si="90"/>
        <v>0</v>
      </c>
      <c r="W90" s="46">
        <f t="shared" si="91"/>
        <v>0</v>
      </c>
      <c r="X90" s="46">
        <v>0</v>
      </c>
      <c r="Y90" s="46">
        <f t="shared" si="92"/>
        <v>297436</v>
      </c>
      <c r="Z90" s="46">
        <f t="shared" si="93"/>
        <v>302827</v>
      </c>
      <c r="AA90" s="46">
        <f t="shared" si="94"/>
        <v>157934</v>
      </c>
      <c r="AB90" s="46">
        <f t="shared" si="95"/>
        <v>0</v>
      </c>
      <c r="AC90" s="46">
        <f t="shared" si="96"/>
        <v>143644</v>
      </c>
      <c r="AD90" s="46">
        <v>0</v>
      </c>
      <c r="AE90" s="46">
        <f t="shared" si="97"/>
        <v>301578</v>
      </c>
      <c r="AF90" s="46">
        <f t="shared" si="98"/>
        <v>446471</v>
      </c>
      <c r="AG90" s="46">
        <f t="shared" si="99"/>
        <v>1374320</v>
      </c>
      <c r="AH90" s="46">
        <f t="shared" si="100"/>
        <v>12685</v>
      </c>
      <c r="AI90" s="46">
        <f t="shared" si="101"/>
        <v>-446471</v>
      </c>
      <c r="AJ90" s="46">
        <v>0</v>
      </c>
      <c r="AK90" s="46">
        <f t="shared" si="102"/>
        <v>940534</v>
      </c>
      <c r="AL90" s="46">
        <f t="shared" si="103"/>
        <v>0</v>
      </c>
      <c r="AM90" s="46">
        <f t="shared" si="104"/>
        <v>272218</v>
      </c>
      <c r="AN90" s="46">
        <f t="shared" si="105"/>
        <v>8990</v>
      </c>
      <c r="AO90" s="46">
        <f t="shared" si="106"/>
        <v>29360</v>
      </c>
      <c r="AP90" s="46">
        <v>0</v>
      </c>
      <c r="AQ90" s="46">
        <f t="shared" si="107"/>
        <v>310568</v>
      </c>
      <c r="AR90" s="46">
        <f t="shared" si="108"/>
        <v>29360</v>
      </c>
      <c r="AS90" s="46">
        <f t="shared" si="109"/>
        <v>541120</v>
      </c>
      <c r="AT90" s="46">
        <f t="shared" si="110"/>
        <v>52533</v>
      </c>
      <c r="AU90" s="46">
        <f t="shared" si="111"/>
        <v>-29360</v>
      </c>
      <c r="AV90" s="46">
        <v>0</v>
      </c>
      <c r="AW90" s="46">
        <f t="shared" si="112"/>
        <v>564293</v>
      </c>
      <c r="AX90" s="46">
        <f t="shared" si="113"/>
        <v>0</v>
      </c>
      <c r="AY90" s="46">
        <f t="shared" si="114"/>
        <v>178740</v>
      </c>
      <c r="AZ90" s="46">
        <f t="shared" si="115"/>
        <v>0</v>
      </c>
      <c r="BA90" s="46">
        <f t="shared" si="116"/>
        <v>122838</v>
      </c>
      <c r="BB90" s="46"/>
      <c r="BC90" s="46">
        <f t="shared" si="117"/>
        <v>301578</v>
      </c>
      <c r="BD90" s="46">
        <f t="shared" si="118"/>
        <v>122838</v>
      </c>
      <c r="BE90" s="46">
        <f t="shared" si="119"/>
        <v>346018</v>
      </c>
      <c r="BF90" s="46">
        <f t="shared" si="120"/>
        <v>12878</v>
      </c>
      <c r="BG90" s="46">
        <f t="shared" si="121"/>
        <v>0</v>
      </c>
      <c r="BH90" s="46">
        <v>0</v>
      </c>
      <c r="BI90" s="46">
        <f t="shared" si="122"/>
        <v>358896</v>
      </c>
      <c r="BJ90" s="46">
        <f t="shared" si="123"/>
        <v>122838</v>
      </c>
      <c r="BK90" s="46">
        <f t="shared" si="124"/>
        <v>730082</v>
      </c>
      <c r="BL90" s="46">
        <f t="shared" si="125"/>
        <v>0</v>
      </c>
      <c r="BM90" s="46">
        <f t="shared" si="126"/>
        <v>-122838</v>
      </c>
      <c r="BN90" s="46">
        <v>0</v>
      </c>
      <c r="BO90" s="46">
        <f t="shared" si="127"/>
        <v>607244</v>
      </c>
      <c r="BP90" s="46">
        <f t="shared" si="128"/>
        <v>0</v>
      </c>
      <c r="BQ90" s="46">
        <f t="shared" si="129"/>
        <v>270965</v>
      </c>
      <c r="BR90" s="46">
        <f t="shared" si="130"/>
        <v>0</v>
      </c>
      <c r="BS90" s="46">
        <f t="shared" si="131"/>
        <v>30613</v>
      </c>
      <c r="BT90" s="46">
        <v>0</v>
      </c>
      <c r="BU90" s="46">
        <f t="shared" si="132"/>
        <v>301578</v>
      </c>
      <c r="BV90" s="46">
        <f t="shared" si="133"/>
        <v>30613</v>
      </c>
      <c r="BW90" s="46">
        <f t="shared" si="134"/>
        <v>519243</v>
      </c>
      <c r="BX90" s="46">
        <f t="shared" si="135"/>
        <v>84642</v>
      </c>
      <c r="BY90" s="46">
        <f t="shared" si="136"/>
        <v>-30613</v>
      </c>
      <c r="BZ90" s="46">
        <v>0</v>
      </c>
      <c r="CA90" s="46">
        <f t="shared" si="137"/>
        <v>573272</v>
      </c>
      <c r="CB90" s="46">
        <f t="shared" si="138"/>
        <v>0</v>
      </c>
      <c r="CC90" s="155">
        <f t="shared" si="141"/>
        <v>0</v>
      </c>
      <c r="CD90" s="79" t="s">
        <v>538</v>
      </c>
      <c r="CE90" s="65">
        <f t="shared" si="142"/>
        <v>301578</v>
      </c>
      <c r="CF90" s="65">
        <f t="shared" si="143"/>
        <v>301578</v>
      </c>
      <c r="CG90" s="65">
        <f t="shared" si="144"/>
        <v>297436</v>
      </c>
      <c r="CH90" s="65">
        <f t="shared" si="145"/>
        <v>301578</v>
      </c>
      <c r="CI90" s="65">
        <f t="shared" si="146"/>
        <v>940534</v>
      </c>
      <c r="CJ90" s="65">
        <f t="shared" si="147"/>
        <v>310568</v>
      </c>
      <c r="CK90" s="65">
        <f t="shared" si="148"/>
        <v>564293</v>
      </c>
      <c r="CL90" s="65">
        <f t="shared" si="149"/>
        <v>301578</v>
      </c>
      <c r="CM90" s="65">
        <f t="shared" si="150"/>
        <v>358896</v>
      </c>
      <c r="CN90" s="65">
        <f t="shared" si="151"/>
        <v>607244</v>
      </c>
      <c r="CO90" s="65">
        <f t="shared" si="152"/>
        <v>301578</v>
      </c>
      <c r="CP90" s="65">
        <f t="shared" si="153"/>
        <v>573272</v>
      </c>
      <c r="CQ90" s="40" t="s">
        <v>538</v>
      </c>
    </row>
    <row r="91" spans="1:95" ht="3" customHeight="1" x14ac:dyDescent="0.25">
      <c r="A91" s="39">
        <v>1</v>
      </c>
      <c r="B91" s="28">
        <v>6107</v>
      </c>
      <c r="C91" s="28" t="s">
        <v>126</v>
      </c>
      <c r="D91" s="48">
        <f>+DATA!Q89</f>
        <v>2437841.4029999999</v>
      </c>
      <c r="E91" s="48">
        <f t="shared" si="139"/>
        <v>160491</v>
      </c>
      <c r="F91" s="48">
        <f t="shared" si="140"/>
        <v>243784</v>
      </c>
      <c r="G91" s="49">
        <f>VLOOKUP(B91,'CALC MEC ESTAB Y ESTIM M FINAL'!$B$7:$F$352,5,0)</f>
        <v>1.3048628945999999E-3</v>
      </c>
      <c r="H91" s="49">
        <f>VLOOKUP(B91,'CALC MEC ESTAB Y ESTIM M FINAL'!$B$7:$R$352,17,0)</f>
        <v>-7.5793030600000003E-5</v>
      </c>
      <c r="I91" s="46">
        <f t="shared" si="79"/>
        <v>101339</v>
      </c>
      <c r="J91" s="46">
        <f t="shared" si="80"/>
        <v>0</v>
      </c>
      <c r="K91" s="46">
        <f t="shared" si="81"/>
        <v>59152</v>
      </c>
      <c r="L91" s="46">
        <v>0</v>
      </c>
      <c r="M91" s="46">
        <f t="shared" si="82"/>
        <v>160491</v>
      </c>
      <c r="N91" s="46">
        <f t="shared" si="83"/>
        <v>59152</v>
      </c>
      <c r="O91" s="46">
        <f t="shared" si="84"/>
        <v>53889</v>
      </c>
      <c r="P91" s="46">
        <f t="shared" si="85"/>
        <v>0</v>
      </c>
      <c r="Q91" s="46">
        <f t="shared" si="86"/>
        <v>106602</v>
      </c>
      <c r="R91" s="46">
        <v>0</v>
      </c>
      <c r="S91" s="46">
        <f t="shared" si="87"/>
        <v>160491</v>
      </c>
      <c r="T91" s="46">
        <f t="shared" si="88"/>
        <v>165754</v>
      </c>
      <c r="U91" s="46">
        <f t="shared" si="89"/>
        <v>153733</v>
      </c>
      <c r="V91" s="46">
        <f t="shared" si="90"/>
        <v>0</v>
      </c>
      <c r="W91" s="46">
        <f t="shared" si="91"/>
        <v>0</v>
      </c>
      <c r="X91" s="46">
        <v>0</v>
      </c>
      <c r="Y91" s="46">
        <f t="shared" si="92"/>
        <v>153733</v>
      </c>
      <c r="Z91" s="46">
        <f t="shared" si="93"/>
        <v>165754</v>
      </c>
      <c r="AA91" s="46">
        <f t="shared" si="94"/>
        <v>81630</v>
      </c>
      <c r="AB91" s="46">
        <f t="shared" si="95"/>
        <v>0</v>
      </c>
      <c r="AC91" s="46">
        <f t="shared" si="96"/>
        <v>78861</v>
      </c>
      <c r="AD91" s="46">
        <v>0</v>
      </c>
      <c r="AE91" s="46">
        <f t="shared" si="97"/>
        <v>160491</v>
      </c>
      <c r="AF91" s="46">
        <f t="shared" si="98"/>
        <v>244615</v>
      </c>
      <c r="AG91" s="46">
        <f t="shared" si="99"/>
        <v>710332</v>
      </c>
      <c r="AH91" s="46">
        <f t="shared" si="100"/>
        <v>6556</v>
      </c>
      <c r="AI91" s="46">
        <f t="shared" si="101"/>
        <v>-244615</v>
      </c>
      <c r="AJ91" s="46">
        <v>0</v>
      </c>
      <c r="AK91" s="46">
        <f t="shared" si="102"/>
        <v>472273</v>
      </c>
      <c r="AL91" s="46">
        <f t="shared" si="103"/>
        <v>0</v>
      </c>
      <c r="AM91" s="46">
        <f t="shared" si="104"/>
        <v>140699</v>
      </c>
      <c r="AN91" s="46">
        <f t="shared" si="105"/>
        <v>4646</v>
      </c>
      <c r="AO91" s="46">
        <f t="shared" si="106"/>
        <v>19792</v>
      </c>
      <c r="AP91" s="46">
        <v>0</v>
      </c>
      <c r="AQ91" s="46">
        <f t="shared" si="107"/>
        <v>165137</v>
      </c>
      <c r="AR91" s="46">
        <f t="shared" si="108"/>
        <v>19792</v>
      </c>
      <c r="AS91" s="46">
        <f t="shared" si="109"/>
        <v>279684</v>
      </c>
      <c r="AT91" s="46">
        <f t="shared" si="110"/>
        <v>27152</v>
      </c>
      <c r="AU91" s="46">
        <f t="shared" si="111"/>
        <v>-19792</v>
      </c>
      <c r="AV91" s="46">
        <v>0</v>
      </c>
      <c r="AW91" s="46">
        <f t="shared" si="112"/>
        <v>287044</v>
      </c>
      <c r="AX91" s="46">
        <f t="shared" si="113"/>
        <v>0</v>
      </c>
      <c r="AY91" s="46">
        <f t="shared" si="114"/>
        <v>92384</v>
      </c>
      <c r="AZ91" s="46">
        <f t="shared" si="115"/>
        <v>0</v>
      </c>
      <c r="BA91" s="46">
        <f t="shared" si="116"/>
        <v>68107</v>
      </c>
      <c r="BB91" s="46"/>
      <c r="BC91" s="46">
        <f t="shared" si="117"/>
        <v>160491</v>
      </c>
      <c r="BD91" s="46">
        <f t="shared" si="118"/>
        <v>68107</v>
      </c>
      <c r="BE91" s="46">
        <f t="shared" si="119"/>
        <v>178843</v>
      </c>
      <c r="BF91" s="46">
        <f t="shared" si="120"/>
        <v>6656</v>
      </c>
      <c r="BG91" s="46">
        <f t="shared" si="121"/>
        <v>0</v>
      </c>
      <c r="BH91" s="46">
        <v>0</v>
      </c>
      <c r="BI91" s="46">
        <f t="shared" si="122"/>
        <v>185499</v>
      </c>
      <c r="BJ91" s="46">
        <f t="shared" si="123"/>
        <v>68107</v>
      </c>
      <c r="BK91" s="46">
        <f t="shared" si="124"/>
        <v>377351</v>
      </c>
      <c r="BL91" s="46">
        <f t="shared" si="125"/>
        <v>0</v>
      </c>
      <c r="BM91" s="46">
        <f t="shared" si="126"/>
        <v>-68107</v>
      </c>
      <c r="BN91" s="46">
        <v>0</v>
      </c>
      <c r="BO91" s="46">
        <f t="shared" si="127"/>
        <v>309244</v>
      </c>
      <c r="BP91" s="46">
        <f t="shared" si="128"/>
        <v>0</v>
      </c>
      <c r="BQ91" s="46">
        <f t="shared" si="129"/>
        <v>140051</v>
      </c>
      <c r="BR91" s="46">
        <f t="shared" si="130"/>
        <v>0</v>
      </c>
      <c r="BS91" s="46">
        <f t="shared" si="131"/>
        <v>20440</v>
      </c>
      <c r="BT91" s="46">
        <v>0</v>
      </c>
      <c r="BU91" s="46">
        <f t="shared" si="132"/>
        <v>160491</v>
      </c>
      <c r="BV91" s="46">
        <f t="shared" si="133"/>
        <v>20440</v>
      </c>
      <c r="BW91" s="46">
        <f t="shared" si="134"/>
        <v>268376</v>
      </c>
      <c r="BX91" s="46">
        <f t="shared" si="135"/>
        <v>43748</v>
      </c>
      <c r="BY91" s="46">
        <f t="shared" si="136"/>
        <v>-20440</v>
      </c>
      <c r="BZ91" s="46">
        <v>0</v>
      </c>
      <c r="CA91" s="46">
        <f t="shared" si="137"/>
        <v>291684</v>
      </c>
      <c r="CB91" s="46">
        <f t="shared" si="138"/>
        <v>0</v>
      </c>
      <c r="CC91" s="155">
        <f t="shared" si="141"/>
        <v>0</v>
      </c>
      <c r="CD91" s="79" t="s">
        <v>538</v>
      </c>
      <c r="CE91" s="65">
        <f t="shared" si="142"/>
        <v>160491</v>
      </c>
      <c r="CF91" s="65">
        <f t="shared" si="143"/>
        <v>160491</v>
      </c>
      <c r="CG91" s="65">
        <f t="shared" si="144"/>
        <v>153733</v>
      </c>
      <c r="CH91" s="65">
        <f t="shared" si="145"/>
        <v>160491</v>
      </c>
      <c r="CI91" s="65">
        <f t="shared" si="146"/>
        <v>472273</v>
      </c>
      <c r="CJ91" s="65">
        <f t="shared" si="147"/>
        <v>165137</v>
      </c>
      <c r="CK91" s="65">
        <f t="shared" si="148"/>
        <v>287044</v>
      </c>
      <c r="CL91" s="65">
        <f t="shared" si="149"/>
        <v>160491</v>
      </c>
      <c r="CM91" s="65">
        <f t="shared" si="150"/>
        <v>185499</v>
      </c>
      <c r="CN91" s="65">
        <f t="shared" si="151"/>
        <v>309244</v>
      </c>
      <c r="CO91" s="65">
        <f t="shared" si="152"/>
        <v>160491</v>
      </c>
      <c r="CP91" s="65">
        <f t="shared" si="153"/>
        <v>291684</v>
      </c>
      <c r="CQ91" s="40" t="s">
        <v>538</v>
      </c>
    </row>
    <row r="92" spans="1:95" ht="3" customHeight="1" x14ac:dyDescent="0.25">
      <c r="A92" s="39">
        <v>1</v>
      </c>
      <c r="B92" s="28">
        <v>6108</v>
      </c>
      <c r="C92" s="28" t="s">
        <v>385</v>
      </c>
      <c r="D92" s="48">
        <f>+DATA!Q90</f>
        <v>2571054.068</v>
      </c>
      <c r="E92" s="48">
        <f t="shared" si="139"/>
        <v>169261</v>
      </c>
      <c r="F92" s="48">
        <f t="shared" si="140"/>
        <v>257105</v>
      </c>
      <c r="G92" s="49">
        <f>VLOOKUP(B92,'CALC MEC ESTAB Y ESTIM M FINAL'!$B$7:$F$352,5,0)</f>
        <v>1.3483327160999999E-3</v>
      </c>
      <c r="H92" s="49">
        <f>VLOOKUP(B92,'CALC MEC ESTAB Y ESTIM M FINAL'!$B$7:$R$352,17,0)</f>
        <v>-6.57481499E-5</v>
      </c>
      <c r="I92" s="46">
        <f t="shared" si="79"/>
        <v>105752</v>
      </c>
      <c r="J92" s="46">
        <f t="shared" si="80"/>
        <v>0</v>
      </c>
      <c r="K92" s="46">
        <f t="shared" si="81"/>
        <v>63509</v>
      </c>
      <c r="L92" s="46">
        <v>0</v>
      </c>
      <c r="M92" s="46">
        <f t="shared" si="82"/>
        <v>169261</v>
      </c>
      <c r="N92" s="46">
        <f t="shared" si="83"/>
        <v>63509</v>
      </c>
      <c r="O92" s="46">
        <f t="shared" si="84"/>
        <v>56235</v>
      </c>
      <c r="P92" s="46">
        <f t="shared" si="85"/>
        <v>0</v>
      </c>
      <c r="Q92" s="46">
        <f t="shared" si="86"/>
        <v>113026</v>
      </c>
      <c r="R92" s="46">
        <v>0</v>
      </c>
      <c r="S92" s="46">
        <f t="shared" si="87"/>
        <v>169261</v>
      </c>
      <c r="T92" s="46">
        <f t="shared" si="88"/>
        <v>176535</v>
      </c>
      <c r="U92" s="46">
        <f t="shared" si="89"/>
        <v>160427</v>
      </c>
      <c r="V92" s="46">
        <f t="shared" si="90"/>
        <v>0</v>
      </c>
      <c r="W92" s="46">
        <f t="shared" si="91"/>
        <v>0</v>
      </c>
      <c r="X92" s="46">
        <v>0</v>
      </c>
      <c r="Y92" s="46">
        <f t="shared" si="92"/>
        <v>160427</v>
      </c>
      <c r="Z92" s="46">
        <f t="shared" si="93"/>
        <v>176535</v>
      </c>
      <c r="AA92" s="46">
        <f t="shared" si="94"/>
        <v>85184</v>
      </c>
      <c r="AB92" s="46">
        <f t="shared" si="95"/>
        <v>0</v>
      </c>
      <c r="AC92" s="46">
        <f t="shared" si="96"/>
        <v>84077</v>
      </c>
      <c r="AD92" s="46">
        <v>0</v>
      </c>
      <c r="AE92" s="46">
        <f t="shared" si="97"/>
        <v>169261</v>
      </c>
      <c r="AF92" s="46">
        <f t="shared" si="98"/>
        <v>260612</v>
      </c>
      <c r="AG92" s="46">
        <f t="shared" si="99"/>
        <v>741260</v>
      </c>
      <c r="AH92" s="46">
        <f t="shared" si="100"/>
        <v>6842</v>
      </c>
      <c r="AI92" s="46">
        <f t="shared" si="101"/>
        <v>-260612</v>
      </c>
      <c r="AJ92" s="46">
        <v>0</v>
      </c>
      <c r="AK92" s="46">
        <f t="shared" si="102"/>
        <v>487490</v>
      </c>
      <c r="AL92" s="46">
        <f t="shared" si="103"/>
        <v>0</v>
      </c>
      <c r="AM92" s="46">
        <f t="shared" si="104"/>
        <v>146825</v>
      </c>
      <c r="AN92" s="46">
        <f t="shared" si="105"/>
        <v>4849</v>
      </c>
      <c r="AO92" s="46">
        <f t="shared" si="106"/>
        <v>22436</v>
      </c>
      <c r="AP92" s="46">
        <v>0</v>
      </c>
      <c r="AQ92" s="46">
        <f t="shared" si="107"/>
        <v>174110</v>
      </c>
      <c r="AR92" s="46">
        <f t="shared" si="108"/>
        <v>22436</v>
      </c>
      <c r="AS92" s="46">
        <f t="shared" si="109"/>
        <v>291861</v>
      </c>
      <c r="AT92" s="46">
        <f t="shared" si="110"/>
        <v>28334</v>
      </c>
      <c r="AU92" s="46">
        <f t="shared" si="111"/>
        <v>-22436</v>
      </c>
      <c r="AV92" s="46">
        <v>0</v>
      </c>
      <c r="AW92" s="46">
        <f t="shared" si="112"/>
        <v>297759</v>
      </c>
      <c r="AX92" s="46">
        <f t="shared" si="113"/>
        <v>0</v>
      </c>
      <c r="AY92" s="46">
        <f t="shared" si="114"/>
        <v>96406</v>
      </c>
      <c r="AZ92" s="46">
        <f t="shared" si="115"/>
        <v>0</v>
      </c>
      <c r="BA92" s="46">
        <f t="shared" si="116"/>
        <v>72855</v>
      </c>
      <c r="BB92" s="46"/>
      <c r="BC92" s="46">
        <f t="shared" si="117"/>
        <v>169261</v>
      </c>
      <c r="BD92" s="46">
        <f t="shared" si="118"/>
        <v>72855</v>
      </c>
      <c r="BE92" s="46">
        <f t="shared" si="119"/>
        <v>186630</v>
      </c>
      <c r="BF92" s="46">
        <f t="shared" si="120"/>
        <v>6946</v>
      </c>
      <c r="BG92" s="46">
        <f t="shared" si="121"/>
        <v>0</v>
      </c>
      <c r="BH92" s="46">
        <v>0</v>
      </c>
      <c r="BI92" s="46">
        <f t="shared" si="122"/>
        <v>193576</v>
      </c>
      <c r="BJ92" s="46">
        <f t="shared" si="123"/>
        <v>72855</v>
      </c>
      <c r="BK92" s="46">
        <f t="shared" si="124"/>
        <v>393781</v>
      </c>
      <c r="BL92" s="46">
        <f t="shared" si="125"/>
        <v>0</v>
      </c>
      <c r="BM92" s="46">
        <f t="shared" si="126"/>
        <v>-72855</v>
      </c>
      <c r="BN92" s="46">
        <v>0</v>
      </c>
      <c r="BO92" s="46">
        <f t="shared" si="127"/>
        <v>320926</v>
      </c>
      <c r="BP92" s="46">
        <f t="shared" si="128"/>
        <v>0</v>
      </c>
      <c r="BQ92" s="46">
        <f t="shared" si="129"/>
        <v>146149</v>
      </c>
      <c r="BR92" s="46">
        <f t="shared" si="130"/>
        <v>0</v>
      </c>
      <c r="BS92" s="46">
        <f t="shared" si="131"/>
        <v>23112</v>
      </c>
      <c r="BT92" s="46">
        <v>0</v>
      </c>
      <c r="BU92" s="46">
        <f t="shared" si="132"/>
        <v>169261</v>
      </c>
      <c r="BV92" s="46">
        <f t="shared" si="133"/>
        <v>23112</v>
      </c>
      <c r="BW92" s="46">
        <f t="shared" si="134"/>
        <v>280062</v>
      </c>
      <c r="BX92" s="46">
        <f t="shared" si="135"/>
        <v>45653</v>
      </c>
      <c r="BY92" s="46">
        <f t="shared" si="136"/>
        <v>-23112</v>
      </c>
      <c r="BZ92" s="46">
        <v>0</v>
      </c>
      <c r="CA92" s="46">
        <f t="shared" si="137"/>
        <v>302603</v>
      </c>
      <c r="CB92" s="46">
        <f t="shared" si="138"/>
        <v>0</v>
      </c>
      <c r="CC92" s="155">
        <f t="shared" si="141"/>
        <v>0</v>
      </c>
      <c r="CD92" s="79" t="s">
        <v>538</v>
      </c>
      <c r="CE92" s="65">
        <f t="shared" si="142"/>
        <v>169261</v>
      </c>
      <c r="CF92" s="65">
        <f t="shared" si="143"/>
        <v>169261</v>
      </c>
      <c r="CG92" s="65">
        <f t="shared" si="144"/>
        <v>160427</v>
      </c>
      <c r="CH92" s="65">
        <f t="shared" si="145"/>
        <v>169261</v>
      </c>
      <c r="CI92" s="65">
        <f t="shared" si="146"/>
        <v>487490</v>
      </c>
      <c r="CJ92" s="65">
        <f t="shared" si="147"/>
        <v>174110</v>
      </c>
      <c r="CK92" s="65">
        <f t="shared" si="148"/>
        <v>297759</v>
      </c>
      <c r="CL92" s="65">
        <f t="shared" si="149"/>
        <v>169261</v>
      </c>
      <c r="CM92" s="65">
        <f t="shared" si="150"/>
        <v>193576</v>
      </c>
      <c r="CN92" s="65">
        <f t="shared" si="151"/>
        <v>320926</v>
      </c>
      <c r="CO92" s="65">
        <f t="shared" si="152"/>
        <v>169261</v>
      </c>
      <c r="CP92" s="65">
        <f t="shared" si="153"/>
        <v>302603</v>
      </c>
      <c r="CQ92" s="40" t="s">
        <v>538</v>
      </c>
    </row>
    <row r="93" spans="1:95" ht="3" customHeight="1" x14ac:dyDescent="0.25">
      <c r="A93" s="39">
        <v>1</v>
      </c>
      <c r="B93" s="28">
        <v>6109</v>
      </c>
      <c r="C93" s="28" t="s">
        <v>130</v>
      </c>
      <c r="D93" s="48">
        <f>+DATA!Q91</f>
        <v>2940844.4739999999</v>
      </c>
      <c r="E93" s="48">
        <f t="shared" si="139"/>
        <v>193606</v>
      </c>
      <c r="F93" s="48">
        <f t="shared" si="140"/>
        <v>294084</v>
      </c>
      <c r="G93" s="49">
        <f>VLOOKUP(B93,'CALC MEC ESTAB Y ESTIM M FINAL'!$B$7:$F$352,5,0)</f>
        <v>1.6197581979999999E-3</v>
      </c>
      <c r="H93" s="49">
        <f>VLOOKUP(B93,'CALC MEC ESTAB Y ESTIM M FINAL'!$B$7:$R$352,17,0)</f>
        <v>-1.162695558E-4</v>
      </c>
      <c r="I93" s="46">
        <f t="shared" si="79"/>
        <v>123966</v>
      </c>
      <c r="J93" s="46">
        <f t="shared" si="80"/>
        <v>0</v>
      </c>
      <c r="K93" s="46">
        <f t="shared" si="81"/>
        <v>69640</v>
      </c>
      <c r="L93" s="46">
        <v>0</v>
      </c>
      <c r="M93" s="46">
        <f t="shared" si="82"/>
        <v>193606</v>
      </c>
      <c r="N93" s="46">
        <f t="shared" si="83"/>
        <v>69640</v>
      </c>
      <c r="O93" s="46">
        <f t="shared" si="84"/>
        <v>65921</v>
      </c>
      <c r="P93" s="46">
        <f t="shared" si="85"/>
        <v>0</v>
      </c>
      <c r="Q93" s="46">
        <f t="shared" si="86"/>
        <v>127685</v>
      </c>
      <c r="R93" s="46">
        <v>0</v>
      </c>
      <c r="S93" s="46">
        <f t="shared" si="87"/>
        <v>193606</v>
      </c>
      <c r="T93" s="46">
        <f t="shared" si="88"/>
        <v>197325</v>
      </c>
      <c r="U93" s="46">
        <f t="shared" si="89"/>
        <v>188057</v>
      </c>
      <c r="V93" s="46">
        <f t="shared" si="90"/>
        <v>0</v>
      </c>
      <c r="W93" s="46">
        <f t="shared" si="91"/>
        <v>0</v>
      </c>
      <c r="X93" s="46">
        <v>0</v>
      </c>
      <c r="Y93" s="46">
        <f t="shared" si="92"/>
        <v>188057</v>
      </c>
      <c r="Z93" s="46">
        <f t="shared" si="93"/>
        <v>197325</v>
      </c>
      <c r="AA93" s="46">
        <f t="shared" si="94"/>
        <v>99856</v>
      </c>
      <c r="AB93" s="46">
        <f t="shared" si="95"/>
        <v>0</v>
      </c>
      <c r="AC93" s="46">
        <f t="shared" si="96"/>
        <v>93750</v>
      </c>
      <c r="AD93" s="46">
        <v>0</v>
      </c>
      <c r="AE93" s="46">
        <f t="shared" si="97"/>
        <v>193606</v>
      </c>
      <c r="AF93" s="46">
        <f t="shared" si="98"/>
        <v>291075</v>
      </c>
      <c r="AG93" s="46">
        <f t="shared" si="99"/>
        <v>868930</v>
      </c>
      <c r="AH93" s="46">
        <f t="shared" si="100"/>
        <v>8020</v>
      </c>
      <c r="AI93" s="46">
        <f t="shared" si="101"/>
        <v>-291075</v>
      </c>
      <c r="AJ93" s="46">
        <v>0</v>
      </c>
      <c r="AK93" s="46">
        <f t="shared" si="102"/>
        <v>585875</v>
      </c>
      <c r="AL93" s="46">
        <f t="shared" si="103"/>
        <v>0</v>
      </c>
      <c r="AM93" s="46">
        <f t="shared" si="104"/>
        <v>172113</v>
      </c>
      <c r="AN93" s="46">
        <f t="shared" si="105"/>
        <v>5684</v>
      </c>
      <c r="AO93" s="46">
        <f t="shared" si="106"/>
        <v>21493</v>
      </c>
      <c r="AP93" s="46">
        <v>0</v>
      </c>
      <c r="AQ93" s="46">
        <f t="shared" si="107"/>
        <v>199290</v>
      </c>
      <c r="AR93" s="46">
        <f t="shared" si="108"/>
        <v>21493</v>
      </c>
      <c r="AS93" s="46">
        <f t="shared" si="109"/>
        <v>342130</v>
      </c>
      <c r="AT93" s="46">
        <f t="shared" si="110"/>
        <v>33215</v>
      </c>
      <c r="AU93" s="46">
        <f t="shared" si="111"/>
        <v>-21493</v>
      </c>
      <c r="AV93" s="46">
        <v>0</v>
      </c>
      <c r="AW93" s="46">
        <f t="shared" si="112"/>
        <v>353852</v>
      </c>
      <c r="AX93" s="46">
        <f t="shared" si="113"/>
        <v>0</v>
      </c>
      <c r="AY93" s="46">
        <f t="shared" si="114"/>
        <v>113011</v>
      </c>
      <c r="AZ93" s="46">
        <f t="shared" si="115"/>
        <v>0</v>
      </c>
      <c r="BA93" s="46">
        <f t="shared" si="116"/>
        <v>80595</v>
      </c>
      <c r="BB93" s="46"/>
      <c r="BC93" s="46">
        <f t="shared" si="117"/>
        <v>193606</v>
      </c>
      <c r="BD93" s="46">
        <f t="shared" si="118"/>
        <v>80595</v>
      </c>
      <c r="BE93" s="46">
        <f t="shared" si="119"/>
        <v>218774</v>
      </c>
      <c r="BF93" s="46">
        <f t="shared" si="120"/>
        <v>8143</v>
      </c>
      <c r="BG93" s="46">
        <f t="shared" si="121"/>
        <v>0</v>
      </c>
      <c r="BH93" s="46">
        <v>0</v>
      </c>
      <c r="BI93" s="46">
        <f t="shared" si="122"/>
        <v>226917</v>
      </c>
      <c r="BJ93" s="46">
        <f t="shared" si="123"/>
        <v>80595</v>
      </c>
      <c r="BK93" s="46">
        <f t="shared" si="124"/>
        <v>461603</v>
      </c>
      <c r="BL93" s="46">
        <f t="shared" si="125"/>
        <v>0</v>
      </c>
      <c r="BM93" s="46">
        <f t="shared" si="126"/>
        <v>-80595</v>
      </c>
      <c r="BN93" s="46">
        <v>0</v>
      </c>
      <c r="BO93" s="46">
        <f t="shared" si="127"/>
        <v>381008</v>
      </c>
      <c r="BP93" s="46">
        <f t="shared" si="128"/>
        <v>0</v>
      </c>
      <c r="BQ93" s="46">
        <f t="shared" si="129"/>
        <v>171321</v>
      </c>
      <c r="BR93" s="46">
        <f t="shared" si="130"/>
        <v>0</v>
      </c>
      <c r="BS93" s="46">
        <f t="shared" si="131"/>
        <v>22285</v>
      </c>
      <c r="BT93" s="46">
        <v>0</v>
      </c>
      <c r="BU93" s="46">
        <f t="shared" si="132"/>
        <v>193606</v>
      </c>
      <c r="BV93" s="46">
        <f t="shared" si="133"/>
        <v>22285</v>
      </c>
      <c r="BW93" s="46">
        <f t="shared" si="134"/>
        <v>328298</v>
      </c>
      <c r="BX93" s="46">
        <f t="shared" si="135"/>
        <v>53516</v>
      </c>
      <c r="BY93" s="46">
        <f t="shared" si="136"/>
        <v>-22285</v>
      </c>
      <c r="BZ93" s="46">
        <v>0</v>
      </c>
      <c r="CA93" s="46">
        <f t="shared" si="137"/>
        <v>359529</v>
      </c>
      <c r="CB93" s="46">
        <f t="shared" si="138"/>
        <v>0</v>
      </c>
      <c r="CC93" s="155">
        <f t="shared" si="141"/>
        <v>0</v>
      </c>
      <c r="CD93" s="79" t="s">
        <v>538</v>
      </c>
      <c r="CE93" s="65">
        <f t="shared" si="142"/>
        <v>193606</v>
      </c>
      <c r="CF93" s="65">
        <f t="shared" si="143"/>
        <v>193606</v>
      </c>
      <c r="CG93" s="65">
        <f t="shared" si="144"/>
        <v>188057</v>
      </c>
      <c r="CH93" s="65">
        <f t="shared" si="145"/>
        <v>193606</v>
      </c>
      <c r="CI93" s="65">
        <f t="shared" si="146"/>
        <v>585875</v>
      </c>
      <c r="CJ93" s="65">
        <f t="shared" si="147"/>
        <v>199290</v>
      </c>
      <c r="CK93" s="65">
        <f t="shared" si="148"/>
        <v>353852</v>
      </c>
      <c r="CL93" s="65">
        <f t="shared" si="149"/>
        <v>193606</v>
      </c>
      <c r="CM93" s="65">
        <f t="shared" si="150"/>
        <v>226917</v>
      </c>
      <c r="CN93" s="65">
        <f t="shared" si="151"/>
        <v>381008</v>
      </c>
      <c r="CO93" s="65">
        <f t="shared" si="152"/>
        <v>193606</v>
      </c>
      <c r="CP93" s="65">
        <f t="shared" si="153"/>
        <v>359529</v>
      </c>
      <c r="CQ93" s="40" t="s">
        <v>538</v>
      </c>
    </row>
    <row r="94" spans="1:95" ht="3" customHeight="1" x14ac:dyDescent="0.25">
      <c r="A94" s="39">
        <v>1</v>
      </c>
      <c r="B94" s="28">
        <v>6110</v>
      </c>
      <c r="C94" s="28" t="s">
        <v>121</v>
      </c>
      <c r="D94" s="48">
        <f>+DATA!Q92</f>
        <v>2462365.79</v>
      </c>
      <c r="E94" s="48">
        <f t="shared" si="139"/>
        <v>162106</v>
      </c>
      <c r="F94" s="48">
        <f t="shared" si="140"/>
        <v>246237</v>
      </c>
      <c r="G94" s="49">
        <f>VLOOKUP(B94,'CALC MEC ESTAB Y ESTIM M FINAL'!$B$7:$F$352,5,0)</f>
        <v>1.2792245402E-3</v>
      </c>
      <c r="H94" s="49">
        <f>VLOOKUP(B94,'CALC MEC ESTAB Y ESTIM M FINAL'!$B$7:$R$352,17,0)</f>
        <v>-5.5746251799999997E-5</v>
      </c>
      <c r="I94" s="46">
        <f t="shared" si="79"/>
        <v>100878</v>
      </c>
      <c r="J94" s="46">
        <f t="shared" si="80"/>
        <v>0</v>
      </c>
      <c r="K94" s="46">
        <f t="shared" si="81"/>
        <v>61228</v>
      </c>
      <c r="L94" s="46">
        <v>0</v>
      </c>
      <c r="M94" s="46">
        <f t="shared" si="82"/>
        <v>162106</v>
      </c>
      <c r="N94" s="46">
        <f t="shared" si="83"/>
        <v>61228</v>
      </c>
      <c r="O94" s="46">
        <f t="shared" si="84"/>
        <v>53644</v>
      </c>
      <c r="P94" s="46">
        <f t="shared" si="85"/>
        <v>0</v>
      </c>
      <c r="Q94" s="46">
        <f t="shared" si="86"/>
        <v>108462</v>
      </c>
      <c r="R94" s="46">
        <v>0</v>
      </c>
      <c r="S94" s="46">
        <f t="shared" si="87"/>
        <v>162106</v>
      </c>
      <c r="T94" s="46">
        <f t="shared" si="88"/>
        <v>169690</v>
      </c>
      <c r="U94" s="46">
        <f t="shared" si="89"/>
        <v>153034</v>
      </c>
      <c r="V94" s="46">
        <f t="shared" si="90"/>
        <v>0</v>
      </c>
      <c r="W94" s="46">
        <f t="shared" si="91"/>
        <v>0</v>
      </c>
      <c r="X94" s="46">
        <v>0</v>
      </c>
      <c r="Y94" s="46">
        <f t="shared" si="92"/>
        <v>153034</v>
      </c>
      <c r="Z94" s="46">
        <f t="shared" si="93"/>
        <v>169690</v>
      </c>
      <c r="AA94" s="46">
        <f t="shared" si="94"/>
        <v>81258</v>
      </c>
      <c r="AB94" s="46">
        <f t="shared" si="95"/>
        <v>0</v>
      </c>
      <c r="AC94" s="46">
        <f t="shared" si="96"/>
        <v>80848</v>
      </c>
      <c r="AD94" s="46">
        <v>0</v>
      </c>
      <c r="AE94" s="46">
        <f t="shared" si="97"/>
        <v>162106</v>
      </c>
      <c r="AF94" s="46">
        <f t="shared" si="98"/>
        <v>250538</v>
      </c>
      <c r="AG94" s="46">
        <f t="shared" si="99"/>
        <v>707100</v>
      </c>
      <c r="AH94" s="46">
        <f t="shared" si="100"/>
        <v>6526</v>
      </c>
      <c r="AI94" s="46">
        <f t="shared" si="101"/>
        <v>-250538</v>
      </c>
      <c r="AJ94" s="46">
        <v>0</v>
      </c>
      <c r="AK94" s="46">
        <f t="shared" si="102"/>
        <v>463088</v>
      </c>
      <c r="AL94" s="46">
        <f t="shared" si="103"/>
        <v>0</v>
      </c>
      <c r="AM94" s="46">
        <f t="shared" si="104"/>
        <v>140058</v>
      </c>
      <c r="AN94" s="46">
        <f t="shared" si="105"/>
        <v>4625</v>
      </c>
      <c r="AO94" s="46">
        <f t="shared" si="106"/>
        <v>22048</v>
      </c>
      <c r="AP94" s="46">
        <v>0</v>
      </c>
      <c r="AQ94" s="46">
        <f t="shared" si="107"/>
        <v>166731</v>
      </c>
      <c r="AR94" s="46">
        <f t="shared" si="108"/>
        <v>22048</v>
      </c>
      <c r="AS94" s="46">
        <f t="shared" si="109"/>
        <v>278411</v>
      </c>
      <c r="AT94" s="46">
        <f t="shared" si="110"/>
        <v>27029</v>
      </c>
      <c r="AU94" s="46">
        <f t="shared" si="111"/>
        <v>-22048</v>
      </c>
      <c r="AV94" s="46">
        <v>0</v>
      </c>
      <c r="AW94" s="46">
        <f t="shared" si="112"/>
        <v>283392</v>
      </c>
      <c r="AX94" s="46">
        <f t="shared" si="113"/>
        <v>0</v>
      </c>
      <c r="AY94" s="46">
        <f t="shared" si="114"/>
        <v>91964</v>
      </c>
      <c r="AZ94" s="46">
        <f t="shared" si="115"/>
        <v>0</v>
      </c>
      <c r="BA94" s="46">
        <f t="shared" si="116"/>
        <v>70142</v>
      </c>
      <c r="BB94" s="46"/>
      <c r="BC94" s="46">
        <f t="shared" si="117"/>
        <v>162106</v>
      </c>
      <c r="BD94" s="46">
        <f t="shared" si="118"/>
        <v>70142</v>
      </c>
      <c r="BE94" s="46">
        <f t="shared" si="119"/>
        <v>178029</v>
      </c>
      <c r="BF94" s="46">
        <f t="shared" si="120"/>
        <v>6626</v>
      </c>
      <c r="BG94" s="46">
        <f t="shared" si="121"/>
        <v>0</v>
      </c>
      <c r="BH94" s="46">
        <v>0</v>
      </c>
      <c r="BI94" s="46">
        <f t="shared" si="122"/>
        <v>184655</v>
      </c>
      <c r="BJ94" s="46">
        <f t="shared" si="123"/>
        <v>70142</v>
      </c>
      <c r="BK94" s="46">
        <f t="shared" si="124"/>
        <v>375634</v>
      </c>
      <c r="BL94" s="46">
        <f t="shared" si="125"/>
        <v>0</v>
      </c>
      <c r="BM94" s="46">
        <f t="shared" si="126"/>
        <v>-70142</v>
      </c>
      <c r="BN94" s="46">
        <v>0</v>
      </c>
      <c r="BO94" s="46">
        <f t="shared" si="127"/>
        <v>305492</v>
      </c>
      <c r="BP94" s="46">
        <f t="shared" si="128"/>
        <v>0</v>
      </c>
      <c r="BQ94" s="46">
        <f t="shared" si="129"/>
        <v>139414</v>
      </c>
      <c r="BR94" s="46">
        <f t="shared" si="130"/>
        <v>0</v>
      </c>
      <c r="BS94" s="46">
        <f t="shared" si="131"/>
        <v>22692</v>
      </c>
      <c r="BT94" s="46">
        <v>0</v>
      </c>
      <c r="BU94" s="46">
        <f t="shared" si="132"/>
        <v>162106</v>
      </c>
      <c r="BV94" s="46">
        <f t="shared" si="133"/>
        <v>22692</v>
      </c>
      <c r="BW94" s="46">
        <f t="shared" si="134"/>
        <v>267155</v>
      </c>
      <c r="BX94" s="46">
        <f t="shared" si="135"/>
        <v>43549</v>
      </c>
      <c r="BY94" s="46">
        <f t="shared" si="136"/>
        <v>-22692</v>
      </c>
      <c r="BZ94" s="46">
        <v>0</v>
      </c>
      <c r="CA94" s="46">
        <f t="shared" si="137"/>
        <v>288012</v>
      </c>
      <c r="CB94" s="46">
        <f t="shared" si="138"/>
        <v>0</v>
      </c>
      <c r="CC94" s="155">
        <f t="shared" si="141"/>
        <v>0</v>
      </c>
      <c r="CD94" s="79" t="s">
        <v>538</v>
      </c>
      <c r="CE94" s="65">
        <f t="shared" si="142"/>
        <v>162106</v>
      </c>
      <c r="CF94" s="65">
        <f t="shared" si="143"/>
        <v>162106</v>
      </c>
      <c r="CG94" s="65">
        <f t="shared" si="144"/>
        <v>153034</v>
      </c>
      <c r="CH94" s="65">
        <f t="shared" si="145"/>
        <v>162106</v>
      </c>
      <c r="CI94" s="65">
        <f t="shared" si="146"/>
        <v>463088</v>
      </c>
      <c r="CJ94" s="65">
        <f t="shared" si="147"/>
        <v>166731</v>
      </c>
      <c r="CK94" s="65">
        <f t="shared" si="148"/>
        <v>283392</v>
      </c>
      <c r="CL94" s="65">
        <f t="shared" si="149"/>
        <v>162106</v>
      </c>
      <c r="CM94" s="65">
        <f t="shared" si="150"/>
        <v>184655</v>
      </c>
      <c r="CN94" s="65">
        <f t="shared" si="151"/>
        <v>305492</v>
      </c>
      <c r="CO94" s="65">
        <f t="shared" si="152"/>
        <v>162106</v>
      </c>
      <c r="CP94" s="65">
        <f t="shared" si="153"/>
        <v>288012</v>
      </c>
      <c r="CQ94" s="40" t="s">
        <v>538</v>
      </c>
    </row>
    <row r="95" spans="1:95" ht="3" customHeight="1" x14ac:dyDescent="0.25">
      <c r="A95" s="39">
        <v>1</v>
      </c>
      <c r="B95" s="28">
        <v>6111</v>
      </c>
      <c r="C95" s="28" t="s">
        <v>129</v>
      </c>
      <c r="D95" s="48">
        <f>+DATA!Q93</f>
        <v>1874918.639</v>
      </c>
      <c r="E95" s="48">
        <f t="shared" si="139"/>
        <v>123432</v>
      </c>
      <c r="F95" s="48">
        <f t="shared" si="140"/>
        <v>187492</v>
      </c>
      <c r="G95" s="49">
        <f>VLOOKUP(B95,'CALC MEC ESTAB Y ESTIM M FINAL'!$B$7:$F$352,5,0)</f>
        <v>9.6531806979999993E-4</v>
      </c>
      <c r="H95" s="49">
        <f>VLOOKUP(B95,'CALC MEC ESTAB Y ESTIM M FINAL'!$B$7:$R$352,17,0)</f>
        <v>-3.7399749800000001E-5</v>
      </c>
      <c r="I95" s="46">
        <f t="shared" si="79"/>
        <v>76509</v>
      </c>
      <c r="J95" s="46">
        <f t="shared" si="80"/>
        <v>0</v>
      </c>
      <c r="K95" s="46">
        <f t="shared" si="81"/>
        <v>46923</v>
      </c>
      <c r="L95" s="46">
        <v>0</v>
      </c>
      <c r="M95" s="46">
        <f t="shared" si="82"/>
        <v>123432</v>
      </c>
      <c r="N95" s="46">
        <f t="shared" si="83"/>
        <v>46923</v>
      </c>
      <c r="O95" s="46">
        <f t="shared" si="84"/>
        <v>40685</v>
      </c>
      <c r="P95" s="46">
        <f t="shared" si="85"/>
        <v>0</v>
      </c>
      <c r="Q95" s="46">
        <f t="shared" si="86"/>
        <v>82747</v>
      </c>
      <c r="R95" s="46">
        <v>0</v>
      </c>
      <c r="S95" s="46">
        <f t="shared" si="87"/>
        <v>123432</v>
      </c>
      <c r="T95" s="46">
        <f t="shared" si="88"/>
        <v>129670</v>
      </c>
      <c r="U95" s="46">
        <f t="shared" si="89"/>
        <v>116065</v>
      </c>
      <c r="V95" s="46">
        <f t="shared" si="90"/>
        <v>0</v>
      </c>
      <c r="W95" s="46">
        <f t="shared" si="91"/>
        <v>0</v>
      </c>
      <c r="X95" s="46">
        <v>0</v>
      </c>
      <c r="Y95" s="46">
        <f t="shared" si="92"/>
        <v>116065</v>
      </c>
      <c r="Z95" s="46">
        <f t="shared" si="93"/>
        <v>129670</v>
      </c>
      <c r="AA95" s="46">
        <f t="shared" si="94"/>
        <v>61629</v>
      </c>
      <c r="AB95" s="46">
        <f t="shared" si="95"/>
        <v>0</v>
      </c>
      <c r="AC95" s="46">
        <f t="shared" si="96"/>
        <v>61803</v>
      </c>
      <c r="AD95" s="46">
        <v>0</v>
      </c>
      <c r="AE95" s="46">
        <f t="shared" si="97"/>
        <v>123432</v>
      </c>
      <c r="AF95" s="46">
        <f t="shared" si="98"/>
        <v>191473</v>
      </c>
      <c r="AG95" s="46">
        <f t="shared" si="99"/>
        <v>536284</v>
      </c>
      <c r="AH95" s="46">
        <f t="shared" si="100"/>
        <v>4950</v>
      </c>
      <c r="AI95" s="46">
        <f t="shared" si="101"/>
        <v>-191473</v>
      </c>
      <c r="AJ95" s="46">
        <v>0</v>
      </c>
      <c r="AK95" s="46">
        <f t="shared" si="102"/>
        <v>349761</v>
      </c>
      <c r="AL95" s="46">
        <f t="shared" si="103"/>
        <v>0</v>
      </c>
      <c r="AM95" s="46">
        <f t="shared" si="104"/>
        <v>106224</v>
      </c>
      <c r="AN95" s="46">
        <f t="shared" si="105"/>
        <v>3508</v>
      </c>
      <c r="AO95" s="46">
        <f t="shared" si="106"/>
        <v>17208</v>
      </c>
      <c r="AP95" s="46">
        <v>0</v>
      </c>
      <c r="AQ95" s="46">
        <f t="shared" si="107"/>
        <v>126940</v>
      </c>
      <c r="AR95" s="46">
        <f t="shared" si="108"/>
        <v>17208</v>
      </c>
      <c r="AS95" s="46">
        <f t="shared" si="109"/>
        <v>211155</v>
      </c>
      <c r="AT95" s="46">
        <f t="shared" si="110"/>
        <v>20499</v>
      </c>
      <c r="AU95" s="46">
        <f t="shared" si="111"/>
        <v>-17208</v>
      </c>
      <c r="AV95" s="46">
        <v>0</v>
      </c>
      <c r="AW95" s="46">
        <f t="shared" si="112"/>
        <v>214446</v>
      </c>
      <c r="AX95" s="46">
        <f t="shared" si="113"/>
        <v>0</v>
      </c>
      <c r="AY95" s="46">
        <f t="shared" si="114"/>
        <v>69748</v>
      </c>
      <c r="AZ95" s="46">
        <f t="shared" si="115"/>
        <v>0</v>
      </c>
      <c r="BA95" s="46">
        <f t="shared" si="116"/>
        <v>53684</v>
      </c>
      <c r="BB95" s="46"/>
      <c r="BC95" s="46">
        <f t="shared" si="117"/>
        <v>123432</v>
      </c>
      <c r="BD95" s="46">
        <f t="shared" si="118"/>
        <v>53684</v>
      </c>
      <c r="BE95" s="46">
        <f t="shared" si="119"/>
        <v>135022</v>
      </c>
      <c r="BF95" s="46">
        <f t="shared" si="120"/>
        <v>5025</v>
      </c>
      <c r="BG95" s="46">
        <f t="shared" si="121"/>
        <v>0</v>
      </c>
      <c r="BH95" s="46">
        <v>0</v>
      </c>
      <c r="BI95" s="46">
        <f t="shared" si="122"/>
        <v>140047</v>
      </c>
      <c r="BJ95" s="46">
        <f t="shared" si="123"/>
        <v>53684</v>
      </c>
      <c r="BK95" s="46">
        <f t="shared" si="124"/>
        <v>284891</v>
      </c>
      <c r="BL95" s="46">
        <f t="shared" si="125"/>
        <v>0</v>
      </c>
      <c r="BM95" s="46">
        <f t="shared" si="126"/>
        <v>-53684</v>
      </c>
      <c r="BN95" s="46">
        <v>0</v>
      </c>
      <c r="BO95" s="46">
        <f t="shared" si="127"/>
        <v>231207</v>
      </c>
      <c r="BP95" s="46">
        <f t="shared" si="128"/>
        <v>0</v>
      </c>
      <c r="BQ95" s="46">
        <f t="shared" si="129"/>
        <v>105735</v>
      </c>
      <c r="BR95" s="46">
        <f t="shared" si="130"/>
        <v>0</v>
      </c>
      <c r="BS95" s="46">
        <f t="shared" si="131"/>
        <v>17697</v>
      </c>
      <c r="BT95" s="46">
        <v>0</v>
      </c>
      <c r="BU95" s="46">
        <f t="shared" si="132"/>
        <v>123432</v>
      </c>
      <c r="BV95" s="46">
        <f t="shared" si="133"/>
        <v>17697</v>
      </c>
      <c r="BW95" s="46">
        <f t="shared" si="134"/>
        <v>202618</v>
      </c>
      <c r="BX95" s="46">
        <f t="shared" si="135"/>
        <v>33029</v>
      </c>
      <c r="BY95" s="46">
        <f t="shared" si="136"/>
        <v>-17697</v>
      </c>
      <c r="BZ95" s="46">
        <v>0</v>
      </c>
      <c r="CA95" s="46">
        <f t="shared" si="137"/>
        <v>217950</v>
      </c>
      <c r="CB95" s="46">
        <f t="shared" si="138"/>
        <v>0</v>
      </c>
      <c r="CC95" s="155">
        <f t="shared" si="141"/>
        <v>0</v>
      </c>
      <c r="CD95" s="79" t="s">
        <v>538</v>
      </c>
      <c r="CE95" s="65">
        <f t="shared" si="142"/>
        <v>123432</v>
      </c>
      <c r="CF95" s="65">
        <f t="shared" si="143"/>
        <v>123432</v>
      </c>
      <c r="CG95" s="65">
        <f t="shared" si="144"/>
        <v>116065</v>
      </c>
      <c r="CH95" s="65">
        <f t="shared" si="145"/>
        <v>123432</v>
      </c>
      <c r="CI95" s="65">
        <f t="shared" si="146"/>
        <v>349761</v>
      </c>
      <c r="CJ95" s="65">
        <f t="shared" si="147"/>
        <v>126940</v>
      </c>
      <c r="CK95" s="65">
        <f t="shared" si="148"/>
        <v>214446</v>
      </c>
      <c r="CL95" s="65">
        <f t="shared" si="149"/>
        <v>123432</v>
      </c>
      <c r="CM95" s="65">
        <f t="shared" si="150"/>
        <v>140047</v>
      </c>
      <c r="CN95" s="65">
        <f t="shared" si="151"/>
        <v>231207</v>
      </c>
      <c r="CO95" s="65">
        <f t="shared" si="152"/>
        <v>123432</v>
      </c>
      <c r="CP95" s="65">
        <f t="shared" si="153"/>
        <v>217950</v>
      </c>
      <c r="CQ95" s="40" t="s">
        <v>538</v>
      </c>
    </row>
    <row r="96" spans="1:95" ht="3" customHeight="1" x14ac:dyDescent="0.25">
      <c r="A96" s="39">
        <v>1</v>
      </c>
      <c r="B96" s="28">
        <v>6112</v>
      </c>
      <c r="C96" s="28" t="s">
        <v>125</v>
      </c>
      <c r="D96" s="48">
        <f>+DATA!Q94</f>
        <v>2639795.6039999998</v>
      </c>
      <c r="E96" s="48">
        <f t="shared" si="139"/>
        <v>173787</v>
      </c>
      <c r="F96" s="48">
        <f t="shared" si="140"/>
        <v>263980</v>
      </c>
      <c r="G96" s="49">
        <f>VLOOKUP(B96,'CALC MEC ESTAB Y ESTIM M FINAL'!$B$7:$F$352,5,0)</f>
        <v>1.5856656995999999E-3</v>
      </c>
      <c r="H96" s="49">
        <f>VLOOKUP(B96,'CALC MEC ESTAB Y ESTIM M FINAL'!$B$7:$R$352,17,0)</f>
        <v>-1.7629398040000001E-4</v>
      </c>
      <c r="I96" s="46">
        <f t="shared" si="79"/>
        <v>116206</v>
      </c>
      <c r="J96" s="46">
        <f t="shared" si="80"/>
        <v>0</v>
      </c>
      <c r="K96" s="46">
        <f t="shared" si="81"/>
        <v>57581</v>
      </c>
      <c r="L96" s="46">
        <v>0</v>
      </c>
      <c r="M96" s="46">
        <f t="shared" si="82"/>
        <v>173787</v>
      </c>
      <c r="N96" s="46">
        <f t="shared" si="83"/>
        <v>57581</v>
      </c>
      <c r="O96" s="46">
        <f t="shared" si="84"/>
        <v>61794</v>
      </c>
      <c r="P96" s="46">
        <f t="shared" si="85"/>
        <v>0</v>
      </c>
      <c r="Q96" s="46">
        <f t="shared" si="86"/>
        <v>111993</v>
      </c>
      <c r="R96" s="46">
        <v>0</v>
      </c>
      <c r="S96" s="46">
        <f t="shared" si="87"/>
        <v>173787</v>
      </c>
      <c r="T96" s="46">
        <f t="shared" si="88"/>
        <v>169574</v>
      </c>
      <c r="U96" s="46">
        <f t="shared" si="89"/>
        <v>176285</v>
      </c>
      <c r="V96" s="46">
        <f t="shared" si="90"/>
        <v>0</v>
      </c>
      <c r="W96" s="46">
        <f t="shared" si="91"/>
        <v>0</v>
      </c>
      <c r="X96" s="46">
        <v>0</v>
      </c>
      <c r="Y96" s="46">
        <f t="shared" si="92"/>
        <v>176285</v>
      </c>
      <c r="Z96" s="46">
        <f t="shared" si="93"/>
        <v>169574</v>
      </c>
      <c r="AA96" s="46">
        <f t="shared" si="94"/>
        <v>93605</v>
      </c>
      <c r="AB96" s="46">
        <f t="shared" si="95"/>
        <v>0</v>
      </c>
      <c r="AC96" s="46">
        <f t="shared" si="96"/>
        <v>80182</v>
      </c>
      <c r="AD96" s="46">
        <v>0</v>
      </c>
      <c r="AE96" s="46">
        <f t="shared" si="97"/>
        <v>173787</v>
      </c>
      <c r="AF96" s="46">
        <f t="shared" si="98"/>
        <v>249756</v>
      </c>
      <c r="AG96" s="46">
        <f t="shared" si="99"/>
        <v>814536</v>
      </c>
      <c r="AH96" s="46">
        <f t="shared" si="100"/>
        <v>7518</v>
      </c>
      <c r="AI96" s="46">
        <f t="shared" si="101"/>
        <v>-249756</v>
      </c>
      <c r="AJ96" s="46">
        <v>0</v>
      </c>
      <c r="AK96" s="46">
        <f t="shared" si="102"/>
        <v>572298</v>
      </c>
      <c r="AL96" s="46">
        <f t="shared" si="103"/>
        <v>0</v>
      </c>
      <c r="AM96" s="46">
        <f t="shared" si="104"/>
        <v>161339</v>
      </c>
      <c r="AN96" s="46">
        <f t="shared" si="105"/>
        <v>5328</v>
      </c>
      <c r="AO96" s="46">
        <f t="shared" si="106"/>
        <v>12448</v>
      </c>
      <c r="AP96" s="46">
        <v>0</v>
      </c>
      <c r="AQ96" s="46">
        <f t="shared" si="107"/>
        <v>179115</v>
      </c>
      <c r="AR96" s="46">
        <f t="shared" si="108"/>
        <v>12448</v>
      </c>
      <c r="AS96" s="46">
        <f t="shared" si="109"/>
        <v>320713</v>
      </c>
      <c r="AT96" s="46">
        <f t="shared" si="110"/>
        <v>31135</v>
      </c>
      <c r="AU96" s="46">
        <f t="shared" si="111"/>
        <v>-12448</v>
      </c>
      <c r="AV96" s="46">
        <v>0</v>
      </c>
      <c r="AW96" s="46">
        <f t="shared" si="112"/>
        <v>339400</v>
      </c>
      <c r="AX96" s="46">
        <f t="shared" si="113"/>
        <v>0</v>
      </c>
      <c r="AY96" s="46">
        <f t="shared" si="114"/>
        <v>105936</v>
      </c>
      <c r="AZ96" s="46">
        <f t="shared" si="115"/>
        <v>0</v>
      </c>
      <c r="BA96" s="46">
        <f t="shared" si="116"/>
        <v>67851</v>
      </c>
      <c r="BB96" s="46"/>
      <c r="BC96" s="46">
        <f t="shared" si="117"/>
        <v>173787</v>
      </c>
      <c r="BD96" s="46">
        <f t="shared" si="118"/>
        <v>67851</v>
      </c>
      <c r="BE96" s="46">
        <f t="shared" si="119"/>
        <v>205079</v>
      </c>
      <c r="BF96" s="46">
        <f t="shared" si="120"/>
        <v>7633</v>
      </c>
      <c r="BG96" s="46">
        <f t="shared" si="121"/>
        <v>0</v>
      </c>
      <c r="BH96" s="46">
        <v>0</v>
      </c>
      <c r="BI96" s="46">
        <f t="shared" si="122"/>
        <v>212712</v>
      </c>
      <c r="BJ96" s="46">
        <f t="shared" si="123"/>
        <v>67851</v>
      </c>
      <c r="BK96" s="46">
        <f t="shared" si="124"/>
        <v>432707</v>
      </c>
      <c r="BL96" s="46">
        <f t="shared" si="125"/>
        <v>0</v>
      </c>
      <c r="BM96" s="46">
        <f t="shared" si="126"/>
        <v>-67851</v>
      </c>
      <c r="BN96" s="46">
        <v>0</v>
      </c>
      <c r="BO96" s="46">
        <f t="shared" si="127"/>
        <v>364856</v>
      </c>
      <c r="BP96" s="46">
        <f t="shared" si="128"/>
        <v>0</v>
      </c>
      <c r="BQ96" s="46">
        <f t="shared" si="129"/>
        <v>160596</v>
      </c>
      <c r="BR96" s="46">
        <f t="shared" si="130"/>
        <v>0</v>
      </c>
      <c r="BS96" s="46">
        <f t="shared" si="131"/>
        <v>13191</v>
      </c>
      <c r="BT96" s="46">
        <v>0</v>
      </c>
      <c r="BU96" s="46">
        <f t="shared" si="132"/>
        <v>173787</v>
      </c>
      <c r="BV96" s="46">
        <f t="shared" si="133"/>
        <v>13191</v>
      </c>
      <c r="BW96" s="46">
        <f t="shared" si="134"/>
        <v>307747</v>
      </c>
      <c r="BX96" s="46">
        <f t="shared" si="135"/>
        <v>50166</v>
      </c>
      <c r="BY96" s="46">
        <f t="shared" si="136"/>
        <v>-13191</v>
      </c>
      <c r="BZ96" s="46">
        <v>0</v>
      </c>
      <c r="CA96" s="46">
        <f t="shared" si="137"/>
        <v>344722</v>
      </c>
      <c r="CB96" s="46">
        <f t="shared" si="138"/>
        <v>0</v>
      </c>
      <c r="CC96" s="155">
        <f t="shared" si="141"/>
        <v>0</v>
      </c>
      <c r="CD96" s="79" t="s">
        <v>538</v>
      </c>
      <c r="CE96" s="65">
        <f t="shared" si="142"/>
        <v>173787</v>
      </c>
      <c r="CF96" s="65">
        <f t="shared" si="143"/>
        <v>173787</v>
      </c>
      <c r="CG96" s="65">
        <f t="shared" si="144"/>
        <v>176285</v>
      </c>
      <c r="CH96" s="65">
        <f t="shared" si="145"/>
        <v>173787</v>
      </c>
      <c r="CI96" s="65">
        <f t="shared" si="146"/>
        <v>572298</v>
      </c>
      <c r="CJ96" s="65">
        <f t="shared" si="147"/>
        <v>179115</v>
      </c>
      <c r="CK96" s="65">
        <f t="shared" si="148"/>
        <v>339400</v>
      </c>
      <c r="CL96" s="65">
        <f t="shared" si="149"/>
        <v>173787</v>
      </c>
      <c r="CM96" s="65">
        <f t="shared" si="150"/>
        <v>212712</v>
      </c>
      <c r="CN96" s="65">
        <f t="shared" si="151"/>
        <v>364856</v>
      </c>
      <c r="CO96" s="65">
        <f t="shared" si="152"/>
        <v>173787</v>
      </c>
      <c r="CP96" s="65">
        <f t="shared" si="153"/>
        <v>344722</v>
      </c>
      <c r="CQ96" s="40" t="s">
        <v>538</v>
      </c>
    </row>
    <row r="97" spans="1:95" ht="3" customHeight="1" x14ac:dyDescent="0.25">
      <c r="A97" s="39">
        <v>1</v>
      </c>
      <c r="B97" s="28">
        <v>6113</v>
      </c>
      <c r="C97" s="28" t="s">
        <v>127</v>
      </c>
      <c r="D97" s="48">
        <f>+DATA!Q95</f>
        <v>3659238.2140000002</v>
      </c>
      <c r="E97" s="48">
        <f t="shared" si="139"/>
        <v>240900</v>
      </c>
      <c r="F97" s="48">
        <f t="shared" si="140"/>
        <v>365924</v>
      </c>
      <c r="G97" s="49">
        <f>VLOOKUP(B97,'CALC MEC ESTAB Y ESTIM M FINAL'!$B$7:$F$352,5,0)</f>
        <v>2.2538442124E-3</v>
      </c>
      <c r="H97" s="49">
        <f>VLOOKUP(B97,'CALC MEC ESTAB Y ESTIM M FINAL'!$B$7:$R$352,17,0)</f>
        <v>-2.7461303739999998E-4</v>
      </c>
      <c r="I97" s="46">
        <f t="shared" si="79"/>
        <v>163192</v>
      </c>
      <c r="J97" s="46">
        <f t="shared" si="80"/>
        <v>0</v>
      </c>
      <c r="K97" s="46">
        <f t="shared" si="81"/>
        <v>77708</v>
      </c>
      <c r="L97" s="46">
        <v>0</v>
      </c>
      <c r="M97" s="46">
        <f t="shared" si="82"/>
        <v>240900</v>
      </c>
      <c r="N97" s="46">
        <f t="shared" si="83"/>
        <v>77708</v>
      </c>
      <c r="O97" s="46">
        <f t="shared" si="84"/>
        <v>86780</v>
      </c>
      <c r="P97" s="46">
        <f t="shared" si="85"/>
        <v>0</v>
      </c>
      <c r="Q97" s="46">
        <f t="shared" si="86"/>
        <v>154120</v>
      </c>
      <c r="R97" s="46">
        <v>0</v>
      </c>
      <c r="S97" s="46">
        <f t="shared" si="87"/>
        <v>240900</v>
      </c>
      <c r="T97" s="46">
        <f t="shared" si="88"/>
        <v>231828</v>
      </c>
      <c r="U97" s="46">
        <f t="shared" si="89"/>
        <v>247564</v>
      </c>
      <c r="V97" s="46">
        <f t="shared" si="90"/>
        <v>0</v>
      </c>
      <c r="W97" s="46">
        <f t="shared" si="91"/>
        <v>0</v>
      </c>
      <c r="X97" s="46">
        <v>0</v>
      </c>
      <c r="Y97" s="46">
        <f t="shared" si="92"/>
        <v>247564</v>
      </c>
      <c r="Z97" s="46">
        <f t="shared" si="93"/>
        <v>231828</v>
      </c>
      <c r="AA97" s="46">
        <f t="shared" si="94"/>
        <v>131452</v>
      </c>
      <c r="AB97" s="46">
        <f t="shared" si="95"/>
        <v>0</v>
      </c>
      <c r="AC97" s="46">
        <f t="shared" si="96"/>
        <v>109448</v>
      </c>
      <c r="AD97" s="46">
        <v>0</v>
      </c>
      <c r="AE97" s="46">
        <f t="shared" si="97"/>
        <v>240900</v>
      </c>
      <c r="AF97" s="46">
        <f t="shared" si="98"/>
        <v>341276</v>
      </c>
      <c r="AG97" s="46">
        <f t="shared" si="99"/>
        <v>1143882</v>
      </c>
      <c r="AH97" s="46">
        <f t="shared" si="100"/>
        <v>10558</v>
      </c>
      <c r="AI97" s="46">
        <f t="shared" si="101"/>
        <v>-341276</v>
      </c>
      <c r="AJ97" s="46">
        <v>0</v>
      </c>
      <c r="AK97" s="46">
        <f t="shared" si="102"/>
        <v>813164</v>
      </c>
      <c r="AL97" s="46">
        <f t="shared" si="103"/>
        <v>0</v>
      </c>
      <c r="AM97" s="46">
        <f t="shared" si="104"/>
        <v>226574</v>
      </c>
      <c r="AN97" s="46">
        <f t="shared" si="105"/>
        <v>7482</v>
      </c>
      <c r="AO97" s="46">
        <f t="shared" si="106"/>
        <v>14326</v>
      </c>
      <c r="AP97" s="46">
        <v>0</v>
      </c>
      <c r="AQ97" s="46">
        <f t="shared" si="107"/>
        <v>248382</v>
      </c>
      <c r="AR97" s="46">
        <f t="shared" si="108"/>
        <v>14326</v>
      </c>
      <c r="AS97" s="46">
        <f t="shared" si="109"/>
        <v>450388</v>
      </c>
      <c r="AT97" s="46">
        <f t="shared" si="110"/>
        <v>43725</v>
      </c>
      <c r="AU97" s="46">
        <f t="shared" si="111"/>
        <v>-14326</v>
      </c>
      <c r="AV97" s="46">
        <v>0</v>
      </c>
      <c r="AW97" s="46">
        <f t="shared" si="112"/>
        <v>479787</v>
      </c>
      <c r="AX97" s="46">
        <f t="shared" si="113"/>
        <v>0</v>
      </c>
      <c r="AY97" s="46">
        <f t="shared" si="114"/>
        <v>148770</v>
      </c>
      <c r="AZ97" s="46">
        <f t="shared" si="115"/>
        <v>0</v>
      </c>
      <c r="BA97" s="46">
        <f t="shared" si="116"/>
        <v>92130</v>
      </c>
      <c r="BB97" s="46"/>
      <c r="BC97" s="46">
        <f t="shared" si="117"/>
        <v>240900</v>
      </c>
      <c r="BD97" s="46">
        <f t="shared" si="118"/>
        <v>92130</v>
      </c>
      <c r="BE97" s="46">
        <f t="shared" si="119"/>
        <v>287999</v>
      </c>
      <c r="BF97" s="46">
        <f t="shared" si="120"/>
        <v>10719</v>
      </c>
      <c r="BG97" s="46">
        <f t="shared" si="121"/>
        <v>0</v>
      </c>
      <c r="BH97" s="46">
        <v>0</v>
      </c>
      <c r="BI97" s="46">
        <f t="shared" si="122"/>
        <v>298718</v>
      </c>
      <c r="BJ97" s="46">
        <f t="shared" si="123"/>
        <v>92130</v>
      </c>
      <c r="BK97" s="46">
        <f t="shared" si="124"/>
        <v>607666</v>
      </c>
      <c r="BL97" s="46">
        <f t="shared" si="125"/>
        <v>0</v>
      </c>
      <c r="BM97" s="46">
        <f t="shared" si="126"/>
        <v>-92130</v>
      </c>
      <c r="BN97" s="46">
        <v>0</v>
      </c>
      <c r="BO97" s="46">
        <f t="shared" si="127"/>
        <v>515536</v>
      </c>
      <c r="BP97" s="46">
        <f t="shared" si="128"/>
        <v>0</v>
      </c>
      <c r="BQ97" s="46">
        <f t="shared" si="129"/>
        <v>225531</v>
      </c>
      <c r="BR97" s="46">
        <f t="shared" si="130"/>
        <v>0</v>
      </c>
      <c r="BS97" s="46">
        <f t="shared" si="131"/>
        <v>15369</v>
      </c>
      <c r="BT97" s="46">
        <v>0</v>
      </c>
      <c r="BU97" s="46">
        <f t="shared" si="132"/>
        <v>240900</v>
      </c>
      <c r="BV97" s="46">
        <f t="shared" si="133"/>
        <v>15369</v>
      </c>
      <c r="BW97" s="46">
        <f t="shared" si="134"/>
        <v>432180</v>
      </c>
      <c r="BX97" s="46">
        <f t="shared" si="135"/>
        <v>70450</v>
      </c>
      <c r="BY97" s="46">
        <f t="shared" si="136"/>
        <v>-15369</v>
      </c>
      <c r="BZ97" s="46">
        <v>0</v>
      </c>
      <c r="CA97" s="46">
        <f t="shared" si="137"/>
        <v>487261</v>
      </c>
      <c r="CB97" s="46">
        <f t="shared" si="138"/>
        <v>0</v>
      </c>
      <c r="CC97" s="155">
        <f t="shared" si="141"/>
        <v>0</v>
      </c>
      <c r="CD97" s="79" t="s">
        <v>538</v>
      </c>
      <c r="CE97" s="65">
        <f t="shared" si="142"/>
        <v>240900</v>
      </c>
      <c r="CF97" s="65">
        <f t="shared" si="143"/>
        <v>240900</v>
      </c>
      <c r="CG97" s="65">
        <f t="shared" si="144"/>
        <v>247564</v>
      </c>
      <c r="CH97" s="65">
        <f t="shared" si="145"/>
        <v>240900</v>
      </c>
      <c r="CI97" s="65">
        <f t="shared" si="146"/>
        <v>813164</v>
      </c>
      <c r="CJ97" s="65">
        <f t="shared" si="147"/>
        <v>248382</v>
      </c>
      <c r="CK97" s="65">
        <f t="shared" si="148"/>
        <v>479787</v>
      </c>
      <c r="CL97" s="65">
        <f t="shared" si="149"/>
        <v>240900</v>
      </c>
      <c r="CM97" s="65">
        <f t="shared" si="150"/>
        <v>298718</v>
      </c>
      <c r="CN97" s="65">
        <f t="shared" si="151"/>
        <v>515536</v>
      </c>
      <c r="CO97" s="65">
        <f t="shared" si="152"/>
        <v>240900</v>
      </c>
      <c r="CP97" s="65">
        <f t="shared" si="153"/>
        <v>487261</v>
      </c>
      <c r="CQ97" s="40" t="s">
        <v>538</v>
      </c>
    </row>
    <row r="98" spans="1:95" ht="3" customHeight="1" x14ac:dyDescent="0.25">
      <c r="A98" s="39">
        <v>1</v>
      </c>
      <c r="B98" s="28">
        <v>6114</v>
      </c>
      <c r="C98" s="28" t="s">
        <v>132</v>
      </c>
      <c r="D98" s="48">
        <f>+DATA!Q96</f>
        <v>2611202.088</v>
      </c>
      <c r="E98" s="48">
        <f t="shared" si="139"/>
        <v>171904</v>
      </c>
      <c r="F98" s="48">
        <f t="shared" si="140"/>
        <v>261120</v>
      </c>
      <c r="G98" s="49">
        <f>VLOOKUP(B98,'CALC MEC ESTAB Y ESTIM M FINAL'!$B$7:$F$352,5,0)</f>
        <v>1.3709855323E-3</v>
      </c>
      <c r="H98" s="49">
        <f>VLOOKUP(B98,'CALC MEC ESTAB Y ESTIM M FINAL'!$B$7:$R$352,17,0)</f>
        <v>-6.6787481999999994E-5</v>
      </c>
      <c r="I98" s="46">
        <f t="shared" si="79"/>
        <v>107534</v>
      </c>
      <c r="J98" s="46">
        <f t="shared" si="80"/>
        <v>0</v>
      </c>
      <c r="K98" s="46">
        <f t="shared" si="81"/>
        <v>64370</v>
      </c>
      <c r="L98" s="46">
        <v>0</v>
      </c>
      <c r="M98" s="46">
        <f t="shared" si="82"/>
        <v>171904</v>
      </c>
      <c r="N98" s="46">
        <f t="shared" si="83"/>
        <v>64370</v>
      </c>
      <c r="O98" s="46">
        <f t="shared" si="84"/>
        <v>57183</v>
      </c>
      <c r="P98" s="46">
        <f t="shared" si="85"/>
        <v>0</v>
      </c>
      <c r="Q98" s="46">
        <f t="shared" si="86"/>
        <v>114721</v>
      </c>
      <c r="R98" s="46">
        <v>0</v>
      </c>
      <c r="S98" s="46">
        <f t="shared" si="87"/>
        <v>171904</v>
      </c>
      <c r="T98" s="46">
        <f t="shared" si="88"/>
        <v>179091</v>
      </c>
      <c r="U98" s="46">
        <f t="shared" si="89"/>
        <v>163130</v>
      </c>
      <c r="V98" s="46">
        <f t="shared" si="90"/>
        <v>0</v>
      </c>
      <c r="W98" s="46">
        <f t="shared" si="91"/>
        <v>0</v>
      </c>
      <c r="X98" s="46">
        <v>0</v>
      </c>
      <c r="Y98" s="46">
        <f t="shared" si="92"/>
        <v>163130</v>
      </c>
      <c r="Z98" s="46">
        <f t="shared" si="93"/>
        <v>179091</v>
      </c>
      <c r="AA98" s="46">
        <f t="shared" si="94"/>
        <v>86619</v>
      </c>
      <c r="AB98" s="46">
        <f t="shared" si="95"/>
        <v>0</v>
      </c>
      <c r="AC98" s="46">
        <f t="shared" si="96"/>
        <v>85285</v>
      </c>
      <c r="AD98" s="46">
        <v>0</v>
      </c>
      <c r="AE98" s="46">
        <f t="shared" si="97"/>
        <v>171904</v>
      </c>
      <c r="AF98" s="46">
        <f t="shared" si="98"/>
        <v>264376</v>
      </c>
      <c r="AG98" s="46">
        <f t="shared" si="99"/>
        <v>753752</v>
      </c>
      <c r="AH98" s="46">
        <f t="shared" si="100"/>
        <v>6957</v>
      </c>
      <c r="AI98" s="46">
        <f t="shared" si="101"/>
        <v>-264376</v>
      </c>
      <c r="AJ98" s="46">
        <v>0</v>
      </c>
      <c r="AK98" s="46">
        <f t="shared" si="102"/>
        <v>496333</v>
      </c>
      <c r="AL98" s="46">
        <f t="shared" si="103"/>
        <v>0</v>
      </c>
      <c r="AM98" s="46">
        <f t="shared" si="104"/>
        <v>149299</v>
      </c>
      <c r="AN98" s="46">
        <f t="shared" si="105"/>
        <v>4930</v>
      </c>
      <c r="AO98" s="46">
        <f t="shared" si="106"/>
        <v>22605</v>
      </c>
      <c r="AP98" s="46">
        <v>0</v>
      </c>
      <c r="AQ98" s="46">
        <f t="shared" si="107"/>
        <v>176834</v>
      </c>
      <c r="AR98" s="46">
        <f t="shared" si="108"/>
        <v>22605</v>
      </c>
      <c r="AS98" s="46">
        <f t="shared" si="109"/>
        <v>296780</v>
      </c>
      <c r="AT98" s="46">
        <f t="shared" si="110"/>
        <v>28812</v>
      </c>
      <c r="AU98" s="46">
        <f t="shared" si="111"/>
        <v>-22605</v>
      </c>
      <c r="AV98" s="46">
        <v>0</v>
      </c>
      <c r="AW98" s="46">
        <f t="shared" si="112"/>
        <v>302987</v>
      </c>
      <c r="AX98" s="46">
        <f t="shared" si="113"/>
        <v>0</v>
      </c>
      <c r="AY98" s="46">
        <f t="shared" si="114"/>
        <v>98031</v>
      </c>
      <c r="AZ98" s="46">
        <f t="shared" si="115"/>
        <v>0</v>
      </c>
      <c r="BA98" s="46">
        <f t="shared" si="116"/>
        <v>73873</v>
      </c>
      <c r="BB98" s="46"/>
      <c r="BC98" s="46">
        <f t="shared" si="117"/>
        <v>171904</v>
      </c>
      <c r="BD98" s="46">
        <f t="shared" si="118"/>
        <v>73873</v>
      </c>
      <c r="BE98" s="46">
        <f t="shared" si="119"/>
        <v>189775</v>
      </c>
      <c r="BF98" s="46">
        <f t="shared" si="120"/>
        <v>7063</v>
      </c>
      <c r="BG98" s="46">
        <f t="shared" si="121"/>
        <v>0</v>
      </c>
      <c r="BH98" s="46">
        <v>0</v>
      </c>
      <c r="BI98" s="46">
        <f t="shared" si="122"/>
        <v>196838</v>
      </c>
      <c r="BJ98" s="46">
        <f t="shared" si="123"/>
        <v>73873</v>
      </c>
      <c r="BK98" s="46">
        <f t="shared" si="124"/>
        <v>400417</v>
      </c>
      <c r="BL98" s="46">
        <f t="shared" si="125"/>
        <v>0</v>
      </c>
      <c r="BM98" s="46">
        <f t="shared" si="126"/>
        <v>-73873</v>
      </c>
      <c r="BN98" s="46">
        <v>0</v>
      </c>
      <c r="BO98" s="46">
        <f t="shared" si="127"/>
        <v>326544</v>
      </c>
      <c r="BP98" s="46">
        <f t="shared" si="128"/>
        <v>0</v>
      </c>
      <c r="BQ98" s="46">
        <f t="shared" si="129"/>
        <v>148612</v>
      </c>
      <c r="BR98" s="46">
        <f t="shared" si="130"/>
        <v>0</v>
      </c>
      <c r="BS98" s="46">
        <f t="shared" si="131"/>
        <v>23292</v>
      </c>
      <c r="BT98" s="46">
        <v>0</v>
      </c>
      <c r="BU98" s="46">
        <f t="shared" si="132"/>
        <v>171904</v>
      </c>
      <c r="BV98" s="46">
        <f t="shared" si="133"/>
        <v>23292</v>
      </c>
      <c r="BW98" s="46">
        <f t="shared" si="134"/>
        <v>284781</v>
      </c>
      <c r="BX98" s="46">
        <f t="shared" si="135"/>
        <v>46422</v>
      </c>
      <c r="BY98" s="46">
        <f t="shared" si="136"/>
        <v>-23292</v>
      </c>
      <c r="BZ98" s="46">
        <v>0</v>
      </c>
      <c r="CA98" s="46">
        <f t="shared" si="137"/>
        <v>307911</v>
      </c>
      <c r="CB98" s="46">
        <f t="shared" si="138"/>
        <v>0</v>
      </c>
      <c r="CC98" s="155">
        <f t="shared" si="141"/>
        <v>0</v>
      </c>
      <c r="CD98" s="79" t="s">
        <v>538</v>
      </c>
      <c r="CE98" s="65">
        <f t="shared" si="142"/>
        <v>171904</v>
      </c>
      <c r="CF98" s="65">
        <f t="shared" si="143"/>
        <v>171904</v>
      </c>
      <c r="CG98" s="65">
        <f t="shared" si="144"/>
        <v>163130</v>
      </c>
      <c r="CH98" s="65">
        <f t="shared" si="145"/>
        <v>171904</v>
      </c>
      <c r="CI98" s="65">
        <f t="shared" si="146"/>
        <v>496333</v>
      </c>
      <c r="CJ98" s="65">
        <f t="shared" si="147"/>
        <v>176834</v>
      </c>
      <c r="CK98" s="65">
        <f t="shared" si="148"/>
        <v>302987</v>
      </c>
      <c r="CL98" s="65">
        <f t="shared" si="149"/>
        <v>171904</v>
      </c>
      <c r="CM98" s="65">
        <f t="shared" si="150"/>
        <v>196838</v>
      </c>
      <c r="CN98" s="65">
        <f t="shared" si="151"/>
        <v>326544</v>
      </c>
      <c r="CO98" s="65">
        <f t="shared" si="152"/>
        <v>171904</v>
      </c>
      <c r="CP98" s="65">
        <f t="shared" si="153"/>
        <v>307911</v>
      </c>
      <c r="CQ98" s="40" t="s">
        <v>538</v>
      </c>
    </row>
    <row r="99" spans="1:95" ht="3" customHeight="1" x14ac:dyDescent="0.25">
      <c r="A99" s="39">
        <v>1</v>
      </c>
      <c r="B99" s="28">
        <v>6115</v>
      </c>
      <c r="C99" s="28" t="s">
        <v>128</v>
      </c>
      <c r="D99" s="48">
        <f>+DATA!Q97</f>
        <v>7455548.3109999998</v>
      </c>
      <c r="E99" s="48">
        <f t="shared" si="139"/>
        <v>490824</v>
      </c>
      <c r="F99" s="48">
        <f t="shared" si="140"/>
        <v>745555</v>
      </c>
      <c r="G99" s="49">
        <f>VLOOKUP(B99,'CALC MEC ESTAB Y ESTIM M FINAL'!$B$7:$F$352,5,0)</f>
        <v>4.0675989789999995E-3</v>
      </c>
      <c r="H99" s="49">
        <f>VLOOKUP(B99,'CALC MEC ESTAB Y ESTIM M FINAL'!$B$7:$R$352,17,0)</f>
        <v>-2.7512213399999999E-4</v>
      </c>
      <c r="I99" s="46">
        <f t="shared" si="79"/>
        <v>312698</v>
      </c>
      <c r="J99" s="46">
        <f t="shared" si="80"/>
        <v>0</v>
      </c>
      <c r="K99" s="46">
        <f t="shared" si="81"/>
        <v>178126</v>
      </c>
      <c r="L99" s="46">
        <v>0</v>
      </c>
      <c r="M99" s="46">
        <f t="shared" si="82"/>
        <v>490824</v>
      </c>
      <c r="N99" s="46">
        <f t="shared" si="83"/>
        <v>178126</v>
      </c>
      <c r="O99" s="46">
        <f t="shared" si="84"/>
        <v>166282</v>
      </c>
      <c r="P99" s="46">
        <f t="shared" si="85"/>
        <v>0</v>
      </c>
      <c r="Q99" s="46">
        <f t="shared" si="86"/>
        <v>324542</v>
      </c>
      <c r="R99" s="46">
        <v>0</v>
      </c>
      <c r="S99" s="46">
        <f t="shared" si="87"/>
        <v>490824</v>
      </c>
      <c r="T99" s="46">
        <f t="shared" si="88"/>
        <v>502668</v>
      </c>
      <c r="U99" s="46">
        <f t="shared" si="89"/>
        <v>474366</v>
      </c>
      <c r="V99" s="46">
        <f t="shared" si="90"/>
        <v>0</v>
      </c>
      <c r="W99" s="46">
        <f t="shared" si="91"/>
        <v>0</v>
      </c>
      <c r="X99" s="46">
        <v>0</v>
      </c>
      <c r="Y99" s="46">
        <f t="shared" si="92"/>
        <v>474366</v>
      </c>
      <c r="Z99" s="46">
        <f t="shared" si="93"/>
        <v>502668</v>
      </c>
      <c r="AA99" s="46">
        <f t="shared" si="94"/>
        <v>251881</v>
      </c>
      <c r="AB99" s="46">
        <f t="shared" si="95"/>
        <v>0</v>
      </c>
      <c r="AC99" s="46">
        <f t="shared" si="96"/>
        <v>238943</v>
      </c>
      <c r="AD99" s="46">
        <v>0</v>
      </c>
      <c r="AE99" s="46">
        <f t="shared" si="97"/>
        <v>490824</v>
      </c>
      <c r="AF99" s="46">
        <f t="shared" si="98"/>
        <v>741611</v>
      </c>
      <c r="AG99" s="46">
        <f t="shared" si="99"/>
        <v>2191834</v>
      </c>
      <c r="AH99" s="46">
        <f t="shared" si="100"/>
        <v>20230</v>
      </c>
      <c r="AI99" s="46">
        <f t="shared" si="101"/>
        <v>-741611</v>
      </c>
      <c r="AJ99" s="46">
        <v>0</v>
      </c>
      <c r="AK99" s="46">
        <f t="shared" si="102"/>
        <v>1470453</v>
      </c>
      <c r="AL99" s="46">
        <f t="shared" si="103"/>
        <v>0</v>
      </c>
      <c r="AM99" s="46">
        <f t="shared" si="104"/>
        <v>434146</v>
      </c>
      <c r="AN99" s="46">
        <f t="shared" si="105"/>
        <v>14337</v>
      </c>
      <c r="AO99" s="46">
        <f t="shared" si="106"/>
        <v>56678</v>
      </c>
      <c r="AP99" s="46">
        <v>0</v>
      </c>
      <c r="AQ99" s="46">
        <f t="shared" si="107"/>
        <v>505161</v>
      </c>
      <c r="AR99" s="46">
        <f t="shared" si="108"/>
        <v>56678</v>
      </c>
      <c r="AS99" s="46">
        <f t="shared" si="109"/>
        <v>863006</v>
      </c>
      <c r="AT99" s="46">
        <f t="shared" si="110"/>
        <v>83782</v>
      </c>
      <c r="AU99" s="46">
        <f t="shared" si="111"/>
        <v>-56678</v>
      </c>
      <c r="AV99" s="46">
        <v>0</v>
      </c>
      <c r="AW99" s="46">
        <f t="shared" si="112"/>
        <v>890110</v>
      </c>
      <c r="AX99" s="46">
        <f t="shared" si="113"/>
        <v>0</v>
      </c>
      <c r="AY99" s="46">
        <f t="shared" si="114"/>
        <v>285064</v>
      </c>
      <c r="AZ99" s="46">
        <f t="shared" si="115"/>
        <v>0</v>
      </c>
      <c r="BA99" s="46">
        <f t="shared" si="116"/>
        <v>205760</v>
      </c>
      <c r="BB99" s="46"/>
      <c r="BC99" s="46">
        <f t="shared" si="117"/>
        <v>490824</v>
      </c>
      <c r="BD99" s="46">
        <f t="shared" si="118"/>
        <v>205760</v>
      </c>
      <c r="BE99" s="46">
        <f t="shared" si="119"/>
        <v>551846</v>
      </c>
      <c r="BF99" s="46">
        <f t="shared" si="120"/>
        <v>20539</v>
      </c>
      <c r="BG99" s="46">
        <f t="shared" si="121"/>
        <v>0</v>
      </c>
      <c r="BH99" s="46">
        <v>0</v>
      </c>
      <c r="BI99" s="46">
        <f t="shared" si="122"/>
        <v>572385</v>
      </c>
      <c r="BJ99" s="46">
        <f t="shared" si="123"/>
        <v>205760</v>
      </c>
      <c r="BK99" s="46">
        <f t="shared" si="124"/>
        <v>1164371</v>
      </c>
      <c r="BL99" s="46">
        <f t="shared" si="125"/>
        <v>0</v>
      </c>
      <c r="BM99" s="46">
        <f t="shared" si="126"/>
        <v>-205760</v>
      </c>
      <c r="BN99" s="46">
        <v>0</v>
      </c>
      <c r="BO99" s="46">
        <f t="shared" si="127"/>
        <v>958611</v>
      </c>
      <c r="BP99" s="46">
        <f t="shared" si="128"/>
        <v>0</v>
      </c>
      <c r="BQ99" s="46">
        <f t="shared" si="129"/>
        <v>432148</v>
      </c>
      <c r="BR99" s="46">
        <f t="shared" si="130"/>
        <v>0</v>
      </c>
      <c r="BS99" s="46">
        <f t="shared" si="131"/>
        <v>58676</v>
      </c>
      <c r="BT99" s="46">
        <v>0</v>
      </c>
      <c r="BU99" s="46">
        <f t="shared" si="132"/>
        <v>490824</v>
      </c>
      <c r="BV99" s="46">
        <f t="shared" si="133"/>
        <v>58676</v>
      </c>
      <c r="BW99" s="46">
        <f t="shared" si="134"/>
        <v>828115</v>
      </c>
      <c r="BX99" s="46">
        <f t="shared" si="135"/>
        <v>134991</v>
      </c>
      <c r="BY99" s="46">
        <f t="shared" si="136"/>
        <v>-58676</v>
      </c>
      <c r="BZ99" s="46">
        <v>0</v>
      </c>
      <c r="CA99" s="46">
        <f t="shared" si="137"/>
        <v>904430</v>
      </c>
      <c r="CB99" s="46">
        <f t="shared" si="138"/>
        <v>0</v>
      </c>
      <c r="CC99" s="155">
        <f t="shared" si="141"/>
        <v>0</v>
      </c>
      <c r="CD99" s="79" t="s">
        <v>538</v>
      </c>
      <c r="CE99" s="65">
        <f t="shared" si="142"/>
        <v>490824</v>
      </c>
      <c r="CF99" s="65">
        <f t="shared" si="143"/>
        <v>490824</v>
      </c>
      <c r="CG99" s="65">
        <f t="shared" si="144"/>
        <v>474366</v>
      </c>
      <c r="CH99" s="65">
        <f t="shared" si="145"/>
        <v>490824</v>
      </c>
      <c r="CI99" s="65">
        <f t="shared" si="146"/>
        <v>1470453</v>
      </c>
      <c r="CJ99" s="65">
        <f t="shared" si="147"/>
        <v>505161</v>
      </c>
      <c r="CK99" s="65">
        <f t="shared" si="148"/>
        <v>890110</v>
      </c>
      <c r="CL99" s="65">
        <f t="shared" si="149"/>
        <v>490824</v>
      </c>
      <c r="CM99" s="65">
        <f t="shared" si="150"/>
        <v>572385</v>
      </c>
      <c r="CN99" s="65">
        <f t="shared" si="151"/>
        <v>958611</v>
      </c>
      <c r="CO99" s="65">
        <f t="shared" si="152"/>
        <v>490824</v>
      </c>
      <c r="CP99" s="65">
        <f t="shared" si="153"/>
        <v>904430</v>
      </c>
      <c r="CQ99" s="40" t="s">
        <v>538</v>
      </c>
    </row>
    <row r="100" spans="1:95" ht="3" customHeight="1" x14ac:dyDescent="0.25">
      <c r="A100" s="39">
        <v>1</v>
      </c>
      <c r="B100" s="28">
        <v>6116</v>
      </c>
      <c r="C100" s="28" t="s">
        <v>499</v>
      </c>
      <c r="D100" s="48">
        <f>+DATA!Q98</f>
        <v>2277542.835</v>
      </c>
      <c r="E100" s="48">
        <f t="shared" si="139"/>
        <v>149938</v>
      </c>
      <c r="F100" s="48">
        <f t="shared" si="140"/>
        <v>227754</v>
      </c>
      <c r="G100" s="49">
        <f>VLOOKUP(B100,'CALC MEC ESTAB Y ESTIM M FINAL'!$B$7:$F$352,5,0)</f>
        <v>1.1739041094999999E-3</v>
      </c>
      <c r="H100" s="49">
        <f>VLOOKUP(B100,'CALC MEC ESTAB Y ESTIM M FINAL'!$B$7:$R$352,17,0)</f>
        <v>-4.7442164300000001E-5</v>
      </c>
      <c r="I100" s="46">
        <f t="shared" si="79"/>
        <v>92879</v>
      </c>
      <c r="J100" s="46">
        <f t="shared" si="80"/>
        <v>0</v>
      </c>
      <c r="K100" s="46">
        <f t="shared" si="81"/>
        <v>57059</v>
      </c>
      <c r="L100" s="46">
        <v>0</v>
      </c>
      <c r="M100" s="46">
        <f t="shared" si="82"/>
        <v>149938</v>
      </c>
      <c r="N100" s="46">
        <f t="shared" si="83"/>
        <v>57059</v>
      </c>
      <c r="O100" s="46">
        <f t="shared" si="84"/>
        <v>49390</v>
      </c>
      <c r="P100" s="46">
        <f t="shared" si="85"/>
        <v>0</v>
      </c>
      <c r="Q100" s="46">
        <f t="shared" si="86"/>
        <v>100548</v>
      </c>
      <c r="R100" s="46">
        <v>0</v>
      </c>
      <c r="S100" s="46">
        <f t="shared" si="87"/>
        <v>149938</v>
      </c>
      <c r="T100" s="46">
        <f t="shared" si="88"/>
        <v>157607</v>
      </c>
      <c r="U100" s="46">
        <f t="shared" si="89"/>
        <v>140899</v>
      </c>
      <c r="V100" s="46">
        <f t="shared" si="90"/>
        <v>0</v>
      </c>
      <c r="W100" s="46">
        <f t="shared" si="91"/>
        <v>0</v>
      </c>
      <c r="X100" s="46">
        <v>0</v>
      </c>
      <c r="Y100" s="46">
        <f t="shared" si="92"/>
        <v>140899</v>
      </c>
      <c r="Z100" s="46">
        <f t="shared" si="93"/>
        <v>157607</v>
      </c>
      <c r="AA100" s="46">
        <f t="shared" si="94"/>
        <v>74815</v>
      </c>
      <c r="AB100" s="46">
        <f t="shared" si="95"/>
        <v>0</v>
      </c>
      <c r="AC100" s="46">
        <f t="shared" si="96"/>
        <v>75123</v>
      </c>
      <c r="AD100" s="46">
        <v>0</v>
      </c>
      <c r="AE100" s="46">
        <f t="shared" si="97"/>
        <v>149938</v>
      </c>
      <c r="AF100" s="46">
        <f t="shared" si="98"/>
        <v>232730</v>
      </c>
      <c r="AG100" s="46">
        <f t="shared" si="99"/>
        <v>651030</v>
      </c>
      <c r="AH100" s="46">
        <f t="shared" si="100"/>
        <v>6009</v>
      </c>
      <c r="AI100" s="46">
        <f t="shared" si="101"/>
        <v>-232730</v>
      </c>
      <c r="AJ100" s="46">
        <v>0</v>
      </c>
      <c r="AK100" s="46">
        <f t="shared" si="102"/>
        <v>424309</v>
      </c>
      <c r="AL100" s="46">
        <f t="shared" si="103"/>
        <v>0</v>
      </c>
      <c r="AM100" s="46">
        <f t="shared" si="104"/>
        <v>128952</v>
      </c>
      <c r="AN100" s="46">
        <f t="shared" si="105"/>
        <v>4259</v>
      </c>
      <c r="AO100" s="46">
        <f t="shared" si="106"/>
        <v>20986</v>
      </c>
      <c r="AP100" s="46">
        <v>0</v>
      </c>
      <c r="AQ100" s="46">
        <f t="shared" si="107"/>
        <v>154197</v>
      </c>
      <c r="AR100" s="46">
        <f t="shared" si="108"/>
        <v>20986</v>
      </c>
      <c r="AS100" s="46">
        <f t="shared" si="109"/>
        <v>256335</v>
      </c>
      <c r="AT100" s="46">
        <f t="shared" si="110"/>
        <v>24885</v>
      </c>
      <c r="AU100" s="46">
        <f t="shared" si="111"/>
        <v>-20986</v>
      </c>
      <c r="AV100" s="46">
        <v>0</v>
      </c>
      <c r="AW100" s="46">
        <f t="shared" si="112"/>
        <v>260234</v>
      </c>
      <c r="AX100" s="46">
        <f t="shared" si="113"/>
        <v>0</v>
      </c>
      <c r="AY100" s="46">
        <f t="shared" si="114"/>
        <v>84671</v>
      </c>
      <c r="AZ100" s="46">
        <f t="shared" si="115"/>
        <v>0</v>
      </c>
      <c r="BA100" s="46">
        <f t="shared" si="116"/>
        <v>65267</v>
      </c>
      <c r="BB100" s="46"/>
      <c r="BC100" s="46">
        <f t="shared" si="117"/>
        <v>149938</v>
      </c>
      <c r="BD100" s="46">
        <f t="shared" si="118"/>
        <v>65267</v>
      </c>
      <c r="BE100" s="46">
        <f t="shared" si="119"/>
        <v>163912</v>
      </c>
      <c r="BF100" s="46">
        <f t="shared" si="120"/>
        <v>6101</v>
      </c>
      <c r="BG100" s="46">
        <f t="shared" si="121"/>
        <v>0</v>
      </c>
      <c r="BH100" s="46">
        <v>0</v>
      </c>
      <c r="BI100" s="46">
        <f t="shared" si="122"/>
        <v>170013</v>
      </c>
      <c r="BJ100" s="46">
        <f t="shared" si="123"/>
        <v>65267</v>
      </c>
      <c r="BK100" s="46">
        <f t="shared" si="124"/>
        <v>345848</v>
      </c>
      <c r="BL100" s="46">
        <f t="shared" si="125"/>
        <v>0</v>
      </c>
      <c r="BM100" s="46">
        <f t="shared" si="126"/>
        <v>-65267</v>
      </c>
      <c r="BN100" s="46">
        <v>0</v>
      </c>
      <c r="BO100" s="46">
        <f t="shared" si="127"/>
        <v>280581</v>
      </c>
      <c r="BP100" s="46">
        <f t="shared" si="128"/>
        <v>0</v>
      </c>
      <c r="BQ100" s="46">
        <f t="shared" si="129"/>
        <v>128359</v>
      </c>
      <c r="BR100" s="46">
        <f t="shared" si="130"/>
        <v>0</v>
      </c>
      <c r="BS100" s="46">
        <f t="shared" si="131"/>
        <v>21579</v>
      </c>
      <c r="BT100" s="46">
        <v>0</v>
      </c>
      <c r="BU100" s="46">
        <f t="shared" si="132"/>
        <v>149938</v>
      </c>
      <c r="BV100" s="46">
        <f t="shared" si="133"/>
        <v>21579</v>
      </c>
      <c r="BW100" s="46">
        <f t="shared" si="134"/>
        <v>245971</v>
      </c>
      <c r="BX100" s="46">
        <f t="shared" si="135"/>
        <v>40096</v>
      </c>
      <c r="BY100" s="46">
        <f t="shared" si="136"/>
        <v>-21579</v>
      </c>
      <c r="BZ100" s="46">
        <v>0</v>
      </c>
      <c r="CA100" s="46">
        <f t="shared" si="137"/>
        <v>264488</v>
      </c>
      <c r="CB100" s="46">
        <f t="shared" si="138"/>
        <v>0</v>
      </c>
      <c r="CC100" s="155">
        <f t="shared" si="141"/>
        <v>0</v>
      </c>
      <c r="CD100" s="79" t="s">
        <v>538</v>
      </c>
      <c r="CE100" s="65">
        <f t="shared" si="142"/>
        <v>149938</v>
      </c>
      <c r="CF100" s="65">
        <f t="shared" si="143"/>
        <v>149938</v>
      </c>
      <c r="CG100" s="65">
        <f t="shared" si="144"/>
        <v>140899</v>
      </c>
      <c r="CH100" s="65">
        <f t="shared" si="145"/>
        <v>149938</v>
      </c>
      <c r="CI100" s="65">
        <f t="shared" si="146"/>
        <v>424309</v>
      </c>
      <c r="CJ100" s="65">
        <f t="shared" si="147"/>
        <v>154197</v>
      </c>
      <c r="CK100" s="65">
        <f t="shared" si="148"/>
        <v>260234</v>
      </c>
      <c r="CL100" s="65">
        <f t="shared" si="149"/>
        <v>149938</v>
      </c>
      <c r="CM100" s="65">
        <f t="shared" si="150"/>
        <v>170013</v>
      </c>
      <c r="CN100" s="65">
        <f t="shared" si="151"/>
        <v>280581</v>
      </c>
      <c r="CO100" s="65">
        <f t="shared" si="152"/>
        <v>149938</v>
      </c>
      <c r="CP100" s="65">
        <f t="shared" si="153"/>
        <v>264488</v>
      </c>
      <c r="CQ100" s="40" t="s">
        <v>538</v>
      </c>
    </row>
    <row r="101" spans="1:95" ht="3" customHeight="1" x14ac:dyDescent="0.25">
      <c r="A101" s="39">
        <v>1</v>
      </c>
      <c r="B101" s="28">
        <v>6117</v>
      </c>
      <c r="C101" s="28" t="s">
        <v>316</v>
      </c>
      <c r="D101" s="48">
        <f>+DATA!Q99</f>
        <v>7096556.1689999998</v>
      </c>
      <c r="E101" s="48">
        <f t="shared" si="139"/>
        <v>467190</v>
      </c>
      <c r="F101" s="48">
        <f t="shared" si="140"/>
        <v>709656</v>
      </c>
      <c r="G101" s="49">
        <f>VLOOKUP(B101,'CALC MEC ESTAB Y ESTIM M FINAL'!$B$7:$F$352,5,0)</f>
        <v>3.8095670810999998E-3</v>
      </c>
      <c r="H101" s="49">
        <f>VLOOKUP(B101,'CALC MEC ESTAB Y ESTIM M FINAL'!$B$7:$R$352,17,0)</f>
        <v>-2.2543712620000001E-4</v>
      </c>
      <c r="I101" s="46">
        <f t="shared" si="79"/>
        <v>295519</v>
      </c>
      <c r="J101" s="46">
        <f t="shared" si="80"/>
        <v>0</v>
      </c>
      <c r="K101" s="46">
        <f t="shared" si="81"/>
        <v>171671</v>
      </c>
      <c r="L101" s="46">
        <v>0</v>
      </c>
      <c r="M101" s="46">
        <f t="shared" si="82"/>
        <v>467190</v>
      </c>
      <c r="N101" s="46">
        <f t="shared" si="83"/>
        <v>171671</v>
      </c>
      <c r="O101" s="46">
        <f t="shared" si="84"/>
        <v>157147</v>
      </c>
      <c r="P101" s="46">
        <f t="shared" si="85"/>
        <v>0</v>
      </c>
      <c r="Q101" s="46">
        <f t="shared" si="86"/>
        <v>310043</v>
      </c>
      <c r="R101" s="46">
        <v>0</v>
      </c>
      <c r="S101" s="46">
        <f t="shared" si="87"/>
        <v>467190</v>
      </c>
      <c r="T101" s="46">
        <f t="shared" si="88"/>
        <v>481714</v>
      </c>
      <c r="U101" s="46">
        <f t="shared" si="89"/>
        <v>448305</v>
      </c>
      <c r="V101" s="46">
        <f t="shared" si="90"/>
        <v>0</v>
      </c>
      <c r="W101" s="46">
        <f t="shared" si="91"/>
        <v>0</v>
      </c>
      <c r="X101" s="46">
        <v>0</v>
      </c>
      <c r="Y101" s="46">
        <f t="shared" si="92"/>
        <v>448305</v>
      </c>
      <c r="Z101" s="46">
        <f t="shared" si="93"/>
        <v>481714</v>
      </c>
      <c r="AA101" s="46">
        <f t="shared" si="94"/>
        <v>238043</v>
      </c>
      <c r="AB101" s="46">
        <f t="shared" si="95"/>
        <v>0</v>
      </c>
      <c r="AC101" s="46">
        <f t="shared" si="96"/>
        <v>229147</v>
      </c>
      <c r="AD101" s="46">
        <v>0</v>
      </c>
      <c r="AE101" s="46">
        <f t="shared" si="97"/>
        <v>467190</v>
      </c>
      <c r="AF101" s="46">
        <f t="shared" si="98"/>
        <v>710861</v>
      </c>
      <c r="AG101" s="46">
        <f t="shared" si="99"/>
        <v>2071422</v>
      </c>
      <c r="AH101" s="46">
        <f t="shared" si="100"/>
        <v>19119</v>
      </c>
      <c r="AI101" s="46">
        <f t="shared" si="101"/>
        <v>-710861</v>
      </c>
      <c r="AJ101" s="46">
        <v>0</v>
      </c>
      <c r="AK101" s="46">
        <f t="shared" si="102"/>
        <v>1379680</v>
      </c>
      <c r="AL101" s="46">
        <f t="shared" si="103"/>
        <v>0</v>
      </c>
      <c r="AM101" s="46">
        <f t="shared" si="104"/>
        <v>410296</v>
      </c>
      <c r="AN101" s="46">
        <f t="shared" si="105"/>
        <v>13550</v>
      </c>
      <c r="AO101" s="46">
        <f t="shared" si="106"/>
        <v>56894</v>
      </c>
      <c r="AP101" s="46">
        <v>0</v>
      </c>
      <c r="AQ101" s="46">
        <f t="shared" si="107"/>
        <v>480740</v>
      </c>
      <c r="AR101" s="46">
        <f t="shared" si="108"/>
        <v>56894</v>
      </c>
      <c r="AS101" s="46">
        <f t="shared" si="109"/>
        <v>815595</v>
      </c>
      <c r="AT101" s="46">
        <f t="shared" si="110"/>
        <v>79179</v>
      </c>
      <c r="AU101" s="46">
        <f t="shared" si="111"/>
        <v>-56894</v>
      </c>
      <c r="AV101" s="46">
        <v>0</v>
      </c>
      <c r="AW101" s="46">
        <f t="shared" si="112"/>
        <v>837880</v>
      </c>
      <c r="AX101" s="46">
        <f t="shared" si="113"/>
        <v>0</v>
      </c>
      <c r="AY101" s="46">
        <f t="shared" si="114"/>
        <v>269403</v>
      </c>
      <c r="AZ101" s="46">
        <f t="shared" si="115"/>
        <v>0</v>
      </c>
      <c r="BA101" s="46">
        <f t="shared" si="116"/>
        <v>197787</v>
      </c>
      <c r="BB101" s="46"/>
      <c r="BC101" s="46">
        <f t="shared" si="117"/>
        <v>467190</v>
      </c>
      <c r="BD101" s="46">
        <f t="shared" si="118"/>
        <v>197787</v>
      </c>
      <c r="BE101" s="46">
        <f t="shared" si="119"/>
        <v>521529</v>
      </c>
      <c r="BF101" s="46">
        <f t="shared" si="120"/>
        <v>19411</v>
      </c>
      <c r="BG101" s="46">
        <f t="shared" si="121"/>
        <v>0</v>
      </c>
      <c r="BH101" s="46">
        <v>0</v>
      </c>
      <c r="BI101" s="46">
        <f t="shared" si="122"/>
        <v>540940</v>
      </c>
      <c r="BJ101" s="46">
        <f t="shared" si="123"/>
        <v>197787</v>
      </c>
      <c r="BK101" s="46">
        <f t="shared" si="124"/>
        <v>1100404</v>
      </c>
      <c r="BL101" s="46">
        <f t="shared" si="125"/>
        <v>0</v>
      </c>
      <c r="BM101" s="46">
        <f t="shared" si="126"/>
        <v>-197787</v>
      </c>
      <c r="BN101" s="46">
        <v>0</v>
      </c>
      <c r="BO101" s="46">
        <f t="shared" si="127"/>
        <v>902617</v>
      </c>
      <c r="BP101" s="46">
        <f t="shared" si="128"/>
        <v>0</v>
      </c>
      <c r="BQ101" s="46">
        <f t="shared" si="129"/>
        <v>408407</v>
      </c>
      <c r="BR101" s="46">
        <f t="shared" si="130"/>
        <v>0</v>
      </c>
      <c r="BS101" s="46">
        <f t="shared" si="131"/>
        <v>58783</v>
      </c>
      <c r="BT101" s="46">
        <v>0</v>
      </c>
      <c r="BU101" s="46">
        <f t="shared" si="132"/>
        <v>467190</v>
      </c>
      <c r="BV101" s="46">
        <f t="shared" si="133"/>
        <v>58783</v>
      </c>
      <c r="BW101" s="46">
        <f t="shared" si="134"/>
        <v>782621</v>
      </c>
      <c r="BX101" s="46">
        <f t="shared" si="135"/>
        <v>127575</v>
      </c>
      <c r="BY101" s="46">
        <f t="shared" si="136"/>
        <v>-58783</v>
      </c>
      <c r="BZ101" s="46">
        <v>0</v>
      </c>
      <c r="CA101" s="46">
        <f t="shared" si="137"/>
        <v>851413</v>
      </c>
      <c r="CB101" s="46">
        <f t="shared" si="138"/>
        <v>0</v>
      </c>
      <c r="CC101" s="155">
        <f t="shared" si="141"/>
        <v>0</v>
      </c>
      <c r="CD101" s="79" t="s">
        <v>538</v>
      </c>
      <c r="CE101" s="65">
        <f t="shared" si="142"/>
        <v>467190</v>
      </c>
      <c r="CF101" s="65">
        <f t="shared" si="143"/>
        <v>467190</v>
      </c>
      <c r="CG101" s="65">
        <f t="shared" si="144"/>
        <v>448305</v>
      </c>
      <c r="CH101" s="65">
        <f t="shared" si="145"/>
        <v>467190</v>
      </c>
      <c r="CI101" s="65">
        <f t="shared" si="146"/>
        <v>1379680</v>
      </c>
      <c r="CJ101" s="65">
        <f t="shared" si="147"/>
        <v>480740</v>
      </c>
      <c r="CK101" s="65">
        <f t="shared" si="148"/>
        <v>837880</v>
      </c>
      <c r="CL101" s="65">
        <f t="shared" si="149"/>
        <v>467190</v>
      </c>
      <c r="CM101" s="65">
        <f t="shared" si="150"/>
        <v>540940</v>
      </c>
      <c r="CN101" s="65">
        <f t="shared" si="151"/>
        <v>902617</v>
      </c>
      <c r="CO101" s="65">
        <f t="shared" si="152"/>
        <v>467190</v>
      </c>
      <c r="CP101" s="65">
        <f t="shared" si="153"/>
        <v>851413</v>
      </c>
      <c r="CQ101" s="40" t="s">
        <v>538</v>
      </c>
    </row>
    <row r="102" spans="1:95" ht="3" customHeight="1" x14ac:dyDescent="0.25">
      <c r="A102" s="39">
        <v>1</v>
      </c>
      <c r="B102" s="28">
        <v>6201</v>
      </c>
      <c r="C102" s="28" t="s">
        <v>142</v>
      </c>
      <c r="D102" s="48">
        <f>+DATA!Q100</f>
        <v>9089639.523</v>
      </c>
      <c r="E102" s="48">
        <f t="shared" si="139"/>
        <v>598401</v>
      </c>
      <c r="F102" s="48">
        <f t="shared" si="140"/>
        <v>908964</v>
      </c>
      <c r="G102" s="49">
        <f>VLOOKUP(B102,'CALC MEC ESTAB Y ESTIM M FINAL'!$B$7:$F$352,5,0)</f>
        <v>1.2854716422999999E-3</v>
      </c>
      <c r="H102" s="49">
        <f>VLOOKUP(B102,'CALC MEC ESTAB Y ESTIM M FINAL'!$B$7:$R$352,17,0)</f>
        <v>3.0602929933E-3</v>
      </c>
      <c r="I102" s="46">
        <f t="shared" si="79"/>
        <v>358318</v>
      </c>
      <c r="J102" s="46">
        <f t="shared" si="80"/>
        <v>0</v>
      </c>
      <c r="K102" s="46">
        <f t="shared" si="81"/>
        <v>240083</v>
      </c>
      <c r="L102" s="46">
        <v>0</v>
      </c>
      <c r="M102" s="46">
        <f t="shared" si="82"/>
        <v>598401</v>
      </c>
      <c r="N102" s="46">
        <f t="shared" si="83"/>
        <v>240083</v>
      </c>
      <c r="O102" s="46">
        <f t="shared" si="84"/>
        <v>190541</v>
      </c>
      <c r="P102" s="46">
        <f t="shared" si="85"/>
        <v>0</v>
      </c>
      <c r="Q102" s="46">
        <f t="shared" si="86"/>
        <v>407860</v>
      </c>
      <c r="R102" s="46">
        <v>0</v>
      </c>
      <c r="S102" s="46">
        <f t="shared" si="87"/>
        <v>598401</v>
      </c>
      <c r="T102" s="46">
        <f t="shared" si="88"/>
        <v>647943</v>
      </c>
      <c r="U102" s="46">
        <f t="shared" si="89"/>
        <v>543571</v>
      </c>
      <c r="V102" s="46">
        <f t="shared" si="90"/>
        <v>0</v>
      </c>
      <c r="W102" s="46">
        <f t="shared" si="91"/>
        <v>0</v>
      </c>
      <c r="X102" s="46">
        <v>0</v>
      </c>
      <c r="Y102" s="46">
        <f t="shared" si="92"/>
        <v>543571</v>
      </c>
      <c r="Z102" s="46">
        <f t="shared" si="93"/>
        <v>647943</v>
      </c>
      <c r="AA102" s="46">
        <f t="shared" si="94"/>
        <v>288628</v>
      </c>
      <c r="AB102" s="46">
        <f t="shared" si="95"/>
        <v>0</v>
      </c>
      <c r="AC102" s="46">
        <f t="shared" si="96"/>
        <v>309773</v>
      </c>
      <c r="AD102" s="46">
        <v>0</v>
      </c>
      <c r="AE102" s="46">
        <f t="shared" si="97"/>
        <v>598401</v>
      </c>
      <c r="AF102" s="46">
        <f t="shared" si="98"/>
        <v>957716</v>
      </c>
      <c r="AG102" s="46">
        <f t="shared" si="99"/>
        <v>2511603</v>
      </c>
      <c r="AH102" s="46">
        <f t="shared" si="100"/>
        <v>23181</v>
      </c>
      <c r="AI102" s="46">
        <f t="shared" si="101"/>
        <v>-957716</v>
      </c>
      <c r="AJ102" s="46">
        <v>0</v>
      </c>
      <c r="AK102" s="46">
        <f t="shared" si="102"/>
        <v>1577068</v>
      </c>
      <c r="AL102" s="46">
        <f t="shared" si="103"/>
        <v>0</v>
      </c>
      <c r="AM102" s="46">
        <f t="shared" si="104"/>
        <v>497484</v>
      </c>
      <c r="AN102" s="46">
        <f t="shared" si="105"/>
        <v>16429</v>
      </c>
      <c r="AO102" s="46">
        <f t="shared" si="106"/>
        <v>100917</v>
      </c>
      <c r="AP102" s="46">
        <v>0</v>
      </c>
      <c r="AQ102" s="46">
        <f t="shared" si="107"/>
        <v>614830</v>
      </c>
      <c r="AR102" s="46">
        <f t="shared" si="108"/>
        <v>100917</v>
      </c>
      <c r="AS102" s="46">
        <f t="shared" si="109"/>
        <v>988910</v>
      </c>
      <c r="AT102" s="46">
        <f t="shared" si="110"/>
        <v>96005</v>
      </c>
      <c r="AU102" s="46">
        <f t="shared" si="111"/>
        <v>-79946</v>
      </c>
      <c r="AV102" s="46">
        <v>0</v>
      </c>
      <c r="AW102" s="46">
        <f t="shared" si="112"/>
        <v>1004969</v>
      </c>
      <c r="AX102" s="46">
        <f t="shared" si="113"/>
        <v>20971</v>
      </c>
      <c r="AY102" s="46">
        <f t="shared" si="114"/>
        <v>326652</v>
      </c>
      <c r="AZ102" s="46">
        <f t="shared" si="115"/>
        <v>0</v>
      </c>
      <c r="BA102" s="46">
        <f t="shared" si="116"/>
        <v>271749</v>
      </c>
      <c r="BB102" s="46"/>
      <c r="BC102" s="46">
        <f t="shared" si="117"/>
        <v>598401</v>
      </c>
      <c r="BD102" s="46">
        <f t="shared" si="118"/>
        <v>292720</v>
      </c>
      <c r="BE102" s="46">
        <f t="shared" si="119"/>
        <v>632355</v>
      </c>
      <c r="BF102" s="46">
        <f t="shared" si="120"/>
        <v>23536</v>
      </c>
      <c r="BG102" s="46">
        <f t="shared" si="121"/>
        <v>0</v>
      </c>
      <c r="BH102" s="46">
        <v>0</v>
      </c>
      <c r="BI102" s="46">
        <f t="shared" si="122"/>
        <v>655891</v>
      </c>
      <c r="BJ102" s="46">
        <f t="shared" si="123"/>
        <v>292720</v>
      </c>
      <c r="BK102" s="46">
        <f t="shared" si="124"/>
        <v>1334242</v>
      </c>
      <c r="BL102" s="46">
        <f t="shared" si="125"/>
        <v>0</v>
      </c>
      <c r="BM102" s="46">
        <f t="shared" si="126"/>
        <v>-292720</v>
      </c>
      <c r="BN102" s="46">
        <v>0</v>
      </c>
      <c r="BO102" s="46">
        <f t="shared" si="127"/>
        <v>1041522</v>
      </c>
      <c r="BP102" s="46">
        <f t="shared" si="128"/>
        <v>0</v>
      </c>
      <c r="BQ102" s="46">
        <f t="shared" si="129"/>
        <v>495194</v>
      </c>
      <c r="BR102" s="46">
        <f t="shared" si="130"/>
        <v>0</v>
      </c>
      <c r="BS102" s="46">
        <f t="shared" si="131"/>
        <v>103207</v>
      </c>
      <c r="BT102" s="46">
        <v>0</v>
      </c>
      <c r="BU102" s="46">
        <f t="shared" si="132"/>
        <v>598401</v>
      </c>
      <c r="BV102" s="46">
        <f t="shared" si="133"/>
        <v>103207</v>
      </c>
      <c r="BW102" s="46">
        <f t="shared" si="134"/>
        <v>948929</v>
      </c>
      <c r="BX102" s="46">
        <f t="shared" si="135"/>
        <v>154685</v>
      </c>
      <c r="BY102" s="46">
        <f t="shared" si="136"/>
        <v>-103207</v>
      </c>
      <c r="BZ102" s="46">
        <v>0</v>
      </c>
      <c r="CA102" s="46">
        <f t="shared" si="137"/>
        <v>1000407</v>
      </c>
      <c r="CB102" s="46">
        <f t="shared" si="138"/>
        <v>0</v>
      </c>
      <c r="CC102" s="155">
        <f t="shared" si="141"/>
        <v>0</v>
      </c>
      <c r="CD102" s="79" t="s">
        <v>538</v>
      </c>
      <c r="CE102" s="65">
        <f t="shared" si="142"/>
        <v>598401</v>
      </c>
      <c r="CF102" s="65">
        <f t="shared" si="143"/>
        <v>598401</v>
      </c>
      <c r="CG102" s="65">
        <f t="shared" si="144"/>
        <v>543571</v>
      </c>
      <c r="CH102" s="65">
        <f t="shared" si="145"/>
        <v>598401</v>
      </c>
      <c r="CI102" s="65">
        <f t="shared" si="146"/>
        <v>1577068</v>
      </c>
      <c r="CJ102" s="65">
        <f t="shared" si="147"/>
        <v>614830</v>
      </c>
      <c r="CK102" s="65">
        <f t="shared" si="148"/>
        <v>1004969</v>
      </c>
      <c r="CL102" s="65">
        <f t="shared" si="149"/>
        <v>598401</v>
      </c>
      <c r="CM102" s="65">
        <f t="shared" si="150"/>
        <v>655891</v>
      </c>
      <c r="CN102" s="65">
        <f t="shared" si="151"/>
        <v>1041522</v>
      </c>
      <c r="CO102" s="65">
        <f t="shared" si="152"/>
        <v>598401</v>
      </c>
      <c r="CP102" s="65">
        <f t="shared" si="153"/>
        <v>1000407</v>
      </c>
      <c r="CQ102" s="40" t="s">
        <v>538</v>
      </c>
    </row>
    <row r="103" spans="1:95" ht="3" customHeight="1" x14ac:dyDescent="0.25">
      <c r="A103" s="39">
        <v>1</v>
      </c>
      <c r="B103" s="28">
        <v>6202</v>
      </c>
      <c r="C103" s="28" t="s">
        <v>145</v>
      </c>
      <c r="D103" s="48">
        <f>+DATA!Q101</f>
        <v>1512075.94</v>
      </c>
      <c r="E103" s="48">
        <f t="shared" si="139"/>
        <v>99545</v>
      </c>
      <c r="F103" s="48">
        <f t="shared" si="140"/>
        <v>151208</v>
      </c>
      <c r="G103" s="49">
        <f>VLOOKUP(B103,'CALC MEC ESTAB Y ESTIM M FINAL'!$B$7:$F$352,5,0)</f>
        <v>8.0153208889999997E-4</v>
      </c>
      <c r="H103" s="49">
        <f>VLOOKUP(B103,'CALC MEC ESTAB Y ESTIM M FINAL'!$B$7:$R$352,17,0)</f>
        <v>-4.2733461300000002E-5</v>
      </c>
      <c r="I103" s="46">
        <f t="shared" si="79"/>
        <v>62565</v>
      </c>
      <c r="J103" s="46">
        <f t="shared" si="80"/>
        <v>0</v>
      </c>
      <c r="K103" s="46">
        <f t="shared" si="81"/>
        <v>36980</v>
      </c>
      <c r="L103" s="46">
        <v>0</v>
      </c>
      <c r="M103" s="46">
        <f t="shared" si="82"/>
        <v>99545</v>
      </c>
      <c r="N103" s="46">
        <f t="shared" si="83"/>
        <v>36980</v>
      </c>
      <c r="O103" s="46">
        <f t="shared" si="84"/>
        <v>33270</v>
      </c>
      <c r="P103" s="46">
        <f t="shared" si="85"/>
        <v>0</v>
      </c>
      <c r="Q103" s="46">
        <f t="shared" si="86"/>
        <v>66275</v>
      </c>
      <c r="R103" s="46">
        <v>0</v>
      </c>
      <c r="S103" s="46">
        <f t="shared" si="87"/>
        <v>99545</v>
      </c>
      <c r="T103" s="46">
        <f t="shared" si="88"/>
        <v>103255</v>
      </c>
      <c r="U103" s="46">
        <f t="shared" si="89"/>
        <v>94911</v>
      </c>
      <c r="V103" s="46">
        <f t="shared" si="90"/>
        <v>0</v>
      </c>
      <c r="W103" s="46">
        <f t="shared" si="91"/>
        <v>0</v>
      </c>
      <c r="X103" s="46">
        <v>0</v>
      </c>
      <c r="Y103" s="46">
        <f t="shared" si="92"/>
        <v>94911</v>
      </c>
      <c r="Z103" s="46">
        <f t="shared" si="93"/>
        <v>103255</v>
      </c>
      <c r="AA103" s="46">
        <f t="shared" si="94"/>
        <v>50396</v>
      </c>
      <c r="AB103" s="46">
        <f t="shared" si="95"/>
        <v>0</v>
      </c>
      <c r="AC103" s="46">
        <f t="shared" si="96"/>
        <v>49149</v>
      </c>
      <c r="AD103" s="46">
        <v>0</v>
      </c>
      <c r="AE103" s="46">
        <f t="shared" si="97"/>
        <v>99545</v>
      </c>
      <c r="AF103" s="46">
        <f t="shared" si="98"/>
        <v>152404</v>
      </c>
      <c r="AG103" s="46">
        <f t="shared" si="99"/>
        <v>438542</v>
      </c>
      <c r="AH103" s="46">
        <f t="shared" si="100"/>
        <v>4048</v>
      </c>
      <c r="AI103" s="46">
        <f t="shared" si="101"/>
        <v>-152404</v>
      </c>
      <c r="AJ103" s="46">
        <v>0</v>
      </c>
      <c r="AK103" s="46">
        <f t="shared" si="102"/>
        <v>290186</v>
      </c>
      <c r="AL103" s="46">
        <f t="shared" si="103"/>
        <v>0</v>
      </c>
      <c r="AM103" s="46">
        <f t="shared" si="104"/>
        <v>86864</v>
      </c>
      <c r="AN103" s="46">
        <f t="shared" si="105"/>
        <v>2869</v>
      </c>
      <c r="AO103" s="46">
        <f t="shared" si="106"/>
        <v>12681</v>
      </c>
      <c r="AP103" s="46">
        <v>0</v>
      </c>
      <c r="AQ103" s="46">
        <f t="shared" si="107"/>
        <v>102414</v>
      </c>
      <c r="AR103" s="46">
        <f t="shared" si="108"/>
        <v>12681</v>
      </c>
      <c r="AS103" s="46">
        <f t="shared" si="109"/>
        <v>172670</v>
      </c>
      <c r="AT103" s="46">
        <f t="shared" si="110"/>
        <v>16763</v>
      </c>
      <c r="AU103" s="46">
        <f t="shared" si="111"/>
        <v>-12681</v>
      </c>
      <c r="AV103" s="46">
        <v>0</v>
      </c>
      <c r="AW103" s="46">
        <f t="shared" si="112"/>
        <v>176752</v>
      </c>
      <c r="AX103" s="46">
        <f t="shared" si="113"/>
        <v>0</v>
      </c>
      <c r="AY103" s="46">
        <f t="shared" si="114"/>
        <v>57036</v>
      </c>
      <c r="AZ103" s="46">
        <f t="shared" si="115"/>
        <v>0</v>
      </c>
      <c r="BA103" s="46">
        <f t="shared" si="116"/>
        <v>42509</v>
      </c>
      <c r="BB103" s="46"/>
      <c r="BC103" s="46">
        <f t="shared" si="117"/>
        <v>99545</v>
      </c>
      <c r="BD103" s="46">
        <f t="shared" si="118"/>
        <v>42509</v>
      </c>
      <c r="BE103" s="46">
        <f t="shared" si="119"/>
        <v>110413</v>
      </c>
      <c r="BF103" s="46">
        <f t="shared" si="120"/>
        <v>4109</v>
      </c>
      <c r="BG103" s="46">
        <f t="shared" si="121"/>
        <v>0</v>
      </c>
      <c r="BH103" s="46">
        <v>0</v>
      </c>
      <c r="BI103" s="46">
        <f t="shared" si="122"/>
        <v>114522</v>
      </c>
      <c r="BJ103" s="46">
        <f t="shared" si="123"/>
        <v>42509</v>
      </c>
      <c r="BK103" s="46">
        <f t="shared" si="124"/>
        <v>232967</v>
      </c>
      <c r="BL103" s="46">
        <f t="shared" si="125"/>
        <v>0</v>
      </c>
      <c r="BM103" s="46">
        <f t="shared" si="126"/>
        <v>-42509</v>
      </c>
      <c r="BN103" s="46">
        <v>0</v>
      </c>
      <c r="BO103" s="46">
        <f t="shared" si="127"/>
        <v>190458</v>
      </c>
      <c r="BP103" s="46">
        <f t="shared" si="128"/>
        <v>0</v>
      </c>
      <c r="BQ103" s="46">
        <f t="shared" si="129"/>
        <v>86464</v>
      </c>
      <c r="BR103" s="46">
        <f t="shared" si="130"/>
        <v>0</v>
      </c>
      <c r="BS103" s="46">
        <f t="shared" si="131"/>
        <v>13081</v>
      </c>
      <c r="BT103" s="46">
        <v>0</v>
      </c>
      <c r="BU103" s="46">
        <f t="shared" si="132"/>
        <v>99545</v>
      </c>
      <c r="BV103" s="46">
        <f t="shared" si="133"/>
        <v>13081</v>
      </c>
      <c r="BW103" s="46">
        <f t="shared" si="134"/>
        <v>165689</v>
      </c>
      <c r="BX103" s="46">
        <f t="shared" si="135"/>
        <v>27009</v>
      </c>
      <c r="BY103" s="46">
        <f t="shared" si="136"/>
        <v>-13081</v>
      </c>
      <c r="BZ103" s="46">
        <v>0</v>
      </c>
      <c r="CA103" s="46">
        <f t="shared" si="137"/>
        <v>179617</v>
      </c>
      <c r="CB103" s="46">
        <f t="shared" si="138"/>
        <v>0</v>
      </c>
      <c r="CC103" s="155">
        <f t="shared" si="141"/>
        <v>0</v>
      </c>
      <c r="CD103" s="79" t="s">
        <v>538</v>
      </c>
      <c r="CE103" s="65">
        <f t="shared" si="142"/>
        <v>99545</v>
      </c>
      <c r="CF103" s="65">
        <f t="shared" si="143"/>
        <v>99545</v>
      </c>
      <c r="CG103" s="65">
        <f t="shared" si="144"/>
        <v>94911</v>
      </c>
      <c r="CH103" s="65">
        <f t="shared" si="145"/>
        <v>99545</v>
      </c>
      <c r="CI103" s="65">
        <f t="shared" si="146"/>
        <v>290186</v>
      </c>
      <c r="CJ103" s="65">
        <f t="shared" si="147"/>
        <v>102414</v>
      </c>
      <c r="CK103" s="65">
        <f t="shared" si="148"/>
        <v>176752</v>
      </c>
      <c r="CL103" s="65">
        <f t="shared" si="149"/>
        <v>99545</v>
      </c>
      <c r="CM103" s="65">
        <f t="shared" si="150"/>
        <v>114522</v>
      </c>
      <c r="CN103" s="65">
        <f t="shared" si="151"/>
        <v>190458</v>
      </c>
      <c r="CO103" s="65">
        <f t="shared" si="152"/>
        <v>99545</v>
      </c>
      <c r="CP103" s="65">
        <f t="shared" si="153"/>
        <v>179617</v>
      </c>
      <c r="CQ103" s="40" t="s">
        <v>538</v>
      </c>
    </row>
    <row r="104" spans="1:95" ht="3" customHeight="1" x14ac:dyDescent="0.25">
      <c r="A104" s="39">
        <v>1</v>
      </c>
      <c r="B104" s="28">
        <v>6203</v>
      </c>
      <c r="C104" s="28" t="s">
        <v>144</v>
      </c>
      <c r="D104" s="48">
        <f>+DATA!Q102</f>
        <v>1625307.1170000001</v>
      </c>
      <c r="E104" s="48">
        <f t="shared" si="139"/>
        <v>106999</v>
      </c>
      <c r="F104" s="48">
        <f t="shared" si="140"/>
        <v>162531</v>
      </c>
      <c r="G104" s="49">
        <f>VLOOKUP(B104,'CALC MEC ESTAB Y ESTIM M FINAL'!$B$7:$F$352,5,0)</f>
        <v>8.5458872600000001E-4</v>
      </c>
      <c r="H104" s="49">
        <f>VLOOKUP(B104,'CALC MEC ESTAB Y ESTIM M FINAL'!$B$7:$R$352,17,0)</f>
        <v>-4.2164118700000002E-5</v>
      </c>
      <c r="I104" s="46">
        <f t="shared" si="79"/>
        <v>66986</v>
      </c>
      <c r="J104" s="46">
        <f t="shared" si="80"/>
        <v>0</v>
      </c>
      <c r="K104" s="46">
        <f t="shared" si="81"/>
        <v>40013</v>
      </c>
      <c r="L104" s="46">
        <v>0</v>
      </c>
      <c r="M104" s="46">
        <f t="shared" si="82"/>
        <v>106999</v>
      </c>
      <c r="N104" s="46">
        <f t="shared" si="83"/>
        <v>40013</v>
      </c>
      <c r="O104" s="46">
        <f t="shared" si="84"/>
        <v>35621</v>
      </c>
      <c r="P104" s="46">
        <f t="shared" si="85"/>
        <v>0</v>
      </c>
      <c r="Q104" s="46">
        <f t="shared" si="86"/>
        <v>71378</v>
      </c>
      <c r="R104" s="46">
        <v>0</v>
      </c>
      <c r="S104" s="46">
        <f t="shared" si="87"/>
        <v>106999</v>
      </c>
      <c r="T104" s="46">
        <f t="shared" si="88"/>
        <v>111391</v>
      </c>
      <c r="U104" s="46">
        <f t="shared" si="89"/>
        <v>101619</v>
      </c>
      <c r="V104" s="46">
        <f t="shared" si="90"/>
        <v>0</v>
      </c>
      <c r="W104" s="46">
        <f t="shared" si="91"/>
        <v>0</v>
      </c>
      <c r="X104" s="46">
        <v>0</v>
      </c>
      <c r="Y104" s="46">
        <f t="shared" si="92"/>
        <v>101619</v>
      </c>
      <c r="Z104" s="46">
        <f t="shared" si="93"/>
        <v>111391</v>
      </c>
      <c r="AA104" s="46">
        <f t="shared" si="94"/>
        <v>53958</v>
      </c>
      <c r="AB104" s="46">
        <f t="shared" si="95"/>
        <v>0</v>
      </c>
      <c r="AC104" s="46">
        <f t="shared" si="96"/>
        <v>53041</v>
      </c>
      <c r="AD104" s="46">
        <v>0</v>
      </c>
      <c r="AE104" s="46">
        <f t="shared" si="97"/>
        <v>106999</v>
      </c>
      <c r="AF104" s="46">
        <f t="shared" si="98"/>
        <v>164432</v>
      </c>
      <c r="AG104" s="46">
        <f t="shared" si="99"/>
        <v>469535</v>
      </c>
      <c r="AH104" s="46">
        <f t="shared" si="100"/>
        <v>4334</v>
      </c>
      <c r="AI104" s="46">
        <f t="shared" si="101"/>
        <v>-164432</v>
      </c>
      <c r="AJ104" s="46">
        <v>0</v>
      </c>
      <c r="AK104" s="46">
        <f t="shared" si="102"/>
        <v>309437</v>
      </c>
      <c r="AL104" s="46">
        <f t="shared" si="103"/>
        <v>0</v>
      </c>
      <c r="AM104" s="46">
        <f t="shared" si="104"/>
        <v>93003</v>
      </c>
      <c r="AN104" s="46">
        <f t="shared" si="105"/>
        <v>3071</v>
      </c>
      <c r="AO104" s="46">
        <f t="shared" si="106"/>
        <v>13996</v>
      </c>
      <c r="AP104" s="46">
        <v>0</v>
      </c>
      <c r="AQ104" s="46">
        <f t="shared" si="107"/>
        <v>110070</v>
      </c>
      <c r="AR104" s="46">
        <f t="shared" si="108"/>
        <v>13996</v>
      </c>
      <c r="AS104" s="46">
        <f t="shared" si="109"/>
        <v>184873</v>
      </c>
      <c r="AT104" s="46">
        <f t="shared" si="110"/>
        <v>17948</v>
      </c>
      <c r="AU104" s="46">
        <f t="shared" si="111"/>
        <v>-13996</v>
      </c>
      <c r="AV104" s="46">
        <v>0</v>
      </c>
      <c r="AW104" s="46">
        <f t="shared" si="112"/>
        <v>188825</v>
      </c>
      <c r="AX104" s="46">
        <f t="shared" si="113"/>
        <v>0</v>
      </c>
      <c r="AY104" s="46">
        <f t="shared" si="114"/>
        <v>61066</v>
      </c>
      <c r="AZ104" s="46">
        <f t="shared" si="115"/>
        <v>0</v>
      </c>
      <c r="BA104" s="46">
        <f t="shared" si="116"/>
        <v>45933</v>
      </c>
      <c r="BB104" s="46"/>
      <c r="BC104" s="46">
        <f t="shared" si="117"/>
        <v>106999</v>
      </c>
      <c r="BD104" s="46">
        <f t="shared" si="118"/>
        <v>45933</v>
      </c>
      <c r="BE104" s="46">
        <f t="shared" si="119"/>
        <v>118216</v>
      </c>
      <c r="BF104" s="46">
        <f t="shared" si="120"/>
        <v>4400</v>
      </c>
      <c r="BG104" s="46">
        <f t="shared" si="121"/>
        <v>0</v>
      </c>
      <c r="BH104" s="46">
        <v>0</v>
      </c>
      <c r="BI104" s="46">
        <f t="shared" si="122"/>
        <v>122616</v>
      </c>
      <c r="BJ104" s="46">
        <f t="shared" si="123"/>
        <v>45933</v>
      </c>
      <c r="BK104" s="46">
        <f t="shared" si="124"/>
        <v>249432</v>
      </c>
      <c r="BL104" s="46">
        <f t="shared" si="125"/>
        <v>0</v>
      </c>
      <c r="BM104" s="46">
        <f t="shared" si="126"/>
        <v>-45933</v>
      </c>
      <c r="BN104" s="46">
        <v>0</v>
      </c>
      <c r="BO104" s="46">
        <f t="shared" si="127"/>
        <v>203499</v>
      </c>
      <c r="BP104" s="46">
        <f t="shared" si="128"/>
        <v>0</v>
      </c>
      <c r="BQ104" s="46">
        <f t="shared" si="129"/>
        <v>92575</v>
      </c>
      <c r="BR104" s="46">
        <f t="shared" si="130"/>
        <v>0</v>
      </c>
      <c r="BS104" s="46">
        <f t="shared" si="131"/>
        <v>14424</v>
      </c>
      <c r="BT104" s="46">
        <v>0</v>
      </c>
      <c r="BU104" s="46">
        <f t="shared" si="132"/>
        <v>106999</v>
      </c>
      <c r="BV104" s="46">
        <f t="shared" si="133"/>
        <v>14424</v>
      </c>
      <c r="BW104" s="46">
        <f t="shared" si="134"/>
        <v>177399</v>
      </c>
      <c r="BX104" s="46">
        <f t="shared" si="135"/>
        <v>28918</v>
      </c>
      <c r="BY104" s="46">
        <f t="shared" si="136"/>
        <v>-14424</v>
      </c>
      <c r="BZ104" s="46">
        <v>0</v>
      </c>
      <c r="CA104" s="46">
        <f t="shared" si="137"/>
        <v>191893</v>
      </c>
      <c r="CB104" s="46">
        <f t="shared" si="138"/>
        <v>0</v>
      </c>
      <c r="CC104" s="155">
        <f t="shared" si="141"/>
        <v>0</v>
      </c>
      <c r="CD104" s="79" t="s">
        <v>538</v>
      </c>
      <c r="CE104" s="65">
        <f t="shared" si="142"/>
        <v>106999</v>
      </c>
      <c r="CF104" s="65">
        <f t="shared" si="143"/>
        <v>106999</v>
      </c>
      <c r="CG104" s="65">
        <f t="shared" si="144"/>
        <v>101619</v>
      </c>
      <c r="CH104" s="65">
        <f t="shared" si="145"/>
        <v>106999</v>
      </c>
      <c r="CI104" s="65">
        <f t="shared" si="146"/>
        <v>309437</v>
      </c>
      <c r="CJ104" s="65">
        <f t="shared" si="147"/>
        <v>110070</v>
      </c>
      <c r="CK104" s="65">
        <f t="shared" si="148"/>
        <v>188825</v>
      </c>
      <c r="CL104" s="65">
        <f t="shared" si="149"/>
        <v>106999</v>
      </c>
      <c r="CM104" s="65">
        <f t="shared" si="150"/>
        <v>122616</v>
      </c>
      <c r="CN104" s="65">
        <f t="shared" si="151"/>
        <v>203499</v>
      </c>
      <c r="CO104" s="65">
        <f t="shared" si="152"/>
        <v>106999</v>
      </c>
      <c r="CP104" s="65">
        <f t="shared" si="153"/>
        <v>191893</v>
      </c>
      <c r="CQ104" s="40" t="s">
        <v>538</v>
      </c>
    </row>
    <row r="105" spans="1:95" ht="3" customHeight="1" x14ac:dyDescent="0.25">
      <c r="A105" s="39">
        <v>1</v>
      </c>
      <c r="B105" s="28">
        <v>6204</v>
      </c>
      <c r="C105" s="28" t="s">
        <v>29</v>
      </c>
      <c r="D105" s="48">
        <f>+DATA!Q103</f>
        <v>1728028.4990000001</v>
      </c>
      <c r="E105" s="48">
        <f t="shared" si="139"/>
        <v>113762</v>
      </c>
      <c r="F105" s="48">
        <f t="shared" si="140"/>
        <v>172803</v>
      </c>
      <c r="G105" s="49">
        <f>VLOOKUP(B105,'CALC MEC ESTAB Y ESTIM M FINAL'!$B$7:$F$352,5,0)</f>
        <v>9.0775546249999989E-4</v>
      </c>
      <c r="H105" s="49">
        <f>VLOOKUP(B105,'CALC MEC ESTAB Y ESTIM M FINAL'!$B$7:$R$352,17,0)</f>
        <v>-4.4317121599999997E-5</v>
      </c>
      <c r="I105" s="46">
        <f t="shared" si="79"/>
        <v>71192</v>
      </c>
      <c r="J105" s="46">
        <f t="shared" si="80"/>
        <v>0</v>
      </c>
      <c r="K105" s="46">
        <f t="shared" si="81"/>
        <v>42570</v>
      </c>
      <c r="L105" s="46">
        <v>0</v>
      </c>
      <c r="M105" s="46">
        <f t="shared" si="82"/>
        <v>113762</v>
      </c>
      <c r="N105" s="46">
        <f t="shared" si="83"/>
        <v>42570</v>
      </c>
      <c r="O105" s="46">
        <f t="shared" si="84"/>
        <v>37858</v>
      </c>
      <c r="P105" s="46">
        <f t="shared" si="85"/>
        <v>0</v>
      </c>
      <c r="Q105" s="46">
        <f t="shared" si="86"/>
        <v>75904</v>
      </c>
      <c r="R105" s="46">
        <v>0</v>
      </c>
      <c r="S105" s="46">
        <f t="shared" si="87"/>
        <v>113762</v>
      </c>
      <c r="T105" s="46">
        <f t="shared" si="88"/>
        <v>118474</v>
      </c>
      <c r="U105" s="46">
        <f t="shared" si="89"/>
        <v>107999</v>
      </c>
      <c r="V105" s="46">
        <f t="shared" si="90"/>
        <v>0</v>
      </c>
      <c r="W105" s="46">
        <f t="shared" si="91"/>
        <v>0</v>
      </c>
      <c r="X105" s="46">
        <v>0</v>
      </c>
      <c r="Y105" s="46">
        <f t="shared" si="92"/>
        <v>107999</v>
      </c>
      <c r="Z105" s="46">
        <f t="shared" si="93"/>
        <v>118474</v>
      </c>
      <c r="AA105" s="46">
        <f t="shared" si="94"/>
        <v>57346</v>
      </c>
      <c r="AB105" s="46">
        <f t="shared" si="95"/>
        <v>0</v>
      </c>
      <c r="AC105" s="46">
        <f t="shared" si="96"/>
        <v>56416</v>
      </c>
      <c r="AD105" s="46">
        <v>0</v>
      </c>
      <c r="AE105" s="46">
        <f t="shared" si="97"/>
        <v>113762</v>
      </c>
      <c r="AF105" s="46">
        <f t="shared" si="98"/>
        <v>174890</v>
      </c>
      <c r="AG105" s="46">
        <f t="shared" si="99"/>
        <v>499018</v>
      </c>
      <c r="AH105" s="46">
        <f t="shared" si="100"/>
        <v>4606</v>
      </c>
      <c r="AI105" s="46">
        <f t="shared" si="101"/>
        <v>-174890</v>
      </c>
      <c r="AJ105" s="46">
        <v>0</v>
      </c>
      <c r="AK105" s="46">
        <f t="shared" si="102"/>
        <v>328734</v>
      </c>
      <c r="AL105" s="46">
        <f t="shared" si="103"/>
        <v>0</v>
      </c>
      <c r="AM105" s="46">
        <f t="shared" si="104"/>
        <v>98843</v>
      </c>
      <c r="AN105" s="46">
        <f t="shared" si="105"/>
        <v>3264</v>
      </c>
      <c r="AO105" s="46">
        <f t="shared" si="106"/>
        <v>14919</v>
      </c>
      <c r="AP105" s="46">
        <v>0</v>
      </c>
      <c r="AQ105" s="46">
        <f t="shared" si="107"/>
        <v>117026</v>
      </c>
      <c r="AR105" s="46">
        <f t="shared" si="108"/>
        <v>14919</v>
      </c>
      <c r="AS105" s="46">
        <f t="shared" si="109"/>
        <v>196482</v>
      </c>
      <c r="AT105" s="46">
        <f t="shared" si="110"/>
        <v>19075</v>
      </c>
      <c r="AU105" s="46">
        <f t="shared" si="111"/>
        <v>-14919</v>
      </c>
      <c r="AV105" s="46">
        <v>0</v>
      </c>
      <c r="AW105" s="46">
        <f t="shared" si="112"/>
        <v>200638</v>
      </c>
      <c r="AX105" s="46">
        <f t="shared" si="113"/>
        <v>0</v>
      </c>
      <c r="AY105" s="46">
        <f t="shared" si="114"/>
        <v>64901</v>
      </c>
      <c r="AZ105" s="46">
        <f t="shared" si="115"/>
        <v>0</v>
      </c>
      <c r="BA105" s="46">
        <f t="shared" si="116"/>
        <v>48861</v>
      </c>
      <c r="BB105" s="46"/>
      <c r="BC105" s="46">
        <f t="shared" si="117"/>
        <v>113762</v>
      </c>
      <c r="BD105" s="46">
        <f t="shared" si="118"/>
        <v>48861</v>
      </c>
      <c r="BE105" s="46">
        <f t="shared" si="119"/>
        <v>125640</v>
      </c>
      <c r="BF105" s="46">
        <f t="shared" si="120"/>
        <v>4676</v>
      </c>
      <c r="BG105" s="46">
        <f t="shared" si="121"/>
        <v>0</v>
      </c>
      <c r="BH105" s="46">
        <v>0</v>
      </c>
      <c r="BI105" s="46">
        <f t="shared" si="122"/>
        <v>130316</v>
      </c>
      <c r="BJ105" s="46">
        <f t="shared" si="123"/>
        <v>48861</v>
      </c>
      <c r="BK105" s="46">
        <f t="shared" si="124"/>
        <v>265094</v>
      </c>
      <c r="BL105" s="46">
        <f t="shared" si="125"/>
        <v>0</v>
      </c>
      <c r="BM105" s="46">
        <f t="shared" si="126"/>
        <v>-48861</v>
      </c>
      <c r="BN105" s="46">
        <v>0</v>
      </c>
      <c r="BO105" s="46">
        <f t="shared" si="127"/>
        <v>216233</v>
      </c>
      <c r="BP105" s="46">
        <f t="shared" si="128"/>
        <v>0</v>
      </c>
      <c r="BQ105" s="46">
        <f t="shared" si="129"/>
        <v>98388</v>
      </c>
      <c r="BR105" s="46">
        <f t="shared" si="130"/>
        <v>0</v>
      </c>
      <c r="BS105" s="46">
        <f t="shared" si="131"/>
        <v>15374</v>
      </c>
      <c r="BT105" s="46">
        <v>0</v>
      </c>
      <c r="BU105" s="46">
        <f t="shared" si="132"/>
        <v>113762</v>
      </c>
      <c r="BV105" s="46">
        <f t="shared" si="133"/>
        <v>15374</v>
      </c>
      <c r="BW105" s="46">
        <f t="shared" si="134"/>
        <v>188538</v>
      </c>
      <c r="BX105" s="46">
        <f t="shared" si="135"/>
        <v>30734</v>
      </c>
      <c r="BY105" s="46">
        <f t="shared" si="136"/>
        <v>-15374</v>
      </c>
      <c r="BZ105" s="46">
        <v>0</v>
      </c>
      <c r="CA105" s="46">
        <f t="shared" si="137"/>
        <v>203898</v>
      </c>
      <c r="CB105" s="46">
        <f t="shared" si="138"/>
        <v>0</v>
      </c>
      <c r="CC105" s="155">
        <f t="shared" si="141"/>
        <v>0</v>
      </c>
      <c r="CD105" s="79" t="s">
        <v>538</v>
      </c>
      <c r="CE105" s="65">
        <f t="shared" si="142"/>
        <v>113762</v>
      </c>
      <c r="CF105" s="65">
        <f t="shared" si="143"/>
        <v>113762</v>
      </c>
      <c r="CG105" s="65">
        <f t="shared" si="144"/>
        <v>107999</v>
      </c>
      <c r="CH105" s="65">
        <f t="shared" si="145"/>
        <v>113762</v>
      </c>
      <c r="CI105" s="65">
        <f t="shared" si="146"/>
        <v>328734</v>
      </c>
      <c r="CJ105" s="65">
        <f t="shared" si="147"/>
        <v>117026</v>
      </c>
      <c r="CK105" s="65">
        <f t="shared" si="148"/>
        <v>200638</v>
      </c>
      <c r="CL105" s="65">
        <f t="shared" si="149"/>
        <v>113762</v>
      </c>
      <c r="CM105" s="65">
        <f t="shared" si="150"/>
        <v>130316</v>
      </c>
      <c r="CN105" s="65">
        <f t="shared" si="151"/>
        <v>216233</v>
      </c>
      <c r="CO105" s="65">
        <f t="shared" si="152"/>
        <v>113762</v>
      </c>
      <c r="CP105" s="65">
        <f t="shared" si="153"/>
        <v>203898</v>
      </c>
      <c r="CQ105" s="40" t="s">
        <v>538</v>
      </c>
    </row>
    <row r="106" spans="1:95" ht="3" customHeight="1" x14ac:dyDescent="0.25">
      <c r="A106" s="39">
        <v>1</v>
      </c>
      <c r="B106" s="28">
        <v>6205</v>
      </c>
      <c r="C106" s="28" t="s">
        <v>143</v>
      </c>
      <c r="D106" s="48">
        <f>+DATA!Q104</f>
        <v>5347109.6239999998</v>
      </c>
      <c r="E106" s="48">
        <f t="shared" si="139"/>
        <v>352018</v>
      </c>
      <c r="F106" s="48">
        <f t="shared" si="140"/>
        <v>534711</v>
      </c>
      <c r="G106" s="49">
        <f>VLOOKUP(B106,'CALC MEC ESTAB Y ESTIM M FINAL'!$B$7:$F$352,5,0)</f>
        <v>1.0376677706999998E-3</v>
      </c>
      <c r="H106" s="49">
        <f>VLOOKUP(B106,'CALC MEC ESTAB Y ESTIM M FINAL'!$B$7:$R$352,17,0)</f>
        <v>1.5187901197999999E-3</v>
      </c>
      <c r="I106" s="46">
        <f t="shared" si="79"/>
        <v>210785</v>
      </c>
      <c r="J106" s="46">
        <f t="shared" si="80"/>
        <v>0</v>
      </c>
      <c r="K106" s="46">
        <f t="shared" si="81"/>
        <v>141233</v>
      </c>
      <c r="L106" s="46">
        <v>0</v>
      </c>
      <c r="M106" s="46">
        <f t="shared" si="82"/>
        <v>352018</v>
      </c>
      <c r="N106" s="46">
        <f t="shared" si="83"/>
        <v>141233</v>
      </c>
      <c r="O106" s="46">
        <f t="shared" si="84"/>
        <v>112089</v>
      </c>
      <c r="P106" s="46">
        <f t="shared" si="85"/>
        <v>0</v>
      </c>
      <c r="Q106" s="46">
        <f t="shared" si="86"/>
        <v>239929</v>
      </c>
      <c r="R106" s="46">
        <v>0</v>
      </c>
      <c r="S106" s="46">
        <f t="shared" si="87"/>
        <v>352018</v>
      </c>
      <c r="T106" s="46">
        <f t="shared" si="88"/>
        <v>381162</v>
      </c>
      <c r="U106" s="46">
        <f t="shared" si="89"/>
        <v>319764</v>
      </c>
      <c r="V106" s="46">
        <f t="shared" si="90"/>
        <v>0</v>
      </c>
      <c r="W106" s="46">
        <f t="shared" si="91"/>
        <v>0</v>
      </c>
      <c r="X106" s="46">
        <v>0</v>
      </c>
      <c r="Y106" s="46">
        <f t="shared" si="92"/>
        <v>319764</v>
      </c>
      <c r="Z106" s="46">
        <f t="shared" si="93"/>
        <v>381162</v>
      </c>
      <c r="AA106" s="46">
        <f t="shared" si="94"/>
        <v>169789</v>
      </c>
      <c r="AB106" s="46">
        <f t="shared" si="95"/>
        <v>0</v>
      </c>
      <c r="AC106" s="46">
        <f t="shared" si="96"/>
        <v>182229</v>
      </c>
      <c r="AD106" s="46">
        <v>0</v>
      </c>
      <c r="AE106" s="46">
        <f t="shared" si="97"/>
        <v>352018</v>
      </c>
      <c r="AF106" s="46">
        <f t="shared" si="98"/>
        <v>563391</v>
      </c>
      <c r="AG106" s="46">
        <f t="shared" si="99"/>
        <v>1477486</v>
      </c>
      <c r="AH106" s="46">
        <f t="shared" si="100"/>
        <v>13637</v>
      </c>
      <c r="AI106" s="46">
        <f t="shared" si="101"/>
        <v>-563391</v>
      </c>
      <c r="AJ106" s="46">
        <v>0</v>
      </c>
      <c r="AK106" s="46">
        <f t="shared" si="102"/>
        <v>927732</v>
      </c>
      <c r="AL106" s="46">
        <f t="shared" si="103"/>
        <v>0</v>
      </c>
      <c r="AM106" s="46">
        <f t="shared" si="104"/>
        <v>292652</v>
      </c>
      <c r="AN106" s="46">
        <f t="shared" si="105"/>
        <v>9665</v>
      </c>
      <c r="AO106" s="46">
        <f t="shared" si="106"/>
        <v>59366</v>
      </c>
      <c r="AP106" s="46">
        <v>0</v>
      </c>
      <c r="AQ106" s="46">
        <f t="shared" si="107"/>
        <v>361683</v>
      </c>
      <c r="AR106" s="46">
        <f t="shared" si="108"/>
        <v>59366</v>
      </c>
      <c r="AS106" s="46">
        <f t="shared" si="109"/>
        <v>581741</v>
      </c>
      <c r="AT106" s="46">
        <f t="shared" si="110"/>
        <v>56476</v>
      </c>
      <c r="AU106" s="46">
        <f t="shared" si="111"/>
        <v>-47030</v>
      </c>
      <c r="AV106" s="46">
        <v>0</v>
      </c>
      <c r="AW106" s="46">
        <f t="shared" si="112"/>
        <v>591187</v>
      </c>
      <c r="AX106" s="46">
        <f t="shared" si="113"/>
        <v>12336</v>
      </c>
      <c r="AY106" s="46">
        <f t="shared" si="114"/>
        <v>192158</v>
      </c>
      <c r="AZ106" s="46">
        <f t="shared" si="115"/>
        <v>0</v>
      </c>
      <c r="BA106" s="46">
        <f t="shared" si="116"/>
        <v>159860</v>
      </c>
      <c r="BB106" s="46"/>
      <c r="BC106" s="46">
        <f t="shared" si="117"/>
        <v>352018</v>
      </c>
      <c r="BD106" s="46">
        <f t="shared" si="118"/>
        <v>172196</v>
      </c>
      <c r="BE106" s="46">
        <f t="shared" si="119"/>
        <v>371992</v>
      </c>
      <c r="BF106" s="46">
        <f t="shared" si="120"/>
        <v>13845</v>
      </c>
      <c r="BG106" s="46">
        <f t="shared" si="121"/>
        <v>0</v>
      </c>
      <c r="BH106" s="46">
        <v>0</v>
      </c>
      <c r="BI106" s="46">
        <f t="shared" si="122"/>
        <v>385837</v>
      </c>
      <c r="BJ106" s="46">
        <f t="shared" si="123"/>
        <v>172196</v>
      </c>
      <c r="BK106" s="46">
        <f t="shared" si="124"/>
        <v>784887</v>
      </c>
      <c r="BL106" s="46">
        <f t="shared" si="125"/>
        <v>0</v>
      </c>
      <c r="BM106" s="46">
        <f t="shared" si="126"/>
        <v>-172196</v>
      </c>
      <c r="BN106" s="46">
        <v>0</v>
      </c>
      <c r="BO106" s="46">
        <f t="shared" si="127"/>
        <v>612691</v>
      </c>
      <c r="BP106" s="46">
        <f t="shared" si="128"/>
        <v>0</v>
      </c>
      <c r="BQ106" s="46">
        <f t="shared" si="129"/>
        <v>291305</v>
      </c>
      <c r="BR106" s="46">
        <f t="shared" si="130"/>
        <v>0</v>
      </c>
      <c r="BS106" s="46">
        <f t="shared" si="131"/>
        <v>60713</v>
      </c>
      <c r="BT106" s="46">
        <v>0</v>
      </c>
      <c r="BU106" s="46">
        <f t="shared" si="132"/>
        <v>352018</v>
      </c>
      <c r="BV106" s="46">
        <f t="shared" si="133"/>
        <v>60713</v>
      </c>
      <c r="BW106" s="46">
        <f t="shared" si="134"/>
        <v>558221</v>
      </c>
      <c r="BX106" s="46">
        <f t="shared" si="135"/>
        <v>90996</v>
      </c>
      <c r="BY106" s="46">
        <f t="shared" si="136"/>
        <v>-60713</v>
      </c>
      <c r="BZ106" s="46">
        <v>0</v>
      </c>
      <c r="CA106" s="46">
        <f t="shared" si="137"/>
        <v>588504</v>
      </c>
      <c r="CB106" s="46">
        <f t="shared" si="138"/>
        <v>0</v>
      </c>
      <c r="CC106" s="155">
        <f t="shared" si="141"/>
        <v>0</v>
      </c>
      <c r="CD106" s="79" t="s">
        <v>538</v>
      </c>
      <c r="CE106" s="65">
        <f t="shared" si="142"/>
        <v>352018</v>
      </c>
      <c r="CF106" s="65">
        <f t="shared" si="143"/>
        <v>352018</v>
      </c>
      <c r="CG106" s="65">
        <f t="shared" si="144"/>
        <v>319764</v>
      </c>
      <c r="CH106" s="65">
        <f t="shared" si="145"/>
        <v>352018</v>
      </c>
      <c r="CI106" s="65">
        <f t="shared" si="146"/>
        <v>927732</v>
      </c>
      <c r="CJ106" s="65">
        <f t="shared" si="147"/>
        <v>361683</v>
      </c>
      <c r="CK106" s="65">
        <f t="shared" si="148"/>
        <v>591187</v>
      </c>
      <c r="CL106" s="65">
        <f t="shared" si="149"/>
        <v>352018</v>
      </c>
      <c r="CM106" s="65">
        <f t="shared" si="150"/>
        <v>385837</v>
      </c>
      <c r="CN106" s="65">
        <f t="shared" si="151"/>
        <v>612691</v>
      </c>
      <c r="CO106" s="65">
        <f t="shared" si="152"/>
        <v>352018</v>
      </c>
      <c r="CP106" s="65">
        <f t="shared" si="153"/>
        <v>588504</v>
      </c>
      <c r="CQ106" s="40" t="s">
        <v>538</v>
      </c>
    </row>
    <row r="107" spans="1:95" ht="3" customHeight="1" x14ac:dyDescent="0.25">
      <c r="A107" s="39">
        <v>1</v>
      </c>
      <c r="B107" s="28">
        <v>6206</v>
      </c>
      <c r="C107" s="28" t="s">
        <v>146</v>
      </c>
      <c r="D107" s="48">
        <f>+DATA!Q105</f>
        <v>2880727.4</v>
      </c>
      <c r="E107" s="48">
        <f t="shared" si="139"/>
        <v>189648</v>
      </c>
      <c r="F107" s="48">
        <f t="shared" si="140"/>
        <v>288073</v>
      </c>
      <c r="G107" s="49">
        <f>VLOOKUP(B107,'CALC MEC ESTAB Y ESTIM M FINAL'!$B$7:$F$352,5,0)</f>
        <v>9.7232352999999992E-4</v>
      </c>
      <c r="H107" s="49">
        <f>VLOOKUP(B107,'CALC MEC ESTAB Y ESTIM M FINAL'!$B$7:$R$352,17,0)</f>
        <v>4.0495479780000001E-4</v>
      </c>
      <c r="I107" s="46">
        <f t="shared" si="79"/>
        <v>113560</v>
      </c>
      <c r="J107" s="46">
        <f t="shared" si="80"/>
        <v>0</v>
      </c>
      <c r="K107" s="46">
        <f t="shared" si="81"/>
        <v>76088</v>
      </c>
      <c r="L107" s="46">
        <v>0</v>
      </c>
      <c r="M107" s="46">
        <f t="shared" si="82"/>
        <v>189648</v>
      </c>
      <c r="N107" s="46">
        <f t="shared" si="83"/>
        <v>76088</v>
      </c>
      <c r="O107" s="46">
        <f t="shared" si="84"/>
        <v>60387</v>
      </c>
      <c r="P107" s="46">
        <f t="shared" si="85"/>
        <v>0</v>
      </c>
      <c r="Q107" s="46">
        <f t="shared" si="86"/>
        <v>129261</v>
      </c>
      <c r="R107" s="46">
        <v>0</v>
      </c>
      <c r="S107" s="46">
        <f t="shared" si="87"/>
        <v>189648</v>
      </c>
      <c r="T107" s="46">
        <f t="shared" si="88"/>
        <v>205349</v>
      </c>
      <c r="U107" s="46">
        <f t="shared" si="89"/>
        <v>172271</v>
      </c>
      <c r="V107" s="46">
        <f t="shared" si="90"/>
        <v>0</v>
      </c>
      <c r="W107" s="46">
        <f t="shared" si="91"/>
        <v>0</v>
      </c>
      <c r="X107" s="46">
        <v>0</v>
      </c>
      <c r="Y107" s="46">
        <f t="shared" si="92"/>
        <v>172271</v>
      </c>
      <c r="Z107" s="46">
        <f t="shared" si="93"/>
        <v>205349</v>
      </c>
      <c r="AA107" s="46">
        <f t="shared" si="94"/>
        <v>91473</v>
      </c>
      <c r="AB107" s="46">
        <f t="shared" si="95"/>
        <v>0</v>
      </c>
      <c r="AC107" s="46">
        <f t="shared" si="96"/>
        <v>98175</v>
      </c>
      <c r="AD107" s="46">
        <v>0</v>
      </c>
      <c r="AE107" s="46">
        <f t="shared" si="97"/>
        <v>189648</v>
      </c>
      <c r="AF107" s="46">
        <f t="shared" si="98"/>
        <v>303524</v>
      </c>
      <c r="AG107" s="46">
        <f t="shared" si="99"/>
        <v>795988</v>
      </c>
      <c r="AH107" s="46">
        <f t="shared" si="100"/>
        <v>7347</v>
      </c>
      <c r="AI107" s="46">
        <f t="shared" si="101"/>
        <v>-303524</v>
      </c>
      <c r="AJ107" s="46">
        <v>0</v>
      </c>
      <c r="AK107" s="46">
        <f t="shared" si="102"/>
        <v>499811</v>
      </c>
      <c r="AL107" s="46">
        <f t="shared" si="103"/>
        <v>0</v>
      </c>
      <c r="AM107" s="46">
        <f t="shared" si="104"/>
        <v>157665</v>
      </c>
      <c r="AN107" s="46">
        <f t="shared" si="105"/>
        <v>5207</v>
      </c>
      <c r="AO107" s="46">
        <f t="shared" si="106"/>
        <v>31983</v>
      </c>
      <c r="AP107" s="46">
        <v>0</v>
      </c>
      <c r="AQ107" s="46">
        <f t="shared" si="107"/>
        <v>194855</v>
      </c>
      <c r="AR107" s="46">
        <f t="shared" si="108"/>
        <v>31983</v>
      </c>
      <c r="AS107" s="46">
        <f t="shared" si="109"/>
        <v>313410</v>
      </c>
      <c r="AT107" s="46">
        <f t="shared" si="110"/>
        <v>30426</v>
      </c>
      <c r="AU107" s="46">
        <f t="shared" si="111"/>
        <v>-25337</v>
      </c>
      <c r="AV107" s="46">
        <v>0</v>
      </c>
      <c r="AW107" s="46">
        <f t="shared" si="112"/>
        <v>318499</v>
      </c>
      <c r="AX107" s="46">
        <f t="shared" si="113"/>
        <v>6646</v>
      </c>
      <c r="AY107" s="46">
        <f t="shared" si="114"/>
        <v>103524</v>
      </c>
      <c r="AZ107" s="46">
        <f t="shared" si="115"/>
        <v>0</v>
      </c>
      <c r="BA107" s="46">
        <f t="shared" si="116"/>
        <v>86124</v>
      </c>
      <c r="BB107" s="46"/>
      <c r="BC107" s="46">
        <f t="shared" si="117"/>
        <v>189648</v>
      </c>
      <c r="BD107" s="46">
        <f t="shared" si="118"/>
        <v>92770</v>
      </c>
      <c r="BE107" s="46">
        <f t="shared" si="119"/>
        <v>200409</v>
      </c>
      <c r="BF107" s="46">
        <f t="shared" si="120"/>
        <v>7459</v>
      </c>
      <c r="BG107" s="46">
        <f t="shared" si="121"/>
        <v>0</v>
      </c>
      <c r="BH107" s="46">
        <v>0</v>
      </c>
      <c r="BI107" s="46">
        <f t="shared" si="122"/>
        <v>207868</v>
      </c>
      <c r="BJ107" s="46">
        <f t="shared" si="123"/>
        <v>92770</v>
      </c>
      <c r="BK107" s="46">
        <f t="shared" si="124"/>
        <v>422854</v>
      </c>
      <c r="BL107" s="46">
        <f t="shared" si="125"/>
        <v>0</v>
      </c>
      <c r="BM107" s="46">
        <f t="shared" si="126"/>
        <v>-92770</v>
      </c>
      <c r="BN107" s="46">
        <v>0</v>
      </c>
      <c r="BO107" s="46">
        <f t="shared" si="127"/>
        <v>330084</v>
      </c>
      <c r="BP107" s="46">
        <f t="shared" si="128"/>
        <v>0</v>
      </c>
      <c r="BQ107" s="46">
        <f t="shared" si="129"/>
        <v>156939</v>
      </c>
      <c r="BR107" s="46">
        <f t="shared" si="130"/>
        <v>0</v>
      </c>
      <c r="BS107" s="46">
        <f t="shared" si="131"/>
        <v>32709</v>
      </c>
      <c r="BT107" s="46">
        <v>0</v>
      </c>
      <c r="BU107" s="46">
        <f t="shared" si="132"/>
        <v>189648</v>
      </c>
      <c r="BV107" s="46">
        <f t="shared" si="133"/>
        <v>32709</v>
      </c>
      <c r="BW107" s="46">
        <f t="shared" si="134"/>
        <v>300739</v>
      </c>
      <c r="BX107" s="46">
        <f t="shared" si="135"/>
        <v>49024</v>
      </c>
      <c r="BY107" s="46">
        <f t="shared" si="136"/>
        <v>-32709</v>
      </c>
      <c r="BZ107" s="46">
        <v>0</v>
      </c>
      <c r="CA107" s="46">
        <f t="shared" si="137"/>
        <v>317054</v>
      </c>
      <c r="CB107" s="46">
        <f t="shared" si="138"/>
        <v>0</v>
      </c>
      <c r="CC107" s="155">
        <f t="shared" si="141"/>
        <v>0</v>
      </c>
      <c r="CD107" s="79" t="s">
        <v>538</v>
      </c>
      <c r="CE107" s="65">
        <f t="shared" si="142"/>
        <v>189648</v>
      </c>
      <c r="CF107" s="65">
        <f t="shared" si="143"/>
        <v>189648</v>
      </c>
      <c r="CG107" s="65">
        <f t="shared" si="144"/>
        <v>172271</v>
      </c>
      <c r="CH107" s="65">
        <f t="shared" si="145"/>
        <v>189648</v>
      </c>
      <c r="CI107" s="65">
        <f t="shared" si="146"/>
        <v>499811</v>
      </c>
      <c r="CJ107" s="65">
        <f t="shared" si="147"/>
        <v>194855</v>
      </c>
      <c r="CK107" s="65">
        <f t="shared" si="148"/>
        <v>318499</v>
      </c>
      <c r="CL107" s="65">
        <f t="shared" si="149"/>
        <v>189648</v>
      </c>
      <c r="CM107" s="65">
        <f t="shared" si="150"/>
        <v>207868</v>
      </c>
      <c r="CN107" s="65">
        <f t="shared" si="151"/>
        <v>330084</v>
      </c>
      <c r="CO107" s="65">
        <f t="shared" si="152"/>
        <v>189648</v>
      </c>
      <c r="CP107" s="65">
        <f t="shared" si="153"/>
        <v>317054</v>
      </c>
      <c r="CQ107" s="40" t="s">
        <v>538</v>
      </c>
    </row>
    <row r="108" spans="1:95" ht="3" customHeight="1" x14ac:dyDescent="0.25">
      <c r="A108" s="39">
        <v>1</v>
      </c>
      <c r="B108" s="28">
        <v>6301</v>
      </c>
      <c r="C108" s="28" t="s">
        <v>133</v>
      </c>
      <c r="D108" s="48">
        <f>+DATA!Q106</f>
        <v>7413542.2510000002</v>
      </c>
      <c r="E108" s="48">
        <f t="shared" si="139"/>
        <v>488058</v>
      </c>
      <c r="F108" s="48">
        <f t="shared" si="140"/>
        <v>741354</v>
      </c>
      <c r="G108" s="49">
        <f>VLOOKUP(B108,'CALC MEC ESTAB Y ESTIM M FINAL'!$B$7:$F$352,5,0)</f>
        <v>4.0257945061999995E-3</v>
      </c>
      <c r="H108" s="49">
        <f>VLOOKUP(B108,'CALC MEC ESTAB Y ESTIM M FINAL'!$B$7:$R$352,17,0)</f>
        <v>-2.6173694550000001E-4</v>
      </c>
      <c r="I108" s="46">
        <f t="shared" si="79"/>
        <v>310355</v>
      </c>
      <c r="J108" s="46">
        <f t="shared" si="80"/>
        <v>0</v>
      </c>
      <c r="K108" s="46">
        <f t="shared" si="81"/>
        <v>177703</v>
      </c>
      <c r="L108" s="46">
        <v>0</v>
      </c>
      <c r="M108" s="46">
        <f t="shared" si="82"/>
        <v>488058</v>
      </c>
      <c r="N108" s="46">
        <f t="shared" si="83"/>
        <v>177703</v>
      </c>
      <c r="O108" s="46">
        <f t="shared" si="84"/>
        <v>165036</v>
      </c>
      <c r="P108" s="46">
        <f t="shared" si="85"/>
        <v>0</v>
      </c>
      <c r="Q108" s="46">
        <f t="shared" si="86"/>
        <v>323022</v>
      </c>
      <c r="R108" s="46">
        <v>0</v>
      </c>
      <c r="S108" s="46">
        <f t="shared" si="87"/>
        <v>488058</v>
      </c>
      <c r="T108" s="46">
        <f t="shared" si="88"/>
        <v>500725</v>
      </c>
      <c r="U108" s="46">
        <f t="shared" si="89"/>
        <v>470811</v>
      </c>
      <c r="V108" s="46">
        <f t="shared" si="90"/>
        <v>0</v>
      </c>
      <c r="W108" s="46">
        <f t="shared" si="91"/>
        <v>0</v>
      </c>
      <c r="X108" s="46">
        <v>0</v>
      </c>
      <c r="Y108" s="46">
        <f t="shared" si="92"/>
        <v>470811</v>
      </c>
      <c r="Z108" s="46">
        <f t="shared" si="93"/>
        <v>500725</v>
      </c>
      <c r="AA108" s="46">
        <f t="shared" si="94"/>
        <v>249993</v>
      </c>
      <c r="AB108" s="46">
        <f t="shared" si="95"/>
        <v>0</v>
      </c>
      <c r="AC108" s="46">
        <f t="shared" si="96"/>
        <v>238065</v>
      </c>
      <c r="AD108" s="46">
        <v>0</v>
      </c>
      <c r="AE108" s="46">
        <f t="shared" si="97"/>
        <v>488058</v>
      </c>
      <c r="AF108" s="46">
        <f t="shared" si="98"/>
        <v>738790</v>
      </c>
      <c r="AG108" s="46">
        <f t="shared" si="99"/>
        <v>2175409</v>
      </c>
      <c r="AH108" s="46">
        <f t="shared" si="100"/>
        <v>20078</v>
      </c>
      <c r="AI108" s="46">
        <f t="shared" si="101"/>
        <v>-738790</v>
      </c>
      <c r="AJ108" s="46">
        <v>0</v>
      </c>
      <c r="AK108" s="46">
        <f t="shared" si="102"/>
        <v>1456697</v>
      </c>
      <c r="AL108" s="46">
        <f t="shared" si="103"/>
        <v>0</v>
      </c>
      <c r="AM108" s="46">
        <f t="shared" si="104"/>
        <v>430893</v>
      </c>
      <c r="AN108" s="46">
        <f t="shared" si="105"/>
        <v>14230</v>
      </c>
      <c r="AO108" s="46">
        <f t="shared" si="106"/>
        <v>57165</v>
      </c>
      <c r="AP108" s="46">
        <v>0</v>
      </c>
      <c r="AQ108" s="46">
        <f t="shared" si="107"/>
        <v>502288</v>
      </c>
      <c r="AR108" s="46">
        <f t="shared" si="108"/>
        <v>57165</v>
      </c>
      <c r="AS108" s="46">
        <f t="shared" si="109"/>
        <v>856539</v>
      </c>
      <c r="AT108" s="46">
        <f t="shared" si="110"/>
        <v>83154</v>
      </c>
      <c r="AU108" s="46">
        <f t="shared" si="111"/>
        <v>-57165</v>
      </c>
      <c r="AV108" s="46">
        <v>0</v>
      </c>
      <c r="AW108" s="46">
        <f t="shared" si="112"/>
        <v>882528</v>
      </c>
      <c r="AX108" s="46">
        <f t="shared" si="113"/>
        <v>0</v>
      </c>
      <c r="AY108" s="46">
        <f t="shared" si="114"/>
        <v>282928</v>
      </c>
      <c r="AZ108" s="46">
        <f t="shared" si="115"/>
        <v>0</v>
      </c>
      <c r="BA108" s="46">
        <f t="shared" si="116"/>
        <v>205130</v>
      </c>
      <c r="BB108" s="46"/>
      <c r="BC108" s="46">
        <f t="shared" si="117"/>
        <v>488058</v>
      </c>
      <c r="BD108" s="46">
        <f t="shared" si="118"/>
        <v>205130</v>
      </c>
      <c r="BE108" s="46">
        <f t="shared" si="119"/>
        <v>547711</v>
      </c>
      <c r="BF108" s="46">
        <f t="shared" si="120"/>
        <v>20385</v>
      </c>
      <c r="BG108" s="46">
        <f t="shared" si="121"/>
        <v>0</v>
      </c>
      <c r="BH108" s="46">
        <v>0</v>
      </c>
      <c r="BI108" s="46">
        <f t="shared" si="122"/>
        <v>568096</v>
      </c>
      <c r="BJ108" s="46">
        <f t="shared" si="123"/>
        <v>205130</v>
      </c>
      <c r="BK108" s="46">
        <f t="shared" si="124"/>
        <v>1155646</v>
      </c>
      <c r="BL108" s="46">
        <f t="shared" si="125"/>
        <v>0</v>
      </c>
      <c r="BM108" s="46">
        <f t="shared" si="126"/>
        <v>-205130</v>
      </c>
      <c r="BN108" s="46">
        <v>0</v>
      </c>
      <c r="BO108" s="46">
        <f t="shared" si="127"/>
        <v>950516</v>
      </c>
      <c r="BP108" s="46">
        <f t="shared" si="128"/>
        <v>0</v>
      </c>
      <c r="BQ108" s="46">
        <f t="shared" si="129"/>
        <v>428910</v>
      </c>
      <c r="BR108" s="46">
        <f t="shared" si="130"/>
        <v>0</v>
      </c>
      <c r="BS108" s="46">
        <f t="shared" si="131"/>
        <v>59148</v>
      </c>
      <c r="BT108" s="46">
        <v>0</v>
      </c>
      <c r="BU108" s="46">
        <f t="shared" si="132"/>
        <v>488058</v>
      </c>
      <c r="BV108" s="46">
        <f t="shared" si="133"/>
        <v>59148</v>
      </c>
      <c r="BW108" s="46">
        <f t="shared" si="134"/>
        <v>821909</v>
      </c>
      <c r="BX108" s="46">
        <f t="shared" si="135"/>
        <v>133980</v>
      </c>
      <c r="BY108" s="46">
        <f t="shared" si="136"/>
        <v>-59148</v>
      </c>
      <c r="BZ108" s="46">
        <v>0</v>
      </c>
      <c r="CA108" s="46">
        <f t="shared" si="137"/>
        <v>896741</v>
      </c>
      <c r="CB108" s="46">
        <f t="shared" si="138"/>
        <v>0</v>
      </c>
      <c r="CC108" s="155">
        <f t="shared" si="141"/>
        <v>0</v>
      </c>
      <c r="CD108" s="79" t="s">
        <v>538</v>
      </c>
      <c r="CE108" s="65">
        <f t="shared" si="142"/>
        <v>488058</v>
      </c>
      <c r="CF108" s="65">
        <f t="shared" si="143"/>
        <v>488058</v>
      </c>
      <c r="CG108" s="65">
        <f t="shared" si="144"/>
        <v>470811</v>
      </c>
      <c r="CH108" s="65">
        <f t="shared" si="145"/>
        <v>488058</v>
      </c>
      <c r="CI108" s="65">
        <f t="shared" si="146"/>
        <v>1456697</v>
      </c>
      <c r="CJ108" s="65">
        <f t="shared" si="147"/>
        <v>502288</v>
      </c>
      <c r="CK108" s="65">
        <f t="shared" si="148"/>
        <v>882528</v>
      </c>
      <c r="CL108" s="65">
        <f t="shared" si="149"/>
        <v>488058</v>
      </c>
      <c r="CM108" s="65">
        <f t="shared" si="150"/>
        <v>568096</v>
      </c>
      <c r="CN108" s="65">
        <f t="shared" si="151"/>
        <v>950516</v>
      </c>
      <c r="CO108" s="65">
        <f t="shared" si="152"/>
        <v>488058</v>
      </c>
      <c r="CP108" s="65">
        <f t="shared" si="153"/>
        <v>896741</v>
      </c>
      <c r="CQ108" s="40" t="s">
        <v>538</v>
      </c>
    </row>
    <row r="109" spans="1:95" ht="3" customHeight="1" x14ac:dyDescent="0.25">
      <c r="A109" s="39">
        <v>1</v>
      </c>
      <c r="B109" s="28">
        <v>6302</v>
      </c>
      <c r="C109" s="28" t="s">
        <v>386</v>
      </c>
      <c r="D109" s="48">
        <f>+DATA!Q107</f>
        <v>3167179.4739999999</v>
      </c>
      <c r="E109" s="48">
        <f t="shared" si="139"/>
        <v>208506</v>
      </c>
      <c r="F109" s="48">
        <f t="shared" si="140"/>
        <v>316718</v>
      </c>
      <c r="G109" s="49">
        <f>VLOOKUP(B109,'CALC MEC ESTAB Y ESTIM M FINAL'!$B$7:$F$352,5,0)</f>
        <v>1.8415178653E-3</v>
      </c>
      <c r="H109" s="49">
        <f>VLOOKUP(B109,'CALC MEC ESTAB Y ESTIM M FINAL'!$B$7:$R$352,17,0)</f>
        <v>-1.785015923E-4</v>
      </c>
      <c r="I109" s="46">
        <f t="shared" si="79"/>
        <v>137119</v>
      </c>
      <c r="J109" s="46">
        <f t="shared" si="80"/>
        <v>0</v>
      </c>
      <c r="K109" s="46">
        <f t="shared" si="81"/>
        <v>71387</v>
      </c>
      <c r="L109" s="46">
        <v>0</v>
      </c>
      <c r="M109" s="46">
        <f t="shared" si="82"/>
        <v>208506</v>
      </c>
      <c r="N109" s="46">
        <f t="shared" si="83"/>
        <v>71387</v>
      </c>
      <c r="O109" s="46">
        <f t="shared" si="84"/>
        <v>72915</v>
      </c>
      <c r="P109" s="46">
        <f t="shared" si="85"/>
        <v>0</v>
      </c>
      <c r="Q109" s="46">
        <f t="shared" si="86"/>
        <v>135591</v>
      </c>
      <c r="R109" s="46">
        <v>0</v>
      </c>
      <c r="S109" s="46">
        <f t="shared" si="87"/>
        <v>208506</v>
      </c>
      <c r="T109" s="46">
        <f t="shared" si="88"/>
        <v>206978</v>
      </c>
      <c r="U109" s="46">
        <f t="shared" si="89"/>
        <v>208011</v>
      </c>
      <c r="V109" s="46">
        <f t="shared" si="90"/>
        <v>0</v>
      </c>
      <c r="W109" s="46">
        <f t="shared" si="91"/>
        <v>0</v>
      </c>
      <c r="X109" s="46">
        <v>0</v>
      </c>
      <c r="Y109" s="46">
        <f t="shared" si="92"/>
        <v>208011</v>
      </c>
      <c r="Z109" s="46">
        <f t="shared" si="93"/>
        <v>206978</v>
      </c>
      <c r="AA109" s="46">
        <f t="shared" si="94"/>
        <v>110451</v>
      </c>
      <c r="AB109" s="46">
        <f t="shared" si="95"/>
        <v>0</v>
      </c>
      <c r="AC109" s="46">
        <f t="shared" si="96"/>
        <v>98055</v>
      </c>
      <c r="AD109" s="46">
        <v>0</v>
      </c>
      <c r="AE109" s="46">
        <f t="shared" si="97"/>
        <v>208506</v>
      </c>
      <c r="AF109" s="46">
        <f t="shared" si="98"/>
        <v>305033</v>
      </c>
      <c r="AG109" s="46">
        <f t="shared" si="99"/>
        <v>961128</v>
      </c>
      <c r="AH109" s="46">
        <f t="shared" si="100"/>
        <v>8871</v>
      </c>
      <c r="AI109" s="46">
        <f t="shared" si="101"/>
        <v>-305033</v>
      </c>
      <c r="AJ109" s="46">
        <v>0</v>
      </c>
      <c r="AK109" s="46">
        <f t="shared" si="102"/>
        <v>664966</v>
      </c>
      <c r="AL109" s="46">
        <f t="shared" si="103"/>
        <v>0</v>
      </c>
      <c r="AM109" s="46">
        <f t="shared" si="104"/>
        <v>190375</v>
      </c>
      <c r="AN109" s="46">
        <f t="shared" si="105"/>
        <v>6287</v>
      </c>
      <c r="AO109" s="46">
        <f t="shared" si="106"/>
        <v>18131</v>
      </c>
      <c r="AP109" s="46">
        <v>0</v>
      </c>
      <c r="AQ109" s="46">
        <f t="shared" si="107"/>
        <v>214793</v>
      </c>
      <c r="AR109" s="46">
        <f t="shared" si="108"/>
        <v>18131</v>
      </c>
      <c r="AS109" s="46">
        <f t="shared" si="109"/>
        <v>378431</v>
      </c>
      <c r="AT109" s="46">
        <f t="shared" si="110"/>
        <v>36739</v>
      </c>
      <c r="AU109" s="46">
        <f t="shared" si="111"/>
        <v>-18131</v>
      </c>
      <c r="AV109" s="46">
        <v>0</v>
      </c>
      <c r="AW109" s="46">
        <f t="shared" si="112"/>
        <v>397039</v>
      </c>
      <c r="AX109" s="46">
        <f t="shared" si="113"/>
        <v>0</v>
      </c>
      <c r="AY109" s="46">
        <f t="shared" si="114"/>
        <v>125002</v>
      </c>
      <c r="AZ109" s="46">
        <f t="shared" si="115"/>
        <v>0</v>
      </c>
      <c r="BA109" s="46">
        <f t="shared" si="116"/>
        <v>83504</v>
      </c>
      <c r="BB109" s="46"/>
      <c r="BC109" s="46">
        <f t="shared" si="117"/>
        <v>208506</v>
      </c>
      <c r="BD109" s="46">
        <f t="shared" si="118"/>
        <v>83504</v>
      </c>
      <c r="BE109" s="46">
        <f t="shared" si="119"/>
        <v>241987</v>
      </c>
      <c r="BF109" s="46">
        <f t="shared" si="120"/>
        <v>9007</v>
      </c>
      <c r="BG109" s="46">
        <f t="shared" si="121"/>
        <v>0</v>
      </c>
      <c r="BH109" s="46">
        <v>0</v>
      </c>
      <c r="BI109" s="46">
        <f t="shared" si="122"/>
        <v>250994</v>
      </c>
      <c r="BJ109" s="46">
        <f t="shared" si="123"/>
        <v>83504</v>
      </c>
      <c r="BK109" s="46">
        <f t="shared" si="124"/>
        <v>510581</v>
      </c>
      <c r="BL109" s="46">
        <f t="shared" si="125"/>
        <v>0</v>
      </c>
      <c r="BM109" s="46">
        <f t="shared" si="126"/>
        <v>-83504</v>
      </c>
      <c r="BN109" s="46">
        <v>0</v>
      </c>
      <c r="BO109" s="46">
        <f t="shared" si="127"/>
        <v>427077</v>
      </c>
      <c r="BP109" s="46">
        <f t="shared" si="128"/>
        <v>0</v>
      </c>
      <c r="BQ109" s="46">
        <f t="shared" si="129"/>
        <v>189499</v>
      </c>
      <c r="BR109" s="46">
        <f t="shared" si="130"/>
        <v>0</v>
      </c>
      <c r="BS109" s="46">
        <f t="shared" si="131"/>
        <v>19007</v>
      </c>
      <c r="BT109" s="46">
        <v>0</v>
      </c>
      <c r="BU109" s="46">
        <f t="shared" si="132"/>
        <v>208506</v>
      </c>
      <c r="BV109" s="46">
        <f t="shared" si="133"/>
        <v>19007</v>
      </c>
      <c r="BW109" s="46">
        <f t="shared" si="134"/>
        <v>363132</v>
      </c>
      <c r="BX109" s="46">
        <f t="shared" si="135"/>
        <v>59194</v>
      </c>
      <c r="BY109" s="46">
        <f t="shared" si="136"/>
        <v>-19007</v>
      </c>
      <c r="BZ109" s="46">
        <v>0</v>
      </c>
      <c r="CA109" s="46">
        <f t="shared" si="137"/>
        <v>403319</v>
      </c>
      <c r="CB109" s="46">
        <f t="shared" si="138"/>
        <v>0</v>
      </c>
      <c r="CC109" s="155">
        <f t="shared" si="141"/>
        <v>0</v>
      </c>
      <c r="CD109" s="79" t="s">
        <v>538</v>
      </c>
      <c r="CE109" s="65">
        <f t="shared" si="142"/>
        <v>208506</v>
      </c>
      <c r="CF109" s="65">
        <f t="shared" si="143"/>
        <v>208506</v>
      </c>
      <c r="CG109" s="65">
        <f t="shared" si="144"/>
        <v>208011</v>
      </c>
      <c r="CH109" s="65">
        <f t="shared" si="145"/>
        <v>208506</v>
      </c>
      <c r="CI109" s="65">
        <f t="shared" si="146"/>
        <v>664966</v>
      </c>
      <c r="CJ109" s="65">
        <f t="shared" si="147"/>
        <v>214793</v>
      </c>
      <c r="CK109" s="65">
        <f t="shared" si="148"/>
        <v>397039</v>
      </c>
      <c r="CL109" s="65">
        <f t="shared" si="149"/>
        <v>208506</v>
      </c>
      <c r="CM109" s="65">
        <f t="shared" si="150"/>
        <v>250994</v>
      </c>
      <c r="CN109" s="65">
        <f t="shared" si="151"/>
        <v>427077</v>
      </c>
      <c r="CO109" s="65">
        <f t="shared" si="152"/>
        <v>208506</v>
      </c>
      <c r="CP109" s="65">
        <f t="shared" si="153"/>
        <v>403319</v>
      </c>
      <c r="CQ109" s="40" t="s">
        <v>538</v>
      </c>
    </row>
    <row r="110" spans="1:95" ht="3" customHeight="1" x14ac:dyDescent="0.25">
      <c r="A110" s="39">
        <v>1</v>
      </c>
      <c r="B110" s="28">
        <v>6303</v>
      </c>
      <c r="C110" s="28" t="s">
        <v>134</v>
      </c>
      <c r="D110" s="48">
        <f>+DATA!Q108</f>
        <v>5815353.6840000004</v>
      </c>
      <c r="E110" s="48">
        <f t="shared" si="139"/>
        <v>382844</v>
      </c>
      <c r="F110" s="48">
        <f t="shared" si="140"/>
        <v>581535</v>
      </c>
      <c r="G110" s="49">
        <f>VLOOKUP(B110,'CALC MEC ESTAB Y ESTIM M FINAL'!$B$7:$F$352,5,0)</f>
        <v>3.2989639376000001E-3</v>
      </c>
      <c r="H110" s="49">
        <f>VLOOKUP(B110,'CALC MEC ESTAB Y ESTIM M FINAL'!$B$7:$R$352,17,0)</f>
        <v>-2.8248729940000001E-4</v>
      </c>
      <c r="I110" s="46">
        <f t="shared" si="79"/>
        <v>248715</v>
      </c>
      <c r="J110" s="46">
        <f t="shared" si="80"/>
        <v>0</v>
      </c>
      <c r="K110" s="46">
        <f t="shared" si="81"/>
        <v>134129</v>
      </c>
      <c r="L110" s="46">
        <v>0</v>
      </c>
      <c r="M110" s="46">
        <f t="shared" si="82"/>
        <v>382844</v>
      </c>
      <c r="N110" s="46">
        <f t="shared" si="83"/>
        <v>134129</v>
      </c>
      <c r="O110" s="46">
        <f t="shared" si="84"/>
        <v>132258</v>
      </c>
      <c r="P110" s="46">
        <f t="shared" si="85"/>
        <v>0</v>
      </c>
      <c r="Q110" s="46">
        <f t="shared" si="86"/>
        <v>250586</v>
      </c>
      <c r="R110" s="46">
        <v>0</v>
      </c>
      <c r="S110" s="46">
        <f t="shared" si="87"/>
        <v>382844</v>
      </c>
      <c r="T110" s="46">
        <f t="shared" si="88"/>
        <v>384715</v>
      </c>
      <c r="U110" s="46">
        <f t="shared" si="89"/>
        <v>377303</v>
      </c>
      <c r="V110" s="46">
        <f t="shared" si="90"/>
        <v>0</v>
      </c>
      <c r="W110" s="46">
        <f t="shared" si="91"/>
        <v>0</v>
      </c>
      <c r="X110" s="46">
        <v>0</v>
      </c>
      <c r="Y110" s="46">
        <f t="shared" si="92"/>
        <v>377303</v>
      </c>
      <c r="Z110" s="46">
        <f t="shared" si="93"/>
        <v>384715</v>
      </c>
      <c r="AA110" s="46">
        <f t="shared" si="94"/>
        <v>200342</v>
      </c>
      <c r="AB110" s="46">
        <f t="shared" si="95"/>
        <v>0</v>
      </c>
      <c r="AC110" s="46">
        <f t="shared" si="96"/>
        <v>182502</v>
      </c>
      <c r="AD110" s="46">
        <v>0</v>
      </c>
      <c r="AE110" s="46">
        <f t="shared" si="97"/>
        <v>382844</v>
      </c>
      <c r="AF110" s="46">
        <f t="shared" si="98"/>
        <v>567217</v>
      </c>
      <c r="AG110" s="46">
        <f t="shared" si="99"/>
        <v>1743350</v>
      </c>
      <c r="AH110" s="46">
        <f t="shared" si="100"/>
        <v>16091</v>
      </c>
      <c r="AI110" s="46">
        <f t="shared" si="101"/>
        <v>-567217</v>
      </c>
      <c r="AJ110" s="46">
        <v>0</v>
      </c>
      <c r="AK110" s="46">
        <f t="shared" si="102"/>
        <v>1192224</v>
      </c>
      <c r="AL110" s="46">
        <f t="shared" si="103"/>
        <v>0</v>
      </c>
      <c r="AM110" s="46">
        <f t="shared" si="104"/>
        <v>345313</v>
      </c>
      <c r="AN110" s="46">
        <f t="shared" si="105"/>
        <v>11404</v>
      </c>
      <c r="AO110" s="46">
        <f t="shared" si="106"/>
        <v>37531</v>
      </c>
      <c r="AP110" s="46">
        <v>0</v>
      </c>
      <c r="AQ110" s="46">
        <f t="shared" si="107"/>
        <v>394248</v>
      </c>
      <c r="AR110" s="46">
        <f t="shared" si="108"/>
        <v>37531</v>
      </c>
      <c r="AS110" s="46">
        <f t="shared" si="109"/>
        <v>686421</v>
      </c>
      <c r="AT110" s="46">
        <f t="shared" si="110"/>
        <v>66639</v>
      </c>
      <c r="AU110" s="46">
        <f t="shared" si="111"/>
        <v>-37531</v>
      </c>
      <c r="AV110" s="46">
        <v>0</v>
      </c>
      <c r="AW110" s="46">
        <f t="shared" si="112"/>
        <v>715529</v>
      </c>
      <c r="AX110" s="46">
        <f t="shared" si="113"/>
        <v>0</v>
      </c>
      <c r="AY110" s="46">
        <f t="shared" si="114"/>
        <v>226735</v>
      </c>
      <c r="AZ110" s="46">
        <f t="shared" si="115"/>
        <v>0</v>
      </c>
      <c r="BA110" s="46">
        <f t="shared" si="116"/>
        <v>156109</v>
      </c>
      <c r="BB110" s="46"/>
      <c r="BC110" s="46">
        <f t="shared" si="117"/>
        <v>382844</v>
      </c>
      <c r="BD110" s="46">
        <f t="shared" si="118"/>
        <v>156109</v>
      </c>
      <c r="BE110" s="46">
        <f t="shared" si="119"/>
        <v>438930</v>
      </c>
      <c r="BF110" s="46">
        <f t="shared" si="120"/>
        <v>16337</v>
      </c>
      <c r="BG110" s="46">
        <f t="shared" si="121"/>
        <v>0</v>
      </c>
      <c r="BH110" s="46">
        <v>0</v>
      </c>
      <c r="BI110" s="46">
        <f t="shared" si="122"/>
        <v>455267</v>
      </c>
      <c r="BJ110" s="46">
        <f t="shared" si="123"/>
        <v>156109</v>
      </c>
      <c r="BK110" s="46">
        <f t="shared" si="124"/>
        <v>926123</v>
      </c>
      <c r="BL110" s="46">
        <f t="shared" si="125"/>
        <v>0</v>
      </c>
      <c r="BM110" s="46">
        <f t="shared" si="126"/>
        <v>-156109</v>
      </c>
      <c r="BN110" s="46">
        <v>0</v>
      </c>
      <c r="BO110" s="46">
        <f t="shared" si="127"/>
        <v>770014</v>
      </c>
      <c r="BP110" s="46">
        <f t="shared" si="128"/>
        <v>0</v>
      </c>
      <c r="BQ110" s="46">
        <f t="shared" si="129"/>
        <v>343724</v>
      </c>
      <c r="BR110" s="46">
        <f t="shared" si="130"/>
        <v>0</v>
      </c>
      <c r="BS110" s="46">
        <f t="shared" si="131"/>
        <v>39120</v>
      </c>
      <c r="BT110" s="46">
        <v>0</v>
      </c>
      <c r="BU110" s="46">
        <f t="shared" si="132"/>
        <v>382844</v>
      </c>
      <c r="BV110" s="46">
        <f t="shared" si="133"/>
        <v>39120</v>
      </c>
      <c r="BW110" s="46">
        <f t="shared" si="134"/>
        <v>658670</v>
      </c>
      <c r="BX110" s="46">
        <f t="shared" si="135"/>
        <v>107370</v>
      </c>
      <c r="BY110" s="46">
        <f t="shared" si="136"/>
        <v>-39120</v>
      </c>
      <c r="BZ110" s="46">
        <v>0</v>
      </c>
      <c r="CA110" s="46">
        <f t="shared" si="137"/>
        <v>726920</v>
      </c>
      <c r="CB110" s="46">
        <f t="shared" si="138"/>
        <v>0</v>
      </c>
      <c r="CC110" s="155">
        <f t="shared" si="141"/>
        <v>0</v>
      </c>
      <c r="CD110" s="79" t="s">
        <v>538</v>
      </c>
      <c r="CE110" s="65">
        <f t="shared" si="142"/>
        <v>382844</v>
      </c>
      <c r="CF110" s="65">
        <f t="shared" si="143"/>
        <v>382844</v>
      </c>
      <c r="CG110" s="65">
        <f t="shared" si="144"/>
        <v>377303</v>
      </c>
      <c r="CH110" s="65">
        <f t="shared" si="145"/>
        <v>382844</v>
      </c>
      <c r="CI110" s="65">
        <f t="shared" si="146"/>
        <v>1192224</v>
      </c>
      <c r="CJ110" s="65">
        <f t="shared" si="147"/>
        <v>394248</v>
      </c>
      <c r="CK110" s="65">
        <f t="shared" si="148"/>
        <v>715529</v>
      </c>
      <c r="CL110" s="65">
        <f t="shared" si="149"/>
        <v>382844</v>
      </c>
      <c r="CM110" s="65">
        <f t="shared" si="150"/>
        <v>455267</v>
      </c>
      <c r="CN110" s="65">
        <f t="shared" si="151"/>
        <v>770014</v>
      </c>
      <c r="CO110" s="65">
        <f t="shared" si="152"/>
        <v>382844</v>
      </c>
      <c r="CP110" s="65">
        <f t="shared" si="153"/>
        <v>726920</v>
      </c>
      <c r="CQ110" s="40" t="s">
        <v>538</v>
      </c>
    </row>
    <row r="111" spans="1:95" ht="3" customHeight="1" x14ac:dyDescent="0.25">
      <c r="A111" s="39">
        <v>1</v>
      </c>
      <c r="B111" s="28">
        <v>6304</v>
      </c>
      <c r="C111" s="28" t="s">
        <v>138</v>
      </c>
      <c r="D111" s="48">
        <f>+DATA!Q109</f>
        <v>1863535.862</v>
      </c>
      <c r="E111" s="48">
        <f t="shared" si="139"/>
        <v>122683</v>
      </c>
      <c r="F111" s="48">
        <f t="shared" si="140"/>
        <v>186354</v>
      </c>
      <c r="G111" s="49">
        <f>VLOOKUP(B111,'CALC MEC ESTAB Y ESTIM M FINAL'!$B$7:$F$352,5,0)</f>
        <v>9.8639088509999999E-4</v>
      </c>
      <c r="H111" s="49">
        <f>VLOOKUP(B111,'CALC MEC ESTAB Y ESTIM M FINAL'!$B$7:$R$352,17,0)</f>
        <v>-5.1870776099999997E-5</v>
      </c>
      <c r="I111" s="46">
        <f t="shared" si="79"/>
        <v>77053</v>
      </c>
      <c r="J111" s="46">
        <f t="shared" si="80"/>
        <v>0</v>
      </c>
      <c r="K111" s="46">
        <f t="shared" si="81"/>
        <v>45630</v>
      </c>
      <c r="L111" s="46">
        <v>0</v>
      </c>
      <c r="M111" s="46">
        <f t="shared" si="82"/>
        <v>122683</v>
      </c>
      <c r="N111" s="46">
        <f t="shared" si="83"/>
        <v>45630</v>
      </c>
      <c r="O111" s="46">
        <f t="shared" si="84"/>
        <v>40974</v>
      </c>
      <c r="P111" s="46">
        <f t="shared" si="85"/>
        <v>0</v>
      </c>
      <c r="Q111" s="46">
        <f t="shared" si="86"/>
        <v>81709</v>
      </c>
      <c r="R111" s="46">
        <v>0</v>
      </c>
      <c r="S111" s="46">
        <f t="shared" si="87"/>
        <v>122683</v>
      </c>
      <c r="T111" s="46">
        <f t="shared" si="88"/>
        <v>127339</v>
      </c>
      <c r="U111" s="46">
        <f t="shared" si="89"/>
        <v>116890</v>
      </c>
      <c r="V111" s="46">
        <f t="shared" si="90"/>
        <v>0</v>
      </c>
      <c r="W111" s="46">
        <f t="shared" si="91"/>
        <v>0</v>
      </c>
      <c r="X111" s="46">
        <v>0</v>
      </c>
      <c r="Y111" s="46">
        <f t="shared" si="92"/>
        <v>116890</v>
      </c>
      <c r="Z111" s="46">
        <f t="shared" si="93"/>
        <v>127339</v>
      </c>
      <c r="AA111" s="46">
        <f t="shared" si="94"/>
        <v>62067</v>
      </c>
      <c r="AB111" s="46">
        <f t="shared" si="95"/>
        <v>0</v>
      </c>
      <c r="AC111" s="46">
        <f t="shared" si="96"/>
        <v>60616</v>
      </c>
      <c r="AD111" s="46">
        <v>0</v>
      </c>
      <c r="AE111" s="46">
        <f t="shared" si="97"/>
        <v>122683</v>
      </c>
      <c r="AF111" s="46">
        <f t="shared" si="98"/>
        <v>187955</v>
      </c>
      <c r="AG111" s="46">
        <f t="shared" si="99"/>
        <v>540099</v>
      </c>
      <c r="AH111" s="46">
        <f t="shared" si="100"/>
        <v>4985</v>
      </c>
      <c r="AI111" s="46">
        <f t="shared" si="101"/>
        <v>-187955</v>
      </c>
      <c r="AJ111" s="46">
        <v>0</v>
      </c>
      <c r="AK111" s="46">
        <f t="shared" si="102"/>
        <v>357129</v>
      </c>
      <c r="AL111" s="46">
        <f t="shared" si="103"/>
        <v>0</v>
      </c>
      <c r="AM111" s="46">
        <f t="shared" si="104"/>
        <v>106980</v>
      </c>
      <c r="AN111" s="46">
        <f t="shared" si="105"/>
        <v>3533</v>
      </c>
      <c r="AO111" s="46">
        <f t="shared" si="106"/>
        <v>15703</v>
      </c>
      <c r="AP111" s="46">
        <v>0</v>
      </c>
      <c r="AQ111" s="46">
        <f t="shared" si="107"/>
        <v>126216</v>
      </c>
      <c r="AR111" s="46">
        <f t="shared" si="108"/>
        <v>15703</v>
      </c>
      <c r="AS111" s="46">
        <f t="shared" si="109"/>
        <v>212657</v>
      </c>
      <c r="AT111" s="46">
        <f t="shared" si="110"/>
        <v>20645</v>
      </c>
      <c r="AU111" s="46">
        <f t="shared" si="111"/>
        <v>-15703</v>
      </c>
      <c r="AV111" s="46">
        <v>0</v>
      </c>
      <c r="AW111" s="46">
        <f t="shared" si="112"/>
        <v>217599</v>
      </c>
      <c r="AX111" s="46">
        <f t="shared" si="113"/>
        <v>0</v>
      </c>
      <c r="AY111" s="46">
        <f t="shared" si="114"/>
        <v>70244</v>
      </c>
      <c r="AZ111" s="46">
        <f t="shared" si="115"/>
        <v>0</v>
      </c>
      <c r="BA111" s="46">
        <f t="shared" si="116"/>
        <v>52439</v>
      </c>
      <c r="BB111" s="46"/>
      <c r="BC111" s="46">
        <f t="shared" si="117"/>
        <v>122683</v>
      </c>
      <c r="BD111" s="46">
        <f t="shared" si="118"/>
        <v>52439</v>
      </c>
      <c r="BE111" s="46">
        <f t="shared" si="119"/>
        <v>135983</v>
      </c>
      <c r="BF111" s="46">
        <f t="shared" si="120"/>
        <v>5061</v>
      </c>
      <c r="BG111" s="46">
        <f t="shared" si="121"/>
        <v>0</v>
      </c>
      <c r="BH111" s="46">
        <v>0</v>
      </c>
      <c r="BI111" s="46">
        <f t="shared" si="122"/>
        <v>141044</v>
      </c>
      <c r="BJ111" s="46">
        <f t="shared" si="123"/>
        <v>52439</v>
      </c>
      <c r="BK111" s="46">
        <f t="shared" si="124"/>
        <v>286918</v>
      </c>
      <c r="BL111" s="46">
        <f t="shared" si="125"/>
        <v>0</v>
      </c>
      <c r="BM111" s="46">
        <f t="shared" si="126"/>
        <v>-52439</v>
      </c>
      <c r="BN111" s="46">
        <v>0</v>
      </c>
      <c r="BO111" s="46">
        <f t="shared" si="127"/>
        <v>234479</v>
      </c>
      <c r="BP111" s="46">
        <f t="shared" si="128"/>
        <v>0</v>
      </c>
      <c r="BQ111" s="46">
        <f t="shared" si="129"/>
        <v>106487</v>
      </c>
      <c r="BR111" s="46">
        <f t="shared" si="130"/>
        <v>0</v>
      </c>
      <c r="BS111" s="46">
        <f t="shared" si="131"/>
        <v>16196</v>
      </c>
      <c r="BT111" s="46">
        <v>0</v>
      </c>
      <c r="BU111" s="46">
        <f t="shared" si="132"/>
        <v>122683</v>
      </c>
      <c r="BV111" s="46">
        <f t="shared" si="133"/>
        <v>16196</v>
      </c>
      <c r="BW111" s="46">
        <f t="shared" si="134"/>
        <v>204059</v>
      </c>
      <c r="BX111" s="46">
        <f t="shared" si="135"/>
        <v>33264</v>
      </c>
      <c r="BY111" s="46">
        <f t="shared" si="136"/>
        <v>-16196</v>
      </c>
      <c r="BZ111" s="46">
        <v>0</v>
      </c>
      <c r="CA111" s="46">
        <f t="shared" si="137"/>
        <v>221127</v>
      </c>
      <c r="CB111" s="46">
        <f t="shared" si="138"/>
        <v>0</v>
      </c>
      <c r="CC111" s="155">
        <f t="shared" si="141"/>
        <v>0</v>
      </c>
      <c r="CD111" s="79" t="s">
        <v>538</v>
      </c>
      <c r="CE111" s="65">
        <f t="shared" si="142"/>
        <v>122683</v>
      </c>
      <c r="CF111" s="65">
        <f t="shared" si="143"/>
        <v>122683</v>
      </c>
      <c r="CG111" s="65">
        <f t="shared" si="144"/>
        <v>116890</v>
      </c>
      <c r="CH111" s="65">
        <f t="shared" si="145"/>
        <v>122683</v>
      </c>
      <c r="CI111" s="65">
        <f t="shared" si="146"/>
        <v>357129</v>
      </c>
      <c r="CJ111" s="65">
        <f t="shared" si="147"/>
        <v>126216</v>
      </c>
      <c r="CK111" s="65">
        <f t="shared" si="148"/>
        <v>217599</v>
      </c>
      <c r="CL111" s="65">
        <f t="shared" si="149"/>
        <v>122683</v>
      </c>
      <c r="CM111" s="65">
        <f t="shared" si="150"/>
        <v>141044</v>
      </c>
      <c r="CN111" s="65">
        <f t="shared" si="151"/>
        <v>234479</v>
      </c>
      <c r="CO111" s="65">
        <f t="shared" si="152"/>
        <v>122683</v>
      </c>
      <c r="CP111" s="65">
        <f t="shared" si="153"/>
        <v>221127</v>
      </c>
      <c r="CQ111" s="40" t="s">
        <v>538</v>
      </c>
    </row>
    <row r="112" spans="1:95" ht="3" customHeight="1" x14ac:dyDescent="0.25">
      <c r="A112" s="39">
        <v>1</v>
      </c>
      <c r="B112" s="28">
        <v>6305</v>
      </c>
      <c r="C112" s="28" t="s">
        <v>135</v>
      </c>
      <c r="D112" s="48">
        <f>+DATA!Q110</f>
        <v>3021540.5809999998</v>
      </c>
      <c r="E112" s="48">
        <f t="shared" si="139"/>
        <v>198918</v>
      </c>
      <c r="F112" s="48">
        <f t="shared" si="140"/>
        <v>302154</v>
      </c>
      <c r="G112" s="49">
        <f>VLOOKUP(B112,'CALC MEC ESTAB Y ESTIM M FINAL'!$B$7:$F$352,5,0)</f>
        <v>1.6886186238E-3</v>
      </c>
      <c r="H112" s="49">
        <f>VLOOKUP(B112,'CALC MEC ESTAB Y ESTIM M FINAL'!$B$7:$R$352,17,0)</f>
        <v>-1.3293656750000001E-4</v>
      </c>
      <c r="I112" s="46">
        <f t="shared" si="79"/>
        <v>128269</v>
      </c>
      <c r="J112" s="46">
        <f t="shared" si="80"/>
        <v>0</v>
      </c>
      <c r="K112" s="46">
        <f t="shared" si="81"/>
        <v>70649</v>
      </c>
      <c r="L112" s="46">
        <v>0</v>
      </c>
      <c r="M112" s="46">
        <f t="shared" si="82"/>
        <v>198918</v>
      </c>
      <c r="N112" s="46">
        <f t="shared" si="83"/>
        <v>70649</v>
      </c>
      <c r="O112" s="46">
        <f t="shared" si="84"/>
        <v>68209</v>
      </c>
      <c r="P112" s="46">
        <f t="shared" si="85"/>
        <v>0</v>
      </c>
      <c r="Q112" s="46">
        <f t="shared" si="86"/>
        <v>130709</v>
      </c>
      <c r="R112" s="46">
        <v>0</v>
      </c>
      <c r="S112" s="46">
        <f t="shared" si="87"/>
        <v>198918</v>
      </c>
      <c r="T112" s="46">
        <f t="shared" si="88"/>
        <v>201358</v>
      </c>
      <c r="U112" s="46">
        <f t="shared" si="89"/>
        <v>194586</v>
      </c>
      <c r="V112" s="46">
        <f t="shared" si="90"/>
        <v>0</v>
      </c>
      <c r="W112" s="46">
        <f t="shared" si="91"/>
        <v>0</v>
      </c>
      <c r="X112" s="46">
        <v>0</v>
      </c>
      <c r="Y112" s="46">
        <f t="shared" si="92"/>
        <v>194586</v>
      </c>
      <c r="Z112" s="46">
        <f t="shared" si="93"/>
        <v>201358</v>
      </c>
      <c r="AA112" s="46">
        <f t="shared" si="94"/>
        <v>103322</v>
      </c>
      <c r="AB112" s="46">
        <f t="shared" si="95"/>
        <v>0</v>
      </c>
      <c r="AC112" s="46">
        <f t="shared" si="96"/>
        <v>95596</v>
      </c>
      <c r="AD112" s="46">
        <v>0</v>
      </c>
      <c r="AE112" s="46">
        <f t="shared" si="97"/>
        <v>198918</v>
      </c>
      <c r="AF112" s="46">
        <f t="shared" si="98"/>
        <v>296954</v>
      </c>
      <c r="AG112" s="46">
        <f t="shared" si="99"/>
        <v>899095</v>
      </c>
      <c r="AH112" s="46">
        <f t="shared" si="100"/>
        <v>8298</v>
      </c>
      <c r="AI112" s="46">
        <f t="shared" si="101"/>
        <v>-296954</v>
      </c>
      <c r="AJ112" s="46">
        <v>0</v>
      </c>
      <c r="AK112" s="46">
        <f t="shared" si="102"/>
        <v>610439</v>
      </c>
      <c r="AL112" s="46">
        <f t="shared" si="103"/>
        <v>0</v>
      </c>
      <c r="AM112" s="46">
        <f t="shared" si="104"/>
        <v>178088</v>
      </c>
      <c r="AN112" s="46">
        <f t="shared" si="105"/>
        <v>5881</v>
      </c>
      <c r="AO112" s="46">
        <f t="shared" si="106"/>
        <v>20830</v>
      </c>
      <c r="AP112" s="46">
        <v>0</v>
      </c>
      <c r="AQ112" s="46">
        <f t="shared" si="107"/>
        <v>204799</v>
      </c>
      <c r="AR112" s="46">
        <f t="shared" si="108"/>
        <v>20830</v>
      </c>
      <c r="AS112" s="46">
        <f t="shared" si="109"/>
        <v>354007</v>
      </c>
      <c r="AT112" s="46">
        <f t="shared" si="110"/>
        <v>34368</v>
      </c>
      <c r="AU112" s="46">
        <f t="shared" si="111"/>
        <v>-20830</v>
      </c>
      <c r="AV112" s="46">
        <v>0</v>
      </c>
      <c r="AW112" s="46">
        <f t="shared" si="112"/>
        <v>367545</v>
      </c>
      <c r="AX112" s="46">
        <f t="shared" si="113"/>
        <v>0</v>
      </c>
      <c r="AY112" s="46">
        <f t="shared" si="114"/>
        <v>116934</v>
      </c>
      <c r="AZ112" s="46">
        <f t="shared" si="115"/>
        <v>0</v>
      </c>
      <c r="BA112" s="46">
        <f t="shared" si="116"/>
        <v>81984</v>
      </c>
      <c r="BB112" s="46"/>
      <c r="BC112" s="46">
        <f t="shared" si="117"/>
        <v>198918</v>
      </c>
      <c r="BD112" s="46">
        <f t="shared" si="118"/>
        <v>81984</v>
      </c>
      <c r="BE112" s="46">
        <f t="shared" si="119"/>
        <v>226368</v>
      </c>
      <c r="BF112" s="46">
        <f t="shared" si="120"/>
        <v>8425</v>
      </c>
      <c r="BG112" s="46">
        <f t="shared" si="121"/>
        <v>0</v>
      </c>
      <c r="BH112" s="46">
        <v>0</v>
      </c>
      <c r="BI112" s="46">
        <f t="shared" si="122"/>
        <v>234793</v>
      </c>
      <c r="BJ112" s="46">
        <f t="shared" si="123"/>
        <v>81984</v>
      </c>
      <c r="BK112" s="46">
        <f t="shared" si="124"/>
        <v>477628</v>
      </c>
      <c r="BL112" s="46">
        <f t="shared" si="125"/>
        <v>0</v>
      </c>
      <c r="BM112" s="46">
        <f t="shared" si="126"/>
        <v>-81984</v>
      </c>
      <c r="BN112" s="46">
        <v>0</v>
      </c>
      <c r="BO112" s="46">
        <f t="shared" si="127"/>
        <v>395644</v>
      </c>
      <c r="BP112" s="46">
        <f t="shared" si="128"/>
        <v>0</v>
      </c>
      <c r="BQ112" s="46">
        <f t="shared" si="129"/>
        <v>177268</v>
      </c>
      <c r="BR112" s="46">
        <f t="shared" si="130"/>
        <v>0</v>
      </c>
      <c r="BS112" s="46">
        <f t="shared" si="131"/>
        <v>21650</v>
      </c>
      <c r="BT112" s="46">
        <v>0</v>
      </c>
      <c r="BU112" s="46">
        <f t="shared" si="132"/>
        <v>198918</v>
      </c>
      <c r="BV112" s="46">
        <f t="shared" si="133"/>
        <v>21650</v>
      </c>
      <c r="BW112" s="46">
        <f t="shared" si="134"/>
        <v>339695</v>
      </c>
      <c r="BX112" s="46">
        <f t="shared" si="135"/>
        <v>55374</v>
      </c>
      <c r="BY112" s="46">
        <f t="shared" si="136"/>
        <v>-21650</v>
      </c>
      <c r="BZ112" s="46">
        <v>0</v>
      </c>
      <c r="CA112" s="46">
        <f t="shared" si="137"/>
        <v>373419</v>
      </c>
      <c r="CB112" s="46">
        <f t="shared" si="138"/>
        <v>0</v>
      </c>
      <c r="CC112" s="155">
        <f t="shared" si="141"/>
        <v>0</v>
      </c>
      <c r="CD112" s="79" t="s">
        <v>538</v>
      </c>
      <c r="CE112" s="65">
        <f t="shared" si="142"/>
        <v>198918</v>
      </c>
      <c r="CF112" s="65">
        <f t="shared" si="143"/>
        <v>198918</v>
      </c>
      <c r="CG112" s="65">
        <f t="shared" si="144"/>
        <v>194586</v>
      </c>
      <c r="CH112" s="65">
        <f t="shared" si="145"/>
        <v>198918</v>
      </c>
      <c r="CI112" s="65">
        <f t="shared" si="146"/>
        <v>610439</v>
      </c>
      <c r="CJ112" s="65">
        <f t="shared" si="147"/>
        <v>204799</v>
      </c>
      <c r="CK112" s="65">
        <f t="shared" si="148"/>
        <v>367545</v>
      </c>
      <c r="CL112" s="65">
        <f t="shared" si="149"/>
        <v>198918</v>
      </c>
      <c r="CM112" s="65">
        <f t="shared" si="150"/>
        <v>234793</v>
      </c>
      <c r="CN112" s="65">
        <f t="shared" si="151"/>
        <v>395644</v>
      </c>
      <c r="CO112" s="65">
        <f t="shared" si="152"/>
        <v>198918</v>
      </c>
      <c r="CP112" s="65">
        <f t="shared" si="153"/>
        <v>373419</v>
      </c>
      <c r="CQ112" s="40" t="s">
        <v>538</v>
      </c>
    </row>
    <row r="113" spans="1:95" ht="3" customHeight="1" x14ac:dyDescent="0.25">
      <c r="A113" s="39">
        <v>1</v>
      </c>
      <c r="B113" s="28">
        <v>6306</v>
      </c>
      <c r="C113" s="28" t="s">
        <v>139</v>
      </c>
      <c r="D113" s="48">
        <f>+DATA!Q111</f>
        <v>1932980.6839999999</v>
      </c>
      <c r="E113" s="48">
        <f t="shared" si="139"/>
        <v>127255</v>
      </c>
      <c r="F113" s="48">
        <f t="shared" si="140"/>
        <v>193298</v>
      </c>
      <c r="G113" s="49">
        <f>VLOOKUP(B113,'CALC MEC ESTAB Y ESTIM M FINAL'!$B$7:$F$352,5,0)</f>
        <v>1.0309553058999998E-3</v>
      </c>
      <c r="H113" s="49">
        <f>VLOOKUP(B113,'CALC MEC ESTAB Y ESTIM M FINAL'!$B$7:$R$352,17,0)</f>
        <v>-5.80017786E-5</v>
      </c>
      <c r="I113" s="46">
        <f t="shared" si="79"/>
        <v>80222</v>
      </c>
      <c r="J113" s="46">
        <f t="shared" si="80"/>
        <v>0</v>
      </c>
      <c r="K113" s="46">
        <f t="shared" si="81"/>
        <v>47033</v>
      </c>
      <c r="L113" s="46">
        <v>0</v>
      </c>
      <c r="M113" s="46">
        <f t="shared" si="82"/>
        <v>127255</v>
      </c>
      <c r="N113" s="46">
        <f t="shared" si="83"/>
        <v>47033</v>
      </c>
      <c r="O113" s="46">
        <f t="shared" si="84"/>
        <v>42659</v>
      </c>
      <c r="P113" s="46">
        <f t="shared" si="85"/>
        <v>0</v>
      </c>
      <c r="Q113" s="46">
        <f t="shared" si="86"/>
        <v>84596</v>
      </c>
      <c r="R113" s="46">
        <v>0</v>
      </c>
      <c r="S113" s="46">
        <f t="shared" si="87"/>
        <v>127255</v>
      </c>
      <c r="T113" s="46">
        <f t="shared" si="88"/>
        <v>131629</v>
      </c>
      <c r="U113" s="46">
        <f t="shared" si="89"/>
        <v>121698</v>
      </c>
      <c r="V113" s="46">
        <f t="shared" si="90"/>
        <v>0</v>
      </c>
      <c r="W113" s="46">
        <f t="shared" si="91"/>
        <v>0</v>
      </c>
      <c r="X113" s="46">
        <v>0</v>
      </c>
      <c r="Y113" s="46">
        <f t="shared" si="92"/>
        <v>121698</v>
      </c>
      <c r="Z113" s="46">
        <f t="shared" si="93"/>
        <v>131629</v>
      </c>
      <c r="AA113" s="46">
        <f t="shared" si="94"/>
        <v>64620</v>
      </c>
      <c r="AB113" s="46">
        <f t="shared" si="95"/>
        <v>0</v>
      </c>
      <c r="AC113" s="46">
        <f t="shared" si="96"/>
        <v>62635</v>
      </c>
      <c r="AD113" s="46">
        <v>0</v>
      </c>
      <c r="AE113" s="46">
        <f t="shared" si="97"/>
        <v>127255</v>
      </c>
      <c r="AF113" s="46">
        <f t="shared" si="98"/>
        <v>194264</v>
      </c>
      <c r="AG113" s="46">
        <f t="shared" si="99"/>
        <v>562311</v>
      </c>
      <c r="AH113" s="46">
        <f t="shared" si="100"/>
        <v>5190</v>
      </c>
      <c r="AI113" s="46">
        <f t="shared" si="101"/>
        <v>-194264</v>
      </c>
      <c r="AJ113" s="46">
        <v>0</v>
      </c>
      <c r="AK113" s="46">
        <f t="shared" si="102"/>
        <v>373237</v>
      </c>
      <c r="AL113" s="46">
        <f t="shared" si="103"/>
        <v>0</v>
      </c>
      <c r="AM113" s="46">
        <f t="shared" si="104"/>
        <v>111380</v>
      </c>
      <c r="AN113" s="46">
        <f t="shared" si="105"/>
        <v>3678</v>
      </c>
      <c r="AO113" s="46">
        <f t="shared" si="106"/>
        <v>15875</v>
      </c>
      <c r="AP113" s="46">
        <v>0</v>
      </c>
      <c r="AQ113" s="46">
        <f t="shared" si="107"/>
        <v>130933</v>
      </c>
      <c r="AR113" s="46">
        <f t="shared" si="108"/>
        <v>15875</v>
      </c>
      <c r="AS113" s="46">
        <f t="shared" si="109"/>
        <v>221403</v>
      </c>
      <c r="AT113" s="46">
        <f t="shared" si="110"/>
        <v>21494</v>
      </c>
      <c r="AU113" s="46">
        <f t="shared" si="111"/>
        <v>-15875</v>
      </c>
      <c r="AV113" s="46">
        <v>0</v>
      </c>
      <c r="AW113" s="46">
        <f t="shared" si="112"/>
        <v>227022</v>
      </c>
      <c r="AX113" s="46">
        <f t="shared" si="113"/>
        <v>0</v>
      </c>
      <c r="AY113" s="46">
        <f t="shared" si="114"/>
        <v>73133</v>
      </c>
      <c r="AZ113" s="46">
        <f t="shared" si="115"/>
        <v>0</v>
      </c>
      <c r="BA113" s="46">
        <f t="shared" si="116"/>
        <v>54122</v>
      </c>
      <c r="BB113" s="46"/>
      <c r="BC113" s="46">
        <f t="shared" si="117"/>
        <v>127255</v>
      </c>
      <c r="BD113" s="46">
        <f t="shared" si="118"/>
        <v>54122</v>
      </c>
      <c r="BE113" s="46">
        <f t="shared" si="119"/>
        <v>141575</v>
      </c>
      <c r="BF113" s="46">
        <f t="shared" si="120"/>
        <v>5269</v>
      </c>
      <c r="BG113" s="46">
        <f t="shared" si="121"/>
        <v>0</v>
      </c>
      <c r="BH113" s="46">
        <v>0</v>
      </c>
      <c r="BI113" s="46">
        <f t="shared" si="122"/>
        <v>146844</v>
      </c>
      <c r="BJ113" s="46">
        <f t="shared" si="123"/>
        <v>54122</v>
      </c>
      <c r="BK113" s="46">
        <f t="shared" si="124"/>
        <v>298717</v>
      </c>
      <c r="BL113" s="46">
        <f t="shared" si="125"/>
        <v>0</v>
      </c>
      <c r="BM113" s="46">
        <f t="shared" si="126"/>
        <v>-54122</v>
      </c>
      <c r="BN113" s="46">
        <v>0</v>
      </c>
      <c r="BO113" s="46">
        <f t="shared" si="127"/>
        <v>244595</v>
      </c>
      <c r="BP113" s="46">
        <f t="shared" si="128"/>
        <v>0</v>
      </c>
      <c r="BQ113" s="46">
        <f t="shared" si="129"/>
        <v>110867</v>
      </c>
      <c r="BR113" s="46">
        <f t="shared" si="130"/>
        <v>0</v>
      </c>
      <c r="BS113" s="46">
        <f t="shared" si="131"/>
        <v>16388</v>
      </c>
      <c r="BT113" s="46">
        <v>0</v>
      </c>
      <c r="BU113" s="46">
        <f t="shared" si="132"/>
        <v>127255</v>
      </c>
      <c r="BV113" s="46">
        <f t="shared" si="133"/>
        <v>16388</v>
      </c>
      <c r="BW113" s="46">
        <f t="shared" si="134"/>
        <v>212452</v>
      </c>
      <c r="BX113" s="46">
        <f t="shared" si="135"/>
        <v>34632</v>
      </c>
      <c r="BY113" s="46">
        <f t="shared" si="136"/>
        <v>-16388</v>
      </c>
      <c r="BZ113" s="46">
        <v>0</v>
      </c>
      <c r="CA113" s="46">
        <f t="shared" si="137"/>
        <v>230696</v>
      </c>
      <c r="CB113" s="46">
        <f t="shared" si="138"/>
        <v>0</v>
      </c>
      <c r="CC113" s="155">
        <f t="shared" si="141"/>
        <v>0</v>
      </c>
      <c r="CD113" s="79" t="s">
        <v>538</v>
      </c>
      <c r="CE113" s="65">
        <f t="shared" si="142"/>
        <v>127255</v>
      </c>
      <c r="CF113" s="65">
        <f t="shared" si="143"/>
        <v>127255</v>
      </c>
      <c r="CG113" s="65">
        <f t="shared" si="144"/>
        <v>121698</v>
      </c>
      <c r="CH113" s="65">
        <f t="shared" si="145"/>
        <v>127255</v>
      </c>
      <c r="CI113" s="65">
        <f t="shared" si="146"/>
        <v>373237</v>
      </c>
      <c r="CJ113" s="65">
        <f t="shared" si="147"/>
        <v>130933</v>
      </c>
      <c r="CK113" s="65">
        <f t="shared" si="148"/>
        <v>227022</v>
      </c>
      <c r="CL113" s="65">
        <f t="shared" si="149"/>
        <v>127255</v>
      </c>
      <c r="CM113" s="65">
        <f t="shared" si="150"/>
        <v>146844</v>
      </c>
      <c r="CN113" s="65">
        <f t="shared" si="151"/>
        <v>244595</v>
      </c>
      <c r="CO113" s="65">
        <f t="shared" si="152"/>
        <v>127255</v>
      </c>
      <c r="CP113" s="65">
        <f t="shared" si="153"/>
        <v>230696</v>
      </c>
      <c r="CQ113" s="40" t="s">
        <v>538</v>
      </c>
    </row>
    <row r="114" spans="1:95" ht="3" customHeight="1" x14ac:dyDescent="0.25">
      <c r="A114" s="39">
        <v>1</v>
      </c>
      <c r="B114" s="28">
        <v>6307</v>
      </c>
      <c r="C114" s="28" t="s">
        <v>140</v>
      </c>
      <c r="D114" s="48">
        <f>+DATA!Q112</f>
        <v>1983049.8759999999</v>
      </c>
      <c r="E114" s="48">
        <f t="shared" si="139"/>
        <v>130551</v>
      </c>
      <c r="F114" s="48">
        <f t="shared" si="140"/>
        <v>198305</v>
      </c>
      <c r="G114" s="49">
        <f>VLOOKUP(B114,'CALC MEC ESTAB Y ESTIM M FINAL'!$B$7:$F$352,5,0)</f>
        <v>9.9508797219999994E-4</v>
      </c>
      <c r="H114" s="49">
        <f>VLOOKUP(B114,'CALC MEC ESTAB Y ESTIM M FINAL'!$B$7:$R$352,17,0)</f>
        <v>-2.55855383E-5</v>
      </c>
      <c r="I114" s="46">
        <f t="shared" si="79"/>
        <v>79938</v>
      </c>
      <c r="J114" s="46">
        <f t="shared" si="80"/>
        <v>0</v>
      </c>
      <c r="K114" s="46">
        <f t="shared" si="81"/>
        <v>50613</v>
      </c>
      <c r="L114" s="46">
        <v>0</v>
      </c>
      <c r="M114" s="46">
        <f t="shared" si="82"/>
        <v>130551</v>
      </c>
      <c r="N114" s="46">
        <f t="shared" si="83"/>
        <v>50613</v>
      </c>
      <c r="O114" s="46">
        <f t="shared" si="84"/>
        <v>42508</v>
      </c>
      <c r="P114" s="46">
        <f t="shared" si="85"/>
        <v>0</v>
      </c>
      <c r="Q114" s="46">
        <f t="shared" si="86"/>
        <v>88043</v>
      </c>
      <c r="R114" s="46">
        <v>0</v>
      </c>
      <c r="S114" s="46">
        <f t="shared" si="87"/>
        <v>130551</v>
      </c>
      <c r="T114" s="46">
        <f t="shared" si="88"/>
        <v>138656</v>
      </c>
      <c r="U114" s="46">
        <f t="shared" si="89"/>
        <v>121266</v>
      </c>
      <c r="V114" s="46">
        <f t="shared" si="90"/>
        <v>0</v>
      </c>
      <c r="W114" s="46">
        <f t="shared" si="91"/>
        <v>0</v>
      </c>
      <c r="X114" s="46">
        <v>0</v>
      </c>
      <c r="Y114" s="46">
        <f t="shared" si="92"/>
        <v>121266</v>
      </c>
      <c r="Z114" s="46">
        <f t="shared" si="93"/>
        <v>138656</v>
      </c>
      <c r="AA114" s="46">
        <f t="shared" si="94"/>
        <v>64390</v>
      </c>
      <c r="AB114" s="46">
        <f t="shared" si="95"/>
        <v>0</v>
      </c>
      <c r="AC114" s="46">
        <f t="shared" si="96"/>
        <v>66161</v>
      </c>
      <c r="AD114" s="46">
        <v>0</v>
      </c>
      <c r="AE114" s="46">
        <f t="shared" si="97"/>
        <v>130551</v>
      </c>
      <c r="AF114" s="46">
        <f t="shared" si="98"/>
        <v>204817</v>
      </c>
      <c r="AG114" s="46">
        <f t="shared" si="99"/>
        <v>560317</v>
      </c>
      <c r="AH114" s="46">
        <f t="shared" si="100"/>
        <v>5172</v>
      </c>
      <c r="AI114" s="46">
        <f t="shared" si="101"/>
        <v>-204817</v>
      </c>
      <c r="AJ114" s="46">
        <v>0</v>
      </c>
      <c r="AK114" s="46">
        <f t="shared" si="102"/>
        <v>360672</v>
      </c>
      <c r="AL114" s="46">
        <f t="shared" si="103"/>
        <v>0</v>
      </c>
      <c r="AM114" s="46">
        <f t="shared" si="104"/>
        <v>110984</v>
      </c>
      <c r="AN114" s="46">
        <f t="shared" si="105"/>
        <v>3665</v>
      </c>
      <c r="AO114" s="46">
        <f t="shared" si="106"/>
        <v>19567</v>
      </c>
      <c r="AP114" s="46">
        <v>0</v>
      </c>
      <c r="AQ114" s="46">
        <f t="shared" si="107"/>
        <v>134216</v>
      </c>
      <c r="AR114" s="46">
        <f t="shared" si="108"/>
        <v>19567</v>
      </c>
      <c r="AS114" s="46">
        <f t="shared" si="109"/>
        <v>220617</v>
      </c>
      <c r="AT114" s="46">
        <f t="shared" si="110"/>
        <v>21418</v>
      </c>
      <c r="AU114" s="46">
        <f t="shared" si="111"/>
        <v>-19567</v>
      </c>
      <c r="AV114" s="46">
        <v>0</v>
      </c>
      <c r="AW114" s="46">
        <f t="shared" si="112"/>
        <v>222468</v>
      </c>
      <c r="AX114" s="46">
        <f t="shared" si="113"/>
        <v>0</v>
      </c>
      <c r="AY114" s="46">
        <f t="shared" si="114"/>
        <v>72873</v>
      </c>
      <c r="AZ114" s="46">
        <f t="shared" si="115"/>
        <v>0</v>
      </c>
      <c r="BA114" s="46">
        <f t="shared" si="116"/>
        <v>57678</v>
      </c>
      <c r="BB114" s="46"/>
      <c r="BC114" s="46">
        <f t="shared" si="117"/>
        <v>130551</v>
      </c>
      <c r="BD114" s="46">
        <f t="shared" si="118"/>
        <v>57678</v>
      </c>
      <c r="BE114" s="46">
        <f t="shared" si="119"/>
        <v>141073</v>
      </c>
      <c r="BF114" s="46">
        <f t="shared" si="120"/>
        <v>5251</v>
      </c>
      <c r="BG114" s="46">
        <f t="shared" si="121"/>
        <v>0</v>
      </c>
      <c r="BH114" s="46">
        <v>0</v>
      </c>
      <c r="BI114" s="46">
        <f t="shared" si="122"/>
        <v>146324</v>
      </c>
      <c r="BJ114" s="46">
        <f t="shared" si="123"/>
        <v>57678</v>
      </c>
      <c r="BK114" s="46">
        <f t="shared" si="124"/>
        <v>297658</v>
      </c>
      <c r="BL114" s="46">
        <f t="shared" si="125"/>
        <v>0</v>
      </c>
      <c r="BM114" s="46">
        <f t="shared" si="126"/>
        <v>-57678</v>
      </c>
      <c r="BN114" s="46">
        <v>0</v>
      </c>
      <c r="BO114" s="46">
        <f t="shared" si="127"/>
        <v>239980</v>
      </c>
      <c r="BP114" s="46">
        <f t="shared" si="128"/>
        <v>0</v>
      </c>
      <c r="BQ114" s="46">
        <f t="shared" si="129"/>
        <v>110474</v>
      </c>
      <c r="BR114" s="46">
        <f t="shared" si="130"/>
        <v>0</v>
      </c>
      <c r="BS114" s="46">
        <f t="shared" si="131"/>
        <v>20077</v>
      </c>
      <c r="BT114" s="46">
        <v>0</v>
      </c>
      <c r="BU114" s="46">
        <f t="shared" si="132"/>
        <v>130551</v>
      </c>
      <c r="BV114" s="46">
        <f t="shared" si="133"/>
        <v>20077</v>
      </c>
      <c r="BW114" s="46">
        <f t="shared" si="134"/>
        <v>211698</v>
      </c>
      <c r="BX114" s="46">
        <f t="shared" si="135"/>
        <v>34509</v>
      </c>
      <c r="BY114" s="46">
        <f t="shared" si="136"/>
        <v>-20077</v>
      </c>
      <c r="BZ114" s="46">
        <v>0</v>
      </c>
      <c r="CA114" s="46">
        <f t="shared" si="137"/>
        <v>226130</v>
      </c>
      <c r="CB114" s="46">
        <f t="shared" si="138"/>
        <v>0</v>
      </c>
      <c r="CC114" s="155">
        <f t="shared" si="141"/>
        <v>0</v>
      </c>
      <c r="CD114" s="79" t="s">
        <v>538</v>
      </c>
      <c r="CE114" s="65">
        <f t="shared" si="142"/>
        <v>130551</v>
      </c>
      <c r="CF114" s="65">
        <f t="shared" si="143"/>
        <v>130551</v>
      </c>
      <c r="CG114" s="65">
        <f t="shared" si="144"/>
        <v>121266</v>
      </c>
      <c r="CH114" s="65">
        <f t="shared" si="145"/>
        <v>130551</v>
      </c>
      <c r="CI114" s="65">
        <f t="shared" si="146"/>
        <v>360672</v>
      </c>
      <c r="CJ114" s="65">
        <f t="shared" si="147"/>
        <v>134216</v>
      </c>
      <c r="CK114" s="65">
        <f t="shared" si="148"/>
        <v>222468</v>
      </c>
      <c r="CL114" s="65">
        <f t="shared" si="149"/>
        <v>130551</v>
      </c>
      <c r="CM114" s="65">
        <f t="shared" si="150"/>
        <v>146324</v>
      </c>
      <c r="CN114" s="65">
        <f t="shared" si="151"/>
        <v>239980</v>
      </c>
      <c r="CO114" s="65">
        <f t="shared" si="152"/>
        <v>130551</v>
      </c>
      <c r="CP114" s="65">
        <f t="shared" si="153"/>
        <v>226130</v>
      </c>
      <c r="CQ114" s="40" t="s">
        <v>538</v>
      </c>
    </row>
    <row r="115" spans="1:95" ht="3" customHeight="1" x14ac:dyDescent="0.25">
      <c r="A115" s="39">
        <v>1</v>
      </c>
      <c r="B115" s="28">
        <v>6308</v>
      </c>
      <c r="C115" s="28" t="s">
        <v>136</v>
      </c>
      <c r="D115" s="48">
        <f>+DATA!Q113</f>
        <v>2122457.4470000002</v>
      </c>
      <c r="E115" s="48">
        <f t="shared" si="139"/>
        <v>139728</v>
      </c>
      <c r="F115" s="48">
        <f t="shared" si="140"/>
        <v>212246</v>
      </c>
      <c r="G115" s="49">
        <f>VLOOKUP(B115,'CALC MEC ESTAB Y ESTIM M FINAL'!$B$7:$F$352,5,0)</f>
        <v>1.2180609219999998E-3</v>
      </c>
      <c r="H115" s="49">
        <f>VLOOKUP(B115,'CALC MEC ESTAB Y ESTIM M FINAL'!$B$7:$R$352,17,0)</f>
        <v>-1.108424806E-4</v>
      </c>
      <c r="I115" s="46">
        <f t="shared" si="79"/>
        <v>91293</v>
      </c>
      <c r="J115" s="46">
        <f t="shared" si="80"/>
        <v>0</v>
      </c>
      <c r="K115" s="46">
        <f t="shared" si="81"/>
        <v>48435</v>
      </c>
      <c r="L115" s="46">
        <v>0</v>
      </c>
      <c r="M115" s="46">
        <f t="shared" si="82"/>
        <v>139728</v>
      </c>
      <c r="N115" s="46">
        <f t="shared" si="83"/>
        <v>48435</v>
      </c>
      <c r="O115" s="46">
        <f t="shared" si="84"/>
        <v>48546</v>
      </c>
      <c r="P115" s="46">
        <f t="shared" si="85"/>
        <v>0</v>
      </c>
      <c r="Q115" s="46">
        <f t="shared" si="86"/>
        <v>91182</v>
      </c>
      <c r="R115" s="46">
        <v>0</v>
      </c>
      <c r="S115" s="46">
        <f t="shared" si="87"/>
        <v>139728</v>
      </c>
      <c r="T115" s="46">
        <f t="shared" si="88"/>
        <v>139617</v>
      </c>
      <c r="U115" s="46">
        <f t="shared" si="89"/>
        <v>138492</v>
      </c>
      <c r="V115" s="46">
        <f t="shared" si="90"/>
        <v>0</v>
      </c>
      <c r="W115" s="46">
        <f t="shared" si="91"/>
        <v>0</v>
      </c>
      <c r="X115" s="46">
        <v>0</v>
      </c>
      <c r="Y115" s="46">
        <f t="shared" si="92"/>
        <v>138492</v>
      </c>
      <c r="Z115" s="46">
        <f t="shared" si="93"/>
        <v>139617</v>
      </c>
      <c r="AA115" s="46">
        <f t="shared" si="94"/>
        <v>73537</v>
      </c>
      <c r="AB115" s="46">
        <f t="shared" si="95"/>
        <v>0</v>
      </c>
      <c r="AC115" s="46">
        <f t="shared" si="96"/>
        <v>66191</v>
      </c>
      <c r="AD115" s="46">
        <v>0</v>
      </c>
      <c r="AE115" s="46">
        <f t="shared" si="97"/>
        <v>139728</v>
      </c>
      <c r="AF115" s="46">
        <f t="shared" si="98"/>
        <v>205808</v>
      </c>
      <c r="AG115" s="46">
        <f t="shared" si="99"/>
        <v>639909</v>
      </c>
      <c r="AH115" s="46">
        <f t="shared" si="100"/>
        <v>5906</v>
      </c>
      <c r="AI115" s="46">
        <f t="shared" si="101"/>
        <v>-205808</v>
      </c>
      <c r="AJ115" s="46">
        <v>0</v>
      </c>
      <c r="AK115" s="46">
        <f t="shared" si="102"/>
        <v>440007</v>
      </c>
      <c r="AL115" s="46">
        <f t="shared" si="103"/>
        <v>0</v>
      </c>
      <c r="AM115" s="46">
        <f t="shared" si="104"/>
        <v>126750</v>
      </c>
      <c r="AN115" s="46">
        <f t="shared" si="105"/>
        <v>4186</v>
      </c>
      <c r="AO115" s="46">
        <f t="shared" si="106"/>
        <v>12978</v>
      </c>
      <c r="AP115" s="46">
        <v>0</v>
      </c>
      <c r="AQ115" s="46">
        <f t="shared" si="107"/>
        <v>143914</v>
      </c>
      <c r="AR115" s="46">
        <f t="shared" si="108"/>
        <v>12978</v>
      </c>
      <c r="AS115" s="46">
        <f t="shared" si="109"/>
        <v>251956</v>
      </c>
      <c r="AT115" s="46">
        <f t="shared" si="110"/>
        <v>24460</v>
      </c>
      <c r="AU115" s="46">
        <f t="shared" si="111"/>
        <v>-12978</v>
      </c>
      <c r="AV115" s="46">
        <v>0</v>
      </c>
      <c r="AW115" s="46">
        <f t="shared" si="112"/>
        <v>263438</v>
      </c>
      <c r="AX115" s="46">
        <f t="shared" si="113"/>
        <v>0</v>
      </c>
      <c r="AY115" s="46">
        <f t="shared" si="114"/>
        <v>83225</v>
      </c>
      <c r="AZ115" s="46">
        <f t="shared" si="115"/>
        <v>0</v>
      </c>
      <c r="BA115" s="46">
        <f t="shared" si="116"/>
        <v>56503</v>
      </c>
      <c r="BB115" s="46"/>
      <c r="BC115" s="46">
        <f t="shared" si="117"/>
        <v>139728</v>
      </c>
      <c r="BD115" s="46">
        <f t="shared" si="118"/>
        <v>56503</v>
      </c>
      <c r="BE115" s="46">
        <f t="shared" si="119"/>
        <v>161112</v>
      </c>
      <c r="BF115" s="46">
        <f t="shared" si="120"/>
        <v>5996</v>
      </c>
      <c r="BG115" s="46">
        <f t="shared" si="121"/>
        <v>0</v>
      </c>
      <c r="BH115" s="46">
        <v>0</v>
      </c>
      <c r="BI115" s="46">
        <f t="shared" si="122"/>
        <v>167108</v>
      </c>
      <c r="BJ115" s="46">
        <f t="shared" si="123"/>
        <v>56503</v>
      </c>
      <c r="BK115" s="46">
        <f t="shared" si="124"/>
        <v>339940</v>
      </c>
      <c r="BL115" s="46">
        <f t="shared" si="125"/>
        <v>0</v>
      </c>
      <c r="BM115" s="46">
        <f t="shared" si="126"/>
        <v>-56503</v>
      </c>
      <c r="BN115" s="46">
        <v>0</v>
      </c>
      <c r="BO115" s="46">
        <f t="shared" si="127"/>
        <v>283437</v>
      </c>
      <c r="BP115" s="46">
        <f t="shared" si="128"/>
        <v>0</v>
      </c>
      <c r="BQ115" s="46">
        <f t="shared" si="129"/>
        <v>126166</v>
      </c>
      <c r="BR115" s="46">
        <f t="shared" si="130"/>
        <v>0</v>
      </c>
      <c r="BS115" s="46">
        <f t="shared" si="131"/>
        <v>13562</v>
      </c>
      <c r="BT115" s="46">
        <v>0</v>
      </c>
      <c r="BU115" s="46">
        <f t="shared" si="132"/>
        <v>139728</v>
      </c>
      <c r="BV115" s="46">
        <f t="shared" si="133"/>
        <v>13562</v>
      </c>
      <c r="BW115" s="46">
        <f t="shared" si="134"/>
        <v>241769</v>
      </c>
      <c r="BX115" s="46">
        <f t="shared" si="135"/>
        <v>39411</v>
      </c>
      <c r="BY115" s="46">
        <f t="shared" si="136"/>
        <v>-13562</v>
      </c>
      <c r="BZ115" s="46">
        <v>0</v>
      </c>
      <c r="CA115" s="46">
        <f t="shared" si="137"/>
        <v>267618</v>
      </c>
      <c r="CB115" s="46">
        <f t="shared" si="138"/>
        <v>0</v>
      </c>
      <c r="CC115" s="155">
        <f t="shared" si="141"/>
        <v>0</v>
      </c>
      <c r="CD115" s="79" t="s">
        <v>538</v>
      </c>
      <c r="CE115" s="65">
        <f t="shared" si="142"/>
        <v>139728</v>
      </c>
      <c r="CF115" s="65">
        <f t="shared" si="143"/>
        <v>139728</v>
      </c>
      <c r="CG115" s="65">
        <f t="shared" si="144"/>
        <v>138492</v>
      </c>
      <c r="CH115" s="65">
        <f t="shared" si="145"/>
        <v>139728</v>
      </c>
      <c r="CI115" s="65">
        <f t="shared" si="146"/>
        <v>440007</v>
      </c>
      <c r="CJ115" s="65">
        <f t="shared" si="147"/>
        <v>143914</v>
      </c>
      <c r="CK115" s="65">
        <f t="shared" si="148"/>
        <v>263438</v>
      </c>
      <c r="CL115" s="65">
        <f t="shared" si="149"/>
        <v>139728</v>
      </c>
      <c r="CM115" s="65">
        <f t="shared" si="150"/>
        <v>167108</v>
      </c>
      <c r="CN115" s="65">
        <f t="shared" si="151"/>
        <v>283437</v>
      </c>
      <c r="CO115" s="65">
        <f t="shared" si="152"/>
        <v>139728</v>
      </c>
      <c r="CP115" s="65">
        <f t="shared" si="153"/>
        <v>267618</v>
      </c>
      <c r="CQ115" s="40" t="s">
        <v>538</v>
      </c>
    </row>
    <row r="116" spans="1:95" ht="3" customHeight="1" x14ac:dyDescent="0.25">
      <c r="A116" s="39">
        <v>1</v>
      </c>
      <c r="B116" s="28">
        <v>6309</v>
      </c>
      <c r="C116" s="28" t="s">
        <v>141</v>
      </c>
      <c r="D116" s="48">
        <f>+DATA!Q114</f>
        <v>1577663.023</v>
      </c>
      <c r="E116" s="48">
        <f t="shared" si="139"/>
        <v>103863</v>
      </c>
      <c r="F116" s="48">
        <f t="shared" si="140"/>
        <v>157766</v>
      </c>
      <c r="G116" s="49">
        <f>VLOOKUP(B116,'CALC MEC ESTAB Y ESTIM M FINAL'!$B$7:$F$352,5,0)</f>
        <v>8.3034264169999997E-4</v>
      </c>
      <c r="H116" s="49">
        <f>VLOOKUP(B116,'CALC MEC ESTAB Y ESTIM M FINAL'!$B$7:$R$352,17,0)</f>
        <v>-4.1343222499999999E-5</v>
      </c>
      <c r="I116" s="46">
        <f t="shared" si="79"/>
        <v>65055</v>
      </c>
      <c r="J116" s="46">
        <f t="shared" si="80"/>
        <v>0</v>
      </c>
      <c r="K116" s="46">
        <f t="shared" si="81"/>
        <v>38808</v>
      </c>
      <c r="L116" s="46">
        <v>0</v>
      </c>
      <c r="M116" s="46">
        <f t="shared" si="82"/>
        <v>103863</v>
      </c>
      <c r="N116" s="46">
        <f t="shared" si="83"/>
        <v>38808</v>
      </c>
      <c r="O116" s="46">
        <f t="shared" si="84"/>
        <v>34594</v>
      </c>
      <c r="P116" s="46">
        <f t="shared" si="85"/>
        <v>0</v>
      </c>
      <c r="Q116" s="46">
        <f t="shared" si="86"/>
        <v>69269</v>
      </c>
      <c r="R116" s="46">
        <v>0</v>
      </c>
      <c r="S116" s="46">
        <f t="shared" si="87"/>
        <v>103863</v>
      </c>
      <c r="T116" s="46">
        <f t="shared" si="88"/>
        <v>108077</v>
      </c>
      <c r="U116" s="46">
        <f t="shared" si="89"/>
        <v>98689</v>
      </c>
      <c r="V116" s="46">
        <f t="shared" si="90"/>
        <v>0</v>
      </c>
      <c r="W116" s="46">
        <f t="shared" si="91"/>
        <v>0</v>
      </c>
      <c r="X116" s="46">
        <v>0</v>
      </c>
      <c r="Y116" s="46">
        <f t="shared" si="92"/>
        <v>98689</v>
      </c>
      <c r="Z116" s="46">
        <f t="shared" si="93"/>
        <v>108077</v>
      </c>
      <c r="AA116" s="46">
        <f t="shared" si="94"/>
        <v>52402</v>
      </c>
      <c r="AB116" s="46">
        <f t="shared" si="95"/>
        <v>0</v>
      </c>
      <c r="AC116" s="46">
        <f t="shared" si="96"/>
        <v>51461</v>
      </c>
      <c r="AD116" s="46">
        <v>0</v>
      </c>
      <c r="AE116" s="46">
        <f t="shared" si="97"/>
        <v>103863</v>
      </c>
      <c r="AF116" s="46">
        <f t="shared" si="98"/>
        <v>159538</v>
      </c>
      <c r="AG116" s="46">
        <f t="shared" si="99"/>
        <v>455996</v>
      </c>
      <c r="AH116" s="46">
        <f t="shared" si="100"/>
        <v>4209</v>
      </c>
      <c r="AI116" s="46">
        <f t="shared" si="101"/>
        <v>-159538</v>
      </c>
      <c r="AJ116" s="46">
        <v>0</v>
      </c>
      <c r="AK116" s="46">
        <f t="shared" si="102"/>
        <v>300667</v>
      </c>
      <c r="AL116" s="46">
        <f t="shared" si="103"/>
        <v>0</v>
      </c>
      <c r="AM116" s="46">
        <f t="shared" si="104"/>
        <v>90321</v>
      </c>
      <c r="AN116" s="46">
        <f t="shared" si="105"/>
        <v>2983</v>
      </c>
      <c r="AO116" s="46">
        <f t="shared" si="106"/>
        <v>13542</v>
      </c>
      <c r="AP116" s="46">
        <v>0</v>
      </c>
      <c r="AQ116" s="46">
        <f t="shared" si="107"/>
        <v>106846</v>
      </c>
      <c r="AR116" s="46">
        <f t="shared" si="108"/>
        <v>13542</v>
      </c>
      <c r="AS116" s="46">
        <f t="shared" si="109"/>
        <v>179543</v>
      </c>
      <c r="AT116" s="46">
        <f t="shared" si="110"/>
        <v>17430</v>
      </c>
      <c r="AU116" s="46">
        <f t="shared" si="111"/>
        <v>-13542</v>
      </c>
      <c r="AV116" s="46">
        <v>0</v>
      </c>
      <c r="AW116" s="46">
        <f t="shared" si="112"/>
        <v>183431</v>
      </c>
      <c r="AX116" s="46">
        <f t="shared" si="113"/>
        <v>0</v>
      </c>
      <c r="AY116" s="46">
        <f t="shared" si="114"/>
        <v>59306</v>
      </c>
      <c r="AZ116" s="46">
        <f t="shared" si="115"/>
        <v>0</v>
      </c>
      <c r="BA116" s="46">
        <f t="shared" si="116"/>
        <v>44557</v>
      </c>
      <c r="BB116" s="46"/>
      <c r="BC116" s="46">
        <f t="shared" si="117"/>
        <v>103863</v>
      </c>
      <c r="BD116" s="46">
        <f t="shared" si="118"/>
        <v>44557</v>
      </c>
      <c r="BE116" s="46">
        <f t="shared" si="119"/>
        <v>114808</v>
      </c>
      <c r="BF116" s="46">
        <f t="shared" si="120"/>
        <v>4273</v>
      </c>
      <c r="BG116" s="46">
        <f t="shared" si="121"/>
        <v>0</v>
      </c>
      <c r="BH116" s="46">
        <v>0</v>
      </c>
      <c r="BI116" s="46">
        <f t="shared" si="122"/>
        <v>119081</v>
      </c>
      <c r="BJ116" s="46">
        <f t="shared" si="123"/>
        <v>44557</v>
      </c>
      <c r="BK116" s="46">
        <f t="shared" si="124"/>
        <v>242240</v>
      </c>
      <c r="BL116" s="46">
        <f t="shared" si="125"/>
        <v>0</v>
      </c>
      <c r="BM116" s="46">
        <f t="shared" si="126"/>
        <v>-44557</v>
      </c>
      <c r="BN116" s="46">
        <v>0</v>
      </c>
      <c r="BO116" s="46">
        <f t="shared" si="127"/>
        <v>197683</v>
      </c>
      <c r="BP116" s="46">
        <f t="shared" si="128"/>
        <v>0</v>
      </c>
      <c r="BQ116" s="46">
        <f t="shared" si="129"/>
        <v>89905</v>
      </c>
      <c r="BR116" s="46">
        <f t="shared" si="130"/>
        <v>0</v>
      </c>
      <c r="BS116" s="46">
        <f t="shared" si="131"/>
        <v>13958</v>
      </c>
      <c r="BT116" s="46">
        <v>0</v>
      </c>
      <c r="BU116" s="46">
        <f t="shared" si="132"/>
        <v>103863</v>
      </c>
      <c r="BV116" s="46">
        <f t="shared" si="133"/>
        <v>13958</v>
      </c>
      <c r="BW116" s="46">
        <f t="shared" si="134"/>
        <v>172284</v>
      </c>
      <c r="BX116" s="46">
        <f t="shared" si="135"/>
        <v>28084</v>
      </c>
      <c r="BY116" s="46">
        <f t="shared" si="136"/>
        <v>-13958</v>
      </c>
      <c r="BZ116" s="46">
        <v>0</v>
      </c>
      <c r="CA116" s="46">
        <f t="shared" si="137"/>
        <v>186410</v>
      </c>
      <c r="CB116" s="46">
        <f t="shared" si="138"/>
        <v>0</v>
      </c>
      <c r="CC116" s="155">
        <f t="shared" si="141"/>
        <v>0</v>
      </c>
      <c r="CD116" s="79" t="s">
        <v>538</v>
      </c>
      <c r="CE116" s="65">
        <f t="shared" si="142"/>
        <v>103863</v>
      </c>
      <c r="CF116" s="65">
        <f t="shared" si="143"/>
        <v>103863</v>
      </c>
      <c r="CG116" s="65">
        <f t="shared" si="144"/>
        <v>98689</v>
      </c>
      <c r="CH116" s="65">
        <f t="shared" si="145"/>
        <v>103863</v>
      </c>
      <c r="CI116" s="65">
        <f t="shared" si="146"/>
        <v>300667</v>
      </c>
      <c r="CJ116" s="65">
        <f t="shared" si="147"/>
        <v>106846</v>
      </c>
      <c r="CK116" s="65">
        <f t="shared" si="148"/>
        <v>183431</v>
      </c>
      <c r="CL116" s="65">
        <f t="shared" si="149"/>
        <v>103863</v>
      </c>
      <c r="CM116" s="65">
        <f t="shared" si="150"/>
        <v>119081</v>
      </c>
      <c r="CN116" s="65">
        <f t="shared" si="151"/>
        <v>197683</v>
      </c>
      <c r="CO116" s="65">
        <f t="shared" si="152"/>
        <v>103863</v>
      </c>
      <c r="CP116" s="65">
        <f t="shared" si="153"/>
        <v>186410</v>
      </c>
      <c r="CQ116" s="40" t="s">
        <v>538</v>
      </c>
    </row>
    <row r="117" spans="1:95" ht="3" customHeight="1" x14ac:dyDescent="0.25">
      <c r="A117" s="39">
        <v>1</v>
      </c>
      <c r="B117" s="28">
        <v>6310</v>
      </c>
      <c r="C117" s="28" t="s">
        <v>137</v>
      </c>
      <c r="D117" s="48">
        <f>+DATA!Q115</f>
        <v>4564055.8490000004</v>
      </c>
      <c r="E117" s="48">
        <f t="shared" si="139"/>
        <v>300467</v>
      </c>
      <c r="F117" s="48">
        <f t="shared" si="140"/>
        <v>456406</v>
      </c>
      <c r="G117" s="49">
        <f>VLOOKUP(B117,'CALC MEC ESTAB Y ESTIM M FINAL'!$B$7:$F$352,5,0)</f>
        <v>2.4258128340999999E-3</v>
      </c>
      <c r="H117" s="49">
        <f>VLOOKUP(B117,'CALC MEC ESTAB Y ESTIM M FINAL'!$B$7:$R$352,17,0)</f>
        <v>-1.324345173E-4</v>
      </c>
      <c r="I117" s="46">
        <f t="shared" si="79"/>
        <v>189094</v>
      </c>
      <c r="J117" s="46">
        <f t="shared" si="80"/>
        <v>0</v>
      </c>
      <c r="K117" s="46">
        <f t="shared" si="81"/>
        <v>111373</v>
      </c>
      <c r="L117" s="46">
        <v>0</v>
      </c>
      <c r="M117" s="46">
        <f t="shared" si="82"/>
        <v>300467</v>
      </c>
      <c r="N117" s="46">
        <f t="shared" si="83"/>
        <v>111373</v>
      </c>
      <c r="O117" s="46">
        <f t="shared" si="84"/>
        <v>100554</v>
      </c>
      <c r="P117" s="46">
        <f t="shared" si="85"/>
        <v>0</v>
      </c>
      <c r="Q117" s="46">
        <f t="shared" si="86"/>
        <v>199913</v>
      </c>
      <c r="R117" s="46">
        <v>0</v>
      </c>
      <c r="S117" s="46">
        <f t="shared" si="87"/>
        <v>300467</v>
      </c>
      <c r="T117" s="46">
        <f t="shared" si="88"/>
        <v>311286</v>
      </c>
      <c r="U117" s="46">
        <f t="shared" si="89"/>
        <v>286857</v>
      </c>
      <c r="V117" s="46">
        <f t="shared" si="90"/>
        <v>0</v>
      </c>
      <c r="W117" s="46">
        <f t="shared" si="91"/>
        <v>0</v>
      </c>
      <c r="X117" s="46">
        <v>0</v>
      </c>
      <c r="Y117" s="46">
        <f t="shared" si="92"/>
        <v>286857</v>
      </c>
      <c r="Z117" s="46">
        <f t="shared" si="93"/>
        <v>311286</v>
      </c>
      <c r="AA117" s="46">
        <f t="shared" si="94"/>
        <v>152317</v>
      </c>
      <c r="AB117" s="46">
        <f t="shared" si="95"/>
        <v>0</v>
      </c>
      <c r="AC117" s="46">
        <f t="shared" si="96"/>
        <v>148150</v>
      </c>
      <c r="AD117" s="46">
        <v>0</v>
      </c>
      <c r="AE117" s="46">
        <f t="shared" si="97"/>
        <v>300467</v>
      </c>
      <c r="AF117" s="46">
        <f t="shared" si="98"/>
        <v>459436</v>
      </c>
      <c r="AG117" s="46">
        <f t="shared" si="99"/>
        <v>1325441</v>
      </c>
      <c r="AH117" s="46">
        <f t="shared" si="100"/>
        <v>12233</v>
      </c>
      <c r="AI117" s="46">
        <f t="shared" si="101"/>
        <v>-459436</v>
      </c>
      <c r="AJ117" s="46">
        <v>0</v>
      </c>
      <c r="AK117" s="46">
        <f t="shared" si="102"/>
        <v>878238</v>
      </c>
      <c r="AL117" s="46">
        <f t="shared" si="103"/>
        <v>0</v>
      </c>
      <c r="AM117" s="46">
        <f t="shared" si="104"/>
        <v>262536</v>
      </c>
      <c r="AN117" s="46">
        <f t="shared" si="105"/>
        <v>8670</v>
      </c>
      <c r="AO117" s="46">
        <f t="shared" si="106"/>
        <v>37931</v>
      </c>
      <c r="AP117" s="46">
        <v>0</v>
      </c>
      <c r="AQ117" s="46">
        <f t="shared" si="107"/>
        <v>309137</v>
      </c>
      <c r="AR117" s="46">
        <f t="shared" si="108"/>
        <v>37931</v>
      </c>
      <c r="AS117" s="46">
        <f t="shared" si="109"/>
        <v>521875</v>
      </c>
      <c r="AT117" s="46">
        <f t="shared" si="110"/>
        <v>50665</v>
      </c>
      <c r="AU117" s="46">
        <f t="shared" si="111"/>
        <v>-37931</v>
      </c>
      <c r="AV117" s="46">
        <v>0</v>
      </c>
      <c r="AW117" s="46">
        <f t="shared" si="112"/>
        <v>534609</v>
      </c>
      <c r="AX117" s="46">
        <f t="shared" si="113"/>
        <v>0</v>
      </c>
      <c r="AY117" s="46">
        <f t="shared" si="114"/>
        <v>172383</v>
      </c>
      <c r="AZ117" s="46">
        <f t="shared" si="115"/>
        <v>0</v>
      </c>
      <c r="BA117" s="46">
        <f t="shared" si="116"/>
        <v>128084</v>
      </c>
      <c r="BB117" s="46"/>
      <c r="BC117" s="46">
        <f t="shared" si="117"/>
        <v>300467</v>
      </c>
      <c r="BD117" s="46">
        <f t="shared" si="118"/>
        <v>128084</v>
      </c>
      <c r="BE117" s="46">
        <f t="shared" si="119"/>
        <v>333711</v>
      </c>
      <c r="BF117" s="46">
        <f t="shared" si="120"/>
        <v>12420</v>
      </c>
      <c r="BG117" s="46">
        <f t="shared" si="121"/>
        <v>0</v>
      </c>
      <c r="BH117" s="46">
        <v>0</v>
      </c>
      <c r="BI117" s="46">
        <f t="shared" si="122"/>
        <v>346131</v>
      </c>
      <c r="BJ117" s="46">
        <f t="shared" si="123"/>
        <v>128084</v>
      </c>
      <c r="BK117" s="46">
        <f t="shared" si="124"/>
        <v>704116</v>
      </c>
      <c r="BL117" s="46">
        <f t="shared" si="125"/>
        <v>0</v>
      </c>
      <c r="BM117" s="46">
        <f t="shared" si="126"/>
        <v>-128084</v>
      </c>
      <c r="BN117" s="46">
        <v>0</v>
      </c>
      <c r="BO117" s="46">
        <f t="shared" si="127"/>
        <v>576032</v>
      </c>
      <c r="BP117" s="46">
        <f t="shared" si="128"/>
        <v>0</v>
      </c>
      <c r="BQ117" s="46">
        <f t="shared" si="129"/>
        <v>261328</v>
      </c>
      <c r="BR117" s="46">
        <f t="shared" si="130"/>
        <v>0</v>
      </c>
      <c r="BS117" s="46">
        <f t="shared" si="131"/>
        <v>39139</v>
      </c>
      <c r="BT117" s="46">
        <v>0</v>
      </c>
      <c r="BU117" s="46">
        <f t="shared" si="132"/>
        <v>300467</v>
      </c>
      <c r="BV117" s="46">
        <f t="shared" si="133"/>
        <v>39139</v>
      </c>
      <c r="BW117" s="46">
        <f t="shared" si="134"/>
        <v>500776</v>
      </c>
      <c r="BX117" s="46">
        <f t="shared" si="135"/>
        <v>81632</v>
      </c>
      <c r="BY117" s="46">
        <f t="shared" si="136"/>
        <v>-39139</v>
      </c>
      <c r="BZ117" s="46">
        <v>0</v>
      </c>
      <c r="CA117" s="46">
        <f t="shared" si="137"/>
        <v>543269</v>
      </c>
      <c r="CB117" s="46">
        <f t="shared" si="138"/>
        <v>0</v>
      </c>
      <c r="CC117" s="155">
        <f t="shared" si="141"/>
        <v>0</v>
      </c>
      <c r="CD117" s="79" t="s">
        <v>538</v>
      </c>
      <c r="CE117" s="65">
        <f t="shared" si="142"/>
        <v>300467</v>
      </c>
      <c r="CF117" s="65">
        <f t="shared" si="143"/>
        <v>300467</v>
      </c>
      <c r="CG117" s="65">
        <f t="shared" si="144"/>
        <v>286857</v>
      </c>
      <c r="CH117" s="65">
        <f t="shared" si="145"/>
        <v>300467</v>
      </c>
      <c r="CI117" s="65">
        <f t="shared" si="146"/>
        <v>878238</v>
      </c>
      <c r="CJ117" s="65">
        <f t="shared" si="147"/>
        <v>309137</v>
      </c>
      <c r="CK117" s="65">
        <f t="shared" si="148"/>
        <v>534609</v>
      </c>
      <c r="CL117" s="65">
        <f t="shared" si="149"/>
        <v>300467</v>
      </c>
      <c r="CM117" s="65">
        <f t="shared" si="150"/>
        <v>346131</v>
      </c>
      <c r="CN117" s="65">
        <f t="shared" si="151"/>
        <v>576032</v>
      </c>
      <c r="CO117" s="65">
        <f t="shared" si="152"/>
        <v>300467</v>
      </c>
      <c r="CP117" s="65">
        <f t="shared" si="153"/>
        <v>543269</v>
      </c>
      <c r="CQ117" s="40" t="s">
        <v>538</v>
      </c>
    </row>
    <row r="118" spans="1:95" ht="3" customHeight="1" x14ac:dyDescent="0.25">
      <c r="A118" s="39">
        <v>1</v>
      </c>
      <c r="B118" s="28">
        <v>7101</v>
      </c>
      <c r="C118" s="28" t="s">
        <v>152</v>
      </c>
      <c r="D118" s="48">
        <f>+DATA!Q116</f>
        <v>18778200.829</v>
      </c>
      <c r="E118" s="48">
        <f t="shared" si="139"/>
        <v>1236232</v>
      </c>
      <c r="F118" s="48">
        <f t="shared" si="140"/>
        <v>1877820</v>
      </c>
      <c r="G118" s="49">
        <f>VLOOKUP(B118,'CALC MEC ESTAB Y ESTIM M FINAL'!$B$7:$F$352,5,0)</f>
        <v>1.04558091619E-2</v>
      </c>
      <c r="H118" s="49">
        <f>VLOOKUP(B118,'CALC MEC ESTAB Y ESTIM M FINAL'!$B$7:$R$352,17,0)</f>
        <v>-8.0817725800000004E-4</v>
      </c>
      <c r="I118" s="46">
        <f t="shared" si="79"/>
        <v>795468</v>
      </c>
      <c r="J118" s="46">
        <f t="shared" si="80"/>
        <v>0</v>
      </c>
      <c r="K118" s="46">
        <f t="shared" si="81"/>
        <v>440764</v>
      </c>
      <c r="L118" s="46">
        <v>0</v>
      </c>
      <c r="M118" s="46">
        <f t="shared" si="82"/>
        <v>1236232</v>
      </c>
      <c r="N118" s="46">
        <f t="shared" si="83"/>
        <v>440764</v>
      </c>
      <c r="O118" s="46">
        <f t="shared" si="84"/>
        <v>423003</v>
      </c>
      <c r="P118" s="46">
        <f t="shared" si="85"/>
        <v>0</v>
      </c>
      <c r="Q118" s="46">
        <f t="shared" si="86"/>
        <v>813229</v>
      </c>
      <c r="R118" s="46">
        <v>0</v>
      </c>
      <c r="S118" s="46">
        <f t="shared" si="87"/>
        <v>1236232</v>
      </c>
      <c r="T118" s="46">
        <f t="shared" si="88"/>
        <v>1253993</v>
      </c>
      <c r="U118" s="46">
        <f t="shared" si="89"/>
        <v>1206733</v>
      </c>
      <c r="V118" s="46">
        <f t="shared" si="90"/>
        <v>0</v>
      </c>
      <c r="W118" s="46">
        <f t="shared" si="91"/>
        <v>0</v>
      </c>
      <c r="X118" s="46">
        <v>0</v>
      </c>
      <c r="Y118" s="46">
        <f t="shared" si="92"/>
        <v>1206733</v>
      </c>
      <c r="Z118" s="46">
        <f t="shared" si="93"/>
        <v>1253993</v>
      </c>
      <c r="AA118" s="46">
        <f t="shared" si="94"/>
        <v>640756</v>
      </c>
      <c r="AB118" s="46">
        <f t="shared" si="95"/>
        <v>0</v>
      </c>
      <c r="AC118" s="46">
        <f t="shared" si="96"/>
        <v>595476</v>
      </c>
      <c r="AD118" s="46">
        <v>0</v>
      </c>
      <c r="AE118" s="46">
        <f t="shared" si="97"/>
        <v>1236232</v>
      </c>
      <c r="AF118" s="46">
        <f t="shared" si="98"/>
        <v>1849469</v>
      </c>
      <c r="AG118" s="46">
        <f t="shared" si="99"/>
        <v>5575778</v>
      </c>
      <c r="AH118" s="46">
        <f t="shared" si="100"/>
        <v>51463</v>
      </c>
      <c r="AI118" s="46">
        <f t="shared" si="101"/>
        <v>-1849469</v>
      </c>
      <c r="AJ118" s="46">
        <v>0</v>
      </c>
      <c r="AK118" s="46">
        <f t="shared" si="102"/>
        <v>3777772</v>
      </c>
      <c r="AL118" s="46">
        <f t="shared" si="103"/>
        <v>0</v>
      </c>
      <c r="AM118" s="46">
        <f t="shared" si="104"/>
        <v>1104419</v>
      </c>
      <c r="AN118" s="46">
        <f t="shared" si="105"/>
        <v>36472</v>
      </c>
      <c r="AO118" s="46">
        <f t="shared" si="106"/>
        <v>131813</v>
      </c>
      <c r="AP118" s="46">
        <v>0</v>
      </c>
      <c r="AQ118" s="46">
        <f t="shared" si="107"/>
        <v>1272704</v>
      </c>
      <c r="AR118" s="46">
        <f t="shared" si="108"/>
        <v>131813</v>
      </c>
      <c r="AS118" s="46">
        <f t="shared" si="109"/>
        <v>2195389</v>
      </c>
      <c r="AT118" s="46">
        <f t="shared" si="110"/>
        <v>213132</v>
      </c>
      <c r="AU118" s="46">
        <f t="shared" si="111"/>
        <v>-131813</v>
      </c>
      <c r="AV118" s="46">
        <v>0</v>
      </c>
      <c r="AW118" s="46">
        <f t="shared" si="112"/>
        <v>2276708</v>
      </c>
      <c r="AX118" s="46">
        <f t="shared" si="113"/>
        <v>0</v>
      </c>
      <c r="AY118" s="46">
        <f t="shared" si="114"/>
        <v>725170</v>
      </c>
      <c r="AZ118" s="46">
        <f t="shared" si="115"/>
        <v>0</v>
      </c>
      <c r="BA118" s="46">
        <f t="shared" si="116"/>
        <v>511062</v>
      </c>
      <c r="BB118" s="46"/>
      <c r="BC118" s="46">
        <f t="shared" si="117"/>
        <v>1236232</v>
      </c>
      <c r="BD118" s="46">
        <f t="shared" si="118"/>
        <v>511062</v>
      </c>
      <c r="BE118" s="46">
        <f t="shared" si="119"/>
        <v>1403834</v>
      </c>
      <c r="BF118" s="46">
        <f t="shared" si="120"/>
        <v>52249</v>
      </c>
      <c r="BG118" s="46">
        <f t="shared" si="121"/>
        <v>0</v>
      </c>
      <c r="BH118" s="46">
        <v>0</v>
      </c>
      <c r="BI118" s="46">
        <f t="shared" si="122"/>
        <v>1456083</v>
      </c>
      <c r="BJ118" s="46">
        <f t="shared" si="123"/>
        <v>511062</v>
      </c>
      <c r="BK118" s="46">
        <f t="shared" si="124"/>
        <v>2962029</v>
      </c>
      <c r="BL118" s="46">
        <f t="shared" si="125"/>
        <v>0</v>
      </c>
      <c r="BM118" s="46">
        <f t="shared" si="126"/>
        <v>-511062</v>
      </c>
      <c r="BN118" s="46">
        <v>0</v>
      </c>
      <c r="BO118" s="46">
        <f t="shared" si="127"/>
        <v>2450967</v>
      </c>
      <c r="BP118" s="46">
        <f t="shared" si="128"/>
        <v>0</v>
      </c>
      <c r="BQ118" s="46">
        <f t="shared" si="129"/>
        <v>1099335</v>
      </c>
      <c r="BR118" s="46">
        <f t="shared" si="130"/>
        <v>0</v>
      </c>
      <c r="BS118" s="46">
        <f t="shared" si="131"/>
        <v>136897</v>
      </c>
      <c r="BT118" s="46">
        <v>0</v>
      </c>
      <c r="BU118" s="46">
        <f t="shared" si="132"/>
        <v>1236232</v>
      </c>
      <c r="BV118" s="46">
        <f t="shared" si="133"/>
        <v>136897</v>
      </c>
      <c r="BW118" s="46">
        <f t="shared" si="134"/>
        <v>2106631</v>
      </c>
      <c r="BX118" s="46">
        <f t="shared" si="135"/>
        <v>343403</v>
      </c>
      <c r="BY118" s="46">
        <f t="shared" si="136"/>
        <v>-136897</v>
      </c>
      <c r="BZ118" s="46">
        <v>0</v>
      </c>
      <c r="CA118" s="46">
        <f t="shared" si="137"/>
        <v>2313137</v>
      </c>
      <c r="CB118" s="46">
        <f t="shared" si="138"/>
        <v>0</v>
      </c>
      <c r="CC118" s="155">
        <f t="shared" si="141"/>
        <v>0</v>
      </c>
      <c r="CD118" s="79" t="s">
        <v>538</v>
      </c>
      <c r="CE118" s="65">
        <f t="shared" si="142"/>
        <v>1236232</v>
      </c>
      <c r="CF118" s="65">
        <f t="shared" si="143"/>
        <v>1236232</v>
      </c>
      <c r="CG118" s="65">
        <f t="shared" si="144"/>
        <v>1206733</v>
      </c>
      <c r="CH118" s="65">
        <f t="shared" si="145"/>
        <v>1236232</v>
      </c>
      <c r="CI118" s="65">
        <f t="shared" si="146"/>
        <v>3777772</v>
      </c>
      <c r="CJ118" s="65">
        <f t="shared" si="147"/>
        <v>1272704</v>
      </c>
      <c r="CK118" s="65">
        <f t="shared" si="148"/>
        <v>2276708</v>
      </c>
      <c r="CL118" s="65">
        <f t="shared" si="149"/>
        <v>1236232</v>
      </c>
      <c r="CM118" s="65">
        <f t="shared" si="150"/>
        <v>1456083</v>
      </c>
      <c r="CN118" s="65">
        <f t="shared" si="151"/>
        <v>2450967</v>
      </c>
      <c r="CO118" s="65">
        <f t="shared" si="152"/>
        <v>1236232</v>
      </c>
      <c r="CP118" s="65">
        <f t="shared" si="153"/>
        <v>2313137</v>
      </c>
      <c r="CQ118" s="40" t="s">
        <v>538</v>
      </c>
    </row>
    <row r="119" spans="1:95" ht="3" customHeight="1" x14ac:dyDescent="0.25">
      <c r="A119" s="39">
        <v>1</v>
      </c>
      <c r="B119" s="28">
        <v>7102</v>
      </c>
      <c r="C119" s="28" t="s">
        <v>387</v>
      </c>
      <c r="D119" s="48">
        <f>+DATA!Q117</f>
        <v>9660023.4550000001</v>
      </c>
      <c r="E119" s="48">
        <f t="shared" si="139"/>
        <v>635952</v>
      </c>
      <c r="F119" s="48">
        <f t="shared" si="140"/>
        <v>966002</v>
      </c>
      <c r="G119" s="49">
        <f>VLOOKUP(B119,'CALC MEC ESTAB Y ESTIM M FINAL'!$B$7:$F$352,5,0)</f>
        <v>5.4013265379000003E-3</v>
      </c>
      <c r="H119" s="49">
        <f>VLOOKUP(B119,'CALC MEC ESTAB Y ESTIM M FINAL'!$B$7:$R$352,17,0)</f>
        <v>-4.2496246959999997E-4</v>
      </c>
      <c r="I119" s="46">
        <f t="shared" si="79"/>
        <v>410312</v>
      </c>
      <c r="J119" s="46">
        <f t="shared" si="80"/>
        <v>0</v>
      </c>
      <c r="K119" s="46">
        <f t="shared" si="81"/>
        <v>225640</v>
      </c>
      <c r="L119" s="46">
        <v>0</v>
      </c>
      <c r="M119" s="46">
        <f t="shared" si="82"/>
        <v>635952</v>
      </c>
      <c r="N119" s="46">
        <f t="shared" si="83"/>
        <v>225640</v>
      </c>
      <c r="O119" s="46">
        <f t="shared" si="84"/>
        <v>218190</v>
      </c>
      <c r="P119" s="46">
        <f t="shared" si="85"/>
        <v>0</v>
      </c>
      <c r="Q119" s="46">
        <f t="shared" si="86"/>
        <v>417762</v>
      </c>
      <c r="R119" s="46">
        <v>0</v>
      </c>
      <c r="S119" s="46">
        <f t="shared" si="87"/>
        <v>635952</v>
      </c>
      <c r="T119" s="46">
        <f t="shared" si="88"/>
        <v>643402</v>
      </c>
      <c r="U119" s="46">
        <f t="shared" si="89"/>
        <v>622447</v>
      </c>
      <c r="V119" s="46">
        <f t="shared" si="90"/>
        <v>0</v>
      </c>
      <c r="W119" s="46">
        <f t="shared" si="91"/>
        <v>0</v>
      </c>
      <c r="X119" s="46">
        <v>0</v>
      </c>
      <c r="Y119" s="46">
        <f t="shared" si="92"/>
        <v>622447</v>
      </c>
      <c r="Z119" s="46">
        <f t="shared" si="93"/>
        <v>643402</v>
      </c>
      <c r="AA119" s="46">
        <f t="shared" si="94"/>
        <v>330510</v>
      </c>
      <c r="AB119" s="46">
        <f t="shared" si="95"/>
        <v>0</v>
      </c>
      <c r="AC119" s="46">
        <f t="shared" si="96"/>
        <v>305442</v>
      </c>
      <c r="AD119" s="46">
        <v>0</v>
      </c>
      <c r="AE119" s="46">
        <f t="shared" si="97"/>
        <v>635952</v>
      </c>
      <c r="AF119" s="46">
        <f t="shared" si="98"/>
        <v>948844</v>
      </c>
      <c r="AG119" s="46">
        <f t="shared" si="99"/>
        <v>2876053</v>
      </c>
      <c r="AH119" s="46">
        <f t="shared" si="100"/>
        <v>26545</v>
      </c>
      <c r="AI119" s="46">
        <f t="shared" si="101"/>
        <v>-948844</v>
      </c>
      <c r="AJ119" s="46">
        <v>0</v>
      </c>
      <c r="AK119" s="46">
        <f t="shared" si="102"/>
        <v>1953754</v>
      </c>
      <c r="AL119" s="46">
        <f t="shared" si="103"/>
        <v>0</v>
      </c>
      <c r="AM119" s="46">
        <f t="shared" si="104"/>
        <v>569673</v>
      </c>
      <c r="AN119" s="46">
        <f t="shared" si="105"/>
        <v>18813</v>
      </c>
      <c r="AO119" s="46">
        <f t="shared" si="106"/>
        <v>66279</v>
      </c>
      <c r="AP119" s="46">
        <v>0</v>
      </c>
      <c r="AQ119" s="46">
        <f t="shared" si="107"/>
        <v>654765</v>
      </c>
      <c r="AR119" s="46">
        <f t="shared" si="108"/>
        <v>66279</v>
      </c>
      <c r="AS119" s="46">
        <f t="shared" si="109"/>
        <v>1132408</v>
      </c>
      <c r="AT119" s="46">
        <f t="shared" si="110"/>
        <v>109936</v>
      </c>
      <c r="AU119" s="46">
        <f t="shared" si="111"/>
        <v>-66279</v>
      </c>
      <c r="AV119" s="46">
        <v>0</v>
      </c>
      <c r="AW119" s="46">
        <f t="shared" si="112"/>
        <v>1176065</v>
      </c>
      <c r="AX119" s="46">
        <f t="shared" si="113"/>
        <v>0</v>
      </c>
      <c r="AY119" s="46">
        <f t="shared" si="114"/>
        <v>374052</v>
      </c>
      <c r="AZ119" s="46">
        <f t="shared" si="115"/>
        <v>0</v>
      </c>
      <c r="BA119" s="46">
        <f t="shared" si="116"/>
        <v>261900</v>
      </c>
      <c r="BB119" s="46"/>
      <c r="BC119" s="46">
        <f t="shared" si="117"/>
        <v>635952</v>
      </c>
      <c r="BD119" s="46">
        <f t="shared" si="118"/>
        <v>261900</v>
      </c>
      <c r="BE119" s="46">
        <f t="shared" si="119"/>
        <v>724114</v>
      </c>
      <c r="BF119" s="46">
        <f t="shared" si="120"/>
        <v>26951</v>
      </c>
      <c r="BG119" s="46">
        <f t="shared" si="121"/>
        <v>0</v>
      </c>
      <c r="BH119" s="46">
        <v>0</v>
      </c>
      <c r="BI119" s="46">
        <f t="shared" si="122"/>
        <v>751065</v>
      </c>
      <c r="BJ119" s="46">
        <f t="shared" si="123"/>
        <v>261900</v>
      </c>
      <c r="BK119" s="46">
        <f t="shared" si="124"/>
        <v>1527850</v>
      </c>
      <c r="BL119" s="46">
        <f t="shared" si="125"/>
        <v>0</v>
      </c>
      <c r="BM119" s="46">
        <f t="shared" si="126"/>
        <v>-261900</v>
      </c>
      <c r="BN119" s="46">
        <v>0</v>
      </c>
      <c r="BO119" s="46">
        <f t="shared" si="127"/>
        <v>1265950</v>
      </c>
      <c r="BP119" s="46">
        <f t="shared" si="128"/>
        <v>0</v>
      </c>
      <c r="BQ119" s="46">
        <f t="shared" si="129"/>
        <v>567050</v>
      </c>
      <c r="BR119" s="46">
        <f t="shared" si="130"/>
        <v>0</v>
      </c>
      <c r="BS119" s="46">
        <f t="shared" si="131"/>
        <v>68902</v>
      </c>
      <c r="BT119" s="46">
        <v>0</v>
      </c>
      <c r="BU119" s="46">
        <f t="shared" si="132"/>
        <v>635952</v>
      </c>
      <c r="BV119" s="46">
        <f t="shared" si="133"/>
        <v>68902</v>
      </c>
      <c r="BW119" s="46">
        <f t="shared" si="134"/>
        <v>1086625</v>
      </c>
      <c r="BX119" s="46">
        <f t="shared" si="135"/>
        <v>177131</v>
      </c>
      <c r="BY119" s="46">
        <f t="shared" si="136"/>
        <v>-68902</v>
      </c>
      <c r="BZ119" s="46">
        <v>0</v>
      </c>
      <c r="CA119" s="46">
        <f t="shared" si="137"/>
        <v>1194854</v>
      </c>
      <c r="CB119" s="46">
        <f t="shared" si="138"/>
        <v>0</v>
      </c>
      <c r="CC119" s="155">
        <f t="shared" si="141"/>
        <v>0</v>
      </c>
      <c r="CD119" s="79" t="s">
        <v>538</v>
      </c>
      <c r="CE119" s="65">
        <f t="shared" si="142"/>
        <v>635952</v>
      </c>
      <c r="CF119" s="65">
        <f t="shared" si="143"/>
        <v>635952</v>
      </c>
      <c r="CG119" s="65">
        <f t="shared" si="144"/>
        <v>622447</v>
      </c>
      <c r="CH119" s="65">
        <f t="shared" si="145"/>
        <v>635952</v>
      </c>
      <c r="CI119" s="65">
        <f t="shared" si="146"/>
        <v>1953754</v>
      </c>
      <c r="CJ119" s="65">
        <f t="shared" si="147"/>
        <v>654765</v>
      </c>
      <c r="CK119" s="65">
        <f t="shared" si="148"/>
        <v>1176065</v>
      </c>
      <c r="CL119" s="65">
        <f t="shared" si="149"/>
        <v>635952</v>
      </c>
      <c r="CM119" s="65">
        <f t="shared" si="150"/>
        <v>751065</v>
      </c>
      <c r="CN119" s="65">
        <f t="shared" si="151"/>
        <v>1265950</v>
      </c>
      <c r="CO119" s="65">
        <f t="shared" si="152"/>
        <v>635952</v>
      </c>
      <c r="CP119" s="65">
        <f t="shared" si="153"/>
        <v>1194854</v>
      </c>
      <c r="CQ119" s="40" t="s">
        <v>538</v>
      </c>
    </row>
    <row r="120" spans="1:95" ht="3" customHeight="1" x14ac:dyDescent="0.25">
      <c r="A120" s="39">
        <v>1</v>
      </c>
      <c r="B120" s="28">
        <v>7103</v>
      </c>
      <c r="C120" s="28" t="s">
        <v>157</v>
      </c>
      <c r="D120" s="48">
        <f>+DATA!Q118</f>
        <v>3556133.57</v>
      </c>
      <c r="E120" s="48">
        <f t="shared" si="139"/>
        <v>234112</v>
      </c>
      <c r="F120" s="48">
        <f t="shared" si="140"/>
        <v>355613</v>
      </c>
      <c r="G120" s="49">
        <f>VLOOKUP(B120,'CALC MEC ESTAB Y ESTIM M FINAL'!$B$7:$F$352,5,0)</f>
        <v>2.2029037592000002E-3</v>
      </c>
      <c r="H120" s="49">
        <f>VLOOKUP(B120,'CALC MEC ESTAB Y ESTIM M FINAL'!$B$7:$R$352,17,0)</f>
        <v>-2.7393482919999999E-4</v>
      </c>
      <c r="I120" s="46">
        <f t="shared" si="79"/>
        <v>159048</v>
      </c>
      <c r="J120" s="46">
        <f t="shared" si="80"/>
        <v>0</v>
      </c>
      <c r="K120" s="46">
        <f t="shared" si="81"/>
        <v>75064</v>
      </c>
      <c r="L120" s="46">
        <v>0</v>
      </c>
      <c r="M120" s="46">
        <f t="shared" si="82"/>
        <v>234112</v>
      </c>
      <c r="N120" s="46">
        <f t="shared" si="83"/>
        <v>75064</v>
      </c>
      <c r="O120" s="46">
        <f t="shared" si="84"/>
        <v>84576</v>
      </c>
      <c r="P120" s="46">
        <f t="shared" si="85"/>
        <v>0</v>
      </c>
      <c r="Q120" s="46">
        <f t="shared" si="86"/>
        <v>149536</v>
      </c>
      <c r="R120" s="46">
        <v>0</v>
      </c>
      <c r="S120" s="46">
        <f t="shared" si="87"/>
        <v>234112</v>
      </c>
      <c r="T120" s="46">
        <f t="shared" si="88"/>
        <v>224600</v>
      </c>
      <c r="U120" s="46">
        <f t="shared" si="89"/>
        <v>241277</v>
      </c>
      <c r="V120" s="46">
        <f t="shared" si="90"/>
        <v>0</v>
      </c>
      <c r="W120" s="46">
        <f t="shared" si="91"/>
        <v>0</v>
      </c>
      <c r="X120" s="46">
        <v>0</v>
      </c>
      <c r="Y120" s="46">
        <f t="shared" si="92"/>
        <v>241277</v>
      </c>
      <c r="Z120" s="46">
        <f t="shared" si="93"/>
        <v>224600</v>
      </c>
      <c r="AA120" s="46">
        <f t="shared" si="94"/>
        <v>128114</v>
      </c>
      <c r="AB120" s="46">
        <f t="shared" si="95"/>
        <v>0</v>
      </c>
      <c r="AC120" s="46">
        <f t="shared" si="96"/>
        <v>105998</v>
      </c>
      <c r="AD120" s="46">
        <v>0</v>
      </c>
      <c r="AE120" s="46">
        <f t="shared" si="97"/>
        <v>234112</v>
      </c>
      <c r="AF120" s="46">
        <f t="shared" si="98"/>
        <v>330598</v>
      </c>
      <c r="AG120" s="46">
        <f t="shared" si="99"/>
        <v>1114833</v>
      </c>
      <c r="AH120" s="46">
        <f t="shared" si="100"/>
        <v>10290</v>
      </c>
      <c r="AI120" s="46">
        <f t="shared" si="101"/>
        <v>-330598</v>
      </c>
      <c r="AJ120" s="46">
        <v>0</v>
      </c>
      <c r="AK120" s="46">
        <f t="shared" si="102"/>
        <v>794525</v>
      </c>
      <c r="AL120" s="46">
        <f t="shared" si="103"/>
        <v>0</v>
      </c>
      <c r="AM120" s="46">
        <f t="shared" si="104"/>
        <v>220820</v>
      </c>
      <c r="AN120" s="46">
        <f t="shared" si="105"/>
        <v>7292</v>
      </c>
      <c r="AO120" s="46">
        <f t="shared" si="106"/>
        <v>13292</v>
      </c>
      <c r="AP120" s="46">
        <v>0</v>
      </c>
      <c r="AQ120" s="46">
        <f t="shared" si="107"/>
        <v>241404</v>
      </c>
      <c r="AR120" s="46">
        <f t="shared" si="108"/>
        <v>13292</v>
      </c>
      <c r="AS120" s="46">
        <f t="shared" si="109"/>
        <v>438951</v>
      </c>
      <c r="AT120" s="46">
        <f t="shared" si="110"/>
        <v>42614</v>
      </c>
      <c r="AU120" s="46">
        <f t="shared" si="111"/>
        <v>-13292</v>
      </c>
      <c r="AV120" s="46">
        <v>0</v>
      </c>
      <c r="AW120" s="46">
        <f t="shared" si="112"/>
        <v>468273</v>
      </c>
      <c r="AX120" s="46">
        <f t="shared" si="113"/>
        <v>0</v>
      </c>
      <c r="AY120" s="46">
        <f t="shared" si="114"/>
        <v>144992</v>
      </c>
      <c r="AZ120" s="46">
        <f t="shared" si="115"/>
        <v>0</v>
      </c>
      <c r="BA120" s="46">
        <f t="shared" si="116"/>
        <v>89120</v>
      </c>
      <c r="BB120" s="46"/>
      <c r="BC120" s="46">
        <f t="shared" si="117"/>
        <v>234112</v>
      </c>
      <c r="BD120" s="46">
        <f t="shared" si="118"/>
        <v>89120</v>
      </c>
      <c r="BE120" s="46">
        <f t="shared" si="119"/>
        <v>280686</v>
      </c>
      <c r="BF120" s="46">
        <f t="shared" si="120"/>
        <v>10447</v>
      </c>
      <c r="BG120" s="46">
        <f t="shared" si="121"/>
        <v>0</v>
      </c>
      <c r="BH120" s="46">
        <v>0</v>
      </c>
      <c r="BI120" s="46">
        <f t="shared" si="122"/>
        <v>291133</v>
      </c>
      <c r="BJ120" s="46">
        <f t="shared" si="123"/>
        <v>89120</v>
      </c>
      <c r="BK120" s="46">
        <f t="shared" si="124"/>
        <v>592235</v>
      </c>
      <c r="BL120" s="46">
        <f t="shared" si="125"/>
        <v>0</v>
      </c>
      <c r="BM120" s="46">
        <f t="shared" si="126"/>
        <v>-89120</v>
      </c>
      <c r="BN120" s="46">
        <v>0</v>
      </c>
      <c r="BO120" s="46">
        <f t="shared" si="127"/>
        <v>503115</v>
      </c>
      <c r="BP120" s="46">
        <f t="shared" si="128"/>
        <v>0</v>
      </c>
      <c r="BQ120" s="46">
        <f t="shared" si="129"/>
        <v>219804</v>
      </c>
      <c r="BR120" s="46">
        <f t="shared" si="130"/>
        <v>0</v>
      </c>
      <c r="BS120" s="46">
        <f t="shared" si="131"/>
        <v>14308</v>
      </c>
      <c r="BT120" s="46">
        <v>0</v>
      </c>
      <c r="BU120" s="46">
        <f t="shared" si="132"/>
        <v>234112</v>
      </c>
      <c r="BV120" s="46">
        <f t="shared" si="133"/>
        <v>14308</v>
      </c>
      <c r="BW120" s="46">
        <f t="shared" si="134"/>
        <v>421204</v>
      </c>
      <c r="BX120" s="46">
        <f t="shared" si="135"/>
        <v>68661</v>
      </c>
      <c r="BY120" s="46">
        <f t="shared" si="136"/>
        <v>-14308</v>
      </c>
      <c r="BZ120" s="46">
        <v>0</v>
      </c>
      <c r="CA120" s="46">
        <f t="shared" si="137"/>
        <v>475557</v>
      </c>
      <c r="CB120" s="46">
        <f t="shared" si="138"/>
        <v>0</v>
      </c>
      <c r="CC120" s="155">
        <f t="shared" si="141"/>
        <v>0</v>
      </c>
      <c r="CD120" s="79" t="s">
        <v>538</v>
      </c>
      <c r="CE120" s="65">
        <f t="shared" si="142"/>
        <v>234112</v>
      </c>
      <c r="CF120" s="65">
        <f t="shared" si="143"/>
        <v>234112</v>
      </c>
      <c r="CG120" s="65">
        <f t="shared" si="144"/>
        <v>241277</v>
      </c>
      <c r="CH120" s="65">
        <f t="shared" si="145"/>
        <v>234112</v>
      </c>
      <c r="CI120" s="65">
        <f t="shared" si="146"/>
        <v>794525</v>
      </c>
      <c r="CJ120" s="65">
        <f t="shared" si="147"/>
        <v>241404</v>
      </c>
      <c r="CK120" s="65">
        <f t="shared" si="148"/>
        <v>468273</v>
      </c>
      <c r="CL120" s="65">
        <f t="shared" si="149"/>
        <v>234112</v>
      </c>
      <c r="CM120" s="65">
        <f t="shared" si="150"/>
        <v>291133</v>
      </c>
      <c r="CN120" s="65">
        <f t="shared" si="151"/>
        <v>503115</v>
      </c>
      <c r="CO120" s="65">
        <f t="shared" si="152"/>
        <v>234112</v>
      </c>
      <c r="CP120" s="65">
        <f t="shared" si="153"/>
        <v>475557</v>
      </c>
      <c r="CQ120" s="40" t="s">
        <v>538</v>
      </c>
    </row>
    <row r="121" spans="1:95" ht="3" customHeight="1" x14ac:dyDescent="0.25">
      <c r="A121" s="39">
        <v>1</v>
      </c>
      <c r="B121" s="28">
        <v>7104</v>
      </c>
      <c r="C121" s="28" t="s">
        <v>158</v>
      </c>
      <c r="D121" s="48">
        <f>+DATA!Q119</f>
        <v>2516440.2119999998</v>
      </c>
      <c r="E121" s="48">
        <f t="shared" si="139"/>
        <v>165666</v>
      </c>
      <c r="F121" s="48">
        <f t="shared" si="140"/>
        <v>251644</v>
      </c>
      <c r="G121" s="49">
        <f>VLOOKUP(B121,'CALC MEC ESTAB Y ESTIM M FINAL'!$B$7:$F$352,5,0)</f>
        <v>1.4472452520999999E-3</v>
      </c>
      <c r="H121" s="49">
        <f>VLOOKUP(B121,'CALC MEC ESTAB Y ESTIM M FINAL'!$B$7:$R$352,17,0)</f>
        <v>-1.3320256610000001E-4</v>
      </c>
      <c r="I121" s="46">
        <f t="shared" si="79"/>
        <v>108346</v>
      </c>
      <c r="J121" s="46">
        <f t="shared" si="80"/>
        <v>0</v>
      </c>
      <c r="K121" s="46">
        <f t="shared" si="81"/>
        <v>57320</v>
      </c>
      <c r="L121" s="46">
        <v>0</v>
      </c>
      <c r="M121" s="46">
        <f t="shared" si="82"/>
        <v>165666</v>
      </c>
      <c r="N121" s="46">
        <f t="shared" si="83"/>
        <v>57320</v>
      </c>
      <c r="O121" s="46">
        <f t="shared" si="84"/>
        <v>57615</v>
      </c>
      <c r="P121" s="46">
        <f t="shared" si="85"/>
        <v>0</v>
      </c>
      <c r="Q121" s="46">
        <f t="shared" si="86"/>
        <v>108051</v>
      </c>
      <c r="R121" s="46">
        <v>0</v>
      </c>
      <c r="S121" s="46">
        <f t="shared" si="87"/>
        <v>165666</v>
      </c>
      <c r="T121" s="46">
        <f t="shared" si="88"/>
        <v>165371</v>
      </c>
      <c r="U121" s="46">
        <f t="shared" si="89"/>
        <v>164361</v>
      </c>
      <c r="V121" s="46">
        <f t="shared" si="90"/>
        <v>0</v>
      </c>
      <c r="W121" s="46">
        <f t="shared" si="91"/>
        <v>0</v>
      </c>
      <c r="X121" s="46">
        <v>0</v>
      </c>
      <c r="Y121" s="46">
        <f t="shared" si="92"/>
        <v>164361</v>
      </c>
      <c r="Z121" s="46">
        <f t="shared" si="93"/>
        <v>165371</v>
      </c>
      <c r="AA121" s="46">
        <f t="shared" si="94"/>
        <v>87273</v>
      </c>
      <c r="AB121" s="46">
        <f t="shared" si="95"/>
        <v>0</v>
      </c>
      <c r="AC121" s="46">
        <f t="shared" si="96"/>
        <v>78393</v>
      </c>
      <c r="AD121" s="46">
        <v>0</v>
      </c>
      <c r="AE121" s="46">
        <f t="shared" si="97"/>
        <v>165666</v>
      </c>
      <c r="AF121" s="46">
        <f t="shared" si="98"/>
        <v>243764</v>
      </c>
      <c r="AG121" s="46">
        <f t="shared" si="99"/>
        <v>759441</v>
      </c>
      <c r="AH121" s="46">
        <f t="shared" si="100"/>
        <v>7009</v>
      </c>
      <c r="AI121" s="46">
        <f t="shared" si="101"/>
        <v>-243764</v>
      </c>
      <c r="AJ121" s="46">
        <v>0</v>
      </c>
      <c r="AK121" s="46">
        <f t="shared" si="102"/>
        <v>522686</v>
      </c>
      <c r="AL121" s="46">
        <f t="shared" si="103"/>
        <v>0</v>
      </c>
      <c r="AM121" s="46">
        <f t="shared" si="104"/>
        <v>150426</v>
      </c>
      <c r="AN121" s="46">
        <f t="shared" si="105"/>
        <v>4968</v>
      </c>
      <c r="AO121" s="46">
        <f t="shared" si="106"/>
        <v>15240</v>
      </c>
      <c r="AP121" s="46">
        <v>0</v>
      </c>
      <c r="AQ121" s="46">
        <f t="shared" si="107"/>
        <v>170634</v>
      </c>
      <c r="AR121" s="46">
        <f t="shared" si="108"/>
        <v>15240</v>
      </c>
      <c r="AS121" s="46">
        <f t="shared" si="109"/>
        <v>299020</v>
      </c>
      <c r="AT121" s="46">
        <f t="shared" si="110"/>
        <v>29029</v>
      </c>
      <c r="AU121" s="46">
        <f t="shared" si="111"/>
        <v>-15240</v>
      </c>
      <c r="AV121" s="46">
        <v>0</v>
      </c>
      <c r="AW121" s="46">
        <f t="shared" si="112"/>
        <v>312809</v>
      </c>
      <c r="AX121" s="46">
        <f t="shared" si="113"/>
        <v>0</v>
      </c>
      <c r="AY121" s="46">
        <f t="shared" si="114"/>
        <v>98771</v>
      </c>
      <c r="AZ121" s="46">
        <f t="shared" si="115"/>
        <v>0</v>
      </c>
      <c r="BA121" s="46">
        <f t="shared" si="116"/>
        <v>66895</v>
      </c>
      <c r="BB121" s="46"/>
      <c r="BC121" s="46">
        <f t="shared" si="117"/>
        <v>165666</v>
      </c>
      <c r="BD121" s="46">
        <f t="shared" si="118"/>
        <v>66895</v>
      </c>
      <c r="BE121" s="46">
        <f t="shared" si="119"/>
        <v>191207</v>
      </c>
      <c r="BF121" s="46">
        <f t="shared" si="120"/>
        <v>7117</v>
      </c>
      <c r="BG121" s="46">
        <f t="shared" si="121"/>
        <v>0</v>
      </c>
      <c r="BH121" s="46">
        <v>0</v>
      </c>
      <c r="BI121" s="46">
        <f t="shared" si="122"/>
        <v>198324</v>
      </c>
      <c r="BJ121" s="46">
        <f t="shared" si="123"/>
        <v>66895</v>
      </c>
      <c r="BK121" s="46">
        <f t="shared" si="124"/>
        <v>403439</v>
      </c>
      <c r="BL121" s="46">
        <f t="shared" si="125"/>
        <v>0</v>
      </c>
      <c r="BM121" s="46">
        <f t="shared" si="126"/>
        <v>-66895</v>
      </c>
      <c r="BN121" s="46">
        <v>0</v>
      </c>
      <c r="BO121" s="46">
        <f t="shared" si="127"/>
        <v>336544</v>
      </c>
      <c r="BP121" s="46">
        <f t="shared" si="128"/>
        <v>0</v>
      </c>
      <c r="BQ121" s="46">
        <f t="shared" si="129"/>
        <v>149734</v>
      </c>
      <c r="BR121" s="46">
        <f t="shared" si="130"/>
        <v>0</v>
      </c>
      <c r="BS121" s="46">
        <f t="shared" si="131"/>
        <v>15932</v>
      </c>
      <c r="BT121" s="46">
        <v>0</v>
      </c>
      <c r="BU121" s="46">
        <f t="shared" si="132"/>
        <v>165666</v>
      </c>
      <c r="BV121" s="46">
        <f t="shared" si="133"/>
        <v>15932</v>
      </c>
      <c r="BW121" s="46">
        <f t="shared" si="134"/>
        <v>286931</v>
      </c>
      <c r="BX121" s="46">
        <f t="shared" si="135"/>
        <v>46773</v>
      </c>
      <c r="BY121" s="46">
        <f t="shared" si="136"/>
        <v>-15932</v>
      </c>
      <c r="BZ121" s="46">
        <v>0</v>
      </c>
      <c r="CA121" s="46">
        <f t="shared" si="137"/>
        <v>317772</v>
      </c>
      <c r="CB121" s="46">
        <f t="shared" si="138"/>
        <v>0</v>
      </c>
      <c r="CC121" s="155">
        <f t="shared" si="141"/>
        <v>0</v>
      </c>
      <c r="CD121" s="79" t="s">
        <v>538</v>
      </c>
      <c r="CE121" s="65">
        <f t="shared" si="142"/>
        <v>165666</v>
      </c>
      <c r="CF121" s="65">
        <f t="shared" si="143"/>
        <v>165666</v>
      </c>
      <c r="CG121" s="65">
        <f t="shared" si="144"/>
        <v>164361</v>
      </c>
      <c r="CH121" s="65">
        <f t="shared" si="145"/>
        <v>165666</v>
      </c>
      <c r="CI121" s="65">
        <f t="shared" si="146"/>
        <v>522686</v>
      </c>
      <c r="CJ121" s="65">
        <f t="shared" si="147"/>
        <v>170634</v>
      </c>
      <c r="CK121" s="65">
        <f t="shared" si="148"/>
        <v>312809</v>
      </c>
      <c r="CL121" s="65">
        <f t="shared" si="149"/>
        <v>165666</v>
      </c>
      <c r="CM121" s="65">
        <f t="shared" si="150"/>
        <v>198324</v>
      </c>
      <c r="CN121" s="65">
        <f t="shared" si="151"/>
        <v>336544</v>
      </c>
      <c r="CO121" s="65">
        <f t="shared" si="152"/>
        <v>165666</v>
      </c>
      <c r="CP121" s="65">
        <f t="shared" si="153"/>
        <v>317772</v>
      </c>
      <c r="CQ121" s="40" t="s">
        <v>538</v>
      </c>
    </row>
    <row r="122" spans="1:95" ht="3" customHeight="1" x14ac:dyDescent="0.25">
      <c r="A122" s="39">
        <v>1</v>
      </c>
      <c r="B122" s="28">
        <v>7105</v>
      </c>
      <c r="C122" s="28" t="s">
        <v>156</v>
      </c>
      <c r="D122" s="48">
        <f>+DATA!Q120</f>
        <v>8427092.9230000004</v>
      </c>
      <c r="E122" s="48">
        <f t="shared" si="139"/>
        <v>554784</v>
      </c>
      <c r="F122" s="48">
        <f t="shared" si="140"/>
        <v>842709</v>
      </c>
      <c r="G122" s="49">
        <f>VLOOKUP(B122,'CALC MEC ESTAB Y ESTIM M FINAL'!$B$7:$F$352,5,0)</f>
        <v>4.8413198428000001E-3</v>
      </c>
      <c r="H122" s="49">
        <f>VLOOKUP(B122,'CALC MEC ESTAB Y ESTIM M FINAL'!$B$7:$R$352,17,0)</f>
        <v>-4.423700495E-4</v>
      </c>
      <c r="I122" s="46">
        <f t="shared" si="79"/>
        <v>362703</v>
      </c>
      <c r="J122" s="46">
        <f t="shared" si="80"/>
        <v>0</v>
      </c>
      <c r="K122" s="46">
        <f t="shared" si="81"/>
        <v>192081</v>
      </c>
      <c r="L122" s="46">
        <v>0</v>
      </c>
      <c r="M122" s="46">
        <f t="shared" si="82"/>
        <v>554784</v>
      </c>
      <c r="N122" s="46">
        <f t="shared" si="83"/>
        <v>192081</v>
      </c>
      <c r="O122" s="46">
        <f t="shared" si="84"/>
        <v>192873</v>
      </c>
      <c r="P122" s="46">
        <f t="shared" si="85"/>
        <v>0</v>
      </c>
      <c r="Q122" s="46">
        <f t="shared" si="86"/>
        <v>361911</v>
      </c>
      <c r="R122" s="46">
        <v>0</v>
      </c>
      <c r="S122" s="46">
        <f t="shared" si="87"/>
        <v>554784</v>
      </c>
      <c r="T122" s="46">
        <f t="shared" si="88"/>
        <v>553992</v>
      </c>
      <c r="U122" s="46">
        <f t="shared" si="89"/>
        <v>550224</v>
      </c>
      <c r="V122" s="46">
        <f t="shared" si="90"/>
        <v>0</v>
      </c>
      <c r="W122" s="46">
        <f t="shared" si="91"/>
        <v>0</v>
      </c>
      <c r="X122" s="46">
        <v>0</v>
      </c>
      <c r="Y122" s="46">
        <f t="shared" si="92"/>
        <v>550224</v>
      </c>
      <c r="Z122" s="46">
        <f t="shared" si="93"/>
        <v>553992</v>
      </c>
      <c r="AA122" s="46">
        <f t="shared" si="94"/>
        <v>292160</v>
      </c>
      <c r="AB122" s="46">
        <f t="shared" si="95"/>
        <v>0</v>
      </c>
      <c r="AC122" s="46">
        <f t="shared" si="96"/>
        <v>262624</v>
      </c>
      <c r="AD122" s="46">
        <v>0</v>
      </c>
      <c r="AE122" s="46">
        <f t="shared" si="97"/>
        <v>554784</v>
      </c>
      <c r="AF122" s="46">
        <f t="shared" si="98"/>
        <v>816616</v>
      </c>
      <c r="AG122" s="46">
        <f t="shared" si="99"/>
        <v>2542341</v>
      </c>
      <c r="AH122" s="46">
        <f t="shared" si="100"/>
        <v>23465</v>
      </c>
      <c r="AI122" s="46">
        <f t="shared" si="101"/>
        <v>-816616</v>
      </c>
      <c r="AJ122" s="46">
        <v>0</v>
      </c>
      <c r="AK122" s="46">
        <f t="shared" si="102"/>
        <v>1749190</v>
      </c>
      <c r="AL122" s="46">
        <f t="shared" si="103"/>
        <v>0</v>
      </c>
      <c r="AM122" s="46">
        <f t="shared" si="104"/>
        <v>503573</v>
      </c>
      <c r="AN122" s="46">
        <f t="shared" si="105"/>
        <v>16630</v>
      </c>
      <c r="AO122" s="46">
        <f t="shared" si="106"/>
        <v>51211</v>
      </c>
      <c r="AP122" s="46">
        <v>0</v>
      </c>
      <c r="AQ122" s="46">
        <f t="shared" si="107"/>
        <v>571414</v>
      </c>
      <c r="AR122" s="46">
        <f t="shared" si="108"/>
        <v>51211</v>
      </c>
      <c r="AS122" s="46">
        <f t="shared" si="109"/>
        <v>1001013</v>
      </c>
      <c r="AT122" s="46">
        <f t="shared" si="110"/>
        <v>97180</v>
      </c>
      <c r="AU122" s="46">
        <f t="shared" si="111"/>
        <v>-51211</v>
      </c>
      <c r="AV122" s="46">
        <v>0</v>
      </c>
      <c r="AW122" s="46">
        <f t="shared" si="112"/>
        <v>1046982</v>
      </c>
      <c r="AX122" s="46">
        <f t="shared" si="113"/>
        <v>0</v>
      </c>
      <c r="AY122" s="46">
        <f t="shared" si="114"/>
        <v>330650</v>
      </c>
      <c r="AZ122" s="46">
        <f t="shared" si="115"/>
        <v>0</v>
      </c>
      <c r="BA122" s="46">
        <f t="shared" si="116"/>
        <v>224134</v>
      </c>
      <c r="BB122" s="46"/>
      <c r="BC122" s="46">
        <f t="shared" si="117"/>
        <v>554784</v>
      </c>
      <c r="BD122" s="46">
        <f t="shared" si="118"/>
        <v>224134</v>
      </c>
      <c r="BE122" s="46">
        <f t="shared" si="119"/>
        <v>640094</v>
      </c>
      <c r="BF122" s="46">
        <f t="shared" si="120"/>
        <v>23824</v>
      </c>
      <c r="BG122" s="46">
        <f t="shared" si="121"/>
        <v>0</v>
      </c>
      <c r="BH122" s="46">
        <v>0</v>
      </c>
      <c r="BI122" s="46">
        <f t="shared" si="122"/>
        <v>663918</v>
      </c>
      <c r="BJ122" s="46">
        <f t="shared" si="123"/>
        <v>224134</v>
      </c>
      <c r="BK122" s="46">
        <f t="shared" si="124"/>
        <v>1350571</v>
      </c>
      <c r="BL122" s="46">
        <f t="shared" si="125"/>
        <v>0</v>
      </c>
      <c r="BM122" s="46">
        <f t="shared" si="126"/>
        <v>-224134</v>
      </c>
      <c r="BN122" s="46">
        <v>0</v>
      </c>
      <c r="BO122" s="46">
        <f t="shared" si="127"/>
        <v>1126437</v>
      </c>
      <c r="BP122" s="46">
        <f t="shared" si="128"/>
        <v>0</v>
      </c>
      <c r="BQ122" s="46">
        <f t="shared" si="129"/>
        <v>501255</v>
      </c>
      <c r="BR122" s="46">
        <f t="shared" si="130"/>
        <v>0</v>
      </c>
      <c r="BS122" s="46">
        <f t="shared" si="131"/>
        <v>53529</v>
      </c>
      <c r="BT122" s="46">
        <v>0</v>
      </c>
      <c r="BU122" s="46">
        <f t="shared" si="132"/>
        <v>554784</v>
      </c>
      <c r="BV122" s="46">
        <f t="shared" si="133"/>
        <v>53529</v>
      </c>
      <c r="BW122" s="46">
        <f t="shared" si="134"/>
        <v>960543</v>
      </c>
      <c r="BX122" s="46">
        <f t="shared" si="135"/>
        <v>156578</v>
      </c>
      <c r="BY122" s="46">
        <f t="shared" si="136"/>
        <v>-53529</v>
      </c>
      <c r="BZ122" s="46">
        <v>0</v>
      </c>
      <c r="CA122" s="46">
        <f t="shared" si="137"/>
        <v>1063592</v>
      </c>
      <c r="CB122" s="46">
        <f t="shared" si="138"/>
        <v>0</v>
      </c>
      <c r="CC122" s="155">
        <f t="shared" si="141"/>
        <v>0</v>
      </c>
      <c r="CD122" s="79" t="s">
        <v>538</v>
      </c>
      <c r="CE122" s="65">
        <f t="shared" si="142"/>
        <v>554784</v>
      </c>
      <c r="CF122" s="65">
        <f t="shared" si="143"/>
        <v>554784</v>
      </c>
      <c r="CG122" s="65">
        <f t="shared" si="144"/>
        <v>550224</v>
      </c>
      <c r="CH122" s="65">
        <f t="shared" si="145"/>
        <v>554784</v>
      </c>
      <c r="CI122" s="65">
        <f t="shared" si="146"/>
        <v>1749190</v>
      </c>
      <c r="CJ122" s="65">
        <f t="shared" si="147"/>
        <v>571414</v>
      </c>
      <c r="CK122" s="65">
        <f t="shared" si="148"/>
        <v>1046982</v>
      </c>
      <c r="CL122" s="65">
        <f t="shared" si="149"/>
        <v>554784</v>
      </c>
      <c r="CM122" s="65">
        <f t="shared" si="150"/>
        <v>663918</v>
      </c>
      <c r="CN122" s="65">
        <f t="shared" si="151"/>
        <v>1126437</v>
      </c>
      <c r="CO122" s="65">
        <f t="shared" si="152"/>
        <v>554784</v>
      </c>
      <c r="CP122" s="65">
        <f t="shared" si="153"/>
        <v>1063592</v>
      </c>
      <c r="CQ122" s="40" t="s">
        <v>538</v>
      </c>
    </row>
    <row r="123" spans="1:95" ht="3" customHeight="1" x14ac:dyDescent="0.25">
      <c r="A123" s="39">
        <v>1</v>
      </c>
      <c r="B123" s="28">
        <v>7106</v>
      </c>
      <c r="C123" s="28" t="s">
        <v>154</v>
      </c>
      <c r="D123" s="48">
        <f>+DATA!Q121</f>
        <v>1938212.0430000001</v>
      </c>
      <c r="E123" s="48">
        <f t="shared" si="139"/>
        <v>127599</v>
      </c>
      <c r="F123" s="48">
        <f t="shared" si="140"/>
        <v>193821</v>
      </c>
      <c r="G123" s="49">
        <f>VLOOKUP(B123,'CALC MEC ESTAB Y ESTIM M FINAL'!$B$7:$F$352,5,0)</f>
        <v>1.0246384169999999E-3</v>
      </c>
      <c r="H123" s="49">
        <f>VLOOKUP(B123,'CALC MEC ESTAB Y ESTIM M FINAL'!$B$7:$R$352,17,0)</f>
        <v>-5.3172231299999999E-5</v>
      </c>
      <c r="I123" s="46">
        <f t="shared" si="79"/>
        <v>80099</v>
      </c>
      <c r="J123" s="46">
        <f t="shared" si="80"/>
        <v>0</v>
      </c>
      <c r="K123" s="46">
        <f t="shared" si="81"/>
        <v>47500</v>
      </c>
      <c r="L123" s="46">
        <v>0</v>
      </c>
      <c r="M123" s="46">
        <f t="shared" si="82"/>
        <v>127599</v>
      </c>
      <c r="N123" s="46">
        <f t="shared" si="83"/>
        <v>47500</v>
      </c>
      <c r="O123" s="46">
        <f t="shared" si="84"/>
        <v>42594</v>
      </c>
      <c r="P123" s="46">
        <f t="shared" si="85"/>
        <v>0</v>
      </c>
      <c r="Q123" s="46">
        <f t="shared" si="86"/>
        <v>85005</v>
      </c>
      <c r="R123" s="46">
        <v>0</v>
      </c>
      <c r="S123" s="46">
        <f t="shared" si="87"/>
        <v>127599</v>
      </c>
      <c r="T123" s="46">
        <f t="shared" si="88"/>
        <v>132505</v>
      </c>
      <c r="U123" s="46">
        <f t="shared" si="89"/>
        <v>121512</v>
      </c>
      <c r="V123" s="46">
        <f t="shared" si="90"/>
        <v>0</v>
      </c>
      <c r="W123" s="46">
        <f t="shared" si="91"/>
        <v>0</v>
      </c>
      <c r="X123" s="46">
        <v>0</v>
      </c>
      <c r="Y123" s="46">
        <f t="shared" si="92"/>
        <v>121512</v>
      </c>
      <c r="Z123" s="46">
        <f t="shared" si="93"/>
        <v>132505</v>
      </c>
      <c r="AA123" s="46">
        <f t="shared" si="94"/>
        <v>64521</v>
      </c>
      <c r="AB123" s="46">
        <f t="shared" si="95"/>
        <v>0</v>
      </c>
      <c r="AC123" s="46">
        <f t="shared" si="96"/>
        <v>63078</v>
      </c>
      <c r="AD123" s="46">
        <v>0</v>
      </c>
      <c r="AE123" s="46">
        <f t="shared" si="97"/>
        <v>127599</v>
      </c>
      <c r="AF123" s="46">
        <f t="shared" si="98"/>
        <v>195583</v>
      </c>
      <c r="AG123" s="46">
        <f t="shared" si="99"/>
        <v>561452</v>
      </c>
      <c r="AH123" s="46">
        <f t="shared" si="100"/>
        <v>5182</v>
      </c>
      <c r="AI123" s="46">
        <f t="shared" si="101"/>
        <v>-195583</v>
      </c>
      <c r="AJ123" s="46">
        <v>0</v>
      </c>
      <c r="AK123" s="46">
        <f t="shared" si="102"/>
        <v>371051</v>
      </c>
      <c r="AL123" s="46">
        <f t="shared" si="103"/>
        <v>0</v>
      </c>
      <c r="AM123" s="46">
        <f t="shared" si="104"/>
        <v>111209</v>
      </c>
      <c r="AN123" s="46">
        <f t="shared" si="105"/>
        <v>3673</v>
      </c>
      <c r="AO123" s="46">
        <f t="shared" si="106"/>
        <v>16390</v>
      </c>
      <c r="AP123" s="46">
        <v>0</v>
      </c>
      <c r="AQ123" s="46">
        <f t="shared" si="107"/>
        <v>131272</v>
      </c>
      <c r="AR123" s="46">
        <f t="shared" si="108"/>
        <v>16390</v>
      </c>
      <c r="AS123" s="46">
        <f t="shared" si="109"/>
        <v>221064</v>
      </c>
      <c r="AT123" s="46">
        <f t="shared" si="110"/>
        <v>21461</v>
      </c>
      <c r="AU123" s="46">
        <f t="shared" si="111"/>
        <v>-16390</v>
      </c>
      <c r="AV123" s="46">
        <v>0</v>
      </c>
      <c r="AW123" s="46">
        <f t="shared" si="112"/>
        <v>226135</v>
      </c>
      <c r="AX123" s="46">
        <f t="shared" si="113"/>
        <v>0</v>
      </c>
      <c r="AY123" s="46">
        <f t="shared" si="114"/>
        <v>73021</v>
      </c>
      <c r="AZ123" s="46">
        <f t="shared" si="115"/>
        <v>0</v>
      </c>
      <c r="BA123" s="46">
        <f t="shared" si="116"/>
        <v>54578</v>
      </c>
      <c r="BB123" s="46"/>
      <c r="BC123" s="46">
        <f t="shared" si="117"/>
        <v>127599</v>
      </c>
      <c r="BD123" s="46">
        <f t="shared" si="118"/>
        <v>54578</v>
      </c>
      <c r="BE123" s="46">
        <f t="shared" si="119"/>
        <v>141359</v>
      </c>
      <c r="BF123" s="46">
        <f t="shared" si="120"/>
        <v>5261</v>
      </c>
      <c r="BG123" s="46">
        <f t="shared" si="121"/>
        <v>0</v>
      </c>
      <c r="BH123" s="46">
        <v>0</v>
      </c>
      <c r="BI123" s="46">
        <f t="shared" si="122"/>
        <v>146620</v>
      </c>
      <c r="BJ123" s="46">
        <f t="shared" si="123"/>
        <v>54578</v>
      </c>
      <c r="BK123" s="46">
        <f t="shared" si="124"/>
        <v>298261</v>
      </c>
      <c r="BL123" s="46">
        <f t="shared" si="125"/>
        <v>0</v>
      </c>
      <c r="BM123" s="46">
        <f t="shared" si="126"/>
        <v>-54578</v>
      </c>
      <c r="BN123" s="46">
        <v>0</v>
      </c>
      <c r="BO123" s="46">
        <f t="shared" si="127"/>
        <v>243683</v>
      </c>
      <c r="BP123" s="46">
        <f t="shared" si="128"/>
        <v>0</v>
      </c>
      <c r="BQ123" s="46">
        <f t="shared" si="129"/>
        <v>110697</v>
      </c>
      <c r="BR123" s="46">
        <f t="shared" si="130"/>
        <v>0</v>
      </c>
      <c r="BS123" s="46">
        <f t="shared" si="131"/>
        <v>16902</v>
      </c>
      <c r="BT123" s="46">
        <v>0</v>
      </c>
      <c r="BU123" s="46">
        <f t="shared" si="132"/>
        <v>127599</v>
      </c>
      <c r="BV123" s="46">
        <f t="shared" si="133"/>
        <v>16902</v>
      </c>
      <c r="BW123" s="46">
        <f t="shared" si="134"/>
        <v>212127</v>
      </c>
      <c r="BX123" s="46">
        <f t="shared" si="135"/>
        <v>34579</v>
      </c>
      <c r="BY123" s="46">
        <f t="shared" si="136"/>
        <v>-16902</v>
      </c>
      <c r="BZ123" s="46">
        <v>0</v>
      </c>
      <c r="CA123" s="46">
        <f t="shared" si="137"/>
        <v>229804</v>
      </c>
      <c r="CB123" s="46">
        <f t="shared" si="138"/>
        <v>0</v>
      </c>
      <c r="CC123" s="155">
        <f t="shared" si="141"/>
        <v>0</v>
      </c>
      <c r="CD123" s="79" t="s">
        <v>538</v>
      </c>
      <c r="CE123" s="65">
        <f t="shared" si="142"/>
        <v>127599</v>
      </c>
      <c r="CF123" s="65">
        <f t="shared" si="143"/>
        <v>127599</v>
      </c>
      <c r="CG123" s="65">
        <f t="shared" si="144"/>
        <v>121512</v>
      </c>
      <c r="CH123" s="65">
        <f t="shared" si="145"/>
        <v>127599</v>
      </c>
      <c r="CI123" s="65">
        <f t="shared" si="146"/>
        <v>371051</v>
      </c>
      <c r="CJ123" s="65">
        <f t="shared" si="147"/>
        <v>131272</v>
      </c>
      <c r="CK123" s="65">
        <f t="shared" si="148"/>
        <v>226135</v>
      </c>
      <c r="CL123" s="65">
        <f t="shared" si="149"/>
        <v>127599</v>
      </c>
      <c r="CM123" s="65">
        <f t="shared" si="150"/>
        <v>146620</v>
      </c>
      <c r="CN123" s="65">
        <f t="shared" si="151"/>
        <v>243683</v>
      </c>
      <c r="CO123" s="65">
        <f t="shared" si="152"/>
        <v>127599</v>
      </c>
      <c r="CP123" s="65">
        <f t="shared" si="153"/>
        <v>229804</v>
      </c>
      <c r="CQ123" s="40" t="s">
        <v>538</v>
      </c>
    </row>
    <row r="124" spans="1:95" ht="3" customHeight="1" x14ac:dyDescent="0.25">
      <c r="A124" s="39">
        <v>1</v>
      </c>
      <c r="B124" s="28">
        <v>7107</v>
      </c>
      <c r="C124" s="28" t="s">
        <v>155</v>
      </c>
      <c r="D124" s="48">
        <f>+DATA!Q122</f>
        <v>2011173.2209999999</v>
      </c>
      <c r="E124" s="48">
        <f t="shared" si="139"/>
        <v>132402</v>
      </c>
      <c r="F124" s="48">
        <f t="shared" si="140"/>
        <v>201117</v>
      </c>
      <c r="G124" s="49">
        <f>VLOOKUP(B124,'CALC MEC ESTAB Y ESTIM M FINAL'!$B$7:$F$352,5,0)</f>
        <v>1.0735078122E-3</v>
      </c>
      <c r="H124" s="49">
        <f>VLOOKUP(B124,'CALC MEC ESTAB Y ESTIM M FINAL'!$B$7:$R$352,17,0)</f>
        <v>-6.0745615399999997E-5</v>
      </c>
      <c r="I124" s="46">
        <f t="shared" si="79"/>
        <v>83504</v>
      </c>
      <c r="J124" s="46">
        <f t="shared" si="80"/>
        <v>0</v>
      </c>
      <c r="K124" s="46">
        <f t="shared" si="81"/>
        <v>48898</v>
      </c>
      <c r="L124" s="46">
        <v>0</v>
      </c>
      <c r="M124" s="46">
        <f t="shared" si="82"/>
        <v>132402</v>
      </c>
      <c r="N124" s="46">
        <f t="shared" si="83"/>
        <v>48898</v>
      </c>
      <c r="O124" s="46">
        <f t="shared" si="84"/>
        <v>44405</v>
      </c>
      <c r="P124" s="46">
        <f t="shared" si="85"/>
        <v>0</v>
      </c>
      <c r="Q124" s="46">
        <f t="shared" si="86"/>
        <v>87997</v>
      </c>
      <c r="R124" s="46">
        <v>0</v>
      </c>
      <c r="S124" s="46">
        <f t="shared" si="87"/>
        <v>132402</v>
      </c>
      <c r="T124" s="46">
        <f t="shared" si="88"/>
        <v>136895</v>
      </c>
      <c r="U124" s="46">
        <f t="shared" si="89"/>
        <v>126677</v>
      </c>
      <c r="V124" s="46">
        <f t="shared" si="90"/>
        <v>0</v>
      </c>
      <c r="W124" s="46">
        <f t="shared" si="91"/>
        <v>0</v>
      </c>
      <c r="X124" s="46">
        <v>0</v>
      </c>
      <c r="Y124" s="46">
        <f t="shared" si="92"/>
        <v>126677</v>
      </c>
      <c r="Z124" s="46">
        <f t="shared" si="93"/>
        <v>136895</v>
      </c>
      <c r="AA124" s="46">
        <f t="shared" si="94"/>
        <v>67264</v>
      </c>
      <c r="AB124" s="46">
        <f t="shared" si="95"/>
        <v>0</v>
      </c>
      <c r="AC124" s="46">
        <f t="shared" si="96"/>
        <v>65138</v>
      </c>
      <c r="AD124" s="46">
        <v>0</v>
      </c>
      <c r="AE124" s="46">
        <f t="shared" si="97"/>
        <v>132402</v>
      </c>
      <c r="AF124" s="46">
        <f t="shared" si="98"/>
        <v>202033</v>
      </c>
      <c r="AG124" s="46">
        <f t="shared" si="99"/>
        <v>585318</v>
      </c>
      <c r="AH124" s="46">
        <f t="shared" si="100"/>
        <v>5402</v>
      </c>
      <c r="AI124" s="46">
        <f t="shared" si="101"/>
        <v>-202033</v>
      </c>
      <c r="AJ124" s="46">
        <v>0</v>
      </c>
      <c r="AK124" s="46">
        <f t="shared" si="102"/>
        <v>388687</v>
      </c>
      <c r="AL124" s="46">
        <f t="shared" si="103"/>
        <v>0</v>
      </c>
      <c r="AM124" s="46">
        <f t="shared" si="104"/>
        <v>115937</v>
      </c>
      <c r="AN124" s="46">
        <f t="shared" si="105"/>
        <v>3829</v>
      </c>
      <c r="AO124" s="46">
        <f t="shared" si="106"/>
        <v>16465</v>
      </c>
      <c r="AP124" s="46">
        <v>0</v>
      </c>
      <c r="AQ124" s="46">
        <f t="shared" si="107"/>
        <v>136231</v>
      </c>
      <c r="AR124" s="46">
        <f t="shared" si="108"/>
        <v>16465</v>
      </c>
      <c r="AS124" s="46">
        <f t="shared" si="109"/>
        <v>230461</v>
      </c>
      <c r="AT124" s="46">
        <f t="shared" si="110"/>
        <v>22374</v>
      </c>
      <c r="AU124" s="46">
        <f t="shared" si="111"/>
        <v>-16465</v>
      </c>
      <c r="AV124" s="46">
        <v>0</v>
      </c>
      <c r="AW124" s="46">
        <f t="shared" si="112"/>
        <v>236370</v>
      </c>
      <c r="AX124" s="46">
        <f t="shared" si="113"/>
        <v>0</v>
      </c>
      <c r="AY124" s="46">
        <f t="shared" si="114"/>
        <v>76125</v>
      </c>
      <c r="AZ124" s="46">
        <f t="shared" si="115"/>
        <v>0</v>
      </c>
      <c r="BA124" s="46">
        <f t="shared" si="116"/>
        <v>56277</v>
      </c>
      <c r="BB124" s="46"/>
      <c r="BC124" s="46">
        <f t="shared" si="117"/>
        <v>132402</v>
      </c>
      <c r="BD124" s="46">
        <f t="shared" si="118"/>
        <v>56277</v>
      </c>
      <c r="BE124" s="46">
        <f t="shared" si="119"/>
        <v>147368</v>
      </c>
      <c r="BF124" s="46">
        <f t="shared" si="120"/>
        <v>5485</v>
      </c>
      <c r="BG124" s="46">
        <f t="shared" si="121"/>
        <v>0</v>
      </c>
      <c r="BH124" s="46">
        <v>0</v>
      </c>
      <c r="BI124" s="46">
        <f t="shared" si="122"/>
        <v>152853</v>
      </c>
      <c r="BJ124" s="46">
        <f t="shared" si="123"/>
        <v>56277</v>
      </c>
      <c r="BK124" s="46">
        <f t="shared" si="124"/>
        <v>310940</v>
      </c>
      <c r="BL124" s="46">
        <f t="shared" si="125"/>
        <v>0</v>
      </c>
      <c r="BM124" s="46">
        <f t="shared" si="126"/>
        <v>-56277</v>
      </c>
      <c r="BN124" s="46">
        <v>0</v>
      </c>
      <c r="BO124" s="46">
        <f t="shared" si="127"/>
        <v>254663</v>
      </c>
      <c r="BP124" s="46">
        <f t="shared" si="128"/>
        <v>0</v>
      </c>
      <c r="BQ124" s="46">
        <f t="shared" si="129"/>
        <v>115403</v>
      </c>
      <c r="BR124" s="46">
        <f t="shared" si="130"/>
        <v>0</v>
      </c>
      <c r="BS124" s="46">
        <f t="shared" si="131"/>
        <v>16999</v>
      </c>
      <c r="BT124" s="46">
        <v>0</v>
      </c>
      <c r="BU124" s="46">
        <f t="shared" si="132"/>
        <v>132402</v>
      </c>
      <c r="BV124" s="46">
        <f t="shared" si="133"/>
        <v>16999</v>
      </c>
      <c r="BW124" s="46">
        <f t="shared" si="134"/>
        <v>221144</v>
      </c>
      <c r="BX124" s="46">
        <f t="shared" si="135"/>
        <v>36049</v>
      </c>
      <c r="BY124" s="46">
        <f t="shared" si="136"/>
        <v>-16999</v>
      </c>
      <c r="BZ124" s="46">
        <v>0</v>
      </c>
      <c r="CA124" s="46">
        <f t="shared" si="137"/>
        <v>240194</v>
      </c>
      <c r="CB124" s="46">
        <f t="shared" si="138"/>
        <v>0</v>
      </c>
      <c r="CC124" s="155">
        <f t="shared" si="141"/>
        <v>0</v>
      </c>
      <c r="CD124" s="79" t="s">
        <v>538</v>
      </c>
      <c r="CE124" s="65">
        <f t="shared" si="142"/>
        <v>132402</v>
      </c>
      <c r="CF124" s="65">
        <f t="shared" si="143"/>
        <v>132402</v>
      </c>
      <c r="CG124" s="65">
        <f t="shared" si="144"/>
        <v>126677</v>
      </c>
      <c r="CH124" s="65">
        <f t="shared" si="145"/>
        <v>132402</v>
      </c>
      <c r="CI124" s="65">
        <f t="shared" si="146"/>
        <v>388687</v>
      </c>
      <c r="CJ124" s="65">
        <f t="shared" si="147"/>
        <v>136231</v>
      </c>
      <c r="CK124" s="65">
        <f t="shared" si="148"/>
        <v>236370</v>
      </c>
      <c r="CL124" s="65">
        <f t="shared" si="149"/>
        <v>132402</v>
      </c>
      <c r="CM124" s="65">
        <f t="shared" si="150"/>
        <v>152853</v>
      </c>
      <c r="CN124" s="65">
        <f t="shared" si="151"/>
        <v>254663</v>
      </c>
      <c r="CO124" s="65">
        <f t="shared" si="152"/>
        <v>132402</v>
      </c>
      <c r="CP124" s="65">
        <f t="shared" si="153"/>
        <v>240194</v>
      </c>
      <c r="CQ124" s="40" t="s">
        <v>538</v>
      </c>
    </row>
    <row r="125" spans="1:95" ht="3" customHeight="1" x14ac:dyDescent="0.25">
      <c r="A125" s="39">
        <v>1</v>
      </c>
      <c r="B125" s="28">
        <v>7108</v>
      </c>
      <c r="C125" s="28" t="s">
        <v>388</v>
      </c>
      <c r="D125" s="48">
        <f>+DATA!Q123</f>
        <v>2175840.1159999999</v>
      </c>
      <c r="E125" s="48">
        <f t="shared" si="139"/>
        <v>143243</v>
      </c>
      <c r="F125" s="48">
        <f t="shared" si="140"/>
        <v>217584</v>
      </c>
      <c r="G125" s="49">
        <f>VLOOKUP(B125,'CALC MEC ESTAB Y ESTIM M FINAL'!$B$7:$F$352,5,0)</f>
        <v>1.1591268333000001E-3</v>
      </c>
      <c r="H125" s="49">
        <f>VLOOKUP(B125,'CALC MEC ESTAB Y ESTIM M FINAL'!$B$7:$R$352,17,0)</f>
        <v>-6.4596428999999996E-5</v>
      </c>
      <c r="I125" s="46">
        <f t="shared" si="79"/>
        <v>90246</v>
      </c>
      <c r="J125" s="46">
        <f t="shared" si="80"/>
        <v>0</v>
      </c>
      <c r="K125" s="46">
        <f t="shared" si="81"/>
        <v>52997</v>
      </c>
      <c r="L125" s="46">
        <v>0</v>
      </c>
      <c r="M125" s="46">
        <f t="shared" si="82"/>
        <v>143243</v>
      </c>
      <c r="N125" s="46">
        <f t="shared" si="83"/>
        <v>52997</v>
      </c>
      <c r="O125" s="46">
        <f t="shared" si="84"/>
        <v>47990</v>
      </c>
      <c r="P125" s="46">
        <f t="shared" si="85"/>
        <v>0</v>
      </c>
      <c r="Q125" s="46">
        <f t="shared" si="86"/>
        <v>95253</v>
      </c>
      <c r="R125" s="46">
        <v>0</v>
      </c>
      <c r="S125" s="46">
        <f t="shared" si="87"/>
        <v>143243</v>
      </c>
      <c r="T125" s="46">
        <f t="shared" si="88"/>
        <v>148250</v>
      </c>
      <c r="U125" s="46">
        <f t="shared" si="89"/>
        <v>136905</v>
      </c>
      <c r="V125" s="46">
        <f t="shared" si="90"/>
        <v>0</v>
      </c>
      <c r="W125" s="46">
        <f t="shared" si="91"/>
        <v>0</v>
      </c>
      <c r="X125" s="46">
        <v>0</v>
      </c>
      <c r="Y125" s="46">
        <f t="shared" si="92"/>
        <v>136905</v>
      </c>
      <c r="Z125" s="46">
        <f t="shared" si="93"/>
        <v>148250</v>
      </c>
      <c r="AA125" s="46">
        <f t="shared" si="94"/>
        <v>72694</v>
      </c>
      <c r="AB125" s="46">
        <f t="shared" si="95"/>
        <v>0</v>
      </c>
      <c r="AC125" s="46">
        <f t="shared" si="96"/>
        <v>70549</v>
      </c>
      <c r="AD125" s="46">
        <v>0</v>
      </c>
      <c r="AE125" s="46">
        <f t="shared" si="97"/>
        <v>143243</v>
      </c>
      <c r="AF125" s="46">
        <f t="shared" si="98"/>
        <v>218799</v>
      </c>
      <c r="AG125" s="46">
        <f t="shared" si="99"/>
        <v>632576</v>
      </c>
      <c r="AH125" s="46">
        <f t="shared" si="100"/>
        <v>5839</v>
      </c>
      <c r="AI125" s="46">
        <f t="shared" si="101"/>
        <v>-218799</v>
      </c>
      <c r="AJ125" s="46">
        <v>0</v>
      </c>
      <c r="AK125" s="46">
        <f t="shared" si="102"/>
        <v>419616</v>
      </c>
      <c r="AL125" s="46">
        <f t="shared" si="103"/>
        <v>0</v>
      </c>
      <c r="AM125" s="46">
        <f t="shared" si="104"/>
        <v>125297</v>
      </c>
      <c r="AN125" s="46">
        <f t="shared" si="105"/>
        <v>4138</v>
      </c>
      <c r="AO125" s="46">
        <f t="shared" si="106"/>
        <v>17946</v>
      </c>
      <c r="AP125" s="46">
        <v>0</v>
      </c>
      <c r="AQ125" s="46">
        <f t="shared" si="107"/>
        <v>147381</v>
      </c>
      <c r="AR125" s="46">
        <f t="shared" si="108"/>
        <v>17946</v>
      </c>
      <c r="AS125" s="46">
        <f t="shared" si="109"/>
        <v>249068</v>
      </c>
      <c r="AT125" s="46">
        <f t="shared" si="110"/>
        <v>24180</v>
      </c>
      <c r="AU125" s="46">
        <f t="shared" si="111"/>
        <v>-17946</v>
      </c>
      <c r="AV125" s="46">
        <v>0</v>
      </c>
      <c r="AW125" s="46">
        <f t="shared" si="112"/>
        <v>255302</v>
      </c>
      <c r="AX125" s="46">
        <f t="shared" si="113"/>
        <v>0</v>
      </c>
      <c r="AY125" s="46">
        <f t="shared" si="114"/>
        <v>82271</v>
      </c>
      <c r="AZ125" s="46">
        <f t="shared" si="115"/>
        <v>0</v>
      </c>
      <c r="BA125" s="46">
        <f t="shared" si="116"/>
        <v>60972</v>
      </c>
      <c r="BB125" s="46"/>
      <c r="BC125" s="46">
        <f t="shared" si="117"/>
        <v>143243</v>
      </c>
      <c r="BD125" s="46">
        <f t="shared" si="118"/>
        <v>60972</v>
      </c>
      <c r="BE125" s="46">
        <f t="shared" si="119"/>
        <v>159266</v>
      </c>
      <c r="BF125" s="46">
        <f t="shared" si="120"/>
        <v>5928</v>
      </c>
      <c r="BG125" s="46">
        <f t="shared" si="121"/>
        <v>0</v>
      </c>
      <c r="BH125" s="46">
        <v>0</v>
      </c>
      <c r="BI125" s="46">
        <f t="shared" si="122"/>
        <v>165194</v>
      </c>
      <c r="BJ125" s="46">
        <f t="shared" si="123"/>
        <v>60972</v>
      </c>
      <c r="BK125" s="46">
        <f t="shared" si="124"/>
        <v>336044</v>
      </c>
      <c r="BL125" s="46">
        <f t="shared" si="125"/>
        <v>0</v>
      </c>
      <c r="BM125" s="46">
        <f t="shared" si="126"/>
        <v>-60972</v>
      </c>
      <c r="BN125" s="46">
        <v>0</v>
      </c>
      <c r="BO125" s="46">
        <f t="shared" si="127"/>
        <v>275072</v>
      </c>
      <c r="BP125" s="46">
        <f t="shared" si="128"/>
        <v>0</v>
      </c>
      <c r="BQ125" s="46">
        <f t="shared" si="129"/>
        <v>124720</v>
      </c>
      <c r="BR125" s="46">
        <f t="shared" si="130"/>
        <v>0</v>
      </c>
      <c r="BS125" s="46">
        <f t="shared" si="131"/>
        <v>18523</v>
      </c>
      <c r="BT125" s="46">
        <v>0</v>
      </c>
      <c r="BU125" s="46">
        <f t="shared" si="132"/>
        <v>143243</v>
      </c>
      <c r="BV125" s="46">
        <f t="shared" si="133"/>
        <v>18523</v>
      </c>
      <c r="BW125" s="46">
        <f t="shared" si="134"/>
        <v>238999</v>
      </c>
      <c r="BX125" s="46">
        <f t="shared" si="135"/>
        <v>38959</v>
      </c>
      <c r="BY125" s="46">
        <f t="shared" si="136"/>
        <v>-18523</v>
      </c>
      <c r="BZ125" s="46">
        <v>0</v>
      </c>
      <c r="CA125" s="46">
        <f t="shared" si="137"/>
        <v>259435</v>
      </c>
      <c r="CB125" s="46">
        <f t="shared" si="138"/>
        <v>0</v>
      </c>
      <c r="CC125" s="155">
        <f t="shared" si="141"/>
        <v>0</v>
      </c>
      <c r="CD125" s="79" t="s">
        <v>538</v>
      </c>
      <c r="CE125" s="65">
        <f t="shared" si="142"/>
        <v>143243</v>
      </c>
      <c r="CF125" s="65">
        <f t="shared" si="143"/>
        <v>143243</v>
      </c>
      <c r="CG125" s="65">
        <f t="shared" si="144"/>
        <v>136905</v>
      </c>
      <c r="CH125" s="65">
        <f t="shared" si="145"/>
        <v>143243</v>
      </c>
      <c r="CI125" s="65">
        <f t="shared" si="146"/>
        <v>419616</v>
      </c>
      <c r="CJ125" s="65">
        <f t="shared" si="147"/>
        <v>147381</v>
      </c>
      <c r="CK125" s="65">
        <f t="shared" si="148"/>
        <v>255302</v>
      </c>
      <c r="CL125" s="65">
        <f t="shared" si="149"/>
        <v>143243</v>
      </c>
      <c r="CM125" s="65">
        <f t="shared" si="150"/>
        <v>165194</v>
      </c>
      <c r="CN125" s="65">
        <f t="shared" si="151"/>
        <v>275072</v>
      </c>
      <c r="CO125" s="65">
        <f t="shared" si="152"/>
        <v>143243</v>
      </c>
      <c r="CP125" s="65">
        <f t="shared" si="153"/>
        <v>259435</v>
      </c>
      <c r="CQ125" s="40" t="s">
        <v>538</v>
      </c>
    </row>
    <row r="126" spans="1:95" ht="3" customHeight="1" x14ac:dyDescent="0.25">
      <c r="A126" s="39">
        <v>1</v>
      </c>
      <c r="B126" s="28">
        <v>7109</v>
      </c>
      <c r="C126" s="28" t="s">
        <v>153</v>
      </c>
      <c r="D126" s="48">
        <f>+DATA!Q124</f>
        <v>7864176.4139999999</v>
      </c>
      <c r="E126" s="48">
        <f t="shared" si="139"/>
        <v>517725</v>
      </c>
      <c r="F126" s="48">
        <f t="shared" si="140"/>
        <v>786418</v>
      </c>
      <c r="G126" s="49">
        <f>VLOOKUP(B126,'CALC MEC ESTAB Y ESTIM M FINAL'!$B$7:$F$352,5,0)</f>
        <v>4.3620063973999999E-3</v>
      </c>
      <c r="H126" s="49">
        <f>VLOOKUP(B126,'CALC MEC ESTAB Y ESTIM M FINAL'!$B$7:$R$352,17,0)</f>
        <v>-3.2797833779999998E-4</v>
      </c>
      <c r="I126" s="46">
        <f t="shared" si="79"/>
        <v>332614</v>
      </c>
      <c r="J126" s="46">
        <f t="shared" si="80"/>
        <v>0</v>
      </c>
      <c r="K126" s="46">
        <f t="shared" si="81"/>
        <v>185111</v>
      </c>
      <c r="L126" s="46">
        <v>0</v>
      </c>
      <c r="M126" s="46">
        <f t="shared" si="82"/>
        <v>517725</v>
      </c>
      <c r="N126" s="46">
        <f t="shared" si="83"/>
        <v>185111</v>
      </c>
      <c r="O126" s="46">
        <f t="shared" si="84"/>
        <v>176873</v>
      </c>
      <c r="P126" s="46">
        <f t="shared" si="85"/>
        <v>0</v>
      </c>
      <c r="Q126" s="46">
        <f t="shared" si="86"/>
        <v>340852</v>
      </c>
      <c r="R126" s="46">
        <v>0</v>
      </c>
      <c r="S126" s="46">
        <f t="shared" si="87"/>
        <v>517725</v>
      </c>
      <c r="T126" s="46">
        <f t="shared" si="88"/>
        <v>525963</v>
      </c>
      <c r="U126" s="46">
        <f t="shared" si="89"/>
        <v>504579</v>
      </c>
      <c r="V126" s="46">
        <f t="shared" si="90"/>
        <v>0</v>
      </c>
      <c r="W126" s="46">
        <f t="shared" si="91"/>
        <v>0</v>
      </c>
      <c r="X126" s="46">
        <v>0</v>
      </c>
      <c r="Y126" s="46">
        <f t="shared" si="92"/>
        <v>504579</v>
      </c>
      <c r="Z126" s="46">
        <f t="shared" si="93"/>
        <v>525963</v>
      </c>
      <c r="AA126" s="46">
        <f t="shared" si="94"/>
        <v>267924</v>
      </c>
      <c r="AB126" s="46">
        <f t="shared" si="95"/>
        <v>0</v>
      </c>
      <c r="AC126" s="46">
        <f t="shared" si="96"/>
        <v>249801</v>
      </c>
      <c r="AD126" s="46">
        <v>0</v>
      </c>
      <c r="AE126" s="46">
        <f t="shared" si="97"/>
        <v>517725</v>
      </c>
      <c r="AF126" s="46">
        <f t="shared" si="98"/>
        <v>775764</v>
      </c>
      <c r="AG126" s="46">
        <f t="shared" si="99"/>
        <v>2331437</v>
      </c>
      <c r="AH126" s="46">
        <f t="shared" si="100"/>
        <v>21519</v>
      </c>
      <c r="AI126" s="46">
        <f t="shared" si="101"/>
        <v>-775764</v>
      </c>
      <c r="AJ126" s="46">
        <v>0</v>
      </c>
      <c r="AK126" s="46">
        <f t="shared" si="102"/>
        <v>1577192</v>
      </c>
      <c r="AL126" s="46">
        <f t="shared" si="103"/>
        <v>0</v>
      </c>
      <c r="AM126" s="46">
        <f t="shared" si="104"/>
        <v>461798</v>
      </c>
      <c r="AN126" s="46">
        <f t="shared" si="105"/>
        <v>15250</v>
      </c>
      <c r="AO126" s="46">
        <f t="shared" si="106"/>
        <v>55927</v>
      </c>
      <c r="AP126" s="46">
        <v>0</v>
      </c>
      <c r="AQ126" s="46">
        <f t="shared" si="107"/>
        <v>532975</v>
      </c>
      <c r="AR126" s="46">
        <f t="shared" si="108"/>
        <v>55927</v>
      </c>
      <c r="AS126" s="46">
        <f t="shared" si="109"/>
        <v>917972</v>
      </c>
      <c r="AT126" s="46">
        <f t="shared" si="110"/>
        <v>89118</v>
      </c>
      <c r="AU126" s="46">
        <f t="shared" si="111"/>
        <v>-55927</v>
      </c>
      <c r="AV126" s="46">
        <v>0</v>
      </c>
      <c r="AW126" s="46">
        <f t="shared" si="112"/>
        <v>951163</v>
      </c>
      <c r="AX126" s="46">
        <f t="shared" si="113"/>
        <v>0</v>
      </c>
      <c r="AY126" s="46">
        <f t="shared" si="114"/>
        <v>303220</v>
      </c>
      <c r="AZ126" s="46">
        <f t="shared" si="115"/>
        <v>0</v>
      </c>
      <c r="BA126" s="46">
        <f t="shared" si="116"/>
        <v>214505</v>
      </c>
      <c r="BB126" s="46"/>
      <c r="BC126" s="46">
        <f t="shared" si="117"/>
        <v>517725</v>
      </c>
      <c r="BD126" s="46">
        <f t="shared" si="118"/>
        <v>214505</v>
      </c>
      <c r="BE126" s="46">
        <f t="shared" si="119"/>
        <v>586994</v>
      </c>
      <c r="BF126" s="46">
        <f t="shared" si="120"/>
        <v>21847</v>
      </c>
      <c r="BG126" s="46">
        <f t="shared" si="121"/>
        <v>0</v>
      </c>
      <c r="BH126" s="46">
        <v>0</v>
      </c>
      <c r="BI126" s="46">
        <f t="shared" si="122"/>
        <v>608841</v>
      </c>
      <c r="BJ126" s="46">
        <f t="shared" si="123"/>
        <v>214505</v>
      </c>
      <c r="BK126" s="46">
        <f t="shared" si="124"/>
        <v>1238533</v>
      </c>
      <c r="BL126" s="46">
        <f t="shared" si="125"/>
        <v>0</v>
      </c>
      <c r="BM126" s="46">
        <f t="shared" si="126"/>
        <v>-214505</v>
      </c>
      <c r="BN126" s="46">
        <v>0</v>
      </c>
      <c r="BO126" s="46">
        <f t="shared" si="127"/>
        <v>1024028</v>
      </c>
      <c r="BP126" s="46">
        <f t="shared" si="128"/>
        <v>0</v>
      </c>
      <c r="BQ126" s="46">
        <f t="shared" si="129"/>
        <v>459672</v>
      </c>
      <c r="BR126" s="46">
        <f t="shared" si="130"/>
        <v>0</v>
      </c>
      <c r="BS126" s="46">
        <f t="shared" si="131"/>
        <v>58053</v>
      </c>
      <c r="BT126" s="46">
        <v>0</v>
      </c>
      <c r="BU126" s="46">
        <f t="shared" si="132"/>
        <v>517725</v>
      </c>
      <c r="BV126" s="46">
        <f t="shared" si="133"/>
        <v>58053</v>
      </c>
      <c r="BW126" s="46">
        <f t="shared" si="134"/>
        <v>880859</v>
      </c>
      <c r="BX126" s="46">
        <f t="shared" si="135"/>
        <v>143589</v>
      </c>
      <c r="BY126" s="46">
        <f t="shared" si="136"/>
        <v>-58053</v>
      </c>
      <c r="BZ126" s="46">
        <v>0</v>
      </c>
      <c r="CA126" s="46">
        <f t="shared" si="137"/>
        <v>966395</v>
      </c>
      <c r="CB126" s="46">
        <f t="shared" si="138"/>
        <v>0</v>
      </c>
      <c r="CC126" s="155">
        <f t="shared" si="141"/>
        <v>0</v>
      </c>
      <c r="CD126" s="79" t="s">
        <v>538</v>
      </c>
      <c r="CE126" s="65">
        <f t="shared" si="142"/>
        <v>517725</v>
      </c>
      <c r="CF126" s="65">
        <f t="shared" si="143"/>
        <v>517725</v>
      </c>
      <c r="CG126" s="65">
        <f t="shared" si="144"/>
        <v>504579</v>
      </c>
      <c r="CH126" s="65">
        <f t="shared" si="145"/>
        <v>517725</v>
      </c>
      <c r="CI126" s="65">
        <f t="shared" si="146"/>
        <v>1577192</v>
      </c>
      <c r="CJ126" s="65">
        <f t="shared" si="147"/>
        <v>532975</v>
      </c>
      <c r="CK126" s="65">
        <f t="shared" si="148"/>
        <v>951163</v>
      </c>
      <c r="CL126" s="65">
        <f t="shared" si="149"/>
        <v>517725</v>
      </c>
      <c r="CM126" s="65">
        <f t="shared" si="150"/>
        <v>608841</v>
      </c>
      <c r="CN126" s="65">
        <f t="shared" si="151"/>
        <v>1024028</v>
      </c>
      <c r="CO126" s="65">
        <f t="shared" si="152"/>
        <v>517725</v>
      </c>
      <c r="CP126" s="65">
        <f t="shared" si="153"/>
        <v>966395</v>
      </c>
      <c r="CQ126" s="40" t="s">
        <v>538</v>
      </c>
    </row>
    <row r="127" spans="1:95" ht="3" customHeight="1" x14ac:dyDescent="0.25">
      <c r="A127" s="39">
        <v>1</v>
      </c>
      <c r="B127" s="28">
        <v>7110</v>
      </c>
      <c r="C127" s="28" t="s">
        <v>159</v>
      </c>
      <c r="D127" s="48">
        <f>+DATA!Q125</f>
        <v>2503051.85</v>
      </c>
      <c r="E127" s="48">
        <f t="shared" si="139"/>
        <v>164784</v>
      </c>
      <c r="F127" s="48">
        <f t="shared" si="140"/>
        <v>250305</v>
      </c>
      <c r="G127" s="49">
        <f>VLOOKUP(B127,'CALC MEC ESTAB Y ESTIM M FINAL'!$B$7:$F$352,5,0)</f>
        <v>1.5138876982E-3</v>
      </c>
      <c r="H127" s="49">
        <f>VLOOKUP(B127,'CALC MEC ESTAB Y ESTIM M FINAL'!$B$7:$R$352,17,0)</f>
        <v>-1.7286101359999999E-4</v>
      </c>
      <c r="I127" s="46">
        <f t="shared" si="79"/>
        <v>110571</v>
      </c>
      <c r="J127" s="46">
        <f t="shared" si="80"/>
        <v>0</v>
      </c>
      <c r="K127" s="46">
        <f t="shared" si="81"/>
        <v>54213</v>
      </c>
      <c r="L127" s="46">
        <v>0</v>
      </c>
      <c r="M127" s="46">
        <f t="shared" si="82"/>
        <v>164784</v>
      </c>
      <c r="N127" s="46">
        <f t="shared" si="83"/>
        <v>54213</v>
      </c>
      <c r="O127" s="46">
        <f t="shared" si="84"/>
        <v>58798</v>
      </c>
      <c r="P127" s="46">
        <f t="shared" si="85"/>
        <v>0</v>
      </c>
      <c r="Q127" s="46">
        <f t="shared" si="86"/>
        <v>105986</v>
      </c>
      <c r="R127" s="46">
        <v>0</v>
      </c>
      <c r="S127" s="46">
        <f t="shared" si="87"/>
        <v>164784</v>
      </c>
      <c r="T127" s="46">
        <f t="shared" si="88"/>
        <v>160199</v>
      </c>
      <c r="U127" s="46">
        <f t="shared" si="89"/>
        <v>167737</v>
      </c>
      <c r="V127" s="46">
        <f t="shared" si="90"/>
        <v>0</v>
      </c>
      <c r="W127" s="46">
        <f t="shared" si="91"/>
        <v>0</v>
      </c>
      <c r="X127" s="46">
        <v>0</v>
      </c>
      <c r="Y127" s="46">
        <f t="shared" si="92"/>
        <v>167737</v>
      </c>
      <c r="Z127" s="46">
        <f t="shared" si="93"/>
        <v>160199</v>
      </c>
      <c r="AA127" s="46">
        <f t="shared" si="94"/>
        <v>89066</v>
      </c>
      <c r="AB127" s="46">
        <f t="shared" si="95"/>
        <v>0</v>
      </c>
      <c r="AC127" s="46">
        <f t="shared" si="96"/>
        <v>75718</v>
      </c>
      <c r="AD127" s="46">
        <v>0</v>
      </c>
      <c r="AE127" s="46">
        <f t="shared" si="97"/>
        <v>164784</v>
      </c>
      <c r="AF127" s="46">
        <f t="shared" si="98"/>
        <v>235917</v>
      </c>
      <c r="AG127" s="46">
        <f t="shared" si="99"/>
        <v>775036</v>
      </c>
      <c r="AH127" s="46">
        <f t="shared" si="100"/>
        <v>7153</v>
      </c>
      <c r="AI127" s="46">
        <f t="shared" si="101"/>
        <v>-235917</v>
      </c>
      <c r="AJ127" s="46">
        <v>0</v>
      </c>
      <c r="AK127" s="46">
        <f t="shared" si="102"/>
        <v>546272</v>
      </c>
      <c r="AL127" s="46">
        <f t="shared" si="103"/>
        <v>0</v>
      </c>
      <c r="AM127" s="46">
        <f t="shared" si="104"/>
        <v>153515</v>
      </c>
      <c r="AN127" s="46">
        <f t="shared" si="105"/>
        <v>5070</v>
      </c>
      <c r="AO127" s="46">
        <f t="shared" si="106"/>
        <v>11269</v>
      </c>
      <c r="AP127" s="46">
        <v>0</v>
      </c>
      <c r="AQ127" s="46">
        <f t="shared" si="107"/>
        <v>169854</v>
      </c>
      <c r="AR127" s="46">
        <f t="shared" si="108"/>
        <v>11269</v>
      </c>
      <c r="AS127" s="46">
        <f t="shared" si="109"/>
        <v>305160</v>
      </c>
      <c r="AT127" s="46">
        <f t="shared" si="110"/>
        <v>29626</v>
      </c>
      <c r="AU127" s="46">
        <f t="shared" si="111"/>
        <v>-11269</v>
      </c>
      <c r="AV127" s="46">
        <v>0</v>
      </c>
      <c r="AW127" s="46">
        <f t="shared" si="112"/>
        <v>323517</v>
      </c>
      <c r="AX127" s="46">
        <f t="shared" si="113"/>
        <v>0</v>
      </c>
      <c r="AY127" s="46">
        <f t="shared" si="114"/>
        <v>100799</v>
      </c>
      <c r="AZ127" s="46">
        <f t="shared" si="115"/>
        <v>0</v>
      </c>
      <c r="BA127" s="46">
        <f t="shared" si="116"/>
        <v>63985</v>
      </c>
      <c r="BB127" s="46"/>
      <c r="BC127" s="46">
        <f t="shared" si="117"/>
        <v>164784</v>
      </c>
      <c r="BD127" s="46">
        <f t="shared" si="118"/>
        <v>63985</v>
      </c>
      <c r="BE127" s="46">
        <f t="shared" si="119"/>
        <v>195134</v>
      </c>
      <c r="BF127" s="46">
        <f t="shared" si="120"/>
        <v>7263</v>
      </c>
      <c r="BG127" s="46">
        <f t="shared" si="121"/>
        <v>0</v>
      </c>
      <c r="BH127" s="46">
        <v>0</v>
      </c>
      <c r="BI127" s="46">
        <f t="shared" si="122"/>
        <v>202397</v>
      </c>
      <c r="BJ127" s="46">
        <f t="shared" si="123"/>
        <v>63985</v>
      </c>
      <c r="BK127" s="46">
        <f t="shared" si="124"/>
        <v>411724</v>
      </c>
      <c r="BL127" s="46">
        <f t="shared" si="125"/>
        <v>0</v>
      </c>
      <c r="BM127" s="46">
        <f t="shared" si="126"/>
        <v>-63985</v>
      </c>
      <c r="BN127" s="46">
        <v>0</v>
      </c>
      <c r="BO127" s="46">
        <f t="shared" si="127"/>
        <v>347739</v>
      </c>
      <c r="BP127" s="46">
        <f t="shared" si="128"/>
        <v>0</v>
      </c>
      <c r="BQ127" s="46">
        <f t="shared" si="129"/>
        <v>152808</v>
      </c>
      <c r="BR127" s="46">
        <f t="shared" si="130"/>
        <v>0</v>
      </c>
      <c r="BS127" s="46">
        <f t="shared" si="131"/>
        <v>11976</v>
      </c>
      <c r="BT127" s="46">
        <v>0</v>
      </c>
      <c r="BU127" s="46">
        <f t="shared" si="132"/>
        <v>164784</v>
      </c>
      <c r="BV127" s="46">
        <f t="shared" si="133"/>
        <v>11976</v>
      </c>
      <c r="BW127" s="46">
        <f t="shared" si="134"/>
        <v>292823</v>
      </c>
      <c r="BX127" s="46">
        <f t="shared" si="135"/>
        <v>47733</v>
      </c>
      <c r="BY127" s="46">
        <f t="shared" si="136"/>
        <v>-11976</v>
      </c>
      <c r="BZ127" s="46">
        <v>0</v>
      </c>
      <c r="CA127" s="46">
        <f t="shared" si="137"/>
        <v>328580</v>
      </c>
      <c r="CB127" s="46">
        <f t="shared" si="138"/>
        <v>0</v>
      </c>
      <c r="CC127" s="155">
        <f t="shared" si="141"/>
        <v>0</v>
      </c>
      <c r="CD127" s="79" t="s">
        <v>538</v>
      </c>
      <c r="CE127" s="65">
        <f t="shared" si="142"/>
        <v>164784</v>
      </c>
      <c r="CF127" s="65">
        <f t="shared" si="143"/>
        <v>164784</v>
      </c>
      <c r="CG127" s="65">
        <f t="shared" si="144"/>
        <v>167737</v>
      </c>
      <c r="CH127" s="65">
        <f t="shared" si="145"/>
        <v>164784</v>
      </c>
      <c r="CI127" s="65">
        <f t="shared" si="146"/>
        <v>546272</v>
      </c>
      <c r="CJ127" s="65">
        <f t="shared" si="147"/>
        <v>169854</v>
      </c>
      <c r="CK127" s="65">
        <f t="shared" si="148"/>
        <v>323517</v>
      </c>
      <c r="CL127" s="65">
        <f t="shared" si="149"/>
        <v>164784</v>
      </c>
      <c r="CM127" s="65">
        <f t="shared" si="150"/>
        <v>202397</v>
      </c>
      <c r="CN127" s="65">
        <f t="shared" si="151"/>
        <v>347739</v>
      </c>
      <c r="CO127" s="65">
        <f t="shared" si="152"/>
        <v>164784</v>
      </c>
      <c r="CP127" s="65">
        <f t="shared" si="153"/>
        <v>328580</v>
      </c>
      <c r="CQ127" s="40" t="s">
        <v>538</v>
      </c>
    </row>
    <row r="128" spans="1:95" ht="3" customHeight="1" x14ac:dyDescent="0.25">
      <c r="A128" s="39">
        <v>1</v>
      </c>
      <c r="B128" s="28">
        <v>7201</v>
      </c>
      <c r="C128" s="28" t="s">
        <v>166</v>
      </c>
      <c r="D128" s="48">
        <f>+DATA!Q126</f>
        <v>8353027.3890000004</v>
      </c>
      <c r="E128" s="48">
        <f t="shared" si="139"/>
        <v>549908</v>
      </c>
      <c r="F128" s="48">
        <f t="shared" si="140"/>
        <v>835303</v>
      </c>
      <c r="G128" s="49">
        <f>VLOOKUP(B128,'CALC MEC ESTAB Y ESTIM M FINAL'!$B$7:$F$352,5,0)</f>
        <v>4.6867938209000006E-3</v>
      </c>
      <c r="H128" s="49">
        <f>VLOOKUP(B128,'CALC MEC ESTAB Y ESTIM M FINAL'!$B$7:$R$352,17,0)</f>
        <v>-3.7688613660000002E-4</v>
      </c>
      <c r="I128" s="46">
        <f t="shared" si="79"/>
        <v>355361</v>
      </c>
      <c r="J128" s="46">
        <f t="shared" si="80"/>
        <v>0</v>
      </c>
      <c r="K128" s="46">
        <f t="shared" si="81"/>
        <v>194547</v>
      </c>
      <c r="L128" s="46">
        <v>0</v>
      </c>
      <c r="M128" s="46">
        <f t="shared" si="82"/>
        <v>549908</v>
      </c>
      <c r="N128" s="46">
        <f t="shared" si="83"/>
        <v>194547</v>
      </c>
      <c r="O128" s="46">
        <f t="shared" si="84"/>
        <v>188969</v>
      </c>
      <c r="P128" s="46">
        <f t="shared" si="85"/>
        <v>0</v>
      </c>
      <c r="Q128" s="46">
        <f t="shared" si="86"/>
        <v>360939</v>
      </c>
      <c r="R128" s="46">
        <v>0</v>
      </c>
      <c r="S128" s="46">
        <f t="shared" si="87"/>
        <v>549908</v>
      </c>
      <c r="T128" s="46">
        <f t="shared" si="88"/>
        <v>555486</v>
      </c>
      <c r="U128" s="46">
        <f t="shared" si="89"/>
        <v>539086</v>
      </c>
      <c r="V128" s="46">
        <f t="shared" si="90"/>
        <v>0</v>
      </c>
      <c r="W128" s="46">
        <f t="shared" si="91"/>
        <v>0</v>
      </c>
      <c r="X128" s="46">
        <v>0</v>
      </c>
      <c r="Y128" s="46">
        <f t="shared" si="92"/>
        <v>539086</v>
      </c>
      <c r="Z128" s="46">
        <f t="shared" si="93"/>
        <v>555486</v>
      </c>
      <c r="AA128" s="46">
        <f t="shared" si="94"/>
        <v>286246</v>
      </c>
      <c r="AB128" s="46">
        <f t="shared" si="95"/>
        <v>0</v>
      </c>
      <c r="AC128" s="46">
        <f t="shared" si="96"/>
        <v>263662</v>
      </c>
      <c r="AD128" s="46">
        <v>0</v>
      </c>
      <c r="AE128" s="46">
        <f t="shared" si="97"/>
        <v>549908</v>
      </c>
      <c r="AF128" s="46">
        <f t="shared" si="98"/>
        <v>819148</v>
      </c>
      <c r="AG128" s="46">
        <f t="shared" si="99"/>
        <v>2490879</v>
      </c>
      <c r="AH128" s="46">
        <f t="shared" si="100"/>
        <v>22990</v>
      </c>
      <c r="AI128" s="46">
        <f t="shared" si="101"/>
        <v>-819148</v>
      </c>
      <c r="AJ128" s="46">
        <v>0</v>
      </c>
      <c r="AK128" s="46">
        <f t="shared" si="102"/>
        <v>1694721</v>
      </c>
      <c r="AL128" s="46">
        <f t="shared" si="103"/>
        <v>0</v>
      </c>
      <c r="AM128" s="46">
        <f t="shared" si="104"/>
        <v>493380</v>
      </c>
      <c r="AN128" s="46">
        <f t="shared" si="105"/>
        <v>16293</v>
      </c>
      <c r="AO128" s="46">
        <f t="shared" si="106"/>
        <v>56528</v>
      </c>
      <c r="AP128" s="46">
        <v>0</v>
      </c>
      <c r="AQ128" s="46">
        <f t="shared" si="107"/>
        <v>566201</v>
      </c>
      <c r="AR128" s="46">
        <f t="shared" si="108"/>
        <v>56528</v>
      </c>
      <c r="AS128" s="46">
        <f t="shared" si="109"/>
        <v>980751</v>
      </c>
      <c r="AT128" s="46">
        <f t="shared" si="110"/>
        <v>95213</v>
      </c>
      <c r="AU128" s="46">
        <f t="shared" si="111"/>
        <v>-56528</v>
      </c>
      <c r="AV128" s="46">
        <v>0</v>
      </c>
      <c r="AW128" s="46">
        <f t="shared" si="112"/>
        <v>1019436</v>
      </c>
      <c r="AX128" s="46">
        <f t="shared" si="113"/>
        <v>0</v>
      </c>
      <c r="AY128" s="46">
        <f t="shared" si="114"/>
        <v>323957</v>
      </c>
      <c r="AZ128" s="46">
        <f t="shared" si="115"/>
        <v>0</v>
      </c>
      <c r="BA128" s="46">
        <f t="shared" si="116"/>
        <v>225951</v>
      </c>
      <c r="BB128" s="46"/>
      <c r="BC128" s="46">
        <f t="shared" si="117"/>
        <v>549908</v>
      </c>
      <c r="BD128" s="46">
        <f t="shared" si="118"/>
        <v>225951</v>
      </c>
      <c r="BE128" s="46">
        <f t="shared" si="119"/>
        <v>627138</v>
      </c>
      <c r="BF128" s="46">
        <f t="shared" si="120"/>
        <v>23341</v>
      </c>
      <c r="BG128" s="46">
        <f t="shared" si="121"/>
        <v>0</v>
      </c>
      <c r="BH128" s="46">
        <v>0</v>
      </c>
      <c r="BI128" s="46">
        <f t="shared" si="122"/>
        <v>650479</v>
      </c>
      <c r="BJ128" s="46">
        <f t="shared" si="123"/>
        <v>225951</v>
      </c>
      <c r="BK128" s="46">
        <f t="shared" si="124"/>
        <v>1323234</v>
      </c>
      <c r="BL128" s="46">
        <f t="shared" si="125"/>
        <v>0</v>
      </c>
      <c r="BM128" s="46">
        <f t="shared" si="126"/>
        <v>-225951</v>
      </c>
      <c r="BN128" s="46">
        <v>0</v>
      </c>
      <c r="BO128" s="46">
        <f t="shared" si="127"/>
        <v>1097283</v>
      </c>
      <c r="BP128" s="46">
        <f t="shared" si="128"/>
        <v>0</v>
      </c>
      <c r="BQ128" s="46">
        <f t="shared" si="129"/>
        <v>491109</v>
      </c>
      <c r="BR128" s="46">
        <f t="shared" si="130"/>
        <v>0</v>
      </c>
      <c r="BS128" s="46">
        <f t="shared" si="131"/>
        <v>58799</v>
      </c>
      <c r="BT128" s="46">
        <v>0</v>
      </c>
      <c r="BU128" s="46">
        <f t="shared" si="132"/>
        <v>549908</v>
      </c>
      <c r="BV128" s="46">
        <f t="shared" si="133"/>
        <v>58799</v>
      </c>
      <c r="BW128" s="46">
        <f t="shared" si="134"/>
        <v>941100</v>
      </c>
      <c r="BX128" s="46">
        <f t="shared" si="135"/>
        <v>153409</v>
      </c>
      <c r="BY128" s="46">
        <f t="shared" si="136"/>
        <v>-58799</v>
      </c>
      <c r="BZ128" s="46">
        <v>0</v>
      </c>
      <c r="CA128" s="46">
        <f t="shared" si="137"/>
        <v>1035710</v>
      </c>
      <c r="CB128" s="46">
        <f t="shared" si="138"/>
        <v>0</v>
      </c>
      <c r="CC128" s="155">
        <f t="shared" si="141"/>
        <v>0</v>
      </c>
      <c r="CD128" s="79" t="s">
        <v>538</v>
      </c>
      <c r="CE128" s="65">
        <f t="shared" si="142"/>
        <v>549908</v>
      </c>
      <c r="CF128" s="65">
        <f t="shared" si="143"/>
        <v>549908</v>
      </c>
      <c r="CG128" s="65">
        <f t="shared" si="144"/>
        <v>539086</v>
      </c>
      <c r="CH128" s="65">
        <f t="shared" si="145"/>
        <v>549908</v>
      </c>
      <c r="CI128" s="65">
        <f t="shared" si="146"/>
        <v>1694721</v>
      </c>
      <c r="CJ128" s="65">
        <f t="shared" si="147"/>
        <v>566201</v>
      </c>
      <c r="CK128" s="65">
        <f t="shared" si="148"/>
        <v>1019436</v>
      </c>
      <c r="CL128" s="65">
        <f t="shared" si="149"/>
        <v>549908</v>
      </c>
      <c r="CM128" s="65">
        <f t="shared" si="150"/>
        <v>650479</v>
      </c>
      <c r="CN128" s="65">
        <f t="shared" si="151"/>
        <v>1097283</v>
      </c>
      <c r="CO128" s="65">
        <f t="shared" si="152"/>
        <v>549908</v>
      </c>
      <c r="CP128" s="65">
        <f t="shared" si="153"/>
        <v>1035710</v>
      </c>
      <c r="CQ128" s="40" t="s">
        <v>538</v>
      </c>
    </row>
    <row r="129" spans="1:95" ht="3" customHeight="1" x14ac:dyDescent="0.25">
      <c r="A129" s="39">
        <v>1</v>
      </c>
      <c r="B129" s="28">
        <v>7202</v>
      </c>
      <c r="C129" s="28" t="s">
        <v>168</v>
      </c>
      <c r="D129" s="48">
        <f>+DATA!Q127</f>
        <v>3270492.7560000001</v>
      </c>
      <c r="E129" s="48">
        <f t="shared" si="139"/>
        <v>215307</v>
      </c>
      <c r="F129" s="48">
        <f t="shared" si="140"/>
        <v>327049</v>
      </c>
      <c r="G129" s="49">
        <f>VLOOKUP(B129,'CALC MEC ESTAB Y ESTIM M FINAL'!$B$7:$F$352,5,0)</f>
        <v>2.0052715777000001E-3</v>
      </c>
      <c r="H129" s="49">
        <f>VLOOKUP(B129,'CALC MEC ESTAB Y ESTIM M FINAL'!$B$7:$R$352,17,0)</f>
        <v>-2.406494253E-4</v>
      </c>
      <c r="I129" s="46">
        <f t="shared" si="79"/>
        <v>145497</v>
      </c>
      <c r="J129" s="46">
        <f t="shared" si="80"/>
        <v>0</v>
      </c>
      <c r="K129" s="46">
        <f t="shared" si="81"/>
        <v>69810</v>
      </c>
      <c r="L129" s="46">
        <v>0</v>
      </c>
      <c r="M129" s="46">
        <f t="shared" si="82"/>
        <v>215307</v>
      </c>
      <c r="N129" s="46">
        <f t="shared" si="83"/>
        <v>69810</v>
      </c>
      <c r="O129" s="46">
        <f t="shared" si="84"/>
        <v>77370</v>
      </c>
      <c r="P129" s="46">
        <f t="shared" si="85"/>
        <v>0</v>
      </c>
      <c r="Q129" s="46">
        <f t="shared" si="86"/>
        <v>137937</v>
      </c>
      <c r="R129" s="46">
        <v>0</v>
      </c>
      <c r="S129" s="46">
        <f t="shared" si="87"/>
        <v>215307</v>
      </c>
      <c r="T129" s="46">
        <f t="shared" si="88"/>
        <v>207747</v>
      </c>
      <c r="U129" s="46">
        <f t="shared" si="89"/>
        <v>220720</v>
      </c>
      <c r="V129" s="46">
        <f t="shared" si="90"/>
        <v>0</v>
      </c>
      <c r="W129" s="46">
        <f t="shared" si="91"/>
        <v>0</v>
      </c>
      <c r="X129" s="46">
        <v>0</v>
      </c>
      <c r="Y129" s="46">
        <f t="shared" si="92"/>
        <v>220720</v>
      </c>
      <c r="Z129" s="46">
        <f t="shared" si="93"/>
        <v>207747</v>
      </c>
      <c r="AA129" s="46">
        <f t="shared" si="94"/>
        <v>117199</v>
      </c>
      <c r="AB129" s="46">
        <f t="shared" si="95"/>
        <v>0</v>
      </c>
      <c r="AC129" s="46">
        <f t="shared" si="96"/>
        <v>98108</v>
      </c>
      <c r="AD129" s="46">
        <v>0</v>
      </c>
      <c r="AE129" s="46">
        <f t="shared" si="97"/>
        <v>215307</v>
      </c>
      <c r="AF129" s="46">
        <f t="shared" si="98"/>
        <v>305855</v>
      </c>
      <c r="AG129" s="46">
        <f t="shared" si="99"/>
        <v>1019850</v>
      </c>
      <c r="AH129" s="46">
        <f t="shared" si="100"/>
        <v>9413</v>
      </c>
      <c r="AI129" s="46">
        <f t="shared" si="101"/>
        <v>-305855</v>
      </c>
      <c r="AJ129" s="46">
        <v>0</v>
      </c>
      <c r="AK129" s="46">
        <f t="shared" si="102"/>
        <v>723408</v>
      </c>
      <c r="AL129" s="46">
        <f t="shared" si="103"/>
        <v>0</v>
      </c>
      <c r="AM129" s="46">
        <f t="shared" si="104"/>
        <v>202006</v>
      </c>
      <c r="AN129" s="46">
        <f t="shared" si="105"/>
        <v>6671</v>
      </c>
      <c r="AO129" s="46">
        <f t="shared" si="106"/>
        <v>13301</v>
      </c>
      <c r="AP129" s="46">
        <v>0</v>
      </c>
      <c r="AQ129" s="46">
        <f t="shared" si="107"/>
        <v>221978</v>
      </c>
      <c r="AR129" s="46">
        <f t="shared" si="108"/>
        <v>13301</v>
      </c>
      <c r="AS129" s="46">
        <f t="shared" si="109"/>
        <v>401553</v>
      </c>
      <c r="AT129" s="46">
        <f t="shared" si="110"/>
        <v>38983</v>
      </c>
      <c r="AU129" s="46">
        <f t="shared" si="111"/>
        <v>-13301</v>
      </c>
      <c r="AV129" s="46">
        <v>0</v>
      </c>
      <c r="AW129" s="46">
        <f t="shared" si="112"/>
        <v>427235</v>
      </c>
      <c r="AX129" s="46">
        <f t="shared" si="113"/>
        <v>0</v>
      </c>
      <c r="AY129" s="46">
        <f t="shared" si="114"/>
        <v>132639</v>
      </c>
      <c r="AZ129" s="46">
        <f t="shared" si="115"/>
        <v>0</v>
      </c>
      <c r="BA129" s="46">
        <f t="shared" si="116"/>
        <v>82668</v>
      </c>
      <c r="BB129" s="46"/>
      <c r="BC129" s="46">
        <f t="shared" si="117"/>
        <v>215307</v>
      </c>
      <c r="BD129" s="46">
        <f t="shared" si="118"/>
        <v>82668</v>
      </c>
      <c r="BE129" s="46">
        <f t="shared" si="119"/>
        <v>256771</v>
      </c>
      <c r="BF129" s="46">
        <f t="shared" si="120"/>
        <v>9557</v>
      </c>
      <c r="BG129" s="46">
        <f t="shared" si="121"/>
        <v>0</v>
      </c>
      <c r="BH129" s="46">
        <v>0</v>
      </c>
      <c r="BI129" s="46">
        <f t="shared" si="122"/>
        <v>266328</v>
      </c>
      <c r="BJ129" s="46">
        <f t="shared" si="123"/>
        <v>82668</v>
      </c>
      <c r="BK129" s="46">
        <f t="shared" si="124"/>
        <v>541777</v>
      </c>
      <c r="BL129" s="46">
        <f t="shared" si="125"/>
        <v>0</v>
      </c>
      <c r="BM129" s="46">
        <f t="shared" si="126"/>
        <v>-82668</v>
      </c>
      <c r="BN129" s="46">
        <v>0</v>
      </c>
      <c r="BO129" s="46">
        <f t="shared" si="127"/>
        <v>459109</v>
      </c>
      <c r="BP129" s="46">
        <f t="shared" si="128"/>
        <v>0</v>
      </c>
      <c r="BQ129" s="46">
        <f t="shared" si="129"/>
        <v>201076</v>
      </c>
      <c r="BR129" s="46">
        <f t="shared" si="130"/>
        <v>0</v>
      </c>
      <c r="BS129" s="46">
        <f t="shared" si="131"/>
        <v>14231</v>
      </c>
      <c r="BT129" s="46">
        <v>0</v>
      </c>
      <c r="BU129" s="46">
        <f t="shared" si="132"/>
        <v>215307</v>
      </c>
      <c r="BV129" s="46">
        <f t="shared" si="133"/>
        <v>14231</v>
      </c>
      <c r="BW129" s="46">
        <f t="shared" si="134"/>
        <v>385318</v>
      </c>
      <c r="BX129" s="46">
        <f t="shared" si="135"/>
        <v>62811</v>
      </c>
      <c r="BY129" s="46">
        <f t="shared" si="136"/>
        <v>-14231</v>
      </c>
      <c r="BZ129" s="46">
        <v>0</v>
      </c>
      <c r="CA129" s="46">
        <f t="shared" si="137"/>
        <v>433898</v>
      </c>
      <c r="CB129" s="46">
        <f t="shared" si="138"/>
        <v>0</v>
      </c>
      <c r="CC129" s="155">
        <f t="shared" si="141"/>
        <v>0</v>
      </c>
      <c r="CD129" s="79" t="s">
        <v>538</v>
      </c>
      <c r="CE129" s="65">
        <f t="shared" si="142"/>
        <v>215307</v>
      </c>
      <c r="CF129" s="65">
        <f t="shared" si="143"/>
        <v>215307</v>
      </c>
      <c r="CG129" s="65">
        <f t="shared" si="144"/>
        <v>220720</v>
      </c>
      <c r="CH129" s="65">
        <f t="shared" si="145"/>
        <v>215307</v>
      </c>
      <c r="CI129" s="65">
        <f t="shared" si="146"/>
        <v>723408</v>
      </c>
      <c r="CJ129" s="65">
        <f t="shared" si="147"/>
        <v>221978</v>
      </c>
      <c r="CK129" s="65">
        <f t="shared" si="148"/>
        <v>427235</v>
      </c>
      <c r="CL129" s="65">
        <f t="shared" si="149"/>
        <v>215307</v>
      </c>
      <c r="CM129" s="65">
        <f t="shared" si="150"/>
        <v>266328</v>
      </c>
      <c r="CN129" s="65">
        <f t="shared" si="151"/>
        <v>459109</v>
      </c>
      <c r="CO129" s="65">
        <f t="shared" si="152"/>
        <v>215307</v>
      </c>
      <c r="CP129" s="65">
        <f t="shared" si="153"/>
        <v>433898</v>
      </c>
      <c r="CQ129" s="40" t="s">
        <v>538</v>
      </c>
    </row>
    <row r="130" spans="1:95" ht="3" customHeight="1" x14ac:dyDescent="0.25">
      <c r="A130" s="39">
        <v>1</v>
      </c>
      <c r="B130" s="28">
        <v>7203</v>
      </c>
      <c r="C130" s="28" t="s">
        <v>167</v>
      </c>
      <c r="D130" s="48">
        <f>+DATA!Q128</f>
        <v>6877682.7910000002</v>
      </c>
      <c r="E130" s="48">
        <f t="shared" si="139"/>
        <v>452781</v>
      </c>
      <c r="F130" s="48">
        <f t="shared" si="140"/>
        <v>687768</v>
      </c>
      <c r="G130" s="49">
        <f>VLOOKUP(B130,'CALC MEC ESTAB Y ESTIM M FINAL'!$B$7:$F$352,5,0)</f>
        <v>3.5421451146999999E-3</v>
      </c>
      <c r="H130" s="49">
        <f>VLOOKUP(B130,'CALC MEC ESTAB Y ESTIM M FINAL'!$B$7:$R$352,17,0)</f>
        <v>-1.3831396619999999E-4</v>
      </c>
      <c r="I130" s="46">
        <f t="shared" si="79"/>
        <v>280653</v>
      </c>
      <c r="J130" s="46">
        <f t="shared" si="80"/>
        <v>0</v>
      </c>
      <c r="K130" s="46">
        <f t="shared" si="81"/>
        <v>172128</v>
      </c>
      <c r="L130" s="46">
        <v>0</v>
      </c>
      <c r="M130" s="46">
        <f t="shared" si="82"/>
        <v>452781</v>
      </c>
      <c r="N130" s="46">
        <f t="shared" si="83"/>
        <v>172128</v>
      </c>
      <c r="O130" s="46">
        <f t="shared" si="84"/>
        <v>149242</v>
      </c>
      <c r="P130" s="46">
        <f t="shared" si="85"/>
        <v>0</v>
      </c>
      <c r="Q130" s="46">
        <f t="shared" si="86"/>
        <v>303539</v>
      </c>
      <c r="R130" s="46">
        <v>0</v>
      </c>
      <c r="S130" s="46">
        <f t="shared" si="87"/>
        <v>452781</v>
      </c>
      <c r="T130" s="46">
        <f t="shared" si="88"/>
        <v>475667</v>
      </c>
      <c r="U130" s="46">
        <f t="shared" si="89"/>
        <v>425754</v>
      </c>
      <c r="V130" s="46">
        <f t="shared" si="90"/>
        <v>0</v>
      </c>
      <c r="W130" s="46">
        <f t="shared" si="91"/>
        <v>0</v>
      </c>
      <c r="X130" s="46">
        <v>0</v>
      </c>
      <c r="Y130" s="46">
        <f t="shared" si="92"/>
        <v>425754</v>
      </c>
      <c r="Z130" s="46">
        <f t="shared" si="93"/>
        <v>475667</v>
      </c>
      <c r="AA130" s="46">
        <f t="shared" si="94"/>
        <v>226069</v>
      </c>
      <c r="AB130" s="46">
        <f t="shared" si="95"/>
        <v>0</v>
      </c>
      <c r="AC130" s="46">
        <f t="shared" si="96"/>
        <v>226712</v>
      </c>
      <c r="AD130" s="46">
        <v>0</v>
      </c>
      <c r="AE130" s="46">
        <f t="shared" si="97"/>
        <v>452781</v>
      </c>
      <c r="AF130" s="46">
        <f t="shared" si="98"/>
        <v>702379</v>
      </c>
      <c r="AG130" s="46">
        <f t="shared" si="99"/>
        <v>1967219</v>
      </c>
      <c r="AH130" s="46">
        <f t="shared" si="100"/>
        <v>18157</v>
      </c>
      <c r="AI130" s="46">
        <f t="shared" si="101"/>
        <v>-702379</v>
      </c>
      <c r="AJ130" s="46">
        <v>0</v>
      </c>
      <c r="AK130" s="46">
        <f t="shared" si="102"/>
        <v>1282997</v>
      </c>
      <c r="AL130" s="46">
        <f t="shared" si="103"/>
        <v>0</v>
      </c>
      <c r="AM130" s="46">
        <f t="shared" si="104"/>
        <v>389656</v>
      </c>
      <c r="AN130" s="46">
        <f t="shared" si="105"/>
        <v>12868</v>
      </c>
      <c r="AO130" s="46">
        <f t="shared" si="106"/>
        <v>63125</v>
      </c>
      <c r="AP130" s="46">
        <v>0</v>
      </c>
      <c r="AQ130" s="46">
        <f t="shared" si="107"/>
        <v>465649</v>
      </c>
      <c r="AR130" s="46">
        <f t="shared" si="108"/>
        <v>63125</v>
      </c>
      <c r="AS130" s="46">
        <f t="shared" si="109"/>
        <v>774566</v>
      </c>
      <c r="AT130" s="46">
        <f t="shared" si="110"/>
        <v>75196</v>
      </c>
      <c r="AU130" s="46">
        <f t="shared" si="111"/>
        <v>-63125</v>
      </c>
      <c r="AV130" s="46">
        <v>0</v>
      </c>
      <c r="AW130" s="46">
        <f t="shared" si="112"/>
        <v>786637</v>
      </c>
      <c r="AX130" s="46">
        <f t="shared" si="113"/>
        <v>0</v>
      </c>
      <c r="AY130" s="46">
        <f t="shared" si="114"/>
        <v>255851</v>
      </c>
      <c r="AZ130" s="46">
        <f t="shared" si="115"/>
        <v>0</v>
      </c>
      <c r="BA130" s="46">
        <f t="shared" si="116"/>
        <v>196930</v>
      </c>
      <c r="BB130" s="46"/>
      <c r="BC130" s="46">
        <f t="shared" si="117"/>
        <v>452781</v>
      </c>
      <c r="BD130" s="46">
        <f t="shared" si="118"/>
        <v>196930</v>
      </c>
      <c r="BE130" s="46">
        <f t="shared" si="119"/>
        <v>495294</v>
      </c>
      <c r="BF130" s="46">
        <f t="shared" si="120"/>
        <v>18434</v>
      </c>
      <c r="BG130" s="46">
        <f t="shared" si="121"/>
        <v>0</v>
      </c>
      <c r="BH130" s="46">
        <v>0</v>
      </c>
      <c r="BI130" s="46">
        <f t="shared" si="122"/>
        <v>513728</v>
      </c>
      <c r="BJ130" s="46">
        <f t="shared" si="123"/>
        <v>196930</v>
      </c>
      <c r="BK130" s="46">
        <f t="shared" si="124"/>
        <v>1045049</v>
      </c>
      <c r="BL130" s="46">
        <f t="shared" si="125"/>
        <v>0</v>
      </c>
      <c r="BM130" s="46">
        <f t="shared" si="126"/>
        <v>-196930</v>
      </c>
      <c r="BN130" s="46">
        <v>0</v>
      </c>
      <c r="BO130" s="46">
        <f t="shared" si="127"/>
        <v>848119</v>
      </c>
      <c r="BP130" s="46">
        <f t="shared" si="128"/>
        <v>0</v>
      </c>
      <c r="BQ130" s="46">
        <f t="shared" si="129"/>
        <v>387862</v>
      </c>
      <c r="BR130" s="46">
        <f t="shared" si="130"/>
        <v>0</v>
      </c>
      <c r="BS130" s="46">
        <f t="shared" si="131"/>
        <v>64919</v>
      </c>
      <c r="BT130" s="46">
        <v>0</v>
      </c>
      <c r="BU130" s="46">
        <f t="shared" si="132"/>
        <v>452781</v>
      </c>
      <c r="BV130" s="46">
        <f t="shared" si="133"/>
        <v>64919</v>
      </c>
      <c r="BW130" s="46">
        <f t="shared" si="134"/>
        <v>743251</v>
      </c>
      <c r="BX130" s="46">
        <f t="shared" si="135"/>
        <v>121158</v>
      </c>
      <c r="BY130" s="46">
        <f t="shared" si="136"/>
        <v>-64919</v>
      </c>
      <c r="BZ130" s="46">
        <v>0</v>
      </c>
      <c r="CA130" s="46">
        <f t="shared" si="137"/>
        <v>799490</v>
      </c>
      <c r="CB130" s="46">
        <f t="shared" si="138"/>
        <v>0</v>
      </c>
      <c r="CC130" s="155">
        <f t="shared" si="141"/>
        <v>0</v>
      </c>
      <c r="CD130" s="79" t="s">
        <v>538</v>
      </c>
      <c r="CE130" s="65">
        <f t="shared" si="142"/>
        <v>452781</v>
      </c>
      <c r="CF130" s="65">
        <f t="shared" si="143"/>
        <v>452781</v>
      </c>
      <c r="CG130" s="65">
        <f t="shared" si="144"/>
        <v>425754</v>
      </c>
      <c r="CH130" s="65">
        <f t="shared" si="145"/>
        <v>452781</v>
      </c>
      <c r="CI130" s="65">
        <f t="shared" si="146"/>
        <v>1282997</v>
      </c>
      <c r="CJ130" s="65">
        <f t="shared" si="147"/>
        <v>465649</v>
      </c>
      <c r="CK130" s="65">
        <f t="shared" si="148"/>
        <v>786637</v>
      </c>
      <c r="CL130" s="65">
        <f t="shared" si="149"/>
        <v>452781</v>
      </c>
      <c r="CM130" s="65">
        <f t="shared" si="150"/>
        <v>513728</v>
      </c>
      <c r="CN130" s="65">
        <f t="shared" si="151"/>
        <v>848119</v>
      </c>
      <c r="CO130" s="65">
        <f t="shared" si="152"/>
        <v>452781</v>
      </c>
      <c r="CP130" s="65">
        <f t="shared" si="153"/>
        <v>799490</v>
      </c>
      <c r="CQ130" s="40" t="s">
        <v>538</v>
      </c>
    </row>
    <row r="131" spans="1:95" ht="3" customHeight="1" x14ac:dyDescent="0.25">
      <c r="A131" s="39">
        <v>1</v>
      </c>
      <c r="B131" s="28">
        <v>7301</v>
      </c>
      <c r="C131" s="28" t="s">
        <v>389</v>
      </c>
      <c r="D131" s="48">
        <f>+DATA!Q129</f>
        <v>14015689.614</v>
      </c>
      <c r="E131" s="48">
        <f t="shared" si="139"/>
        <v>922700</v>
      </c>
      <c r="F131" s="48">
        <f t="shared" si="140"/>
        <v>1401569</v>
      </c>
      <c r="G131" s="49">
        <f>VLOOKUP(B131,'CALC MEC ESTAB Y ESTIM M FINAL'!$B$7:$F$352,5,0)</f>
        <v>7.5967165720999992E-3</v>
      </c>
      <c r="H131" s="49">
        <f>VLOOKUP(B131,'CALC MEC ESTAB Y ESTIM M FINAL'!$B$7:$R$352,17,0)</f>
        <v>-4.8700496010000002E-4</v>
      </c>
      <c r="I131" s="46">
        <f t="shared" si="79"/>
        <v>586211</v>
      </c>
      <c r="J131" s="46">
        <f t="shared" si="80"/>
        <v>0</v>
      </c>
      <c r="K131" s="46">
        <f t="shared" si="81"/>
        <v>336489</v>
      </c>
      <c r="L131" s="46">
        <v>0</v>
      </c>
      <c r="M131" s="46">
        <f t="shared" si="82"/>
        <v>922700</v>
      </c>
      <c r="N131" s="46">
        <f t="shared" si="83"/>
        <v>336489</v>
      </c>
      <c r="O131" s="46">
        <f t="shared" si="84"/>
        <v>311727</v>
      </c>
      <c r="P131" s="46">
        <f t="shared" si="85"/>
        <v>0</v>
      </c>
      <c r="Q131" s="46">
        <f t="shared" si="86"/>
        <v>610973</v>
      </c>
      <c r="R131" s="46">
        <v>0</v>
      </c>
      <c r="S131" s="46">
        <f t="shared" si="87"/>
        <v>922700</v>
      </c>
      <c r="T131" s="46">
        <f t="shared" si="88"/>
        <v>947462</v>
      </c>
      <c r="U131" s="46">
        <f t="shared" si="89"/>
        <v>889288</v>
      </c>
      <c r="V131" s="46">
        <f t="shared" si="90"/>
        <v>0</v>
      </c>
      <c r="W131" s="46">
        <f t="shared" si="91"/>
        <v>0</v>
      </c>
      <c r="X131" s="46">
        <v>0</v>
      </c>
      <c r="Y131" s="46">
        <f t="shared" si="92"/>
        <v>889288</v>
      </c>
      <c r="Z131" s="46">
        <f t="shared" si="93"/>
        <v>947462</v>
      </c>
      <c r="AA131" s="46">
        <f t="shared" si="94"/>
        <v>472198</v>
      </c>
      <c r="AB131" s="46">
        <f t="shared" si="95"/>
        <v>0</v>
      </c>
      <c r="AC131" s="46">
        <f t="shared" si="96"/>
        <v>450502</v>
      </c>
      <c r="AD131" s="46">
        <v>0</v>
      </c>
      <c r="AE131" s="46">
        <f t="shared" si="97"/>
        <v>922700</v>
      </c>
      <c r="AF131" s="46">
        <f t="shared" si="98"/>
        <v>1397964</v>
      </c>
      <c r="AG131" s="46">
        <f t="shared" si="99"/>
        <v>4109005</v>
      </c>
      <c r="AH131" s="46">
        <f t="shared" si="100"/>
        <v>37925</v>
      </c>
      <c r="AI131" s="46">
        <f t="shared" si="101"/>
        <v>-1397964</v>
      </c>
      <c r="AJ131" s="46">
        <v>0</v>
      </c>
      <c r="AK131" s="46">
        <f t="shared" si="102"/>
        <v>2748966</v>
      </c>
      <c r="AL131" s="46">
        <f t="shared" si="103"/>
        <v>0</v>
      </c>
      <c r="AM131" s="46">
        <f t="shared" si="104"/>
        <v>813889</v>
      </c>
      <c r="AN131" s="46">
        <f t="shared" si="105"/>
        <v>26878</v>
      </c>
      <c r="AO131" s="46">
        <f t="shared" si="106"/>
        <v>108811</v>
      </c>
      <c r="AP131" s="46">
        <v>0</v>
      </c>
      <c r="AQ131" s="46">
        <f t="shared" si="107"/>
        <v>949578</v>
      </c>
      <c r="AR131" s="46">
        <f t="shared" si="108"/>
        <v>108811</v>
      </c>
      <c r="AS131" s="46">
        <f t="shared" si="109"/>
        <v>1617866</v>
      </c>
      <c r="AT131" s="46">
        <f t="shared" si="110"/>
        <v>157065</v>
      </c>
      <c r="AU131" s="46">
        <f t="shared" si="111"/>
        <v>-108811</v>
      </c>
      <c r="AV131" s="46">
        <v>0</v>
      </c>
      <c r="AW131" s="46">
        <f t="shared" si="112"/>
        <v>1666120</v>
      </c>
      <c r="AX131" s="46">
        <f t="shared" si="113"/>
        <v>0</v>
      </c>
      <c r="AY131" s="46">
        <f t="shared" si="114"/>
        <v>534406</v>
      </c>
      <c r="AZ131" s="46">
        <f t="shared" si="115"/>
        <v>0</v>
      </c>
      <c r="BA131" s="46">
        <f t="shared" si="116"/>
        <v>388294</v>
      </c>
      <c r="BB131" s="46"/>
      <c r="BC131" s="46">
        <f t="shared" si="117"/>
        <v>922700</v>
      </c>
      <c r="BD131" s="46">
        <f t="shared" si="118"/>
        <v>388294</v>
      </c>
      <c r="BE131" s="46">
        <f t="shared" si="119"/>
        <v>1034539</v>
      </c>
      <c r="BF131" s="46">
        <f t="shared" si="120"/>
        <v>38505</v>
      </c>
      <c r="BG131" s="46">
        <f t="shared" si="121"/>
        <v>0</v>
      </c>
      <c r="BH131" s="46">
        <v>0</v>
      </c>
      <c r="BI131" s="46">
        <f t="shared" si="122"/>
        <v>1073044</v>
      </c>
      <c r="BJ131" s="46">
        <f t="shared" si="123"/>
        <v>388294</v>
      </c>
      <c r="BK131" s="46">
        <f t="shared" si="124"/>
        <v>2182833</v>
      </c>
      <c r="BL131" s="46">
        <f t="shared" si="125"/>
        <v>0</v>
      </c>
      <c r="BM131" s="46">
        <f t="shared" si="126"/>
        <v>-388294</v>
      </c>
      <c r="BN131" s="46">
        <v>0</v>
      </c>
      <c r="BO131" s="46">
        <f t="shared" si="127"/>
        <v>1794539</v>
      </c>
      <c r="BP131" s="46">
        <f t="shared" si="128"/>
        <v>0</v>
      </c>
      <c r="BQ131" s="46">
        <f t="shared" si="129"/>
        <v>810143</v>
      </c>
      <c r="BR131" s="46">
        <f t="shared" si="130"/>
        <v>0</v>
      </c>
      <c r="BS131" s="46">
        <f t="shared" si="131"/>
        <v>112557</v>
      </c>
      <c r="BT131" s="46">
        <v>0</v>
      </c>
      <c r="BU131" s="46">
        <f t="shared" si="132"/>
        <v>922700</v>
      </c>
      <c r="BV131" s="46">
        <f t="shared" si="133"/>
        <v>112557</v>
      </c>
      <c r="BW131" s="46">
        <f t="shared" si="134"/>
        <v>1552457</v>
      </c>
      <c r="BX131" s="46">
        <f t="shared" si="135"/>
        <v>253067</v>
      </c>
      <c r="BY131" s="46">
        <f t="shared" si="136"/>
        <v>-112557</v>
      </c>
      <c r="BZ131" s="46">
        <v>0</v>
      </c>
      <c r="CA131" s="46">
        <f t="shared" si="137"/>
        <v>1692967</v>
      </c>
      <c r="CB131" s="46">
        <f t="shared" si="138"/>
        <v>0</v>
      </c>
      <c r="CC131" s="155">
        <f t="shared" si="141"/>
        <v>0</v>
      </c>
      <c r="CD131" s="79" t="s">
        <v>538</v>
      </c>
      <c r="CE131" s="65">
        <f t="shared" si="142"/>
        <v>922700</v>
      </c>
      <c r="CF131" s="65">
        <f t="shared" si="143"/>
        <v>922700</v>
      </c>
      <c r="CG131" s="65">
        <f t="shared" si="144"/>
        <v>889288</v>
      </c>
      <c r="CH131" s="65">
        <f t="shared" si="145"/>
        <v>922700</v>
      </c>
      <c r="CI131" s="65">
        <f t="shared" si="146"/>
        <v>2748966</v>
      </c>
      <c r="CJ131" s="65">
        <f t="shared" si="147"/>
        <v>949578</v>
      </c>
      <c r="CK131" s="65">
        <f t="shared" si="148"/>
        <v>1666120</v>
      </c>
      <c r="CL131" s="65">
        <f t="shared" si="149"/>
        <v>922700</v>
      </c>
      <c r="CM131" s="65">
        <f t="shared" si="150"/>
        <v>1073044</v>
      </c>
      <c r="CN131" s="65">
        <f t="shared" si="151"/>
        <v>1794539</v>
      </c>
      <c r="CO131" s="65">
        <f t="shared" si="152"/>
        <v>922700</v>
      </c>
      <c r="CP131" s="65">
        <f t="shared" si="153"/>
        <v>1692967</v>
      </c>
      <c r="CQ131" s="40" t="s">
        <v>538</v>
      </c>
    </row>
    <row r="132" spans="1:95" ht="3" customHeight="1" x14ac:dyDescent="0.25">
      <c r="A132" s="39">
        <v>1</v>
      </c>
      <c r="B132" s="28">
        <v>7302</v>
      </c>
      <c r="C132" s="28" t="s">
        <v>390</v>
      </c>
      <c r="D132" s="48">
        <f>+DATA!Q130</f>
        <v>2566815.4190000002</v>
      </c>
      <c r="E132" s="48">
        <f t="shared" si="139"/>
        <v>168982</v>
      </c>
      <c r="F132" s="48">
        <f t="shared" si="140"/>
        <v>256682</v>
      </c>
      <c r="G132" s="49">
        <f>VLOOKUP(B132,'CALC MEC ESTAB Y ESTIM M FINAL'!$B$7:$F$352,5,0)</f>
        <v>1.6096853984999999E-3</v>
      </c>
      <c r="H132" s="49">
        <f>VLOOKUP(B132,'CALC MEC ESTAB Y ESTIM M FINAL'!$B$7:$R$352,17,0)</f>
        <v>-2.0869577580000001E-4</v>
      </c>
      <c r="I132" s="46">
        <f t="shared" si="79"/>
        <v>115515</v>
      </c>
      <c r="J132" s="46">
        <f t="shared" si="80"/>
        <v>0</v>
      </c>
      <c r="K132" s="46">
        <f t="shared" si="81"/>
        <v>53467</v>
      </c>
      <c r="L132" s="46">
        <v>0</v>
      </c>
      <c r="M132" s="46">
        <f t="shared" si="82"/>
        <v>168982</v>
      </c>
      <c r="N132" s="46">
        <f t="shared" si="83"/>
        <v>53467</v>
      </c>
      <c r="O132" s="46">
        <f t="shared" si="84"/>
        <v>61427</v>
      </c>
      <c r="P132" s="46">
        <f t="shared" si="85"/>
        <v>0</v>
      </c>
      <c r="Q132" s="46">
        <f t="shared" si="86"/>
        <v>107555</v>
      </c>
      <c r="R132" s="46">
        <v>0</v>
      </c>
      <c r="S132" s="46">
        <f t="shared" si="87"/>
        <v>168982</v>
      </c>
      <c r="T132" s="46">
        <f t="shared" si="88"/>
        <v>161022</v>
      </c>
      <c r="U132" s="46">
        <f t="shared" si="89"/>
        <v>175237</v>
      </c>
      <c r="V132" s="46">
        <f t="shared" si="90"/>
        <v>0</v>
      </c>
      <c r="W132" s="46">
        <f t="shared" si="91"/>
        <v>0</v>
      </c>
      <c r="X132" s="46">
        <v>0</v>
      </c>
      <c r="Y132" s="46">
        <f t="shared" si="92"/>
        <v>175237</v>
      </c>
      <c r="Z132" s="46">
        <f t="shared" si="93"/>
        <v>161022</v>
      </c>
      <c r="AA132" s="46">
        <f t="shared" si="94"/>
        <v>93048</v>
      </c>
      <c r="AB132" s="46">
        <f t="shared" si="95"/>
        <v>0</v>
      </c>
      <c r="AC132" s="46">
        <f t="shared" si="96"/>
        <v>75934</v>
      </c>
      <c r="AD132" s="46">
        <v>0</v>
      </c>
      <c r="AE132" s="46">
        <f t="shared" si="97"/>
        <v>168982</v>
      </c>
      <c r="AF132" s="46">
        <f t="shared" si="98"/>
        <v>236956</v>
      </c>
      <c r="AG132" s="46">
        <f t="shared" si="99"/>
        <v>809692</v>
      </c>
      <c r="AH132" s="46">
        <f t="shared" si="100"/>
        <v>7473</v>
      </c>
      <c r="AI132" s="46">
        <f t="shared" si="101"/>
        <v>-236956</v>
      </c>
      <c r="AJ132" s="46">
        <v>0</v>
      </c>
      <c r="AK132" s="46">
        <f t="shared" si="102"/>
        <v>580209</v>
      </c>
      <c r="AL132" s="46">
        <f t="shared" si="103"/>
        <v>0</v>
      </c>
      <c r="AM132" s="46">
        <f t="shared" si="104"/>
        <v>160379</v>
      </c>
      <c r="AN132" s="46">
        <f t="shared" si="105"/>
        <v>5296</v>
      </c>
      <c r="AO132" s="46">
        <f t="shared" si="106"/>
        <v>8603</v>
      </c>
      <c r="AP132" s="46">
        <v>0</v>
      </c>
      <c r="AQ132" s="46">
        <f t="shared" si="107"/>
        <v>174278</v>
      </c>
      <c r="AR132" s="46">
        <f t="shared" si="108"/>
        <v>8603</v>
      </c>
      <c r="AS132" s="46">
        <f t="shared" si="109"/>
        <v>318805</v>
      </c>
      <c r="AT132" s="46">
        <f t="shared" si="110"/>
        <v>30950</v>
      </c>
      <c r="AU132" s="46">
        <f t="shared" si="111"/>
        <v>-8603</v>
      </c>
      <c r="AV132" s="46">
        <v>0</v>
      </c>
      <c r="AW132" s="46">
        <f t="shared" si="112"/>
        <v>341152</v>
      </c>
      <c r="AX132" s="46">
        <f t="shared" si="113"/>
        <v>0</v>
      </c>
      <c r="AY132" s="46">
        <f t="shared" si="114"/>
        <v>105306</v>
      </c>
      <c r="AZ132" s="46">
        <f t="shared" si="115"/>
        <v>0</v>
      </c>
      <c r="BA132" s="46">
        <f t="shared" si="116"/>
        <v>63676</v>
      </c>
      <c r="BB132" s="46"/>
      <c r="BC132" s="46">
        <f t="shared" si="117"/>
        <v>168982</v>
      </c>
      <c r="BD132" s="46">
        <f t="shared" si="118"/>
        <v>63676</v>
      </c>
      <c r="BE132" s="46">
        <f t="shared" si="119"/>
        <v>203859</v>
      </c>
      <c r="BF132" s="46">
        <f t="shared" si="120"/>
        <v>7587</v>
      </c>
      <c r="BG132" s="46">
        <f t="shared" si="121"/>
        <v>0</v>
      </c>
      <c r="BH132" s="46">
        <v>0</v>
      </c>
      <c r="BI132" s="46">
        <f t="shared" si="122"/>
        <v>211446</v>
      </c>
      <c r="BJ132" s="46">
        <f t="shared" si="123"/>
        <v>63676</v>
      </c>
      <c r="BK132" s="46">
        <f t="shared" si="124"/>
        <v>430134</v>
      </c>
      <c r="BL132" s="46">
        <f t="shared" si="125"/>
        <v>0</v>
      </c>
      <c r="BM132" s="46">
        <f t="shared" si="126"/>
        <v>-63676</v>
      </c>
      <c r="BN132" s="46">
        <v>0</v>
      </c>
      <c r="BO132" s="46">
        <f t="shared" si="127"/>
        <v>366458</v>
      </c>
      <c r="BP132" s="46">
        <f t="shared" si="128"/>
        <v>0</v>
      </c>
      <c r="BQ132" s="46">
        <f t="shared" si="129"/>
        <v>159641</v>
      </c>
      <c r="BR132" s="46">
        <f t="shared" si="130"/>
        <v>0</v>
      </c>
      <c r="BS132" s="46">
        <f t="shared" si="131"/>
        <v>9341</v>
      </c>
      <c r="BT132" s="46">
        <v>0</v>
      </c>
      <c r="BU132" s="46">
        <f t="shared" si="132"/>
        <v>168982</v>
      </c>
      <c r="BV132" s="46">
        <f t="shared" si="133"/>
        <v>9341</v>
      </c>
      <c r="BW132" s="46">
        <f t="shared" si="134"/>
        <v>305916</v>
      </c>
      <c r="BX132" s="46">
        <f t="shared" si="135"/>
        <v>49868</v>
      </c>
      <c r="BY132" s="46">
        <f t="shared" si="136"/>
        <v>-9341</v>
      </c>
      <c r="BZ132" s="46">
        <v>0</v>
      </c>
      <c r="CA132" s="46">
        <f t="shared" si="137"/>
        <v>346443</v>
      </c>
      <c r="CB132" s="46">
        <f t="shared" si="138"/>
        <v>0</v>
      </c>
      <c r="CC132" s="155">
        <f t="shared" si="141"/>
        <v>0</v>
      </c>
      <c r="CD132" s="79" t="s">
        <v>538</v>
      </c>
      <c r="CE132" s="65">
        <f t="shared" si="142"/>
        <v>168982</v>
      </c>
      <c r="CF132" s="65">
        <f t="shared" si="143"/>
        <v>168982</v>
      </c>
      <c r="CG132" s="65">
        <f t="shared" si="144"/>
        <v>175237</v>
      </c>
      <c r="CH132" s="65">
        <f t="shared" si="145"/>
        <v>168982</v>
      </c>
      <c r="CI132" s="65">
        <f t="shared" si="146"/>
        <v>580209</v>
      </c>
      <c r="CJ132" s="65">
        <f t="shared" si="147"/>
        <v>174278</v>
      </c>
      <c r="CK132" s="65">
        <f t="shared" si="148"/>
        <v>341152</v>
      </c>
      <c r="CL132" s="65">
        <f t="shared" si="149"/>
        <v>168982</v>
      </c>
      <c r="CM132" s="65">
        <f t="shared" si="150"/>
        <v>211446</v>
      </c>
      <c r="CN132" s="65">
        <f t="shared" si="151"/>
        <v>366458</v>
      </c>
      <c r="CO132" s="65">
        <f t="shared" si="152"/>
        <v>168982</v>
      </c>
      <c r="CP132" s="65">
        <f t="shared" si="153"/>
        <v>346443</v>
      </c>
      <c r="CQ132" s="40" t="s">
        <v>538</v>
      </c>
    </row>
    <row r="133" spans="1:95" ht="3" customHeight="1" x14ac:dyDescent="0.25">
      <c r="A133" s="39">
        <v>1</v>
      </c>
      <c r="B133" s="28">
        <v>7303</v>
      </c>
      <c r="C133" s="28" t="s">
        <v>391</v>
      </c>
      <c r="D133" s="48">
        <f>+DATA!Q131</f>
        <v>4491494.0829999996</v>
      </c>
      <c r="E133" s="48">
        <f t="shared" si="139"/>
        <v>295690</v>
      </c>
      <c r="F133" s="48">
        <f t="shared" si="140"/>
        <v>449149</v>
      </c>
      <c r="G133" s="49">
        <f>VLOOKUP(B133,'CALC MEC ESTAB Y ESTIM M FINAL'!$B$7:$F$352,5,0)</f>
        <v>2.6870040972E-3</v>
      </c>
      <c r="H133" s="49">
        <f>VLOOKUP(B133,'CALC MEC ESTAB Y ESTIM M FINAL'!$B$7:$R$352,17,0)</f>
        <v>-2.9459393320000003E-4</v>
      </c>
      <c r="I133" s="46">
        <f t="shared" si="79"/>
        <v>197259</v>
      </c>
      <c r="J133" s="46">
        <f t="shared" si="80"/>
        <v>0</v>
      </c>
      <c r="K133" s="46">
        <f t="shared" si="81"/>
        <v>98431</v>
      </c>
      <c r="L133" s="46">
        <v>0</v>
      </c>
      <c r="M133" s="46">
        <f t="shared" si="82"/>
        <v>295690</v>
      </c>
      <c r="N133" s="46">
        <f t="shared" si="83"/>
        <v>98431</v>
      </c>
      <c r="O133" s="46">
        <f t="shared" si="84"/>
        <v>104896</v>
      </c>
      <c r="P133" s="46">
        <f t="shared" si="85"/>
        <v>0</v>
      </c>
      <c r="Q133" s="46">
        <f t="shared" si="86"/>
        <v>190794</v>
      </c>
      <c r="R133" s="46">
        <v>0</v>
      </c>
      <c r="S133" s="46">
        <f t="shared" si="87"/>
        <v>295690</v>
      </c>
      <c r="T133" s="46">
        <f t="shared" si="88"/>
        <v>289225</v>
      </c>
      <c r="U133" s="46">
        <f t="shared" si="89"/>
        <v>299244</v>
      </c>
      <c r="V133" s="46">
        <f t="shared" si="90"/>
        <v>0</v>
      </c>
      <c r="W133" s="46">
        <f t="shared" si="91"/>
        <v>0</v>
      </c>
      <c r="X133" s="46">
        <v>0</v>
      </c>
      <c r="Y133" s="46">
        <f t="shared" si="92"/>
        <v>299244</v>
      </c>
      <c r="Z133" s="46">
        <f t="shared" si="93"/>
        <v>289225</v>
      </c>
      <c r="AA133" s="46">
        <f t="shared" si="94"/>
        <v>158894</v>
      </c>
      <c r="AB133" s="46">
        <f t="shared" si="95"/>
        <v>0</v>
      </c>
      <c r="AC133" s="46">
        <f t="shared" si="96"/>
        <v>136796</v>
      </c>
      <c r="AD133" s="46">
        <v>0</v>
      </c>
      <c r="AE133" s="46">
        <f t="shared" si="97"/>
        <v>295690</v>
      </c>
      <c r="AF133" s="46">
        <f t="shared" si="98"/>
        <v>426021</v>
      </c>
      <c r="AG133" s="46">
        <f t="shared" si="99"/>
        <v>1382676</v>
      </c>
      <c r="AH133" s="46">
        <f t="shared" si="100"/>
        <v>12762</v>
      </c>
      <c r="AI133" s="46">
        <f t="shared" si="101"/>
        <v>-426021</v>
      </c>
      <c r="AJ133" s="46">
        <v>0</v>
      </c>
      <c r="AK133" s="46">
        <f t="shared" si="102"/>
        <v>969417</v>
      </c>
      <c r="AL133" s="46">
        <f t="shared" si="103"/>
        <v>0</v>
      </c>
      <c r="AM133" s="46">
        <f t="shared" si="104"/>
        <v>273873</v>
      </c>
      <c r="AN133" s="46">
        <f t="shared" si="105"/>
        <v>9044</v>
      </c>
      <c r="AO133" s="46">
        <f t="shared" si="106"/>
        <v>21817</v>
      </c>
      <c r="AP133" s="46">
        <v>0</v>
      </c>
      <c r="AQ133" s="46">
        <f t="shared" si="107"/>
        <v>304734</v>
      </c>
      <c r="AR133" s="46">
        <f t="shared" si="108"/>
        <v>21817</v>
      </c>
      <c r="AS133" s="46">
        <f t="shared" si="109"/>
        <v>544410</v>
      </c>
      <c r="AT133" s="46">
        <f t="shared" si="110"/>
        <v>52852</v>
      </c>
      <c r="AU133" s="46">
        <f t="shared" si="111"/>
        <v>-21817</v>
      </c>
      <c r="AV133" s="46">
        <v>0</v>
      </c>
      <c r="AW133" s="46">
        <f t="shared" si="112"/>
        <v>575445</v>
      </c>
      <c r="AX133" s="46">
        <f t="shared" si="113"/>
        <v>0</v>
      </c>
      <c r="AY133" s="46">
        <f t="shared" si="114"/>
        <v>179827</v>
      </c>
      <c r="AZ133" s="46">
        <f t="shared" si="115"/>
        <v>0</v>
      </c>
      <c r="BA133" s="46">
        <f t="shared" si="116"/>
        <v>115863</v>
      </c>
      <c r="BB133" s="46"/>
      <c r="BC133" s="46">
        <f t="shared" si="117"/>
        <v>295690</v>
      </c>
      <c r="BD133" s="46">
        <f t="shared" si="118"/>
        <v>115863</v>
      </c>
      <c r="BE133" s="46">
        <f t="shared" si="119"/>
        <v>348121</v>
      </c>
      <c r="BF133" s="46">
        <f t="shared" si="120"/>
        <v>12957</v>
      </c>
      <c r="BG133" s="46">
        <f t="shared" si="121"/>
        <v>0</v>
      </c>
      <c r="BH133" s="46">
        <v>0</v>
      </c>
      <c r="BI133" s="46">
        <f t="shared" si="122"/>
        <v>361078</v>
      </c>
      <c r="BJ133" s="46">
        <f t="shared" si="123"/>
        <v>115863</v>
      </c>
      <c r="BK133" s="46">
        <f t="shared" si="124"/>
        <v>734521</v>
      </c>
      <c r="BL133" s="46">
        <f t="shared" si="125"/>
        <v>0</v>
      </c>
      <c r="BM133" s="46">
        <f t="shared" si="126"/>
        <v>-115863</v>
      </c>
      <c r="BN133" s="46">
        <v>0</v>
      </c>
      <c r="BO133" s="46">
        <f t="shared" si="127"/>
        <v>618658</v>
      </c>
      <c r="BP133" s="46">
        <f t="shared" si="128"/>
        <v>0</v>
      </c>
      <c r="BQ133" s="46">
        <f t="shared" si="129"/>
        <v>272612</v>
      </c>
      <c r="BR133" s="46">
        <f t="shared" si="130"/>
        <v>0</v>
      </c>
      <c r="BS133" s="46">
        <f t="shared" si="131"/>
        <v>23078</v>
      </c>
      <c r="BT133" s="46">
        <v>0</v>
      </c>
      <c r="BU133" s="46">
        <f t="shared" si="132"/>
        <v>295690</v>
      </c>
      <c r="BV133" s="46">
        <f t="shared" si="133"/>
        <v>23078</v>
      </c>
      <c r="BW133" s="46">
        <f t="shared" si="134"/>
        <v>522400</v>
      </c>
      <c r="BX133" s="46">
        <f t="shared" si="135"/>
        <v>85157</v>
      </c>
      <c r="BY133" s="46">
        <f t="shared" si="136"/>
        <v>-23078</v>
      </c>
      <c r="BZ133" s="46">
        <v>0</v>
      </c>
      <c r="CA133" s="46">
        <f t="shared" si="137"/>
        <v>584479</v>
      </c>
      <c r="CB133" s="46">
        <f t="shared" si="138"/>
        <v>0</v>
      </c>
      <c r="CC133" s="155">
        <f t="shared" si="141"/>
        <v>0</v>
      </c>
      <c r="CD133" s="79" t="s">
        <v>538</v>
      </c>
      <c r="CE133" s="65">
        <f t="shared" si="142"/>
        <v>295690</v>
      </c>
      <c r="CF133" s="65">
        <f t="shared" si="143"/>
        <v>295690</v>
      </c>
      <c r="CG133" s="65">
        <f t="shared" si="144"/>
        <v>299244</v>
      </c>
      <c r="CH133" s="65">
        <f t="shared" si="145"/>
        <v>295690</v>
      </c>
      <c r="CI133" s="65">
        <f t="shared" si="146"/>
        <v>969417</v>
      </c>
      <c r="CJ133" s="65">
        <f t="shared" si="147"/>
        <v>304734</v>
      </c>
      <c r="CK133" s="65">
        <f t="shared" si="148"/>
        <v>575445</v>
      </c>
      <c r="CL133" s="65">
        <f t="shared" si="149"/>
        <v>295690</v>
      </c>
      <c r="CM133" s="65">
        <f t="shared" si="150"/>
        <v>361078</v>
      </c>
      <c r="CN133" s="65">
        <f t="shared" si="151"/>
        <v>618658</v>
      </c>
      <c r="CO133" s="65">
        <f t="shared" si="152"/>
        <v>295690</v>
      </c>
      <c r="CP133" s="65">
        <f t="shared" si="153"/>
        <v>584479</v>
      </c>
      <c r="CQ133" s="40" t="s">
        <v>538</v>
      </c>
    </row>
    <row r="134" spans="1:95" ht="3" customHeight="1" x14ac:dyDescent="0.25">
      <c r="A134" s="39">
        <v>1</v>
      </c>
      <c r="B134" s="28">
        <v>7304</v>
      </c>
      <c r="C134" s="28" t="s">
        <v>150</v>
      </c>
      <c r="D134" s="48">
        <f>+DATA!Q132</f>
        <v>7838370.1229999997</v>
      </c>
      <c r="E134" s="48">
        <f t="shared" si="139"/>
        <v>516026</v>
      </c>
      <c r="F134" s="48">
        <f t="shared" si="140"/>
        <v>783837</v>
      </c>
      <c r="G134" s="49">
        <f>VLOOKUP(B134,'CALC MEC ESTAB Y ESTIM M FINAL'!$B$7:$F$352,5,0)</f>
        <v>4.0427139414000004E-3</v>
      </c>
      <c r="H134" s="49">
        <f>VLOOKUP(B134,'CALC MEC ESTAB Y ESTIM M FINAL'!$B$7:$R$352,17,0)</f>
        <v>-1.6098655600000001E-4</v>
      </c>
      <c r="I134" s="46">
        <f t="shared" si="79"/>
        <v>320057</v>
      </c>
      <c r="J134" s="46">
        <f t="shared" si="80"/>
        <v>0</v>
      </c>
      <c r="K134" s="46">
        <f t="shared" si="81"/>
        <v>195969</v>
      </c>
      <c r="L134" s="46">
        <v>0</v>
      </c>
      <c r="M134" s="46">
        <f t="shared" si="82"/>
        <v>516026</v>
      </c>
      <c r="N134" s="46">
        <f t="shared" si="83"/>
        <v>195969</v>
      </c>
      <c r="O134" s="46">
        <f t="shared" si="84"/>
        <v>170195</v>
      </c>
      <c r="P134" s="46">
        <f t="shared" si="85"/>
        <v>0</v>
      </c>
      <c r="Q134" s="46">
        <f t="shared" si="86"/>
        <v>345831</v>
      </c>
      <c r="R134" s="46">
        <v>0</v>
      </c>
      <c r="S134" s="46">
        <f t="shared" si="87"/>
        <v>516026</v>
      </c>
      <c r="T134" s="46">
        <f t="shared" si="88"/>
        <v>541800</v>
      </c>
      <c r="U134" s="46">
        <f t="shared" si="89"/>
        <v>485529</v>
      </c>
      <c r="V134" s="46">
        <f t="shared" si="90"/>
        <v>0</v>
      </c>
      <c r="W134" s="46">
        <f t="shared" si="91"/>
        <v>0</v>
      </c>
      <c r="X134" s="46">
        <v>0</v>
      </c>
      <c r="Y134" s="46">
        <f t="shared" si="92"/>
        <v>485529</v>
      </c>
      <c r="Z134" s="46">
        <f t="shared" si="93"/>
        <v>541800</v>
      </c>
      <c r="AA134" s="46">
        <f t="shared" si="94"/>
        <v>257808</v>
      </c>
      <c r="AB134" s="46">
        <f t="shared" si="95"/>
        <v>0</v>
      </c>
      <c r="AC134" s="46">
        <f t="shared" si="96"/>
        <v>258218</v>
      </c>
      <c r="AD134" s="46">
        <v>0</v>
      </c>
      <c r="AE134" s="46">
        <f t="shared" si="97"/>
        <v>516026</v>
      </c>
      <c r="AF134" s="46">
        <f t="shared" si="98"/>
        <v>800018</v>
      </c>
      <c r="AG134" s="46">
        <f t="shared" si="99"/>
        <v>2243416</v>
      </c>
      <c r="AH134" s="46">
        <f t="shared" si="100"/>
        <v>20706</v>
      </c>
      <c r="AI134" s="46">
        <f t="shared" si="101"/>
        <v>-800018</v>
      </c>
      <c r="AJ134" s="46">
        <v>0</v>
      </c>
      <c r="AK134" s="46">
        <f t="shared" si="102"/>
        <v>1464104</v>
      </c>
      <c r="AL134" s="46">
        <f t="shared" si="103"/>
        <v>0</v>
      </c>
      <c r="AM134" s="46">
        <f t="shared" si="104"/>
        <v>444363</v>
      </c>
      <c r="AN134" s="46">
        <f t="shared" si="105"/>
        <v>14675</v>
      </c>
      <c r="AO134" s="46">
        <f t="shared" si="106"/>
        <v>71663</v>
      </c>
      <c r="AP134" s="46">
        <v>0</v>
      </c>
      <c r="AQ134" s="46">
        <f t="shared" si="107"/>
        <v>530701</v>
      </c>
      <c r="AR134" s="46">
        <f t="shared" si="108"/>
        <v>71663</v>
      </c>
      <c r="AS134" s="46">
        <f t="shared" si="109"/>
        <v>883315</v>
      </c>
      <c r="AT134" s="46">
        <f t="shared" si="110"/>
        <v>85754</v>
      </c>
      <c r="AU134" s="46">
        <f t="shared" si="111"/>
        <v>-71663</v>
      </c>
      <c r="AV134" s="46">
        <v>0</v>
      </c>
      <c r="AW134" s="46">
        <f t="shared" si="112"/>
        <v>897406</v>
      </c>
      <c r="AX134" s="46">
        <f t="shared" si="113"/>
        <v>0</v>
      </c>
      <c r="AY134" s="46">
        <f t="shared" si="114"/>
        <v>291773</v>
      </c>
      <c r="AZ134" s="46">
        <f t="shared" si="115"/>
        <v>0</v>
      </c>
      <c r="BA134" s="46">
        <f t="shared" si="116"/>
        <v>224253</v>
      </c>
      <c r="BB134" s="46"/>
      <c r="BC134" s="46">
        <f t="shared" si="117"/>
        <v>516026</v>
      </c>
      <c r="BD134" s="46">
        <f t="shared" si="118"/>
        <v>224253</v>
      </c>
      <c r="BE134" s="46">
        <f t="shared" si="119"/>
        <v>564833</v>
      </c>
      <c r="BF134" s="46">
        <f t="shared" si="120"/>
        <v>21023</v>
      </c>
      <c r="BG134" s="46">
        <f t="shared" si="121"/>
        <v>0</v>
      </c>
      <c r="BH134" s="46">
        <v>0</v>
      </c>
      <c r="BI134" s="46">
        <f t="shared" si="122"/>
        <v>585856</v>
      </c>
      <c r="BJ134" s="46">
        <f t="shared" si="123"/>
        <v>224253</v>
      </c>
      <c r="BK134" s="46">
        <f t="shared" si="124"/>
        <v>1191773</v>
      </c>
      <c r="BL134" s="46">
        <f t="shared" si="125"/>
        <v>0</v>
      </c>
      <c r="BM134" s="46">
        <f t="shared" si="126"/>
        <v>-224253</v>
      </c>
      <c r="BN134" s="46">
        <v>0</v>
      </c>
      <c r="BO134" s="46">
        <f t="shared" si="127"/>
        <v>967520</v>
      </c>
      <c r="BP134" s="46">
        <f t="shared" si="128"/>
        <v>0</v>
      </c>
      <c r="BQ134" s="46">
        <f t="shared" si="129"/>
        <v>442318</v>
      </c>
      <c r="BR134" s="46">
        <f t="shared" si="130"/>
        <v>0</v>
      </c>
      <c r="BS134" s="46">
        <f t="shared" si="131"/>
        <v>73708</v>
      </c>
      <c r="BT134" s="46">
        <v>0</v>
      </c>
      <c r="BU134" s="46">
        <f t="shared" si="132"/>
        <v>516026</v>
      </c>
      <c r="BV134" s="46">
        <f t="shared" si="133"/>
        <v>73708</v>
      </c>
      <c r="BW134" s="46">
        <f t="shared" si="134"/>
        <v>847603</v>
      </c>
      <c r="BX134" s="46">
        <f t="shared" si="135"/>
        <v>138168</v>
      </c>
      <c r="BY134" s="46">
        <f t="shared" si="136"/>
        <v>-73708</v>
      </c>
      <c r="BZ134" s="46">
        <v>0</v>
      </c>
      <c r="CA134" s="46">
        <f t="shared" si="137"/>
        <v>912063</v>
      </c>
      <c r="CB134" s="46">
        <f t="shared" si="138"/>
        <v>0</v>
      </c>
      <c r="CC134" s="155">
        <f t="shared" si="141"/>
        <v>0</v>
      </c>
      <c r="CD134" s="79" t="s">
        <v>538</v>
      </c>
      <c r="CE134" s="65">
        <f t="shared" si="142"/>
        <v>516026</v>
      </c>
      <c r="CF134" s="65">
        <f t="shared" si="143"/>
        <v>516026</v>
      </c>
      <c r="CG134" s="65">
        <f t="shared" si="144"/>
        <v>485529</v>
      </c>
      <c r="CH134" s="65">
        <f t="shared" si="145"/>
        <v>516026</v>
      </c>
      <c r="CI134" s="65">
        <f t="shared" si="146"/>
        <v>1464104</v>
      </c>
      <c r="CJ134" s="65">
        <f t="shared" si="147"/>
        <v>530701</v>
      </c>
      <c r="CK134" s="65">
        <f t="shared" si="148"/>
        <v>897406</v>
      </c>
      <c r="CL134" s="65">
        <f t="shared" si="149"/>
        <v>516026</v>
      </c>
      <c r="CM134" s="65">
        <f t="shared" si="150"/>
        <v>585856</v>
      </c>
      <c r="CN134" s="65">
        <f t="shared" si="151"/>
        <v>967520</v>
      </c>
      <c r="CO134" s="65">
        <f t="shared" si="152"/>
        <v>516026</v>
      </c>
      <c r="CP134" s="65">
        <f t="shared" si="153"/>
        <v>912063</v>
      </c>
      <c r="CQ134" s="40" t="s">
        <v>538</v>
      </c>
    </row>
    <row r="135" spans="1:95" ht="3" customHeight="1" x14ac:dyDescent="0.25">
      <c r="A135" s="39">
        <v>1</v>
      </c>
      <c r="B135" s="28">
        <v>7305</v>
      </c>
      <c r="C135" s="28" t="s">
        <v>149</v>
      </c>
      <c r="D135" s="48">
        <f>+DATA!Q133</f>
        <v>2363701.8139999998</v>
      </c>
      <c r="E135" s="48">
        <f t="shared" si="139"/>
        <v>155610</v>
      </c>
      <c r="F135" s="48">
        <f t="shared" si="140"/>
        <v>236370</v>
      </c>
      <c r="G135" s="49">
        <f>VLOOKUP(B135,'CALC MEC ESTAB Y ESTIM M FINAL'!$B$7:$F$352,5,0)</f>
        <v>1.3537412263000001E-3</v>
      </c>
      <c r="H135" s="49">
        <f>VLOOKUP(B135,'CALC MEC ESTAB Y ESTIM M FINAL'!$B$7:$R$352,17,0)</f>
        <v>-1.2185341170000001E-4</v>
      </c>
      <c r="I135" s="46">
        <f t="shared" ref="I135:I198" si="154">ROUND(($G135+$H135)*$I$4,0)</f>
        <v>101572</v>
      </c>
      <c r="J135" s="46">
        <f t="shared" ref="J135:J198" si="155">ROUND($J$4*($G135+$H135),0)</f>
        <v>0</v>
      </c>
      <c r="K135" s="46">
        <f t="shared" ref="K135:K198" si="156">IF($E135&gt;I135,$E135-I135,0)</f>
        <v>54038</v>
      </c>
      <c r="L135" s="46">
        <v>0</v>
      </c>
      <c r="M135" s="46">
        <f t="shared" ref="M135:M198" si="157">I135+J135+K135+L135</f>
        <v>155610</v>
      </c>
      <c r="N135" s="46">
        <f t="shared" ref="N135:N198" si="158">K135</f>
        <v>54038</v>
      </c>
      <c r="O135" s="46">
        <f t="shared" ref="O135:O198" si="159">ROUND(($G135+$H135)*$O$4,0)</f>
        <v>54012</v>
      </c>
      <c r="P135" s="46">
        <f t="shared" ref="P135:P198" si="160">ROUND($P$4*($G135+$H135),0)</f>
        <v>0</v>
      </c>
      <c r="Q135" s="46">
        <f t="shared" ref="Q135:Q198" si="161">IF($E135&gt;O135,$E135-O135,0)</f>
        <v>101598</v>
      </c>
      <c r="R135" s="46">
        <v>0</v>
      </c>
      <c r="S135" s="46">
        <f t="shared" ref="S135:S198" si="162">O135+P135+Q135+R135</f>
        <v>155610</v>
      </c>
      <c r="T135" s="46">
        <f t="shared" ref="T135:T198" si="163">N135+Q135</f>
        <v>155636</v>
      </c>
      <c r="U135" s="46">
        <f t="shared" ref="U135:U198" si="164">ROUND(($G135+$H135)*$U$4,0)</f>
        <v>154085</v>
      </c>
      <c r="V135" s="46">
        <f t="shared" ref="V135:V198" si="165">+ROUND($V$4*($G135+$H135),0)</f>
        <v>0</v>
      </c>
      <c r="W135" s="46">
        <f t="shared" ref="W135:W198" si="166">IF(U135&lt;$F135,0,IF(U135-$F135&gt;T135,-T135,-(U135-$F135)))</f>
        <v>0</v>
      </c>
      <c r="X135" s="46">
        <v>0</v>
      </c>
      <c r="Y135" s="46">
        <f t="shared" ref="Y135:Y198" si="167">U135+V135+W135+X135</f>
        <v>154085</v>
      </c>
      <c r="Z135" s="46">
        <f t="shared" ref="Z135:Z198" si="168">T135+W135</f>
        <v>155636</v>
      </c>
      <c r="AA135" s="46">
        <f t="shared" ref="AA135:AA198" si="169">ROUND(($G135+$H135)*$AA$4,0)</f>
        <v>81817</v>
      </c>
      <c r="AB135" s="46">
        <f t="shared" ref="AB135:AB198" si="170">ROUND($AB$4*($G135*$H135),0)</f>
        <v>0</v>
      </c>
      <c r="AC135" s="46">
        <f t="shared" ref="AC135:AC198" si="171">IF($E135&gt;AA135,$E135-AA135,0)</f>
        <v>73793</v>
      </c>
      <c r="AD135" s="46">
        <v>0</v>
      </c>
      <c r="AE135" s="46">
        <f t="shared" ref="AE135:AE198" si="172">AA135+AB135+AC135+AD135</f>
        <v>155610</v>
      </c>
      <c r="AF135" s="46">
        <f t="shared" ref="AF135:AF198" si="173">Z135+AC135</f>
        <v>229429</v>
      </c>
      <c r="AG135" s="46">
        <f t="shared" ref="AG135:AG198" si="174">ROUND(($G135+$H135)*$AG$4,0)</f>
        <v>711960</v>
      </c>
      <c r="AH135" s="46">
        <f t="shared" ref="AH135:AH198" si="175">+ROUND($AH$4*($G135+$H135),0)</f>
        <v>6571</v>
      </c>
      <c r="AI135" s="46">
        <f t="shared" ref="AI135:AI198" si="176">IF(AG135&lt;$F135,0,IF(AG135-$F135&gt;AF135,-AF135,-(AG135-$F135)))</f>
        <v>-229429</v>
      </c>
      <c r="AJ135" s="46">
        <v>0</v>
      </c>
      <c r="AK135" s="46">
        <f t="shared" ref="AK135:AK198" si="177">AG135+AH135+AI135+AJ135</f>
        <v>489102</v>
      </c>
      <c r="AL135" s="46">
        <f t="shared" ref="AL135:AL198" si="178">AF135+AI135</f>
        <v>0</v>
      </c>
      <c r="AM135" s="46">
        <f t="shared" ref="AM135:AM198" si="179">ROUND(($G135+$H135)*$AM$4,0)</f>
        <v>141021</v>
      </c>
      <c r="AN135" s="46">
        <f t="shared" ref="AN135:AN198" si="180">ROUND($AN$4*($G135+$H135),0)</f>
        <v>4657</v>
      </c>
      <c r="AO135" s="46">
        <f t="shared" ref="AO135:AO198" si="181">IF($E135&gt;AM135,$E135-AM135,0)</f>
        <v>14589</v>
      </c>
      <c r="AP135" s="46">
        <v>0</v>
      </c>
      <c r="AQ135" s="46">
        <f t="shared" ref="AQ135:AQ198" si="182">AM135+AN135+AO135+AP135</f>
        <v>160267</v>
      </c>
      <c r="AR135" s="46">
        <f t="shared" ref="AR135:AR198" si="183">AL135+AO135</f>
        <v>14589</v>
      </c>
      <c r="AS135" s="46">
        <f t="shared" ref="AS135:AS198" si="184">ROUND(($G135+$H135)*$AS$4,0)</f>
        <v>280325</v>
      </c>
      <c r="AT135" s="46">
        <f t="shared" ref="AT135:AT198" si="185">+ROUND($AT$4*($G135+$H135),0)</f>
        <v>27214</v>
      </c>
      <c r="AU135" s="46">
        <f t="shared" ref="AU135:AU198" si="186">IF(AS135&lt;$F135,0,IF(AS135-$F135&gt;AR135,-AR135,-(AS135-$F135)))</f>
        <v>-14589</v>
      </c>
      <c r="AV135" s="46">
        <v>0</v>
      </c>
      <c r="AW135" s="46">
        <f t="shared" ref="AW135:AW198" si="187">AS135+AT135+AU135+AV135</f>
        <v>292950</v>
      </c>
      <c r="AX135" s="46">
        <f t="shared" ref="AX135:AX198" si="188">AR135+AU135</f>
        <v>0</v>
      </c>
      <c r="AY135" s="46">
        <f t="shared" ref="AY135:AY198" si="189">ROUND(($G135+$H135)*$AY$4,0)</f>
        <v>92596</v>
      </c>
      <c r="AZ135" s="46">
        <f t="shared" ref="AZ135:AZ198" si="190">ROUND($AZ$4*($G135+$H135),0)</f>
        <v>0</v>
      </c>
      <c r="BA135" s="46">
        <f t="shared" ref="BA135:BA198" si="191">IF($E135&gt;AY135,$E135-AY135,0)</f>
        <v>63014</v>
      </c>
      <c r="BB135" s="46"/>
      <c r="BC135" s="46">
        <f t="shared" ref="BC135:BC198" si="192">AY135+AZ135+BA135+BB135</f>
        <v>155610</v>
      </c>
      <c r="BD135" s="46">
        <f t="shared" ref="BD135:BD198" si="193">AX135+BA135</f>
        <v>63014</v>
      </c>
      <c r="BE135" s="46">
        <f t="shared" ref="BE135:BE198" si="194">ROUND(($G135+$H135)*$BE$4,0)</f>
        <v>179253</v>
      </c>
      <c r="BF135" s="46">
        <f t="shared" ref="BF135:BF198" si="195">ROUND($BF$4*($G135+$H135),0)</f>
        <v>6672</v>
      </c>
      <c r="BG135" s="46">
        <f t="shared" ref="BG135:BG198" si="196">IF(BE135&lt;$F135,0,IF(BE135-$F135&gt;BD135,-BD135,-(BE135-$F135)))</f>
        <v>0</v>
      </c>
      <c r="BH135" s="46">
        <v>0</v>
      </c>
      <c r="BI135" s="46">
        <f t="shared" ref="BI135:BI198" si="197">BE135+BF135+BG135+BH135</f>
        <v>185925</v>
      </c>
      <c r="BJ135" s="46">
        <f t="shared" ref="BJ135:BJ198" si="198">BD135+BG135</f>
        <v>63014</v>
      </c>
      <c r="BK135" s="46">
        <f t="shared" ref="BK135:BK198" si="199">ROUND(($G135+$H135)*$BK$4,0)</f>
        <v>378216</v>
      </c>
      <c r="BL135" s="46">
        <f t="shared" ref="BL135:BL198" si="200">+ROUND($BL$4*($G135+$H135),0)</f>
        <v>0</v>
      </c>
      <c r="BM135" s="46">
        <f t="shared" ref="BM135:BM198" si="201">IF(BK135&lt;$F135,0,IF(BK135-$F135&gt;BJ135,-BJ135,-(BK135-$F135)))</f>
        <v>-63014</v>
      </c>
      <c r="BN135" s="46">
        <v>0</v>
      </c>
      <c r="BO135" s="46">
        <f t="shared" ref="BO135:BO198" si="202">BK135+BL135+BM135+BN135</f>
        <v>315202</v>
      </c>
      <c r="BP135" s="46">
        <f t="shared" ref="BP135:BP198" si="203">BJ135+BM135</f>
        <v>0</v>
      </c>
      <c r="BQ135" s="46">
        <f t="shared" ref="BQ135:BQ198" si="204">ROUND(($G135+$H135)*$BQ$4,0)</f>
        <v>140372</v>
      </c>
      <c r="BR135" s="46">
        <f t="shared" ref="BR135:BR198" si="205">+ROUND($BR$4*($G135+$H135),0)</f>
        <v>0</v>
      </c>
      <c r="BS135" s="46">
        <f t="shared" ref="BS135:BS198" si="206">IF($E135&gt;BQ135,$E135-BQ135,0)</f>
        <v>15238</v>
      </c>
      <c r="BT135" s="46">
        <v>0</v>
      </c>
      <c r="BU135" s="46">
        <f t="shared" ref="BU135:BU198" si="207">BQ135+BR135+BS135+BT135</f>
        <v>155610</v>
      </c>
      <c r="BV135" s="46">
        <f t="shared" ref="BV135:BV198" si="208">BP135+BS135</f>
        <v>15238</v>
      </c>
      <c r="BW135" s="46">
        <f t="shared" ref="BW135:BW198" si="209">ROUND(($G135+$H135)*$BW$4,0)</f>
        <v>268992</v>
      </c>
      <c r="BX135" s="46">
        <f t="shared" ref="BX135:BX198" si="210">+ROUND($BX$4*($G135+$H135),0)</f>
        <v>43848</v>
      </c>
      <c r="BY135" s="46">
        <f t="shared" ref="BY135:BY198" si="211">-BV135</f>
        <v>-15238</v>
      </c>
      <c r="BZ135" s="46">
        <v>0</v>
      </c>
      <c r="CA135" s="46">
        <f t="shared" ref="CA135:CA198" si="212">BW135+BX135+BY135+BZ135</f>
        <v>297602</v>
      </c>
      <c r="CB135" s="46">
        <f t="shared" ref="CB135:CB198" si="213">BV135+BY135</f>
        <v>0</v>
      </c>
      <c r="CC135" s="155">
        <f t="shared" si="141"/>
        <v>0</v>
      </c>
      <c r="CD135" s="79" t="s">
        <v>538</v>
      </c>
      <c r="CE135" s="65">
        <f t="shared" si="142"/>
        <v>155610</v>
      </c>
      <c r="CF135" s="65">
        <f t="shared" si="143"/>
        <v>155610</v>
      </c>
      <c r="CG135" s="65">
        <f t="shared" si="144"/>
        <v>154085</v>
      </c>
      <c r="CH135" s="65">
        <f t="shared" si="145"/>
        <v>155610</v>
      </c>
      <c r="CI135" s="65">
        <f t="shared" si="146"/>
        <v>489102</v>
      </c>
      <c r="CJ135" s="65">
        <f t="shared" si="147"/>
        <v>160267</v>
      </c>
      <c r="CK135" s="65">
        <f t="shared" si="148"/>
        <v>292950</v>
      </c>
      <c r="CL135" s="65">
        <f t="shared" si="149"/>
        <v>155610</v>
      </c>
      <c r="CM135" s="65">
        <f t="shared" si="150"/>
        <v>185925</v>
      </c>
      <c r="CN135" s="65">
        <f t="shared" si="151"/>
        <v>315202</v>
      </c>
      <c r="CO135" s="65">
        <f t="shared" si="152"/>
        <v>155610</v>
      </c>
      <c r="CP135" s="65">
        <f t="shared" si="153"/>
        <v>297602</v>
      </c>
      <c r="CQ135" s="40" t="s">
        <v>538</v>
      </c>
    </row>
    <row r="136" spans="1:95" ht="3" customHeight="1" x14ac:dyDescent="0.25">
      <c r="A136" s="39">
        <v>1</v>
      </c>
      <c r="B136" s="28">
        <v>7306</v>
      </c>
      <c r="C136" s="28" t="s">
        <v>148</v>
      </c>
      <c r="D136" s="48">
        <f>+DATA!Q134</f>
        <v>2202763.443</v>
      </c>
      <c r="E136" s="48">
        <f t="shared" ref="E136:E199" si="214">ROUND(D136/12*$E$4,0)*A136</f>
        <v>145015</v>
      </c>
      <c r="F136" s="48">
        <f t="shared" ref="F136:F199" si="215">ROUND(D136/12*$F$4,0)*A136</f>
        <v>220276</v>
      </c>
      <c r="G136" s="49">
        <f>VLOOKUP(B136,'CALC MEC ESTAB Y ESTIM M FINAL'!$B$7:$F$352,5,0)</f>
        <v>1.1743211574999999E-3</v>
      </c>
      <c r="H136" s="49">
        <f>VLOOKUP(B136,'CALC MEC ESTAB Y ESTIM M FINAL'!$B$7:$R$352,17,0)</f>
        <v>-6.6064529700000005E-5</v>
      </c>
      <c r="I136" s="46">
        <f t="shared" si="154"/>
        <v>91378</v>
      </c>
      <c r="J136" s="46">
        <f t="shared" si="155"/>
        <v>0</v>
      </c>
      <c r="K136" s="46">
        <f t="shared" si="156"/>
        <v>53637</v>
      </c>
      <c r="L136" s="46">
        <v>0</v>
      </c>
      <c r="M136" s="46">
        <f t="shared" si="157"/>
        <v>145015</v>
      </c>
      <c r="N136" s="46">
        <f t="shared" si="158"/>
        <v>53637</v>
      </c>
      <c r="O136" s="46">
        <f t="shared" si="159"/>
        <v>48592</v>
      </c>
      <c r="P136" s="46">
        <f t="shared" si="160"/>
        <v>0</v>
      </c>
      <c r="Q136" s="46">
        <f t="shared" si="161"/>
        <v>96423</v>
      </c>
      <c r="R136" s="46">
        <v>0</v>
      </c>
      <c r="S136" s="46">
        <f t="shared" si="162"/>
        <v>145015</v>
      </c>
      <c r="T136" s="46">
        <f t="shared" si="163"/>
        <v>150060</v>
      </c>
      <c r="U136" s="46">
        <f t="shared" si="164"/>
        <v>138622</v>
      </c>
      <c r="V136" s="46">
        <f t="shared" si="165"/>
        <v>0</v>
      </c>
      <c r="W136" s="46">
        <f t="shared" si="166"/>
        <v>0</v>
      </c>
      <c r="X136" s="46">
        <v>0</v>
      </c>
      <c r="Y136" s="46">
        <f t="shared" si="167"/>
        <v>138622</v>
      </c>
      <c r="Z136" s="46">
        <f t="shared" si="168"/>
        <v>150060</v>
      </c>
      <c r="AA136" s="46">
        <f t="shared" si="169"/>
        <v>73606</v>
      </c>
      <c r="AB136" s="46">
        <f t="shared" si="170"/>
        <v>0</v>
      </c>
      <c r="AC136" s="46">
        <f t="shared" si="171"/>
        <v>71409</v>
      </c>
      <c r="AD136" s="46">
        <v>0</v>
      </c>
      <c r="AE136" s="46">
        <f t="shared" si="172"/>
        <v>145015</v>
      </c>
      <c r="AF136" s="46">
        <f t="shared" si="173"/>
        <v>221469</v>
      </c>
      <c r="AG136" s="46">
        <f t="shared" si="174"/>
        <v>640509</v>
      </c>
      <c r="AH136" s="46">
        <f t="shared" si="175"/>
        <v>5912</v>
      </c>
      <c r="AI136" s="46">
        <f t="shared" si="176"/>
        <v>-221469</v>
      </c>
      <c r="AJ136" s="46">
        <v>0</v>
      </c>
      <c r="AK136" s="46">
        <f t="shared" si="177"/>
        <v>424952</v>
      </c>
      <c r="AL136" s="46">
        <f t="shared" si="178"/>
        <v>0</v>
      </c>
      <c r="AM136" s="46">
        <f t="shared" si="179"/>
        <v>126868</v>
      </c>
      <c r="AN136" s="46">
        <f t="shared" si="180"/>
        <v>4190</v>
      </c>
      <c r="AO136" s="46">
        <f t="shared" si="181"/>
        <v>18147</v>
      </c>
      <c r="AP136" s="46">
        <v>0</v>
      </c>
      <c r="AQ136" s="46">
        <f t="shared" si="182"/>
        <v>149205</v>
      </c>
      <c r="AR136" s="46">
        <f t="shared" si="183"/>
        <v>18147</v>
      </c>
      <c r="AS136" s="46">
        <f t="shared" si="184"/>
        <v>252192</v>
      </c>
      <c r="AT136" s="46">
        <f t="shared" si="185"/>
        <v>24483</v>
      </c>
      <c r="AU136" s="46">
        <f t="shared" si="186"/>
        <v>-18147</v>
      </c>
      <c r="AV136" s="46">
        <v>0</v>
      </c>
      <c r="AW136" s="46">
        <f t="shared" si="187"/>
        <v>258528</v>
      </c>
      <c r="AX136" s="46">
        <f t="shared" si="188"/>
        <v>0</v>
      </c>
      <c r="AY136" s="46">
        <f t="shared" si="189"/>
        <v>83303</v>
      </c>
      <c r="AZ136" s="46">
        <f t="shared" si="190"/>
        <v>0</v>
      </c>
      <c r="BA136" s="46">
        <f t="shared" si="191"/>
        <v>61712</v>
      </c>
      <c r="BB136" s="46"/>
      <c r="BC136" s="46">
        <f t="shared" si="192"/>
        <v>145015</v>
      </c>
      <c r="BD136" s="46">
        <f t="shared" si="193"/>
        <v>61712</v>
      </c>
      <c r="BE136" s="46">
        <f t="shared" si="194"/>
        <v>161263</v>
      </c>
      <c r="BF136" s="46">
        <f t="shared" si="195"/>
        <v>6002</v>
      </c>
      <c r="BG136" s="46">
        <f t="shared" si="196"/>
        <v>0</v>
      </c>
      <c r="BH136" s="46">
        <v>0</v>
      </c>
      <c r="BI136" s="46">
        <f t="shared" si="197"/>
        <v>167265</v>
      </c>
      <c r="BJ136" s="46">
        <f t="shared" si="198"/>
        <v>61712</v>
      </c>
      <c r="BK136" s="46">
        <f t="shared" si="199"/>
        <v>340258</v>
      </c>
      <c r="BL136" s="46">
        <f t="shared" si="200"/>
        <v>0</v>
      </c>
      <c r="BM136" s="46">
        <f t="shared" si="201"/>
        <v>-61712</v>
      </c>
      <c r="BN136" s="46">
        <v>0</v>
      </c>
      <c r="BO136" s="46">
        <f t="shared" si="202"/>
        <v>278546</v>
      </c>
      <c r="BP136" s="46">
        <f t="shared" si="203"/>
        <v>0</v>
      </c>
      <c r="BQ136" s="46">
        <f t="shared" si="204"/>
        <v>126284</v>
      </c>
      <c r="BR136" s="46">
        <f t="shared" si="205"/>
        <v>0</v>
      </c>
      <c r="BS136" s="46">
        <f t="shared" si="206"/>
        <v>18731</v>
      </c>
      <c r="BT136" s="46">
        <v>0</v>
      </c>
      <c r="BU136" s="46">
        <f t="shared" si="207"/>
        <v>145015</v>
      </c>
      <c r="BV136" s="46">
        <f t="shared" si="208"/>
        <v>18731</v>
      </c>
      <c r="BW136" s="46">
        <f t="shared" si="209"/>
        <v>241996</v>
      </c>
      <c r="BX136" s="46">
        <f t="shared" si="210"/>
        <v>39448</v>
      </c>
      <c r="BY136" s="46">
        <f t="shared" si="211"/>
        <v>-18731</v>
      </c>
      <c r="BZ136" s="46">
        <v>0</v>
      </c>
      <c r="CA136" s="46">
        <f t="shared" si="212"/>
        <v>262713</v>
      </c>
      <c r="CB136" s="46">
        <f t="shared" si="213"/>
        <v>0</v>
      </c>
      <c r="CC136" s="155">
        <f t="shared" ref="CC136:CC199" si="216">+K136+Q136+W136+AC136+AI136+AO136+AU136+BA136+BG136+BM136+BS136+BY136</f>
        <v>0</v>
      </c>
      <c r="CD136" s="79" t="s">
        <v>538</v>
      </c>
      <c r="CE136" s="65">
        <f t="shared" ref="CE136:CE199" si="217">+M136-L136</f>
        <v>145015</v>
      </c>
      <c r="CF136" s="65">
        <f t="shared" ref="CF136:CF199" si="218">+S136-R136</f>
        <v>145015</v>
      </c>
      <c r="CG136" s="65">
        <f t="shared" ref="CG136:CG199" si="219">+Y136-X136</f>
        <v>138622</v>
      </c>
      <c r="CH136" s="65">
        <f t="shared" ref="CH136:CH199" si="220">+AE136-AD136</f>
        <v>145015</v>
      </c>
      <c r="CI136" s="65">
        <f t="shared" ref="CI136:CI199" si="221">+AK136-AJ136</f>
        <v>424952</v>
      </c>
      <c r="CJ136" s="65">
        <f t="shared" ref="CJ136:CJ199" si="222">+AQ136-AP136</f>
        <v>149205</v>
      </c>
      <c r="CK136" s="65">
        <f t="shared" ref="CK136:CK199" si="223">+AW136-AV136</f>
        <v>258528</v>
      </c>
      <c r="CL136" s="65">
        <f t="shared" ref="CL136:CL199" si="224">+BC136-BB136</f>
        <v>145015</v>
      </c>
      <c r="CM136" s="65">
        <f t="shared" ref="CM136:CM199" si="225">+BI136-BH136</f>
        <v>167265</v>
      </c>
      <c r="CN136" s="65">
        <f t="shared" ref="CN136:CN199" si="226">+BO136-BN136</f>
        <v>278546</v>
      </c>
      <c r="CO136" s="65">
        <f t="shared" ref="CO136:CO199" si="227">+BU136-BT136</f>
        <v>145015</v>
      </c>
      <c r="CP136" s="65">
        <f t="shared" ref="CP136:CP199" si="228">+CA136-BZ136</f>
        <v>262713</v>
      </c>
      <c r="CQ136" s="40" t="s">
        <v>538</v>
      </c>
    </row>
    <row r="137" spans="1:95" ht="3" customHeight="1" x14ac:dyDescent="0.25">
      <c r="A137" s="39">
        <v>1</v>
      </c>
      <c r="B137" s="28">
        <v>7307</v>
      </c>
      <c r="C137" s="28" t="s">
        <v>151</v>
      </c>
      <c r="D137" s="48">
        <f>+DATA!Q135</f>
        <v>2413078.6179999998</v>
      </c>
      <c r="E137" s="48">
        <f t="shared" si="214"/>
        <v>158861</v>
      </c>
      <c r="F137" s="48">
        <f t="shared" si="215"/>
        <v>241308</v>
      </c>
      <c r="G137" s="49">
        <f>VLOOKUP(B137,'CALC MEC ESTAB Y ESTIM M FINAL'!$B$7:$F$352,5,0)</f>
        <v>1.2380469707999999E-3</v>
      </c>
      <c r="H137" s="49">
        <f>VLOOKUP(B137,'CALC MEC ESTAB Y ESTIM M FINAL'!$B$7:$R$352,17,0)</f>
        <v>-4.56136444E-5</v>
      </c>
      <c r="I137" s="46">
        <f t="shared" si="154"/>
        <v>98319</v>
      </c>
      <c r="J137" s="46">
        <f t="shared" si="155"/>
        <v>0</v>
      </c>
      <c r="K137" s="46">
        <f t="shared" si="156"/>
        <v>60542</v>
      </c>
      <c r="L137" s="46">
        <v>0</v>
      </c>
      <c r="M137" s="46">
        <f t="shared" si="157"/>
        <v>158861</v>
      </c>
      <c r="N137" s="46">
        <f t="shared" si="158"/>
        <v>60542</v>
      </c>
      <c r="O137" s="46">
        <f t="shared" si="159"/>
        <v>52283</v>
      </c>
      <c r="P137" s="46">
        <f t="shared" si="160"/>
        <v>0</v>
      </c>
      <c r="Q137" s="46">
        <f t="shared" si="161"/>
        <v>106578</v>
      </c>
      <c r="R137" s="46">
        <v>0</v>
      </c>
      <c r="S137" s="46">
        <f t="shared" si="162"/>
        <v>158861</v>
      </c>
      <c r="T137" s="46">
        <f t="shared" si="163"/>
        <v>167120</v>
      </c>
      <c r="U137" s="46">
        <f t="shared" si="164"/>
        <v>149150</v>
      </c>
      <c r="V137" s="46">
        <f t="shared" si="165"/>
        <v>0</v>
      </c>
      <c r="W137" s="46">
        <f t="shared" si="166"/>
        <v>0</v>
      </c>
      <c r="X137" s="46">
        <v>0</v>
      </c>
      <c r="Y137" s="46">
        <f t="shared" si="167"/>
        <v>149150</v>
      </c>
      <c r="Z137" s="46">
        <f t="shared" si="168"/>
        <v>167120</v>
      </c>
      <c r="AA137" s="46">
        <f t="shared" si="169"/>
        <v>79197</v>
      </c>
      <c r="AB137" s="46">
        <f t="shared" si="170"/>
        <v>0</v>
      </c>
      <c r="AC137" s="46">
        <f t="shared" si="171"/>
        <v>79664</v>
      </c>
      <c r="AD137" s="46">
        <v>0</v>
      </c>
      <c r="AE137" s="46">
        <f t="shared" si="172"/>
        <v>158861</v>
      </c>
      <c r="AF137" s="46">
        <f t="shared" si="173"/>
        <v>246784</v>
      </c>
      <c r="AG137" s="46">
        <f t="shared" si="174"/>
        <v>689158</v>
      </c>
      <c r="AH137" s="46">
        <f t="shared" si="175"/>
        <v>6361</v>
      </c>
      <c r="AI137" s="46">
        <f t="shared" si="176"/>
        <v>-246784</v>
      </c>
      <c r="AJ137" s="46">
        <v>0</v>
      </c>
      <c r="AK137" s="46">
        <f t="shared" si="177"/>
        <v>448735</v>
      </c>
      <c r="AL137" s="46">
        <f t="shared" si="178"/>
        <v>0</v>
      </c>
      <c r="AM137" s="46">
        <f t="shared" si="179"/>
        <v>136505</v>
      </c>
      <c r="AN137" s="46">
        <f t="shared" si="180"/>
        <v>4508</v>
      </c>
      <c r="AO137" s="46">
        <f t="shared" si="181"/>
        <v>22356</v>
      </c>
      <c r="AP137" s="46">
        <v>0</v>
      </c>
      <c r="AQ137" s="46">
        <f t="shared" si="182"/>
        <v>163369</v>
      </c>
      <c r="AR137" s="46">
        <f t="shared" si="183"/>
        <v>22356</v>
      </c>
      <c r="AS137" s="46">
        <f t="shared" si="184"/>
        <v>271347</v>
      </c>
      <c r="AT137" s="46">
        <f t="shared" si="185"/>
        <v>26343</v>
      </c>
      <c r="AU137" s="46">
        <f t="shared" si="186"/>
        <v>-22356</v>
      </c>
      <c r="AV137" s="46">
        <v>0</v>
      </c>
      <c r="AW137" s="46">
        <f t="shared" si="187"/>
        <v>275334</v>
      </c>
      <c r="AX137" s="46">
        <f t="shared" si="188"/>
        <v>0</v>
      </c>
      <c r="AY137" s="46">
        <f t="shared" si="189"/>
        <v>89630</v>
      </c>
      <c r="AZ137" s="46">
        <f t="shared" si="190"/>
        <v>0</v>
      </c>
      <c r="BA137" s="46">
        <f t="shared" si="191"/>
        <v>69231</v>
      </c>
      <c r="BB137" s="46"/>
      <c r="BC137" s="46">
        <f t="shared" si="192"/>
        <v>158861</v>
      </c>
      <c r="BD137" s="46">
        <f t="shared" si="193"/>
        <v>69231</v>
      </c>
      <c r="BE137" s="46">
        <f t="shared" si="194"/>
        <v>173512</v>
      </c>
      <c r="BF137" s="46">
        <f t="shared" si="195"/>
        <v>6458</v>
      </c>
      <c r="BG137" s="46">
        <f t="shared" si="196"/>
        <v>0</v>
      </c>
      <c r="BH137" s="46">
        <v>0</v>
      </c>
      <c r="BI137" s="46">
        <f t="shared" si="197"/>
        <v>179970</v>
      </c>
      <c r="BJ137" s="46">
        <f t="shared" si="198"/>
        <v>69231</v>
      </c>
      <c r="BK137" s="46">
        <f t="shared" si="199"/>
        <v>366102</v>
      </c>
      <c r="BL137" s="46">
        <f t="shared" si="200"/>
        <v>0</v>
      </c>
      <c r="BM137" s="46">
        <f t="shared" si="201"/>
        <v>-69231</v>
      </c>
      <c r="BN137" s="46">
        <v>0</v>
      </c>
      <c r="BO137" s="46">
        <f t="shared" si="202"/>
        <v>296871</v>
      </c>
      <c r="BP137" s="46">
        <f t="shared" si="203"/>
        <v>0</v>
      </c>
      <c r="BQ137" s="46">
        <f t="shared" si="204"/>
        <v>135876</v>
      </c>
      <c r="BR137" s="46">
        <f t="shared" si="205"/>
        <v>0</v>
      </c>
      <c r="BS137" s="46">
        <f t="shared" si="206"/>
        <v>22985</v>
      </c>
      <c r="BT137" s="46">
        <v>0</v>
      </c>
      <c r="BU137" s="46">
        <f t="shared" si="207"/>
        <v>158861</v>
      </c>
      <c r="BV137" s="46">
        <f t="shared" si="208"/>
        <v>22985</v>
      </c>
      <c r="BW137" s="46">
        <f t="shared" si="209"/>
        <v>260377</v>
      </c>
      <c r="BX137" s="46">
        <f t="shared" si="210"/>
        <v>42444</v>
      </c>
      <c r="BY137" s="46">
        <f t="shared" si="211"/>
        <v>-22985</v>
      </c>
      <c r="BZ137" s="46">
        <v>0</v>
      </c>
      <c r="CA137" s="46">
        <f t="shared" si="212"/>
        <v>279836</v>
      </c>
      <c r="CB137" s="46">
        <f t="shared" si="213"/>
        <v>0</v>
      </c>
      <c r="CC137" s="155">
        <f t="shared" si="216"/>
        <v>0</v>
      </c>
      <c r="CD137" s="79" t="s">
        <v>538</v>
      </c>
      <c r="CE137" s="65">
        <f t="shared" si="217"/>
        <v>158861</v>
      </c>
      <c r="CF137" s="65">
        <f t="shared" si="218"/>
        <v>158861</v>
      </c>
      <c r="CG137" s="65">
        <f t="shared" si="219"/>
        <v>149150</v>
      </c>
      <c r="CH137" s="65">
        <f t="shared" si="220"/>
        <v>158861</v>
      </c>
      <c r="CI137" s="65">
        <f t="shared" si="221"/>
        <v>448735</v>
      </c>
      <c r="CJ137" s="65">
        <f t="shared" si="222"/>
        <v>163369</v>
      </c>
      <c r="CK137" s="65">
        <f t="shared" si="223"/>
        <v>275334</v>
      </c>
      <c r="CL137" s="65">
        <f t="shared" si="224"/>
        <v>158861</v>
      </c>
      <c r="CM137" s="65">
        <f t="shared" si="225"/>
        <v>179970</v>
      </c>
      <c r="CN137" s="65">
        <f t="shared" si="226"/>
        <v>296871</v>
      </c>
      <c r="CO137" s="65">
        <f t="shared" si="227"/>
        <v>158861</v>
      </c>
      <c r="CP137" s="65">
        <f t="shared" si="228"/>
        <v>279836</v>
      </c>
      <c r="CQ137" s="40" t="s">
        <v>538</v>
      </c>
    </row>
    <row r="138" spans="1:95" ht="3" customHeight="1" x14ac:dyDescent="0.25">
      <c r="A138" s="39">
        <v>1</v>
      </c>
      <c r="B138" s="28">
        <v>7308</v>
      </c>
      <c r="C138" s="28" t="s">
        <v>147</v>
      </c>
      <c r="D138" s="48">
        <f>+DATA!Q136</f>
        <v>3200238.679</v>
      </c>
      <c r="E138" s="48">
        <f t="shared" si="214"/>
        <v>210682</v>
      </c>
      <c r="F138" s="48">
        <f t="shared" si="215"/>
        <v>320024</v>
      </c>
      <c r="G138" s="49">
        <f>VLOOKUP(B138,'CALC MEC ESTAB Y ESTIM M FINAL'!$B$7:$F$352,5,0)</f>
        <v>1.5149075508999999E-3</v>
      </c>
      <c r="H138" s="49">
        <f>VLOOKUP(B138,'CALC MEC ESTAB Y ESTIM M FINAL'!$B$7:$R$352,17,0)</f>
        <v>1.5129152500000001E-5</v>
      </c>
      <c r="I138" s="46">
        <f t="shared" si="154"/>
        <v>126155</v>
      </c>
      <c r="J138" s="46">
        <f t="shared" si="155"/>
        <v>0</v>
      </c>
      <c r="K138" s="46">
        <f t="shared" si="156"/>
        <v>84527</v>
      </c>
      <c r="L138" s="46">
        <v>0</v>
      </c>
      <c r="M138" s="46">
        <f t="shared" si="157"/>
        <v>210682</v>
      </c>
      <c r="N138" s="46">
        <f t="shared" si="158"/>
        <v>84527</v>
      </c>
      <c r="O138" s="46">
        <f t="shared" si="159"/>
        <v>67085</v>
      </c>
      <c r="P138" s="46">
        <f t="shared" si="160"/>
        <v>0</v>
      </c>
      <c r="Q138" s="46">
        <f t="shared" si="161"/>
        <v>143597</v>
      </c>
      <c r="R138" s="46">
        <v>0</v>
      </c>
      <c r="S138" s="46">
        <f t="shared" si="162"/>
        <v>210682</v>
      </c>
      <c r="T138" s="46">
        <f t="shared" si="163"/>
        <v>228124</v>
      </c>
      <c r="U138" s="46">
        <f t="shared" si="164"/>
        <v>191378</v>
      </c>
      <c r="V138" s="46">
        <f t="shared" si="165"/>
        <v>0</v>
      </c>
      <c r="W138" s="46">
        <f t="shared" si="166"/>
        <v>0</v>
      </c>
      <c r="X138" s="46">
        <v>0</v>
      </c>
      <c r="Y138" s="46">
        <f t="shared" si="167"/>
        <v>191378</v>
      </c>
      <c r="Z138" s="46">
        <f t="shared" si="168"/>
        <v>228124</v>
      </c>
      <c r="AA138" s="46">
        <f t="shared" si="169"/>
        <v>101619</v>
      </c>
      <c r="AB138" s="46">
        <f t="shared" si="170"/>
        <v>0</v>
      </c>
      <c r="AC138" s="46">
        <f t="shared" si="171"/>
        <v>109063</v>
      </c>
      <c r="AD138" s="46">
        <v>0</v>
      </c>
      <c r="AE138" s="46">
        <f t="shared" si="172"/>
        <v>210682</v>
      </c>
      <c r="AF138" s="46">
        <f t="shared" si="173"/>
        <v>337187</v>
      </c>
      <c r="AG138" s="46">
        <f t="shared" si="174"/>
        <v>884273</v>
      </c>
      <c r="AH138" s="46">
        <f t="shared" si="175"/>
        <v>8162</v>
      </c>
      <c r="AI138" s="46">
        <f t="shared" si="176"/>
        <v>-337187</v>
      </c>
      <c r="AJ138" s="46">
        <v>0</v>
      </c>
      <c r="AK138" s="46">
        <f t="shared" si="177"/>
        <v>555248</v>
      </c>
      <c r="AL138" s="46">
        <f t="shared" si="178"/>
        <v>0</v>
      </c>
      <c r="AM138" s="46">
        <f t="shared" si="179"/>
        <v>175152</v>
      </c>
      <c r="AN138" s="46">
        <f t="shared" si="180"/>
        <v>5784</v>
      </c>
      <c r="AO138" s="46">
        <f t="shared" si="181"/>
        <v>35530</v>
      </c>
      <c r="AP138" s="46">
        <v>0</v>
      </c>
      <c r="AQ138" s="46">
        <f t="shared" si="182"/>
        <v>216466</v>
      </c>
      <c r="AR138" s="46">
        <f t="shared" si="183"/>
        <v>35530</v>
      </c>
      <c r="AS138" s="46">
        <f t="shared" si="184"/>
        <v>348171</v>
      </c>
      <c r="AT138" s="46">
        <f t="shared" si="185"/>
        <v>33801</v>
      </c>
      <c r="AU138" s="46">
        <f t="shared" si="186"/>
        <v>-28147</v>
      </c>
      <c r="AV138" s="46">
        <v>0</v>
      </c>
      <c r="AW138" s="46">
        <f t="shared" si="187"/>
        <v>353825</v>
      </c>
      <c r="AX138" s="46">
        <f t="shared" si="188"/>
        <v>7383</v>
      </c>
      <c r="AY138" s="46">
        <f t="shared" si="189"/>
        <v>115006</v>
      </c>
      <c r="AZ138" s="46">
        <f t="shared" si="190"/>
        <v>0</v>
      </c>
      <c r="BA138" s="46">
        <f t="shared" si="191"/>
        <v>95676</v>
      </c>
      <c r="BB138" s="46"/>
      <c r="BC138" s="46">
        <f t="shared" si="192"/>
        <v>210682</v>
      </c>
      <c r="BD138" s="46">
        <f t="shared" si="193"/>
        <v>103059</v>
      </c>
      <c r="BE138" s="46">
        <f t="shared" si="194"/>
        <v>222637</v>
      </c>
      <c r="BF138" s="46">
        <f t="shared" si="195"/>
        <v>8286</v>
      </c>
      <c r="BG138" s="46">
        <f t="shared" si="196"/>
        <v>0</v>
      </c>
      <c r="BH138" s="46">
        <v>0</v>
      </c>
      <c r="BI138" s="46">
        <f t="shared" si="197"/>
        <v>230923</v>
      </c>
      <c r="BJ138" s="46">
        <f t="shared" si="198"/>
        <v>103059</v>
      </c>
      <c r="BK138" s="46">
        <f t="shared" si="199"/>
        <v>469754</v>
      </c>
      <c r="BL138" s="46">
        <f t="shared" si="200"/>
        <v>0</v>
      </c>
      <c r="BM138" s="46">
        <f t="shared" si="201"/>
        <v>-103059</v>
      </c>
      <c r="BN138" s="46">
        <v>0</v>
      </c>
      <c r="BO138" s="46">
        <f t="shared" si="202"/>
        <v>366695</v>
      </c>
      <c r="BP138" s="46">
        <f t="shared" si="203"/>
        <v>0</v>
      </c>
      <c r="BQ138" s="46">
        <f t="shared" si="204"/>
        <v>174346</v>
      </c>
      <c r="BR138" s="46">
        <f t="shared" si="205"/>
        <v>0</v>
      </c>
      <c r="BS138" s="46">
        <f t="shared" si="206"/>
        <v>36336</v>
      </c>
      <c r="BT138" s="46">
        <v>0</v>
      </c>
      <c r="BU138" s="46">
        <f t="shared" si="207"/>
        <v>210682</v>
      </c>
      <c r="BV138" s="46">
        <f t="shared" si="208"/>
        <v>36336</v>
      </c>
      <c r="BW138" s="46">
        <f t="shared" si="209"/>
        <v>334095</v>
      </c>
      <c r="BX138" s="46">
        <f t="shared" si="210"/>
        <v>54461</v>
      </c>
      <c r="BY138" s="46">
        <f t="shared" si="211"/>
        <v>-36336</v>
      </c>
      <c r="BZ138" s="46">
        <v>0</v>
      </c>
      <c r="CA138" s="46">
        <f t="shared" si="212"/>
        <v>352220</v>
      </c>
      <c r="CB138" s="46">
        <f t="shared" si="213"/>
        <v>0</v>
      </c>
      <c r="CC138" s="155">
        <f t="shared" si="216"/>
        <v>0</v>
      </c>
      <c r="CD138" s="79" t="s">
        <v>538</v>
      </c>
      <c r="CE138" s="65">
        <f t="shared" si="217"/>
        <v>210682</v>
      </c>
      <c r="CF138" s="65">
        <f t="shared" si="218"/>
        <v>210682</v>
      </c>
      <c r="CG138" s="65">
        <f t="shared" si="219"/>
        <v>191378</v>
      </c>
      <c r="CH138" s="65">
        <f t="shared" si="220"/>
        <v>210682</v>
      </c>
      <c r="CI138" s="65">
        <f t="shared" si="221"/>
        <v>555248</v>
      </c>
      <c r="CJ138" s="65">
        <f t="shared" si="222"/>
        <v>216466</v>
      </c>
      <c r="CK138" s="65">
        <f t="shared" si="223"/>
        <v>353825</v>
      </c>
      <c r="CL138" s="65">
        <f t="shared" si="224"/>
        <v>210682</v>
      </c>
      <c r="CM138" s="65">
        <f t="shared" si="225"/>
        <v>230923</v>
      </c>
      <c r="CN138" s="65">
        <f t="shared" si="226"/>
        <v>366695</v>
      </c>
      <c r="CO138" s="65">
        <f t="shared" si="227"/>
        <v>210682</v>
      </c>
      <c r="CP138" s="65">
        <f t="shared" si="228"/>
        <v>352220</v>
      </c>
      <c r="CQ138" s="40" t="s">
        <v>538</v>
      </c>
    </row>
    <row r="139" spans="1:95" ht="3" customHeight="1" x14ac:dyDescent="0.25">
      <c r="A139" s="39">
        <v>1</v>
      </c>
      <c r="B139" s="28">
        <v>7309</v>
      </c>
      <c r="C139" s="28" t="s">
        <v>392</v>
      </c>
      <c r="D139" s="48">
        <f>+DATA!Q137</f>
        <v>1680472.2849999999</v>
      </c>
      <c r="E139" s="48">
        <f t="shared" si="214"/>
        <v>110631</v>
      </c>
      <c r="F139" s="48">
        <f t="shared" si="215"/>
        <v>168047</v>
      </c>
      <c r="G139" s="49">
        <f>VLOOKUP(B139,'CALC MEC ESTAB Y ESTIM M FINAL'!$B$7:$F$352,5,0)</f>
        <v>8.7353440619999999E-4</v>
      </c>
      <c r="H139" s="49">
        <f>VLOOKUP(B139,'CALC MEC ESTAB Y ESTIM M FINAL'!$B$7:$R$352,17,0)</f>
        <v>-3.82403757E-5</v>
      </c>
      <c r="I139" s="46">
        <f t="shared" si="154"/>
        <v>68872</v>
      </c>
      <c r="J139" s="46">
        <f t="shared" si="155"/>
        <v>0</v>
      </c>
      <c r="K139" s="46">
        <f t="shared" si="156"/>
        <v>41759</v>
      </c>
      <c r="L139" s="46">
        <v>0</v>
      </c>
      <c r="M139" s="46">
        <f t="shared" si="157"/>
        <v>110631</v>
      </c>
      <c r="N139" s="46">
        <f t="shared" si="158"/>
        <v>41759</v>
      </c>
      <c r="O139" s="46">
        <f t="shared" si="159"/>
        <v>36624</v>
      </c>
      <c r="P139" s="46">
        <f t="shared" si="160"/>
        <v>0</v>
      </c>
      <c r="Q139" s="46">
        <f t="shared" si="161"/>
        <v>74007</v>
      </c>
      <c r="R139" s="46">
        <v>0</v>
      </c>
      <c r="S139" s="46">
        <f t="shared" si="162"/>
        <v>110631</v>
      </c>
      <c r="T139" s="46">
        <f t="shared" si="163"/>
        <v>115766</v>
      </c>
      <c r="U139" s="46">
        <f t="shared" si="164"/>
        <v>104479</v>
      </c>
      <c r="V139" s="46">
        <f t="shared" si="165"/>
        <v>0</v>
      </c>
      <c r="W139" s="46">
        <f t="shared" si="166"/>
        <v>0</v>
      </c>
      <c r="X139" s="46">
        <v>0</v>
      </c>
      <c r="Y139" s="46">
        <f t="shared" si="167"/>
        <v>104479</v>
      </c>
      <c r="Z139" s="46">
        <f t="shared" si="168"/>
        <v>115766</v>
      </c>
      <c r="AA139" s="46">
        <f t="shared" si="169"/>
        <v>55477</v>
      </c>
      <c r="AB139" s="46">
        <f t="shared" si="170"/>
        <v>0</v>
      </c>
      <c r="AC139" s="46">
        <f t="shared" si="171"/>
        <v>55154</v>
      </c>
      <c r="AD139" s="46">
        <v>0</v>
      </c>
      <c r="AE139" s="46">
        <f t="shared" si="172"/>
        <v>110631</v>
      </c>
      <c r="AF139" s="46">
        <f t="shared" si="173"/>
        <v>170920</v>
      </c>
      <c r="AG139" s="46">
        <f t="shared" si="174"/>
        <v>482752</v>
      </c>
      <c r="AH139" s="46">
        <f t="shared" si="175"/>
        <v>4456</v>
      </c>
      <c r="AI139" s="46">
        <f t="shared" si="176"/>
        <v>-170920</v>
      </c>
      <c r="AJ139" s="46">
        <v>0</v>
      </c>
      <c r="AK139" s="46">
        <f t="shared" si="177"/>
        <v>316288</v>
      </c>
      <c r="AL139" s="46">
        <f t="shared" si="178"/>
        <v>0</v>
      </c>
      <c r="AM139" s="46">
        <f t="shared" si="179"/>
        <v>95621</v>
      </c>
      <c r="AN139" s="46">
        <f t="shared" si="180"/>
        <v>3158</v>
      </c>
      <c r="AO139" s="46">
        <f t="shared" si="181"/>
        <v>15010</v>
      </c>
      <c r="AP139" s="46">
        <v>0</v>
      </c>
      <c r="AQ139" s="46">
        <f t="shared" si="182"/>
        <v>113789</v>
      </c>
      <c r="AR139" s="46">
        <f t="shared" si="183"/>
        <v>15010</v>
      </c>
      <c r="AS139" s="46">
        <f t="shared" si="184"/>
        <v>190077</v>
      </c>
      <c r="AT139" s="46">
        <f t="shared" si="185"/>
        <v>18453</v>
      </c>
      <c r="AU139" s="46">
        <f t="shared" si="186"/>
        <v>-15010</v>
      </c>
      <c r="AV139" s="46">
        <v>0</v>
      </c>
      <c r="AW139" s="46">
        <f t="shared" si="187"/>
        <v>193520</v>
      </c>
      <c r="AX139" s="46">
        <f t="shared" si="188"/>
        <v>0</v>
      </c>
      <c r="AY139" s="46">
        <f t="shared" si="189"/>
        <v>62785</v>
      </c>
      <c r="AZ139" s="46">
        <f t="shared" si="190"/>
        <v>0</v>
      </c>
      <c r="BA139" s="46">
        <f t="shared" si="191"/>
        <v>47846</v>
      </c>
      <c r="BB139" s="46"/>
      <c r="BC139" s="46">
        <f t="shared" si="192"/>
        <v>110631</v>
      </c>
      <c r="BD139" s="46">
        <f t="shared" si="193"/>
        <v>47846</v>
      </c>
      <c r="BE139" s="46">
        <f t="shared" si="194"/>
        <v>121544</v>
      </c>
      <c r="BF139" s="46">
        <f t="shared" si="195"/>
        <v>4524</v>
      </c>
      <c r="BG139" s="46">
        <f t="shared" si="196"/>
        <v>0</v>
      </c>
      <c r="BH139" s="46">
        <v>0</v>
      </c>
      <c r="BI139" s="46">
        <f t="shared" si="197"/>
        <v>126068</v>
      </c>
      <c r="BJ139" s="46">
        <f t="shared" si="198"/>
        <v>47846</v>
      </c>
      <c r="BK139" s="46">
        <f t="shared" si="199"/>
        <v>256453</v>
      </c>
      <c r="BL139" s="46">
        <f t="shared" si="200"/>
        <v>0</v>
      </c>
      <c r="BM139" s="46">
        <f t="shared" si="201"/>
        <v>-47846</v>
      </c>
      <c r="BN139" s="46">
        <v>0</v>
      </c>
      <c r="BO139" s="46">
        <f t="shared" si="202"/>
        <v>208607</v>
      </c>
      <c r="BP139" s="46">
        <f t="shared" si="203"/>
        <v>0</v>
      </c>
      <c r="BQ139" s="46">
        <f t="shared" si="204"/>
        <v>95181</v>
      </c>
      <c r="BR139" s="46">
        <f t="shared" si="205"/>
        <v>0</v>
      </c>
      <c r="BS139" s="46">
        <f t="shared" si="206"/>
        <v>15450</v>
      </c>
      <c r="BT139" s="46">
        <v>0</v>
      </c>
      <c r="BU139" s="46">
        <f t="shared" si="207"/>
        <v>110631</v>
      </c>
      <c r="BV139" s="46">
        <f t="shared" si="208"/>
        <v>15450</v>
      </c>
      <c r="BW139" s="46">
        <f t="shared" si="209"/>
        <v>182393</v>
      </c>
      <c r="BX139" s="46">
        <f t="shared" si="210"/>
        <v>29732</v>
      </c>
      <c r="BY139" s="46">
        <f t="shared" si="211"/>
        <v>-15450</v>
      </c>
      <c r="BZ139" s="46">
        <v>0</v>
      </c>
      <c r="CA139" s="46">
        <f t="shared" si="212"/>
        <v>196675</v>
      </c>
      <c r="CB139" s="46">
        <f t="shared" si="213"/>
        <v>0</v>
      </c>
      <c r="CC139" s="155">
        <f t="shared" si="216"/>
        <v>0</v>
      </c>
      <c r="CD139" s="79" t="s">
        <v>538</v>
      </c>
      <c r="CE139" s="65">
        <f t="shared" si="217"/>
        <v>110631</v>
      </c>
      <c r="CF139" s="65">
        <f t="shared" si="218"/>
        <v>110631</v>
      </c>
      <c r="CG139" s="65">
        <f t="shared" si="219"/>
        <v>104479</v>
      </c>
      <c r="CH139" s="65">
        <f t="shared" si="220"/>
        <v>110631</v>
      </c>
      <c r="CI139" s="65">
        <f t="shared" si="221"/>
        <v>316288</v>
      </c>
      <c r="CJ139" s="65">
        <f t="shared" si="222"/>
        <v>113789</v>
      </c>
      <c r="CK139" s="65">
        <f t="shared" si="223"/>
        <v>193520</v>
      </c>
      <c r="CL139" s="65">
        <f t="shared" si="224"/>
        <v>110631</v>
      </c>
      <c r="CM139" s="65">
        <f t="shared" si="225"/>
        <v>126068</v>
      </c>
      <c r="CN139" s="65">
        <f t="shared" si="226"/>
        <v>208607</v>
      </c>
      <c r="CO139" s="65">
        <f t="shared" si="227"/>
        <v>110631</v>
      </c>
      <c r="CP139" s="65">
        <f t="shared" si="228"/>
        <v>196675</v>
      </c>
      <c r="CQ139" s="40" t="s">
        <v>538</v>
      </c>
    </row>
    <row r="140" spans="1:95" ht="3" customHeight="1" x14ac:dyDescent="0.25">
      <c r="A140" s="39">
        <v>1</v>
      </c>
      <c r="B140" s="28">
        <v>7401</v>
      </c>
      <c r="C140" s="28" t="s">
        <v>160</v>
      </c>
      <c r="D140" s="48">
        <f>+DATA!Q138</f>
        <v>13678623.699999999</v>
      </c>
      <c r="E140" s="48">
        <f t="shared" si="214"/>
        <v>900509</v>
      </c>
      <c r="F140" s="48">
        <f t="shared" si="215"/>
        <v>1367862</v>
      </c>
      <c r="G140" s="49">
        <f>VLOOKUP(B140,'CALC MEC ESTAB Y ESTIM M FINAL'!$B$7:$F$352,5,0)</f>
        <v>7.6644937901000007E-3</v>
      </c>
      <c r="H140" s="49">
        <f>VLOOKUP(B140,'CALC MEC ESTAB Y ESTIM M FINAL'!$B$7:$R$352,17,0)</f>
        <v>-6.1170332319999997E-4</v>
      </c>
      <c r="I140" s="46">
        <f t="shared" si="154"/>
        <v>581518</v>
      </c>
      <c r="J140" s="46">
        <f t="shared" si="155"/>
        <v>0</v>
      </c>
      <c r="K140" s="46">
        <f t="shared" si="156"/>
        <v>318991</v>
      </c>
      <c r="L140" s="46">
        <v>0</v>
      </c>
      <c r="M140" s="46">
        <f t="shared" si="157"/>
        <v>900509</v>
      </c>
      <c r="N140" s="46">
        <f t="shared" si="158"/>
        <v>318991</v>
      </c>
      <c r="O140" s="46">
        <f t="shared" si="159"/>
        <v>309232</v>
      </c>
      <c r="P140" s="46">
        <f t="shared" si="160"/>
        <v>0</v>
      </c>
      <c r="Q140" s="46">
        <f t="shared" si="161"/>
        <v>591277</v>
      </c>
      <c r="R140" s="46">
        <v>0</v>
      </c>
      <c r="S140" s="46">
        <f t="shared" si="162"/>
        <v>900509</v>
      </c>
      <c r="T140" s="46">
        <f t="shared" si="163"/>
        <v>910268</v>
      </c>
      <c r="U140" s="46">
        <f t="shared" si="164"/>
        <v>882168</v>
      </c>
      <c r="V140" s="46">
        <f t="shared" si="165"/>
        <v>0</v>
      </c>
      <c r="W140" s="46">
        <f t="shared" si="166"/>
        <v>0</v>
      </c>
      <c r="X140" s="46">
        <v>0</v>
      </c>
      <c r="Y140" s="46">
        <f t="shared" si="167"/>
        <v>882168</v>
      </c>
      <c r="Z140" s="46">
        <f t="shared" si="168"/>
        <v>910268</v>
      </c>
      <c r="AA140" s="46">
        <f t="shared" si="169"/>
        <v>468417</v>
      </c>
      <c r="AB140" s="46">
        <f t="shared" si="170"/>
        <v>0</v>
      </c>
      <c r="AC140" s="46">
        <f t="shared" si="171"/>
        <v>432092</v>
      </c>
      <c r="AD140" s="46">
        <v>0</v>
      </c>
      <c r="AE140" s="46">
        <f t="shared" si="172"/>
        <v>900509</v>
      </c>
      <c r="AF140" s="46">
        <f t="shared" si="173"/>
        <v>1342360</v>
      </c>
      <c r="AG140" s="46">
        <f t="shared" si="174"/>
        <v>4076108</v>
      </c>
      <c r="AH140" s="46">
        <f t="shared" si="175"/>
        <v>37621</v>
      </c>
      <c r="AI140" s="46">
        <f t="shared" si="176"/>
        <v>-1342360</v>
      </c>
      <c r="AJ140" s="46">
        <v>0</v>
      </c>
      <c r="AK140" s="46">
        <f t="shared" si="177"/>
        <v>2771369</v>
      </c>
      <c r="AL140" s="46">
        <f t="shared" si="178"/>
        <v>0</v>
      </c>
      <c r="AM140" s="46">
        <f t="shared" si="179"/>
        <v>807373</v>
      </c>
      <c r="AN140" s="46">
        <f t="shared" si="180"/>
        <v>26663</v>
      </c>
      <c r="AO140" s="46">
        <f t="shared" si="181"/>
        <v>93136</v>
      </c>
      <c r="AP140" s="46">
        <v>0</v>
      </c>
      <c r="AQ140" s="46">
        <f t="shared" si="182"/>
        <v>927172</v>
      </c>
      <c r="AR140" s="46">
        <f t="shared" si="183"/>
        <v>93136</v>
      </c>
      <c r="AS140" s="46">
        <f t="shared" si="184"/>
        <v>1604914</v>
      </c>
      <c r="AT140" s="46">
        <f t="shared" si="185"/>
        <v>155808</v>
      </c>
      <c r="AU140" s="46">
        <f t="shared" si="186"/>
        <v>-93136</v>
      </c>
      <c r="AV140" s="46">
        <v>0</v>
      </c>
      <c r="AW140" s="46">
        <f t="shared" si="187"/>
        <v>1667586</v>
      </c>
      <c r="AX140" s="46">
        <f t="shared" si="188"/>
        <v>0</v>
      </c>
      <c r="AY140" s="46">
        <f t="shared" si="189"/>
        <v>530127</v>
      </c>
      <c r="AZ140" s="46">
        <f t="shared" si="190"/>
        <v>0</v>
      </c>
      <c r="BA140" s="46">
        <f t="shared" si="191"/>
        <v>370382</v>
      </c>
      <c r="BB140" s="46"/>
      <c r="BC140" s="46">
        <f t="shared" si="192"/>
        <v>900509</v>
      </c>
      <c r="BD140" s="46">
        <f t="shared" si="193"/>
        <v>370382</v>
      </c>
      <c r="BE140" s="46">
        <f t="shared" si="194"/>
        <v>1026257</v>
      </c>
      <c r="BF140" s="46">
        <f t="shared" si="195"/>
        <v>38196</v>
      </c>
      <c r="BG140" s="46">
        <f t="shared" si="196"/>
        <v>0</v>
      </c>
      <c r="BH140" s="46">
        <v>0</v>
      </c>
      <c r="BI140" s="46">
        <f t="shared" si="197"/>
        <v>1064453</v>
      </c>
      <c r="BJ140" s="46">
        <f t="shared" si="198"/>
        <v>370382</v>
      </c>
      <c r="BK140" s="46">
        <f t="shared" si="199"/>
        <v>2165357</v>
      </c>
      <c r="BL140" s="46">
        <f t="shared" si="200"/>
        <v>0</v>
      </c>
      <c r="BM140" s="46">
        <f t="shared" si="201"/>
        <v>-370382</v>
      </c>
      <c r="BN140" s="46">
        <v>0</v>
      </c>
      <c r="BO140" s="46">
        <f t="shared" si="202"/>
        <v>1794975</v>
      </c>
      <c r="BP140" s="46">
        <f t="shared" si="203"/>
        <v>0</v>
      </c>
      <c r="BQ140" s="46">
        <f t="shared" si="204"/>
        <v>803657</v>
      </c>
      <c r="BR140" s="46">
        <f t="shared" si="205"/>
        <v>0</v>
      </c>
      <c r="BS140" s="46">
        <f t="shared" si="206"/>
        <v>96852</v>
      </c>
      <c r="BT140" s="46">
        <v>0</v>
      </c>
      <c r="BU140" s="46">
        <f t="shared" si="207"/>
        <v>900509</v>
      </c>
      <c r="BV140" s="46">
        <f t="shared" si="208"/>
        <v>96852</v>
      </c>
      <c r="BW140" s="46">
        <f t="shared" si="209"/>
        <v>1540028</v>
      </c>
      <c r="BX140" s="46">
        <f t="shared" si="210"/>
        <v>251041</v>
      </c>
      <c r="BY140" s="46">
        <f t="shared" si="211"/>
        <v>-96852</v>
      </c>
      <c r="BZ140" s="46">
        <v>0</v>
      </c>
      <c r="CA140" s="46">
        <f t="shared" si="212"/>
        <v>1694217</v>
      </c>
      <c r="CB140" s="46">
        <f t="shared" si="213"/>
        <v>0</v>
      </c>
      <c r="CC140" s="155">
        <f t="shared" si="216"/>
        <v>0</v>
      </c>
      <c r="CD140" s="79" t="s">
        <v>538</v>
      </c>
      <c r="CE140" s="65">
        <f t="shared" si="217"/>
        <v>900509</v>
      </c>
      <c r="CF140" s="65">
        <f t="shared" si="218"/>
        <v>900509</v>
      </c>
      <c r="CG140" s="65">
        <f t="shared" si="219"/>
        <v>882168</v>
      </c>
      <c r="CH140" s="65">
        <f t="shared" si="220"/>
        <v>900509</v>
      </c>
      <c r="CI140" s="65">
        <f t="shared" si="221"/>
        <v>2771369</v>
      </c>
      <c r="CJ140" s="65">
        <f t="shared" si="222"/>
        <v>927172</v>
      </c>
      <c r="CK140" s="65">
        <f t="shared" si="223"/>
        <v>1667586</v>
      </c>
      <c r="CL140" s="65">
        <f t="shared" si="224"/>
        <v>900509</v>
      </c>
      <c r="CM140" s="65">
        <f t="shared" si="225"/>
        <v>1064453</v>
      </c>
      <c r="CN140" s="65">
        <f t="shared" si="226"/>
        <v>1794975</v>
      </c>
      <c r="CO140" s="65">
        <f t="shared" si="227"/>
        <v>900509</v>
      </c>
      <c r="CP140" s="65">
        <f t="shared" si="228"/>
        <v>1694217</v>
      </c>
      <c r="CQ140" s="40" t="s">
        <v>538</v>
      </c>
    </row>
    <row r="141" spans="1:95" ht="3" customHeight="1" x14ac:dyDescent="0.25">
      <c r="A141" s="39">
        <v>1</v>
      </c>
      <c r="B141" s="28">
        <v>7402</v>
      </c>
      <c r="C141" s="28" t="s">
        <v>393</v>
      </c>
      <c r="D141" s="48">
        <f>+DATA!Q139</f>
        <v>3566821.63</v>
      </c>
      <c r="E141" s="48">
        <f t="shared" si="214"/>
        <v>234816</v>
      </c>
      <c r="F141" s="48">
        <f t="shared" si="215"/>
        <v>356682</v>
      </c>
      <c r="G141" s="49">
        <f>VLOOKUP(B141,'CALC MEC ESTAB Y ESTIM M FINAL'!$B$7:$F$352,5,0)</f>
        <v>1.5009283708E-3</v>
      </c>
      <c r="H141" s="49">
        <f>VLOOKUP(B141,'CALC MEC ESTAB Y ESTIM M FINAL'!$B$7:$R$352,17,0)</f>
        <v>2.0437215419999999E-4</v>
      </c>
      <c r="I141" s="46">
        <f t="shared" si="154"/>
        <v>140606</v>
      </c>
      <c r="J141" s="46">
        <f t="shared" si="155"/>
        <v>0</v>
      </c>
      <c r="K141" s="46">
        <f t="shared" si="156"/>
        <v>94210</v>
      </c>
      <c r="L141" s="46">
        <v>0</v>
      </c>
      <c r="M141" s="46">
        <f t="shared" si="157"/>
        <v>234816</v>
      </c>
      <c r="N141" s="46">
        <f t="shared" si="158"/>
        <v>94210</v>
      </c>
      <c r="O141" s="46">
        <f t="shared" si="159"/>
        <v>74769</v>
      </c>
      <c r="P141" s="46">
        <f t="shared" si="160"/>
        <v>0</v>
      </c>
      <c r="Q141" s="46">
        <f t="shared" si="161"/>
        <v>160047</v>
      </c>
      <c r="R141" s="46">
        <v>0</v>
      </c>
      <c r="S141" s="46">
        <f t="shared" si="162"/>
        <v>234816</v>
      </c>
      <c r="T141" s="46">
        <f t="shared" si="163"/>
        <v>254257</v>
      </c>
      <c r="U141" s="46">
        <f t="shared" si="164"/>
        <v>213300</v>
      </c>
      <c r="V141" s="46">
        <f t="shared" si="165"/>
        <v>0</v>
      </c>
      <c r="W141" s="46">
        <f t="shared" si="166"/>
        <v>0</v>
      </c>
      <c r="X141" s="46">
        <v>0</v>
      </c>
      <c r="Y141" s="46">
        <f t="shared" si="167"/>
        <v>213300</v>
      </c>
      <c r="Z141" s="46">
        <f t="shared" si="168"/>
        <v>254257</v>
      </c>
      <c r="AA141" s="46">
        <f t="shared" si="169"/>
        <v>113259</v>
      </c>
      <c r="AB141" s="46">
        <f t="shared" si="170"/>
        <v>0</v>
      </c>
      <c r="AC141" s="46">
        <f t="shared" si="171"/>
        <v>121557</v>
      </c>
      <c r="AD141" s="46">
        <v>0</v>
      </c>
      <c r="AE141" s="46">
        <f t="shared" si="172"/>
        <v>234816</v>
      </c>
      <c r="AF141" s="46">
        <f t="shared" si="173"/>
        <v>375814</v>
      </c>
      <c r="AG141" s="46">
        <f t="shared" si="174"/>
        <v>985566</v>
      </c>
      <c r="AH141" s="46">
        <f t="shared" si="175"/>
        <v>9097</v>
      </c>
      <c r="AI141" s="46">
        <f t="shared" si="176"/>
        <v>-375814</v>
      </c>
      <c r="AJ141" s="46">
        <v>0</v>
      </c>
      <c r="AK141" s="46">
        <f t="shared" si="177"/>
        <v>618849</v>
      </c>
      <c r="AL141" s="46">
        <f t="shared" si="178"/>
        <v>0</v>
      </c>
      <c r="AM141" s="46">
        <f t="shared" si="179"/>
        <v>195215</v>
      </c>
      <c r="AN141" s="46">
        <f t="shared" si="180"/>
        <v>6447</v>
      </c>
      <c r="AO141" s="46">
        <f t="shared" si="181"/>
        <v>39601</v>
      </c>
      <c r="AP141" s="46">
        <v>0</v>
      </c>
      <c r="AQ141" s="46">
        <f t="shared" si="182"/>
        <v>241263</v>
      </c>
      <c r="AR141" s="46">
        <f t="shared" si="183"/>
        <v>39601</v>
      </c>
      <c r="AS141" s="46">
        <f t="shared" si="184"/>
        <v>388054</v>
      </c>
      <c r="AT141" s="46">
        <f t="shared" si="185"/>
        <v>37673</v>
      </c>
      <c r="AU141" s="46">
        <f t="shared" si="186"/>
        <v>-31372</v>
      </c>
      <c r="AV141" s="46">
        <v>0</v>
      </c>
      <c r="AW141" s="46">
        <f t="shared" si="187"/>
        <v>394355</v>
      </c>
      <c r="AX141" s="46">
        <f t="shared" si="188"/>
        <v>8229</v>
      </c>
      <c r="AY141" s="46">
        <f t="shared" si="189"/>
        <v>128180</v>
      </c>
      <c r="AZ141" s="46">
        <f t="shared" si="190"/>
        <v>0</v>
      </c>
      <c r="BA141" s="46">
        <f t="shared" si="191"/>
        <v>106636</v>
      </c>
      <c r="BB141" s="46"/>
      <c r="BC141" s="46">
        <f t="shared" si="192"/>
        <v>234816</v>
      </c>
      <c r="BD141" s="46">
        <f t="shared" si="193"/>
        <v>114865</v>
      </c>
      <c r="BE141" s="46">
        <f t="shared" si="194"/>
        <v>248139</v>
      </c>
      <c r="BF141" s="46">
        <f t="shared" si="195"/>
        <v>9236</v>
      </c>
      <c r="BG141" s="46">
        <f t="shared" si="196"/>
        <v>0</v>
      </c>
      <c r="BH141" s="46">
        <v>0</v>
      </c>
      <c r="BI141" s="46">
        <f t="shared" si="197"/>
        <v>257375</v>
      </c>
      <c r="BJ141" s="46">
        <f t="shared" si="198"/>
        <v>114865</v>
      </c>
      <c r="BK141" s="46">
        <f t="shared" si="199"/>
        <v>523564</v>
      </c>
      <c r="BL141" s="46">
        <f t="shared" si="200"/>
        <v>0</v>
      </c>
      <c r="BM141" s="46">
        <f t="shared" si="201"/>
        <v>-114865</v>
      </c>
      <c r="BN141" s="46">
        <v>0</v>
      </c>
      <c r="BO141" s="46">
        <f t="shared" si="202"/>
        <v>408699</v>
      </c>
      <c r="BP141" s="46">
        <f t="shared" si="203"/>
        <v>0</v>
      </c>
      <c r="BQ141" s="46">
        <f t="shared" si="204"/>
        <v>194317</v>
      </c>
      <c r="BR141" s="46">
        <f t="shared" si="205"/>
        <v>0</v>
      </c>
      <c r="BS141" s="46">
        <f t="shared" si="206"/>
        <v>40499</v>
      </c>
      <c r="BT141" s="46">
        <v>0</v>
      </c>
      <c r="BU141" s="46">
        <f t="shared" si="207"/>
        <v>234816</v>
      </c>
      <c r="BV141" s="46">
        <f t="shared" si="208"/>
        <v>40499</v>
      </c>
      <c r="BW141" s="46">
        <f t="shared" si="209"/>
        <v>372365</v>
      </c>
      <c r="BX141" s="46">
        <f t="shared" si="210"/>
        <v>60699</v>
      </c>
      <c r="BY141" s="46">
        <f t="shared" si="211"/>
        <v>-40499</v>
      </c>
      <c r="BZ141" s="46">
        <v>0</v>
      </c>
      <c r="CA141" s="46">
        <f t="shared" si="212"/>
        <v>392565</v>
      </c>
      <c r="CB141" s="46">
        <f t="shared" si="213"/>
        <v>0</v>
      </c>
      <c r="CC141" s="155">
        <f t="shared" si="216"/>
        <v>0</v>
      </c>
      <c r="CD141" s="79" t="s">
        <v>538</v>
      </c>
      <c r="CE141" s="65">
        <f t="shared" si="217"/>
        <v>234816</v>
      </c>
      <c r="CF141" s="65">
        <f t="shared" si="218"/>
        <v>234816</v>
      </c>
      <c r="CG141" s="65">
        <f t="shared" si="219"/>
        <v>213300</v>
      </c>
      <c r="CH141" s="65">
        <f t="shared" si="220"/>
        <v>234816</v>
      </c>
      <c r="CI141" s="65">
        <f t="shared" si="221"/>
        <v>618849</v>
      </c>
      <c r="CJ141" s="65">
        <f t="shared" si="222"/>
        <v>241263</v>
      </c>
      <c r="CK141" s="65">
        <f t="shared" si="223"/>
        <v>394355</v>
      </c>
      <c r="CL141" s="65">
        <f t="shared" si="224"/>
        <v>234816</v>
      </c>
      <c r="CM141" s="65">
        <f t="shared" si="225"/>
        <v>257375</v>
      </c>
      <c r="CN141" s="65">
        <f t="shared" si="226"/>
        <v>408699</v>
      </c>
      <c r="CO141" s="65">
        <f t="shared" si="227"/>
        <v>234816</v>
      </c>
      <c r="CP141" s="65">
        <f t="shared" si="228"/>
        <v>392565</v>
      </c>
      <c r="CQ141" s="40" t="s">
        <v>538</v>
      </c>
    </row>
    <row r="142" spans="1:95" ht="3" customHeight="1" x14ac:dyDescent="0.25">
      <c r="A142" s="39">
        <v>1</v>
      </c>
      <c r="B142" s="28">
        <v>7403</v>
      </c>
      <c r="C142" s="28" t="s">
        <v>394</v>
      </c>
      <c r="D142" s="48">
        <f>+DATA!Q140</f>
        <v>6682673.8600000003</v>
      </c>
      <c r="E142" s="48">
        <f t="shared" si="214"/>
        <v>439943</v>
      </c>
      <c r="F142" s="48">
        <f t="shared" si="215"/>
        <v>668267</v>
      </c>
      <c r="G142" s="49">
        <f>VLOOKUP(B142,'CALC MEC ESTAB Y ESTIM M FINAL'!$B$7:$F$352,5,0)</f>
        <v>3.9041869848999997E-3</v>
      </c>
      <c r="H142" s="49">
        <f>VLOOKUP(B142,'CALC MEC ESTAB Y ESTIM M FINAL'!$B$7:$R$352,17,0)</f>
        <v>-3.8675979170000002E-4</v>
      </c>
      <c r="I142" s="46">
        <f t="shared" si="154"/>
        <v>290019</v>
      </c>
      <c r="J142" s="46">
        <f t="shared" si="155"/>
        <v>0</v>
      </c>
      <c r="K142" s="46">
        <f t="shared" si="156"/>
        <v>149924</v>
      </c>
      <c r="L142" s="46">
        <v>0</v>
      </c>
      <c r="M142" s="46">
        <f t="shared" si="157"/>
        <v>439943</v>
      </c>
      <c r="N142" s="46">
        <f t="shared" si="158"/>
        <v>149924</v>
      </c>
      <c r="O142" s="46">
        <f t="shared" si="159"/>
        <v>154223</v>
      </c>
      <c r="P142" s="46">
        <f t="shared" si="160"/>
        <v>0</v>
      </c>
      <c r="Q142" s="46">
        <f t="shared" si="161"/>
        <v>285720</v>
      </c>
      <c r="R142" s="46">
        <v>0</v>
      </c>
      <c r="S142" s="46">
        <f t="shared" si="162"/>
        <v>439943</v>
      </c>
      <c r="T142" s="46">
        <f t="shared" si="163"/>
        <v>435644</v>
      </c>
      <c r="U142" s="46">
        <f t="shared" si="164"/>
        <v>439962</v>
      </c>
      <c r="V142" s="46">
        <f t="shared" si="165"/>
        <v>0</v>
      </c>
      <c r="W142" s="46">
        <f t="shared" si="166"/>
        <v>0</v>
      </c>
      <c r="X142" s="46">
        <v>0</v>
      </c>
      <c r="Y142" s="46">
        <f t="shared" si="167"/>
        <v>439962</v>
      </c>
      <c r="Z142" s="46">
        <f t="shared" si="168"/>
        <v>435644</v>
      </c>
      <c r="AA142" s="46">
        <f t="shared" si="169"/>
        <v>233613</v>
      </c>
      <c r="AB142" s="46">
        <f t="shared" si="170"/>
        <v>0</v>
      </c>
      <c r="AC142" s="46">
        <f t="shared" si="171"/>
        <v>206330</v>
      </c>
      <c r="AD142" s="46">
        <v>0</v>
      </c>
      <c r="AE142" s="46">
        <f t="shared" si="172"/>
        <v>439943</v>
      </c>
      <c r="AF142" s="46">
        <f t="shared" si="173"/>
        <v>641974</v>
      </c>
      <c r="AG142" s="46">
        <f t="shared" si="174"/>
        <v>2032871</v>
      </c>
      <c r="AH142" s="46">
        <f t="shared" si="175"/>
        <v>18763</v>
      </c>
      <c r="AI142" s="46">
        <f t="shared" si="176"/>
        <v>-641974</v>
      </c>
      <c r="AJ142" s="46">
        <v>0</v>
      </c>
      <c r="AK142" s="46">
        <f t="shared" si="177"/>
        <v>1409660</v>
      </c>
      <c r="AL142" s="46">
        <f t="shared" si="178"/>
        <v>0</v>
      </c>
      <c r="AM142" s="46">
        <f t="shared" si="179"/>
        <v>402660</v>
      </c>
      <c r="AN142" s="46">
        <f t="shared" si="180"/>
        <v>13297</v>
      </c>
      <c r="AO142" s="46">
        <f t="shared" si="181"/>
        <v>37283</v>
      </c>
      <c r="AP142" s="46">
        <v>0</v>
      </c>
      <c r="AQ142" s="46">
        <f t="shared" si="182"/>
        <v>453240</v>
      </c>
      <c r="AR142" s="46">
        <f t="shared" si="183"/>
        <v>37283</v>
      </c>
      <c r="AS142" s="46">
        <f t="shared" si="184"/>
        <v>800416</v>
      </c>
      <c r="AT142" s="46">
        <f t="shared" si="185"/>
        <v>77706</v>
      </c>
      <c r="AU142" s="46">
        <f t="shared" si="186"/>
        <v>-37283</v>
      </c>
      <c r="AV142" s="46">
        <v>0</v>
      </c>
      <c r="AW142" s="46">
        <f t="shared" si="187"/>
        <v>840839</v>
      </c>
      <c r="AX142" s="46">
        <f t="shared" si="188"/>
        <v>0</v>
      </c>
      <c r="AY142" s="46">
        <f t="shared" si="189"/>
        <v>264390</v>
      </c>
      <c r="AZ142" s="46">
        <f t="shared" si="190"/>
        <v>0</v>
      </c>
      <c r="BA142" s="46">
        <f t="shared" si="191"/>
        <v>175553</v>
      </c>
      <c r="BB142" s="46"/>
      <c r="BC142" s="46">
        <f t="shared" si="192"/>
        <v>439943</v>
      </c>
      <c r="BD142" s="46">
        <f t="shared" si="193"/>
        <v>175553</v>
      </c>
      <c r="BE142" s="46">
        <f t="shared" si="194"/>
        <v>511823</v>
      </c>
      <c r="BF142" s="46">
        <f t="shared" si="195"/>
        <v>19050</v>
      </c>
      <c r="BG142" s="46">
        <f t="shared" si="196"/>
        <v>0</v>
      </c>
      <c r="BH142" s="46">
        <v>0</v>
      </c>
      <c r="BI142" s="46">
        <f t="shared" si="197"/>
        <v>530873</v>
      </c>
      <c r="BJ142" s="46">
        <f t="shared" si="198"/>
        <v>175553</v>
      </c>
      <c r="BK142" s="46">
        <f t="shared" si="199"/>
        <v>1079925</v>
      </c>
      <c r="BL142" s="46">
        <f t="shared" si="200"/>
        <v>0</v>
      </c>
      <c r="BM142" s="46">
        <f t="shared" si="201"/>
        <v>-175553</v>
      </c>
      <c r="BN142" s="46">
        <v>0</v>
      </c>
      <c r="BO142" s="46">
        <f t="shared" si="202"/>
        <v>904372</v>
      </c>
      <c r="BP142" s="46">
        <f t="shared" si="203"/>
        <v>0</v>
      </c>
      <c r="BQ142" s="46">
        <f t="shared" si="204"/>
        <v>400806</v>
      </c>
      <c r="BR142" s="46">
        <f t="shared" si="205"/>
        <v>0</v>
      </c>
      <c r="BS142" s="46">
        <f t="shared" si="206"/>
        <v>39137</v>
      </c>
      <c r="BT142" s="46">
        <v>0</v>
      </c>
      <c r="BU142" s="46">
        <f t="shared" si="207"/>
        <v>439943</v>
      </c>
      <c r="BV142" s="46">
        <f t="shared" si="208"/>
        <v>39137</v>
      </c>
      <c r="BW142" s="46">
        <f t="shared" si="209"/>
        <v>768056</v>
      </c>
      <c r="BX142" s="46">
        <f t="shared" si="210"/>
        <v>125201</v>
      </c>
      <c r="BY142" s="46">
        <f t="shared" si="211"/>
        <v>-39137</v>
      </c>
      <c r="BZ142" s="46">
        <v>0</v>
      </c>
      <c r="CA142" s="46">
        <f t="shared" si="212"/>
        <v>854120</v>
      </c>
      <c r="CB142" s="46">
        <f t="shared" si="213"/>
        <v>0</v>
      </c>
      <c r="CC142" s="155">
        <f t="shared" si="216"/>
        <v>0</v>
      </c>
      <c r="CD142" s="79" t="s">
        <v>538</v>
      </c>
      <c r="CE142" s="65">
        <f t="shared" si="217"/>
        <v>439943</v>
      </c>
      <c r="CF142" s="65">
        <f t="shared" si="218"/>
        <v>439943</v>
      </c>
      <c r="CG142" s="65">
        <f t="shared" si="219"/>
        <v>439962</v>
      </c>
      <c r="CH142" s="65">
        <f t="shared" si="220"/>
        <v>439943</v>
      </c>
      <c r="CI142" s="65">
        <f t="shared" si="221"/>
        <v>1409660</v>
      </c>
      <c r="CJ142" s="65">
        <f t="shared" si="222"/>
        <v>453240</v>
      </c>
      <c r="CK142" s="65">
        <f t="shared" si="223"/>
        <v>840839</v>
      </c>
      <c r="CL142" s="65">
        <f t="shared" si="224"/>
        <v>439943</v>
      </c>
      <c r="CM142" s="65">
        <f t="shared" si="225"/>
        <v>530873</v>
      </c>
      <c r="CN142" s="65">
        <f t="shared" si="226"/>
        <v>904372</v>
      </c>
      <c r="CO142" s="65">
        <f t="shared" si="227"/>
        <v>439943</v>
      </c>
      <c r="CP142" s="65">
        <f t="shared" si="228"/>
        <v>854120</v>
      </c>
      <c r="CQ142" s="40" t="s">
        <v>538</v>
      </c>
    </row>
    <row r="143" spans="1:95" ht="3" customHeight="1" x14ac:dyDescent="0.25">
      <c r="A143" s="39">
        <v>1</v>
      </c>
      <c r="B143" s="28">
        <v>7404</v>
      </c>
      <c r="C143" s="28" t="s">
        <v>162</v>
      </c>
      <c r="D143" s="48">
        <f>+DATA!Q141</f>
        <v>7944968.0460000001</v>
      </c>
      <c r="E143" s="48">
        <f t="shared" si="214"/>
        <v>523044</v>
      </c>
      <c r="F143" s="48">
        <f t="shared" si="215"/>
        <v>794497</v>
      </c>
      <c r="G143" s="49">
        <f>VLOOKUP(B143,'CALC MEC ESTAB Y ESTIM M FINAL'!$B$7:$F$352,5,0)</f>
        <v>4.6730238431999995E-3</v>
      </c>
      <c r="H143" s="49">
        <f>VLOOKUP(B143,'CALC MEC ESTAB Y ESTIM M FINAL'!$B$7:$R$352,17,0)</f>
        <v>-4.771323619E-4</v>
      </c>
      <c r="I143" s="46">
        <f t="shared" si="154"/>
        <v>345960</v>
      </c>
      <c r="J143" s="46">
        <f t="shared" si="155"/>
        <v>0</v>
      </c>
      <c r="K143" s="46">
        <f t="shared" si="156"/>
        <v>177084</v>
      </c>
      <c r="L143" s="46">
        <v>0</v>
      </c>
      <c r="M143" s="46">
        <f t="shared" si="157"/>
        <v>523044</v>
      </c>
      <c r="N143" s="46">
        <f t="shared" si="158"/>
        <v>177084</v>
      </c>
      <c r="O143" s="46">
        <f t="shared" si="159"/>
        <v>183970</v>
      </c>
      <c r="P143" s="46">
        <f t="shared" si="160"/>
        <v>0</v>
      </c>
      <c r="Q143" s="46">
        <f t="shared" si="161"/>
        <v>339074</v>
      </c>
      <c r="R143" s="46">
        <v>0</v>
      </c>
      <c r="S143" s="46">
        <f t="shared" si="162"/>
        <v>523044</v>
      </c>
      <c r="T143" s="46">
        <f t="shared" si="163"/>
        <v>516158</v>
      </c>
      <c r="U143" s="46">
        <f t="shared" si="164"/>
        <v>524825</v>
      </c>
      <c r="V143" s="46">
        <f t="shared" si="165"/>
        <v>0</v>
      </c>
      <c r="W143" s="46">
        <f t="shared" si="166"/>
        <v>0</v>
      </c>
      <c r="X143" s="46">
        <v>0</v>
      </c>
      <c r="Y143" s="46">
        <f t="shared" si="167"/>
        <v>524825</v>
      </c>
      <c r="Z143" s="46">
        <f t="shared" si="168"/>
        <v>516158</v>
      </c>
      <c r="AA143" s="46">
        <f t="shared" si="169"/>
        <v>278674</v>
      </c>
      <c r="AB143" s="46">
        <f t="shared" si="170"/>
        <v>0</v>
      </c>
      <c r="AC143" s="46">
        <f t="shared" si="171"/>
        <v>244370</v>
      </c>
      <c r="AD143" s="46">
        <v>0</v>
      </c>
      <c r="AE143" s="46">
        <f t="shared" si="172"/>
        <v>523044</v>
      </c>
      <c r="AF143" s="46">
        <f t="shared" si="173"/>
        <v>760528</v>
      </c>
      <c r="AG143" s="46">
        <f t="shared" si="174"/>
        <v>2424985</v>
      </c>
      <c r="AH143" s="46">
        <f t="shared" si="175"/>
        <v>22382</v>
      </c>
      <c r="AI143" s="46">
        <f t="shared" si="176"/>
        <v>-760528</v>
      </c>
      <c r="AJ143" s="46">
        <v>0</v>
      </c>
      <c r="AK143" s="46">
        <f t="shared" si="177"/>
        <v>1686839</v>
      </c>
      <c r="AL143" s="46">
        <f t="shared" si="178"/>
        <v>0</v>
      </c>
      <c r="AM143" s="46">
        <f t="shared" si="179"/>
        <v>480327</v>
      </c>
      <c r="AN143" s="46">
        <f t="shared" si="180"/>
        <v>15862</v>
      </c>
      <c r="AO143" s="46">
        <f t="shared" si="181"/>
        <v>42717</v>
      </c>
      <c r="AP143" s="46">
        <v>0</v>
      </c>
      <c r="AQ143" s="46">
        <f t="shared" si="182"/>
        <v>538906</v>
      </c>
      <c r="AR143" s="46">
        <f t="shared" si="183"/>
        <v>42717</v>
      </c>
      <c r="AS143" s="46">
        <f t="shared" si="184"/>
        <v>954806</v>
      </c>
      <c r="AT143" s="46">
        <f t="shared" si="185"/>
        <v>92694</v>
      </c>
      <c r="AU143" s="46">
        <f t="shared" si="186"/>
        <v>-42717</v>
      </c>
      <c r="AV143" s="46">
        <v>0</v>
      </c>
      <c r="AW143" s="46">
        <f t="shared" si="187"/>
        <v>1004783</v>
      </c>
      <c r="AX143" s="46">
        <f t="shared" si="188"/>
        <v>0</v>
      </c>
      <c r="AY143" s="46">
        <f t="shared" si="189"/>
        <v>315387</v>
      </c>
      <c r="AZ143" s="46">
        <f t="shared" si="190"/>
        <v>0</v>
      </c>
      <c r="BA143" s="46">
        <f t="shared" si="191"/>
        <v>207657</v>
      </c>
      <c r="BB143" s="46"/>
      <c r="BC143" s="46">
        <f t="shared" si="192"/>
        <v>523044</v>
      </c>
      <c r="BD143" s="46">
        <f t="shared" si="193"/>
        <v>207657</v>
      </c>
      <c r="BE143" s="46">
        <f t="shared" si="194"/>
        <v>610547</v>
      </c>
      <c r="BF143" s="46">
        <f t="shared" si="195"/>
        <v>22724</v>
      </c>
      <c r="BG143" s="46">
        <f t="shared" si="196"/>
        <v>0</v>
      </c>
      <c r="BH143" s="46">
        <v>0</v>
      </c>
      <c r="BI143" s="46">
        <f t="shared" si="197"/>
        <v>633271</v>
      </c>
      <c r="BJ143" s="46">
        <f t="shared" si="198"/>
        <v>207657</v>
      </c>
      <c r="BK143" s="46">
        <f t="shared" si="199"/>
        <v>1288228</v>
      </c>
      <c r="BL143" s="46">
        <f t="shared" si="200"/>
        <v>0</v>
      </c>
      <c r="BM143" s="46">
        <f t="shared" si="201"/>
        <v>-207657</v>
      </c>
      <c r="BN143" s="46">
        <v>0</v>
      </c>
      <c r="BO143" s="46">
        <f t="shared" si="202"/>
        <v>1080571</v>
      </c>
      <c r="BP143" s="46">
        <f t="shared" si="203"/>
        <v>0</v>
      </c>
      <c r="BQ143" s="46">
        <f t="shared" si="204"/>
        <v>478117</v>
      </c>
      <c r="BR143" s="46">
        <f t="shared" si="205"/>
        <v>0</v>
      </c>
      <c r="BS143" s="46">
        <f t="shared" si="206"/>
        <v>44927</v>
      </c>
      <c r="BT143" s="46">
        <v>0</v>
      </c>
      <c r="BU143" s="46">
        <f t="shared" si="207"/>
        <v>523044</v>
      </c>
      <c r="BV143" s="46">
        <f t="shared" si="208"/>
        <v>44927</v>
      </c>
      <c r="BW143" s="46">
        <f t="shared" si="209"/>
        <v>916204</v>
      </c>
      <c r="BX143" s="46">
        <f t="shared" si="210"/>
        <v>149351</v>
      </c>
      <c r="BY143" s="46">
        <f t="shared" si="211"/>
        <v>-44927</v>
      </c>
      <c r="BZ143" s="46">
        <v>0</v>
      </c>
      <c r="CA143" s="46">
        <f t="shared" si="212"/>
        <v>1020628</v>
      </c>
      <c r="CB143" s="46">
        <f t="shared" si="213"/>
        <v>0</v>
      </c>
      <c r="CC143" s="155">
        <f t="shared" si="216"/>
        <v>0</v>
      </c>
      <c r="CD143" s="79" t="s">
        <v>538</v>
      </c>
      <c r="CE143" s="65">
        <f t="shared" si="217"/>
        <v>523044</v>
      </c>
      <c r="CF143" s="65">
        <f t="shared" si="218"/>
        <v>523044</v>
      </c>
      <c r="CG143" s="65">
        <f t="shared" si="219"/>
        <v>524825</v>
      </c>
      <c r="CH143" s="65">
        <f t="shared" si="220"/>
        <v>523044</v>
      </c>
      <c r="CI143" s="65">
        <f t="shared" si="221"/>
        <v>1686839</v>
      </c>
      <c r="CJ143" s="65">
        <f t="shared" si="222"/>
        <v>538906</v>
      </c>
      <c r="CK143" s="65">
        <f t="shared" si="223"/>
        <v>1004783</v>
      </c>
      <c r="CL143" s="65">
        <f t="shared" si="224"/>
        <v>523044</v>
      </c>
      <c r="CM143" s="65">
        <f t="shared" si="225"/>
        <v>633271</v>
      </c>
      <c r="CN143" s="65">
        <f t="shared" si="226"/>
        <v>1080571</v>
      </c>
      <c r="CO143" s="65">
        <f t="shared" si="227"/>
        <v>523044</v>
      </c>
      <c r="CP143" s="65">
        <f t="shared" si="228"/>
        <v>1020628</v>
      </c>
      <c r="CQ143" s="40" t="s">
        <v>538</v>
      </c>
    </row>
    <row r="144" spans="1:95" ht="3" customHeight="1" x14ac:dyDescent="0.25">
      <c r="A144" s="39">
        <v>1</v>
      </c>
      <c r="B144" s="28">
        <v>7405</v>
      </c>
      <c r="C144" s="28" t="s">
        <v>163</v>
      </c>
      <c r="D144" s="48">
        <f>+DATA!Q142</f>
        <v>4477633.7170000002</v>
      </c>
      <c r="E144" s="48">
        <f t="shared" si="214"/>
        <v>294778</v>
      </c>
      <c r="F144" s="48">
        <f t="shared" si="215"/>
        <v>447763</v>
      </c>
      <c r="G144" s="49">
        <f>VLOOKUP(B144,'CALC MEC ESTAB Y ESTIM M FINAL'!$B$7:$F$352,5,0)</f>
        <v>2.8021869564999998E-3</v>
      </c>
      <c r="H144" s="49">
        <f>VLOOKUP(B144,'CALC MEC ESTAB Y ESTIM M FINAL'!$B$7:$R$352,17,0)</f>
        <v>-3.6078635349999998E-4</v>
      </c>
      <c r="I144" s="46">
        <f t="shared" si="154"/>
        <v>201299</v>
      </c>
      <c r="J144" s="46">
        <f t="shared" si="155"/>
        <v>0</v>
      </c>
      <c r="K144" s="46">
        <f t="shared" si="156"/>
        <v>93479</v>
      </c>
      <c r="L144" s="46">
        <v>0</v>
      </c>
      <c r="M144" s="46">
        <f t="shared" si="157"/>
        <v>294778</v>
      </c>
      <c r="N144" s="46">
        <f t="shared" si="158"/>
        <v>93479</v>
      </c>
      <c r="O144" s="46">
        <f t="shared" si="159"/>
        <v>107044</v>
      </c>
      <c r="P144" s="46">
        <f t="shared" si="160"/>
        <v>0</v>
      </c>
      <c r="Q144" s="46">
        <f t="shared" si="161"/>
        <v>187734</v>
      </c>
      <c r="R144" s="46">
        <v>0</v>
      </c>
      <c r="S144" s="46">
        <f t="shared" si="162"/>
        <v>294778</v>
      </c>
      <c r="T144" s="46">
        <f t="shared" si="163"/>
        <v>281213</v>
      </c>
      <c r="U144" s="46">
        <f t="shared" si="164"/>
        <v>305372</v>
      </c>
      <c r="V144" s="46">
        <f t="shared" si="165"/>
        <v>0</v>
      </c>
      <c r="W144" s="46">
        <f t="shared" si="166"/>
        <v>0</v>
      </c>
      <c r="X144" s="46">
        <v>0</v>
      </c>
      <c r="Y144" s="46">
        <f t="shared" si="167"/>
        <v>305372</v>
      </c>
      <c r="Z144" s="46">
        <f t="shared" si="168"/>
        <v>281213</v>
      </c>
      <c r="AA144" s="46">
        <f t="shared" si="169"/>
        <v>162148</v>
      </c>
      <c r="AB144" s="46">
        <f t="shared" si="170"/>
        <v>0</v>
      </c>
      <c r="AC144" s="46">
        <f t="shared" si="171"/>
        <v>132630</v>
      </c>
      <c r="AD144" s="46">
        <v>0</v>
      </c>
      <c r="AE144" s="46">
        <f t="shared" si="172"/>
        <v>294778</v>
      </c>
      <c r="AF144" s="46">
        <f t="shared" si="173"/>
        <v>413843</v>
      </c>
      <c r="AG144" s="46">
        <f t="shared" si="174"/>
        <v>1410989</v>
      </c>
      <c r="AH144" s="46">
        <f t="shared" si="175"/>
        <v>13023</v>
      </c>
      <c r="AI144" s="46">
        <f t="shared" si="176"/>
        <v>-413843</v>
      </c>
      <c r="AJ144" s="46">
        <v>0</v>
      </c>
      <c r="AK144" s="46">
        <f t="shared" si="177"/>
        <v>1010169</v>
      </c>
      <c r="AL144" s="46">
        <f t="shared" si="178"/>
        <v>0</v>
      </c>
      <c r="AM144" s="46">
        <f t="shared" si="179"/>
        <v>279481</v>
      </c>
      <c r="AN144" s="46">
        <f t="shared" si="180"/>
        <v>9230</v>
      </c>
      <c r="AO144" s="46">
        <f t="shared" si="181"/>
        <v>15297</v>
      </c>
      <c r="AP144" s="46">
        <v>0</v>
      </c>
      <c r="AQ144" s="46">
        <f t="shared" si="182"/>
        <v>304008</v>
      </c>
      <c r="AR144" s="46">
        <f t="shared" si="183"/>
        <v>15297</v>
      </c>
      <c r="AS144" s="46">
        <f t="shared" si="184"/>
        <v>555558</v>
      </c>
      <c r="AT144" s="46">
        <f t="shared" si="185"/>
        <v>53935</v>
      </c>
      <c r="AU144" s="46">
        <f t="shared" si="186"/>
        <v>-15297</v>
      </c>
      <c r="AV144" s="46">
        <v>0</v>
      </c>
      <c r="AW144" s="46">
        <f t="shared" si="187"/>
        <v>594196</v>
      </c>
      <c r="AX144" s="46">
        <f t="shared" si="188"/>
        <v>0</v>
      </c>
      <c r="AY144" s="46">
        <f t="shared" si="189"/>
        <v>183509</v>
      </c>
      <c r="AZ144" s="46">
        <f t="shared" si="190"/>
        <v>0</v>
      </c>
      <c r="BA144" s="46">
        <f t="shared" si="191"/>
        <v>111269</v>
      </c>
      <c r="BB144" s="46"/>
      <c r="BC144" s="46">
        <f t="shared" si="192"/>
        <v>294778</v>
      </c>
      <c r="BD144" s="46">
        <f t="shared" si="193"/>
        <v>111269</v>
      </c>
      <c r="BE144" s="46">
        <f t="shared" si="194"/>
        <v>355250</v>
      </c>
      <c r="BF144" s="46">
        <f t="shared" si="195"/>
        <v>13222</v>
      </c>
      <c r="BG144" s="46">
        <f t="shared" si="196"/>
        <v>0</v>
      </c>
      <c r="BH144" s="46">
        <v>0</v>
      </c>
      <c r="BI144" s="46">
        <f t="shared" si="197"/>
        <v>368472</v>
      </c>
      <c r="BJ144" s="46">
        <f t="shared" si="198"/>
        <v>111269</v>
      </c>
      <c r="BK144" s="46">
        <f t="shared" si="199"/>
        <v>749562</v>
      </c>
      <c r="BL144" s="46">
        <f t="shared" si="200"/>
        <v>0</v>
      </c>
      <c r="BM144" s="46">
        <f t="shared" si="201"/>
        <v>-111269</v>
      </c>
      <c r="BN144" s="46">
        <v>0</v>
      </c>
      <c r="BO144" s="46">
        <f t="shared" si="202"/>
        <v>638293</v>
      </c>
      <c r="BP144" s="46">
        <f t="shared" si="203"/>
        <v>0</v>
      </c>
      <c r="BQ144" s="46">
        <f t="shared" si="204"/>
        <v>278195</v>
      </c>
      <c r="BR144" s="46">
        <f t="shared" si="205"/>
        <v>0</v>
      </c>
      <c r="BS144" s="46">
        <f t="shared" si="206"/>
        <v>16583</v>
      </c>
      <c r="BT144" s="46">
        <v>0</v>
      </c>
      <c r="BU144" s="46">
        <f t="shared" si="207"/>
        <v>294778</v>
      </c>
      <c r="BV144" s="46">
        <f t="shared" si="208"/>
        <v>16583</v>
      </c>
      <c r="BW144" s="46">
        <f t="shared" si="209"/>
        <v>533098</v>
      </c>
      <c r="BX144" s="46">
        <f t="shared" si="210"/>
        <v>86900</v>
      </c>
      <c r="BY144" s="46">
        <f t="shared" si="211"/>
        <v>-16583</v>
      </c>
      <c r="BZ144" s="46">
        <v>0</v>
      </c>
      <c r="CA144" s="46">
        <f t="shared" si="212"/>
        <v>603415</v>
      </c>
      <c r="CB144" s="46">
        <f t="shared" si="213"/>
        <v>0</v>
      </c>
      <c r="CC144" s="155">
        <f t="shared" si="216"/>
        <v>0</v>
      </c>
      <c r="CD144" s="79" t="s">
        <v>538</v>
      </c>
      <c r="CE144" s="65">
        <f t="shared" si="217"/>
        <v>294778</v>
      </c>
      <c r="CF144" s="65">
        <f t="shared" si="218"/>
        <v>294778</v>
      </c>
      <c r="CG144" s="65">
        <f t="shared" si="219"/>
        <v>305372</v>
      </c>
      <c r="CH144" s="65">
        <f t="shared" si="220"/>
        <v>294778</v>
      </c>
      <c r="CI144" s="65">
        <f t="shared" si="221"/>
        <v>1010169</v>
      </c>
      <c r="CJ144" s="65">
        <f t="shared" si="222"/>
        <v>304008</v>
      </c>
      <c r="CK144" s="65">
        <f t="shared" si="223"/>
        <v>594196</v>
      </c>
      <c r="CL144" s="65">
        <f t="shared" si="224"/>
        <v>294778</v>
      </c>
      <c r="CM144" s="65">
        <f t="shared" si="225"/>
        <v>368472</v>
      </c>
      <c r="CN144" s="65">
        <f t="shared" si="226"/>
        <v>638293</v>
      </c>
      <c r="CO144" s="65">
        <f t="shared" si="227"/>
        <v>294778</v>
      </c>
      <c r="CP144" s="65">
        <f t="shared" si="228"/>
        <v>603415</v>
      </c>
      <c r="CQ144" s="40" t="s">
        <v>538</v>
      </c>
    </row>
    <row r="145" spans="1:95" ht="3" customHeight="1" x14ac:dyDescent="0.25">
      <c r="A145" s="39">
        <v>1</v>
      </c>
      <c r="B145" s="28">
        <v>7406</v>
      </c>
      <c r="C145" s="28" t="s">
        <v>165</v>
      </c>
      <c r="D145" s="48">
        <f>+DATA!Q143</f>
        <v>8237742.5719999997</v>
      </c>
      <c r="E145" s="48">
        <f t="shared" si="214"/>
        <v>542318</v>
      </c>
      <c r="F145" s="48">
        <f t="shared" si="215"/>
        <v>823774</v>
      </c>
      <c r="G145" s="49">
        <f>VLOOKUP(B145,'CALC MEC ESTAB Y ESTIM M FINAL'!$B$7:$F$352,5,0)</f>
        <v>4.5767027183999994E-3</v>
      </c>
      <c r="H145" s="49">
        <f>VLOOKUP(B145,'CALC MEC ESTAB Y ESTIM M FINAL'!$B$7:$R$352,17,0)</f>
        <v>-3.474173716E-4</v>
      </c>
      <c r="I145" s="46">
        <f t="shared" si="154"/>
        <v>348714</v>
      </c>
      <c r="J145" s="46">
        <f t="shared" si="155"/>
        <v>0</v>
      </c>
      <c r="K145" s="46">
        <f t="shared" si="156"/>
        <v>193604</v>
      </c>
      <c r="L145" s="46">
        <v>0</v>
      </c>
      <c r="M145" s="46">
        <f t="shared" si="157"/>
        <v>542318</v>
      </c>
      <c r="N145" s="46">
        <f t="shared" si="158"/>
        <v>193604</v>
      </c>
      <c r="O145" s="46">
        <f t="shared" si="159"/>
        <v>185434</v>
      </c>
      <c r="P145" s="46">
        <f t="shared" si="160"/>
        <v>0</v>
      </c>
      <c r="Q145" s="46">
        <f t="shared" si="161"/>
        <v>356884</v>
      </c>
      <c r="R145" s="46">
        <v>0</v>
      </c>
      <c r="S145" s="46">
        <f t="shared" si="162"/>
        <v>542318</v>
      </c>
      <c r="T145" s="46">
        <f t="shared" si="163"/>
        <v>550488</v>
      </c>
      <c r="U145" s="46">
        <f t="shared" si="164"/>
        <v>529002</v>
      </c>
      <c r="V145" s="46">
        <f t="shared" si="165"/>
        <v>0</v>
      </c>
      <c r="W145" s="46">
        <f t="shared" si="166"/>
        <v>0</v>
      </c>
      <c r="X145" s="46">
        <v>0</v>
      </c>
      <c r="Y145" s="46">
        <f t="shared" si="167"/>
        <v>529002</v>
      </c>
      <c r="Z145" s="46">
        <f t="shared" si="168"/>
        <v>550488</v>
      </c>
      <c r="AA145" s="46">
        <f t="shared" si="169"/>
        <v>280892</v>
      </c>
      <c r="AB145" s="46">
        <f t="shared" si="170"/>
        <v>0</v>
      </c>
      <c r="AC145" s="46">
        <f t="shared" si="171"/>
        <v>261426</v>
      </c>
      <c r="AD145" s="46">
        <v>0</v>
      </c>
      <c r="AE145" s="46">
        <f t="shared" si="172"/>
        <v>542318</v>
      </c>
      <c r="AF145" s="46">
        <f t="shared" si="173"/>
        <v>811914</v>
      </c>
      <c r="AG145" s="46">
        <f t="shared" si="174"/>
        <v>2444284</v>
      </c>
      <c r="AH145" s="46">
        <f t="shared" si="175"/>
        <v>22560</v>
      </c>
      <c r="AI145" s="46">
        <f t="shared" si="176"/>
        <v>-811914</v>
      </c>
      <c r="AJ145" s="46">
        <v>0</v>
      </c>
      <c r="AK145" s="46">
        <f t="shared" si="177"/>
        <v>1654930</v>
      </c>
      <c r="AL145" s="46">
        <f t="shared" si="178"/>
        <v>0</v>
      </c>
      <c r="AM145" s="46">
        <f t="shared" si="179"/>
        <v>484150</v>
      </c>
      <c r="AN145" s="46">
        <f t="shared" si="180"/>
        <v>15989</v>
      </c>
      <c r="AO145" s="46">
        <f t="shared" si="181"/>
        <v>58168</v>
      </c>
      <c r="AP145" s="46">
        <v>0</v>
      </c>
      <c r="AQ145" s="46">
        <f t="shared" si="182"/>
        <v>558307</v>
      </c>
      <c r="AR145" s="46">
        <f t="shared" si="183"/>
        <v>58168</v>
      </c>
      <c r="AS145" s="46">
        <f t="shared" si="184"/>
        <v>962405</v>
      </c>
      <c r="AT145" s="46">
        <f t="shared" si="185"/>
        <v>93432</v>
      </c>
      <c r="AU145" s="46">
        <f t="shared" si="186"/>
        <v>-58168</v>
      </c>
      <c r="AV145" s="46">
        <v>0</v>
      </c>
      <c r="AW145" s="46">
        <f t="shared" si="187"/>
        <v>997669</v>
      </c>
      <c r="AX145" s="46">
        <f t="shared" si="188"/>
        <v>0</v>
      </c>
      <c r="AY145" s="46">
        <f t="shared" si="189"/>
        <v>317897</v>
      </c>
      <c r="AZ145" s="46">
        <f t="shared" si="190"/>
        <v>0</v>
      </c>
      <c r="BA145" s="46">
        <f t="shared" si="191"/>
        <v>224421</v>
      </c>
      <c r="BB145" s="46"/>
      <c r="BC145" s="46">
        <f t="shared" si="192"/>
        <v>542318</v>
      </c>
      <c r="BD145" s="46">
        <f t="shared" si="193"/>
        <v>224421</v>
      </c>
      <c r="BE145" s="46">
        <f t="shared" si="194"/>
        <v>615406</v>
      </c>
      <c r="BF145" s="46">
        <f t="shared" si="195"/>
        <v>22905</v>
      </c>
      <c r="BG145" s="46">
        <f t="shared" si="196"/>
        <v>0</v>
      </c>
      <c r="BH145" s="46">
        <v>0</v>
      </c>
      <c r="BI145" s="46">
        <f t="shared" si="197"/>
        <v>638311</v>
      </c>
      <c r="BJ145" s="46">
        <f t="shared" si="198"/>
        <v>224421</v>
      </c>
      <c r="BK145" s="46">
        <f t="shared" si="199"/>
        <v>1298481</v>
      </c>
      <c r="BL145" s="46">
        <f t="shared" si="200"/>
        <v>0</v>
      </c>
      <c r="BM145" s="46">
        <f t="shared" si="201"/>
        <v>-224421</v>
      </c>
      <c r="BN145" s="46">
        <v>0</v>
      </c>
      <c r="BO145" s="46">
        <f t="shared" si="202"/>
        <v>1074060</v>
      </c>
      <c r="BP145" s="46">
        <f t="shared" si="203"/>
        <v>0</v>
      </c>
      <c r="BQ145" s="46">
        <f t="shared" si="204"/>
        <v>481922</v>
      </c>
      <c r="BR145" s="46">
        <f t="shared" si="205"/>
        <v>0</v>
      </c>
      <c r="BS145" s="46">
        <f t="shared" si="206"/>
        <v>60396</v>
      </c>
      <c r="BT145" s="46">
        <v>0</v>
      </c>
      <c r="BU145" s="46">
        <f t="shared" si="207"/>
        <v>542318</v>
      </c>
      <c r="BV145" s="46">
        <f t="shared" si="208"/>
        <v>60396</v>
      </c>
      <c r="BW145" s="46">
        <f t="shared" si="209"/>
        <v>923495</v>
      </c>
      <c r="BX145" s="46">
        <f t="shared" si="210"/>
        <v>150539</v>
      </c>
      <c r="BY145" s="46">
        <f t="shared" si="211"/>
        <v>-60396</v>
      </c>
      <c r="BZ145" s="46">
        <v>0</v>
      </c>
      <c r="CA145" s="46">
        <f t="shared" si="212"/>
        <v>1013638</v>
      </c>
      <c r="CB145" s="46">
        <f t="shared" si="213"/>
        <v>0</v>
      </c>
      <c r="CC145" s="155">
        <f t="shared" si="216"/>
        <v>0</v>
      </c>
      <c r="CD145" s="79" t="s">
        <v>538</v>
      </c>
      <c r="CE145" s="65">
        <f t="shared" si="217"/>
        <v>542318</v>
      </c>
      <c r="CF145" s="65">
        <f t="shared" si="218"/>
        <v>542318</v>
      </c>
      <c r="CG145" s="65">
        <f t="shared" si="219"/>
        <v>529002</v>
      </c>
      <c r="CH145" s="65">
        <f t="shared" si="220"/>
        <v>542318</v>
      </c>
      <c r="CI145" s="65">
        <f t="shared" si="221"/>
        <v>1654930</v>
      </c>
      <c r="CJ145" s="65">
        <f t="shared" si="222"/>
        <v>558307</v>
      </c>
      <c r="CK145" s="65">
        <f t="shared" si="223"/>
        <v>997669</v>
      </c>
      <c r="CL145" s="65">
        <f t="shared" si="224"/>
        <v>542318</v>
      </c>
      <c r="CM145" s="65">
        <f t="shared" si="225"/>
        <v>638311</v>
      </c>
      <c r="CN145" s="65">
        <f t="shared" si="226"/>
        <v>1074060</v>
      </c>
      <c r="CO145" s="65">
        <f t="shared" si="227"/>
        <v>542318</v>
      </c>
      <c r="CP145" s="65">
        <f t="shared" si="228"/>
        <v>1013638</v>
      </c>
      <c r="CQ145" s="40" t="s">
        <v>538</v>
      </c>
    </row>
    <row r="146" spans="1:95" ht="3" customHeight="1" x14ac:dyDescent="0.25">
      <c r="A146" s="39">
        <v>1</v>
      </c>
      <c r="B146" s="28">
        <v>7407</v>
      </c>
      <c r="C146" s="28" t="s">
        <v>164</v>
      </c>
      <c r="D146" s="48">
        <f>+DATA!Q144</f>
        <v>3739209.4870000002</v>
      </c>
      <c r="E146" s="48">
        <f t="shared" si="214"/>
        <v>246165</v>
      </c>
      <c r="F146" s="48">
        <f t="shared" si="215"/>
        <v>373921</v>
      </c>
      <c r="G146" s="49">
        <f>VLOOKUP(B146,'CALC MEC ESTAB Y ESTIM M FINAL'!$B$7:$F$352,5,0)</f>
        <v>2.2303250383999998E-3</v>
      </c>
      <c r="H146" s="49">
        <f>VLOOKUP(B146,'CALC MEC ESTAB Y ESTIM M FINAL'!$B$7:$R$352,17,0)</f>
        <v>-2.4166515229999999E-4</v>
      </c>
      <c r="I146" s="46">
        <f t="shared" si="154"/>
        <v>163969</v>
      </c>
      <c r="J146" s="46">
        <f t="shared" si="155"/>
        <v>0</v>
      </c>
      <c r="K146" s="46">
        <f t="shared" si="156"/>
        <v>82196</v>
      </c>
      <c r="L146" s="46">
        <v>0</v>
      </c>
      <c r="M146" s="46">
        <f t="shared" si="157"/>
        <v>246165</v>
      </c>
      <c r="N146" s="46">
        <f t="shared" si="158"/>
        <v>82196</v>
      </c>
      <c r="O146" s="46">
        <f t="shared" si="159"/>
        <v>87193</v>
      </c>
      <c r="P146" s="46">
        <f t="shared" si="160"/>
        <v>0</v>
      </c>
      <c r="Q146" s="46">
        <f t="shared" si="161"/>
        <v>158972</v>
      </c>
      <c r="R146" s="46">
        <v>0</v>
      </c>
      <c r="S146" s="46">
        <f t="shared" si="162"/>
        <v>246165</v>
      </c>
      <c r="T146" s="46">
        <f t="shared" si="163"/>
        <v>241168</v>
      </c>
      <c r="U146" s="46">
        <f t="shared" si="164"/>
        <v>248743</v>
      </c>
      <c r="V146" s="46">
        <f t="shared" si="165"/>
        <v>0</v>
      </c>
      <c r="W146" s="46">
        <f t="shared" si="166"/>
        <v>0</v>
      </c>
      <c r="X146" s="46">
        <v>0</v>
      </c>
      <c r="Y146" s="46">
        <f t="shared" si="167"/>
        <v>248743</v>
      </c>
      <c r="Z146" s="46">
        <f t="shared" si="168"/>
        <v>241168</v>
      </c>
      <c r="AA146" s="46">
        <f t="shared" si="169"/>
        <v>132079</v>
      </c>
      <c r="AB146" s="46">
        <f t="shared" si="170"/>
        <v>0</v>
      </c>
      <c r="AC146" s="46">
        <f t="shared" si="171"/>
        <v>114086</v>
      </c>
      <c r="AD146" s="46">
        <v>0</v>
      </c>
      <c r="AE146" s="46">
        <f t="shared" si="172"/>
        <v>246165</v>
      </c>
      <c r="AF146" s="46">
        <f t="shared" si="173"/>
        <v>355254</v>
      </c>
      <c r="AG146" s="46">
        <f t="shared" si="174"/>
        <v>1149331</v>
      </c>
      <c r="AH146" s="46">
        <f t="shared" si="175"/>
        <v>10608</v>
      </c>
      <c r="AI146" s="46">
        <f t="shared" si="176"/>
        <v>-355254</v>
      </c>
      <c r="AJ146" s="46">
        <v>0</v>
      </c>
      <c r="AK146" s="46">
        <f t="shared" si="177"/>
        <v>804685</v>
      </c>
      <c r="AL146" s="46">
        <f t="shared" si="178"/>
        <v>0</v>
      </c>
      <c r="AM146" s="46">
        <f t="shared" si="179"/>
        <v>227653</v>
      </c>
      <c r="AN146" s="46">
        <f t="shared" si="180"/>
        <v>7518</v>
      </c>
      <c r="AO146" s="46">
        <f t="shared" si="181"/>
        <v>18512</v>
      </c>
      <c r="AP146" s="46">
        <v>0</v>
      </c>
      <c r="AQ146" s="46">
        <f t="shared" si="182"/>
        <v>253683</v>
      </c>
      <c r="AR146" s="46">
        <f t="shared" si="183"/>
        <v>18512</v>
      </c>
      <c r="AS146" s="46">
        <f t="shared" si="184"/>
        <v>452534</v>
      </c>
      <c r="AT146" s="46">
        <f t="shared" si="185"/>
        <v>43933</v>
      </c>
      <c r="AU146" s="46">
        <f t="shared" si="186"/>
        <v>-18512</v>
      </c>
      <c r="AV146" s="46">
        <v>0</v>
      </c>
      <c r="AW146" s="46">
        <f t="shared" si="187"/>
        <v>477955</v>
      </c>
      <c r="AX146" s="46">
        <f t="shared" si="188"/>
        <v>0</v>
      </c>
      <c r="AY146" s="46">
        <f t="shared" si="189"/>
        <v>149479</v>
      </c>
      <c r="AZ146" s="46">
        <f t="shared" si="190"/>
        <v>0</v>
      </c>
      <c r="BA146" s="46">
        <f t="shared" si="191"/>
        <v>96686</v>
      </c>
      <c r="BB146" s="46"/>
      <c r="BC146" s="46">
        <f t="shared" si="192"/>
        <v>246165</v>
      </c>
      <c r="BD146" s="46">
        <f t="shared" si="193"/>
        <v>96686</v>
      </c>
      <c r="BE146" s="46">
        <f t="shared" si="194"/>
        <v>289371</v>
      </c>
      <c r="BF146" s="46">
        <f t="shared" si="195"/>
        <v>10770</v>
      </c>
      <c r="BG146" s="46">
        <f t="shared" si="196"/>
        <v>0</v>
      </c>
      <c r="BH146" s="46">
        <v>0</v>
      </c>
      <c r="BI146" s="46">
        <f t="shared" si="197"/>
        <v>300141</v>
      </c>
      <c r="BJ146" s="46">
        <f t="shared" si="198"/>
        <v>96686</v>
      </c>
      <c r="BK146" s="46">
        <f t="shared" si="199"/>
        <v>610561</v>
      </c>
      <c r="BL146" s="46">
        <f t="shared" si="200"/>
        <v>0</v>
      </c>
      <c r="BM146" s="46">
        <f t="shared" si="201"/>
        <v>-96686</v>
      </c>
      <c r="BN146" s="46">
        <v>0</v>
      </c>
      <c r="BO146" s="46">
        <f t="shared" si="202"/>
        <v>513875</v>
      </c>
      <c r="BP146" s="46">
        <f t="shared" si="203"/>
        <v>0</v>
      </c>
      <c r="BQ146" s="46">
        <f t="shared" si="204"/>
        <v>226605</v>
      </c>
      <c r="BR146" s="46">
        <f t="shared" si="205"/>
        <v>0</v>
      </c>
      <c r="BS146" s="46">
        <f t="shared" si="206"/>
        <v>19560</v>
      </c>
      <c r="BT146" s="46">
        <v>0</v>
      </c>
      <c r="BU146" s="46">
        <f t="shared" si="207"/>
        <v>246165</v>
      </c>
      <c r="BV146" s="46">
        <f t="shared" si="208"/>
        <v>19560</v>
      </c>
      <c r="BW146" s="46">
        <f t="shared" si="209"/>
        <v>434238</v>
      </c>
      <c r="BX146" s="46">
        <f t="shared" si="210"/>
        <v>70785</v>
      </c>
      <c r="BY146" s="46">
        <f t="shared" si="211"/>
        <v>-19560</v>
      </c>
      <c r="BZ146" s="46">
        <v>0</v>
      </c>
      <c r="CA146" s="46">
        <f t="shared" si="212"/>
        <v>485463</v>
      </c>
      <c r="CB146" s="46">
        <f t="shared" si="213"/>
        <v>0</v>
      </c>
      <c r="CC146" s="155">
        <f t="shared" si="216"/>
        <v>0</v>
      </c>
      <c r="CD146" s="79" t="s">
        <v>538</v>
      </c>
      <c r="CE146" s="65">
        <f t="shared" si="217"/>
        <v>246165</v>
      </c>
      <c r="CF146" s="65">
        <f t="shared" si="218"/>
        <v>246165</v>
      </c>
      <c r="CG146" s="65">
        <f t="shared" si="219"/>
        <v>248743</v>
      </c>
      <c r="CH146" s="65">
        <f t="shared" si="220"/>
        <v>246165</v>
      </c>
      <c r="CI146" s="65">
        <f t="shared" si="221"/>
        <v>804685</v>
      </c>
      <c r="CJ146" s="65">
        <f t="shared" si="222"/>
        <v>253683</v>
      </c>
      <c r="CK146" s="65">
        <f t="shared" si="223"/>
        <v>477955</v>
      </c>
      <c r="CL146" s="65">
        <f t="shared" si="224"/>
        <v>246165</v>
      </c>
      <c r="CM146" s="65">
        <f t="shared" si="225"/>
        <v>300141</v>
      </c>
      <c r="CN146" s="65">
        <f t="shared" si="226"/>
        <v>513875</v>
      </c>
      <c r="CO146" s="65">
        <f t="shared" si="227"/>
        <v>246165</v>
      </c>
      <c r="CP146" s="65">
        <f t="shared" si="228"/>
        <v>485463</v>
      </c>
      <c r="CQ146" s="40" t="s">
        <v>538</v>
      </c>
    </row>
    <row r="147" spans="1:95" ht="3" customHeight="1" x14ac:dyDescent="0.25">
      <c r="A147" s="39">
        <v>1</v>
      </c>
      <c r="B147" s="28">
        <v>7408</v>
      </c>
      <c r="C147" s="28" t="s">
        <v>161</v>
      </c>
      <c r="D147" s="48">
        <f>+DATA!Q145</f>
        <v>3345819.2680000002</v>
      </c>
      <c r="E147" s="48">
        <f t="shared" si="214"/>
        <v>220266</v>
      </c>
      <c r="F147" s="48">
        <f t="shared" si="215"/>
        <v>334582</v>
      </c>
      <c r="G147" s="49">
        <f>VLOOKUP(B147,'CALC MEC ESTAB Y ESTIM M FINAL'!$B$7:$F$352,5,0)</f>
        <v>2.0152649739999997E-3</v>
      </c>
      <c r="H147" s="49">
        <f>VLOOKUP(B147,'CALC MEC ESTAB Y ESTIM M FINAL'!$B$7:$R$352,17,0)</f>
        <v>-2.266434561E-4</v>
      </c>
      <c r="I147" s="46">
        <f t="shared" si="154"/>
        <v>147476</v>
      </c>
      <c r="J147" s="46">
        <f t="shared" si="155"/>
        <v>0</v>
      </c>
      <c r="K147" s="46">
        <f t="shared" si="156"/>
        <v>72790</v>
      </c>
      <c r="L147" s="46">
        <v>0</v>
      </c>
      <c r="M147" s="46">
        <f t="shared" si="157"/>
        <v>220266</v>
      </c>
      <c r="N147" s="46">
        <f t="shared" si="158"/>
        <v>72790</v>
      </c>
      <c r="O147" s="46">
        <f t="shared" si="159"/>
        <v>78423</v>
      </c>
      <c r="P147" s="46">
        <f t="shared" si="160"/>
        <v>0</v>
      </c>
      <c r="Q147" s="46">
        <f t="shared" si="161"/>
        <v>141843</v>
      </c>
      <c r="R147" s="46">
        <v>0</v>
      </c>
      <c r="S147" s="46">
        <f t="shared" si="162"/>
        <v>220266</v>
      </c>
      <c r="T147" s="46">
        <f t="shared" si="163"/>
        <v>214633</v>
      </c>
      <c r="U147" s="46">
        <f t="shared" si="164"/>
        <v>223722</v>
      </c>
      <c r="V147" s="46">
        <f t="shared" si="165"/>
        <v>0</v>
      </c>
      <c r="W147" s="46">
        <f t="shared" si="166"/>
        <v>0</v>
      </c>
      <c r="X147" s="46">
        <v>0</v>
      </c>
      <c r="Y147" s="46">
        <f t="shared" si="167"/>
        <v>223722</v>
      </c>
      <c r="Z147" s="46">
        <f t="shared" si="168"/>
        <v>214633</v>
      </c>
      <c r="AA147" s="46">
        <f t="shared" si="169"/>
        <v>118793</v>
      </c>
      <c r="AB147" s="46">
        <f t="shared" si="170"/>
        <v>0</v>
      </c>
      <c r="AC147" s="46">
        <f t="shared" si="171"/>
        <v>101473</v>
      </c>
      <c r="AD147" s="46">
        <v>0</v>
      </c>
      <c r="AE147" s="46">
        <f t="shared" si="172"/>
        <v>220266</v>
      </c>
      <c r="AF147" s="46">
        <f t="shared" si="173"/>
        <v>316106</v>
      </c>
      <c r="AG147" s="46">
        <f t="shared" si="174"/>
        <v>1033721</v>
      </c>
      <c r="AH147" s="46">
        <f t="shared" si="175"/>
        <v>9541</v>
      </c>
      <c r="AI147" s="46">
        <f t="shared" si="176"/>
        <v>-316106</v>
      </c>
      <c r="AJ147" s="46">
        <v>0</v>
      </c>
      <c r="AK147" s="46">
        <f t="shared" si="177"/>
        <v>727156</v>
      </c>
      <c r="AL147" s="46">
        <f t="shared" si="178"/>
        <v>0</v>
      </c>
      <c r="AM147" s="46">
        <f t="shared" si="179"/>
        <v>204754</v>
      </c>
      <c r="AN147" s="46">
        <f t="shared" si="180"/>
        <v>6762</v>
      </c>
      <c r="AO147" s="46">
        <f t="shared" si="181"/>
        <v>15512</v>
      </c>
      <c r="AP147" s="46">
        <v>0</v>
      </c>
      <c r="AQ147" s="46">
        <f t="shared" si="182"/>
        <v>227028</v>
      </c>
      <c r="AR147" s="46">
        <f t="shared" si="183"/>
        <v>15512</v>
      </c>
      <c r="AS147" s="46">
        <f t="shared" si="184"/>
        <v>407014</v>
      </c>
      <c r="AT147" s="46">
        <f t="shared" si="185"/>
        <v>39514</v>
      </c>
      <c r="AU147" s="46">
        <f t="shared" si="186"/>
        <v>-15512</v>
      </c>
      <c r="AV147" s="46">
        <v>0</v>
      </c>
      <c r="AW147" s="46">
        <f t="shared" si="187"/>
        <v>431016</v>
      </c>
      <c r="AX147" s="46">
        <f t="shared" si="188"/>
        <v>0</v>
      </c>
      <c r="AY147" s="46">
        <f t="shared" si="189"/>
        <v>134443</v>
      </c>
      <c r="AZ147" s="46">
        <f t="shared" si="190"/>
        <v>0</v>
      </c>
      <c r="BA147" s="46">
        <f t="shared" si="191"/>
        <v>85823</v>
      </c>
      <c r="BB147" s="46"/>
      <c r="BC147" s="46">
        <f t="shared" si="192"/>
        <v>220266</v>
      </c>
      <c r="BD147" s="46">
        <f t="shared" si="193"/>
        <v>85823</v>
      </c>
      <c r="BE147" s="46">
        <f t="shared" si="194"/>
        <v>260264</v>
      </c>
      <c r="BF147" s="46">
        <f t="shared" si="195"/>
        <v>9687</v>
      </c>
      <c r="BG147" s="46">
        <f t="shared" si="196"/>
        <v>0</v>
      </c>
      <c r="BH147" s="46">
        <v>0</v>
      </c>
      <c r="BI147" s="46">
        <f t="shared" si="197"/>
        <v>269951</v>
      </c>
      <c r="BJ147" s="46">
        <f t="shared" si="198"/>
        <v>85823</v>
      </c>
      <c r="BK147" s="46">
        <f t="shared" si="199"/>
        <v>549145</v>
      </c>
      <c r="BL147" s="46">
        <f t="shared" si="200"/>
        <v>0</v>
      </c>
      <c r="BM147" s="46">
        <f t="shared" si="201"/>
        <v>-85823</v>
      </c>
      <c r="BN147" s="46">
        <v>0</v>
      </c>
      <c r="BO147" s="46">
        <f t="shared" si="202"/>
        <v>463322</v>
      </c>
      <c r="BP147" s="46">
        <f t="shared" si="203"/>
        <v>0</v>
      </c>
      <c r="BQ147" s="46">
        <f t="shared" si="204"/>
        <v>203811</v>
      </c>
      <c r="BR147" s="46">
        <f t="shared" si="205"/>
        <v>0</v>
      </c>
      <c r="BS147" s="46">
        <f t="shared" si="206"/>
        <v>16455</v>
      </c>
      <c r="BT147" s="46">
        <v>0</v>
      </c>
      <c r="BU147" s="46">
        <f t="shared" si="207"/>
        <v>220266</v>
      </c>
      <c r="BV147" s="46">
        <f t="shared" si="208"/>
        <v>16455</v>
      </c>
      <c r="BW147" s="46">
        <f t="shared" si="209"/>
        <v>390559</v>
      </c>
      <c r="BX147" s="46">
        <f t="shared" si="210"/>
        <v>63665</v>
      </c>
      <c r="BY147" s="46">
        <f t="shared" si="211"/>
        <v>-16455</v>
      </c>
      <c r="BZ147" s="46">
        <v>0</v>
      </c>
      <c r="CA147" s="46">
        <f t="shared" si="212"/>
        <v>437769</v>
      </c>
      <c r="CB147" s="46">
        <f t="shared" si="213"/>
        <v>0</v>
      </c>
      <c r="CC147" s="155">
        <f t="shared" si="216"/>
        <v>0</v>
      </c>
      <c r="CD147" s="79" t="s">
        <v>538</v>
      </c>
      <c r="CE147" s="65">
        <f t="shared" si="217"/>
        <v>220266</v>
      </c>
      <c r="CF147" s="65">
        <f t="shared" si="218"/>
        <v>220266</v>
      </c>
      <c r="CG147" s="65">
        <f t="shared" si="219"/>
        <v>223722</v>
      </c>
      <c r="CH147" s="65">
        <f t="shared" si="220"/>
        <v>220266</v>
      </c>
      <c r="CI147" s="65">
        <f t="shared" si="221"/>
        <v>727156</v>
      </c>
      <c r="CJ147" s="65">
        <f t="shared" si="222"/>
        <v>227028</v>
      </c>
      <c r="CK147" s="65">
        <f t="shared" si="223"/>
        <v>431016</v>
      </c>
      <c r="CL147" s="65">
        <f t="shared" si="224"/>
        <v>220266</v>
      </c>
      <c r="CM147" s="65">
        <f t="shared" si="225"/>
        <v>269951</v>
      </c>
      <c r="CN147" s="65">
        <f t="shared" si="226"/>
        <v>463322</v>
      </c>
      <c r="CO147" s="65">
        <f t="shared" si="227"/>
        <v>220266</v>
      </c>
      <c r="CP147" s="65">
        <f t="shared" si="228"/>
        <v>437769</v>
      </c>
      <c r="CQ147" s="40" t="s">
        <v>538</v>
      </c>
    </row>
    <row r="148" spans="1:95" ht="3" customHeight="1" x14ac:dyDescent="0.25">
      <c r="A148" s="39">
        <v>1</v>
      </c>
      <c r="B148" s="28">
        <v>8101</v>
      </c>
      <c r="C148" s="28" t="s">
        <v>395</v>
      </c>
      <c r="D148" s="48">
        <f>+DATA!Q146</f>
        <v>8138251.3880000003</v>
      </c>
      <c r="E148" s="48">
        <f t="shared" si="214"/>
        <v>535768</v>
      </c>
      <c r="F148" s="48">
        <f t="shared" si="215"/>
        <v>813825</v>
      </c>
      <c r="G148" s="49">
        <f>VLOOKUP(B148,'CALC MEC ESTAB Y ESTIM M FINAL'!$B$7:$F$352,5,0)</f>
        <v>4.3736955486E-3</v>
      </c>
      <c r="H148" s="49">
        <f>VLOOKUP(B148,'CALC MEC ESTAB Y ESTIM M FINAL'!$B$7:$R$352,17,0)</f>
        <v>-2.6637800390000001E-4</v>
      </c>
      <c r="I148" s="46">
        <f t="shared" si="154"/>
        <v>338657</v>
      </c>
      <c r="J148" s="46">
        <f t="shared" si="155"/>
        <v>0</v>
      </c>
      <c r="K148" s="46">
        <f t="shared" si="156"/>
        <v>197111</v>
      </c>
      <c r="L148" s="46">
        <v>0</v>
      </c>
      <c r="M148" s="46">
        <f t="shared" si="157"/>
        <v>535768</v>
      </c>
      <c r="N148" s="46">
        <f t="shared" si="158"/>
        <v>197111</v>
      </c>
      <c r="O148" s="46">
        <f t="shared" si="159"/>
        <v>180086</v>
      </c>
      <c r="P148" s="46">
        <f t="shared" si="160"/>
        <v>0</v>
      </c>
      <c r="Q148" s="46">
        <f t="shared" si="161"/>
        <v>355682</v>
      </c>
      <c r="R148" s="46">
        <v>0</v>
      </c>
      <c r="S148" s="46">
        <f t="shared" si="162"/>
        <v>535768</v>
      </c>
      <c r="T148" s="46">
        <f t="shared" si="163"/>
        <v>552793</v>
      </c>
      <c r="U148" s="46">
        <f t="shared" si="164"/>
        <v>513746</v>
      </c>
      <c r="V148" s="46">
        <f t="shared" si="165"/>
        <v>0</v>
      </c>
      <c r="W148" s="46">
        <f t="shared" si="166"/>
        <v>0</v>
      </c>
      <c r="X148" s="46">
        <v>0</v>
      </c>
      <c r="Y148" s="46">
        <f t="shared" si="167"/>
        <v>513746</v>
      </c>
      <c r="Z148" s="46">
        <f t="shared" si="168"/>
        <v>552793</v>
      </c>
      <c r="AA148" s="46">
        <f t="shared" si="169"/>
        <v>272791</v>
      </c>
      <c r="AB148" s="46">
        <f t="shared" si="170"/>
        <v>0</v>
      </c>
      <c r="AC148" s="46">
        <f t="shared" si="171"/>
        <v>262977</v>
      </c>
      <c r="AD148" s="46">
        <v>0</v>
      </c>
      <c r="AE148" s="46">
        <f t="shared" si="172"/>
        <v>535768</v>
      </c>
      <c r="AF148" s="46">
        <f t="shared" si="173"/>
        <v>815770</v>
      </c>
      <c r="AG148" s="46">
        <f t="shared" si="174"/>
        <v>2373794</v>
      </c>
      <c r="AH148" s="46">
        <f t="shared" si="175"/>
        <v>21910</v>
      </c>
      <c r="AI148" s="46">
        <f t="shared" si="176"/>
        <v>-815770</v>
      </c>
      <c r="AJ148" s="46">
        <v>0</v>
      </c>
      <c r="AK148" s="46">
        <f t="shared" si="177"/>
        <v>1579934</v>
      </c>
      <c r="AL148" s="46">
        <f t="shared" si="178"/>
        <v>0</v>
      </c>
      <c r="AM148" s="46">
        <f t="shared" si="179"/>
        <v>470188</v>
      </c>
      <c r="AN148" s="46">
        <f t="shared" si="180"/>
        <v>15527</v>
      </c>
      <c r="AO148" s="46">
        <f t="shared" si="181"/>
        <v>65580</v>
      </c>
      <c r="AP148" s="46">
        <v>0</v>
      </c>
      <c r="AQ148" s="46">
        <f t="shared" si="182"/>
        <v>551295</v>
      </c>
      <c r="AR148" s="46">
        <f t="shared" si="183"/>
        <v>65580</v>
      </c>
      <c r="AS148" s="46">
        <f t="shared" si="184"/>
        <v>934650</v>
      </c>
      <c r="AT148" s="46">
        <f t="shared" si="185"/>
        <v>90738</v>
      </c>
      <c r="AU148" s="46">
        <f t="shared" si="186"/>
        <v>-65580</v>
      </c>
      <c r="AV148" s="46">
        <v>0</v>
      </c>
      <c r="AW148" s="46">
        <f t="shared" si="187"/>
        <v>959808</v>
      </c>
      <c r="AX148" s="46">
        <f t="shared" si="188"/>
        <v>0</v>
      </c>
      <c r="AY148" s="46">
        <f t="shared" si="189"/>
        <v>308729</v>
      </c>
      <c r="AZ148" s="46">
        <f t="shared" si="190"/>
        <v>0</v>
      </c>
      <c r="BA148" s="46">
        <f t="shared" si="191"/>
        <v>227039</v>
      </c>
      <c r="BB148" s="46"/>
      <c r="BC148" s="46">
        <f t="shared" si="192"/>
        <v>535768</v>
      </c>
      <c r="BD148" s="46">
        <f t="shared" si="193"/>
        <v>227039</v>
      </c>
      <c r="BE148" s="46">
        <f t="shared" si="194"/>
        <v>597659</v>
      </c>
      <c r="BF148" s="46">
        <f t="shared" si="195"/>
        <v>22244</v>
      </c>
      <c r="BG148" s="46">
        <f t="shared" si="196"/>
        <v>0</v>
      </c>
      <c r="BH148" s="46">
        <v>0</v>
      </c>
      <c r="BI148" s="46">
        <f t="shared" si="197"/>
        <v>619903</v>
      </c>
      <c r="BJ148" s="46">
        <f t="shared" si="198"/>
        <v>227039</v>
      </c>
      <c r="BK148" s="46">
        <f t="shared" si="199"/>
        <v>1261034</v>
      </c>
      <c r="BL148" s="46">
        <f t="shared" si="200"/>
        <v>0</v>
      </c>
      <c r="BM148" s="46">
        <f t="shared" si="201"/>
        <v>-227039</v>
      </c>
      <c r="BN148" s="46">
        <v>0</v>
      </c>
      <c r="BO148" s="46">
        <f t="shared" si="202"/>
        <v>1033995</v>
      </c>
      <c r="BP148" s="46">
        <f t="shared" si="203"/>
        <v>0</v>
      </c>
      <c r="BQ148" s="46">
        <f t="shared" si="204"/>
        <v>468024</v>
      </c>
      <c r="BR148" s="46">
        <f t="shared" si="205"/>
        <v>0</v>
      </c>
      <c r="BS148" s="46">
        <f t="shared" si="206"/>
        <v>67744</v>
      </c>
      <c r="BT148" s="46">
        <v>0</v>
      </c>
      <c r="BU148" s="46">
        <f t="shared" si="207"/>
        <v>535768</v>
      </c>
      <c r="BV148" s="46">
        <f t="shared" si="208"/>
        <v>67744</v>
      </c>
      <c r="BW148" s="46">
        <f t="shared" si="209"/>
        <v>896863</v>
      </c>
      <c r="BX148" s="46">
        <f t="shared" si="210"/>
        <v>146198</v>
      </c>
      <c r="BY148" s="46">
        <f t="shared" si="211"/>
        <v>-67744</v>
      </c>
      <c r="BZ148" s="46">
        <v>0</v>
      </c>
      <c r="CA148" s="46">
        <f t="shared" si="212"/>
        <v>975317</v>
      </c>
      <c r="CB148" s="46">
        <f t="shared" si="213"/>
        <v>0</v>
      </c>
      <c r="CC148" s="155">
        <f t="shared" si="216"/>
        <v>0</v>
      </c>
      <c r="CD148" s="79" t="s">
        <v>538</v>
      </c>
      <c r="CE148" s="65">
        <f t="shared" si="217"/>
        <v>535768</v>
      </c>
      <c r="CF148" s="65">
        <f t="shared" si="218"/>
        <v>535768</v>
      </c>
      <c r="CG148" s="65">
        <f t="shared" si="219"/>
        <v>513746</v>
      </c>
      <c r="CH148" s="65">
        <f t="shared" si="220"/>
        <v>535768</v>
      </c>
      <c r="CI148" s="65">
        <f t="shared" si="221"/>
        <v>1579934</v>
      </c>
      <c r="CJ148" s="65">
        <f t="shared" si="222"/>
        <v>551295</v>
      </c>
      <c r="CK148" s="65">
        <f t="shared" si="223"/>
        <v>959808</v>
      </c>
      <c r="CL148" s="65">
        <f t="shared" si="224"/>
        <v>535768</v>
      </c>
      <c r="CM148" s="65">
        <f t="shared" si="225"/>
        <v>619903</v>
      </c>
      <c r="CN148" s="65">
        <f t="shared" si="226"/>
        <v>1033995</v>
      </c>
      <c r="CO148" s="65">
        <f t="shared" si="227"/>
        <v>535768</v>
      </c>
      <c r="CP148" s="65">
        <f t="shared" si="228"/>
        <v>975317</v>
      </c>
      <c r="CQ148" s="40" t="s">
        <v>538</v>
      </c>
    </row>
    <row r="149" spans="1:95" ht="3" customHeight="1" x14ac:dyDescent="0.25">
      <c r="A149" s="39">
        <v>1</v>
      </c>
      <c r="B149" s="28">
        <v>8102</v>
      </c>
      <c r="C149" s="28" t="s">
        <v>187</v>
      </c>
      <c r="D149" s="48">
        <f>+DATA!Q147</f>
        <v>12981260.124</v>
      </c>
      <c r="E149" s="48">
        <f t="shared" si="214"/>
        <v>854600</v>
      </c>
      <c r="F149" s="48">
        <f t="shared" si="215"/>
        <v>1298126</v>
      </c>
      <c r="G149" s="49">
        <f>VLOOKUP(B149,'CALC MEC ESTAB Y ESTIM M FINAL'!$B$7:$F$352,5,0)</f>
        <v>4.7426669317999996E-3</v>
      </c>
      <c r="H149" s="49">
        <f>VLOOKUP(B149,'CALC MEC ESTAB Y ESTIM M FINAL'!$B$7:$R$352,17,0)</f>
        <v>1.4636847307000001E-3</v>
      </c>
      <c r="I149" s="46">
        <f t="shared" si="154"/>
        <v>511727</v>
      </c>
      <c r="J149" s="46">
        <f t="shared" si="155"/>
        <v>0</v>
      </c>
      <c r="K149" s="46">
        <f t="shared" si="156"/>
        <v>342873</v>
      </c>
      <c r="L149" s="46">
        <v>0</v>
      </c>
      <c r="M149" s="46">
        <f t="shared" si="157"/>
        <v>854600</v>
      </c>
      <c r="N149" s="46">
        <f t="shared" si="158"/>
        <v>342873</v>
      </c>
      <c r="O149" s="46">
        <f t="shared" si="159"/>
        <v>272119</v>
      </c>
      <c r="P149" s="46">
        <f t="shared" si="160"/>
        <v>0</v>
      </c>
      <c r="Q149" s="46">
        <f t="shared" si="161"/>
        <v>582481</v>
      </c>
      <c r="R149" s="46">
        <v>0</v>
      </c>
      <c r="S149" s="46">
        <f t="shared" si="162"/>
        <v>854600</v>
      </c>
      <c r="T149" s="46">
        <f t="shared" si="163"/>
        <v>925354</v>
      </c>
      <c r="U149" s="46">
        <f t="shared" si="164"/>
        <v>776295</v>
      </c>
      <c r="V149" s="46">
        <f t="shared" si="165"/>
        <v>0</v>
      </c>
      <c r="W149" s="46">
        <f t="shared" si="166"/>
        <v>0</v>
      </c>
      <c r="X149" s="46">
        <v>0</v>
      </c>
      <c r="Y149" s="46">
        <f t="shared" si="167"/>
        <v>776295</v>
      </c>
      <c r="Z149" s="46">
        <f t="shared" si="168"/>
        <v>925354</v>
      </c>
      <c r="AA149" s="46">
        <f t="shared" si="169"/>
        <v>412200</v>
      </c>
      <c r="AB149" s="46">
        <f t="shared" si="170"/>
        <v>0</v>
      </c>
      <c r="AC149" s="46">
        <f t="shared" si="171"/>
        <v>442400</v>
      </c>
      <c r="AD149" s="46">
        <v>0</v>
      </c>
      <c r="AE149" s="46">
        <f t="shared" si="172"/>
        <v>854600</v>
      </c>
      <c r="AF149" s="46">
        <f t="shared" si="173"/>
        <v>1367754</v>
      </c>
      <c r="AG149" s="46">
        <f t="shared" si="174"/>
        <v>3586915</v>
      </c>
      <c r="AH149" s="46">
        <f t="shared" si="175"/>
        <v>33106</v>
      </c>
      <c r="AI149" s="46">
        <f t="shared" si="176"/>
        <v>-1367754</v>
      </c>
      <c r="AJ149" s="46">
        <v>0</v>
      </c>
      <c r="AK149" s="46">
        <f t="shared" si="177"/>
        <v>2252267</v>
      </c>
      <c r="AL149" s="46">
        <f t="shared" si="178"/>
        <v>0</v>
      </c>
      <c r="AM149" s="46">
        <f t="shared" si="179"/>
        <v>710476</v>
      </c>
      <c r="AN149" s="46">
        <f t="shared" si="180"/>
        <v>23463</v>
      </c>
      <c r="AO149" s="46">
        <f t="shared" si="181"/>
        <v>144124</v>
      </c>
      <c r="AP149" s="46">
        <v>0</v>
      </c>
      <c r="AQ149" s="46">
        <f t="shared" si="182"/>
        <v>878063</v>
      </c>
      <c r="AR149" s="46">
        <f t="shared" si="183"/>
        <v>144124</v>
      </c>
      <c r="AS149" s="46">
        <f t="shared" si="184"/>
        <v>1412300</v>
      </c>
      <c r="AT149" s="46">
        <f t="shared" si="185"/>
        <v>137109</v>
      </c>
      <c r="AU149" s="46">
        <f t="shared" si="186"/>
        <v>-114174</v>
      </c>
      <c r="AV149" s="46">
        <v>0</v>
      </c>
      <c r="AW149" s="46">
        <f t="shared" si="187"/>
        <v>1435235</v>
      </c>
      <c r="AX149" s="46">
        <f t="shared" si="188"/>
        <v>29950</v>
      </c>
      <c r="AY149" s="46">
        <f t="shared" si="189"/>
        <v>466504</v>
      </c>
      <c r="AZ149" s="46">
        <f t="shared" si="190"/>
        <v>0</v>
      </c>
      <c r="BA149" s="46">
        <f t="shared" si="191"/>
        <v>388096</v>
      </c>
      <c r="BB149" s="46"/>
      <c r="BC149" s="46">
        <f t="shared" si="192"/>
        <v>854600</v>
      </c>
      <c r="BD149" s="46">
        <f t="shared" si="193"/>
        <v>418046</v>
      </c>
      <c r="BE149" s="46">
        <f t="shared" si="194"/>
        <v>903091</v>
      </c>
      <c r="BF149" s="46">
        <f t="shared" si="195"/>
        <v>33612</v>
      </c>
      <c r="BG149" s="46">
        <f t="shared" si="196"/>
        <v>0</v>
      </c>
      <c r="BH149" s="46">
        <v>0</v>
      </c>
      <c r="BI149" s="46">
        <f t="shared" si="197"/>
        <v>936703</v>
      </c>
      <c r="BJ149" s="46">
        <f t="shared" si="198"/>
        <v>418046</v>
      </c>
      <c r="BK149" s="46">
        <f t="shared" si="199"/>
        <v>1905482</v>
      </c>
      <c r="BL149" s="46">
        <f t="shared" si="200"/>
        <v>0</v>
      </c>
      <c r="BM149" s="46">
        <f t="shared" si="201"/>
        <v>-418046</v>
      </c>
      <c r="BN149" s="46">
        <v>0</v>
      </c>
      <c r="BO149" s="46">
        <f t="shared" si="202"/>
        <v>1487436</v>
      </c>
      <c r="BP149" s="46">
        <f t="shared" si="203"/>
        <v>0</v>
      </c>
      <c r="BQ149" s="46">
        <f t="shared" si="204"/>
        <v>707206</v>
      </c>
      <c r="BR149" s="46">
        <f t="shared" si="205"/>
        <v>0</v>
      </c>
      <c r="BS149" s="46">
        <f t="shared" si="206"/>
        <v>147394</v>
      </c>
      <c r="BT149" s="46">
        <v>0</v>
      </c>
      <c r="BU149" s="46">
        <f t="shared" si="207"/>
        <v>854600</v>
      </c>
      <c r="BV149" s="46">
        <f t="shared" si="208"/>
        <v>147394</v>
      </c>
      <c r="BW149" s="46">
        <f t="shared" si="209"/>
        <v>1355202</v>
      </c>
      <c r="BX149" s="46">
        <f t="shared" si="210"/>
        <v>220912</v>
      </c>
      <c r="BY149" s="46">
        <f t="shared" si="211"/>
        <v>-147394</v>
      </c>
      <c r="BZ149" s="46">
        <v>0</v>
      </c>
      <c r="CA149" s="46">
        <f t="shared" si="212"/>
        <v>1428720</v>
      </c>
      <c r="CB149" s="46">
        <f t="shared" si="213"/>
        <v>0</v>
      </c>
      <c r="CC149" s="155">
        <f t="shared" si="216"/>
        <v>0</v>
      </c>
      <c r="CD149" s="79" t="s">
        <v>538</v>
      </c>
      <c r="CE149" s="65">
        <f t="shared" si="217"/>
        <v>854600</v>
      </c>
      <c r="CF149" s="65">
        <f t="shared" si="218"/>
        <v>854600</v>
      </c>
      <c r="CG149" s="65">
        <f t="shared" si="219"/>
        <v>776295</v>
      </c>
      <c r="CH149" s="65">
        <f t="shared" si="220"/>
        <v>854600</v>
      </c>
      <c r="CI149" s="65">
        <f t="shared" si="221"/>
        <v>2252267</v>
      </c>
      <c r="CJ149" s="65">
        <f t="shared" si="222"/>
        <v>878063</v>
      </c>
      <c r="CK149" s="65">
        <f t="shared" si="223"/>
        <v>1435235</v>
      </c>
      <c r="CL149" s="65">
        <f t="shared" si="224"/>
        <v>854600</v>
      </c>
      <c r="CM149" s="65">
        <f t="shared" si="225"/>
        <v>936703</v>
      </c>
      <c r="CN149" s="65">
        <f t="shared" si="226"/>
        <v>1487436</v>
      </c>
      <c r="CO149" s="65">
        <f t="shared" si="227"/>
        <v>854600</v>
      </c>
      <c r="CP149" s="65">
        <f t="shared" si="228"/>
        <v>1428720</v>
      </c>
      <c r="CQ149" s="40" t="s">
        <v>538</v>
      </c>
    </row>
    <row r="150" spans="1:95" ht="3" customHeight="1" x14ac:dyDescent="0.25">
      <c r="A150" s="39">
        <v>1</v>
      </c>
      <c r="B150" s="28">
        <v>8103</v>
      </c>
      <c r="C150" s="28" t="s">
        <v>191</v>
      </c>
      <c r="D150" s="48">
        <f>+DATA!Q148</f>
        <v>9289611.9739999995</v>
      </c>
      <c r="E150" s="48">
        <f t="shared" si="214"/>
        <v>611566</v>
      </c>
      <c r="F150" s="48">
        <f t="shared" si="215"/>
        <v>928961</v>
      </c>
      <c r="G150" s="49">
        <f>VLOOKUP(B150,'CALC MEC ESTAB Y ESTIM M FINAL'!$B$7:$F$352,5,0)</f>
        <v>3.8164753161999999E-3</v>
      </c>
      <c r="H150" s="49">
        <f>VLOOKUP(B150,'CALC MEC ESTAB Y ESTIM M FINAL'!$B$7:$R$352,17,0)</f>
        <v>6.2489614720000002E-4</v>
      </c>
      <c r="I150" s="46">
        <f t="shared" si="154"/>
        <v>366201</v>
      </c>
      <c r="J150" s="46">
        <f t="shared" si="155"/>
        <v>0</v>
      </c>
      <c r="K150" s="46">
        <f t="shared" si="156"/>
        <v>245365</v>
      </c>
      <c r="L150" s="46">
        <v>0</v>
      </c>
      <c r="M150" s="46">
        <f t="shared" si="157"/>
        <v>611566</v>
      </c>
      <c r="N150" s="46">
        <f t="shared" si="158"/>
        <v>245365</v>
      </c>
      <c r="O150" s="46">
        <f t="shared" si="159"/>
        <v>194733</v>
      </c>
      <c r="P150" s="46">
        <f t="shared" si="160"/>
        <v>0</v>
      </c>
      <c r="Q150" s="46">
        <f t="shared" si="161"/>
        <v>416833</v>
      </c>
      <c r="R150" s="46">
        <v>0</v>
      </c>
      <c r="S150" s="46">
        <f t="shared" si="162"/>
        <v>611566</v>
      </c>
      <c r="T150" s="46">
        <f t="shared" si="163"/>
        <v>662198</v>
      </c>
      <c r="U150" s="46">
        <f t="shared" si="164"/>
        <v>555530</v>
      </c>
      <c r="V150" s="46">
        <f t="shared" si="165"/>
        <v>0</v>
      </c>
      <c r="W150" s="46">
        <f t="shared" si="166"/>
        <v>0</v>
      </c>
      <c r="X150" s="46">
        <v>0</v>
      </c>
      <c r="Y150" s="46">
        <f t="shared" si="167"/>
        <v>555530</v>
      </c>
      <c r="Z150" s="46">
        <f t="shared" si="168"/>
        <v>662198</v>
      </c>
      <c r="AA150" s="46">
        <f t="shared" si="169"/>
        <v>294978</v>
      </c>
      <c r="AB150" s="46">
        <f t="shared" si="170"/>
        <v>0</v>
      </c>
      <c r="AC150" s="46">
        <f t="shared" si="171"/>
        <v>316588</v>
      </c>
      <c r="AD150" s="46">
        <v>0</v>
      </c>
      <c r="AE150" s="46">
        <f t="shared" si="172"/>
        <v>611566</v>
      </c>
      <c r="AF150" s="46">
        <f t="shared" si="173"/>
        <v>978786</v>
      </c>
      <c r="AG150" s="46">
        <f t="shared" si="174"/>
        <v>2566858</v>
      </c>
      <c r="AH150" s="46">
        <f t="shared" si="175"/>
        <v>23691</v>
      </c>
      <c r="AI150" s="46">
        <f t="shared" si="176"/>
        <v>-978786</v>
      </c>
      <c r="AJ150" s="46">
        <v>0</v>
      </c>
      <c r="AK150" s="46">
        <f t="shared" si="177"/>
        <v>1611763</v>
      </c>
      <c r="AL150" s="46">
        <f t="shared" si="178"/>
        <v>0</v>
      </c>
      <c r="AM150" s="46">
        <f t="shared" si="179"/>
        <v>508429</v>
      </c>
      <c r="AN150" s="46">
        <f t="shared" si="180"/>
        <v>16790</v>
      </c>
      <c r="AO150" s="46">
        <f t="shared" si="181"/>
        <v>103137</v>
      </c>
      <c r="AP150" s="46">
        <v>0</v>
      </c>
      <c r="AQ150" s="46">
        <f t="shared" si="182"/>
        <v>628356</v>
      </c>
      <c r="AR150" s="46">
        <f t="shared" si="183"/>
        <v>103137</v>
      </c>
      <c r="AS150" s="46">
        <f t="shared" si="184"/>
        <v>1010666</v>
      </c>
      <c r="AT150" s="46">
        <f t="shared" si="185"/>
        <v>98117</v>
      </c>
      <c r="AU150" s="46">
        <f t="shared" si="186"/>
        <v>-81705</v>
      </c>
      <c r="AV150" s="46">
        <v>0</v>
      </c>
      <c r="AW150" s="46">
        <f t="shared" si="187"/>
        <v>1027078</v>
      </c>
      <c r="AX150" s="46">
        <f t="shared" si="188"/>
        <v>21432</v>
      </c>
      <c r="AY150" s="46">
        <f t="shared" si="189"/>
        <v>333839</v>
      </c>
      <c r="AZ150" s="46">
        <f t="shared" si="190"/>
        <v>0</v>
      </c>
      <c r="BA150" s="46">
        <f t="shared" si="191"/>
        <v>277727</v>
      </c>
      <c r="BB150" s="46"/>
      <c r="BC150" s="46">
        <f t="shared" si="192"/>
        <v>611566</v>
      </c>
      <c r="BD150" s="46">
        <f t="shared" si="193"/>
        <v>299159</v>
      </c>
      <c r="BE150" s="46">
        <f t="shared" si="194"/>
        <v>646267</v>
      </c>
      <c r="BF150" s="46">
        <f t="shared" si="195"/>
        <v>24053</v>
      </c>
      <c r="BG150" s="46">
        <f t="shared" si="196"/>
        <v>0</v>
      </c>
      <c r="BH150" s="46">
        <v>0</v>
      </c>
      <c r="BI150" s="46">
        <f t="shared" si="197"/>
        <v>670320</v>
      </c>
      <c r="BJ150" s="46">
        <f t="shared" si="198"/>
        <v>299159</v>
      </c>
      <c r="BK150" s="46">
        <f t="shared" si="199"/>
        <v>1363596</v>
      </c>
      <c r="BL150" s="46">
        <f t="shared" si="200"/>
        <v>0</v>
      </c>
      <c r="BM150" s="46">
        <f t="shared" si="201"/>
        <v>-299159</v>
      </c>
      <c r="BN150" s="46">
        <v>0</v>
      </c>
      <c r="BO150" s="46">
        <f t="shared" si="202"/>
        <v>1064437</v>
      </c>
      <c r="BP150" s="46">
        <f t="shared" si="203"/>
        <v>0</v>
      </c>
      <c r="BQ150" s="46">
        <f t="shared" si="204"/>
        <v>506089</v>
      </c>
      <c r="BR150" s="46">
        <f t="shared" si="205"/>
        <v>0</v>
      </c>
      <c r="BS150" s="46">
        <f t="shared" si="206"/>
        <v>105477</v>
      </c>
      <c r="BT150" s="46">
        <v>0</v>
      </c>
      <c r="BU150" s="46">
        <f t="shared" si="207"/>
        <v>611566</v>
      </c>
      <c r="BV150" s="46">
        <f t="shared" si="208"/>
        <v>105477</v>
      </c>
      <c r="BW150" s="46">
        <f t="shared" si="209"/>
        <v>969806</v>
      </c>
      <c r="BX150" s="46">
        <f t="shared" si="210"/>
        <v>158088</v>
      </c>
      <c r="BY150" s="46">
        <f t="shared" si="211"/>
        <v>-105477</v>
      </c>
      <c r="BZ150" s="46">
        <v>0</v>
      </c>
      <c r="CA150" s="46">
        <f t="shared" si="212"/>
        <v>1022417</v>
      </c>
      <c r="CB150" s="46">
        <f t="shared" si="213"/>
        <v>0</v>
      </c>
      <c r="CC150" s="155">
        <f t="shared" si="216"/>
        <v>0</v>
      </c>
      <c r="CD150" s="79" t="s">
        <v>538</v>
      </c>
      <c r="CE150" s="65">
        <f t="shared" si="217"/>
        <v>611566</v>
      </c>
      <c r="CF150" s="65">
        <f t="shared" si="218"/>
        <v>611566</v>
      </c>
      <c r="CG150" s="65">
        <f t="shared" si="219"/>
        <v>555530</v>
      </c>
      <c r="CH150" s="65">
        <f t="shared" si="220"/>
        <v>611566</v>
      </c>
      <c r="CI150" s="65">
        <f t="shared" si="221"/>
        <v>1611763</v>
      </c>
      <c r="CJ150" s="65">
        <f t="shared" si="222"/>
        <v>628356</v>
      </c>
      <c r="CK150" s="65">
        <f t="shared" si="223"/>
        <v>1027078</v>
      </c>
      <c r="CL150" s="65">
        <f t="shared" si="224"/>
        <v>611566</v>
      </c>
      <c r="CM150" s="65">
        <f t="shared" si="225"/>
        <v>670320</v>
      </c>
      <c r="CN150" s="65">
        <f t="shared" si="226"/>
        <v>1064437</v>
      </c>
      <c r="CO150" s="65">
        <f t="shared" si="227"/>
        <v>611566</v>
      </c>
      <c r="CP150" s="65">
        <f t="shared" si="228"/>
        <v>1022417</v>
      </c>
      <c r="CQ150" s="40" t="s">
        <v>538</v>
      </c>
    </row>
    <row r="151" spans="1:95" ht="3" customHeight="1" x14ac:dyDescent="0.25">
      <c r="A151" s="39">
        <v>1</v>
      </c>
      <c r="B151" s="28">
        <v>8104</v>
      </c>
      <c r="C151" s="28" t="s">
        <v>185</v>
      </c>
      <c r="D151" s="48">
        <f>+DATA!Q149</f>
        <v>3298965.7820000001</v>
      </c>
      <c r="E151" s="48">
        <f t="shared" si="214"/>
        <v>217182</v>
      </c>
      <c r="F151" s="48">
        <f t="shared" si="215"/>
        <v>329897</v>
      </c>
      <c r="G151" s="49">
        <f>VLOOKUP(B151,'CALC MEC ESTAB Y ESTIM M FINAL'!$B$7:$F$352,5,0)</f>
        <v>2.0428292539999998E-3</v>
      </c>
      <c r="H151" s="49">
        <f>VLOOKUP(B151,'CALC MEC ESTAB Y ESTIM M FINAL'!$B$7:$R$352,17,0)</f>
        <v>-2.5385775109999998E-4</v>
      </c>
      <c r="I151" s="46">
        <f t="shared" si="154"/>
        <v>147505</v>
      </c>
      <c r="J151" s="46">
        <f t="shared" si="155"/>
        <v>0</v>
      </c>
      <c r="K151" s="46">
        <f t="shared" si="156"/>
        <v>69677</v>
      </c>
      <c r="L151" s="46">
        <v>0</v>
      </c>
      <c r="M151" s="46">
        <f t="shared" si="157"/>
        <v>217182</v>
      </c>
      <c r="N151" s="46">
        <f t="shared" si="158"/>
        <v>69677</v>
      </c>
      <c r="O151" s="46">
        <f t="shared" si="159"/>
        <v>78438</v>
      </c>
      <c r="P151" s="46">
        <f t="shared" si="160"/>
        <v>0</v>
      </c>
      <c r="Q151" s="46">
        <f t="shared" si="161"/>
        <v>138744</v>
      </c>
      <c r="R151" s="46">
        <v>0</v>
      </c>
      <c r="S151" s="46">
        <f t="shared" si="162"/>
        <v>217182</v>
      </c>
      <c r="T151" s="46">
        <f t="shared" si="163"/>
        <v>208421</v>
      </c>
      <c r="U151" s="46">
        <f t="shared" si="164"/>
        <v>223766</v>
      </c>
      <c r="V151" s="46">
        <f t="shared" si="165"/>
        <v>0</v>
      </c>
      <c r="W151" s="46">
        <f t="shared" si="166"/>
        <v>0</v>
      </c>
      <c r="X151" s="46">
        <v>0</v>
      </c>
      <c r="Y151" s="46">
        <f t="shared" si="167"/>
        <v>223766</v>
      </c>
      <c r="Z151" s="46">
        <f t="shared" si="168"/>
        <v>208421</v>
      </c>
      <c r="AA151" s="46">
        <f t="shared" si="169"/>
        <v>118816</v>
      </c>
      <c r="AB151" s="46">
        <f t="shared" si="170"/>
        <v>0</v>
      </c>
      <c r="AC151" s="46">
        <f t="shared" si="171"/>
        <v>98366</v>
      </c>
      <c r="AD151" s="46">
        <v>0</v>
      </c>
      <c r="AE151" s="46">
        <f t="shared" si="172"/>
        <v>217182</v>
      </c>
      <c r="AF151" s="46">
        <f t="shared" si="173"/>
        <v>306787</v>
      </c>
      <c r="AG151" s="46">
        <f t="shared" si="174"/>
        <v>1033923</v>
      </c>
      <c r="AH151" s="46">
        <f t="shared" si="175"/>
        <v>9543</v>
      </c>
      <c r="AI151" s="46">
        <f t="shared" si="176"/>
        <v>-306787</v>
      </c>
      <c r="AJ151" s="46">
        <v>0</v>
      </c>
      <c r="AK151" s="46">
        <f t="shared" si="177"/>
        <v>736679</v>
      </c>
      <c r="AL151" s="46">
        <f t="shared" si="178"/>
        <v>0</v>
      </c>
      <c r="AM151" s="46">
        <f t="shared" si="179"/>
        <v>204794</v>
      </c>
      <c r="AN151" s="46">
        <f t="shared" si="180"/>
        <v>6763</v>
      </c>
      <c r="AO151" s="46">
        <f t="shared" si="181"/>
        <v>12388</v>
      </c>
      <c r="AP151" s="46">
        <v>0</v>
      </c>
      <c r="AQ151" s="46">
        <f t="shared" si="182"/>
        <v>223945</v>
      </c>
      <c r="AR151" s="46">
        <f t="shared" si="183"/>
        <v>12388</v>
      </c>
      <c r="AS151" s="46">
        <f t="shared" si="184"/>
        <v>407093</v>
      </c>
      <c r="AT151" s="46">
        <f t="shared" si="185"/>
        <v>39521</v>
      </c>
      <c r="AU151" s="46">
        <f t="shared" si="186"/>
        <v>-12388</v>
      </c>
      <c r="AV151" s="46">
        <v>0</v>
      </c>
      <c r="AW151" s="46">
        <f t="shared" si="187"/>
        <v>434226</v>
      </c>
      <c r="AX151" s="46">
        <f t="shared" si="188"/>
        <v>0</v>
      </c>
      <c r="AY151" s="46">
        <f t="shared" si="189"/>
        <v>134469</v>
      </c>
      <c r="AZ151" s="46">
        <f t="shared" si="190"/>
        <v>0</v>
      </c>
      <c r="BA151" s="46">
        <f t="shared" si="191"/>
        <v>82713</v>
      </c>
      <c r="BB151" s="46"/>
      <c r="BC151" s="46">
        <f t="shared" si="192"/>
        <v>217182</v>
      </c>
      <c r="BD151" s="46">
        <f t="shared" si="193"/>
        <v>82713</v>
      </c>
      <c r="BE151" s="46">
        <f t="shared" si="194"/>
        <v>260315</v>
      </c>
      <c r="BF151" s="46">
        <f t="shared" si="195"/>
        <v>9689</v>
      </c>
      <c r="BG151" s="46">
        <f t="shared" si="196"/>
        <v>0</v>
      </c>
      <c r="BH151" s="46">
        <v>0</v>
      </c>
      <c r="BI151" s="46">
        <f t="shared" si="197"/>
        <v>270004</v>
      </c>
      <c r="BJ151" s="46">
        <f t="shared" si="198"/>
        <v>82713</v>
      </c>
      <c r="BK151" s="46">
        <f t="shared" si="199"/>
        <v>549252</v>
      </c>
      <c r="BL151" s="46">
        <f t="shared" si="200"/>
        <v>0</v>
      </c>
      <c r="BM151" s="46">
        <f t="shared" si="201"/>
        <v>-82713</v>
      </c>
      <c r="BN151" s="46">
        <v>0</v>
      </c>
      <c r="BO151" s="46">
        <f t="shared" si="202"/>
        <v>466539</v>
      </c>
      <c r="BP151" s="46">
        <f t="shared" si="203"/>
        <v>0</v>
      </c>
      <c r="BQ151" s="46">
        <f t="shared" si="204"/>
        <v>203851</v>
      </c>
      <c r="BR151" s="46">
        <f t="shared" si="205"/>
        <v>0</v>
      </c>
      <c r="BS151" s="46">
        <f t="shared" si="206"/>
        <v>13331</v>
      </c>
      <c r="BT151" s="46">
        <v>0</v>
      </c>
      <c r="BU151" s="46">
        <f t="shared" si="207"/>
        <v>217182</v>
      </c>
      <c r="BV151" s="46">
        <f t="shared" si="208"/>
        <v>13331</v>
      </c>
      <c r="BW151" s="46">
        <f t="shared" si="209"/>
        <v>390635</v>
      </c>
      <c r="BX151" s="46">
        <f t="shared" si="210"/>
        <v>63678</v>
      </c>
      <c r="BY151" s="46">
        <f t="shared" si="211"/>
        <v>-13331</v>
      </c>
      <c r="BZ151" s="46">
        <v>0</v>
      </c>
      <c r="CA151" s="46">
        <f t="shared" si="212"/>
        <v>440982</v>
      </c>
      <c r="CB151" s="46">
        <f t="shared" si="213"/>
        <v>0</v>
      </c>
      <c r="CC151" s="155">
        <f t="shared" si="216"/>
        <v>0</v>
      </c>
      <c r="CD151" s="79" t="s">
        <v>538</v>
      </c>
      <c r="CE151" s="65">
        <f t="shared" si="217"/>
        <v>217182</v>
      </c>
      <c r="CF151" s="65">
        <f t="shared" si="218"/>
        <v>217182</v>
      </c>
      <c r="CG151" s="65">
        <f t="shared" si="219"/>
        <v>223766</v>
      </c>
      <c r="CH151" s="65">
        <f t="shared" si="220"/>
        <v>217182</v>
      </c>
      <c r="CI151" s="65">
        <f t="shared" si="221"/>
        <v>736679</v>
      </c>
      <c r="CJ151" s="65">
        <f t="shared" si="222"/>
        <v>223945</v>
      </c>
      <c r="CK151" s="65">
        <f t="shared" si="223"/>
        <v>434226</v>
      </c>
      <c r="CL151" s="65">
        <f t="shared" si="224"/>
        <v>217182</v>
      </c>
      <c r="CM151" s="65">
        <f t="shared" si="225"/>
        <v>270004</v>
      </c>
      <c r="CN151" s="65">
        <f t="shared" si="226"/>
        <v>466539</v>
      </c>
      <c r="CO151" s="65">
        <f t="shared" si="227"/>
        <v>217182</v>
      </c>
      <c r="CP151" s="65">
        <f t="shared" si="228"/>
        <v>440982</v>
      </c>
      <c r="CQ151" s="40" t="s">
        <v>538</v>
      </c>
    </row>
    <row r="152" spans="1:95" ht="3" customHeight="1" x14ac:dyDescent="0.25">
      <c r="A152" s="39">
        <v>1</v>
      </c>
      <c r="B152" s="28">
        <v>8105</v>
      </c>
      <c r="C152" s="28" t="s">
        <v>184</v>
      </c>
      <c r="D152" s="48">
        <f>+DATA!Q150</f>
        <v>5029720.5729999999</v>
      </c>
      <c r="E152" s="48">
        <f t="shared" si="214"/>
        <v>331123</v>
      </c>
      <c r="F152" s="48">
        <f t="shared" si="215"/>
        <v>502972</v>
      </c>
      <c r="G152" s="49">
        <f>VLOOKUP(B152,'CALC MEC ESTAB Y ESTIM M FINAL'!$B$7:$F$352,5,0)</f>
        <v>2.7543084669E-3</v>
      </c>
      <c r="H152" s="49">
        <f>VLOOKUP(B152,'CALC MEC ESTAB Y ESTIM M FINAL'!$B$7:$R$352,17,0)</f>
        <v>-1.9064944709999999E-4</v>
      </c>
      <c r="I152" s="46">
        <f t="shared" si="154"/>
        <v>211379</v>
      </c>
      <c r="J152" s="46">
        <f t="shared" si="155"/>
        <v>0</v>
      </c>
      <c r="K152" s="46">
        <f t="shared" si="156"/>
        <v>119744</v>
      </c>
      <c r="L152" s="46">
        <v>0</v>
      </c>
      <c r="M152" s="46">
        <f t="shared" si="157"/>
        <v>331123</v>
      </c>
      <c r="N152" s="46">
        <f t="shared" si="158"/>
        <v>119744</v>
      </c>
      <c r="O152" s="46">
        <f t="shared" si="159"/>
        <v>112404</v>
      </c>
      <c r="P152" s="46">
        <f t="shared" si="160"/>
        <v>0</v>
      </c>
      <c r="Q152" s="46">
        <f t="shared" si="161"/>
        <v>218719</v>
      </c>
      <c r="R152" s="46">
        <v>0</v>
      </c>
      <c r="S152" s="46">
        <f t="shared" si="162"/>
        <v>331123</v>
      </c>
      <c r="T152" s="46">
        <f t="shared" si="163"/>
        <v>338463</v>
      </c>
      <c r="U152" s="46">
        <f t="shared" si="164"/>
        <v>320664</v>
      </c>
      <c r="V152" s="46">
        <f t="shared" si="165"/>
        <v>0</v>
      </c>
      <c r="W152" s="46">
        <f t="shared" si="166"/>
        <v>0</v>
      </c>
      <c r="X152" s="46">
        <v>0</v>
      </c>
      <c r="Y152" s="46">
        <f t="shared" si="167"/>
        <v>320664</v>
      </c>
      <c r="Z152" s="46">
        <f t="shared" si="168"/>
        <v>338463</v>
      </c>
      <c r="AA152" s="46">
        <f t="shared" si="169"/>
        <v>170268</v>
      </c>
      <c r="AB152" s="46">
        <f t="shared" si="170"/>
        <v>0</v>
      </c>
      <c r="AC152" s="46">
        <f t="shared" si="171"/>
        <v>160855</v>
      </c>
      <c r="AD152" s="46">
        <v>0</v>
      </c>
      <c r="AE152" s="46">
        <f t="shared" si="172"/>
        <v>331123</v>
      </c>
      <c r="AF152" s="46">
        <f t="shared" si="173"/>
        <v>499318</v>
      </c>
      <c r="AG152" s="46">
        <f t="shared" si="174"/>
        <v>1481648</v>
      </c>
      <c r="AH152" s="46">
        <f t="shared" si="175"/>
        <v>13675</v>
      </c>
      <c r="AI152" s="46">
        <f t="shared" si="176"/>
        <v>-499318</v>
      </c>
      <c r="AJ152" s="46">
        <v>0</v>
      </c>
      <c r="AK152" s="46">
        <f t="shared" si="177"/>
        <v>996005</v>
      </c>
      <c r="AL152" s="46">
        <f t="shared" si="178"/>
        <v>0</v>
      </c>
      <c r="AM152" s="46">
        <f t="shared" si="179"/>
        <v>293477</v>
      </c>
      <c r="AN152" s="46">
        <f t="shared" si="180"/>
        <v>9692</v>
      </c>
      <c r="AO152" s="46">
        <f t="shared" si="181"/>
        <v>37646</v>
      </c>
      <c r="AP152" s="46">
        <v>0</v>
      </c>
      <c r="AQ152" s="46">
        <f t="shared" si="182"/>
        <v>340815</v>
      </c>
      <c r="AR152" s="46">
        <f t="shared" si="183"/>
        <v>37646</v>
      </c>
      <c r="AS152" s="46">
        <f t="shared" si="184"/>
        <v>583379</v>
      </c>
      <c r="AT152" s="46">
        <f t="shared" si="185"/>
        <v>56636</v>
      </c>
      <c r="AU152" s="46">
        <f t="shared" si="186"/>
        <v>-37646</v>
      </c>
      <c r="AV152" s="46">
        <v>0</v>
      </c>
      <c r="AW152" s="46">
        <f t="shared" si="187"/>
        <v>602369</v>
      </c>
      <c r="AX152" s="46">
        <f t="shared" si="188"/>
        <v>0</v>
      </c>
      <c r="AY152" s="46">
        <f t="shared" si="189"/>
        <v>192699</v>
      </c>
      <c r="AZ152" s="46">
        <f t="shared" si="190"/>
        <v>0</v>
      </c>
      <c r="BA152" s="46">
        <f t="shared" si="191"/>
        <v>138424</v>
      </c>
      <c r="BB152" s="46"/>
      <c r="BC152" s="46">
        <f t="shared" si="192"/>
        <v>331123</v>
      </c>
      <c r="BD152" s="46">
        <f t="shared" si="193"/>
        <v>138424</v>
      </c>
      <c r="BE152" s="46">
        <f t="shared" si="194"/>
        <v>373040</v>
      </c>
      <c r="BF152" s="46">
        <f t="shared" si="195"/>
        <v>13884</v>
      </c>
      <c r="BG152" s="46">
        <f t="shared" si="196"/>
        <v>0</v>
      </c>
      <c r="BH152" s="46">
        <v>0</v>
      </c>
      <c r="BI152" s="46">
        <f t="shared" si="197"/>
        <v>386924</v>
      </c>
      <c r="BJ152" s="46">
        <f t="shared" si="198"/>
        <v>138424</v>
      </c>
      <c r="BK152" s="46">
        <f t="shared" si="199"/>
        <v>787098</v>
      </c>
      <c r="BL152" s="46">
        <f t="shared" si="200"/>
        <v>0</v>
      </c>
      <c r="BM152" s="46">
        <f t="shared" si="201"/>
        <v>-138424</v>
      </c>
      <c r="BN152" s="46">
        <v>0</v>
      </c>
      <c r="BO152" s="46">
        <f t="shared" si="202"/>
        <v>648674</v>
      </c>
      <c r="BP152" s="46">
        <f t="shared" si="203"/>
        <v>0</v>
      </c>
      <c r="BQ152" s="46">
        <f t="shared" si="204"/>
        <v>292126</v>
      </c>
      <c r="BR152" s="46">
        <f t="shared" si="205"/>
        <v>0</v>
      </c>
      <c r="BS152" s="46">
        <f t="shared" si="206"/>
        <v>38997</v>
      </c>
      <c r="BT152" s="46">
        <v>0</v>
      </c>
      <c r="BU152" s="46">
        <f t="shared" si="207"/>
        <v>331123</v>
      </c>
      <c r="BV152" s="46">
        <f t="shared" si="208"/>
        <v>38997</v>
      </c>
      <c r="BW152" s="46">
        <f t="shared" si="209"/>
        <v>559794</v>
      </c>
      <c r="BX152" s="46">
        <f t="shared" si="210"/>
        <v>91252</v>
      </c>
      <c r="BY152" s="46">
        <f t="shared" si="211"/>
        <v>-38997</v>
      </c>
      <c r="BZ152" s="46">
        <v>0</v>
      </c>
      <c r="CA152" s="46">
        <f t="shared" si="212"/>
        <v>612049</v>
      </c>
      <c r="CB152" s="46">
        <f t="shared" si="213"/>
        <v>0</v>
      </c>
      <c r="CC152" s="155">
        <f t="shared" si="216"/>
        <v>0</v>
      </c>
      <c r="CD152" s="79" t="s">
        <v>538</v>
      </c>
      <c r="CE152" s="65">
        <f t="shared" si="217"/>
        <v>331123</v>
      </c>
      <c r="CF152" s="65">
        <f t="shared" si="218"/>
        <v>331123</v>
      </c>
      <c r="CG152" s="65">
        <f t="shared" si="219"/>
        <v>320664</v>
      </c>
      <c r="CH152" s="65">
        <f t="shared" si="220"/>
        <v>331123</v>
      </c>
      <c r="CI152" s="65">
        <f t="shared" si="221"/>
        <v>996005</v>
      </c>
      <c r="CJ152" s="65">
        <f t="shared" si="222"/>
        <v>340815</v>
      </c>
      <c r="CK152" s="65">
        <f t="shared" si="223"/>
        <v>602369</v>
      </c>
      <c r="CL152" s="65">
        <f t="shared" si="224"/>
        <v>331123</v>
      </c>
      <c r="CM152" s="65">
        <f t="shared" si="225"/>
        <v>386924</v>
      </c>
      <c r="CN152" s="65">
        <f t="shared" si="226"/>
        <v>648674</v>
      </c>
      <c r="CO152" s="65">
        <f t="shared" si="227"/>
        <v>331123</v>
      </c>
      <c r="CP152" s="65">
        <f t="shared" si="228"/>
        <v>612049</v>
      </c>
      <c r="CQ152" s="40" t="s">
        <v>538</v>
      </c>
    </row>
    <row r="153" spans="1:95" ht="3" customHeight="1" x14ac:dyDescent="0.25">
      <c r="A153" s="39">
        <v>1</v>
      </c>
      <c r="B153" s="28">
        <v>8106</v>
      </c>
      <c r="C153" s="28" t="s">
        <v>188</v>
      </c>
      <c r="D153" s="48">
        <f>+DATA!Q151</f>
        <v>8419412.023</v>
      </c>
      <c r="E153" s="48">
        <f t="shared" si="214"/>
        <v>554278</v>
      </c>
      <c r="F153" s="48">
        <f t="shared" si="215"/>
        <v>841941</v>
      </c>
      <c r="G153" s="49">
        <f>VLOOKUP(B153,'CALC MEC ESTAB Y ESTIM M FINAL'!$B$7:$F$352,5,0)</f>
        <v>3.5619149424000003E-3</v>
      </c>
      <c r="H153" s="49">
        <f>VLOOKUP(B153,'CALC MEC ESTAB Y ESTIM M FINAL'!$B$7:$R$352,17,0)</f>
        <v>4.6341317789999999E-4</v>
      </c>
      <c r="I153" s="46">
        <f t="shared" si="154"/>
        <v>331897</v>
      </c>
      <c r="J153" s="46">
        <f t="shared" si="155"/>
        <v>0</v>
      </c>
      <c r="K153" s="46">
        <f t="shared" si="156"/>
        <v>222381</v>
      </c>
      <c r="L153" s="46">
        <v>0</v>
      </c>
      <c r="M153" s="46">
        <f t="shared" si="157"/>
        <v>554278</v>
      </c>
      <c r="N153" s="46">
        <f t="shared" si="158"/>
        <v>222381</v>
      </c>
      <c r="O153" s="46">
        <f t="shared" si="159"/>
        <v>176492</v>
      </c>
      <c r="P153" s="46">
        <f t="shared" si="160"/>
        <v>0</v>
      </c>
      <c r="Q153" s="46">
        <f t="shared" si="161"/>
        <v>377786</v>
      </c>
      <c r="R153" s="46">
        <v>0</v>
      </c>
      <c r="S153" s="46">
        <f t="shared" si="162"/>
        <v>554278</v>
      </c>
      <c r="T153" s="46">
        <f t="shared" si="163"/>
        <v>600167</v>
      </c>
      <c r="U153" s="46">
        <f t="shared" si="164"/>
        <v>503491</v>
      </c>
      <c r="V153" s="46">
        <f t="shared" si="165"/>
        <v>0</v>
      </c>
      <c r="W153" s="46">
        <f t="shared" si="166"/>
        <v>0</v>
      </c>
      <c r="X153" s="46">
        <v>0</v>
      </c>
      <c r="Y153" s="46">
        <f t="shared" si="167"/>
        <v>503491</v>
      </c>
      <c r="Z153" s="46">
        <f t="shared" si="168"/>
        <v>600167</v>
      </c>
      <c r="AA153" s="46">
        <f t="shared" si="169"/>
        <v>267346</v>
      </c>
      <c r="AB153" s="46">
        <f t="shared" si="170"/>
        <v>0</v>
      </c>
      <c r="AC153" s="46">
        <f t="shared" si="171"/>
        <v>286932</v>
      </c>
      <c r="AD153" s="46">
        <v>0</v>
      </c>
      <c r="AE153" s="46">
        <f t="shared" si="172"/>
        <v>554278</v>
      </c>
      <c r="AF153" s="46">
        <f t="shared" si="173"/>
        <v>887099</v>
      </c>
      <c r="AG153" s="46">
        <f t="shared" si="174"/>
        <v>2326409</v>
      </c>
      <c r="AH153" s="46">
        <f t="shared" si="175"/>
        <v>21472</v>
      </c>
      <c r="AI153" s="46">
        <f t="shared" si="176"/>
        <v>-887099</v>
      </c>
      <c r="AJ153" s="46">
        <v>0</v>
      </c>
      <c r="AK153" s="46">
        <f t="shared" si="177"/>
        <v>1460782</v>
      </c>
      <c r="AL153" s="46">
        <f t="shared" si="178"/>
        <v>0</v>
      </c>
      <c r="AM153" s="46">
        <f t="shared" si="179"/>
        <v>460802</v>
      </c>
      <c r="AN153" s="46">
        <f t="shared" si="180"/>
        <v>15217</v>
      </c>
      <c r="AO153" s="46">
        <f t="shared" si="181"/>
        <v>93476</v>
      </c>
      <c r="AP153" s="46">
        <v>0</v>
      </c>
      <c r="AQ153" s="46">
        <f t="shared" si="182"/>
        <v>569495</v>
      </c>
      <c r="AR153" s="46">
        <f t="shared" si="183"/>
        <v>93476</v>
      </c>
      <c r="AS153" s="46">
        <f t="shared" si="184"/>
        <v>915993</v>
      </c>
      <c r="AT153" s="46">
        <f t="shared" si="185"/>
        <v>88926</v>
      </c>
      <c r="AU153" s="46">
        <f t="shared" si="186"/>
        <v>-74052</v>
      </c>
      <c r="AV153" s="46">
        <v>0</v>
      </c>
      <c r="AW153" s="46">
        <f t="shared" si="187"/>
        <v>930867</v>
      </c>
      <c r="AX153" s="46">
        <f t="shared" si="188"/>
        <v>19424</v>
      </c>
      <c r="AY153" s="46">
        <f t="shared" si="189"/>
        <v>302566</v>
      </c>
      <c r="AZ153" s="46">
        <f t="shared" si="190"/>
        <v>0</v>
      </c>
      <c r="BA153" s="46">
        <f t="shared" si="191"/>
        <v>251712</v>
      </c>
      <c r="BB153" s="46"/>
      <c r="BC153" s="46">
        <f t="shared" si="192"/>
        <v>554278</v>
      </c>
      <c r="BD153" s="46">
        <f t="shared" si="193"/>
        <v>271136</v>
      </c>
      <c r="BE153" s="46">
        <f t="shared" si="194"/>
        <v>585728</v>
      </c>
      <c r="BF153" s="46">
        <f t="shared" si="195"/>
        <v>21800</v>
      </c>
      <c r="BG153" s="46">
        <f t="shared" si="196"/>
        <v>0</v>
      </c>
      <c r="BH153" s="46">
        <v>0</v>
      </c>
      <c r="BI153" s="46">
        <f t="shared" si="197"/>
        <v>607528</v>
      </c>
      <c r="BJ153" s="46">
        <f t="shared" si="198"/>
        <v>271136</v>
      </c>
      <c r="BK153" s="46">
        <f t="shared" si="199"/>
        <v>1235862</v>
      </c>
      <c r="BL153" s="46">
        <f t="shared" si="200"/>
        <v>0</v>
      </c>
      <c r="BM153" s="46">
        <f t="shared" si="201"/>
        <v>-271136</v>
      </c>
      <c r="BN153" s="46">
        <v>0</v>
      </c>
      <c r="BO153" s="46">
        <f t="shared" si="202"/>
        <v>964726</v>
      </c>
      <c r="BP153" s="46">
        <f t="shared" si="203"/>
        <v>0</v>
      </c>
      <c r="BQ153" s="46">
        <f t="shared" si="204"/>
        <v>458681</v>
      </c>
      <c r="BR153" s="46">
        <f t="shared" si="205"/>
        <v>0</v>
      </c>
      <c r="BS153" s="46">
        <f t="shared" si="206"/>
        <v>95597</v>
      </c>
      <c r="BT153" s="46">
        <v>0</v>
      </c>
      <c r="BU153" s="46">
        <f t="shared" si="207"/>
        <v>554278</v>
      </c>
      <c r="BV153" s="46">
        <f t="shared" si="208"/>
        <v>95597</v>
      </c>
      <c r="BW153" s="46">
        <f t="shared" si="209"/>
        <v>878960</v>
      </c>
      <c r="BX153" s="46">
        <f t="shared" si="210"/>
        <v>143280</v>
      </c>
      <c r="BY153" s="46">
        <f t="shared" si="211"/>
        <v>-95597</v>
      </c>
      <c r="BZ153" s="46">
        <v>0</v>
      </c>
      <c r="CA153" s="46">
        <f t="shared" si="212"/>
        <v>926643</v>
      </c>
      <c r="CB153" s="46">
        <f t="shared" si="213"/>
        <v>0</v>
      </c>
      <c r="CC153" s="155">
        <f t="shared" si="216"/>
        <v>0</v>
      </c>
      <c r="CD153" s="79" t="s">
        <v>538</v>
      </c>
      <c r="CE153" s="65">
        <f t="shared" si="217"/>
        <v>554278</v>
      </c>
      <c r="CF153" s="65">
        <f t="shared" si="218"/>
        <v>554278</v>
      </c>
      <c r="CG153" s="65">
        <f t="shared" si="219"/>
        <v>503491</v>
      </c>
      <c r="CH153" s="65">
        <f t="shared" si="220"/>
        <v>554278</v>
      </c>
      <c r="CI153" s="65">
        <f t="shared" si="221"/>
        <v>1460782</v>
      </c>
      <c r="CJ153" s="65">
        <f t="shared" si="222"/>
        <v>569495</v>
      </c>
      <c r="CK153" s="65">
        <f t="shared" si="223"/>
        <v>930867</v>
      </c>
      <c r="CL153" s="65">
        <f t="shared" si="224"/>
        <v>554278</v>
      </c>
      <c r="CM153" s="65">
        <f t="shared" si="225"/>
        <v>607528</v>
      </c>
      <c r="CN153" s="65">
        <f t="shared" si="226"/>
        <v>964726</v>
      </c>
      <c r="CO153" s="65">
        <f t="shared" si="227"/>
        <v>554278</v>
      </c>
      <c r="CP153" s="65">
        <f t="shared" si="228"/>
        <v>926643</v>
      </c>
      <c r="CQ153" s="40" t="s">
        <v>538</v>
      </c>
    </row>
    <row r="154" spans="1:95" ht="3" customHeight="1" x14ac:dyDescent="0.25">
      <c r="A154" s="39">
        <v>1</v>
      </c>
      <c r="B154" s="28">
        <v>8107</v>
      </c>
      <c r="C154" s="28" t="s">
        <v>183</v>
      </c>
      <c r="D154" s="48">
        <f>+DATA!Q152</f>
        <v>6274655.7970000003</v>
      </c>
      <c r="E154" s="48">
        <f t="shared" si="214"/>
        <v>413082</v>
      </c>
      <c r="F154" s="48">
        <f t="shared" si="215"/>
        <v>627466</v>
      </c>
      <c r="G154" s="49">
        <f>VLOOKUP(B154,'CALC MEC ESTAB Y ESTIM M FINAL'!$B$7:$F$352,5,0)</f>
        <v>3.4427829025000002E-3</v>
      </c>
      <c r="H154" s="49">
        <f>VLOOKUP(B154,'CALC MEC ESTAB Y ESTIM M FINAL'!$B$7:$R$352,17,0)</f>
        <v>-2.4209356850000001E-4</v>
      </c>
      <c r="I154" s="46">
        <f t="shared" si="154"/>
        <v>263904</v>
      </c>
      <c r="J154" s="46">
        <f t="shared" si="155"/>
        <v>0</v>
      </c>
      <c r="K154" s="46">
        <f t="shared" si="156"/>
        <v>149178</v>
      </c>
      <c r="L154" s="46">
        <v>0</v>
      </c>
      <c r="M154" s="46">
        <f t="shared" si="157"/>
        <v>413082</v>
      </c>
      <c r="N154" s="46">
        <f t="shared" si="158"/>
        <v>149178</v>
      </c>
      <c r="O154" s="46">
        <f t="shared" si="159"/>
        <v>140335</v>
      </c>
      <c r="P154" s="46">
        <f t="shared" si="160"/>
        <v>0</v>
      </c>
      <c r="Q154" s="46">
        <f t="shared" si="161"/>
        <v>272747</v>
      </c>
      <c r="R154" s="46">
        <v>0</v>
      </c>
      <c r="S154" s="46">
        <f t="shared" si="162"/>
        <v>413082</v>
      </c>
      <c r="T154" s="46">
        <f t="shared" si="163"/>
        <v>421925</v>
      </c>
      <c r="U154" s="46">
        <f t="shared" si="164"/>
        <v>400344</v>
      </c>
      <c r="V154" s="46">
        <f t="shared" si="165"/>
        <v>0</v>
      </c>
      <c r="W154" s="46">
        <f t="shared" si="166"/>
        <v>0</v>
      </c>
      <c r="X154" s="46">
        <v>0</v>
      </c>
      <c r="Y154" s="46">
        <f t="shared" si="167"/>
        <v>400344</v>
      </c>
      <c r="Z154" s="46">
        <f t="shared" si="168"/>
        <v>421925</v>
      </c>
      <c r="AA154" s="46">
        <f t="shared" si="169"/>
        <v>212577</v>
      </c>
      <c r="AB154" s="46">
        <f t="shared" si="170"/>
        <v>0</v>
      </c>
      <c r="AC154" s="46">
        <f t="shared" si="171"/>
        <v>200505</v>
      </c>
      <c r="AD154" s="46">
        <v>0</v>
      </c>
      <c r="AE154" s="46">
        <f t="shared" si="172"/>
        <v>413082</v>
      </c>
      <c r="AF154" s="46">
        <f t="shared" si="173"/>
        <v>622430</v>
      </c>
      <c r="AG154" s="46">
        <f t="shared" si="174"/>
        <v>1849815</v>
      </c>
      <c r="AH154" s="46">
        <f t="shared" si="175"/>
        <v>17073</v>
      </c>
      <c r="AI154" s="46">
        <f t="shared" si="176"/>
        <v>-622430</v>
      </c>
      <c r="AJ154" s="46">
        <v>0</v>
      </c>
      <c r="AK154" s="46">
        <f t="shared" si="177"/>
        <v>1244458</v>
      </c>
      <c r="AL154" s="46">
        <f t="shared" si="178"/>
        <v>0</v>
      </c>
      <c r="AM154" s="46">
        <f t="shared" si="179"/>
        <v>366401</v>
      </c>
      <c r="AN154" s="46">
        <f t="shared" si="180"/>
        <v>12100</v>
      </c>
      <c r="AO154" s="46">
        <f t="shared" si="181"/>
        <v>46681</v>
      </c>
      <c r="AP154" s="46">
        <v>0</v>
      </c>
      <c r="AQ154" s="46">
        <f t="shared" si="182"/>
        <v>425182</v>
      </c>
      <c r="AR154" s="46">
        <f t="shared" si="183"/>
        <v>46681</v>
      </c>
      <c r="AS154" s="46">
        <f t="shared" si="184"/>
        <v>728340</v>
      </c>
      <c r="AT154" s="46">
        <f t="shared" si="185"/>
        <v>70709</v>
      </c>
      <c r="AU154" s="46">
        <f t="shared" si="186"/>
        <v>-46681</v>
      </c>
      <c r="AV154" s="46">
        <v>0</v>
      </c>
      <c r="AW154" s="46">
        <f t="shared" si="187"/>
        <v>752368</v>
      </c>
      <c r="AX154" s="46">
        <f t="shared" si="188"/>
        <v>0</v>
      </c>
      <c r="AY154" s="46">
        <f t="shared" si="189"/>
        <v>240582</v>
      </c>
      <c r="AZ154" s="46">
        <f t="shared" si="190"/>
        <v>0</v>
      </c>
      <c r="BA154" s="46">
        <f t="shared" si="191"/>
        <v>172500</v>
      </c>
      <c r="BB154" s="46"/>
      <c r="BC154" s="46">
        <f t="shared" si="192"/>
        <v>413082</v>
      </c>
      <c r="BD154" s="46">
        <f t="shared" si="193"/>
        <v>172500</v>
      </c>
      <c r="BE154" s="46">
        <f t="shared" si="194"/>
        <v>465735</v>
      </c>
      <c r="BF154" s="46">
        <f t="shared" si="195"/>
        <v>17334</v>
      </c>
      <c r="BG154" s="46">
        <f t="shared" si="196"/>
        <v>0</v>
      </c>
      <c r="BH154" s="46">
        <v>0</v>
      </c>
      <c r="BI154" s="46">
        <f t="shared" si="197"/>
        <v>483069</v>
      </c>
      <c r="BJ154" s="46">
        <f t="shared" si="198"/>
        <v>172500</v>
      </c>
      <c r="BK154" s="46">
        <f t="shared" si="199"/>
        <v>982680</v>
      </c>
      <c r="BL154" s="46">
        <f t="shared" si="200"/>
        <v>0</v>
      </c>
      <c r="BM154" s="46">
        <f t="shared" si="201"/>
        <v>-172500</v>
      </c>
      <c r="BN154" s="46">
        <v>0</v>
      </c>
      <c r="BO154" s="46">
        <f t="shared" si="202"/>
        <v>810180</v>
      </c>
      <c r="BP154" s="46">
        <f t="shared" si="203"/>
        <v>0</v>
      </c>
      <c r="BQ154" s="46">
        <f t="shared" si="204"/>
        <v>364715</v>
      </c>
      <c r="BR154" s="46">
        <f t="shared" si="205"/>
        <v>0</v>
      </c>
      <c r="BS154" s="46">
        <f t="shared" si="206"/>
        <v>48367</v>
      </c>
      <c r="BT154" s="46">
        <v>0</v>
      </c>
      <c r="BU154" s="46">
        <f t="shared" si="207"/>
        <v>413082</v>
      </c>
      <c r="BV154" s="46">
        <f t="shared" si="208"/>
        <v>48367</v>
      </c>
      <c r="BW154" s="46">
        <f t="shared" si="209"/>
        <v>698894</v>
      </c>
      <c r="BX154" s="46">
        <f t="shared" si="210"/>
        <v>113927</v>
      </c>
      <c r="BY154" s="46">
        <f t="shared" si="211"/>
        <v>-48367</v>
      </c>
      <c r="BZ154" s="46">
        <v>0</v>
      </c>
      <c r="CA154" s="46">
        <f t="shared" si="212"/>
        <v>764454</v>
      </c>
      <c r="CB154" s="46">
        <f t="shared" si="213"/>
        <v>0</v>
      </c>
      <c r="CC154" s="155">
        <f t="shared" si="216"/>
        <v>0</v>
      </c>
      <c r="CD154" s="79" t="s">
        <v>538</v>
      </c>
      <c r="CE154" s="65">
        <f t="shared" si="217"/>
        <v>413082</v>
      </c>
      <c r="CF154" s="65">
        <f t="shared" si="218"/>
        <v>413082</v>
      </c>
      <c r="CG154" s="65">
        <f t="shared" si="219"/>
        <v>400344</v>
      </c>
      <c r="CH154" s="65">
        <f t="shared" si="220"/>
        <v>413082</v>
      </c>
      <c r="CI154" s="65">
        <f t="shared" si="221"/>
        <v>1244458</v>
      </c>
      <c r="CJ154" s="65">
        <f t="shared" si="222"/>
        <v>425182</v>
      </c>
      <c r="CK154" s="65">
        <f t="shared" si="223"/>
        <v>752368</v>
      </c>
      <c r="CL154" s="65">
        <f t="shared" si="224"/>
        <v>413082</v>
      </c>
      <c r="CM154" s="65">
        <f t="shared" si="225"/>
        <v>483069</v>
      </c>
      <c r="CN154" s="65">
        <f t="shared" si="226"/>
        <v>810180</v>
      </c>
      <c r="CO154" s="65">
        <f t="shared" si="227"/>
        <v>413082</v>
      </c>
      <c r="CP154" s="65">
        <f t="shared" si="228"/>
        <v>764454</v>
      </c>
      <c r="CQ154" s="40" t="s">
        <v>538</v>
      </c>
    </row>
    <row r="155" spans="1:95" ht="3" customHeight="1" x14ac:dyDescent="0.25">
      <c r="A155" s="39">
        <v>1</v>
      </c>
      <c r="B155" s="28">
        <v>8108</v>
      </c>
      <c r="C155" s="28" t="s">
        <v>190</v>
      </c>
      <c r="D155" s="48">
        <f>+DATA!Q153</f>
        <v>8786614.9480000008</v>
      </c>
      <c r="E155" s="48">
        <f t="shared" si="214"/>
        <v>578452</v>
      </c>
      <c r="F155" s="48">
        <f t="shared" si="215"/>
        <v>878661</v>
      </c>
      <c r="G155" s="49">
        <f>VLOOKUP(B155,'CALC MEC ESTAB Y ESTIM M FINAL'!$B$7:$F$352,5,0)</f>
        <v>4.9137246795999999E-3</v>
      </c>
      <c r="H155" s="49">
        <f>VLOOKUP(B155,'CALC MEC ESTAB Y ESTIM M FINAL'!$B$7:$R$352,17,0)</f>
        <v>-3.9249760959999999E-4</v>
      </c>
      <c r="I155" s="46">
        <f t="shared" si="154"/>
        <v>372785</v>
      </c>
      <c r="J155" s="46">
        <f t="shared" si="155"/>
        <v>0</v>
      </c>
      <c r="K155" s="46">
        <f t="shared" si="156"/>
        <v>205667</v>
      </c>
      <c r="L155" s="46">
        <v>0</v>
      </c>
      <c r="M155" s="46">
        <f t="shared" si="157"/>
        <v>578452</v>
      </c>
      <c r="N155" s="46">
        <f t="shared" si="158"/>
        <v>205667</v>
      </c>
      <c r="O155" s="46">
        <f t="shared" si="159"/>
        <v>198234</v>
      </c>
      <c r="P155" s="46">
        <f t="shared" si="160"/>
        <v>0</v>
      </c>
      <c r="Q155" s="46">
        <f t="shared" si="161"/>
        <v>380218</v>
      </c>
      <c r="R155" s="46">
        <v>0</v>
      </c>
      <c r="S155" s="46">
        <f t="shared" si="162"/>
        <v>578452</v>
      </c>
      <c r="T155" s="46">
        <f t="shared" si="163"/>
        <v>585885</v>
      </c>
      <c r="U155" s="46">
        <f t="shared" si="164"/>
        <v>565518</v>
      </c>
      <c r="V155" s="46">
        <f t="shared" si="165"/>
        <v>0</v>
      </c>
      <c r="W155" s="46">
        <f t="shared" si="166"/>
        <v>0</v>
      </c>
      <c r="X155" s="46">
        <v>0</v>
      </c>
      <c r="Y155" s="46">
        <f t="shared" si="167"/>
        <v>565518</v>
      </c>
      <c r="Z155" s="46">
        <f t="shared" si="168"/>
        <v>585885</v>
      </c>
      <c r="AA155" s="46">
        <f t="shared" si="169"/>
        <v>300281</v>
      </c>
      <c r="AB155" s="46">
        <f t="shared" si="170"/>
        <v>0</v>
      </c>
      <c r="AC155" s="46">
        <f t="shared" si="171"/>
        <v>278171</v>
      </c>
      <c r="AD155" s="46">
        <v>0</v>
      </c>
      <c r="AE155" s="46">
        <f t="shared" si="172"/>
        <v>578452</v>
      </c>
      <c r="AF155" s="46">
        <f t="shared" si="173"/>
        <v>864056</v>
      </c>
      <c r="AG155" s="46">
        <f t="shared" si="174"/>
        <v>2613010</v>
      </c>
      <c r="AH155" s="46">
        <f t="shared" si="175"/>
        <v>24117</v>
      </c>
      <c r="AI155" s="46">
        <f t="shared" si="176"/>
        <v>-864056</v>
      </c>
      <c r="AJ155" s="46">
        <v>0</v>
      </c>
      <c r="AK155" s="46">
        <f t="shared" si="177"/>
        <v>1773071</v>
      </c>
      <c r="AL155" s="46">
        <f t="shared" si="178"/>
        <v>0</v>
      </c>
      <c r="AM155" s="46">
        <f t="shared" si="179"/>
        <v>517570</v>
      </c>
      <c r="AN155" s="46">
        <f t="shared" si="180"/>
        <v>17092</v>
      </c>
      <c r="AO155" s="46">
        <f t="shared" si="181"/>
        <v>60882</v>
      </c>
      <c r="AP155" s="46">
        <v>0</v>
      </c>
      <c r="AQ155" s="46">
        <f t="shared" si="182"/>
        <v>595544</v>
      </c>
      <c r="AR155" s="46">
        <f t="shared" si="183"/>
        <v>60882</v>
      </c>
      <c r="AS155" s="46">
        <f t="shared" si="184"/>
        <v>1028838</v>
      </c>
      <c r="AT155" s="46">
        <f t="shared" si="185"/>
        <v>99882</v>
      </c>
      <c r="AU155" s="46">
        <f t="shared" si="186"/>
        <v>-60882</v>
      </c>
      <c r="AV155" s="46">
        <v>0</v>
      </c>
      <c r="AW155" s="46">
        <f t="shared" si="187"/>
        <v>1067838</v>
      </c>
      <c r="AX155" s="46">
        <f t="shared" si="188"/>
        <v>0</v>
      </c>
      <c r="AY155" s="46">
        <f t="shared" si="189"/>
        <v>339841</v>
      </c>
      <c r="AZ155" s="46">
        <f t="shared" si="190"/>
        <v>0</v>
      </c>
      <c r="BA155" s="46">
        <f t="shared" si="191"/>
        <v>238611</v>
      </c>
      <c r="BB155" s="46"/>
      <c r="BC155" s="46">
        <f t="shared" si="192"/>
        <v>578452</v>
      </c>
      <c r="BD155" s="46">
        <f t="shared" si="193"/>
        <v>238611</v>
      </c>
      <c r="BE155" s="46">
        <f t="shared" si="194"/>
        <v>657887</v>
      </c>
      <c r="BF155" s="46">
        <f t="shared" si="195"/>
        <v>24486</v>
      </c>
      <c r="BG155" s="46">
        <f t="shared" si="196"/>
        <v>0</v>
      </c>
      <c r="BH155" s="46">
        <v>0</v>
      </c>
      <c r="BI155" s="46">
        <f t="shared" si="197"/>
        <v>682373</v>
      </c>
      <c r="BJ155" s="46">
        <f t="shared" si="198"/>
        <v>238611</v>
      </c>
      <c r="BK155" s="46">
        <f t="shared" si="199"/>
        <v>1388113</v>
      </c>
      <c r="BL155" s="46">
        <f t="shared" si="200"/>
        <v>0</v>
      </c>
      <c r="BM155" s="46">
        <f t="shared" si="201"/>
        <v>-238611</v>
      </c>
      <c r="BN155" s="46">
        <v>0</v>
      </c>
      <c r="BO155" s="46">
        <f t="shared" si="202"/>
        <v>1149502</v>
      </c>
      <c r="BP155" s="46">
        <f t="shared" si="203"/>
        <v>0</v>
      </c>
      <c r="BQ155" s="46">
        <f t="shared" si="204"/>
        <v>515188</v>
      </c>
      <c r="BR155" s="46">
        <f t="shared" si="205"/>
        <v>0</v>
      </c>
      <c r="BS155" s="46">
        <f t="shared" si="206"/>
        <v>63264</v>
      </c>
      <c r="BT155" s="46">
        <v>0</v>
      </c>
      <c r="BU155" s="46">
        <f t="shared" si="207"/>
        <v>578452</v>
      </c>
      <c r="BV155" s="46">
        <f t="shared" si="208"/>
        <v>63264</v>
      </c>
      <c r="BW155" s="46">
        <f t="shared" si="209"/>
        <v>987243</v>
      </c>
      <c r="BX155" s="46">
        <f t="shared" si="210"/>
        <v>160931</v>
      </c>
      <c r="BY155" s="46">
        <f t="shared" si="211"/>
        <v>-63264</v>
      </c>
      <c r="BZ155" s="46">
        <v>0</v>
      </c>
      <c r="CA155" s="46">
        <f t="shared" si="212"/>
        <v>1084910</v>
      </c>
      <c r="CB155" s="46">
        <f t="shared" si="213"/>
        <v>0</v>
      </c>
      <c r="CC155" s="155">
        <f t="shared" si="216"/>
        <v>0</v>
      </c>
      <c r="CD155" s="79" t="s">
        <v>538</v>
      </c>
      <c r="CE155" s="65">
        <f t="shared" si="217"/>
        <v>578452</v>
      </c>
      <c r="CF155" s="65">
        <f t="shared" si="218"/>
        <v>578452</v>
      </c>
      <c r="CG155" s="65">
        <f t="shared" si="219"/>
        <v>565518</v>
      </c>
      <c r="CH155" s="65">
        <f t="shared" si="220"/>
        <v>578452</v>
      </c>
      <c r="CI155" s="65">
        <f t="shared" si="221"/>
        <v>1773071</v>
      </c>
      <c r="CJ155" s="65">
        <f t="shared" si="222"/>
        <v>595544</v>
      </c>
      <c r="CK155" s="65">
        <f t="shared" si="223"/>
        <v>1067838</v>
      </c>
      <c r="CL155" s="65">
        <f t="shared" si="224"/>
        <v>578452</v>
      </c>
      <c r="CM155" s="65">
        <f t="shared" si="225"/>
        <v>682373</v>
      </c>
      <c r="CN155" s="65">
        <f t="shared" si="226"/>
        <v>1149502</v>
      </c>
      <c r="CO155" s="65">
        <f t="shared" si="227"/>
        <v>578452</v>
      </c>
      <c r="CP155" s="65">
        <f t="shared" si="228"/>
        <v>1084910</v>
      </c>
      <c r="CQ155" s="40" t="s">
        <v>538</v>
      </c>
    </row>
    <row r="156" spans="1:95" ht="3" customHeight="1" x14ac:dyDescent="0.25">
      <c r="A156" s="39">
        <v>1</v>
      </c>
      <c r="B156" s="28">
        <v>8109</v>
      </c>
      <c r="C156" s="28" t="s">
        <v>189</v>
      </c>
      <c r="D156" s="48">
        <f>+DATA!Q154</f>
        <v>4077654.966</v>
      </c>
      <c r="E156" s="48">
        <f t="shared" si="214"/>
        <v>268446</v>
      </c>
      <c r="F156" s="48">
        <f t="shared" si="215"/>
        <v>407765</v>
      </c>
      <c r="G156" s="49">
        <f>VLOOKUP(B156,'CALC MEC ESTAB Y ESTIM M FINAL'!$B$7:$F$352,5,0)</f>
        <v>2.1955347509999999E-3</v>
      </c>
      <c r="H156" s="49">
        <f>VLOOKUP(B156,'CALC MEC ESTAB Y ESTIM M FINAL'!$B$7:$R$352,17,0)</f>
        <v>-1.335562913E-4</v>
      </c>
      <c r="I156" s="46">
        <f t="shared" si="154"/>
        <v>170015</v>
      </c>
      <c r="J156" s="46">
        <f t="shared" si="155"/>
        <v>0</v>
      </c>
      <c r="K156" s="46">
        <f t="shared" si="156"/>
        <v>98431</v>
      </c>
      <c r="L156" s="46">
        <v>0</v>
      </c>
      <c r="M156" s="46">
        <f t="shared" si="157"/>
        <v>268446</v>
      </c>
      <c r="N156" s="46">
        <f t="shared" si="158"/>
        <v>98431</v>
      </c>
      <c r="O156" s="46">
        <f t="shared" si="159"/>
        <v>90408</v>
      </c>
      <c r="P156" s="46">
        <f t="shared" si="160"/>
        <v>0</v>
      </c>
      <c r="Q156" s="46">
        <f t="shared" si="161"/>
        <v>178038</v>
      </c>
      <c r="R156" s="46">
        <v>0</v>
      </c>
      <c r="S156" s="46">
        <f t="shared" si="162"/>
        <v>268446</v>
      </c>
      <c r="T156" s="46">
        <f t="shared" si="163"/>
        <v>276469</v>
      </c>
      <c r="U156" s="46">
        <f t="shared" si="164"/>
        <v>257914</v>
      </c>
      <c r="V156" s="46">
        <f t="shared" si="165"/>
        <v>0</v>
      </c>
      <c r="W156" s="46">
        <f t="shared" si="166"/>
        <v>0</v>
      </c>
      <c r="X156" s="46">
        <v>0</v>
      </c>
      <c r="Y156" s="46">
        <f t="shared" si="167"/>
        <v>257914</v>
      </c>
      <c r="Z156" s="46">
        <f t="shared" si="168"/>
        <v>276469</v>
      </c>
      <c r="AA156" s="46">
        <f t="shared" si="169"/>
        <v>136948</v>
      </c>
      <c r="AB156" s="46">
        <f t="shared" si="170"/>
        <v>0</v>
      </c>
      <c r="AC156" s="46">
        <f t="shared" si="171"/>
        <v>131498</v>
      </c>
      <c r="AD156" s="46">
        <v>0</v>
      </c>
      <c r="AE156" s="46">
        <f t="shared" si="172"/>
        <v>268446</v>
      </c>
      <c r="AF156" s="46">
        <f t="shared" si="173"/>
        <v>407967</v>
      </c>
      <c r="AG156" s="46">
        <f t="shared" si="174"/>
        <v>1191705</v>
      </c>
      <c r="AH156" s="46">
        <f t="shared" si="175"/>
        <v>10999</v>
      </c>
      <c r="AI156" s="46">
        <f t="shared" si="176"/>
        <v>-407967</v>
      </c>
      <c r="AJ156" s="46">
        <v>0</v>
      </c>
      <c r="AK156" s="46">
        <f t="shared" si="177"/>
        <v>794737</v>
      </c>
      <c r="AL156" s="46">
        <f t="shared" si="178"/>
        <v>0</v>
      </c>
      <c r="AM156" s="46">
        <f t="shared" si="179"/>
        <v>236046</v>
      </c>
      <c r="AN156" s="46">
        <f t="shared" si="180"/>
        <v>7795</v>
      </c>
      <c r="AO156" s="46">
        <f t="shared" si="181"/>
        <v>32400</v>
      </c>
      <c r="AP156" s="46">
        <v>0</v>
      </c>
      <c r="AQ156" s="46">
        <f t="shared" si="182"/>
        <v>276241</v>
      </c>
      <c r="AR156" s="46">
        <f t="shared" si="183"/>
        <v>32400</v>
      </c>
      <c r="AS156" s="46">
        <f t="shared" si="184"/>
        <v>469218</v>
      </c>
      <c r="AT156" s="46">
        <f t="shared" si="185"/>
        <v>45553</v>
      </c>
      <c r="AU156" s="46">
        <f t="shared" si="186"/>
        <v>-32400</v>
      </c>
      <c r="AV156" s="46">
        <v>0</v>
      </c>
      <c r="AW156" s="46">
        <f t="shared" si="187"/>
        <v>482371</v>
      </c>
      <c r="AX156" s="46">
        <f t="shared" si="188"/>
        <v>0</v>
      </c>
      <c r="AY156" s="46">
        <f t="shared" si="189"/>
        <v>154990</v>
      </c>
      <c r="AZ156" s="46">
        <f t="shared" si="190"/>
        <v>0</v>
      </c>
      <c r="BA156" s="46">
        <f t="shared" si="191"/>
        <v>113456</v>
      </c>
      <c r="BB156" s="46"/>
      <c r="BC156" s="46">
        <f t="shared" si="192"/>
        <v>268446</v>
      </c>
      <c r="BD156" s="46">
        <f t="shared" si="193"/>
        <v>113456</v>
      </c>
      <c r="BE156" s="46">
        <f t="shared" si="194"/>
        <v>300040</v>
      </c>
      <c r="BF156" s="46">
        <f t="shared" si="195"/>
        <v>11167</v>
      </c>
      <c r="BG156" s="46">
        <f t="shared" si="196"/>
        <v>0</v>
      </c>
      <c r="BH156" s="46">
        <v>0</v>
      </c>
      <c r="BI156" s="46">
        <f t="shared" si="197"/>
        <v>311207</v>
      </c>
      <c r="BJ156" s="46">
        <f t="shared" si="198"/>
        <v>113456</v>
      </c>
      <c r="BK156" s="46">
        <f t="shared" si="199"/>
        <v>633071</v>
      </c>
      <c r="BL156" s="46">
        <f t="shared" si="200"/>
        <v>0</v>
      </c>
      <c r="BM156" s="46">
        <f t="shared" si="201"/>
        <v>-113456</v>
      </c>
      <c r="BN156" s="46">
        <v>0</v>
      </c>
      <c r="BO156" s="46">
        <f t="shared" si="202"/>
        <v>519615</v>
      </c>
      <c r="BP156" s="46">
        <f t="shared" si="203"/>
        <v>0</v>
      </c>
      <c r="BQ156" s="46">
        <f t="shared" si="204"/>
        <v>234960</v>
      </c>
      <c r="BR156" s="46">
        <f t="shared" si="205"/>
        <v>0</v>
      </c>
      <c r="BS156" s="46">
        <f t="shared" si="206"/>
        <v>33486</v>
      </c>
      <c r="BT156" s="46">
        <v>0</v>
      </c>
      <c r="BU156" s="46">
        <f t="shared" si="207"/>
        <v>268446</v>
      </c>
      <c r="BV156" s="46">
        <f t="shared" si="208"/>
        <v>33486</v>
      </c>
      <c r="BW156" s="46">
        <f t="shared" si="209"/>
        <v>450248</v>
      </c>
      <c r="BX156" s="46">
        <f t="shared" si="210"/>
        <v>73395</v>
      </c>
      <c r="BY156" s="46">
        <f t="shared" si="211"/>
        <v>-33486</v>
      </c>
      <c r="BZ156" s="46">
        <v>0</v>
      </c>
      <c r="CA156" s="46">
        <f t="shared" si="212"/>
        <v>490157</v>
      </c>
      <c r="CB156" s="46">
        <f t="shared" si="213"/>
        <v>0</v>
      </c>
      <c r="CC156" s="155">
        <f t="shared" si="216"/>
        <v>0</v>
      </c>
      <c r="CD156" s="79" t="s">
        <v>538</v>
      </c>
      <c r="CE156" s="65">
        <f t="shared" si="217"/>
        <v>268446</v>
      </c>
      <c r="CF156" s="65">
        <f t="shared" si="218"/>
        <v>268446</v>
      </c>
      <c r="CG156" s="65">
        <f t="shared" si="219"/>
        <v>257914</v>
      </c>
      <c r="CH156" s="65">
        <f t="shared" si="220"/>
        <v>268446</v>
      </c>
      <c r="CI156" s="65">
        <f t="shared" si="221"/>
        <v>794737</v>
      </c>
      <c r="CJ156" s="65">
        <f t="shared" si="222"/>
        <v>276241</v>
      </c>
      <c r="CK156" s="65">
        <f t="shared" si="223"/>
        <v>482371</v>
      </c>
      <c r="CL156" s="65">
        <f t="shared" si="224"/>
        <v>268446</v>
      </c>
      <c r="CM156" s="65">
        <f t="shared" si="225"/>
        <v>311207</v>
      </c>
      <c r="CN156" s="65">
        <f t="shared" si="226"/>
        <v>519615</v>
      </c>
      <c r="CO156" s="65">
        <f t="shared" si="227"/>
        <v>268446</v>
      </c>
      <c r="CP156" s="65">
        <f t="shared" si="228"/>
        <v>490157</v>
      </c>
      <c r="CQ156" s="40" t="s">
        <v>538</v>
      </c>
    </row>
    <row r="157" spans="1:95" ht="3" customHeight="1" x14ac:dyDescent="0.25">
      <c r="A157" s="39">
        <v>1</v>
      </c>
      <c r="B157" s="28">
        <v>8110</v>
      </c>
      <c r="C157" s="28" t="s">
        <v>186</v>
      </c>
      <c r="D157" s="48">
        <f>+DATA!Q155</f>
        <v>8230440.7429999998</v>
      </c>
      <c r="E157" s="48">
        <f t="shared" si="214"/>
        <v>541837</v>
      </c>
      <c r="F157" s="48">
        <f t="shared" si="215"/>
        <v>823044</v>
      </c>
      <c r="G157" s="49">
        <f>VLOOKUP(B157,'CALC MEC ESTAB Y ESTIM M FINAL'!$B$7:$F$352,5,0)</f>
        <v>4.0761487618999996E-3</v>
      </c>
      <c r="H157" s="49">
        <f>VLOOKUP(B157,'CALC MEC ESTAB Y ESTIM M FINAL'!$B$7:$R$352,17,0)</f>
        <v>-7.9601566300000002E-5</v>
      </c>
      <c r="I157" s="46">
        <f t="shared" si="154"/>
        <v>329524</v>
      </c>
      <c r="J157" s="46">
        <f t="shared" si="155"/>
        <v>0</v>
      </c>
      <c r="K157" s="46">
        <f t="shared" si="156"/>
        <v>212313</v>
      </c>
      <c r="L157" s="46">
        <v>0</v>
      </c>
      <c r="M157" s="46">
        <f t="shared" si="157"/>
        <v>541837</v>
      </c>
      <c r="N157" s="46">
        <f t="shared" si="158"/>
        <v>212313</v>
      </c>
      <c r="O157" s="46">
        <f t="shared" si="159"/>
        <v>175230</v>
      </c>
      <c r="P157" s="46">
        <f t="shared" si="160"/>
        <v>0</v>
      </c>
      <c r="Q157" s="46">
        <f t="shared" si="161"/>
        <v>366607</v>
      </c>
      <c r="R157" s="46">
        <v>0</v>
      </c>
      <c r="S157" s="46">
        <f t="shared" si="162"/>
        <v>541837</v>
      </c>
      <c r="T157" s="46">
        <f t="shared" si="163"/>
        <v>578920</v>
      </c>
      <c r="U157" s="46">
        <f t="shared" si="164"/>
        <v>499891</v>
      </c>
      <c r="V157" s="46">
        <f t="shared" si="165"/>
        <v>0</v>
      </c>
      <c r="W157" s="46">
        <f t="shared" si="166"/>
        <v>0</v>
      </c>
      <c r="X157" s="46">
        <v>0</v>
      </c>
      <c r="Y157" s="46">
        <f t="shared" si="167"/>
        <v>499891</v>
      </c>
      <c r="Z157" s="46">
        <f t="shared" si="168"/>
        <v>578920</v>
      </c>
      <c r="AA157" s="46">
        <f t="shared" si="169"/>
        <v>265434</v>
      </c>
      <c r="AB157" s="46">
        <f t="shared" si="170"/>
        <v>0</v>
      </c>
      <c r="AC157" s="46">
        <f t="shared" si="171"/>
        <v>276403</v>
      </c>
      <c r="AD157" s="46">
        <v>0</v>
      </c>
      <c r="AE157" s="46">
        <f t="shared" si="172"/>
        <v>541837</v>
      </c>
      <c r="AF157" s="46">
        <f t="shared" si="173"/>
        <v>855323</v>
      </c>
      <c r="AG157" s="46">
        <f t="shared" si="174"/>
        <v>2309775</v>
      </c>
      <c r="AH157" s="46">
        <f t="shared" si="175"/>
        <v>21319</v>
      </c>
      <c r="AI157" s="46">
        <f t="shared" si="176"/>
        <v>-855323</v>
      </c>
      <c r="AJ157" s="46">
        <v>0</v>
      </c>
      <c r="AK157" s="46">
        <f t="shared" si="177"/>
        <v>1475771</v>
      </c>
      <c r="AL157" s="46">
        <f t="shared" si="178"/>
        <v>0</v>
      </c>
      <c r="AM157" s="46">
        <f t="shared" si="179"/>
        <v>457507</v>
      </c>
      <c r="AN157" s="46">
        <f t="shared" si="180"/>
        <v>15109</v>
      </c>
      <c r="AO157" s="46">
        <f t="shared" si="181"/>
        <v>84330</v>
      </c>
      <c r="AP157" s="46">
        <v>0</v>
      </c>
      <c r="AQ157" s="46">
        <f t="shared" si="182"/>
        <v>556946</v>
      </c>
      <c r="AR157" s="46">
        <f t="shared" si="183"/>
        <v>84330</v>
      </c>
      <c r="AS157" s="46">
        <f t="shared" si="184"/>
        <v>909443</v>
      </c>
      <c r="AT157" s="46">
        <f t="shared" si="185"/>
        <v>88290</v>
      </c>
      <c r="AU157" s="46">
        <f t="shared" si="186"/>
        <v>-84330</v>
      </c>
      <c r="AV157" s="46">
        <v>0</v>
      </c>
      <c r="AW157" s="46">
        <f t="shared" si="187"/>
        <v>913403</v>
      </c>
      <c r="AX157" s="46">
        <f t="shared" si="188"/>
        <v>0</v>
      </c>
      <c r="AY157" s="46">
        <f t="shared" si="189"/>
        <v>300403</v>
      </c>
      <c r="AZ157" s="46">
        <f t="shared" si="190"/>
        <v>0</v>
      </c>
      <c r="BA157" s="46">
        <f t="shared" si="191"/>
        <v>241434</v>
      </c>
      <c r="BB157" s="46"/>
      <c r="BC157" s="46">
        <f t="shared" si="192"/>
        <v>541837</v>
      </c>
      <c r="BD157" s="46">
        <f t="shared" si="193"/>
        <v>241434</v>
      </c>
      <c r="BE157" s="46">
        <f t="shared" si="194"/>
        <v>581540</v>
      </c>
      <c r="BF157" s="46">
        <f t="shared" si="195"/>
        <v>21644</v>
      </c>
      <c r="BG157" s="46">
        <f t="shared" si="196"/>
        <v>0</v>
      </c>
      <c r="BH157" s="46">
        <v>0</v>
      </c>
      <c r="BI157" s="46">
        <f t="shared" si="197"/>
        <v>603184</v>
      </c>
      <c r="BJ157" s="46">
        <f t="shared" si="198"/>
        <v>241434</v>
      </c>
      <c r="BK157" s="46">
        <f t="shared" si="199"/>
        <v>1227025</v>
      </c>
      <c r="BL157" s="46">
        <f t="shared" si="200"/>
        <v>0</v>
      </c>
      <c r="BM157" s="46">
        <f t="shared" si="201"/>
        <v>-241434</v>
      </c>
      <c r="BN157" s="46">
        <v>0</v>
      </c>
      <c r="BO157" s="46">
        <f t="shared" si="202"/>
        <v>985591</v>
      </c>
      <c r="BP157" s="46">
        <f t="shared" si="203"/>
        <v>0</v>
      </c>
      <c r="BQ157" s="46">
        <f t="shared" si="204"/>
        <v>455402</v>
      </c>
      <c r="BR157" s="46">
        <f t="shared" si="205"/>
        <v>0</v>
      </c>
      <c r="BS157" s="46">
        <f t="shared" si="206"/>
        <v>86435</v>
      </c>
      <c r="BT157" s="46">
        <v>0</v>
      </c>
      <c r="BU157" s="46">
        <f t="shared" si="207"/>
        <v>541837</v>
      </c>
      <c r="BV157" s="46">
        <f t="shared" si="208"/>
        <v>86435</v>
      </c>
      <c r="BW157" s="46">
        <f t="shared" si="209"/>
        <v>872675</v>
      </c>
      <c r="BX157" s="46">
        <f t="shared" si="210"/>
        <v>142255</v>
      </c>
      <c r="BY157" s="46">
        <f t="shared" si="211"/>
        <v>-86435</v>
      </c>
      <c r="BZ157" s="46">
        <v>0</v>
      </c>
      <c r="CA157" s="46">
        <f t="shared" si="212"/>
        <v>928495</v>
      </c>
      <c r="CB157" s="46">
        <f t="shared" si="213"/>
        <v>0</v>
      </c>
      <c r="CC157" s="155">
        <f t="shared" si="216"/>
        <v>0</v>
      </c>
      <c r="CD157" s="79" t="s">
        <v>538</v>
      </c>
      <c r="CE157" s="65">
        <f t="shared" si="217"/>
        <v>541837</v>
      </c>
      <c r="CF157" s="65">
        <f t="shared" si="218"/>
        <v>541837</v>
      </c>
      <c r="CG157" s="65">
        <f t="shared" si="219"/>
        <v>499891</v>
      </c>
      <c r="CH157" s="65">
        <f t="shared" si="220"/>
        <v>541837</v>
      </c>
      <c r="CI157" s="65">
        <f t="shared" si="221"/>
        <v>1475771</v>
      </c>
      <c r="CJ157" s="65">
        <f t="shared" si="222"/>
        <v>556946</v>
      </c>
      <c r="CK157" s="65">
        <f t="shared" si="223"/>
        <v>913403</v>
      </c>
      <c r="CL157" s="65">
        <f t="shared" si="224"/>
        <v>541837</v>
      </c>
      <c r="CM157" s="65">
        <f t="shared" si="225"/>
        <v>603184</v>
      </c>
      <c r="CN157" s="65">
        <f t="shared" si="226"/>
        <v>985591</v>
      </c>
      <c r="CO157" s="65">
        <f t="shared" si="227"/>
        <v>541837</v>
      </c>
      <c r="CP157" s="65">
        <f t="shared" si="228"/>
        <v>928495</v>
      </c>
      <c r="CQ157" s="40" t="s">
        <v>538</v>
      </c>
    </row>
    <row r="158" spans="1:95" ht="3" customHeight="1" x14ac:dyDescent="0.25">
      <c r="A158" s="39">
        <v>1</v>
      </c>
      <c r="B158" s="28">
        <v>8111</v>
      </c>
      <c r="C158" s="28" t="s">
        <v>396</v>
      </c>
      <c r="D158" s="48">
        <f>+DATA!Q156</f>
        <v>12780587.033</v>
      </c>
      <c r="E158" s="48">
        <f t="shared" si="214"/>
        <v>841389</v>
      </c>
      <c r="F158" s="48">
        <f t="shared" si="215"/>
        <v>1278059</v>
      </c>
      <c r="G158" s="49">
        <f>VLOOKUP(B158,'CALC MEC ESTAB Y ESTIM M FINAL'!$B$7:$F$352,5,0)</f>
        <v>7.4373609294000002E-3</v>
      </c>
      <c r="H158" s="49">
        <f>VLOOKUP(B158,'CALC MEC ESTAB Y ESTIM M FINAL'!$B$7:$R$352,17,0)</f>
        <v>-7.2383175709999996E-4</v>
      </c>
      <c r="I158" s="46">
        <f t="shared" si="154"/>
        <v>553545</v>
      </c>
      <c r="J158" s="46">
        <f t="shared" si="155"/>
        <v>0</v>
      </c>
      <c r="K158" s="46">
        <f t="shared" si="156"/>
        <v>287844</v>
      </c>
      <c r="L158" s="46">
        <v>0</v>
      </c>
      <c r="M158" s="46">
        <f t="shared" si="157"/>
        <v>841389</v>
      </c>
      <c r="N158" s="46">
        <f t="shared" si="158"/>
        <v>287844</v>
      </c>
      <c r="O158" s="46">
        <f t="shared" si="159"/>
        <v>294357</v>
      </c>
      <c r="P158" s="46">
        <f t="shared" si="160"/>
        <v>0</v>
      </c>
      <c r="Q158" s="46">
        <f t="shared" si="161"/>
        <v>547032</v>
      </c>
      <c r="R158" s="46">
        <v>0</v>
      </c>
      <c r="S158" s="46">
        <f t="shared" si="162"/>
        <v>841389</v>
      </c>
      <c r="T158" s="46">
        <f t="shared" si="163"/>
        <v>834876</v>
      </c>
      <c r="U158" s="46">
        <f t="shared" si="164"/>
        <v>839733</v>
      </c>
      <c r="V158" s="46">
        <f t="shared" si="165"/>
        <v>0</v>
      </c>
      <c r="W158" s="46">
        <f t="shared" si="166"/>
        <v>0</v>
      </c>
      <c r="X158" s="46">
        <v>0</v>
      </c>
      <c r="Y158" s="46">
        <f t="shared" si="167"/>
        <v>839733</v>
      </c>
      <c r="Z158" s="46">
        <f t="shared" si="168"/>
        <v>834876</v>
      </c>
      <c r="AA158" s="46">
        <f t="shared" si="169"/>
        <v>445885</v>
      </c>
      <c r="AB158" s="46">
        <f t="shared" si="170"/>
        <v>0</v>
      </c>
      <c r="AC158" s="46">
        <f t="shared" si="171"/>
        <v>395504</v>
      </c>
      <c r="AD158" s="46">
        <v>0</v>
      </c>
      <c r="AE158" s="46">
        <f t="shared" si="172"/>
        <v>841389</v>
      </c>
      <c r="AF158" s="46">
        <f t="shared" si="173"/>
        <v>1230380</v>
      </c>
      <c r="AG158" s="46">
        <f t="shared" si="174"/>
        <v>3880035</v>
      </c>
      <c r="AH158" s="46">
        <f t="shared" si="175"/>
        <v>35812</v>
      </c>
      <c r="AI158" s="46">
        <f t="shared" si="176"/>
        <v>-1230380</v>
      </c>
      <c r="AJ158" s="46">
        <v>0</v>
      </c>
      <c r="AK158" s="46">
        <f t="shared" si="177"/>
        <v>2685467</v>
      </c>
      <c r="AL158" s="46">
        <f t="shared" si="178"/>
        <v>0</v>
      </c>
      <c r="AM158" s="46">
        <f t="shared" si="179"/>
        <v>768536</v>
      </c>
      <c r="AN158" s="46">
        <f t="shared" si="180"/>
        <v>25380</v>
      </c>
      <c r="AO158" s="46">
        <f t="shared" si="181"/>
        <v>72853</v>
      </c>
      <c r="AP158" s="46">
        <v>0</v>
      </c>
      <c r="AQ158" s="46">
        <f t="shared" si="182"/>
        <v>866769</v>
      </c>
      <c r="AR158" s="46">
        <f t="shared" si="183"/>
        <v>72853</v>
      </c>
      <c r="AS158" s="46">
        <f t="shared" si="184"/>
        <v>1527712</v>
      </c>
      <c r="AT158" s="46">
        <f t="shared" si="185"/>
        <v>148313</v>
      </c>
      <c r="AU158" s="46">
        <f t="shared" si="186"/>
        <v>-72853</v>
      </c>
      <c r="AV158" s="46">
        <v>0</v>
      </c>
      <c r="AW158" s="46">
        <f t="shared" si="187"/>
        <v>1603172</v>
      </c>
      <c r="AX158" s="46">
        <f t="shared" si="188"/>
        <v>0</v>
      </c>
      <c r="AY158" s="46">
        <f t="shared" si="189"/>
        <v>504627</v>
      </c>
      <c r="AZ158" s="46">
        <f t="shared" si="190"/>
        <v>0</v>
      </c>
      <c r="BA158" s="46">
        <f t="shared" si="191"/>
        <v>336762</v>
      </c>
      <c r="BB158" s="46"/>
      <c r="BC158" s="46">
        <f t="shared" si="192"/>
        <v>841389</v>
      </c>
      <c r="BD158" s="46">
        <f t="shared" si="193"/>
        <v>336762</v>
      </c>
      <c r="BE158" s="46">
        <f t="shared" si="194"/>
        <v>976890</v>
      </c>
      <c r="BF158" s="46">
        <f t="shared" si="195"/>
        <v>36359</v>
      </c>
      <c r="BG158" s="46">
        <f t="shared" si="196"/>
        <v>0</v>
      </c>
      <c r="BH158" s="46">
        <v>0</v>
      </c>
      <c r="BI158" s="46">
        <f t="shared" si="197"/>
        <v>1013249</v>
      </c>
      <c r="BJ158" s="46">
        <f t="shared" si="198"/>
        <v>336762</v>
      </c>
      <c r="BK158" s="46">
        <f t="shared" si="199"/>
        <v>2061197</v>
      </c>
      <c r="BL158" s="46">
        <f t="shared" si="200"/>
        <v>0</v>
      </c>
      <c r="BM158" s="46">
        <f t="shared" si="201"/>
        <v>-336762</v>
      </c>
      <c r="BN158" s="46">
        <v>0</v>
      </c>
      <c r="BO158" s="46">
        <f t="shared" si="202"/>
        <v>1724435</v>
      </c>
      <c r="BP158" s="46">
        <f t="shared" si="203"/>
        <v>0</v>
      </c>
      <c r="BQ158" s="46">
        <f t="shared" si="204"/>
        <v>764998</v>
      </c>
      <c r="BR158" s="46">
        <f t="shared" si="205"/>
        <v>0</v>
      </c>
      <c r="BS158" s="46">
        <f t="shared" si="206"/>
        <v>76391</v>
      </c>
      <c r="BT158" s="46">
        <v>0</v>
      </c>
      <c r="BU158" s="46">
        <f t="shared" si="207"/>
        <v>841389</v>
      </c>
      <c r="BV158" s="46">
        <f t="shared" si="208"/>
        <v>76391</v>
      </c>
      <c r="BW158" s="46">
        <f t="shared" si="209"/>
        <v>1465948</v>
      </c>
      <c r="BX158" s="46">
        <f t="shared" si="210"/>
        <v>238965</v>
      </c>
      <c r="BY158" s="46">
        <f t="shared" si="211"/>
        <v>-76391</v>
      </c>
      <c r="BZ158" s="46">
        <v>0</v>
      </c>
      <c r="CA158" s="46">
        <f t="shared" si="212"/>
        <v>1628522</v>
      </c>
      <c r="CB158" s="46">
        <f t="shared" si="213"/>
        <v>0</v>
      </c>
      <c r="CC158" s="155">
        <f t="shared" si="216"/>
        <v>0</v>
      </c>
      <c r="CD158" s="79" t="s">
        <v>538</v>
      </c>
      <c r="CE158" s="65">
        <f t="shared" si="217"/>
        <v>841389</v>
      </c>
      <c r="CF158" s="65">
        <f t="shared" si="218"/>
        <v>841389</v>
      </c>
      <c r="CG158" s="65">
        <f t="shared" si="219"/>
        <v>839733</v>
      </c>
      <c r="CH158" s="65">
        <f t="shared" si="220"/>
        <v>841389</v>
      </c>
      <c r="CI158" s="65">
        <f t="shared" si="221"/>
        <v>2685467</v>
      </c>
      <c r="CJ158" s="65">
        <f t="shared" si="222"/>
        <v>866769</v>
      </c>
      <c r="CK158" s="65">
        <f t="shared" si="223"/>
        <v>1603172</v>
      </c>
      <c r="CL158" s="65">
        <f t="shared" si="224"/>
        <v>841389</v>
      </c>
      <c r="CM158" s="65">
        <f t="shared" si="225"/>
        <v>1013249</v>
      </c>
      <c r="CN158" s="65">
        <f t="shared" si="226"/>
        <v>1724435</v>
      </c>
      <c r="CO158" s="65">
        <f t="shared" si="227"/>
        <v>841389</v>
      </c>
      <c r="CP158" s="65">
        <f t="shared" si="228"/>
        <v>1628522</v>
      </c>
      <c r="CQ158" s="40" t="s">
        <v>538</v>
      </c>
    </row>
    <row r="159" spans="1:95" ht="3" customHeight="1" x14ac:dyDescent="0.25">
      <c r="A159" s="39">
        <v>1</v>
      </c>
      <c r="B159" s="28">
        <v>8112</v>
      </c>
      <c r="C159" s="28" t="s">
        <v>397</v>
      </c>
      <c r="D159" s="48">
        <f>+DATA!Q157</f>
        <v>8065220.2960000001</v>
      </c>
      <c r="E159" s="48">
        <f t="shared" si="214"/>
        <v>530960</v>
      </c>
      <c r="F159" s="48">
        <f t="shared" si="215"/>
        <v>806522</v>
      </c>
      <c r="G159" s="49">
        <f>VLOOKUP(B159,'CALC MEC ESTAB Y ESTIM M FINAL'!$B$7:$F$352,5,0)</f>
        <v>4.0182093655999999E-3</v>
      </c>
      <c r="H159" s="49">
        <f>VLOOKUP(B159,'CALC MEC ESTAB Y ESTIM M FINAL'!$B$7:$R$352,17,0)</f>
        <v>-8.8448924999999994E-5</v>
      </c>
      <c r="I159" s="46">
        <f t="shared" si="154"/>
        <v>324017</v>
      </c>
      <c r="J159" s="46">
        <f t="shared" si="155"/>
        <v>0</v>
      </c>
      <c r="K159" s="46">
        <f t="shared" si="156"/>
        <v>206943</v>
      </c>
      <c r="L159" s="46">
        <v>0</v>
      </c>
      <c r="M159" s="46">
        <f t="shared" si="157"/>
        <v>530960</v>
      </c>
      <c r="N159" s="46">
        <f t="shared" si="158"/>
        <v>206943</v>
      </c>
      <c r="O159" s="46">
        <f t="shared" si="159"/>
        <v>172301</v>
      </c>
      <c r="P159" s="46">
        <f t="shared" si="160"/>
        <v>0</v>
      </c>
      <c r="Q159" s="46">
        <f t="shared" si="161"/>
        <v>358659</v>
      </c>
      <c r="R159" s="46">
        <v>0</v>
      </c>
      <c r="S159" s="46">
        <f t="shared" si="162"/>
        <v>530960</v>
      </c>
      <c r="T159" s="46">
        <f t="shared" si="163"/>
        <v>565602</v>
      </c>
      <c r="U159" s="46">
        <f t="shared" si="164"/>
        <v>491537</v>
      </c>
      <c r="V159" s="46">
        <f t="shared" si="165"/>
        <v>0</v>
      </c>
      <c r="W159" s="46">
        <f t="shared" si="166"/>
        <v>0</v>
      </c>
      <c r="X159" s="46">
        <v>0</v>
      </c>
      <c r="Y159" s="46">
        <f t="shared" si="167"/>
        <v>491537</v>
      </c>
      <c r="Z159" s="46">
        <f t="shared" si="168"/>
        <v>565602</v>
      </c>
      <c r="AA159" s="46">
        <f t="shared" si="169"/>
        <v>260999</v>
      </c>
      <c r="AB159" s="46">
        <f t="shared" si="170"/>
        <v>0</v>
      </c>
      <c r="AC159" s="46">
        <f t="shared" si="171"/>
        <v>269961</v>
      </c>
      <c r="AD159" s="46">
        <v>0</v>
      </c>
      <c r="AE159" s="46">
        <f t="shared" si="172"/>
        <v>530960</v>
      </c>
      <c r="AF159" s="46">
        <f t="shared" si="173"/>
        <v>835563</v>
      </c>
      <c r="AG159" s="46">
        <f t="shared" si="174"/>
        <v>2271176</v>
      </c>
      <c r="AH159" s="46">
        <f t="shared" si="175"/>
        <v>20962</v>
      </c>
      <c r="AI159" s="46">
        <f t="shared" si="176"/>
        <v>-835563</v>
      </c>
      <c r="AJ159" s="46">
        <v>0</v>
      </c>
      <c r="AK159" s="46">
        <f t="shared" si="177"/>
        <v>1456575</v>
      </c>
      <c r="AL159" s="46">
        <f t="shared" si="178"/>
        <v>0</v>
      </c>
      <c r="AM159" s="46">
        <f t="shared" si="179"/>
        <v>449862</v>
      </c>
      <c r="AN159" s="46">
        <f t="shared" si="180"/>
        <v>14856</v>
      </c>
      <c r="AO159" s="46">
        <f t="shared" si="181"/>
        <v>81098</v>
      </c>
      <c r="AP159" s="46">
        <v>0</v>
      </c>
      <c r="AQ159" s="46">
        <f t="shared" si="182"/>
        <v>545816</v>
      </c>
      <c r="AR159" s="46">
        <f t="shared" si="183"/>
        <v>81098</v>
      </c>
      <c r="AS159" s="46">
        <f t="shared" si="184"/>
        <v>894246</v>
      </c>
      <c r="AT159" s="46">
        <f t="shared" si="185"/>
        <v>86815</v>
      </c>
      <c r="AU159" s="46">
        <f t="shared" si="186"/>
        <v>-81098</v>
      </c>
      <c r="AV159" s="46">
        <v>0</v>
      </c>
      <c r="AW159" s="46">
        <f t="shared" si="187"/>
        <v>899963</v>
      </c>
      <c r="AX159" s="46">
        <f t="shared" si="188"/>
        <v>0</v>
      </c>
      <c r="AY159" s="46">
        <f t="shared" si="189"/>
        <v>295383</v>
      </c>
      <c r="AZ159" s="46">
        <f t="shared" si="190"/>
        <v>0</v>
      </c>
      <c r="BA159" s="46">
        <f t="shared" si="191"/>
        <v>235577</v>
      </c>
      <c r="BB159" s="46"/>
      <c r="BC159" s="46">
        <f t="shared" si="192"/>
        <v>530960</v>
      </c>
      <c r="BD159" s="46">
        <f t="shared" si="193"/>
        <v>235577</v>
      </c>
      <c r="BE159" s="46">
        <f t="shared" si="194"/>
        <v>571822</v>
      </c>
      <c r="BF159" s="46">
        <f t="shared" si="195"/>
        <v>21283</v>
      </c>
      <c r="BG159" s="46">
        <f t="shared" si="196"/>
        <v>0</v>
      </c>
      <c r="BH159" s="46">
        <v>0</v>
      </c>
      <c r="BI159" s="46">
        <f t="shared" si="197"/>
        <v>593105</v>
      </c>
      <c r="BJ159" s="46">
        <f t="shared" si="198"/>
        <v>235577</v>
      </c>
      <c r="BK159" s="46">
        <f t="shared" si="199"/>
        <v>1206520</v>
      </c>
      <c r="BL159" s="46">
        <f t="shared" si="200"/>
        <v>0</v>
      </c>
      <c r="BM159" s="46">
        <f t="shared" si="201"/>
        <v>-235577</v>
      </c>
      <c r="BN159" s="46">
        <v>0</v>
      </c>
      <c r="BO159" s="46">
        <f t="shared" si="202"/>
        <v>970943</v>
      </c>
      <c r="BP159" s="46">
        <f t="shared" si="203"/>
        <v>0</v>
      </c>
      <c r="BQ159" s="46">
        <f t="shared" si="204"/>
        <v>447791</v>
      </c>
      <c r="BR159" s="46">
        <f t="shared" si="205"/>
        <v>0</v>
      </c>
      <c r="BS159" s="46">
        <f t="shared" si="206"/>
        <v>83169</v>
      </c>
      <c r="BT159" s="46">
        <v>0</v>
      </c>
      <c r="BU159" s="46">
        <f t="shared" si="207"/>
        <v>530960</v>
      </c>
      <c r="BV159" s="46">
        <f t="shared" si="208"/>
        <v>83169</v>
      </c>
      <c r="BW159" s="46">
        <f t="shared" si="209"/>
        <v>858092</v>
      </c>
      <c r="BX159" s="46">
        <f t="shared" si="210"/>
        <v>139878</v>
      </c>
      <c r="BY159" s="46">
        <f t="shared" si="211"/>
        <v>-83169</v>
      </c>
      <c r="BZ159" s="46">
        <v>0</v>
      </c>
      <c r="CA159" s="46">
        <f t="shared" si="212"/>
        <v>914801</v>
      </c>
      <c r="CB159" s="46">
        <f t="shared" si="213"/>
        <v>0</v>
      </c>
      <c r="CC159" s="155">
        <f t="shared" si="216"/>
        <v>0</v>
      </c>
      <c r="CD159" s="79" t="s">
        <v>538</v>
      </c>
      <c r="CE159" s="65">
        <f t="shared" si="217"/>
        <v>530960</v>
      </c>
      <c r="CF159" s="65">
        <f t="shared" si="218"/>
        <v>530960</v>
      </c>
      <c r="CG159" s="65">
        <f t="shared" si="219"/>
        <v>491537</v>
      </c>
      <c r="CH159" s="65">
        <f t="shared" si="220"/>
        <v>530960</v>
      </c>
      <c r="CI159" s="65">
        <f t="shared" si="221"/>
        <v>1456575</v>
      </c>
      <c r="CJ159" s="65">
        <f t="shared" si="222"/>
        <v>545816</v>
      </c>
      <c r="CK159" s="65">
        <f t="shared" si="223"/>
        <v>899963</v>
      </c>
      <c r="CL159" s="65">
        <f t="shared" si="224"/>
        <v>530960</v>
      </c>
      <c r="CM159" s="65">
        <f t="shared" si="225"/>
        <v>593105</v>
      </c>
      <c r="CN159" s="65">
        <f t="shared" si="226"/>
        <v>970943</v>
      </c>
      <c r="CO159" s="65">
        <f t="shared" si="227"/>
        <v>530960</v>
      </c>
      <c r="CP159" s="65">
        <f t="shared" si="228"/>
        <v>914801</v>
      </c>
      <c r="CQ159" s="40" t="s">
        <v>538</v>
      </c>
    </row>
    <row r="160" spans="1:95" ht="3" customHeight="1" x14ac:dyDescent="0.25">
      <c r="A160" s="39">
        <v>1</v>
      </c>
      <c r="B160" s="28">
        <v>8201</v>
      </c>
      <c r="C160" s="28" t="s">
        <v>194</v>
      </c>
      <c r="D160" s="48">
        <f>+DATA!Q158</f>
        <v>5271918.1919999998</v>
      </c>
      <c r="E160" s="48">
        <f t="shared" si="214"/>
        <v>347068</v>
      </c>
      <c r="F160" s="48">
        <f t="shared" si="215"/>
        <v>527192</v>
      </c>
      <c r="G160" s="49">
        <f>VLOOKUP(B160,'CALC MEC ESTAB Y ESTIM M FINAL'!$B$7:$F$352,5,0)</f>
        <v>2.7736417827999996E-3</v>
      </c>
      <c r="H160" s="49">
        <f>VLOOKUP(B160,'CALC MEC ESTAB Y ESTIM M FINAL'!$B$7:$R$352,17,0)</f>
        <v>-1.3807122050000001E-4</v>
      </c>
      <c r="I160" s="46">
        <f t="shared" si="154"/>
        <v>217308</v>
      </c>
      <c r="J160" s="46">
        <f t="shared" si="155"/>
        <v>0</v>
      </c>
      <c r="K160" s="46">
        <f t="shared" si="156"/>
        <v>129760</v>
      </c>
      <c r="L160" s="46">
        <v>0</v>
      </c>
      <c r="M160" s="46">
        <f t="shared" si="157"/>
        <v>347068</v>
      </c>
      <c r="N160" s="46">
        <f t="shared" si="158"/>
        <v>129760</v>
      </c>
      <c r="O160" s="46">
        <f t="shared" si="159"/>
        <v>115557</v>
      </c>
      <c r="P160" s="46">
        <f t="shared" si="160"/>
        <v>0</v>
      </c>
      <c r="Q160" s="46">
        <f t="shared" si="161"/>
        <v>231511</v>
      </c>
      <c r="R160" s="46">
        <v>0</v>
      </c>
      <c r="S160" s="46">
        <f t="shared" si="162"/>
        <v>347068</v>
      </c>
      <c r="T160" s="46">
        <f t="shared" si="163"/>
        <v>361271</v>
      </c>
      <c r="U160" s="46">
        <f t="shared" si="164"/>
        <v>329659</v>
      </c>
      <c r="V160" s="46">
        <f t="shared" si="165"/>
        <v>0</v>
      </c>
      <c r="W160" s="46">
        <f t="shared" si="166"/>
        <v>0</v>
      </c>
      <c r="X160" s="46">
        <v>0</v>
      </c>
      <c r="Y160" s="46">
        <f t="shared" si="167"/>
        <v>329659</v>
      </c>
      <c r="Z160" s="46">
        <f t="shared" si="168"/>
        <v>361271</v>
      </c>
      <c r="AA160" s="46">
        <f t="shared" si="169"/>
        <v>175044</v>
      </c>
      <c r="AB160" s="46">
        <f t="shared" si="170"/>
        <v>0</v>
      </c>
      <c r="AC160" s="46">
        <f t="shared" si="171"/>
        <v>172024</v>
      </c>
      <c r="AD160" s="46">
        <v>0</v>
      </c>
      <c r="AE160" s="46">
        <f t="shared" si="172"/>
        <v>347068</v>
      </c>
      <c r="AF160" s="46">
        <f t="shared" si="173"/>
        <v>533295</v>
      </c>
      <c r="AG160" s="46">
        <f t="shared" si="174"/>
        <v>1523209</v>
      </c>
      <c r="AH160" s="46">
        <f t="shared" si="175"/>
        <v>14059</v>
      </c>
      <c r="AI160" s="46">
        <f t="shared" si="176"/>
        <v>-533295</v>
      </c>
      <c r="AJ160" s="46">
        <v>0</v>
      </c>
      <c r="AK160" s="46">
        <f t="shared" si="177"/>
        <v>1003973</v>
      </c>
      <c r="AL160" s="46">
        <f t="shared" si="178"/>
        <v>0</v>
      </c>
      <c r="AM160" s="46">
        <f t="shared" si="179"/>
        <v>301709</v>
      </c>
      <c r="AN160" s="46">
        <f t="shared" si="180"/>
        <v>9964</v>
      </c>
      <c r="AO160" s="46">
        <f t="shared" si="181"/>
        <v>45359</v>
      </c>
      <c r="AP160" s="46">
        <v>0</v>
      </c>
      <c r="AQ160" s="46">
        <f t="shared" si="182"/>
        <v>357032</v>
      </c>
      <c r="AR160" s="46">
        <f t="shared" si="183"/>
        <v>45359</v>
      </c>
      <c r="AS160" s="46">
        <f t="shared" si="184"/>
        <v>599743</v>
      </c>
      <c r="AT160" s="46">
        <f t="shared" si="185"/>
        <v>58224</v>
      </c>
      <c r="AU160" s="46">
        <f t="shared" si="186"/>
        <v>-45359</v>
      </c>
      <c r="AV160" s="46">
        <v>0</v>
      </c>
      <c r="AW160" s="46">
        <f t="shared" si="187"/>
        <v>612608</v>
      </c>
      <c r="AX160" s="46">
        <f t="shared" si="188"/>
        <v>0</v>
      </c>
      <c r="AY160" s="46">
        <f t="shared" si="189"/>
        <v>198104</v>
      </c>
      <c r="AZ160" s="46">
        <f t="shared" si="190"/>
        <v>0</v>
      </c>
      <c r="BA160" s="46">
        <f t="shared" si="191"/>
        <v>148964</v>
      </c>
      <c r="BB160" s="46"/>
      <c r="BC160" s="46">
        <f t="shared" si="192"/>
        <v>347068</v>
      </c>
      <c r="BD160" s="46">
        <f t="shared" si="193"/>
        <v>148964</v>
      </c>
      <c r="BE160" s="46">
        <f t="shared" si="194"/>
        <v>383504</v>
      </c>
      <c r="BF160" s="46">
        <f t="shared" si="195"/>
        <v>14274</v>
      </c>
      <c r="BG160" s="46">
        <f t="shared" si="196"/>
        <v>0</v>
      </c>
      <c r="BH160" s="46">
        <v>0</v>
      </c>
      <c r="BI160" s="46">
        <f t="shared" si="197"/>
        <v>397778</v>
      </c>
      <c r="BJ160" s="46">
        <f t="shared" si="198"/>
        <v>148964</v>
      </c>
      <c r="BK160" s="46">
        <f t="shared" si="199"/>
        <v>809176</v>
      </c>
      <c r="BL160" s="46">
        <f t="shared" si="200"/>
        <v>0</v>
      </c>
      <c r="BM160" s="46">
        <f t="shared" si="201"/>
        <v>-148964</v>
      </c>
      <c r="BN160" s="46">
        <v>0</v>
      </c>
      <c r="BO160" s="46">
        <f t="shared" si="202"/>
        <v>660212</v>
      </c>
      <c r="BP160" s="46">
        <f t="shared" si="203"/>
        <v>0</v>
      </c>
      <c r="BQ160" s="46">
        <f t="shared" si="204"/>
        <v>300320</v>
      </c>
      <c r="BR160" s="46">
        <f t="shared" si="205"/>
        <v>0</v>
      </c>
      <c r="BS160" s="46">
        <f t="shared" si="206"/>
        <v>46748</v>
      </c>
      <c r="BT160" s="46">
        <v>0</v>
      </c>
      <c r="BU160" s="46">
        <f t="shared" si="207"/>
        <v>347068</v>
      </c>
      <c r="BV160" s="46">
        <f t="shared" si="208"/>
        <v>46748</v>
      </c>
      <c r="BW160" s="46">
        <f t="shared" si="209"/>
        <v>575496</v>
      </c>
      <c r="BX160" s="46">
        <f t="shared" si="210"/>
        <v>93812</v>
      </c>
      <c r="BY160" s="46">
        <f t="shared" si="211"/>
        <v>-46748</v>
      </c>
      <c r="BZ160" s="46">
        <v>0</v>
      </c>
      <c r="CA160" s="46">
        <f t="shared" si="212"/>
        <v>622560</v>
      </c>
      <c r="CB160" s="46">
        <f t="shared" si="213"/>
        <v>0</v>
      </c>
      <c r="CC160" s="155">
        <f t="shared" si="216"/>
        <v>0</v>
      </c>
      <c r="CD160" s="79" t="s">
        <v>538</v>
      </c>
      <c r="CE160" s="65">
        <f t="shared" si="217"/>
        <v>347068</v>
      </c>
      <c r="CF160" s="65">
        <f t="shared" si="218"/>
        <v>347068</v>
      </c>
      <c r="CG160" s="65">
        <f t="shared" si="219"/>
        <v>329659</v>
      </c>
      <c r="CH160" s="65">
        <f t="shared" si="220"/>
        <v>347068</v>
      </c>
      <c r="CI160" s="65">
        <f t="shared" si="221"/>
        <v>1003973</v>
      </c>
      <c r="CJ160" s="65">
        <f t="shared" si="222"/>
        <v>357032</v>
      </c>
      <c r="CK160" s="65">
        <f t="shared" si="223"/>
        <v>612608</v>
      </c>
      <c r="CL160" s="65">
        <f t="shared" si="224"/>
        <v>347068</v>
      </c>
      <c r="CM160" s="65">
        <f t="shared" si="225"/>
        <v>397778</v>
      </c>
      <c r="CN160" s="65">
        <f t="shared" si="226"/>
        <v>660212</v>
      </c>
      <c r="CO160" s="65">
        <f t="shared" si="227"/>
        <v>347068</v>
      </c>
      <c r="CP160" s="65">
        <f t="shared" si="228"/>
        <v>622560</v>
      </c>
      <c r="CQ160" s="40" t="s">
        <v>538</v>
      </c>
    </row>
    <row r="161" spans="1:95" ht="3" customHeight="1" x14ac:dyDescent="0.25">
      <c r="A161" s="39">
        <v>1</v>
      </c>
      <c r="B161" s="28">
        <v>8202</v>
      </c>
      <c r="C161" s="28" t="s">
        <v>192</v>
      </c>
      <c r="D161" s="48">
        <f>+DATA!Q159</f>
        <v>7005561.0350000001</v>
      </c>
      <c r="E161" s="48">
        <f t="shared" si="214"/>
        <v>461199</v>
      </c>
      <c r="F161" s="48">
        <f t="shared" si="215"/>
        <v>700556</v>
      </c>
      <c r="G161" s="49">
        <f>VLOOKUP(B161,'CALC MEC ESTAB Y ESTIM M FINAL'!$B$7:$F$352,5,0)</f>
        <v>3.2963600729000002E-3</v>
      </c>
      <c r="H161" s="49">
        <f>VLOOKUP(B161,'CALC MEC ESTAB Y ESTIM M FINAL'!$B$7:$R$352,17,0)</f>
        <v>5.3004528899999998E-5</v>
      </c>
      <c r="I161" s="46">
        <f t="shared" si="154"/>
        <v>276162</v>
      </c>
      <c r="J161" s="46">
        <f t="shared" si="155"/>
        <v>0</v>
      </c>
      <c r="K161" s="46">
        <f t="shared" si="156"/>
        <v>185037</v>
      </c>
      <c r="L161" s="46">
        <v>0</v>
      </c>
      <c r="M161" s="46">
        <f t="shared" si="157"/>
        <v>461199</v>
      </c>
      <c r="N161" s="46">
        <f t="shared" si="158"/>
        <v>185037</v>
      </c>
      <c r="O161" s="46">
        <f t="shared" si="159"/>
        <v>146854</v>
      </c>
      <c r="P161" s="46">
        <f t="shared" si="160"/>
        <v>0</v>
      </c>
      <c r="Q161" s="46">
        <f t="shared" si="161"/>
        <v>314345</v>
      </c>
      <c r="R161" s="46">
        <v>0</v>
      </c>
      <c r="S161" s="46">
        <f t="shared" si="162"/>
        <v>461199</v>
      </c>
      <c r="T161" s="46">
        <f t="shared" si="163"/>
        <v>499382</v>
      </c>
      <c r="U161" s="46">
        <f t="shared" si="164"/>
        <v>418941</v>
      </c>
      <c r="V161" s="46">
        <f t="shared" si="165"/>
        <v>0</v>
      </c>
      <c r="W161" s="46">
        <f t="shared" si="166"/>
        <v>0</v>
      </c>
      <c r="X161" s="46">
        <v>0</v>
      </c>
      <c r="Y161" s="46">
        <f t="shared" si="167"/>
        <v>418941</v>
      </c>
      <c r="Z161" s="46">
        <f t="shared" si="168"/>
        <v>499382</v>
      </c>
      <c r="AA161" s="46">
        <f t="shared" si="169"/>
        <v>222451</v>
      </c>
      <c r="AB161" s="46">
        <f t="shared" si="170"/>
        <v>0</v>
      </c>
      <c r="AC161" s="46">
        <f t="shared" si="171"/>
        <v>238748</v>
      </c>
      <c r="AD161" s="46">
        <v>0</v>
      </c>
      <c r="AE161" s="46">
        <f t="shared" si="172"/>
        <v>461199</v>
      </c>
      <c r="AF161" s="46">
        <f t="shared" si="173"/>
        <v>738130</v>
      </c>
      <c r="AG161" s="46">
        <f t="shared" si="174"/>
        <v>1935741</v>
      </c>
      <c r="AH161" s="46">
        <f t="shared" si="175"/>
        <v>17866</v>
      </c>
      <c r="AI161" s="46">
        <f t="shared" si="176"/>
        <v>-738130</v>
      </c>
      <c r="AJ161" s="46">
        <v>0</v>
      </c>
      <c r="AK161" s="46">
        <f t="shared" si="177"/>
        <v>1215477</v>
      </c>
      <c r="AL161" s="46">
        <f t="shared" si="178"/>
        <v>0</v>
      </c>
      <c r="AM161" s="46">
        <f t="shared" si="179"/>
        <v>383421</v>
      </c>
      <c r="AN161" s="46">
        <f t="shared" si="180"/>
        <v>12662</v>
      </c>
      <c r="AO161" s="46">
        <f t="shared" si="181"/>
        <v>77778</v>
      </c>
      <c r="AP161" s="46">
        <v>0</v>
      </c>
      <c r="AQ161" s="46">
        <f t="shared" si="182"/>
        <v>473861</v>
      </c>
      <c r="AR161" s="46">
        <f t="shared" si="183"/>
        <v>77778</v>
      </c>
      <c r="AS161" s="46">
        <f t="shared" si="184"/>
        <v>762172</v>
      </c>
      <c r="AT161" s="46">
        <f t="shared" si="185"/>
        <v>73993</v>
      </c>
      <c r="AU161" s="46">
        <f t="shared" si="186"/>
        <v>-61616</v>
      </c>
      <c r="AV161" s="46">
        <v>0</v>
      </c>
      <c r="AW161" s="46">
        <f t="shared" si="187"/>
        <v>774549</v>
      </c>
      <c r="AX161" s="46">
        <f t="shared" si="188"/>
        <v>16162</v>
      </c>
      <c r="AY161" s="46">
        <f t="shared" si="189"/>
        <v>251757</v>
      </c>
      <c r="AZ161" s="46">
        <f t="shared" si="190"/>
        <v>0</v>
      </c>
      <c r="BA161" s="46">
        <f t="shared" si="191"/>
        <v>209442</v>
      </c>
      <c r="BB161" s="46"/>
      <c r="BC161" s="46">
        <f t="shared" si="192"/>
        <v>461199</v>
      </c>
      <c r="BD161" s="46">
        <f t="shared" si="193"/>
        <v>225604</v>
      </c>
      <c r="BE161" s="46">
        <f t="shared" si="194"/>
        <v>487368</v>
      </c>
      <c r="BF161" s="46">
        <f t="shared" si="195"/>
        <v>18139</v>
      </c>
      <c r="BG161" s="46">
        <f t="shared" si="196"/>
        <v>0</v>
      </c>
      <c r="BH161" s="46">
        <v>0</v>
      </c>
      <c r="BI161" s="46">
        <f t="shared" si="197"/>
        <v>505507</v>
      </c>
      <c r="BJ161" s="46">
        <f t="shared" si="198"/>
        <v>225604</v>
      </c>
      <c r="BK161" s="46">
        <f t="shared" si="199"/>
        <v>1028326</v>
      </c>
      <c r="BL161" s="46">
        <f t="shared" si="200"/>
        <v>0</v>
      </c>
      <c r="BM161" s="46">
        <f t="shared" si="201"/>
        <v>-225604</v>
      </c>
      <c r="BN161" s="46">
        <v>0</v>
      </c>
      <c r="BO161" s="46">
        <f t="shared" si="202"/>
        <v>802722</v>
      </c>
      <c r="BP161" s="46">
        <f t="shared" si="203"/>
        <v>0</v>
      </c>
      <c r="BQ161" s="46">
        <f t="shared" si="204"/>
        <v>381656</v>
      </c>
      <c r="BR161" s="46">
        <f t="shared" si="205"/>
        <v>0</v>
      </c>
      <c r="BS161" s="46">
        <f t="shared" si="206"/>
        <v>79543</v>
      </c>
      <c r="BT161" s="46">
        <v>0</v>
      </c>
      <c r="BU161" s="46">
        <f t="shared" si="207"/>
        <v>461199</v>
      </c>
      <c r="BV161" s="46">
        <f t="shared" si="208"/>
        <v>79543</v>
      </c>
      <c r="BW161" s="46">
        <f t="shared" si="209"/>
        <v>731358</v>
      </c>
      <c r="BX161" s="46">
        <f t="shared" si="210"/>
        <v>119219</v>
      </c>
      <c r="BY161" s="46">
        <f t="shared" si="211"/>
        <v>-79543</v>
      </c>
      <c r="BZ161" s="46">
        <v>0</v>
      </c>
      <c r="CA161" s="46">
        <f t="shared" si="212"/>
        <v>771034</v>
      </c>
      <c r="CB161" s="46">
        <f t="shared" si="213"/>
        <v>0</v>
      </c>
      <c r="CC161" s="155">
        <f t="shared" si="216"/>
        <v>0</v>
      </c>
      <c r="CD161" s="79" t="s">
        <v>538</v>
      </c>
      <c r="CE161" s="65">
        <f t="shared" si="217"/>
        <v>461199</v>
      </c>
      <c r="CF161" s="65">
        <f t="shared" si="218"/>
        <v>461199</v>
      </c>
      <c r="CG161" s="65">
        <f t="shared" si="219"/>
        <v>418941</v>
      </c>
      <c r="CH161" s="65">
        <f t="shared" si="220"/>
        <v>461199</v>
      </c>
      <c r="CI161" s="65">
        <f t="shared" si="221"/>
        <v>1215477</v>
      </c>
      <c r="CJ161" s="65">
        <f t="shared" si="222"/>
        <v>473861</v>
      </c>
      <c r="CK161" s="65">
        <f t="shared" si="223"/>
        <v>774549</v>
      </c>
      <c r="CL161" s="65">
        <f t="shared" si="224"/>
        <v>461199</v>
      </c>
      <c r="CM161" s="65">
        <f t="shared" si="225"/>
        <v>505507</v>
      </c>
      <c r="CN161" s="65">
        <f t="shared" si="226"/>
        <v>802722</v>
      </c>
      <c r="CO161" s="65">
        <f t="shared" si="227"/>
        <v>461199</v>
      </c>
      <c r="CP161" s="65">
        <f t="shared" si="228"/>
        <v>771034</v>
      </c>
      <c r="CQ161" s="40" t="s">
        <v>538</v>
      </c>
    </row>
    <row r="162" spans="1:95" ht="3" customHeight="1" x14ac:dyDescent="0.25">
      <c r="A162" s="39">
        <v>1</v>
      </c>
      <c r="B162" s="28">
        <v>8203</v>
      </c>
      <c r="C162" s="28" t="s">
        <v>195</v>
      </c>
      <c r="D162" s="48">
        <f>+DATA!Q160</f>
        <v>7345175.4790000003</v>
      </c>
      <c r="E162" s="48">
        <f t="shared" si="214"/>
        <v>483557</v>
      </c>
      <c r="F162" s="48">
        <f t="shared" si="215"/>
        <v>734518</v>
      </c>
      <c r="G162" s="49">
        <f>VLOOKUP(B162,'CALC MEC ESTAB Y ESTIM M FINAL'!$B$7:$F$352,5,0)</f>
        <v>3.954477128E-3</v>
      </c>
      <c r="H162" s="49">
        <f>VLOOKUP(B162,'CALC MEC ESTAB Y ESTIM M FINAL'!$B$7:$R$352,17,0)</f>
        <v>-2.4077238360000001E-4</v>
      </c>
      <c r="I162" s="46">
        <f t="shared" si="154"/>
        <v>306203</v>
      </c>
      <c r="J162" s="46">
        <f t="shared" si="155"/>
        <v>0</v>
      </c>
      <c r="K162" s="46">
        <f t="shared" si="156"/>
        <v>177354</v>
      </c>
      <c r="L162" s="46">
        <v>0</v>
      </c>
      <c r="M162" s="46">
        <f t="shared" si="157"/>
        <v>483557</v>
      </c>
      <c r="N162" s="46">
        <f t="shared" si="158"/>
        <v>177354</v>
      </c>
      <c r="O162" s="46">
        <f t="shared" si="159"/>
        <v>162828</v>
      </c>
      <c r="P162" s="46">
        <f t="shared" si="160"/>
        <v>0</v>
      </c>
      <c r="Q162" s="46">
        <f t="shared" si="161"/>
        <v>320729</v>
      </c>
      <c r="R162" s="46">
        <v>0</v>
      </c>
      <c r="S162" s="46">
        <f t="shared" si="162"/>
        <v>483557</v>
      </c>
      <c r="T162" s="46">
        <f t="shared" si="163"/>
        <v>498083</v>
      </c>
      <c r="U162" s="46">
        <f t="shared" si="164"/>
        <v>464513</v>
      </c>
      <c r="V162" s="46">
        <f t="shared" si="165"/>
        <v>0</v>
      </c>
      <c r="W162" s="46">
        <f t="shared" si="166"/>
        <v>0</v>
      </c>
      <c r="X162" s="46">
        <v>0</v>
      </c>
      <c r="Y162" s="46">
        <f t="shared" si="167"/>
        <v>464513</v>
      </c>
      <c r="Z162" s="46">
        <f t="shared" si="168"/>
        <v>498083</v>
      </c>
      <c r="AA162" s="46">
        <f t="shared" si="169"/>
        <v>246649</v>
      </c>
      <c r="AB162" s="46">
        <f t="shared" si="170"/>
        <v>0</v>
      </c>
      <c r="AC162" s="46">
        <f t="shared" si="171"/>
        <v>236908</v>
      </c>
      <c r="AD162" s="46">
        <v>0</v>
      </c>
      <c r="AE162" s="46">
        <f t="shared" si="172"/>
        <v>483557</v>
      </c>
      <c r="AF162" s="46">
        <f t="shared" si="173"/>
        <v>734991</v>
      </c>
      <c r="AG162" s="46">
        <f t="shared" si="174"/>
        <v>2146308</v>
      </c>
      <c r="AH162" s="46">
        <f t="shared" si="175"/>
        <v>19810</v>
      </c>
      <c r="AI162" s="46">
        <f t="shared" si="176"/>
        <v>-734991</v>
      </c>
      <c r="AJ162" s="46">
        <v>0</v>
      </c>
      <c r="AK162" s="46">
        <f t="shared" si="177"/>
        <v>1431127</v>
      </c>
      <c r="AL162" s="46">
        <f t="shared" si="178"/>
        <v>0</v>
      </c>
      <c r="AM162" s="46">
        <f t="shared" si="179"/>
        <v>425129</v>
      </c>
      <c r="AN162" s="46">
        <f t="shared" si="180"/>
        <v>14039</v>
      </c>
      <c r="AO162" s="46">
        <f t="shared" si="181"/>
        <v>58428</v>
      </c>
      <c r="AP162" s="46">
        <v>0</v>
      </c>
      <c r="AQ162" s="46">
        <f t="shared" si="182"/>
        <v>497596</v>
      </c>
      <c r="AR162" s="46">
        <f t="shared" si="183"/>
        <v>58428</v>
      </c>
      <c r="AS162" s="46">
        <f t="shared" si="184"/>
        <v>845080</v>
      </c>
      <c r="AT162" s="46">
        <f t="shared" si="185"/>
        <v>82042</v>
      </c>
      <c r="AU162" s="46">
        <f t="shared" si="186"/>
        <v>-58428</v>
      </c>
      <c r="AV162" s="46">
        <v>0</v>
      </c>
      <c r="AW162" s="46">
        <f t="shared" si="187"/>
        <v>868694</v>
      </c>
      <c r="AX162" s="46">
        <f t="shared" si="188"/>
        <v>0</v>
      </c>
      <c r="AY162" s="46">
        <f t="shared" si="189"/>
        <v>279143</v>
      </c>
      <c r="AZ162" s="46">
        <f t="shared" si="190"/>
        <v>0</v>
      </c>
      <c r="BA162" s="46">
        <f t="shared" si="191"/>
        <v>204414</v>
      </c>
      <c r="BB162" s="46"/>
      <c r="BC162" s="46">
        <f t="shared" si="192"/>
        <v>483557</v>
      </c>
      <c r="BD162" s="46">
        <f t="shared" si="193"/>
        <v>204414</v>
      </c>
      <c r="BE162" s="46">
        <f t="shared" si="194"/>
        <v>540384</v>
      </c>
      <c r="BF162" s="46">
        <f t="shared" si="195"/>
        <v>20113</v>
      </c>
      <c r="BG162" s="46">
        <f t="shared" si="196"/>
        <v>0</v>
      </c>
      <c r="BH162" s="46">
        <v>0</v>
      </c>
      <c r="BI162" s="46">
        <f t="shared" si="197"/>
        <v>560497</v>
      </c>
      <c r="BJ162" s="46">
        <f t="shared" si="198"/>
        <v>204414</v>
      </c>
      <c r="BK162" s="46">
        <f t="shared" si="199"/>
        <v>1140187</v>
      </c>
      <c r="BL162" s="46">
        <f t="shared" si="200"/>
        <v>0</v>
      </c>
      <c r="BM162" s="46">
        <f t="shared" si="201"/>
        <v>-204414</v>
      </c>
      <c r="BN162" s="46">
        <v>0</v>
      </c>
      <c r="BO162" s="46">
        <f t="shared" si="202"/>
        <v>935773</v>
      </c>
      <c r="BP162" s="46">
        <f t="shared" si="203"/>
        <v>0</v>
      </c>
      <c r="BQ162" s="46">
        <f t="shared" si="204"/>
        <v>423172</v>
      </c>
      <c r="BR162" s="46">
        <f t="shared" si="205"/>
        <v>0</v>
      </c>
      <c r="BS162" s="46">
        <f t="shared" si="206"/>
        <v>60385</v>
      </c>
      <c r="BT162" s="46">
        <v>0</v>
      </c>
      <c r="BU162" s="46">
        <f t="shared" si="207"/>
        <v>483557</v>
      </c>
      <c r="BV162" s="46">
        <f t="shared" si="208"/>
        <v>60385</v>
      </c>
      <c r="BW162" s="46">
        <f t="shared" si="209"/>
        <v>810915</v>
      </c>
      <c r="BX162" s="46">
        <f t="shared" si="210"/>
        <v>132187</v>
      </c>
      <c r="BY162" s="46">
        <f t="shared" si="211"/>
        <v>-60385</v>
      </c>
      <c r="BZ162" s="46">
        <v>0</v>
      </c>
      <c r="CA162" s="46">
        <f t="shared" si="212"/>
        <v>882717</v>
      </c>
      <c r="CB162" s="46">
        <f t="shared" si="213"/>
        <v>0</v>
      </c>
      <c r="CC162" s="155">
        <f t="shared" si="216"/>
        <v>0</v>
      </c>
      <c r="CD162" s="79" t="s">
        <v>538</v>
      </c>
      <c r="CE162" s="65">
        <f t="shared" si="217"/>
        <v>483557</v>
      </c>
      <c r="CF162" s="65">
        <f t="shared" si="218"/>
        <v>483557</v>
      </c>
      <c r="CG162" s="65">
        <f t="shared" si="219"/>
        <v>464513</v>
      </c>
      <c r="CH162" s="65">
        <f t="shared" si="220"/>
        <v>483557</v>
      </c>
      <c r="CI162" s="65">
        <f t="shared" si="221"/>
        <v>1431127</v>
      </c>
      <c r="CJ162" s="65">
        <f t="shared" si="222"/>
        <v>497596</v>
      </c>
      <c r="CK162" s="65">
        <f t="shared" si="223"/>
        <v>868694</v>
      </c>
      <c r="CL162" s="65">
        <f t="shared" si="224"/>
        <v>483557</v>
      </c>
      <c r="CM162" s="65">
        <f t="shared" si="225"/>
        <v>560497</v>
      </c>
      <c r="CN162" s="65">
        <f t="shared" si="226"/>
        <v>935773</v>
      </c>
      <c r="CO162" s="65">
        <f t="shared" si="227"/>
        <v>483557</v>
      </c>
      <c r="CP162" s="65">
        <f t="shared" si="228"/>
        <v>882717</v>
      </c>
      <c r="CQ162" s="40" t="s">
        <v>538</v>
      </c>
    </row>
    <row r="163" spans="1:95" ht="3" customHeight="1" x14ac:dyDescent="0.25">
      <c r="A163" s="39">
        <v>1</v>
      </c>
      <c r="B163" s="28">
        <v>8204</v>
      </c>
      <c r="C163" s="28" t="s">
        <v>196</v>
      </c>
      <c r="D163" s="48">
        <f>+DATA!Q161</f>
        <v>3409832.4440000001</v>
      </c>
      <c r="E163" s="48">
        <f t="shared" si="214"/>
        <v>224481</v>
      </c>
      <c r="F163" s="48">
        <f t="shared" si="215"/>
        <v>340983</v>
      </c>
      <c r="G163" s="49">
        <f>VLOOKUP(B163,'CALC MEC ESTAB Y ESTIM M FINAL'!$B$7:$F$352,5,0)</f>
        <v>1.6586089373999999E-3</v>
      </c>
      <c r="H163" s="49">
        <f>VLOOKUP(B163,'CALC MEC ESTAB Y ESTIM M FINAL'!$B$7:$R$352,17,0)</f>
        <v>-1.54656143E-5</v>
      </c>
      <c r="I163" s="46">
        <f t="shared" si="154"/>
        <v>135481</v>
      </c>
      <c r="J163" s="46">
        <f t="shared" si="155"/>
        <v>0</v>
      </c>
      <c r="K163" s="46">
        <f t="shared" si="156"/>
        <v>89000</v>
      </c>
      <c r="L163" s="46">
        <v>0</v>
      </c>
      <c r="M163" s="46">
        <f t="shared" si="157"/>
        <v>224481</v>
      </c>
      <c r="N163" s="46">
        <f t="shared" si="158"/>
        <v>89000</v>
      </c>
      <c r="O163" s="46">
        <f t="shared" si="159"/>
        <v>72044</v>
      </c>
      <c r="P163" s="46">
        <f t="shared" si="160"/>
        <v>0</v>
      </c>
      <c r="Q163" s="46">
        <f t="shared" si="161"/>
        <v>152437</v>
      </c>
      <c r="R163" s="46">
        <v>0</v>
      </c>
      <c r="S163" s="46">
        <f t="shared" si="162"/>
        <v>224481</v>
      </c>
      <c r="T163" s="46">
        <f t="shared" si="163"/>
        <v>241437</v>
      </c>
      <c r="U163" s="46">
        <f t="shared" si="164"/>
        <v>205526</v>
      </c>
      <c r="V163" s="46">
        <f t="shared" si="165"/>
        <v>0</v>
      </c>
      <c r="W163" s="46">
        <f t="shared" si="166"/>
        <v>0</v>
      </c>
      <c r="X163" s="46">
        <v>0</v>
      </c>
      <c r="Y163" s="46">
        <f t="shared" si="167"/>
        <v>205526</v>
      </c>
      <c r="Z163" s="46">
        <f t="shared" si="168"/>
        <v>241437</v>
      </c>
      <c r="AA163" s="46">
        <f t="shared" si="169"/>
        <v>109131</v>
      </c>
      <c r="AB163" s="46">
        <f t="shared" si="170"/>
        <v>0</v>
      </c>
      <c r="AC163" s="46">
        <f t="shared" si="171"/>
        <v>115350</v>
      </c>
      <c r="AD163" s="46">
        <v>0</v>
      </c>
      <c r="AE163" s="46">
        <f t="shared" si="172"/>
        <v>224481</v>
      </c>
      <c r="AF163" s="46">
        <f t="shared" si="173"/>
        <v>356787</v>
      </c>
      <c r="AG163" s="46">
        <f t="shared" si="174"/>
        <v>949643</v>
      </c>
      <c r="AH163" s="46">
        <f t="shared" si="175"/>
        <v>8765</v>
      </c>
      <c r="AI163" s="46">
        <f t="shared" si="176"/>
        <v>-356787</v>
      </c>
      <c r="AJ163" s="46">
        <v>0</v>
      </c>
      <c r="AK163" s="46">
        <f t="shared" si="177"/>
        <v>601621</v>
      </c>
      <c r="AL163" s="46">
        <f t="shared" si="178"/>
        <v>0</v>
      </c>
      <c r="AM163" s="46">
        <f t="shared" si="179"/>
        <v>188100</v>
      </c>
      <c r="AN163" s="46">
        <f t="shared" si="180"/>
        <v>6212</v>
      </c>
      <c r="AO163" s="46">
        <f t="shared" si="181"/>
        <v>36381</v>
      </c>
      <c r="AP163" s="46">
        <v>0</v>
      </c>
      <c r="AQ163" s="46">
        <f t="shared" si="182"/>
        <v>230693</v>
      </c>
      <c r="AR163" s="46">
        <f t="shared" si="183"/>
        <v>36381</v>
      </c>
      <c r="AS163" s="46">
        <f t="shared" si="184"/>
        <v>373909</v>
      </c>
      <c r="AT163" s="46">
        <f t="shared" si="185"/>
        <v>36300</v>
      </c>
      <c r="AU163" s="46">
        <f t="shared" si="186"/>
        <v>-32926</v>
      </c>
      <c r="AV163" s="46">
        <v>0</v>
      </c>
      <c r="AW163" s="46">
        <f t="shared" si="187"/>
        <v>377283</v>
      </c>
      <c r="AX163" s="46">
        <f t="shared" si="188"/>
        <v>3455</v>
      </c>
      <c r="AY163" s="46">
        <f t="shared" si="189"/>
        <v>123508</v>
      </c>
      <c r="AZ163" s="46">
        <f t="shared" si="190"/>
        <v>0</v>
      </c>
      <c r="BA163" s="46">
        <f t="shared" si="191"/>
        <v>100973</v>
      </c>
      <c r="BB163" s="46"/>
      <c r="BC163" s="46">
        <f t="shared" si="192"/>
        <v>224481</v>
      </c>
      <c r="BD163" s="46">
        <f t="shared" si="193"/>
        <v>104428</v>
      </c>
      <c r="BE163" s="46">
        <f t="shared" si="194"/>
        <v>239095</v>
      </c>
      <c r="BF163" s="46">
        <f t="shared" si="195"/>
        <v>8899</v>
      </c>
      <c r="BG163" s="46">
        <f t="shared" si="196"/>
        <v>0</v>
      </c>
      <c r="BH163" s="46">
        <v>0</v>
      </c>
      <c r="BI163" s="46">
        <f t="shared" si="197"/>
        <v>247994</v>
      </c>
      <c r="BJ163" s="46">
        <f t="shared" si="198"/>
        <v>104428</v>
      </c>
      <c r="BK163" s="46">
        <f t="shared" si="199"/>
        <v>504480</v>
      </c>
      <c r="BL163" s="46">
        <f t="shared" si="200"/>
        <v>0</v>
      </c>
      <c r="BM163" s="46">
        <f t="shared" si="201"/>
        <v>-104428</v>
      </c>
      <c r="BN163" s="46">
        <v>0</v>
      </c>
      <c r="BO163" s="46">
        <f t="shared" si="202"/>
        <v>400052</v>
      </c>
      <c r="BP163" s="46">
        <f t="shared" si="203"/>
        <v>0</v>
      </c>
      <c r="BQ163" s="46">
        <f t="shared" si="204"/>
        <v>187234</v>
      </c>
      <c r="BR163" s="46">
        <f t="shared" si="205"/>
        <v>0</v>
      </c>
      <c r="BS163" s="46">
        <f t="shared" si="206"/>
        <v>37247</v>
      </c>
      <c r="BT163" s="46">
        <v>0</v>
      </c>
      <c r="BU163" s="46">
        <f t="shared" si="207"/>
        <v>224481</v>
      </c>
      <c r="BV163" s="46">
        <f t="shared" si="208"/>
        <v>37247</v>
      </c>
      <c r="BW163" s="46">
        <f t="shared" si="209"/>
        <v>358792</v>
      </c>
      <c r="BX163" s="46">
        <f t="shared" si="210"/>
        <v>58487</v>
      </c>
      <c r="BY163" s="46">
        <f t="shared" si="211"/>
        <v>-37247</v>
      </c>
      <c r="BZ163" s="46">
        <v>0</v>
      </c>
      <c r="CA163" s="46">
        <f t="shared" si="212"/>
        <v>380032</v>
      </c>
      <c r="CB163" s="46">
        <f t="shared" si="213"/>
        <v>0</v>
      </c>
      <c r="CC163" s="155">
        <f t="shared" si="216"/>
        <v>0</v>
      </c>
      <c r="CD163" s="79" t="s">
        <v>538</v>
      </c>
      <c r="CE163" s="65">
        <f t="shared" si="217"/>
        <v>224481</v>
      </c>
      <c r="CF163" s="65">
        <f t="shared" si="218"/>
        <v>224481</v>
      </c>
      <c r="CG163" s="65">
        <f t="shared" si="219"/>
        <v>205526</v>
      </c>
      <c r="CH163" s="65">
        <f t="shared" si="220"/>
        <v>224481</v>
      </c>
      <c r="CI163" s="65">
        <f t="shared" si="221"/>
        <v>601621</v>
      </c>
      <c r="CJ163" s="65">
        <f t="shared" si="222"/>
        <v>230693</v>
      </c>
      <c r="CK163" s="65">
        <f t="shared" si="223"/>
        <v>377283</v>
      </c>
      <c r="CL163" s="65">
        <f t="shared" si="224"/>
        <v>224481</v>
      </c>
      <c r="CM163" s="65">
        <f t="shared" si="225"/>
        <v>247994</v>
      </c>
      <c r="CN163" s="65">
        <f t="shared" si="226"/>
        <v>400052</v>
      </c>
      <c r="CO163" s="65">
        <f t="shared" si="227"/>
        <v>224481</v>
      </c>
      <c r="CP163" s="65">
        <f t="shared" si="228"/>
        <v>380032</v>
      </c>
      <c r="CQ163" s="40" t="s">
        <v>538</v>
      </c>
    </row>
    <row r="164" spans="1:95" ht="3" customHeight="1" x14ac:dyDescent="0.25">
      <c r="A164" s="39">
        <v>1</v>
      </c>
      <c r="B164" s="28">
        <v>8205</v>
      </c>
      <c r="C164" s="28" t="s">
        <v>193</v>
      </c>
      <c r="D164" s="48">
        <f>+DATA!Q162</f>
        <v>5574072.0460000001</v>
      </c>
      <c r="E164" s="48">
        <f t="shared" si="214"/>
        <v>366960</v>
      </c>
      <c r="F164" s="48">
        <f t="shared" si="215"/>
        <v>557407</v>
      </c>
      <c r="G164" s="49">
        <f>VLOOKUP(B164,'CALC MEC ESTAB Y ESTIM M FINAL'!$B$7:$F$352,5,0)</f>
        <v>2.9532465244999995E-3</v>
      </c>
      <c r="H164" s="49">
        <f>VLOOKUP(B164,'CALC MEC ESTAB Y ESTIM M FINAL'!$B$7:$R$352,17,0)</f>
        <v>-1.5709804460000001E-4</v>
      </c>
      <c r="I164" s="46">
        <f t="shared" si="154"/>
        <v>230548</v>
      </c>
      <c r="J164" s="46">
        <f t="shared" si="155"/>
        <v>0</v>
      </c>
      <c r="K164" s="46">
        <f t="shared" si="156"/>
        <v>136412</v>
      </c>
      <c r="L164" s="46">
        <v>0</v>
      </c>
      <c r="M164" s="46">
        <f t="shared" si="157"/>
        <v>366960</v>
      </c>
      <c r="N164" s="46">
        <f t="shared" si="158"/>
        <v>136412</v>
      </c>
      <c r="O164" s="46">
        <f t="shared" si="159"/>
        <v>122598</v>
      </c>
      <c r="P164" s="46">
        <f t="shared" si="160"/>
        <v>0</v>
      </c>
      <c r="Q164" s="46">
        <f t="shared" si="161"/>
        <v>244362</v>
      </c>
      <c r="R164" s="46">
        <v>0</v>
      </c>
      <c r="S164" s="46">
        <f t="shared" si="162"/>
        <v>366960</v>
      </c>
      <c r="T164" s="46">
        <f t="shared" si="163"/>
        <v>380774</v>
      </c>
      <c r="U164" s="46">
        <f t="shared" si="164"/>
        <v>349744</v>
      </c>
      <c r="V164" s="46">
        <f t="shared" si="165"/>
        <v>0</v>
      </c>
      <c r="W164" s="46">
        <f t="shared" si="166"/>
        <v>0</v>
      </c>
      <c r="X164" s="46">
        <v>0</v>
      </c>
      <c r="Y164" s="46">
        <f t="shared" si="167"/>
        <v>349744</v>
      </c>
      <c r="Z164" s="46">
        <f t="shared" si="168"/>
        <v>380774</v>
      </c>
      <c r="AA164" s="46">
        <f t="shared" si="169"/>
        <v>185709</v>
      </c>
      <c r="AB164" s="46">
        <f t="shared" si="170"/>
        <v>0</v>
      </c>
      <c r="AC164" s="46">
        <f t="shared" si="171"/>
        <v>181251</v>
      </c>
      <c r="AD164" s="46">
        <v>0</v>
      </c>
      <c r="AE164" s="46">
        <f t="shared" si="172"/>
        <v>366960</v>
      </c>
      <c r="AF164" s="46">
        <f t="shared" si="173"/>
        <v>562025</v>
      </c>
      <c r="AG164" s="46">
        <f t="shared" si="174"/>
        <v>1616013</v>
      </c>
      <c r="AH164" s="46">
        <f t="shared" si="175"/>
        <v>14915</v>
      </c>
      <c r="AI164" s="46">
        <f t="shared" si="176"/>
        <v>-562025</v>
      </c>
      <c r="AJ164" s="46">
        <v>0</v>
      </c>
      <c r="AK164" s="46">
        <f t="shared" si="177"/>
        <v>1068903</v>
      </c>
      <c r="AL164" s="46">
        <f t="shared" si="178"/>
        <v>0</v>
      </c>
      <c r="AM164" s="46">
        <f t="shared" si="179"/>
        <v>320091</v>
      </c>
      <c r="AN164" s="46">
        <f t="shared" si="180"/>
        <v>10571</v>
      </c>
      <c r="AO164" s="46">
        <f t="shared" si="181"/>
        <v>46869</v>
      </c>
      <c r="AP164" s="46">
        <v>0</v>
      </c>
      <c r="AQ164" s="46">
        <f t="shared" si="182"/>
        <v>377531</v>
      </c>
      <c r="AR164" s="46">
        <f t="shared" si="183"/>
        <v>46869</v>
      </c>
      <c r="AS164" s="46">
        <f t="shared" si="184"/>
        <v>636284</v>
      </c>
      <c r="AT164" s="46">
        <f t="shared" si="185"/>
        <v>61772</v>
      </c>
      <c r="AU164" s="46">
        <f t="shared" si="186"/>
        <v>-46869</v>
      </c>
      <c r="AV164" s="46">
        <v>0</v>
      </c>
      <c r="AW164" s="46">
        <f t="shared" si="187"/>
        <v>651187</v>
      </c>
      <c r="AX164" s="46">
        <f t="shared" si="188"/>
        <v>0</v>
      </c>
      <c r="AY164" s="46">
        <f t="shared" si="189"/>
        <v>210174</v>
      </c>
      <c r="AZ164" s="46">
        <f t="shared" si="190"/>
        <v>0</v>
      </c>
      <c r="BA164" s="46">
        <f t="shared" si="191"/>
        <v>156786</v>
      </c>
      <c r="BB164" s="46"/>
      <c r="BC164" s="46">
        <f t="shared" si="192"/>
        <v>366960</v>
      </c>
      <c r="BD164" s="46">
        <f t="shared" si="193"/>
        <v>156786</v>
      </c>
      <c r="BE164" s="46">
        <f t="shared" si="194"/>
        <v>406870</v>
      </c>
      <c r="BF164" s="46">
        <f t="shared" si="195"/>
        <v>15143</v>
      </c>
      <c r="BG164" s="46">
        <f t="shared" si="196"/>
        <v>0</v>
      </c>
      <c r="BH164" s="46">
        <v>0</v>
      </c>
      <c r="BI164" s="46">
        <f t="shared" si="197"/>
        <v>422013</v>
      </c>
      <c r="BJ164" s="46">
        <f t="shared" si="198"/>
        <v>156786</v>
      </c>
      <c r="BK164" s="46">
        <f t="shared" si="199"/>
        <v>858477</v>
      </c>
      <c r="BL164" s="46">
        <f t="shared" si="200"/>
        <v>0</v>
      </c>
      <c r="BM164" s="46">
        <f t="shared" si="201"/>
        <v>-156786</v>
      </c>
      <c r="BN164" s="46">
        <v>0</v>
      </c>
      <c r="BO164" s="46">
        <f t="shared" si="202"/>
        <v>701691</v>
      </c>
      <c r="BP164" s="46">
        <f t="shared" si="203"/>
        <v>0</v>
      </c>
      <c r="BQ164" s="46">
        <f t="shared" si="204"/>
        <v>318618</v>
      </c>
      <c r="BR164" s="46">
        <f t="shared" si="205"/>
        <v>0</v>
      </c>
      <c r="BS164" s="46">
        <f t="shared" si="206"/>
        <v>48342</v>
      </c>
      <c r="BT164" s="46">
        <v>0</v>
      </c>
      <c r="BU164" s="46">
        <f t="shared" si="207"/>
        <v>366960</v>
      </c>
      <c r="BV164" s="46">
        <f t="shared" si="208"/>
        <v>48342</v>
      </c>
      <c r="BW164" s="46">
        <f t="shared" si="209"/>
        <v>610559</v>
      </c>
      <c r="BX164" s="46">
        <f t="shared" si="210"/>
        <v>99527</v>
      </c>
      <c r="BY164" s="46">
        <f t="shared" si="211"/>
        <v>-48342</v>
      </c>
      <c r="BZ164" s="46">
        <v>0</v>
      </c>
      <c r="CA164" s="46">
        <f t="shared" si="212"/>
        <v>661744</v>
      </c>
      <c r="CB164" s="46">
        <f t="shared" si="213"/>
        <v>0</v>
      </c>
      <c r="CC164" s="155">
        <f t="shared" si="216"/>
        <v>0</v>
      </c>
      <c r="CD164" s="79" t="s">
        <v>538</v>
      </c>
      <c r="CE164" s="65">
        <f t="shared" si="217"/>
        <v>366960</v>
      </c>
      <c r="CF164" s="65">
        <f t="shared" si="218"/>
        <v>366960</v>
      </c>
      <c r="CG164" s="65">
        <f t="shared" si="219"/>
        <v>349744</v>
      </c>
      <c r="CH164" s="65">
        <f t="shared" si="220"/>
        <v>366960</v>
      </c>
      <c r="CI164" s="65">
        <f t="shared" si="221"/>
        <v>1068903</v>
      </c>
      <c r="CJ164" s="65">
        <f t="shared" si="222"/>
        <v>377531</v>
      </c>
      <c r="CK164" s="65">
        <f t="shared" si="223"/>
        <v>651187</v>
      </c>
      <c r="CL164" s="65">
        <f t="shared" si="224"/>
        <v>366960</v>
      </c>
      <c r="CM164" s="65">
        <f t="shared" si="225"/>
        <v>422013</v>
      </c>
      <c r="CN164" s="65">
        <f t="shared" si="226"/>
        <v>701691</v>
      </c>
      <c r="CO164" s="65">
        <f t="shared" si="227"/>
        <v>366960</v>
      </c>
      <c r="CP164" s="65">
        <f t="shared" si="228"/>
        <v>661744</v>
      </c>
      <c r="CQ164" s="40" t="s">
        <v>538</v>
      </c>
    </row>
    <row r="165" spans="1:95" ht="3" customHeight="1" x14ac:dyDescent="0.25">
      <c r="A165" s="39">
        <v>1</v>
      </c>
      <c r="B165" s="28">
        <v>8206</v>
      </c>
      <c r="C165" s="28" t="s">
        <v>30</v>
      </c>
      <c r="D165" s="48">
        <f>+DATA!Q163</f>
        <v>4275563.6359999999</v>
      </c>
      <c r="E165" s="48">
        <f t="shared" si="214"/>
        <v>281475</v>
      </c>
      <c r="F165" s="48">
        <f t="shared" si="215"/>
        <v>427556</v>
      </c>
      <c r="G165" s="49">
        <f>VLOOKUP(B165,'CALC MEC ESTAB Y ESTIM M FINAL'!$B$7:$F$352,5,0)</f>
        <v>2.3911340834999999E-3</v>
      </c>
      <c r="H165" s="49">
        <f>VLOOKUP(B165,'CALC MEC ESTAB Y ESTIM M FINAL'!$B$7:$R$352,17,0)</f>
        <v>-1.8917888019999999E-4</v>
      </c>
      <c r="I165" s="46">
        <f t="shared" si="154"/>
        <v>181556</v>
      </c>
      <c r="J165" s="46">
        <f t="shared" si="155"/>
        <v>0</v>
      </c>
      <c r="K165" s="46">
        <f t="shared" si="156"/>
        <v>99919</v>
      </c>
      <c r="L165" s="46">
        <v>0</v>
      </c>
      <c r="M165" s="46">
        <f t="shared" si="157"/>
        <v>281475</v>
      </c>
      <c r="N165" s="46">
        <f t="shared" si="158"/>
        <v>99919</v>
      </c>
      <c r="O165" s="46">
        <f t="shared" si="159"/>
        <v>96545</v>
      </c>
      <c r="P165" s="46">
        <f t="shared" si="160"/>
        <v>0</v>
      </c>
      <c r="Q165" s="46">
        <f t="shared" si="161"/>
        <v>184930</v>
      </c>
      <c r="R165" s="46">
        <v>0</v>
      </c>
      <c r="S165" s="46">
        <f t="shared" si="162"/>
        <v>281475</v>
      </c>
      <c r="T165" s="46">
        <f t="shared" si="163"/>
        <v>284849</v>
      </c>
      <c r="U165" s="46">
        <f t="shared" si="164"/>
        <v>275422</v>
      </c>
      <c r="V165" s="46">
        <f t="shared" si="165"/>
        <v>0</v>
      </c>
      <c r="W165" s="46">
        <f t="shared" si="166"/>
        <v>0</v>
      </c>
      <c r="X165" s="46">
        <v>0</v>
      </c>
      <c r="Y165" s="46">
        <f t="shared" si="167"/>
        <v>275422</v>
      </c>
      <c r="Z165" s="46">
        <f t="shared" si="168"/>
        <v>284849</v>
      </c>
      <c r="AA165" s="46">
        <f t="shared" si="169"/>
        <v>146245</v>
      </c>
      <c r="AB165" s="46">
        <f t="shared" si="170"/>
        <v>0</v>
      </c>
      <c r="AC165" s="46">
        <f t="shared" si="171"/>
        <v>135230</v>
      </c>
      <c r="AD165" s="46">
        <v>0</v>
      </c>
      <c r="AE165" s="46">
        <f t="shared" si="172"/>
        <v>281475</v>
      </c>
      <c r="AF165" s="46">
        <f t="shared" si="173"/>
        <v>420079</v>
      </c>
      <c r="AG165" s="46">
        <f t="shared" si="174"/>
        <v>1272604</v>
      </c>
      <c r="AH165" s="46">
        <f t="shared" si="175"/>
        <v>11746</v>
      </c>
      <c r="AI165" s="46">
        <f t="shared" si="176"/>
        <v>-420079</v>
      </c>
      <c r="AJ165" s="46">
        <v>0</v>
      </c>
      <c r="AK165" s="46">
        <f t="shared" si="177"/>
        <v>864271</v>
      </c>
      <c r="AL165" s="46">
        <f t="shared" si="178"/>
        <v>0</v>
      </c>
      <c r="AM165" s="46">
        <f t="shared" si="179"/>
        <v>252070</v>
      </c>
      <c r="AN165" s="46">
        <f t="shared" si="180"/>
        <v>8324</v>
      </c>
      <c r="AO165" s="46">
        <f t="shared" si="181"/>
        <v>29405</v>
      </c>
      <c r="AP165" s="46">
        <v>0</v>
      </c>
      <c r="AQ165" s="46">
        <f t="shared" si="182"/>
        <v>289799</v>
      </c>
      <c r="AR165" s="46">
        <f t="shared" si="183"/>
        <v>29405</v>
      </c>
      <c r="AS165" s="46">
        <f t="shared" si="184"/>
        <v>501071</v>
      </c>
      <c r="AT165" s="46">
        <f t="shared" si="185"/>
        <v>48645</v>
      </c>
      <c r="AU165" s="46">
        <f t="shared" si="186"/>
        <v>-29405</v>
      </c>
      <c r="AV165" s="46">
        <v>0</v>
      </c>
      <c r="AW165" s="46">
        <f t="shared" si="187"/>
        <v>520311</v>
      </c>
      <c r="AX165" s="46">
        <f t="shared" si="188"/>
        <v>0</v>
      </c>
      <c r="AY165" s="46">
        <f t="shared" si="189"/>
        <v>165511</v>
      </c>
      <c r="AZ165" s="46">
        <f t="shared" si="190"/>
        <v>0</v>
      </c>
      <c r="BA165" s="46">
        <f t="shared" si="191"/>
        <v>115964</v>
      </c>
      <c r="BB165" s="46"/>
      <c r="BC165" s="46">
        <f t="shared" si="192"/>
        <v>281475</v>
      </c>
      <c r="BD165" s="46">
        <f t="shared" si="193"/>
        <v>115964</v>
      </c>
      <c r="BE165" s="46">
        <f t="shared" si="194"/>
        <v>320408</v>
      </c>
      <c r="BF165" s="46">
        <f t="shared" si="195"/>
        <v>11925</v>
      </c>
      <c r="BG165" s="46">
        <f t="shared" si="196"/>
        <v>0</v>
      </c>
      <c r="BH165" s="46">
        <v>0</v>
      </c>
      <c r="BI165" s="46">
        <f t="shared" si="197"/>
        <v>332333</v>
      </c>
      <c r="BJ165" s="46">
        <f t="shared" si="198"/>
        <v>115964</v>
      </c>
      <c r="BK165" s="46">
        <f t="shared" si="199"/>
        <v>676047</v>
      </c>
      <c r="BL165" s="46">
        <f t="shared" si="200"/>
        <v>0</v>
      </c>
      <c r="BM165" s="46">
        <f t="shared" si="201"/>
        <v>-115964</v>
      </c>
      <c r="BN165" s="46">
        <v>0</v>
      </c>
      <c r="BO165" s="46">
        <f t="shared" si="202"/>
        <v>560083</v>
      </c>
      <c r="BP165" s="46">
        <f t="shared" si="203"/>
        <v>0</v>
      </c>
      <c r="BQ165" s="46">
        <f t="shared" si="204"/>
        <v>250910</v>
      </c>
      <c r="BR165" s="46">
        <f t="shared" si="205"/>
        <v>0</v>
      </c>
      <c r="BS165" s="46">
        <f t="shared" si="206"/>
        <v>30565</v>
      </c>
      <c r="BT165" s="46">
        <v>0</v>
      </c>
      <c r="BU165" s="46">
        <f t="shared" si="207"/>
        <v>281475</v>
      </c>
      <c r="BV165" s="46">
        <f t="shared" si="208"/>
        <v>30565</v>
      </c>
      <c r="BW165" s="46">
        <f t="shared" si="209"/>
        <v>480813</v>
      </c>
      <c r="BX165" s="46">
        <f t="shared" si="210"/>
        <v>78377</v>
      </c>
      <c r="BY165" s="46">
        <f t="shared" si="211"/>
        <v>-30565</v>
      </c>
      <c r="BZ165" s="46">
        <v>0</v>
      </c>
      <c r="CA165" s="46">
        <f t="shared" si="212"/>
        <v>528625</v>
      </c>
      <c r="CB165" s="46">
        <f t="shared" si="213"/>
        <v>0</v>
      </c>
      <c r="CC165" s="155">
        <f t="shared" si="216"/>
        <v>0</v>
      </c>
      <c r="CD165" s="79" t="s">
        <v>538</v>
      </c>
      <c r="CE165" s="65">
        <f t="shared" si="217"/>
        <v>281475</v>
      </c>
      <c r="CF165" s="65">
        <f t="shared" si="218"/>
        <v>281475</v>
      </c>
      <c r="CG165" s="65">
        <f t="shared" si="219"/>
        <v>275422</v>
      </c>
      <c r="CH165" s="65">
        <f t="shared" si="220"/>
        <v>281475</v>
      </c>
      <c r="CI165" s="65">
        <f t="shared" si="221"/>
        <v>864271</v>
      </c>
      <c r="CJ165" s="65">
        <f t="shared" si="222"/>
        <v>289799</v>
      </c>
      <c r="CK165" s="65">
        <f t="shared" si="223"/>
        <v>520311</v>
      </c>
      <c r="CL165" s="65">
        <f t="shared" si="224"/>
        <v>281475</v>
      </c>
      <c r="CM165" s="65">
        <f t="shared" si="225"/>
        <v>332333</v>
      </c>
      <c r="CN165" s="65">
        <f t="shared" si="226"/>
        <v>560083</v>
      </c>
      <c r="CO165" s="65">
        <f t="shared" si="227"/>
        <v>281475</v>
      </c>
      <c r="CP165" s="65">
        <f t="shared" si="228"/>
        <v>528625</v>
      </c>
      <c r="CQ165" s="40" t="s">
        <v>538</v>
      </c>
    </row>
    <row r="166" spans="1:95" ht="3" customHeight="1" x14ac:dyDescent="0.25">
      <c r="A166" s="39">
        <v>1</v>
      </c>
      <c r="B166" s="28">
        <v>8207</v>
      </c>
      <c r="C166" s="28" t="s">
        <v>31</v>
      </c>
      <c r="D166" s="48">
        <f>+DATA!Q164</f>
        <v>3569508.9929999998</v>
      </c>
      <c r="E166" s="48">
        <f t="shared" si="214"/>
        <v>234993</v>
      </c>
      <c r="F166" s="48">
        <f t="shared" si="215"/>
        <v>356951</v>
      </c>
      <c r="G166" s="49">
        <f>VLOOKUP(B166,'CALC MEC ESTAB Y ESTIM M FINAL'!$B$7:$F$352,5,0)</f>
        <v>2.1010341002000001E-3</v>
      </c>
      <c r="H166" s="49">
        <f>VLOOKUP(B166,'CALC MEC ESTAB Y ESTIM M FINAL'!$B$7:$R$352,17,0)</f>
        <v>-2.1506846709999999E-4</v>
      </c>
      <c r="I166" s="46">
        <f t="shared" si="154"/>
        <v>155502</v>
      </c>
      <c r="J166" s="46">
        <f t="shared" si="155"/>
        <v>0</v>
      </c>
      <c r="K166" s="46">
        <f t="shared" si="156"/>
        <v>79491</v>
      </c>
      <c r="L166" s="46">
        <v>0</v>
      </c>
      <c r="M166" s="46">
        <f t="shared" si="157"/>
        <v>234993</v>
      </c>
      <c r="N166" s="46">
        <f t="shared" si="158"/>
        <v>79491</v>
      </c>
      <c r="O166" s="46">
        <f t="shared" si="159"/>
        <v>82691</v>
      </c>
      <c r="P166" s="46">
        <f t="shared" si="160"/>
        <v>0</v>
      </c>
      <c r="Q166" s="46">
        <f t="shared" si="161"/>
        <v>152302</v>
      </c>
      <c r="R166" s="46">
        <v>0</v>
      </c>
      <c r="S166" s="46">
        <f t="shared" si="162"/>
        <v>234993</v>
      </c>
      <c r="T166" s="46">
        <f t="shared" si="163"/>
        <v>231793</v>
      </c>
      <c r="U166" s="46">
        <f t="shared" si="164"/>
        <v>235898</v>
      </c>
      <c r="V166" s="46">
        <f t="shared" si="165"/>
        <v>0</v>
      </c>
      <c r="W166" s="46">
        <f t="shared" si="166"/>
        <v>0</v>
      </c>
      <c r="X166" s="46">
        <v>0</v>
      </c>
      <c r="Y166" s="46">
        <f t="shared" si="167"/>
        <v>235898</v>
      </c>
      <c r="Z166" s="46">
        <f t="shared" si="168"/>
        <v>231793</v>
      </c>
      <c r="AA166" s="46">
        <f t="shared" si="169"/>
        <v>125258</v>
      </c>
      <c r="AB166" s="46">
        <f t="shared" si="170"/>
        <v>0</v>
      </c>
      <c r="AC166" s="46">
        <f t="shared" si="171"/>
        <v>109735</v>
      </c>
      <c r="AD166" s="46">
        <v>0</v>
      </c>
      <c r="AE166" s="46">
        <f t="shared" si="172"/>
        <v>234993</v>
      </c>
      <c r="AF166" s="46">
        <f t="shared" si="173"/>
        <v>341528</v>
      </c>
      <c r="AG166" s="46">
        <f t="shared" si="174"/>
        <v>1089980</v>
      </c>
      <c r="AH166" s="46">
        <f t="shared" si="175"/>
        <v>10060</v>
      </c>
      <c r="AI166" s="46">
        <f t="shared" si="176"/>
        <v>-341528</v>
      </c>
      <c r="AJ166" s="46">
        <v>0</v>
      </c>
      <c r="AK166" s="46">
        <f t="shared" si="177"/>
        <v>758512</v>
      </c>
      <c r="AL166" s="46">
        <f t="shared" si="178"/>
        <v>0</v>
      </c>
      <c r="AM166" s="46">
        <f t="shared" si="179"/>
        <v>215897</v>
      </c>
      <c r="AN166" s="46">
        <f t="shared" si="180"/>
        <v>7130</v>
      </c>
      <c r="AO166" s="46">
        <f t="shared" si="181"/>
        <v>19096</v>
      </c>
      <c r="AP166" s="46">
        <v>0</v>
      </c>
      <c r="AQ166" s="46">
        <f t="shared" si="182"/>
        <v>242123</v>
      </c>
      <c r="AR166" s="46">
        <f t="shared" si="183"/>
        <v>19096</v>
      </c>
      <c r="AS166" s="46">
        <f t="shared" si="184"/>
        <v>429165</v>
      </c>
      <c r="AT166" s="46">
        <f t="shared" si="185"/>
        <v>41664</v>
      </c>
      <c r="AU166" s="46">
        <f t="shared" si="186"/>
        <v>-19096</v>
      </c>
      <c r="AV166" s="46">
        <v>0</v>
      </c>
      <c r="AW166" s="46">
        <f t="shared" si="187"/>
        <v>451733</v>
      </c>
      <c r="AX166" s="46">
        <f t="shared" si="188"/>
        <v>0</v>
      </c>
      <c r="AY166" s="46">
        <f t="shared" si="189"/>
        <v>141760</v>
      </c>
      <c r="AZ166" s="46">
        <f t="shared" si="190"/>
        <v>0</v>
      </c>
      <c r="BA166" s="46">
        <f t="shared" si="191"/>
        <v>93233</v>
      </c>
      <c r="BB166" s="46"/>
      <c r="BC166" s="46">
        <f t="shared" si="192"/>
        <v>234993</v>
      </c>
      <c r="BD166" s="46">
        <f t="shared" si="193"/>
        <v>93233</v>
      </c>
      <c r="BE166" s="46">
        <f t="shared" si="194"/>
        <v>274428</v>
      </c>
      <c r="BF166" s="46">
        <f t="shared" si="195"/>
        <v>10214</v>
      </c>
      <c r="BG166" s="46">
        <f t="shared" si="196"/>
        <v>0</v>
      </c>
      <c r="BH166" s="46">
        <v>0</v>
      </c>
      <c r="BI166" s="46">
        <f t="shared" si="197"/>
        <v>284642</v>
      </c>
      <c r="BJ166" s="46">
        <f t="shared" si="198"/>
        <v>93233</v>
      </c>
      <c r="BK166" s="46">
        <f t="shared" si="199"/>
        <v>579032</v>
      </c>
      <c r="BL166" s="46">
        <f t="shared" si="200"/>
        <v>0</v>
      </c>
      <c r="BM166" s="46">
        <f t="shared" si="201"/>
        <v>-93233</v>
      </c>
      <c r="BN166" s="46">
        <v>0</v>
      </c>
      <c r="BO166" s="46">
        <f t="shared" si="202"/>
        <v>485799</v>
      </c>
      <c r="BP166" s="46">
        <f t="shared" si="203"/>
        <v>0</v>
      </c>
      <c r="BQ166" s="46">
        <f t="shared" si="204"/>
        <v>214903</v>
      </c>
      <c r="BR166" s="46">
        <f t="shared" si="205"/>
        <v>0</v>
      </c>
      <c r="BS166" s="46">
        <f t="shared" si="206"/>
        <v>20090</v>
      </c>
      <c r="BT166" s="46">
        <v>0</v>
      </c>
      <c r="BU166" s="46">
        <f t="shared" si="207"/>
        <v>234993</v>
      </c>
      <c r="BV166" s="46">
        <f t="shared" si="208"/>
        <v>20090</v>
      </c>
      <c r="BW166" s="46">
        <f t="shared" si="209"/>
        <v>411814</v>
      </c>
      <c r="BX166" s="46">
        <f t="shared" si="210"/>
        <v>67130</v>
      </c>
      <c r="BY166" s="46">
        <f t="shared" si="211"/>
        <v>-20090</v>
      </c>
      <c r="BZ166" s="46">
        <v>0</v>
      </c>
      <c r="CA166" s="46">
        <f t="shared" si="212"/>
        <v>458854</v>
      </c>
      <c r="CB166" s="46">
        <f t="shared" si="213"/>
        <v>0</v>
      </c>
      <c r="CC166" s="155">
        <f t="shared" si="216"/>
        <v>0</v>
      </c>
      <c r="CD166" s="79" t="s">
        <v>538</v>
      </c>
      <c r="CE166" s="65">
        <f t="shared" si="217"/>
        <v>234993</v>
      </c>
      <c r="CF166" s="65">
        <f t="shared" si="218"/>
        <v>234993</v>
      </c>
      <c r="CG166" s="65">
        <f t="shared" si="219"/>
        <v>235898</v>
      </c>
      <c r="CH166" s="65">
        <f t="shared" si="220"/>
        <v>234993</v>
      </c>
      <c r="CI166" s="65">
        <f t="shared" si="221"/>
        <v>758512</v>
      </c>
      <c r="CJ166" s="65">
        <f t="shared" si="222"/>
        <v>242123</v>
      </c>
      <c r="CK166" s="65">
        <f t="shared" si="223"/>
        <v>451733</v>
      </c>
      <c r="CL166" s="65">
        <f t="shared" si="224"/>
        <v>234993</v>
      </c>
      <c r="CM166" s="65">
        <f t="shared" si="225"/>
        <v>284642</v>
      </c>
      <c r="CN166" s="65">
        <f t="shared" si="226"/>
        <v>485799</v>
      </c>
      <c r="CO166" s="65">
        <f t="shared" si="227"/>
        <v>234993</v>
      </c>
      <c r="CP166" s="65">
        <f t="shared" si="228"/>
        <v>458854</v>
      </c>
      <c r="CQ166" s="40" t="s">
        <v>538</v>
      </c>
    </row>
    <row r="167" spans="1:95" ht="3" customHeight="1" x14ac:dyDescent="0.25">
      <c r="A167" s="39">
        <v>1</v>
      </c>
      <c r="B167" s="28">
        <v>8301</v>
      </c>
      <c r="C167" s="28" t="s">
        <v>32</v>
      </c>
      <c r="D167" s="48">
        <f>+DATA!Q165</f>
        <v>22073516.274</v>
      </c>
      <c r="E167" s="48">
        <f t="shared" si="214"/>
        <v>1453173</v>
      </c>
      <c r="F167" s="48">
        <f t="shared" si="215"/>
        <v>2207352</v>
      </c>
      <c r="G167" s="49">
        <f>VLOOKUP(B167,'CALC MEC ESTAB Y ESTIM M FINAL'!$B$7:$F$352,5,0)</f>
        <v>1.25853502273E-2</v>
      </c>
      <c r="H167" s="49">
        <f>VLOOKUP(B167,'CALC MEC ESTAB Y ESTIM M FINAL'!$B$7:$R$352,17,0)</f>
        <v>-1.1084138837999999E-3</v>
      </c>
      <c r="I167" s="46">
        <f t="shared" si="154"/>
        <v>946298</v>
      </c>
      <c r="J167" s="46">
        <f t="shared" si="155"/>
        <v>0</v>
      </c>
      <c r="K167" s="46">
        <f t="shared" si="156"/>
        <v>506875</v>
      </c>
      <c r="L167" s="46">
        <v>0</v>
      </c>
      <c r="M167" s="46">
        <f t="shared" si="157"/>
        <v>1453173</v>
      </c>
      <c r="N167" s="46">
        <f t="shared" si="158"/>
        <v>506875</v>
      </c>
      <c r="O167" s="46">
        <f t="shared" si="159"/>
        <v>503209</v>
      </c>
      <c r="P167" s="46">
        <f t="shared" si="160"/>
        <v>0</v>
      </c>
      <c r="Q167" s="46">
        <f t="shared" si="161"/>
        <v>949964</v>
      </c>
      <c r="R167" s="46">
        <v>0</v>
      </c>
      <c r="S167" s="46">
        <f t="shared" si="162"/>
        <v>1453173</v>
      </c>
      <c r="T167" s="46">
        <f t="shared" si="163"/>
        <v>1456839</v>
      </c>
      <c r="U167" s="46">
        <f t="shared" si="164"/>
        <v>1435543</v>
      </c>
      <c r="V167" s="46">
        <f t="shared" si="165"/>
        <v>0</v>
      </c>
      <c r="W167" s="46">
        <f t="shared" si="166"/>
        <v>0</v>
      </c>
      <c r="X167" s="46">
        <v>0</v>
      </c>
      <c r="Y167" s="46">
        <f t="shared" si="167"/>
        <v>1435543</v>
      </c>
      <c r="Z167" s="46">
        <f t="shared" si="168"/>
        <v>1456839</v>
      </c>
      <c r="AA167" s="46">
        <f t="shared" si="169"/>
        <v>762251</v>
      </c>
      <c r="AB167" s="46">
        <f t="shared" si="170"/>
        <v>0</v>
      </c>
      <c r="AC167" s="46">
        <f t="shared" si="171"/>
        <v>690922</v>
      </c>
      <c r="AD167" s="46">
        <v>0</v>
      </c>
      <c r="AE167" s="46">
        <f t="shared" si="172"/>
        <v>1453173</v>
      </c>
      <c r="AF167" s="46">
        <f t="shared" si="173"/>
        <v>2147761</v>
      </c>
      <c r="AG167" s="46">
        <f t="shared" si="174"/>
        <v>6633011</v>
      </c>
      <c r="AH167" s="46">
        <f t="shared" si="175"/>
        <v>61221</v>
      </c>
      <c r="AI167" s="46">
        <f t="shared" si="176"/>
        <v>-2147761</v>
      </c>
      <c r="AJ167" s="46">
        <v>0</v>
      </c>
      <c r="AK167" s="46">
        <f t="shared" si="177"/>
        <v>4546471</v>
      </c>
      <c r="AL167" s="46">
        <f t="shared" si="178"/>
        <v>0</v>
      </c>
      <c r="AM167" s="46">
        <f t="shared" si="179"/>
        <v>1313830</v>
      </c>
      <c r="AN167" s="46">
        <f t="shared" si="180"/>
        <v>43388</v>
      </c>
      <c r="AO167" s="46">
        <f t="shared" si="181"/>
        <v>139343</v>
      </c>
      <c r="AP167" s="46">
        <v>0</v>
      </c>
      <c r="AQ167" s="46">
        <f t="shared" si="182"/>
        <v>1496561</v>
      </c>
      <c r="AR167" s="46">
        <f t="shared" si="183"/>
        <v>139343</v>
      </c>
      <c r="AS167" s="46">
        <f t="shared" si="184"/>
        <v>2611660</v>
      </c>
      <c r="AT167" s="46">
        <f t="shared" si="185"/>
        <v>253545</v>
      </c>
      <c r="AU167" s="46">
        <f t="shared" si="186"/>
        <v>-139343</v>
      </c>
      <c r="AV167" s="46">
        <v>0</v>
      </c>
      <c r="AW167" s="46">
        <f t="shared" si="187"/>
        <v>2725862</v>
      </c>
      <c r="AX167" s="46">
        <f t="shared" si="188"/>
        <v>0</v>
      </c>
      <c r="AY167" s="46">
        <f t="shared" si="189"/>
        <v>862671</v>
      </c>
      <c r="AZ167" s="46">
        <f t="shared" si="190"/>
        <v>0</v>
      </c>
      <c r="BA167" s="46">
        <f t="shared" si="191"/>
        <v>590502</v>
      </c>
      <c r="BB167" s="46"/>
      <c r="BC167" s="46">
        <f t="shared" si="192"/>
        <v>1453173</v>
      </c>
      <c r="BD167" s="46">
        <f t="shared" si="193"/>
        <v>590502</v>
      </c>
      <c r="BE167" s="46">
        <f t="shared" si="194"/>
        <v>1670017</v>
      </c>
      <c r="BF167" s="46">
        <f t="shared" si="195"/>
        <v>62156</v>
      </c>
      <c r="BG167" s="46">
        <f t="shared" si="196"/>
        <v>0</v>
      </c>
      <c r="BH167" s="46">
        <v>0</v>
      </c>
      <c r="BI167" s="46">
        <f t="shared" si="197"/>
        <v>1732173</v>
      </c>
      <c r="BJ167" s="46">
        <f t="shared" si="198"/>
        <v>590502</v>
      </c>
      <c r="BK167" s="46">
        <f t="shared" si="199"/>
        <v>3523664</v>
      </c>
      <c r="BL167" s="46">
        <f t="shared" si="200"/>
        <v>0</v>
      </c>
      <c r="BM167" s="46">
        <f t="shared" si="201"/>
        <v>-590502</v>
      </c>
      <c r="BN167" s="46">
        <v>0</v>
      </c>
      <c r="BO167" s="46">
        <f t="shared" si="202"/>
        <v>2933162</v>
      </c>
      <c r="BP167" s="46">
        <f t="shared" si="203"/>
        <v>0</v>
      </c>
      <c r="BQ167" s="46">
        <f t="shared" si="204"/>
        <v>1307782</v>
      </c>
      <c r="BR167" s="46">
        <f t="shared" si="205"/>
        <v>0</v>
      </c>
      <c r="BS167" s="46">
        <f t="shared" si="206"/>
        <v>145391</v>
      </c>
      <c r="BT167" s="46">
        <v>0</v>
      </c>
      <c r="BU167" s="46">
        <f t="shared" si="207"/>
        <v>1453173</v>
      </c>
      <c r="BV167" s="46">
        <f t="shared" si="208"/>
        <v>145391</v>
      </c>
      <c r="BW167" s="46">
        <f t="shared" si="209"/>
        <v>2506073</v>
      </c>
      <c r="BX167" s="46">
        <f t="shared" si="210"/>
        <v>408516</v>
      </c>
      <c r="BY167" s="46">
        <f t="shared" si="211"/>
        <v>-145391</v>
      </c>
      <c r="BZ167" s="46">
        <v>0</v>
      </c>
      <c r="CA167" s="46">
        <f t="shared" si="212"/>
        <v>2769198</v>
      </c>
      <c r="CB167" s="46">
        <f t="shared" si="213"/>
        <v>0</v>
      </c>
      <c r="CC167" s="155">
        <f t="shared" si="216"/>
        <v>0</v>
      </c>
      <c r="CD167" s="79" t="s">
        <v>538</v>
      </c>
      <c r="CE167" s="65">
        <f t="shared" si="217"/>
        <v>1453173</v>
      </c>
      <c r="CF167" s="65">
        <f t="shared" si="218"/>
        <v>1453173</v>
      </c>
      <c r="CG167" s="65">
        <f t="shared" si="219"/>
        <v>1435543</v>
      </c>
      <c r="CH167" s="65">
        <f t="shared" si="220"/>
        <v>1453173</v>
      </c>
      <c r="CI167" s="65">
        <f t="shared" si="221"/>
        <v>4546471</v>
      </c>
      <c r="CJ167" s="65">
        <f t="shared" si="222"/>
        <v>1496561</v>
      </c>
      <c r="CK167" s="65">
        <f t="shared" si="223"/>
        <v>2725862</v>
      </c>
      <c r="CL167" s="65">
        <f t="shared" si="224"/>
        <v>1453173</v>
      </c>
      <c r="CM167" s="65">
        <f t="shared" si="225"/>
        <v>1732173</v>
      </c>
      <c r="CN167" s="65">
        <f t="shared" si="226"/>
        <v>2933162</v>
      </c>
      <c r="CO167" s="65">
        <f t="shared" si="227"/>
        <v>1453173</v>
      </c>
      <c r="CP167" s="65">
        <f t="shared" si="228"/>
        <v>2769198</v>
      </c>
      <c r="CQ167" s="40" t="s">
        <v>538</v>
      </c>
    </row>
    <row r="168" spans="1:95" ht="3" customHeight="1" x14ac:dyDescent="0.25">
      <c r="A168" s="39">
        <v>1</v>
      </c>
      <c r="B168" s="28">
        <v>8302</v>
      </c>
      <c r="C168" s="28" t="s">
        <v>206</v>
      </c>
      <c r="D168" s="48">
        <f>+DATA!Q166</f>
        <v>3361477.7740000002</v>
      </c>
      <c r="E168" s="48">
        <f t="shared" si="214"/>
        <v>221297</v>
      </c>
      <c r="F168" s="48">
        <f t="shared" si="215"/>
        <v>336148</v>
      </c>
      <c r="G168" s="49">
        <f>VLOOKUP(B168,'CALC MEC ESTAB Y ESTIM M FINAL'!$B$7:$F$352,5,0)</f>
        <v>1.3668074751E-3</v>
      </c>
      <c r="H168" s="49">
        <f>VLOOKUP(B168,'CALC MEC ESTAB Y ESTIM M FINAL'!$B$7:$R$352,17,0)</f>
        <v>2.403182483E-4</v>
      </c>
      <c r="I168" s="46">
        <f t="shared" si="154"/>
        <v>132511</v>
      </c>
      <c r="J168" s="46">
        <f t="shared" si="155"/>
        <v>0</v>
      </c>
      <c r="K168" s="46">
        <f t="shared" si="156"/>
        <v>88786</v>
      </c>
      <c r="L168" s="46">
        <v>0</v>
      </c>
      <c r="M168" s="46">
        <f t="shared" si="157"/>
        <v>221297</v>
      </c>
      <c r="N168" s="46">
        <f t="shared" si="158"/>
        <v>88786</v>
      </c>
      <c r="O168" s="46">
        <f t="shared" si="159"/>
        <v>70465</v>
      </c>
      <c r="P168" s="46">
        <f t="shared" si="160"/>
        <v>0</v>
      </c>
      <c r="Q168" s="46">
        <f t="shared" si="161"/>
        <v>150832</v>
      </c>
      <c r="R168" s="46">
        <v>0</v>
      </c>
      <c r="S168" s="46">
        <f t="shared" si="162"/>
        <v>221297</v>
      </c>
      <c r="T168" s="46">
        <f t="shared" si="163"/>
        <v>239618</v>
      </c>
      <c r="U168" s="46">
        <f t="shared" si="164"/>
        <v>201020</v>
      </c>
      <c r="V168" s="46">
        <f t="shared" si="165"/>
        <v>0</v>
      </c>
      <c r="W168" s="46">
        <f t="shared" si="166"/>
        <v>0</v>
      </c>
      <c r="X168" s="46">
        <v>0</v>
      </c>
      <c r="Y168" s="46">
        <f t="shared" si="167"/>
        <v>201020</v>
      </c>
      <c r="Z168" s="46">
        <f t="shared" si="168"/>
        <v>239618</v>
      </c>
      <c r="AA168" s="46">
        <f t="shared" si="169"/>
        <v>106739</v>
      </c>
      <c r="AB168" s="46">
        <f t="shared" si="170"/>
        <v>0</v>
      </c>
      <c r="AC168" s="46">
        <f t="shared" si="171"/>
        <v>114558</v>
      </c>
      <c r="AD168" s="46">
        <v>0</v>
      </c>
      <c r="AE168" s="46">
        <f t="shared" si="172"/>
        <v>221297</v>
      </c>
      <c r="AF168" s="46">
        <f t="shared" si="173"/>
        <v>354176</v>
      </c>
      <c r="AG168" s="46">
        <f t="shared" si="174"/>
        <v>928826</v>
      </c>
      <c r="AH168" s="46">
        <f t="shared" si="175"/>
        <v>8573</v>
      </c>
      <c r="AI168" s="46">
        <f t="shared" si="176"/>
        <v>-354176</v>
      </c>
      <c r="AJ168" s="46">
        <v>0</v>
      </c>
      <c r="AK168" s="46">
        <f t="shared" si="177"/>
        <v>583223</v>
      </c>
      <c r="AL168" s="46">
        <f t="shared" si="178"/>
        <v>0</v>
      </c>
      <c r="AM168" s="46">
        <f t="shared" si="179"/>
        <v>183977</v>
      </c>
      <c r="AN168" s="46">
        <f t="shared" si="180"/>
        <v>6076</v>
      </c>
      <c r="AO168" s="46">
        <f t="shared" si="181"/>
        <v>37320</v>
      </c>
      <c r="AP168" s="46">
        <v>0</v>
      </c>
      <c r="AQ168" s="46">
        <f t="shared" si="182"/>
        <v>227373</v>
      </c>
      <c r="AR168" s="46">
        <f t="shared" si="183"/>
        <v>37320</v>
      </c>
      <c r="AS168" s="46">
        <f t="shared" si="184"/>
        <v>365713</v>
      </c>
      <c r="AT168" s="46">
        <f t="shared" si="185"/>
        <v>35504</v>
      </c>
      <c r="AU168" s="46">
        <f t="shared" si="186"/>
        <v>-29565</v>
      </c>
      <c r="AV168" s="46">
        <v>0</v>
      </c>
      <c r="AW168" s="46">
        <f t="shared" si="187"/>
        <v>371652</v>
      </c>
      <c r="AX168" s="46">
        <f t="shared" si="188"/>
        <v>7755</v>
      </c>
      <c r="AY168" s="46">
        <f t="shared" si="189"/>
        <v>120801</v>
      </c>
      <c r="AZ168" s="46">
        <f t="shared" si="190"/>
        <v>0</v>
      </c>
      <c r="BA168" s="46">
        <f t="shared" si="191"/>
        <v>100496</v>
      </c>
      <c r="BB168" s="46"/>
      <c r="BC168" s="46">
        <f t="shared" si="192"/>
        <v>221297</v>
      </c>
      <c r="BD168" s="46">
        <f t="shared" si="193"/>
        <v>108251</v>
      </c>
      <c r="BE168" s="46">
        <f t="shared" si="194"/>
        <v>233854</v>
      </c>
      <c r="BF168" s="46">
        <f t="shared" si="195"/>
        <v>8704</v>
      </c>
      <c r="BG168" s="46">
        <f t="shared" si="196"/>
        <v>0</v>
      </c>
      <c r="BH168" s="46">
        <v>0</v>
      </c>
      <c r="BI168" s="46">
        <f t="shared" si="197"/>
        <v>242558</v>
      </c>
      <c r="BJ168" s="46">
        <f t="shared" si="198"/>
        <v>108251</v>
      </c>
      <c r="BK168" s="46">
        <f t="shared" si="199"/>
        <v>493422</v>
      </c>
      <c r="BL168" s="46">
        <f t="shared" si="200"/>
        <v>0</v>
      </c>
      <c r="BM168" s="46">
        <f t="shared" si="201"/>
        <v>-108251</v>
      </c>
      <c r="BN168" s="46">
        <v>0</v>
      </c>
      <c r="BO168" s="46">
        <f t="shared" si="202"/>
        <v>385171</v>
      </c>
      <c r="BP168" s="46">
        <f t="shared" si="203"/>
        <v>0</v>
      </c>
      <c r="BQ168" s="46">
        <f t="shared" si="204"/>
        <v>183130</v>
      </c>
      <c r="BR168" s="46">
        <f t="shared" si="205"/>
        <v>0</v>
      </c>
      <c r="BS168" s="46">
        <f t="shared" si="206"/>
        <v>38167</v>
      </c>
      <c r="BT168" s="46">
        <v>0</v>
      </c>
      <c r="BU168" s="46">
        <f t="shared" si="207"/>
        <v>221297</v>
      </c>
      <c r="BV168" s="46">
        <f t="shared" si="208"/>
        <v>38167</v>
      </c>
      <c r="BW168" s="46">
        <f t="shared" si="209"/>
        <v>350928</v>
      </c>
      <c r="BX168" s="46">
        <f t="shared" si="210"/>
        <v>57205</v>
      </c>
      <c r="BY168" s="46">
        <f t="shared" si="211"/>
        <v>-38167</v>
      </c>
      <c r="BZ168" s="46">
        <v>0</v>
      </c>
      <c r="CA168" s="46">
        <f t="shared" si="212"/>
        <v>369966</v>
      </c>
      <c r="CB168" s="46">
        <f t="shared" si="213"/>
        <v>0</v>
      </c>
      <c r="CC168" s="155">
        <f t="shared" si="216"/>
        <v>0</v>
      </c>
      <c r="CD168" s="79" t="s">
        <v>538</v>
      </c>
      <c r="CE168" s="65">
        <f t="shared" si="217"/>
        <v>221297</v>
      </c>
      <c r="CF168" s="65">
        <f t="shared" si="218"/>
        <v>221297</v>
      </c>
      <c r="CG168" s="65">
        <f t="shared" si="219"/>
        <v>201020</v>
      </c>
      <c r="CH168" s="65">
        <f t="shared" si="220"/>
        <v>221297</v>
      </c>
      <c r="CI168" s="65">
        <f t="shared" si="221"/>
        <v>583223</v>
      </c>
      <c r="CJ168" s="65">
        <f t="shared" si="222"/>
        <v>227373</v>
      </c>
      <c r="CK168" s="65">
        <f t="shared" si="223"/>
        <v>371652</v>
      </c>
      <c r="CL168" s="65">
        <f t="shared" si="224"/>
        <v>221297</v>
      </c>
      <c r="CM168" s="65">
        <f t="shared" si="225"/>
        <v>242558</v>
      </c>
      <c r="CN168" s="65">
        <f t="shared" si="226"/>
        <v>385171</v>
      </c>
      <c r="CO168" s="65">
        <f t="shared" si="227"/>
        <v>221297</v>
      </c>
      <c r="CP168" s="65">
        <f t="shared" si="228"/>
        <v>369966</v>
      </c>
      <c r="CQ168" s="40" t="s">
        <v>538</v>
      </c>
    </row>
    <row r="169" spans="1:95" ht="3" customHeight="1" x14ac:dyDescent="0.25">
      <c r="A169" s="39">
        <v>1</v>
      </c>
      <c r="B169" s="28">
        <v>8303</v>
      </c>
      <c r="C169" s="28" t="s">
        <v>203</v>
      </c>
      <c r="D169" s="48">
        <f>+DATA!Q167</f>
        <v>7366208.1189999999</v>
      </c>
      <c r="E169" s="48">
        <f t="shared" si="214"/>
        <v>484942</v>
      </c>
      <c r="F169" s="48">
        <f t="shared" si="215"/>
        <v>736621</v>
      </c>
      <c r="G169" s="49">
        <f>VLOOKUP(B169,'CALC MEC ESTAB Y ESTIM M FINAL'!$B$7:$F$352,5,0)</f>
        <v>3.7180747424E-3</v>
      </c>
      <c r="H169" s="49">
        <f>VLOOKUP(B169,'CALC MEC ESTAB Y ESTIM M FINAL'!$B$7:$R$352,17,0)</f>
        <v>-1.0702161379999999E-4</v>
      </c>
      <c r="I169" s="46">
        <f t="shared" si="154"/>
        <v>297739</v>
      </c>
      <c r="J169" s="46">
        <f t="shared" si="155"/>
        <v>0</v>
      </c>
      <c r="K169" s="46">
        <f t="shared" si="156"/>
        <v>187203</v>
      </c>
      <c r="L169" s="46">
        <v>0</v>
      </c>
      <c r="M169" s="46">
        <f t="shared" si="157"/>
        <v>484942</v>
      </c>
      <c r="N169" s="46">
        <f t="shared" si="158"/>
        <v>187203</v>
      </c>
      <c r="O169" s="46">
        <f t="shared" si="159"/>
        <v>158328</v>
      </c>
      <c r="P169" s="46">
        <f t="shared" si="160"/>
        <v>0</v>
      </c>
      <c r="Q169" s="46">
        <f t="shared" si="161"/>
        <v>326614</v>
      </c>
      <c r="R169" s="46">
        <v>0</v>
      </c>
      <c r="S169" s="46">
        <f t="shared" si="162"/>
        <v>484942</v>
      </c>
      <c r="T169" s="46">
        <f t="shared" si="163"/>
        <v>513817</v>
      </c>
      <c r="U169" s="46">
        <f t="shared" si="164"/>
        <v>451673</v>
      </c>
      <c r="V169" s="46">
        <f t="shared" si="165"/>
        <v>0</v>
      </c>
      <c r="W169" s="46">
        <f t="shared" si="166"/>
        <v>0</v>
      </c>
      <c r="X169" s="46">
        <v>0</v>
      </c>
      <c r="Y169" s="46">
        <f t="shared" si="167"/>
        <v>451673</v>
      </c>
      <c r="Z169" s="46">
        <f t="shared" si="168"/>
        <v>513817</v>
      </c>
      <c r="AA169" s="46">
        <f t="shared" si="169"/>
        <v>239831</v>
      </c>
      <c r="AB169" s="46">
        <f t="shared" si="170"/>
        <v>0</v>
      </c>
      <c r="AC169" s="46">
        <f t="shared" si="171"/>
        <v>245111</v>
      </c>
      <c r="AD169" s="46">
        <v>0</v>
      </c>
      <c r="AE169" s="46">
        <f t="shared" si="172"/>
        <v>484942</v>
      </c>
      <c r="AF169" s="46">
        <f t="shared" si="173"/>
        <v>758928</v>
      </c>
      <c r="AG169" s="46">
        <f t="shared" si="174"/>
        <v>2086982</v>
      </c>
      <c r="AH169" s="46">
        <f t="shared" si="175"/>
        <v>19262</v>
      </c>
      <c r="AI169" s="46">
        <f t="shared" si="176"/>
        <v>-758928</v>
      </c>
      <c r="AJ169" s="46">
        <v>0</v>
      </c>
      <c r="AK169" s="46">
        <f t="shared" si="177"/>
        <v>1347316</v>
      </c>
      <c r="AL169" s="46">
        <f t="shared" si="178"/>
        <v>0</v>
      </c>
      <c r="AM169" s="46">
        <f t="shared" si="179"/>
        <v>413378</v>
      </c>
      <c r="AN169" s="46">
        <f t="shared" si="180"/>
        <v>13651</v>
      </c>
      <c r="AO169" s="46">
        <f t="shared" si="181"/>
        <v>71564</v>
      </c>
      <c r="AP169" s="46">
        <v>0</v>
      </c>
      <c r="AQ169" s="46">
        <f t="shared" si="182"/>
        <v>498593</v>
      </c>
      <c r="AR169" s="46">
        <f t="shared" si="183"/>
        <v>71564</v>
      </c>
      <c r="AS169" s="46">
        <f t="shared" si="184"/>
        <v>821721</v>
      </c>
      <c r="AT169" s="46">
        <f t="shared" si="185"/>
        <v>79774</v>
      </c>
      <c r="AU169" s="46">
        <f t="shared" si="186"/>
        <v>-71564</v>
      </c>
      <c r="AV169" s="46">
        <v>0</v>
      </c>
      <c r="AW169" s="46">
        <f t="shared" si="187"/>
        <v>829931</v>
      </c>
      <c r="AX169" s="46">
        <f t="shared" si="188"/>
        <v>0</v>
      </c>
      <c r="AY169" s="46">
        <f t="shared" si="189"/>
        <v>271427</v>
      </c>
      <c r="AZ169" s="46">
        <f t="shared" si="190"/>
        <v>0</v>
      </c>
      <c r="BA169" s="46">
        <f t="shared" si="191"/>
        <v>213515</v>
      </c>
      <c r="BB169" s="46"/>
      <c r="BC169" s="46">
        <f t="shared" si="192"/>
        <v>484942</v>
      </c>
      <c r="BD169" s="46">
        <f t="shared" si="193"/>
        <v>213515</v>
      </c>
      <c r="BE169" s="46">
        <f t="shared" si="194"/>
        <v>525447</v>
      </c>
      <c r="BF169" s="46">
        <f t="shared" si="195"/>
        <v>19557</v>
      </c>
      <c r="BG169" s="46">
        <f t="shared" si="196"/>
        <v>0</v>
      </c>
      <c r="BH169" s="46">
        <v>0</v>
      </c>
      <c r="BI169" s="46">
        <f t="shared" si="197"/>
        <v>545004</v>
      </c>
      <c r="BJ169" s="46">
        <f t="shared" si="198"/>
        <v>213515</v>
      </c>
      <c r="BK169" s="46">
        <f t="shared" si="199"/>
        <v>1108670</v>
      </c>
      <c r="BL169" s="46">
        <f t="shared" si="200"/>
        <v>0</v>
      </c>
      <c r="BM169" s="46">
        <f t="shared" si="201"/>
        <v>-213515</v>
      </c>
      <c r="BN169" s="46">
        <v>0</v>
      </c>
      <c r="BO169" s="46">
        <f t="shared" si="202"/>
        <v>895155</v>
      </c>
      <c r="BP169" s="46">
        <f t="shared" si="203"/>
        <v>0</v>
      </c>
      <c r="BQ169" s="46">
        <f t="shared" si="204"/>
        <v>411475</v>
      </c>
      <c r="BR169" s="46">
        <f t="shared" si="205"/>
        <v>0</v>
      </c>
      <c r="BS169" s="46">
        <f t="shared" si="206"/>
        <v>73467</v>
      </c>
      <c r="BT169" s="46">
        <v>0</v>
      </c>
      <c r="BU169" s="46">
        <f t="shared" si="207"/>
        <v>484942</v>
      </c>
      <c r="BV169" s="46">
        <f t="shared" si="208"/>
        <v>73467</v>
      </c>
      <c r="BW169" s="46">
        <f t="shared" si="209"/>
        <v>788500</v>
      </c>
      <c r="BX169" s="46">
        <f t="shared" si="210"/>
        <v>128534</v>
      </c>
      <c r="BY169" s="46">
        <f t="shared" si="211"/>
        <v>-73467</v>
      </c>
      <c r="BZ169" s="46">
        <v>0</v>
      </c>
      <c r="CA169" s="46">
        <f t="shared" si="212"/>
        <v>843567</v>
      </c>
      <c r="CB169" s="46">
        <f t="shared" si="213"/>
        <v>0</v>
      </c>
      <c r="CC169" s="155">
        <f t="shared" si="216"/>
        <v>0</v>
      </c>
      <c r="CD169" s="79" t="s">
        <v>538</v>
      </c>
      <c r="CE169" s="65">
        <f t="shared" si="217"/>
        <v>484942</v>
      </c>
      <c r="CF169" s="65">
        <f t="shared" si="218"/>
        <v>484942</v>
      </c>
      <c r="CG169" s="65">
        <f t="shared" si="219"/>
        <v>451673</v>
      </c>
      <c r="CH169" s="65">
        <f t="shared" si="220"/>
        <v>484942</v>
      </c>
      <c r="CI169" s="65">
        <f t="shared" si="221"/>
        <v>1347316</v>
      </c>
      <c r="CJ169" s="65">
        <f t="shared" si="222"/>
        <v>498593</v>
      </c>
      <c r="CK169" s="65">
        <f t="shared" si="223"/>
        <v>829931</v>
      </c>
      <c r="CL169" s="65">
        <f t="shared" si="224"/>
        <v>484942</v>
      </c>
      <c r="CM169" s="65">
        <f t="shared" si="225"/>
        <v>545004</v>
      </c>
      <c r="CN169" s="65">
        <f t="shared" si="226"/>
        <v>895155</v>
      </c>
      <c r="CO169" s="65">
        <f t="shared" si="227"/>
        <v>484942</v>
      </c>
      <c r="CP169" s="65">
        <f t="shared" si="228"/>
        <v>843567</v>
      </c>
      <c r="CQ169" s="40" t="s">
        <v>538</v>
      </c>
    </row>
    <row r="170" spans="1:95" ht="3" customHeight="1" x14ac:dyDescent="0.25">
      <c r="A170" s="39">
        <v>1</v>
      </c>
      <c r="B170" s="28">
        <v>8304</v>
      </c>
      <c r="C170" s="28" t="s">
        <v>197</v>
      </c>
      <c r="D170" s="48">
        <f>+DATA!Q168</f>
        <v>4797427.2120000003</v>
      </c>
      <c r="E170" s="48">
        <f t="shared" si="214"/>
        <v>315831</v>
      </c>
      <c r="F170" s="48">
        <f t="shared" si="215"/>
        <v>479743</v>
      </c>
      <c r="G170" s="49">
        <f>VLOOKUP(B170,'CALC MEC ESTAB Y ESTIM M FINAL'!$B$7:$F$352,5,0)</f>
        <v>2.6795338677E-3</v>
      </c>
      <c r="H170" s="49">
        <f>VLOOKUP(B170,'CALC MEC ESTAB Y ESTIM M FINAL'!$B$7:$R$352,17,0)</f>
        <v>-2.0977527199999999E-4</v>
      </c>
      <c r="I170" s="46">
        <f t="shared" si="154"/>
        <v>203637</v>
      </c>
      <c r="J170" s="46">
        <f t="shared" si="155"/>
        <v>0</v>
      </c>
      <c r="K170" s="46">
        <f t="shared" si="156"/>
        <v>112194</v>
      </c>
      <c r="L170" s="46">
        <v>0</v>
      </c>
      <c r="M170" s="46">
        <f t="shared" si="157"/>
        <v>315831</v>
      </c>
      <c r="N170" s="46">
        <f t="shared" si="158"/>
        <v>112194</v>
      </c>
      <c r="O170" s="46">
        <f t="shared" si="159"/>
        <v>108287</v>
      </c>
      <c r="P170" s="46">
        <f t="shared" si="160"/>
        <v>0</v>
      </c>
      <c r="Q170" s="46">
        <f t="shared" si="161"/>
        <v>207544</v>
      </c>
      <c r="R170" s="46">
        <v>0</v>
      </c>
      <c r="S170" s="46">
        <f t="shared" si="162"/>
        <v>315831</v>
      </c>
      <c r="T170" s="46">
        <f t="shared" si="163"/>
        <v>319738</v>
      </c>
      <c r="U170" s="46">
        <f t="shared" si="164"/>
        <v>308919</v>
      </c>
      <c r="V170" s="46">
        <f t="shared" si="165"/>
        <v>0</v>
      </c>
      <c r="W170" s="46">
        <f t="shared" si="166"/>
        <v>0</v>
      </c>
      <c r="X170" s="46">
        <v>0</v>
      </c>
      <c r="Y170" s="46">
        <f t="shared" si="167"/>
        <v>308919</v>
      </c>
      <c r="Z170" s="46">
        <f t="shared" si="168"/>
        <v>319738</v>
      </c>
      <c r="AA170" s="46">
        <f t="shared" si="169"/>
        <v>164031</v>
      </c>
      <c r="AB170" s="46">
        <f t="shared" si="170"/>
        <v>0</v>
      </c>
      <c r="AC170" s="46">
        <f t="shared" si="171"/>
        <v>151800</v>
      </c>
      <c r="AD170" s="46">
        <v>0</v>
      </c>
      <c r="AE170" s="46">
        <f t="shared" si="172"/>
        <v>315831</v>
      </c>
      <c r="AF170" s="46">
        <f t="shared" si="173"/>
        <v>471538</v>
      </c>
      <c r="AG170" s="46">
        <f t="shared" si="174"/>
        <v>1427379</v>
      </c>
      <c r="AH170" s="46">
        <f t="shared" si="175"/>
        <v>13174</v>
      </c>
      <c r="AI170" s="46">
        <f t="shared" si="176"/>
        <v>-471538</v>
      </c>
      <c r="AJ170" s="46">
        <v>0</v>
      </c>
      <c r="AK170" s="46">
        <f t="shared" si="177"/>
        <v>969015</v>
      </c>
      <c r="AL170" s="46">
        <f t="shared" si="178"/>
        <v>0</v>
      </c>
      <c r="AM170" s="46">
        <f t="shared" si="179"/>
        <v>282727</v>
      </c>
      <c r="AN170" s="46">
        <f t="shared" si="180"/>
        <v>9337</v>
      </c>
      <c r="AO170" s="46">
        <f t="shared" si="181"/>
        <v>33104</v>
      </c>
      <c r="AP170" s="46">
        <v>0</v>
      </c>
      <c r="AQ170" s="46">
        <f t="shared" si="182"/>
        <v>325168</v>
      </c>
      <c r="AR170" s="46">
        <f t="shared" si="183"/>
        <v>33104</v>
      </c>
      <c r="AS170" s="46">
        <f t="shared" si="184"/>
        <v>562011</v>
      </c>
      <c r="AT170" s="46">
        <f t="shared" si="185"/>
        <v>54561</v>
      </c>
      <c r="AU170" s="46">
        <f t="shared" si="186"/>
        <v>-33104</v>
      </c>
      <c r="AV170" s="46">
        <v>0</v>
      </c>
      <c r="AW170" s="46">
        <f t="shared" si="187"/>
        <v>583468</v>
      </c>
      <c r="AX170" s="46">
        <f t="shared" si="188"/>
        <v>0</v>
      </c>
      <c r="AY170" s="46">
        <f t="shared" si="189"/>
        <v>185641</v>
      </c>
      <c r="AZ170" s="46">
        <f t="shared" si="190"/>
        <v>0</v>
      </c>
      <c r="BA170" s="46">
        <f t="shared" si="191"/>
        <v>130190</v>
      </c>
      <c r="BB170" s="46"/>
      <c r="BC170" s="46">
        <f t="shared" si="192"/>
        <v>315831</v>
      </c>
      <c r="BD170" s="46">
        <f t="shared" si="193"/>
        <v>130190</v>
      </c>
      <c r="BE170" s="46">
        <f t="shared" si="194"/>
        <v>359376</v>
      </c>
      <c r="BF170" s="46">
        <f t="shared" si="195"/>
        <v>13376</v>
      </c>
      <c r="BG170" s="46">
        <f t="shared" si="196"/>
        <v>0</v>
      </c>
      <c r="BH170" s="46">
        <v>0</v>
      </c>
      <c r="BI170" s="46">
        <f t="shared" si="197"/>
        <v>372752</v>
      </c>
      <c r="BJ170" s="46">
        <f t="shared" si="198"/>
        <v>130190</v>
      </c>
      <c r="BK170" s="46">
        <f t="shared" si="199"/>
        <v>758269</v>
      </c>
      <c r="BL170" s="46">
        <f t="shared" si="200"/>
        <v>0</v>
      </c>
      <c r="BM170" s="46">
        <f t="shared" si="201"/>
        <v>-130190</v>
      </c>
      <c r="BN170" s="46">
        <v>0</v>
      </c>
      <c r="BO170" s="46">
        <f t="shared" si="202"/>
        <v>628079</v>
      </c>
      <c r="BP170" s="46">
        <f t="shared" si="203"/>
        <v>0</v>
      </c>
      <c r="BQ170" s="46">
        <f t="shared" si="204"/>
        <v>281426</v>
      </c>
      <c r="BR170" s="46">
        <f t="shared" si="205"/>
        <v>0</v>
      </c>
      <c r="BS170" s="46">
        <f t="shared" si="206"/>
        <v>34405</v>
      </c>
      <c r="BT170" s="46">
        <v>0</v>
      </c>
      <c r="BU170" s="46">
        <f t="shared" si="207"/>
        <v>315831</v>
      </c>
      <c r="BV170" s="46">
        <f t="shared" si="208"/>
        <v>34405</v>
      </c>
      <c r="BW170" s="46">
        <f t="shared" si="209"/>
        <v>539290</v>
      </c>
      <c r="BX170" s="46">
        <f t="shared" si="210"/>
        <v>87910</v>
      </c>
      <c r="BY170" s="46">
        <f t="shared" si="211"/>
        <v>-34405</v>
      </c>
      <c r="BZ170" s="46">
        <v>0</v>
      </c>
      <c r="CA170" s="46">
        <f t="shared" si="212"/>
        <v>592795</v>
      </c>
      <c r="CB170" s="46">
        <f t="shared" si="213"/>
        <v>0</v>
      </c>
      <c r="CC170" s="155">
        <f t="shared" si="216"/>
        <v>0</v>
      </c>
      <c r="CD170" s="79" t="s">
        <v>538</v>
      </c>
      <c r="CE170" s="65">
        <f t="shared" si="217"/>
        <v>315831</v>
      </c>
      <c r="CF170" s="65">
        <f t="shared" si="218"/>
        <v>315831</v>
      </c>
      <c r="CG170" s="65">
        <f t="shared" si="219"/>
        <v>308919</v>
      </c>
      <c r="CH170" s="65">
        <f t="shared" si="220"/>
        <v>315831</v>
      </c>
      <c r="CI170" s="65">
        <f t="shared" si="221"/>
        <v>969015</v>
      </c>
      <c r="CJ170" s="65">
        <f t="shared" si="222"/>
        <v>325168</v>
      </c>
      <c r="CK170" s="65">
        <f t="shared" si="223"/>
        <v>583468</v>
      </c>
      <c r="CL170" s="65">
        <f t="shared" si="224"/>
        <v>315831</v>
      </c>
      <c r="CM170" s="65">
        <f t="shared" si="225"/>
        <v>372752</v>
      </c>
      <c r="CN170" s="65">
        <f t="shared" si="226"/>
        <v>628079</v>
      </c>
      <c r="CO170" s="65">
        <f t="shared" si="227"/>
        <v>315831</v>
      </c>
      <c r="CP170" s="65">
        <f t="shared" si="228"/>
        <v>592795</v>
      </c>
      <c r="CQ170" s="40" t="s">
        <v>538</v>
      </c>
    </row>
    <row r="171" spans="1:95" ht="3" customHeight="1" x14ac:dyDescent="0.25">
      <c r="A171" s="39">
        <v>1</v>
      </c>
      <c r="B171" s="28">
        <v>8305</v>
      </c>
      <c r="C171" s="28" t="s">
        <v>398</v>
      </c>
      <c r="D171" s="48">
        <f>+DATA!Q169</f>
        <v>4046976.179</v>
      </c>
      <c r="E171" s="48">
        <f t="shared" si="214"/>
        <v>266426</v>
      </c>
      <c r="F171" s="48">
        <f t="shared" si="215"/>
        <v>404698</v>
      </c>
      <c r="G171" s="49">
        <f>VLOOKUP(B171,'CALC MEC ESTAB Y ESTIM M FINAL'!$B$7:$F$352,5,0)</f>
        <v>1.9041084119999999E-3</v>
      </c>
      <c r="H171" s="49">
        <f>VLOOKUP(B171,'CALC MEC ESTAB Y ESTIM M FINAL'!$B$7:$R$352,17,0)</f>
        <v>3.0754718199999998E-5</v>
      </c>
      <c r="I171" s="46">
        <f t="shared" si="154"/>
        <v>159534</v>
      </c>
      <c r="J171" s="46">
        <f t="shared" si="155"/>
        <v>0</v>
      </c>
      <c r="K171" s="46">
        <f t="shared" si="156"/>
        <v>106892</v>
      </c>
      <c r="L171" s="46">
        <v>0</v>
      </c>
      <c r="M171" s="46">
        <f t="shared" si="157"/>
        <v>266426</v>
      </c>
      <c r="N171" s="46">
        <f t="shared" si="158"/>
        <v>106892</v>
      </c>
      <c r="O171" s="46">
        <f t="shared" si="159"/>
        <v>84835</v>
      </c>
      <c r="P171" s="46">
        <f t="shared" si="160"/>
        <v>0</v>
      </c>
      <c r="Q171" s="46">
        <f t="shared" si="161"/>
        <v>181591</v>
      </c>
      <c r="R171" s="46">
        <v>0</v>
      </c>
      <c r="S171" s="46">
        <f t="shared" si="162"/>
        <v>266426</v>
      </c>
      <c r="T171" s="46">
        <f t="shared" si="163"/>
        <v>288483</v>
      </c>
      <c r="U171" s="46">
        <f t="shared" si="164"/>
        <v>242014</v>
      </c>
      <c r="V171" s="46">
        <f t="shared" si="165"/>
        <v>0</v>
      </c>
      <c r="W171" s="46">
        <f t="shared" si="166"/>
        <v>0</v>
      </c>
      <c r="X171" s="46">
        <v>0</v>
      </c>
      <c r="Y171" s="46">
        <f t="shared" si="167"/>
        <v>242014</v>
      </c>
      <c r="Z171" s="46">
        <f t="shared" si="168"/>
        <v>288483</v>
      </c>
      <c r="AA171" s="46">
        <f t="shared" si="169"/>
        <v>128506</v>
      </c>
      <c r="AB171" s="46">
        <f t="shared" si="170"/>
        <v>0</v>
      </c>
      <c r="AC171" s="46">
        <f t="shared" si="171"/>
        <v>137920</v>
      </c>
      <c r="AD171" s="46">
        <v>0</v>
      </c>
      <c r="AE171" s="46">
        <f t="shared" si="172"/>
        <v>266426</v>
      </c>
      <c r="AF171" s="46">
        <f t="shared" si="173"/>
        <v>426403</v>
      </c>
      <c r="AG171" s="46">
        <f t="shared" si="174"/>
        <v>1118240</v>
      </c>
      <c r="AH171" s="46">
        <f t="shared" si="175"/>
        <v>10321</v>
      </c>
      <c r="AI171" s="46">
        <f t="shared" si="176"/>
        <v>-426403</v>
      </c>
      <c r="AJ171" s="46">
        <v>0</v>
      </c>
      <c r="AK171" s="46">
        <f t="shared" si="177"/>
        <v>702158</v>
      </c>
      <c r="AL171" s="46">
        <f t="shared" si="178"/>
        <v>0</v>
      </c>
      <c r="AM171" s="46">
        <f t="shared" si="179"/>
        <v>221495</v>
      </c>
      <c r="AN171" s="46">
        <f t="shared" si="180"/>
        <v>7315</v>
      </c>
      <c r="AO171" s="46">
        <f t="shared" si="181"/>
        <v>44931</v>
      </c>
      <c r="AP171" s="46">
        <v>0</v>
      </c>
      <c r="AQ171" s="46">
        <f t="shared" si="182"/>
        <v>273741</v>
      </c>
      <c r="AR171" s="46">
        <f t="shared" si="183"/>
        <v>44931</v>
      </c>
      <c r="AS171" s="46">
        <f t="shared" si="184"/>
        <v>440292</v>
      </c>
      <c r="AT171" s="46">
        <f t="shared" si="185"/>
        <v>42744</v>
      </c>
      <c r="AU171" s="46">
        <f t="shared" si="186"/>
        <v>-35594</v>
      </c>
      <c r="AV171" s="46">
        <v>0</v>
      </c>
      <c r="AW171" s="46">
        <f t="shared" si="187"/>
        <v>447442</v>
      </c>
      <c r="AX171" s="46">
        <f t="shared" si="188"/>
        <v>9337</v>
      </c>
      <c r="AY171" s="46">
        <f t="shared" si="189"/>
        <v>145435</v>
      </c>
      <c r="AZ171" s="46">
        <f t="shared" si="190"/>
        <v>0</v>
      </c>
      <c r="BA171" s="46">
        <f t="shared" si="191"/>
        <v>120991</v>
      </c>
      <c r="BB171" s="46"/>
      <c r="BC171" s="46">
        <f t="shared" si="192"/>
        <v>266426</v>
      </c>
      <c r="BD171" s="46">
        <f t="shared" si="193"/>
        <v>130328</v>
      </c>
      <c r="BE171" s="46">
        <f t="shared" si="194"/>
        <v>281543</v>
      </c>
      <c r="BF171" s="46">
        <f t="shared" si="195"/>
        <v>10479</v>
      </c>
      <c r="BG171" s="46">
        <f t="shared" si="196"/>
        <v>0</v>
      </c>
      <c r="BH171" s="46">
        <v>0</v>
      </c>
      <c r="BI171" s="46">
        <f t="shared" si="197"/>
        <v>292022</v>
      </c>
      <c r="BJ171" s="46">
        <f t="shared" si="198"/>
        <v>130328</v>
      </c>
      <c r="BK171" s="46">
        <f t="shared" si="199"/>
        <v>594044</v>
      </c>
      <c r="BL171" s="46">
        <f t="shared" si="200"/>
        <v>0</v>
      </c>
      <c r="BM171" s="46">
        <f t="shared" si="201"/>
        <v>-130328</v>
      </c>
      <c r="BN171" s="46">
        <v>0</v>
      </c>
      <c r="BO171" s="46">
        <f t="shared" si="202"/>
        <v>463716</v>
      </c>
      <c r="BP171" s="46">
        <f t="shared" si="203"/>
        <v>0</v>
      </c>
      <c r="BQ171" s="46">
        <f t="shared" si="204"/>
        <v>220475</v>
      </c>
      <c r="BR171" s="46">
        <f t="shared" si="205"/>
        <v>0</v>
      </c>
      <c r="BS171" s="46">
        <f t="shared" si="206"/>
        <v>45951</v>
      </c>
      <c r="BT171" s="46">
        <v>0</v>
      </c>
      <c r="BU171" s="46">
        <f t="shared" si="207"/>
        <v>266426</v>
      </c>
      <c r="BV171" s="46">
        <f t="shared" si="208"/>
        <v>45951</v>
      </c>
      <c r="BW171" s="46">
        <f t="shared" si="209"/>
        <v>422491</v>
      </c>
      <c r="BX171" s="46">
        <f t="shared" si="210"/>
        <v>68870</v>
      </c>
      <c r="BY171" s="46">
        <f t="shared" si="211"/>
        <v>-45951</v>
      </c>
      <c r="BZ171" s="46">
        <v>0</v>
      </c>
      <c r="CA171" s="46">
        <f t="shared" si="212"/>
        <v>445410</v>
      </c>
      <c r="CB171" s="46">
        <f t="shared" si="213"/>
        <v>0</v>
      </c>
      <c r="CC171" s="155">
        <f t="shared" si="216"/>
        <v>0</v>
      </c>
      <c r="CD171" s="79" t="s">
        <v>538</v>
      </c>
      <c r="CE171" s="65">
        <f t="shared" si="217"/>
        <v>266426</v>
      </c>
      <c r="CF171" s="65">
        <f t="shared" si="218"/>
        <v>266426</v>
      </c>
      <c r="CG171" s="65">
        <f t="shared" si="219"/>
        <v>242014</v>
      </c>
      <c r="CH171" s="65">
        <f t="shared" si="220"/>
        <v>266426</v>
      </c>
      <c r="CI171" s="65">
        <f t="shared" si="221"/>
        <v>702158</v>
      </c>
      <c r="CJ171" s="65">
        <f t="shared" si="222"/>
        <v>273741</v>
      </c>
      <c r="CK171" s="65">
        <f t="shared" si="223"/>
        <v>447442</v>
      </c>
      <c r="CL171" s="65">
        <f t="shared" si="224"/>
        <v>266426</v>
      </c>
      <c r="CM171" s="65">
        <f t="shared" si="225"/>
        <v>292022</v>
      </c>
      <c r="CN171" s="65">
        <f t="shared" si="226"/>
        <v>463716</v>
      </c>
      <c r="CO171" s="65">
        <f t="shared" si="227"/>
        <v>266426</v>
      </c>
      <c r="CP171" s="65">
        <f t="shared" si="228"/>
        <v>445410</v>
      </c>
      <c r="CQ171" s="40" t="s">
        <v>538</v>
      </c>
    </row>
    <row r="172" spans="1:95" ht="3" customHeight="1" x14ac:dyDescent="0.25">
      <c r="A172" s="39">
        <v>1</v>
      </c>
      <c r="B172" s="28">
        <v>8306</v>
      </c>
      <c r="C172" s="28" t="s">
        <v>199</v>
      </c>
      <c r="D172" s="48">
        <f>+DATA!Q170</f>
        <v>4485738.7089999998</v>
      </c>
      <c r="E172" s="48">
        <f t="shared" si="214"/>
        <v>295311</v>
      </c>
      <c r="F172" s="48">
        <f t="shared" si="215"/>
        <v>448574</v>
      </c>
      <c r="G172" s="49">
        <f>VLOOKUP(B172,'CALC MEC ESTAB Y ESTIM M FINAL'!$B$7:$F$352,5,0)</f>
        <v>2.6372971153999997E-3</v>
      </c>
      <c r="H172" s="49">
        <f>VLOOKUP(B172,'CALC MEC ESTAB Y ESTIM M FINAL'!$B$7:$R$352,17,0)</f>
        <v>-2.6835590569999998E-4</v>
      </c>
      <c r="I172" s="46">
        <f t="shared" si="154"/>
        <v>195324</v>
      </c>
      <c r="J172" s="46">
        <f t="shared" si="155"/>
        <v>0</v>
      </c>
      <c r="K172" s="46">
        <f t="shared" si="156"/>
        <v>99987</v>
      </c>
      <c r="L172" s="46">
        <v>0</v>
      </c>
      <c r="M172" s="46">
        <f t="shared" si="157"/>
        <v>295311</v>
      </c>
      <c r="N172" s="46">
        <f t="shared" si="158"/>
        <v>99987</v>
      </c>
      <c r="O172" s="46">
        <f t="shared" si="159"/>
        <v>103867</v>
      </c>
      <c r="P172" s="46">
        <f t="shared" si="160"/>
        <v>0</v>
      </c>
      <c r="Q172" s="46">
        <f t="shared" si="161"/>
        <v>191444</v>
      </c>
      <c r="R172" s="46">
        <v>0</v>
      </c>
      <c r="S172" s="46">
        <f t="shared" si="162"/>
        <v>295311</v>
      </c>
      <c r="T172" s="46">
        <f t="shared" si="163"/>
        <v>291431</v>
      </c>
      <c r="U172" s="46">
        <f t="shared" si="164"/>
        <v>296309</v>
      </c>
      <c r="V172" s="46">
        <f t="shared" si="165"/>
        <v>0</v>
      </c>
      <c r="W172" s="46">
        <f t="shared" si="166"/>
        <v>0</v>
      </c>
      <c r="X172" s="46">
        <v>0</v>
      </c>
      <c r="Y172" s="46">
        <f t="shared" si="167"/>
        <v>296309</v>
      </c>
      <c r="Z172" s="46">
        <f t="shared" si="168"/>
        <v>291431</v>
      </c>
      <c r="AA172" s="46">
        <f t="shared" si="169"/>
        <v>157335</v>
      </c>
      <c r="AB172" s="46">
        <f t="shared" si="170"/>
        <v>0</v>
      </c>
      <c r="AC172" s="46">
        <f t="shared" si="171"/>
        <v>137976</v>
      </c>
      <c r="AD172" s="46">
        <v>0</v>
      </c>
      <c r="AE172" s="46">
        <f t="shared" si="172"/>
        <v>295311</v>
      </c>
      <c r="AF172" s="46">
        <f t="shared" si="173"/>
        <v>429407</v>
      </c>
      <c r="AG172" s="46">
        <f t="shared" si="174"/>
        <v>1369112</v>
      </c>
      <c r="AH172" s="46">
        <f t="shared" si="175"/>
        <v>12637</v>
      </c>
      <c r="AI172" s="46">
        <f t="shared" si="176"/>
        <v>-429407</v>
      </c>
      <c r="AJ172" s="46">
        <v>0</v>
      </c>
      <c r="AK172" s="46">
        <f t="shared" si="177"/>
        <v>952342</v>
      </c>
      <c r="AL172" s="46">
        <f t="shared" si="178"/>
        <v>0</v>
      </c>
      <c r="AM172" s="46">
        <f t="shared" si="179"/>
        <v>271186</v>
      </c>
      <c r="AN172" s="46">
        <f t="shared" si="180"/>
        <v>8956</v>
      </c>
      <c r="AO172" s="46">
        <f t="shared" si="181"/>
        <v>24125</v>
      </c>
      <c r="AP172" s="46">
        <v>0</v>
      </c>
      <c r="AQ172" s="46">
        <f t="shared" si="182"/>
        <v>304267</v>
      </c>
      <c r="AR172" s="46">
        <f t="shared" si="183"/>
        <v>24125</v>
      </c>
      <c r="AS172" s="46">
        <f t="shared" si="184"/>
        <v>539070</v>
      </c>
      <c r="AT172" s="46">
        <f t="shared" si="185"/>
        <v>52334</v>
      </c>
      <c r="AU172" s="46">
        <f t="shared" si="186"/>
        <v>-24125</v>
      </c>
      <c r="AV172" s="46">
        <v>0</v>
      </c>
      <c r="AW172" s="46">
        <f t="shared" si="187"/>
        <v>567279</v>
      </c>
      <c r="AX172" s="46">
        <f t="shared" si="188"/>
        <v>0</v>
      </c>
      <c r="AY172" s="46">
        <f t="shared" si="189"/>
        <v>178063</v>
      </c>
      <c r="AZ172" s="46">
        <f t="shared" si="190"/>
        <v>0</v>
      </c>
      <c r="BA172" s="46">
        <f t="shared" si="191"/>
        <v>117248</v>
      </c>
      <c r="BB172" s="46"/>
      <c r="BC172" s="46">
        <f t="shared" si="192"/>
        <v>295311</v>
      </c>
      <c r="BD172" s="46">
        <f t="shared" si="193"/>
        <v>117248</v>
      </c>
      <c r="BE172" s="46">
        <f t="shared" si="194"/>
        <v>344706</v>
      </c>
      <c r="BF172" s="46">
        <f t="shared" si="195"/>
        <v>12830</v>
      </c>
      <c r="BG172" s="46">
        <f t="shared" si="196"/>
        <v>0</v>
      </c>
      <c r="BH172" s="46">
        <v>0</v>
      </c>
      <c r="BI172" s="46">
        <f t="shared" si="197"/>
        <v>357536</v>
      </c>
      <c r="BJ172" s="46">
        <f t="shared" si="198"/>
        <v>117248</v>
      </c>
      <c r="BK172" s="46">
        <f t="shared" si="199"/>
        <v>727315</v>
      </c>
      <c r="BL172" s="46">
        <f t="shared" si="200"/>
        <v>0</v>
      </c>
      <c r="BM172" s="46">
        <f t="shared" si="201"/>
        <v>-117248</v>
      </c>
      <c r="BN172" s="46">
        <v>0</v>
      </c>
      <c r="BO172" s="46">
        <f t="shared" si="202"/>
        <v>610067</v>
      </c>
      <c r="BP172" s="46">
        <f t="shared" si="203"/>
        <v>0</v>
      </c>
      <c r="BQ172" s="46">
        <f t="shared" si="204"/>
        <v>269938</v>
      </c>
      <c r="BR172" s="46">
        <f t="shared" si="205"/>
        <v>0</v>
      </c>
      <c r="BS172" s="46">
        <f t="shared" si="206"/>
        <v>25373</v>
      </c>
      <c r="BT172" s="46">
        <v>0</v>
      </c>
      <c r="BU172" s="46">
        <f t="shared" si="207"/>
        <v>295311</v>
      </c>
      <c r="BV172" s="46">
        <f t="shared" si="208"/>
        <v>25373</v>
      </c>
      <c r="BW172" s="46">
        <f t="shared" si="209"/>
        <v>517276</v>
      </c>
      <c r="BX172" s="46">
        <f t="shared" si="210"/>
        <v>84321</v>
      </c>
      <c r="BY172" s="46">
        <f t="shared" si="211"/>
        <v>-25373</v>
      </c>
      <c r="BZ172" s="46">
        <v>0</v>
      </c>
      <c r="CA172" s="46">
        <f t="shared" si="212"/>
        <v>576224</v>
      </c>
      <c r="CB172" s="46">
        <f t="shared" si="213"/>
        <v>0</v>
      </c>
      <c r="CC172" s="155">
        <f t="shared" si="216"/>
        <v>0</v>
      </c>
      <c r="CD172" s="79" t="s">
        <v>538</v>
      </c>
      <c r="CE172" s="65">
        <f t="shared" si="217"/>
        <v>295311</v>
      </c>
      <c r="CF172" s="65">
        <f t="shared" si="218"/>
        <v>295311</v>
      </c>
      <c r="CG172" s="65">
        <f t="shared" si="219"/>
        <v>296309</v>
      </c>
      <c r="CH172" s="65">
        <f t="shared" si="220"/>
        <v>295311</v>
      </c>
      <c r="CI172" s="65">
        <f t="shared" si="221"/>
        <v>952342</v>
      </c>
      <c r="CJ172" s="65">
        <f t="shared" si="222"/>
        <v>304267</v>
      </c>
      <c r="CK172" s="65">
        <f t="shared" si="223"/>
        <v>567279</v>
      </c>
      <c r="CL172" s="65">
        <f t="shared" si="224"/>
        <v>295311</v>
      </c>
      <c r="CM172" s="65">
        <f t="shared" si="225"/>
        <v>357536</v>
      </c>
      <c r="CN172" s="65">
        <f t="shared" si="226"/>
        <v>610067</v>
      </c>
      <c r="CO172" s="65">
        <f t="shared" si="227"/>
        <v>295311</v>
      </c>
      <c r="CP172" s="65">
        <f t="shared" si="228"/>
        <v>576224</v>
      </c>
      <c r="CQ172" s="40" t="s">
        <v>538</v>
      </c>
    </row>
    <row r="173" spans="1:95" ht="3" customHeight="1" x14ac:dyDescent="0.25">
      <c r="A173" s="39">
        <v>1</v>
      </c>
      <c r="B173" s="28">
        <v>8307</v>
      </c>
      <c r="C173" s="28" t="s">
        <v>200</v>
      </c>
      <c r="D173" s="48">
        <f>+DATA!Q171</f>
        <v>2470370.8020000001</v>
      </c>
      <c r="E173" s="48">
        <f t="shared" si="214"/>
        <v>162633</v>
      </c>
      <c r="F173" s="48">
        <f t="shared" si="215"/>
        <v>247037</v>
      </c>
      <c r="G173" s="49">
        <f>VLOOKUP(B173,'CALC MEC ESTAB Y ESTIM M FINAL'!$B$7:$F$352,5,0)</f>
        <v>1.4121244970999999E-3</v>
      </c>
      <c r="H173" s="49">
        <f>VLOOKUP(B173,'CALC MEC ESTAB Y ESTIM M FINAL'!$B$7:$R$352,17,0)</f>
        <v>-1.260220142E-4</v>
      </c>
      <c r="I173" s="46">
        <f t="shared" si="154"/>
        <v>106042</v>
      </c>
      <c r="J173" s="46">
        <f t="shared" si="155"/>
        <v>0</v>
      </c>
      <c r="K173" s="46">
        <f t="shared" si="156"/>
        <v>56591</v>
      </c>
      <c r="L173" s="46">
        <v>0</v>
      </c>
      <c r="M173" s="46">
        <f t="shared" si="157"/>
        <v>162633</v>
      </c>
      <c r="N173" s="46">
        <f t="shared" si="158"/>
        <v>56591</v>
      </c>
      <c r="O173" s="46">
        <f t="shared" si="159"/>
        <v>56390</v>
      </c>
      <c r="P173" s="46">
        <f t="shared" si="160"/>
        <v>0</v>
      </c>
      <c r="Q173" s="46">
        <f t="shared" si="161"/>
        <v>106243</v>
      </c>
      <c r="R173" s="46">
        <v>0</v>
      </c>
      <c r="S173" s="46">
        <f t="shared" si="162"/>
        <v>162633</v>
      </c>
      <c r="T173" s="46">
        <f t="shared" si="163"/>
        <v>162834</v>
      </c>
      <c r="U173" s="46">
        <f t="shared" si="164"/>
        <v>160867</v>
      </c>
      <c r="V173" s="46">
        <f t="shared" si="165"/>
        <v>0</v>
      </c>
      <c r="W173" s="46">
        <f t="shared" si="166"/>
        <v>0</v>
      </c>
      <c r="X173" s="46">
        <v>0</v>
      </c>
      <c r="Y173" s="46">
        <f t="shared" si="167"/>
        <v>160867</v>
      </c>
      <c r="Z173" s="46">
        <f t="shared" si="168"/>
        <v>162834</v>
      </c>
      <c r="AA173" s="46">
        <f t="shared" si="169"/>
        <v>85418</v>
      </c>
      <c r="AB173" s="46">
        <f t="shared" si="170"/>
        <v>0</v>
      </c>
      <c r="AC173" s="46">
        <f t="shared" si="171"/>
        <v>77215</v>
      </c>
      <c r="AD173" s="46">
        <v>0</v>
      </c>
      <c r="AE173" s="46">
        <f t="shared" si="172"/>
        <v>162633</v>
      </c>
      <c r="AF173" s="46">
        <f t="shared" si="173"/>
        <v>240049</v>
      </c>
      <c r="AG173" s="46">
        <f t="shared" si="174"/>
        <v>743293</v>
      </c>
      <c r="AH173" s="46">
        <f t="shared" si="175"/>
        <v>6860</v>
      </c>
      <c r="AI173" s="46">
        <f t="shared" si="176"/>
        <v>-240049</v>
      </c>
      <c r="AJ173" s="46">
        <v>0</v>
      </c>
      <c r="AK173" s="46">
        <f t="shared" si="177"/>
        <v>510104</v>
      </c>
      <c r="AL173" s="46">
        <f t="shared" si="178"/>
        <v>0</v>
      </c>
      <c r="AM173" s="46">
        <f t="shared" si="179"/>
        <v>147227</v>
      </c>
      <c r="AN173" s="46">
        <f t="shared" si="180"/>
        <v>4862</v>
      </c>
      <c r="AO173" s="46">
        <f t="shared" si="181"/>
        <v>15406</v>
      </c>
      <c r="AP173" s="46">
        <v>0</v>
      </c>
      <c r="AQ173" s="46">
        <f t="shared" si="182"/>
        <v>167495</v>
      </c>
      <c r="AR173" s="46">
        <f t="shared" si="183"/>
        <v>15406</v>
      </c>
      <c r="AS173" s="46">
        <f t="shared" si="184"/>
        <v>292662</v>
      </c>
      <c r="AT173" s="46">
        <f t="shared" si="185"/>
        <v>28412</v>
      </c>
      <c r="AU173" s="46">
        <f t="shared" si="186"/>
        <v>-15406</v>
      </c>
      <c r="AV173" s="46">
        <v>0</v>
      </c>
      <c r="AW173" s="46">
        <f t="shared" si="187"/>
        <v>305668</v>
      </c>
      <c r="AX173" s="46">
        <f t="shared" si="188"/>
        <v>0</v>
      </c>
      <c r="AY173" s="46">
        <f t="shared" si="189"/>
        <v>96671</v>
      </c>
      <c r="AZ173" s="46">
        <f t="shared" si="190"/>
        <v>0</v>
      </c>
      <c r="BA173" s="46">
        <f t="shared" si="191"/>
        <v>65962</v>
      </c>
      <c r="BB173" s="46"/>
      <c r="BC173" s="46">
        <f t="shared" si="192"/>
        <v>162633</v>
      </c>
      <c r="BD173" s="46">
        <f t="shared" si="193"/>
        <v>65962</v>
      </c>
      <c r="BE173" s="46">
        <f t="shared" si="194"/>
        <v>187142</v>
      </c>
      <c r="BF173" s="46">
        <f t="shared" si="195"/>
        <v>6965</v>
      </c>
      <c r="BG173" s="46">
        <f t="shared" si="196"/>
        <v>0</v>
      </c>
      <c r="BH173" s="46">
        <v>0</v>
      </c>
      <c r="BI173" s="46">
        <f t="shared" si="197"/>
        <v>194107</v>
      </c>
      <c r="BJ173" s="46">
        <f t="shared" si="198"/>
        <v>65962</v>
      </c>
      <c r="BK173" s="46">
        <f t="shared" si="199"/>
        <v>394861</v>
      </c>
      <c r="BL173" s="46">
        <f t="shared" si="200"/>
        <v>0</v>
      </c>
      <c r="BM173" s="46">
        <f t="shared" si="201"/>
        <v>-65962</v>
      </c>
      <c r="BN173" s="46">
        <v>0</v>
      </c>
      <c r="BO173" s="46">
        <f t="shared" si="202"/>
        <v>328899</v>
      </c>
      <c r="BP173" s="46">
        <f t="shared" si="203"/>
        <v>0</v>
      </c>
      <c r="BQ173" s="46">
        <f t="shared" si="204"/>
        <v>146550</v>
      </c>
      <c r="BR173" s="46">
        <f t="shared" si="205"/>
        <v>0</v>
      </c>
      <c r="BS173" s="46">
        <f t="shared" si="206"/>
        <v>16083</v>
      </c>
      <c r="BT173" s="46">
        <v>0</v>
      </c>
      <c r="BU173" s="46">
        <f t="shared" si="207"/>
        <v>162633</v>
      </c>
      <c r="BV173" s="46">
        <f t="shared" si="208"/>
        <v>16083</v>
      </c>
      <c r="BW173" s="46">
        <f t="shared" si="209"/>
        <v>280830</v>
      </c>
      <c r="BX173" s="46">
        <f t="shared" si="210"/>
        <v>45778</v>
      </c>
      <c r="BY173" s="46">
        <f t="shared" si="211"/>
        <v>-16083</v>
      </c>
      <c r="BZ173" s="46">
        <v>0</v>
      </c>
      <c r="CA173" s="46">
        <f t="shared" si="212"/>
        <v>310525</v>
      </c>
      <c r="CB173" s="46">
        <f t="shared" si="213"/>
        <v>0</v>
      </c>
      <c r="CC173" s="155">
        <f t="shared" si="216"/>
        <v>0</v>
      </c>
      <c r="CD173" s="79" t="s">
        <v>538</v>
      </c>
      <c r="CE173" s="65">
        <f t="shared" si="217"/>
        <v>162633</v>
      </c>
      <c r="CF173" s="65">
        <f t="shared" si="218"/>
        <v>162633</v>
      </c>
      <c r="CG173" s="65">
        <f t="shared" si="219"/>
        <v>160867</v>
      </c>
      <c r="CH173" s="65">
        <f t="shared" si="220"/>
        <v>162633</v>
      </c>
      <c r="CI173" s="65">
        <f t="shared" si="221"/>
        <v>510104</v>
      </c>
      <c r="CJ173" s="65">
        <f t="shared" si="222"/>
        <v>167495</v>
      </c>
      <c r="CK173" s="65">
        <f t="shared" si="223"/>
        <v>305668</v>
      </c>
      <c r="CL173" s="65">
        <f t="shared" si="224"/>
        <v>162633</v>
      </c>
      <c r="CM173" s="65">
        <f t="shared" si="225"/>
        <v>194107</v>
      </c>
      <c r="CN173" s="65">
        <f t="shared" si="226"/>
        <v>328899</v>
      </c>
      <c r="CO173" s="65">
        <f t="shared" si="227"/>
        <v>162633</v>
      </c>
      <c r="CP173" s="65">
        <f t="shared" si="228"/>
        <v>310525</v>
      </c>
      <c r="CQ173" s="40" t="s">
        <v>538</v>
      </c>
    </row>
    <row r="174" spans="1:95" ht="3" customHeight="1" x14ac:dyDescent="0.25">
      <c r="A174" s="39">
        <v>1</v>
      </c>
      <c r="B174" s="28">
        <v>8308</v>
      </c>
      <c r="C174" s="28" t="s">
        <v>201</v>
      </c>
      <c r="D174" s="48">
        <f>+DATA!Q172</f>
        <v>1730287.077</v>
      </c>
      <c r="E174" s="48">
        <f t="shared" si="214"/>
        <v>113911</v>
      </c>
      <c r="F174" s="48">
        <f t="shared" si="215"/>
        <v>173029</v>
      </c>
      <c r="G174" s="49">
        <f>VLOOKUP(B174,'CALC MEC ESTAB Y ESTIM M FINAL'!$B$7:$F$352,5,0)</f>
        <v>9.058392305999999E-4</v>
      </c>
      <c r="H174" s="49">
        <f>VLOOKUP(B174,'CALC MEC ESTAB Y ESTIM M FINAL'!$B$7:$R$352,17,0)</f>
        <v>-4.2835632899999999E-5</v>
      </c>
      <c r="I174" s="46">
        <f t="shared" si="154"/>
        <v>71157</v>
      </c>
      <c r="J174" s="46">
        <f t="shared" si="155"/>
        <v>0</v>
      </c>
      <c r="K174" s="46">
        <f t="shared" si="156"/>
        <v>42754</v>
      </c>
      <c r="L174" s="46">
        <v>0</v>
      </c>
      <c r="M174" s="46">
        <f t="shared" si="157"/>
        <v>113911</v>
      </c>
      <c r="N174" s="46">
        <f t="shared" si="158"/>
        <v>42754</v>
      </c>
      <c r="O174" s="46">
        <f t="shared" si="159"/>
        <v>37839</v>
      </c>
      <c r="P174" s="46">
        <f t="shared" si="160"/>
        <v>0</v>
      </c>
      <c r="Q174" s="46">
        <f t="shared" si="161"/>
        <v>76072</v>
      </c>
      <c r="R174" s="46">
        <v>0</v>
      </c>
      <c r="S174" s="46">
        <f t="shared" si="162"/>
        <v>113911</v>
      </c>
      <c r="T174" s="46">
        <f t="shared" si="163"/>
        <v>118826</v>
      </c>
      <c r="U174" s="46">
        <f t="shared" si="164"/>
        <v>107945</v>
      </c>
      <c r="V174" s="46">
        <f t="shared" si="165"/>
        <v>0</v>
      </c>
      <c r="W174" s="46">
        <f t="shared" si="166"/>
        <v>0</v>
      </c>
      <c r="X174" s="46">
        <v>0</v>
      </c>
      <c r="Y174" s="46">
        <f t="shared" si="167"/>
        <v>107945</v>
      </c>
      <c r="Z174" s="46">
        <f t="shared" si="168"/>
        <v>118826</v>
      </c>
      <c r="AA174" s="46">
        <f t="shared" si="169"/>
        <v>57317</v>
      </c>
      <c r="AB174" s="46">
        <f t="shared" si="170"/>
        <v>0</v>
      </c>
      <c r="AC174" s="46">
        <f t="shared" si="171"/>
        <v>56594</v>
      </c>
      <c r="AD174" s="46">
        <v>0</v>
      </c>
      <c r="AE174" s="46">
        <f t="shared" si="172"/>
        <v>113911</v>
      </c>
      <c r="AF174" s="46">
        <f t="shared" si="173"/>
        <v>175420</v>
      </c>
      <c r="AG174" s="46">
        <f t="shared" si="174"/>
        <v>498767</v>
      </c>
      <c r="AH174" s="46">
        <f t="shared" si="175"/>
        <v>4603</v>
      </c>
      <c r="AI174" s="46">
        <f t="shared" si="176"/>
        <v>-175420</v>
      </c>
      <c r="AJ174" s="46">
        <v>0</v>
      </c>
      <c r="AK174" s="46">
        <f t="shared" si="177"/>
        <v>327950</v>
      </c>
      <c r="AL174" s="46">
        <f t="shared" si="178"/>
        <v>0</v>
      </c>
      <c r="AM174" s="46">
        <f t="shared" si="179"/>
        <v>98793</v>
      </c>
      <c r="AN174" s="46">
        <f t="shared" si="180"/>
        <v>3263</v>
      </c>
      <c r="AO174" s="46">
        <f t="shared" si="181"/>
        <v>15118</v>
      </c>
      <c r="AP174" s="46">
        <v>0</v>
      </c>
      <c r="AQ174" s="46">
        <f t="shared" si="182"/>
        <v>117174</v>
      </c>
      <c r="AR174" s="46">
        <f t="shared" si="183"/>
        <v>15118</v>
      </c>
      <c r="AS174" s="46">
        <f t="shared" si="184"/>
        <v>196383</v>
      </c>
      <c r="AT174" s="46">
        <f t="shared" si="185"/>
        <v>19065</v>
      </c>
      <c r="AU174" s="46">
        <f t="shared" si="186"/>
        <v>-15118</v>
      </c>
      <c r="AV174" s="46">
        <v>0</v>
      </c>
      <c r="AW174" s="46">
        <f t="shared" si="187"/>
        <v>200330</v>
      </c>
      <c r="AX174" s="46">
        <f t="shared" si="188"/>
        <v>0</v>
      </c>
      <c r="AY174" s="46">
        <f t="shared" si="189"/>
        <v>64868</v>
      </c>
      <c r="AZ174" s="46">
        <f t="shared" si="190"/>
        <v>0</v>
      </c>
      <c r="BA174" s="46">
        <f t="shared" si="191"/>
        <v>49043</v>
      </c>
      <c r="BB174" s="46"/>
      <c r="BC174" s="46">
        <f t="shared" si="192"/>
        <v>113911</v>
      </c>
      <c r="BD174" s="46">
        <f t="shared" si="193"/>
        <v>49043</v>
      </c>
      <c r="BE174" s="46">
        <f t="shared" si="194"/>
        <v>125576</v>
      </c>
      <c r="BF174" s="46">
        <f t="shared" si="195"/>
        <v>4674</v>
      </c>
      <c r="BG174" s="46">
        <f t="shared" si="196"/>
        <v>0</v>
      </c>
      <c r="BH174" s="46">
        <v>0</v>
      </c>
      <c r="BI174" s="46">
        <f t="shared" si="197"/>
        <v>130250</v>
      </c>
      <c r="BJ174" s="46">
        <f t="shared" si="198"/>
        <v>49043</v>
      </c>
      <c r="BK174" s="46">
        <f t="shared" si="199"/>
        <v>264960</v>
      </c>
      <c r="BL174" s="46">
        <f t="shared" si="200"/>
        <v>0</v>
      </c>
      <c r="BM174" s="46">
        <f t="shared" si="201"/>
        <v>-49043</v>
      </c>
      <c r="BN174" s="46">
        <v>0</v>
      </c>
      <c r="BO174" s="46">
        <f t="shared" si="202"/>
        <v>215917</v>
      </c>
      <c r="BP174" s="46">
        <f t="shared" si="203"/>
        <v>0</v>
      </c>
      <c r="BQ174" s="46">
        <f t="shared" si="204"/>
        <v>98338</v>
      </c>
      <c r="BR174" s="46">
        <f t="shared" si="205"/>
        <v>0</v>
      </c>
      <c r="BS174" s="46">
        <f t="shared" si="206"/>
        <v>15573</v>
      </c>
      <c r="BT174" s="46">
        <v>0</v>
      </c>
      <c r="BU174" s="46">
        <f t="shared" si="207"/>
        <v>113911</v>
      </c>
      <c r="BV174" s="46">
        <f t="shared" si="208"/>
        <v>15573</v>
      </c>
      <c r="BW174" s="46">
        <f t="shared" si="209"/>
        <v>188443</v>
      </c>
      <c r="BX174" s="46">
        <f t="shared" si="210"/>
        <v>30718</v>
      </c>
      <c r="BY174" s="46">
        <f t="shared" si="211"/>
        <v>-15573</v>
      </c>
      <c r="BZ174" s="46">
        <v>0</v>
      </c>
      <c r="CA174" s="46">
        <f t="shared" si="212"/>
        <v>203588</v>
      </c>
      <c r="CB174" s="46">
        <f t="shared" si="213"/>
        <v>0</v>
      </c>
      <c r="CC174" s="155">
        <f t="shared" si="216"/>
        <v>0</v>
      </c>
      <c r="CD174" s="79" t="s">
        <v>538</v>
      </c>
      <c r="CE174" s="65">
        <f t="shared" si="217"/>
        <v>113911</v>
      </c>
      <c r="CF174" s="65">
        <f t="shared" si="218"/>
        <v>113911</v>
      </c>
      <c r="CG174" s="65">
        <f t="shared" si="219"/>
        <v>107945</v>
      </c>
      <c r="CH174" s="65">
        <f t="shared" si="220"/>
        <v>113911</v>
      </c>
      <c r="CI174" s="65">
        <f t="shared" si="221"/>
        <v>327950</v>
      </c>
      <c r="CJ174" s="65">
        <f t="shared" si="222"/>
        <v>117174</v>
      </c>
      <c r="CK174" s="65">
        <f t="shared" si="223"/>
        <v>200330</v>
      </c>
      <c r="CL174" s="65">
        <f t="shared" si="224"/>
        <v>113911</v>
      </c>
      <c r="CM174" s="65">
        <f t="shared" si="225"/>
        <v>130250</v>
      </c>
      <c r="CN174" s="65">
        <f t="shared" si="226"/>
        <v>215917</v>
      </c>
      <c r="CO174" s="65">
        <f t="shared" si="227"/>
        <v>113911</v>
      </c>
      <c r="CP174" s="65">
        <f t="shared" si="228"/>
        <v>203588</v>
      </c>
      <c r="CQ174" s="40" t="s">
        <v>538</v>
      </c>
    </row>
    <row r="175" spans="1:95" ht="3" customHeight="1" x14ac:dyDescent="0.25">
      <c r="A175" s="39">
        <v>1</v>
      </c>
      <c r="B175" s="28">
        <v>8309</v>
      </c>
      <c r="C175" s="28" t="s">
        <v>198</v>
      </c>
      <c r="D175" s="48">
        <f>+DATA!Q173</f>
        <v>2414465.4989999998</v>
      </c>
      <c r="E175" s="48">
        <f t="shared" si="214"/>
        <v>158952</v>
      </c>
      <c r="F175" s="48">
        <f t="shared" si="215"/>
        <v>241447</v>
      </c>
      <c r="G175" s="49">
        <f>VLOOKUP(B175,'CALC MEC ESTAB Y ESTIM M FINAL'!$B$7:$F$352,5,0)</f>
        <v>1.1970073828E-3</v>
      </c>
      <c r="H175" s="49">
        <f>VLOOKUP(B175,'CALC MEC ESTAB Y ESTIM M FINAL'!$B$7:$R$352,17,0)</f>
        <v>-2.3028781300000002E-5</v>
      </c>
      <c r="I175" s="46">
        <f t="shared" si="154"/>
        <v>96797</v>
      </c>
      <c r="J175" s="46">
        <f t="shared" si="155"/>
        <v>0</v>
      </c>
      <c r="K175" s="46">
        <f t="shared" si="156"/>
        <v>62155</v>
      </c>
      <c r="L175" s="46">
        <v>0</v>
      </c>
      <c r="M175" s="46">
        <f t="shared" si="157"/>
        <v>158952</v>
      </c>
      <c r="N175" s="46">
        <f t="shared" si="158"/>
        <v>62155</v>
      </c>
      <c r="O175" s="46">
        <f t="shared" si="159"/>
        <v>51473</v>
      </c>
      <c r="P175" s="46">
        <f t="shared" si="160"/>
        <v>0</v>
      </c>
      <c r="Q175" s="46">
        <f t="shared" si="161"/>
        <v>107479</v>
      </c>
      <c r="R175" s="46">
        <v>0</v>
      </c>
      <c r="S175" s="46">
        <f t="shared" si="162"/>
        <v>158952</v>
      </c>
      <c r="T175" s="46">
        <f t="shared" si="163"/>
        <v>169634</v>
      </c>
      <c r="U175" s="46">
        <f t="shared" si="164"/>
        <v>146842</v>
      </c>
      <c r="V175" s="46">
        <f t="shared" si="165"/>
        <v>0</v>
      </c>
      <c r="W175" s="46">
        <f t="shared" si="166"/>
        <v>0</v>
      </c>
      <c r="X175" s="46">
        <v>0</v>
      </c>
      <c r="Y175" s="46">
        <f t="shared" si="167"/>
        <v>146842</v>
      </c>
      <c r="Z175" s="46">
        <f t="shared" si="168"/>
        <v>169634</v>
      </c>
      <c r="AA175" s="46">
        <f t="shared" si="169"/>
        <v>77971</v>
      </c>
      <c r="AB175" s="46">
        <f t="shared" si="170"/>
        <v>0</v>
      </c>
      <c r="AC175" s="46">
        <f t="shared" si="171"/>
        <v>80981</v>
      </c>
      <c r="AD175" s="46">
        <v>0</v>
      </c>
      <c r="AE175" s="46">
        <f t="shared" si="172"/>
        <v>158952</v>
      </c>
      <c r="AF175" s="46">
        <f t="shared" si="173"/>
        <v>250615</v>
      </c>
      <c r="AG175" s="46">
        <f t="shared" si="174"/>
        <v>678492</v>
      </c>
      <c r="AH175" s="46">
        <f t="shared" si="175"/>
        <v>6262</v>
      </c>
      <c r="AI175" s="46">
        <f t="shared" si="176"/>
        <v>-250615</v>
      </c>
      <c r="AJ175" s="46">
        <v>0</v>
      </c>
      <c r="AK175" s="46">
        <f t="shared" si="177"/>
        <v>434139</v>
      </c>
      <c r="AL175" s="46">
        <f t="shared" si="178"/>
        <v>0</v>
      </c>
      <c r="AM175" s="46">
        <f t="shared" si="179"/>
        <v>134392</v>
      </c>
      <c r="AN175" s="46">
        <f t="shared" si="180"/>
        <v>4438</v>
      </c>
      <c r="AO175" s="46">
        <f t="shared" si="181"/>
        <v>24560</v>
      </c>
      <c r="AP175" s="46">
        <v>0</v>
      </c>
      <c r="AQ175" s="46">
        <f t="shared" si="182"/>
        <v>163390</v>
      </c>
      <c r="AR175" s="46">
        <f t="shared" si="183"/>
        <v>24560</v>
      </c>
      <c r="AS175" s="46">
        <f t="shared" si="184"/>
        <v>267147</v>
      </c>
      <c r="AT175" s="46">
        <f t="shared" si="185"/>
        <v>25935</v>
      </c>
      <c r="AU175" s="46">
        <f t="shared" si="186"/>
        <v>-24560</v>
      </c>
      <c r="AV175" s="46">
        <v>0</v>
      </c>
      <c r="AW175" s="46">
        <f t="shared" si="187"/>
        <v>268522</v>
      </c>
      <c r="AX175" s="46">
        <f t="shared" si="188"/>
        <v>0</v>
      </c>
      <c r="AY175" s="46">
        <f t="shared" si="189"/>
        <v>88243</v>
      </c>
      <c r="AZ175" s="46">
        <f t="shared" si="190"/>
        <v>0</v>
      </c>
      <c r="BA175" s="46">
        <f t="shared" si="191"/>
        <v>70709</v>
      </c>
      <c r="BB175" s="46"/>
      <c r="BC175" s="46">
        <f t="shared" si="192"/>
        <v>158952</v>
      </c>
      <c r="BD175" s="46">
        <f t="shared" si="193"/>
        <v>70709</v>
      </c>
      <c r="BE175" s="46">
        <f t="shared" si="194"/>
        <v>170826</v>
      </c>
      <c r="BF175" s="46">
        <f t="shared" si="195"/>
        <v>6358</v>
      </c>
      <c r="BG175" s="46">
        <f t="shared" si="196"/>
        <v>0</v>
      </c>
      <c r="BH175" s="46">
        <v>0</v>
      </c>
      <c r="BI175" s="46">
        <f t="shared" si="197"/>
        <v>177184</v>
      </c>
      <c r="BJ175" s="46">
        <f t="shared" si="198"/>
        <v>70709</v>
      </c>
      <c r="BK175" s="46">
        <f t="shared" si="199"/>
        <v>360436</v>
      </c>
      <c r="BL175" s="46">
        <f t="shared" si="200"/>
        <v>0</v>
      </c>
      <c r="BM175" s="46">
        <f t="shared" si="201"/>
        <v>-70709</v>
      </c>
      <c r="BN175" s="46">
        <v>0</v>
      </c>
      <c r="BO175" s="46">
        <f t="shared" si="202"/>
        <v>289727</v>
      </c>
      <c r="BP175" s="46">
        <f t="shared" si="203"/>
        <v>0</v>
      </c>
      <c r="BQ175" s="46">
        <f t="shared" si="204"/>
        <v>133773</v>
      </c>
      <c r="BR175" s="46">
        <f t="shared" si="205"/>
        <v>0</v>
      </c>
      <c r="BS175" s="46">
        <f t="shared" si="206"/>
        <v>25179</v>
      </c>
      <c r="BT175" s="46">
        <v>0</v>
      </c>
      <c r="BU175" s="46">
        <f t="shared" si="207"/>
        <v>158952</v>
      </c>
      <c r="BV175" s="46">
        <f t="shared" si="208"/>
        <v>25179</v>
      </c>
      <c r="BW175" s="46">
        <f t="shared" si="209"/>
        <v>256347</v>
      </c>
      <c r="BX175" s="46">
        <f t="shared" si="210"/>
        <v>41787</v>
      </c>
      <c r="BY175" s="46">
        <f t="shared" si="211"/>
        <v>-25179</v>
      </c>
      <c r="BZ175" s="46">
        <v>0</v>
      </c>
      <c r="CA175" s="46">
        <f t="shared" si="212"/>
        <v>272955</v>
      </c>
      <c r="CB175" s="46">
        <f t="shared" si="213"/>
        <v>0</v>
      </c>
      <c r="CC175" s="155">
        <f t="shared" si="216"/>
        <v>0</v>
      </c>
      <c r="CD175" s="79" t="s">
        <v>538</v>
      </c>
      <c r="CE175" s="65">
        <f t="shared" si="217"/>
        <v>158952</v>
      </c>
      <c r="CF175" s="65">
        <f t="shared" si="218"/>
        <v>158952</v>
      </c>
      <c r="CG175" s="65">
        <f t="shared" si="219"/>
        <v>146842</v>
      </c>
      <c r="CH175" s="65">
        <f t="shared" si="220"/>
        <v>158952</v>
      </c>
      <c r="CI175" s="65">
        <f t="shared" si="221"/>
        <v>434139</v>
      </c>
      <c r="CJ175" s="65">
        <f t="shared" si="222"/>
        <v>163390</v>
      </c>
      <c r="CK175" s="65">
        <f t="shared" si="223"/>
        <v>268522</v>
      </c>
      <c r="CL175" s="65">
        <f t="shared" si="224"/>
        <v>158952</v>
      </c>
      <c r="CM175" s="65">
        <f t="shared" si="225"/>
        <v>177184</v>
      </c>
      <c r="CN175" s="65">
        <f t="shared" si="226"/>
        <v>289727</v>
      </c>
      <c r="CO175" s="65">
        <f t="shared" si="227"/>
        <v>158952</v>
      </c>
      <c r="CP175" s="65">
        <f t="shared" si="228"/>
        <v>272955</v>
      </c>
      <c r="CQ175" s="40" t="s">
        <v>538</v>
      </c>
    </row>
    <row r="176" spans="1:95" ht="3" customHeight="1" x14ac:dyDescent="0.25">
      <c r="A176" s="39">
        <v>1</v>
      </c>
      <c r="B176" s="28">
        <v>8310</v>
      </c>
      <c r="C176" s="28" t="s">
        <v>204</v>
      </c>
      <c r="D176" s="48">
        <f>+DATA!Q174</f>
        <v>2178400.5040000002</v>
      </c>
      <c r="E176" s="48">
        <f t="shared" si="214"/>
        <v>143411</v>
      </c>
      <c r="F176" s="48">
        <f t="shared" si="215"/>
        <v>217840</v>
      </c>
      <c r="G176" s="49">
        <f>VLOOKUP(B176,'CALC MEC ESTAB Y ESTIM M FINAL'!$B$7:$F$352,5,0)</f>
        <v>1.0484229606E-3</v>
      </c>
      <c r="H176" s="49">
        <f>VLOOKUP(B176,'CALC MEC ESTAB Y ESTIM M FINAL'!$B$7:$R$352,17,0)</f>
        <v>-3.7785888000000002E-6</v>
      </c>
      <c r="I176" s="46">
        <f t="shared" si="154"/>
        <v>86133</v>
      </c>
      <c r="J176" s="46">
        <f t="shared" si="155"/>
        <v>0</v>
      </c>
      <c r="K176" s="46">
        <f t="shared" si="156"/>
        <v>57278</v>
      </c>
      <c r="L176" s="46">
        <v>0</v>
      </c>
      <c r="M176" s="46">
        <f t="shared" si="157"/>
        <v>143411</v>
      </c>
      <c r="N176" s="46">
        <f t="shared" si="158"/>
        <v>57278</v>
      </c>
      <c r="O176" s="46">
        <f t="shared" si="159"/>
        <v>45803</v>
      </c>
      <c r="P176" s="46">
        <f t="shared" si="160"/>
        <v>0</v>
      </c>
      <c r="Q176" s="46">
        <f t="shared" si="161"/>
        <v>97608</v>
      </c>
      <c r="R176" s="46">
        <v>0</v>
      </c>
      <c r="S176" s="46">
        <f t="shared" si="162"/>
        <v>143411</v>
      </c>
      <c r="T176" s="46">
        <f t="shared" si="163"/>
        <v>154886</v>
      </c>
      <c r="U176" s="46">
        <f t="shared" si="164"/>
        <v>130665</v>
      </c>
      <c r="V176" s="46">
        <f t="shared" si="165"/>
        <v>0</v>
      </c>
      <c r="W176" s="46">
        <f t="shared" si="166"/>
        <v>0</v>
      </c>
      <c r="X176" s="46">
        <v>0</v>
      </c>
      <c r="Y176" s="46">
        <f t="shared" si="167"/>
        <v>130665</v>
      </c>
      <c r="Z176" s="46">
        <f t="shared" si="168"/>
        <v>154886</v>
      </c>
      <c r="AA176" s="46">
        <f t="shared" si="169"/>
        <v>69381</v>
      </c>
      <c r="AB176" s="46">
        <f t="shared" si="170"/>
        <v>0</v>
      </c>
      <c r="AC176" s="46">
        <f t="shared" si="171"/>
        <v>74030</v>
      </c>
      <c r="AD176" s="46">
        <v>0</v>
      </c>
      <c r="AE176" s="46">
        <f t="shared" si="172"/>
        <v>143411</v>
      </c>
      <c r="AF176" s="46">
        <f t="shared" si="173"/>
        <v>228916</v>
      </c>
      <c r="AG176" s="46">
        <f t="shared" si="174"/>
        <v>603745</v>
      </c>
      <c r="AH176" s="46">
        <f t="shared" si="175"/>
        <v>5572</v>
      </c>
      <c r="AI176" s="46">
        <f t="shared" si="176"/>
        <v>-228916</v>
      </c>
      <c r="AJ176" s="46">
        <v>0</v>
      </c>
      <c r="AK176" s="46">
        <f t="shared" si="177"/>
        <v>380401</v>
      </c>
      <c r="AL176" s="46">
        <f t="shared" si="178"/>
        <v>0</v>
      </c>
      <c r="AM176" s="46">
        <f t="shared" si="179"/>
        <v>119586</v>
      </c>
      <c r="AN176" s="46">
        <f t="shared" si="180"/>
        <v>3949</v>
      </c>
      <c r="AO176" s="46">
        <f t="shared" si="181"/>
        <v>23825</v>
      </c>
      <c r="AP176" s="46">
        <v>0</v>
      </c>
      <c r="AQ176" s="46">
        <f t="shared" si="182"/>
        <v>147360</v>
      </c>
      <c r="AR176" s="46">
        <f t="shared" si="183"/>
        <v>23825</v>
      </c>
      <c r="AS176" s="46">
        <f t="shared" si="184"/>
        <v>237716</v>
      </c>
      <c r="AT176" s="46">
        <f t="shared" si="185"/>
        <v>23078</v>
      </c>
      <c r="AU176" s="46">
        <f t="shared" si="186"/>
        <v>-19876</v>
      </c>
      <c r="AV176" s="46">
        <v>0</v>
      </c>
      <c r="AW176" s="46">
        <f t="shared" si="187"/>
        <v>240918</v>
      </c>
      <c r="AX176" s="46">
        <f t="shared" si="188"/>
        <v>3949</v>
      </c>
      <c r="AY176" s="46">
        <f t="shared" si="189"/>
        <v>78521</v>
      </c>
      <c r="AZ176" s="46">
        <f t="shared" si="190"/>
        <v>0</v>
      </c>
      <c r="BA176" s="46">
        <f t="shared" si="191"/>
        <v>64890</v>
      </c>
      <c r="BB176" s="46"/>
      <c r="BC176" s="46">
        <f t="shared" si="192"/>
        <v>143411</v>
      </c>
      <c r="BD176" s="46">
        <f t="shared" si="193"/>
        <v>68839</v>
      </c>
      <c r="BE176" s="46">
        <f t="shared" si="194"/>
        <v>152007</v>
      </c>
      <c r="BF176" s="46">
        <f t="shared" si="195"/>
        <v>5658</v>
      </c>
      <c r="BG176" s="46">
        <f t="shared" si="196"/>
        <v>0</v>
      </c>
      <c r="BH176" s="46">
        <v>0</v>
      </c>
      <c r="BI176" s="46">
        <f t="shared" si="197"/>
        <v>157665</v>
      </c>
      <c r="BJ176" s="46">
        <f t="shared" si="198"/>
        <v>68839</v>
      </c>
      <c r="BK176" s="46">
        <f t="shared" si="199"/>
        <v>320728</v>
      </c>
      <c r="BL176" s="46">
        <f t="shared" si="200"/>
        <v>0</v>
      </c>
      <c r="BM176" s="46">
        <f t="shared" si="201"/>
        <v>-68839</v>
      </c>
      <c r="BN176" s="46">
        <v>0</v>
      </c>
      <c r="BO176" s="46">
        <f t="shared" si="202"/>
        <v>251889</v>
      </c>
      <c r="BP176" s="46">
        <f t="shared" si="203"/>
        <v>0</v>
      </c>
      <c r="BQ176" s="46">
        <f t="shared" si="204"/>
        <v>119036</v>
      </c>
      <c r="BR176" s="46">
        <f t="shared" si="205"/>
        <v>0</v>
      </c>
      <c r="BS176" s="46">
        <f t="shared" si="206"/>
        <v>24375</v>
      </c>
      <c r="BT176" s="46">
        <v>0</v>
      </c>
      <c r="BU176" s="46">
        <f t="shared" si="207"/>
        <v>143411</v>
      </c>
      <c r="BV176" s="46">
        <f t="shared" si="208"/>
        <v>24375</v>
      </c>
      <c r="BW176" s="46">
        <f t="shared" si="209"/>
        <v>228106</v>
      </c>
      <c r="BX176" s="46">
        <f t="shared" si="210"/>
        <v>37184</v>
      </c>
      <c r="BY176" s="46">
        <f t="shared" si="211"/>
        <v>-24375</v>
      </c>
      <c r="BZ176" s="46">
        <v>0</v>
      </c>
      <c r="CA176" s="46">
        <f t="shared" si="212"/>
        <v>240915</v>
      </c>
      <c r="CB176" s="46">
        <f t="shared" si="213"/>
        <v>0</v>
      </c>
      <c r="CC176" s="155">
        <f t="shared" si="216"/>
        <v>0</v>
      </c>
      <c r="CD176" s="79" t="s">
        <v>538</v>
      </c>
      <c r="CE176" s="65">
        <f t="shared" si="217"/>
        <v>143411</v>
      </c>
      <c r="CF176" s="65">
        <f t="shared" si="218"/>
        <v>143411</v>
      </c>
      <c r="CG176" s="65">
        <f t="shared" si="219"/>
        <v>130665</v>
      </c>
      <c r="CH176" s="65">
        <f t="shared" si="220"/>
        <v>143411</v>
      </c>
      <c r="CI176" s="65">
        <f t="shared" si="221"/>
        <v>380401</v>
      </c>
      <c r="CJ176" s="65">
        <f t="shared" si="222"/>
        <v>147360</v>
      </c>
      <c r="CK176" s="65">
        <f t="shared" si="223"/>
        <v>240918</v>
      </c>
      <c r="CL176" s="65">
        <f t="shared" si="224"/>
        <v>143411</v>
      </c>
      <c r="CM176" s="65">
        <f t="shared" si="225"/>
        <v>157665</v>
      </c>
      <c r="CN176" s="65">
        <f t="shared" si="226"/>
        <v>251889</v>
      </c>
      <c r="CO176" s="65">
        <f t="shared" si="227"/>
        <v>143411</v>
      </c>
      <c r="CP176" s="65">
        <f t="shared" si="228"/>
        <v>240915</v>
      </c>
      <c r="CQ176" s="40" t="s">
        <v>538</v>
      </c>
    </row>
    <row r="177" spans="1:95" ht="3" customHeight="1" x14ac:dyDescent="0.25">
      <c r="A177" s="39">
        <v>1</v>
      </c>
      <c r="B177" s="28">
        <v>8311</v>
      </c>
      <c r="C177" s="28" t="s">
        <v>399</v>
      </c>
      <c r="D177" s="48">
        <f>+DATA!Q175</f>
        <v>2634948.3990000002</v>
      </c>
      <c r="E177" s="48">
        <f t="shared" si="214"/>
        <v>173467</v>
      </c>
      <c r="F177" s="48">
        <f t="shared" si="215"/>
        <v>263495</v>
      </c>
      <c r="G177" s="49">
        <f>VLOOKUP(B177,'CALC MEC ESTAB Y ESTIM M FINAL'!$B$7:$F$352,5,0)</f>
        <v>1.3357340684E-3</v>
      </c>
      <c r="H177" s="49">
        <f>VLOOKUP(B177,'CALC MEC ESTAB Y ESTIM M FINAL'!$B$7:$R$352,17,0)</f>
        <v>-4.1016625600000001E-5</v>
      </c>
      <c r="I177" s="46">
        <f t="shared" si="154"/>
        <v>106752</v>
      </c>
      <c r="J177" s="46">
        <f t="shared" si="155"/>
        <v>0</v>
      </c>
      <c r="K177" s="46">
        <f t="shared" si="156"/>
        <v>66715</v>
      </c>
      <c r="L177" s="46">
        <v>0</v>
      </c>
      <c r="M177" s="46">
        <f t="shared" si="157"/>
        <v>173467</v>
      </c>
      <c r="N177" s="46">
        <f t="shared" si="158"/>
        <v>66715</v>
      </c>
      <c r="O177" s="46">
        <f t="shared" si="159"/>
        <v>56767</v>
      </c>
      <c r="P177" s="46">
        <f t="shared" si="160"/>
        <v>0</v>
      </c>
      <c r="Q177" s="46">
        <f t="shared" si="161"/>
        <v>116700</v>
      </c>
      <c r="R177" s="46">
        <v>0</v>
      </c>
      <c r="S177" s="46">
        <f t="shared" si="162"/>
        <v>173467</v>
      </c>
      <c r="T177" s="46">
        <f t="shared" si="163"/>
        <v>183415</v>
      </c>
      <c r="U177" s="46">
        <f t="shared" si="164"/>
        <v>161944</v>
      </c>
      <c r="V177" s="46">
        <f t="shared" si="165"/>
        <v>0</v>
      </c>
      <c r="W177" s="46">
        <f t="shared" si="166"/>
        <v>0</v>
      </c>
      <c r="X177" s="46">
        <v>0</v>
      </c>
      <c r="Y177" s="46">
        <f t="shared" si="167"/>
        <v>161944</v>
      </c>
      <c r="Z177" s="46">
        <f t="shared" si="168"/>
        <v>183415</v>
      </c>
      <c r="AA177" s="46">
        <f t="shared" si="169"/>
        <v>85990</v>
      </c>
      <c r="AB177" s="46">
        <f t="shared" si="170"/>
        <v>0</v>
      </c>
      <c r="AC177" s="46">
        <f t="shared" si="171"/>
        <v>87477</v>
      </c>
      <c r="AD177" s="46">
        <v>0</v>
      </c>
      <c r="AE177" s="46">
        <f t="shared" si="172"/>
        <v>173467</v>
      </c>
      <c r="AF177" s="46">
        <f t="shared" si="173"/>
        <v>270892</v>
      </c>
      <c r="AG177" s="46">
        <f t="shared" si="174"/>
        <v>748272</v>
      </c>
      <c r="AH177" s="46">
        <f t="shared" si="175"/>
        <v>6906</v>
      </c>
      <c r="AI177" s="46">
        <f t="shared" si="176"/>
        <v>-270892</v>
      </c>
      <c r="AJ177" s="46">
        <v>0</v>
      </c>
      <c r="AK177" s="46">
        <f t="shared" si="177"/>
        <v>484286</v>
      </c>
      <c r="AL177" s="46">
        <f t="shared" si="178"/>
        <v>0</v>
      </c>
      <c r="AM177" s="46">
        <f t="shared" si="179"/>
        <v>148214</v>
      </c>
      <c r="AN177" s="46">
        <f t="shared" si="180"/>
        <v>4895</v>
      </c>
      <c r="AO177" s="46">
        <f t="shared" si="181"/>
        <v>25253</v>
      </c>
      <c r="AP177" s="46">
        <v>0</v>
      </c>
      <c r="AQ177" s="46">
        <f t="shared" si="182"/>
        <v>178362</v>
      </c>
      <c r="AR177" s="46">
        <f t="shared" si="183"/>
        <v>25253</v>
      </c>
      <c r="AS177" s="46">
        <f t="shared" si="184"/>
        <v>294622</v>
      </c>
      <c r="AT177" s="46">
        <f t="shared" si="185"/>
        <v>28602</v>
      </c>
      <c r="AU177" s="46">
        <f t="shared" si="186"/>
        <v>-25253</v>
      </c>
      <c r="AV177" s="46">
        <v>0</v>
      </c>
      <c r="AW177" s="46">
        <f t="shared" si="187"/>
        <v>297971</v>
      </c>
      <c r="AX177" s="46">
        <f t="shared" si="188"/>
        <v>0</v>
      </c>
      <c r="AY177" s="46">
        <f t="shared" si="189"/>
        <v>97318</v>
      </c>
      <c r="AZ177" s="46">
        <f t="shared" si="190"/>
        <v>0</v>
      </c>
      <c r="BA177" s="46">
        <f t="shared" si="191"/>
        <v>76149</v>
      </c>
      <c r="BB177" s="46"/>
      <c r="BC177" s="46">
        <f t="shared" si="192"/>
        <v>173467</v>
      </c>
      <c r="BD177" s="46">
        <f t="shared" si="193"/>
        <v>76149</v>
      </c>
      <c r="BE177" s="46">
        <f t="shared" si="194"/>
        <v>188395</v>
      </c>
      <c r="BF177" s="46">
        <f t="shared" si="195"/>
        <v>7012</v>
      </c>
      <c r="BG177" s="46">
        <f t="shared" si="196"/>
        <v>0</v>
      </c>
      <c r="BH177" s="46">
        <v>0</v>
      </c>
      <c r="BI177" s="46">
        <f t="shared" si="197"/>
        <v>195407</v>
      </c>
      <c r="BJ177" s="46">
        <f t="shared" si="198"/>
        <v>76149</v>
      </c>
      <c r="BK177" s="46">
        <f t="shared" si="199"/>
        <v>397506</v>
      </c>
      <c r="BL177" s="46">
        <f t="shared" si="200"/>
        <v>0</v>
      </c>
      <c r="BM177" s="46">
        <f t="shared" si="201"/>
        <v>-76149</v>
      </c>
      <c r="BN177" s="46">
        <v>0</v>
      </c>
      <c r="BO177" s="46">
        <f t="shared" si="202"/>
        <v>321357</v>
      </c>
      <c r="BP177" s="46">
        <f t="shared" si="203"/>
        <v>0</v>
      </c>
      <c r="BQ177" s="46">
        <f t="shared" si="204"/>
        <v>147531</v>
      </c>
      <c r="BR177" s="46">
        <f t="shared" si="205"/>
        <v>0</v>
      </c>
      <c r="BS177" s="46">
        <f t="shared" si="206"/>
        <v>25936</v>
      </c>
      <c r="BT177" s="46">
        <v>0</v>
      </c>
      <c r="BU177" s="46">
        <f t="shared" si="207"/>
        <v>173467</v>
      </c>
      <c r="BV177" s="46">
        <f t="shared" si="208"/>
        <v>25936</v>
      </c>
      <c r="BW177" s="46">
        <f t="shared" si="209"/>
        <v>282711</v>
      </c>
      <c r="BX177" s="46">
        <f t="shared" si="210"/>
        <v>46085</v>
      </c>
      <c r="BY177" s="46">
        <f t="shared" si="211"/>
        <v>-25936</v>
      </c>
      <c r="BZ177" s="46">
        <v>0</v>
      </c>
      <c r="CA177" s="46">
        <f t="shared" si="212"/>
        <v>302860</v>
      </c>
      <c r="CB177" s="46">
        <f t="shared" si="213"/>
        <v>0</v>
      </c>
      <c r="CC177" s="155">
        <f t="shared" si="216"/>
        <v>0</v>
      </c>
      <c r="CD177" s="79" t="s">
        <v>538</v>
      </c>
      <c r="CE177" s="65">
        <f t="shared" si="217"/>
        <v>173467</v>
      </c>
      <c r="CF177" s="65">
        <f t="shared" si="218"/>
        <v>173467</v>
      </c>
      <c r="CG177" s="65">
        <f t="shared" si="219"/>
        <v>161944</v>
      </c>
      <c r="CH177" s="65">
        <f t="shared" si="220"/>
        <v>173467</v>
      </c>
      <c r="CI177" s="65">
        <f t="shared" si="221"/>
        <v>484286</v>
      </c>
      <c r="CJ177" s="65">
        <f t="shared" si="222"/>
        <v>178362</v>
      </c>
      <c r="CK177" s="65">
        <f t="shared" si="223"/>
        <v>297971</v>
      </c>
      <c r="CL177" s="65">
        <f t="shared" si="224"/>
        <v>173467</v>
      </c>
      <c r="CM177" s="65">
        <f t="shared" si="225"/>
        <v>195407</v>
      </c>
      <c r="CN177" s="65">
        <f t="shared" si="226"/>
        <v>321357</v>
      </c>
      <c r="CO177" s="65">
        <f t="shared" si="227"/>
        <v>173467</v>
      </c>
      <c r="CP177" s="65">
        <f t="shared" si="228"/>
        <v>302860</v>
      </c>
      <c r="CQ177" s="40" t="s">
        <v>538</v>
      </c>
    </row>
    <row r="178" spans="1:95" ht="3" customHeight="1" x14ac:dyDescent="0.25">
      <c r="A178" s="39">
        <v>1</v>
      </c>
      <c r="B178" s="28">
        <v>8312</v>
      </c>
      <c r="C178" s="28" t="s">
        <v>205</v>
      </c>
      <c r="D178" s="48">
        <f>+DATA!Q176</f>
        <v>3471860.03</v>
      </c>
      <c r="E178" s="48">
        <f t="shared" si="214"/>
        <v>228564</v>
      </c>
      <c r="F178" s="48">
        <f t="shared" si="215"/>
        <v>347186</v>
      </c>
      <c r="G178" s="49">
        <f>VLOOKUP(B178,'CALC MEC ESTAB Y ESTIM M FINAL'!$B$7:$F$352,5,0)</f>
        <v>2.081820409E-3</v>
      </c>
      <c r="H178" s="49">
        <f>VLOOKUP(B178,'CALC MEC ESTAB Y ESTIM M FINAL'!$B$7:$R$352,17,0)</f>
        <v>-2.300834693E-4</v>
      </c>
      <c r="I178" s="46">
        <f t="shared" si="154"/>
        <v>152680</v>
      </c>
      <c r="J178" s="46">
        <f t="shared" si="155"/>
        <v>0</v>
      </c>
      <c r="K178" s="46">
        <f t="shared" si="156"/>
        <v>75884</v>
      </c>
      <c r="L178" s="46">
        <v>0</v>
      </c>
      <c r="M178" s="46">
        <f t="shared" si="157"/>
        <v>228564</v>
      </c>
      <c r="N178" s="46">
        <f t="shared" si="158"/>
        <v>75884</v>
      </c>
      <c r="O178" s="46">
        <f t="shared" si="159"/>
        <v>81190</v>
      </c>
      <c r="P178" s="46">
        <f t="shared" si="160"/>
        <v>0</v>
      </c>
      <c r="Q178" s="46">
        <f t="shared" si="161"/>
        <v>147374</v>
      </c>
      <c r="R178" s="46">
        <v>0</v>
      </c>
      <c r="S178" s="46">
        <f t="shared" si="162"/>
        <v>228564</v>
      </c>
      <c r="T178" s="46">
        <f t="shared" si="163"/>
        <v>223258</v>
      </c>
      <c r="U178" s="46">
        <f t="shared" si="164"/>
        <v>231617</v>
      </c>
      <c r="V178" s="46">
        <f t="shared" si="165"/>
        <v>0</v>
      </c>
      <c r="W178" s="46">
        <f t="shared" si="166"/>
        <v>0</v>
      </c>
      <c r="X178" s="46">
        <v>0</v>
      </c>
      <c r="Y178" s="46">
        <f t="shared" si="167"/>
        <v>231617</v>
      </c>
      <c r="Z178" s="46">
        <f t="shared" si="168"/>
        <v>223258</v>
      </c>
      <c r="AA178" s="46">
        <f t="shared" si="169"/>
        <v>122985</v>
      </c>
      <c r="AB178" s="46">
        <f t="shared" si="170"/>
        <v>0</v>
      </c>
      <c r="AC178" s="46">
        <f t="shared" si="171"/>
        <v>105579</v>
      </c>
      <c r="AD178" s="46">
        <v>0</v>
      </c>
      <c r="AE178" s="46">
        <f t="shared" si="172"/>
        <v>228564</v>
      </c>
      <c r="AF178" s="46">
        <f t="shared" si="173"/>
        <v>328837</v>
      </c>
      <c r="AG178" s="46">
        <f t="shared" si="174"/>
        <v>1070198</v>
      </c>
      <c r="AH178" s="46">
        <f t="shared" si="175"/>
        <v>9878</v>
      </c>
      <c r="AI178" s="46">
        <f t="shared" si="176"/>
        <v>-328837</v>
      </c>
      <c r="AJ178" s="46">
        <v>0</v>
      </c>
      <c r="AK178" s="46">
        <f t="shared" si="177"/>
        <v>751239</v>
      </c>
      <c r="AL178" s="46">
        <f t="shared" si="178"/>
        <v>0</v>
      </c>
      <c r="AM178" s="46">
        <f t="shared" si="179"/>
        <v>211979</v>
      </c>
      <c r="AN178" s="46">
        <f t="shared" si="180"/>
        <v>7000</v>
      </c>
      <c r="AO178" s="46">
        <f t="shared" si="181"/>
        <v>16585</v>
      </c>
      <c r="AP178" s="46">
        <v>0</v>
      </c>
      <c r="AQ178" s="46">
        <f t="shared" si="182"/>
        <v>235564</v>
      </c>
      <c r="AR178" s="46">
        <f t="shared" si="183"/>
        <v>16585</v>
      </c>
      <c r="AS178" s="46">
        <f t="shared" si="184"/>
        <v>421376</v>
      </c>
      <c r="AT178" s="46">
        <f t="shared" si="185"/>
        <v>40908</v>
      </c>
      <c r="AU178" s="46">
        <f t="shared" si="186"/>
        <v>-16585</v>
      </c>
      <c r="AV178" s="46">
        <v>0</v>
      </c>
      <c r="AW178" s="46">
        <f t="shared" si="187"/>
        <v>445699</v>
      </c>
      <c r="AX178" s="46">
        <f t="shared" si="188"/>
        <v>0</v>
      </c>
      <c r="AY178" s="46">
        <f t="shared" si="189"/>
        <v>139187</v>
      </c>
      <c r="AZ178" s="46">
        <f t="shared" si="190"/>
        <v>0</v>
      </c>
      <c r="BA178" s="46">
        <f t="shared" si="191"/>
        <v>89377</v>
      </c>
      <c r="BB178" s="46"/>
      <c r="BC178" s="46">
        <f t="shared" si="192"/>
        <v>228564</v>
      </c>
      <c r="BD178" s="46">
        <f t="shared" si="193"/>
        <v>89377</v>
      </c>
      <c r="BE178" s="46">
        <f t="shared" si="194"/>
        <v>269448</v>
      </c>
      <c r="BF178" s="46">
        <f t="shared" si="195"/>
        <v>10029</v>
      </c>
      <c r="BG178" s="46">
        <f t="shared" si="196"/>
        <v>0</v>
      </c>
      <c r="BH178" s="46">
        <v>0</v>
      </c>
      <c r="BI178" s="46">
        <f t="shared" si="197"/>
        <v>279477</v>
      </c>
      <c r="BJ178" s="46">
        <f t="shared" si="198"/>
        <v>89377</v>
      </c>
      <c r="BK178" s="46">
        <f t="shared" si="199"/>
        <v>568523</v>
      </c>
      <c r="BL178" s="46">
        <f t="shared" si="200"/>
        <v>0</v>
      </c>
      <c r="BM178" s="46">
        <f t="shared" si="201"/>
        <v>-89377</v>
      </c>
      <c r="BN178" s="46">
        <v>0</v>
      </c>
      <c r="BO178" s="46">
        <f t="shared" si="202"/>
        <v>479146</v>
      </c>
      <c r="BP178" s="46">
        <f t="shared" si="203"/>
        <v>0</v>
      </c>
      <c r="BQ178" s="46">
        <f t="shared" si="204"/>
        <v>211003</v>
      </c>
      <c r="BR178" s="46">
        <f t="shared" si="205"/>
        <v>0</v>
      </c>
      <c r="BS178" s="46">
        <f t="shared" si="206"/>
        <v>17561</v>
      </c>
      <c r="BT178" s="46">
        <v>0</v>
      </c>
      <c r="BU178" s="46">
        <f t="shared" si="207"/>
        <v>228564</v>
      </c>
      <c r="BV178" s="46">
        <f t="shared" si="208"/>
        <v>17561</v>
      </c>
      <c r="BW178" s="46">
        <f t="shared" si="209"/>
        <v>404340</v>
      </c>
      <c r="BX178" s="46">
        <f t="shared" si="210"/>
        <v>65912</v>
      </c>
      <c r="BY178" s="46">
        <f t="shared" si="211"/>
        <v>-17561</v>
      </c>
      <c r="BZ178" s="46">
        <v>0</v>
      </c>
      <c r="CA178" s="46">
        <f t="shared" si="212"/>
        <v>452691</v>
      </c>
      <c r="CB178" s="46">
        <f t="shared" si="213"/>
        <v>0</v>
      </c>
      <c r="CC178" s="155">
        <f t="shared" si="216"/>
        <v>0</v>
      </c>
      <c r="CD178" s="79" t="s">
        <v>538</v>
      </c>
      <c r="CE178" s="65">
        <f t="shared" si="217"/>
        <v>228564</v>
      </c>
      <c r="CF178" s="65">
        <f t="shared" si="218"/>
        <v>228564</v>
      </c>
      <c r="CG178" s="65">
        <f t="shared" si="219"/>
        <v>231617</v>
      </c>
      <c r="CH178" s="65">
        <f t="shared" si="220"/>
        <v>228564</v>
      </c>
      <c r="CI178" s="65">
        <f t="shared" si="221"/>
        <v>751239</v>
      </c>
      <c r="CJ178" s="65">
        <f t="shared" si="222"/>
        <v>235564</v>
      </c>
      <c r="CK178" s="65">
        <f t="shared" si="223"/>
        <v>445699</v>
      </c>
      <c r="CL178" s="65">
        <f t="shared" si="224"/>
        <v>228564</v>
      </c>
      <c r="CM178" s="65">
        <f t="shared" si="225"/>
        <v>279477</v>
      </c>
      <c r="CN178" s="65">
        <f t="shared" si="226"/>
        <v>479146</v>
      </c>
      <c r="CO178" s="65">
        <f t="shared" si="227"/>
        <v>228564</v>
      </c>
      <c r="CP178" s="65">
        <f t="shared" si="228"/>
        <v>452691</v>
      </c>
      <c r="CQ178" s="40" t="s">
        <v>538</v>
      </c>
    </row>
    <row r="179" spans="1:95" ht="3" customHeight="1" x14ac:dyDescent="0.25">
      <c r="A179" s="39">
        <v>1</v>
      </c>
      <c r="B179" s="28">
        <v>8313</v>
      </c>
      <c r="C179" s="28" t="s">
        <v>202</v>
      </c>
      <c r="D179" s="48">
        <f>+DATA!Q177</f>
        <v>6808300.2350000003</v>
      </c>
      <c r="E179" s="48">
        <f t="shared" si="214"/>
        <v>448213</v>
      </c>
      <c r="F179" s="48">
        <f t="shared" si="215"/>
        <v>680830</v>
      </c>
      <c r="G179" s="49">
        <f>VLOOKUP(B179,'CALC MEC ESTAB Y ESTIM M FINAL'!$B$7:$F$352,5,0)</f>
        <v>4.3441790906999997E-3</v>
      </c>
      <c r="H179" s="49">
        <f>VLOOKUP(B179,'CALC MEC ESTAB Y ESTIM M FINAL'!$B$7:$R$352,17,0)</f>
        <v>-5.9380778569999998E-4</v>
      </c>
      <c r="I179" s="46">
        <f t="shared" si="154"/>
        <v>309226</v>
      </c>
      <c r="J179" s="46">
        <f t="shared" si="155"/>
        <v>0</v>
      </c>
      <c r="K179" s="46">
        <f t="shared" si="156"/>
        <v>138987</v>
      </c>
      <c r="L179" s="46">
        <v>0</v>
      </c>
      <c r="M179" s="46">
        <f t="shared" si="157"/>
        <v>448213</v>
      </c>
      <c r="N179" s="46">
        <f t="shared" si="158"/>
        <v>138987</v>
      </c>
      <c r="O179" s="46">
        <f t="shared" si="159"/>
        <v>164436</v>
      </c>
      <c r="P179" s="46">
        <f t="shared" si="160"/>
        <v>0</v>
      </c>
      <c r="Q179" s="46">
        <f t="shared" si="161"/>
        <v>283777</v>
      </c>
      <c r="R179" s="46">
        <v>0</v>
      </c>
      <c r="S179" s="46">
        <f t="shared" si="162"/>
        <v>448213</v>
      </c>
      <c r="T179" s="46">
        <f t="shared" si="163"/>
        <v>422764</v>
      </c>
      <c r="U179" s="46">
        <f t="shared" si="164"/>
        <v>469099</v>
      </c>
      <c r="V179" s="46">
        <f t="shared" si="165"/>
        <v>0</v>
      </c>
      <c r="W179" s="46">
        <f t="shared" si="166"/>
        <v>0</v>
      </c>
      <c r="X179" s="46">
        <v>0</v>
      </c>
      <c r="Y179" s="46">
        <f t="shared" si="167"/>
        <v>469099</v>
      </c>
      <c r="Z179" s="46">
        <f t="shared" si="168"/>
        <v>422764</v>
      </c>
      <c r="AA179" s="46">
        <f t="shared" si="169"/>
        <v>249084</v>
      </c>
      <c r="AB179" s="46">
        <f t="shared" si="170"/>
        <v>0</v>
      </c>
      <c r="AC179" s="46">
        <f t="shared" si="171"/>
        <v>199129</v>
      </c>
      <c r="AD179" s="46">
        <v>0</v>
      </c>
      <c r="AE179" s="46">
        <f t="shared" si="172"/>
        <v>448213</v>
      </c>
      <c r="AF179" s="46">
        <f t="shared" si="173"/>
        <v>621893</v>
      </c>
      <c r="AG179" s="46">
        <f t="shared" si="174"/>
        <v>2167499</v>
      </c>
      <c r="AH179" s="46">
        <f t="shared" si="175"/>
        <v>20005</v>
      </c>
      <c r="AI179" s="46">
        <f t="shared" si="176"/>
        <v>-621893</v>
      </c>
      <c r="AJ179" s="46">
        <v>0</v>
      </c>
      <c r="AK179" s="46">
        <f t="shared" si="177"/>
        <v>1565611</v>
      </c>
      <c r="AL179" s="46">
        <f t="shared" si="178"/>
        <v>0</v>
      </c>
      <c r="AM179" s="46">
        <f t="shared" si="179"/>
        <v>429326</v>
      </c>
      <c r="AN179" s="46">
        <f t="shared" si="180"/>
        <v>14178</v>
      </c>
      <c r="AO179" s="46">
        <f t="shared" si="181"/>
        <v>18887</v>
      </c>
      <c r="AP179" s="46">
        <v>0</v>
      </c>
      <c r="AQ179" s="46">
        <f t="shared" si="182"/>
        <v>462391</v>
      </c>
      <c r="AR179" s="46">
        <f t="shared" si="183"/>
        <v>18887</v>
      </c>
      <c r="AS179" s="46">
        <f t="shared" si="184"/>
        <v>853424</v>
      </c>
      <c r="AT179" s="46">
        <f t="shared" si="185"/>
        <v>82852</v>
      </c>
      <c r="AU179" s="46">
        <f t="shared" si="186"/>
        <v>-18887</v>
      </c>
      <c r="AV179" s="46">
        <v>0</v>
      </c>
      <c r="AW179" s="46">
        <f t="shared" si="187"/>
        <v>917389</v>
      </c>
      <c r="AX179" s="46">
        <f t="shared" si="188"/>
        <v>0</v>
      </c>
      <c r="AY179" s="46">
        <f t="shared" si="189"/>
        <v>281899</v>
      </c>
      <c r="AZ179" s="46">
        <f t="shared" si="190"/>
        <v>0</v>
      </c>
      <c r="BA179" s="46">
        <f t="shared" si="191"/>
        <v>166314</v>
      </c>
      <c r="BB179" s="46"/>
      <c r="BC179" s="46">
        <f t="shared" si="192"/>
        <v>448213</v>
      </c>
      <c r="BD179" s="46">
        <f t="shared" si="193"/>
        <v>166314</v>
      </c>
      <c r="BE179" s="46">
        <f t="shared" si="194"/>
        <v>545719</v>
      </c>
      <c r="BF179" s="46">
        <f t="shared" si="195"/>
        <v>20311</v>
      </c>
      <c r="BG179" s="46">
        <f t="shared" si="196"/>
        <v>0</v>
      </c>
      <c r="BH179" s="46">
        <v>0</v>
      </c>
      <c r="BI179" s="46">
        <f t="shared" si="197"/>
        <v>566030</v>
      </c>
      <c r="BJ179" s="46">
        <f t="shared" si="198"/>
        <v>166314</v>
      </c>
      <c r="BK179" s="46">
        <f t="shared" si="199"/>
        <v>1151444</v>
      </c>
      <c r="BL179" s="46">
        <f t="shared" si="200"/>
        <v>0</v>
      </c>
      <c r="BM179" s="46">
        <f t="shared" si="201"/>
        <v>-166314</v>
      </c>
      <c r="BN179" s="46">
        <v>0</v>
      </c>
      <c r="BO179" s="46">
        <f t="shared" si="202"/>
        <v>985130</v>
      </c>
      <c r="BP179" s="46">
        <f t="shared" si="203"/>
        <v>0</v>
      </c>
      <c r="BQ179" s="46">
        <f t="shared" si="204"/>
        <v>427350</v>
      </c>
      <c r="BR179" s="46">
        <f t="shared" si="205"/>
        <v>0</v>
      </c>
      <c r="BS179" s="46">
        <f t="shared" si="206"/>
        <v>20863</v>
      </c>
      <c r="BT179" s="46">
        <v>0</v>
      </c>
      <c r="BU179" s="46">
        <f t="shared" si="207"/>
        <v>448213</v>
      </c>
      <c r="BV179" s="46">
        <f t="shared" si="208"/>
        <v>20863</v>
      </c>
      <c r="BW179" s="46">
        <f t="shared" si="209"/>
        <v>818921</v>
      </c>
      <c r="BX179" s="46">
        <f t="shared" si="210"/>
        <v>133493</v>
      </c>
      <c r="BY179" s="46">
        <f t="shared" si="211"/>
        <v>-20863</v>
      </c>
      <c r="BZ179" s="46">
        <v>0</v>
      </c>
      <c r="CA179" s="46">
        <f t="shared" si="212"/>
        <v>931551</v>
      </c>
      <c r="CB179" s="46">
        <f t="shared" si="213"/>
        <v>0</v>
      </c>
      <c r="CC179" s="155">
        <f t="shared" si="216"/>
        <v>0</v>
      </c>
      <c r="CD179" s="79" t="s">
        <v>538</v>
      </c>
      <c r="CE179" s="65">
        <f t="shared" si="217"/>
        <v>448213</v>
      </c>
      <c r="CF179" s="65">
        <f t="shared" si="218"/>
        <v>448213</v>
      </c>
      <c r="CG179" s="65">
        <f t="shared" si="219"/>
        <v>469099</v>
      </c>
      <c r="CH179" s="65">
        <f t="shared" si="220"/>
        <v>448213</v>
      </c>
      <c r="CI179" s="65">
        <f t="shared" si="221"/>
        <v>1565611</v>
      </c>
      <c r="CJ179" s="65">
        <f t="shared" si="222"/>
        <v>462391</v>
      </c>
      <c r="CK179" s="65">
        <f t="shared" si="223"/>
        <v>917389</v>
      </c>
      <c r="CL179" s="65">
        <f t="shared" si="224"/>
        <v>448213</v>
      </c>
      <c r="CM179" s="65">
        <f t="shared" si="225"/>
        <v>566030</v>
      </c>
      <c r="CN179" s="65">
        <f t="shared" si="226"/>
        <v>985130</v>
      </c>
      <c r="CO179" s="65">
        <f t="shared" si="227"/>
        <v>448213</v>
      </c>
      <c r="CP179" s="65">
        <f t="shared" si="228"/>
        <v>931551</v>
      </c>
      <c r="CQ179" s="40" t="s">
        <v>538</v>
      </c>
    </row>
    <row r="180" spans="1:95" ht="3" customHeight="1" x14ac:dyDescent="0.25">
      <c r="A180" s="39">
        <v>1</v>
      </c>
      <c r="B180" s="28">
        <v>8314</v>
      </c>
      <c r="C180" s="28" t="s">
        <v>400</v>
      </c>
      <c r="D180" s="48">
        <f>+DATA!Q178</f>
        <v>2235463.6519999998</v>
      </c>
      <c r="E180" s="48">
        <f t="shared" si="214"/>
        <v>147168</v>
      </c>
      <c r="F180" s="48">
        <f t="shared" si="215"/>
        <v>223546</v>
      </c>
      <c r="G180" s="49">
        <f>VLOOKUP(B180,'CALC MEC ESTAB Y ESTIM M FINAL'!$B$7:$F$352,5,0)</f>
        <v>1.1859718866000001E-3</v>
      </c>
      <c r="H180" s="49">
        <f>VLOOKUP(B180,'CALC MEC ESTAB Y ESTIM M FINAL'!$B$7:$R$352,17,0)</f>
        <v>-6.3602193299999995E-5</v>
      </c>
      <c r="I180" s="46">
        <f t="shared" si="154"/>
        <v>92542</v>
      </c>
      <c r="J180" s="46">
        <f t="shared" si="155"/>
        <v>0</v>
      </c>
      <c r="K180" s="46">
        <f t="shared" si="156"/>
        <v>54626</v>
      </c>
      <c r="L180" s="46">
        <v>0</v>
      </c>
      <c r="M180" s="46">
        <f t="shared" si="157"/>
        <v>147168</v>
      </c>
      <c r="N180" s="46">
        <f t="shared" si="158"/>
        <v>54626</v>
      </c>
      <c r="O180" s="46">
        <f t="shared" si="159"/>
        <v>49211</v>
      </c>
      <c r="P180" s="46">
        <f t="shared" si="160"/>
        <v>0</v>
      </c>
      <c r="Q180" s="46">
        <f t="shared" si="161"/>
        <v>97957</v>
      </c>
      <c r="R180" s="46">
        <v>0</v>
      </c>
      <c r="S180" s="46">
        <f t="shared" si="162"/>
        <v>147168</v>
      </c>
      <c r="T180" s="46">
        <f t="shared" si="163"/>
        <v>152583</v>
      </c>
      <c r="U180" s="46">
        <f t="shared" si="164"/>
        <v>140387</v>
      </c>
      <c r="V180" s="46">
        <f t="shared" si="165"/>
        <v>0</v>
      </c>
      <c r="W180" s="46">
        <f t="shared" si="166"/>
        <v>0</v>
      </c>
      <c r="X180" s="46">
        <v>0</v>
      </c>
      <c r="Y180" s="46">
        <f t="shared" si="167"/>
        <v>140387</v>
      </c>
      <c r="Z180" s="46">
        <f t="shared" si="168"/>
        <v>152583</v>
      </c>
      <c r="AA180" s="46">
        <f t="shared" si="169"/>
        <v>74543</v>
      </c>
      <c r="AB180" s="46">
        <f t="shared" si="170"/>
        <v>0</v>
      </c>
      <c r="AC180" s="46">
        <f t="shared" si="171"/>
        <v>72625</v>
      </c>
      <c r="AD180" s="46">
        <v>0</v>
      </c>
      <c r="AE180" s="46">
        <f t="shared" si="172"/>
        <v>147168</v>
      </c>
      <c r="AF180" s="46">
        <f t="shared" si="173"/>
        <v>225208</v>
      </c>
      <c r="AG180" s="46">
        <f t="shared" si="174"/>
        <v>648665</v>
      </c>
      <c r="AH180" s="46">
        <f t="shared" si="175"/>
        <v>5987</v>
      </c>
      <c r="AI180" s="46">
        <f t="shared" si="176"/>
        <v>-225208</v>
      </c>
      <c r="AJ180" s="46">
        <v>0</v>
      </c>
      <c r="AK180" s="46">
        <f t="shared" si="177"/>
        <v>429444</v>
      </c>
      <c r="AL180" s="46">
        <f t="shared" si="178"/>
        <v>0</v>
      </c>
      <c r="AM180" s="46">
        <f t="shared" si="179"/>
        <v>128484</v>
      </c>
      <c r="AN180" s="46">
        <f t="shared" si="180"/>
        <v>4243</v>
      </c>
      <c r="AO180" s="46">
        <f t="shared" si="181"/>
        <v>18684</v>
      </c>
      <c r="AP180" s="46">
        <v>0</v>
      </c>
      <c r="AQ180" s="46">
        <f t="shared" si="182"/>
        <v>151411</v>
      </c>
      <c r="AR180" s="46">
        <f t="shared" si="183"/>
        <v>18684</v>
      </c>
      <c r="AS180" s="46">
        <f t="shared" si="184"/>
        <v>255403</v>
      </c>
      <c r="AT180" s="46">
        <f t="shared" si="185"/>
        <v>24795</v>
      </c>
      <c r="AU180" s="46">
        <f t="shared" si="186"/>
        <v>-18684</v>
      </c>
      <c r="AV180" s="46">
        <v>0</v>
      </c>
      <c r="AW180" s="46">
        <f t="shared" si="187"/>
        <v>261514</v>
      </c>
      <c r="AX180" s="46">
        <f t="shared" si="188"/>
        <v>0</v>
      </c>
      <c r="AY180" s="46">
        <f t="shared" si="189"/>
        <v>84364</v>
      </c>
      <c r="AZ180" s="46">
        <f t="shared" si="190"/>
        <v>0</v>
      </c>
      <c r="BA180" s="46">
        <f t="shared" si="191"/>
        <v>62804</v>
      </c>
      <c r="BB180" s="46"/>
      <c r="BC180" s="46">
        <f t="shared" si="192"/>
        <v>147168</v>
      </c>
      <c r="BD180" s="46">
        <f t="shared" si="193"/>
        <v>62804</v>
      </c>
      <c r="BE180" s="46">
        <f t="shared" si="194"/>
        <v>163317</v>
      </c>
      <c r="BF180" s="46">
        <f t="shared" si="195"/>
        <v>6078</v>
      </c>
      <c r="BG180" s="46">
        <f t="shared" si="196"/>
        <v>0</v>
      </c>
      <c r="BH180" s="46">
        <v>0</v>
      </c>
      <c r="BI180" s="46">
        <f t="shared" si="197"/>
        <v>169395</v>
      </c>
      <c r="BJ180" s="46">
        <f t="shared" si="198"/>
        <v>62804</v>
      </c>
      <c r="BK180" s="46">
        <f t="shared" si="199"/>
        <v>344591</v>
      </c>
      <c r="BL180" s="46">
        <f t="shared" si="200"/>
        <v>0</v>
      </c>
      <c r="BM180" s="46">
        <f t="shared" si="201"/>
        <v>-62804</v>
      </c>
      <c r="BN180" s="46">
        <v>0</v>
      </c>
      <c r="BO180" s="46">
        <f t="shared" si="202"/>
        <v>281787</v>
      </c>
      <c r="BP180" s="46">
        <f t="shared" si="203"/>
        <v>0</v>
      </c>
      <c r="BQ180" s="46">
        <f t="shared" si="204"/>
        <v>127893</v>
      </c>
      <c r="BR180" s="46">
        <f t="shared" si="205"/>
        <v>0</v>
      </c>
      <c r="BS180" s="46">
        <f t="shared" si="206"/>
        <v>19275</v>
      </c>
      <c r="BT180" s="46">
        <v>0</v>
      </c>
      <c r="BU180" s="46">
        <f t="shared" si="207"/>
        <v>147168</v>
      </c>
      <c r="BV180" s="46">
        <f t="shared" si="208"/>
        <v>19275</v>
      </c>
      <c r="BW180" s="46">
        <f t="shared" si="209"/>
        <v>245078</v>
      </c>
      <c r="BX180" s="46">
        <f t="shared" si="210"/>
        <v>39950</v>
      </c>
      <c r="BY180" s="46">
        <f t="shared" si="211"/>
        <v>-19275</v>
      </c>
      <c r="BZ180" s="46">
        <v>0</v>
      </c>
      <c r="CA180" s="46">
        <f t="shared" si="212"/>
        <v>265753</v>
      </c>
      <c r="CB180" s="46">
        <f t="shared" si="213"/>
        <v>0</v>
      </c>
      <c r="CC180" s="155">
        <f t="shared" si="216"/>
        <v>0</v>
      </c>
      <c r="CD180" s="79" t="s">
        <v>538</v>
      </c>
      <c r="CE180" s="65">
        <f t="shared" si="217"/>
        <v>147168</v>
      </c>
      <c r="CF180" s="65">
        <f t="shared" si="218"/>
        <v>147168</v>
      </c>
      <c r="CG180" s="65">
        <f t="shared" si="219"/>
        <v>140387</v>
      </c>
      <c r="CH180" s="65">
        <f t="shared" si="220"/>
        <v>147168</v>
      </c>
      <c r="CI180" s="65">
        <f t="shared" si="221"/>
        <v>429444</v>
      </c>
      <c r="CJ180" s="65">
        <f t="shared" si="222"/>
        <v>151411</v>
      </c>
      <c r="CK180" s="65">
        <f t="shared" si="223"/>
        <v>261514</v>
      </c>
      <c r="CL180" s="65">
        <f t="shared" si="224"/>
        <v>147168</v>
      </c>
      <c r="CM180" s="65">
        <f t="shared" si="225"/>
        <v>169395</v>
      </c>
      <c r="CN180" s="65">
        <f t="shared" si="226"/>
        <v>281787</v>
      </c>
      <c r="CO180" s="65">
        <f t="shared" si="227"/>
        <v>147168</v>
      </c>
      <c r="CP180" s="65">
        <f t="shared" si="228"/>
        <v>265753</v>
      </c>
      <c r="CQ180" s="40" t="s">
        <v>538</v>
      </c>
    </row>
    <row r="181" spans="1:95" ht="3" customHeight="1" x14ac:dyDescent="0.25">
      <c r="A181" s="39">
        <v>1</v>
      </c>
      <c r="B181" s="28">
        <v>9101</v>
      </c>
      <c r="C181" s="28" t="s">
        <v>215</v>
      </c>
      <c r="D181" s="48">
        <f>+DATA!Q179</f>
        <v>25821333.111000001</v>
      </c>
      <c r="E181" s="48">
        <f t="shared" si="214"/>
        <v>1699904</v>
      </c>
      <c r="F181" s="48">
        <f t="shared" si="215"/>
        <v>2582133</v>
      </c>
      <c r="G181" s="49">
        <f>VLOOKUP(B181,'CALC MEC ESTAB Y ESTIM M FINAL'!$B$7:$F$352,5,0)</f>
        <v>1.15398987641E-2</v>
      </c>
      <c r="H181" s="49">
        <f>VLOOKUP(B181,'CALC MEC ESTAB Y ESTIM M FINAL'!$B$7:$R$352,17,0)</f>
        <v>8.0530306429999995E-4</v>
      </c>
      <c r="I181" s="46">
        <f t="shared" si="154"/>
        <v>1017889</v>
      </c>
      <c r="J181" s="46">
        <f t="shared" si="155"/>
        <v>0</v>
      </c>
      <c r="K181" s="46">
        <f t="shared" si="156"/>
        <v>682015</v>
      </c>
      <c r="L181" s="46">
        <v>0</v>
      </c>
      <c r="M181" s="46">
        <f t="shared" si="157"/>
        <v>1699904</v>
      </c>
      <c r="N181" s="46">
        <f t="shared" si="158"/>
        <v>682015</v>
      </c>
      <c r="O181" s="46">
        <f t="shared" si="159"/>
        <v>541279</v>
      </c>
      <c r="P181" s="46">
        <f t="shared" si="160"/>
        <v>0</v>
      </c>
      <c r="Q181" s="46">
        <f t="shared" si="161"/>
        <v>1158625</v>
      </c>
      <c r="R181" s="46">
        <v>0</v>
      </c>
      <c r="S181" s="46">
        <f t="shared" si="162"/>
        <v>1699904</v>
      </c>
      <c r="T181" s="46">
        <f t="shared" si="163"/>
        <v>1840640</v>
      </c>
      <c r="U181" s="46">
        <f t="shared" si="164"/>
        <v>1544147</v>
      </c>
      <c r="V181" s="46">
        <f t="shared" si="165"/>
        <v>0</v>
      </c>
      <c r="W181" s="46">
        <f t="shared" si="166"/>
        <v>0</v>
      </c>
      <c r="X181" s="46">
        <v>0</v>
      </c>
      <c r="Y181" s="46">
        <f t="shared" si="167"/>
        <v>1544147</v>
      </c>
      <c r="Z181" s="46">
        <f t="shared" si="168"/>
        <v>1840640</v>
      </c>
      <c r="AA181" s="46">
        <f t="shared" si="169"/>
        <v>819918</v>
      </c>
      <c r="AB181" s="46">
        <f t="shared" si="170"/>
        <v>0</v>
      </c>
      <c r="AC181" s="46">
        <f t="shared" si="171"/>
        <v>879986</v>
      </c>
      <c r="AD181" s="46">
        <v>0</v>
      </c>
      <c r="AE181" s="46">
        <f t="shared" si="172"/>
        <v>1699904</v>
      </c>
      <c r="AF181" s="46">
        <f t="shared" si="173"/>
        <v>2720626</v>
      </c>
      <c r="AG181" s="46">
        <f t="shared" si="174"/>
        <v>7134818</v>
      </c>
      <c r="AH181" s="46">
        <f t="shared" si="175"/>
        <v>65853</v>
      </c>
      <c r="AI181" s="46">
        <f t="shared" si="176"/>
        <v>-2720626</v>
      </c>
      <c r="AJ181" s="46">
        <v>0</v>
      </c>
      <c r="AK181" s="46">
        <f t="shared" si="177"/>
        <v>4480045</v>
      </c>
      <c r="AL181" s="46">
        <f t="shared" si="178"/>
        <v>0</v>
      </c>
      <c r="AM181" s="46">
        <f t="shared" si="179"/>
        <v>1413225</v>
      </c>
      <c r="AN181" s="46">
        <f t="shared" si="180"/>
        <v>46670</v>
      </c>
      <c r="AO181" s="46">
        <f t="shared" si="181"/>
        <v>286679</v>
      </c>
      <c r="AP181" s="46">
        <v>0</v>
      </c>
      <c r="AQ181" s="46">
        <f t="shared" si="182"/>
        <v>1746574</v>
      </c>
      <c r="AR181" s="46">
        <f t="shared" si="183"/>
        <v>286679</v>
      </c>
      <c r="AS181" s="46">
        <f t="shared" si="184"/>
        <v>2809240</v>
      </c>
      <c r="AT181" s="46">
        <f t="shared" si="185"/>
        <v>272726</v>
      </c>
      <c r="AU181" s="46">
        <f t="shared" si="186"/>
        <v>-227107</v>
      </c>
      <c r="AV181" s="46">
        <v>0</v>
      </c>
      <c r="AW181" s="46">
        <f t="shared" si="187"/>
        <v>2854859</v>
      </c>
      <c r="AX181" s="46">
        <f t="shared" si="188"/>
        <v>59572</v>
      </c>
      <c r="AY181" s="46">
        <f t="shared" si="189"/>
        <v>927935</v>
      </c>
      <c r="AZ181" s="46">
        <f t="shared" si="190"/>
        <v>0</v>
      </c>
      <c r="BA181" s="46">
        <f t="shared" si="191"/>
        <v>771969</v>
      </c>
      <c r="BB181" s="46"/>
      <c r="BC181" s="46">
        <f t="shared" si="192"/>
        <v>1699904</v>
      </c>
      <c r="BD181" s="46">
        <f t="shared" si="193"/>
        <v>831541</v>
      </c>
      <c r="BE181" s="46">
        <f t="shared" si="194"/>
        <v>1796359</v>
      </c>
      <c r="BF181" s="46">
        <f t="shared" si="195"/>
        <v>66859</v>
      </c>
      <c r="BG181" s="46">
        <f t="shared" si="196"/>
        <v>0</v>
      </c>
      <c r="BH181" s="46">
        <v>0</v>
      </c>
      <c r="BI181" s="46">
        <f t="shared" si="197"/>
        <v>1863218</v>
      </c>
      <c r="BJ181" s="46">
        <f t="shared" si="198"/>
        <v>831541</v>
      </c>
      <c r="BK181" s="46">
        <f t="shared" si="199"/>
        <v>3790240</v>
      </c>
      <c r="BL181" s="46">
        <f t="shared" si="200"/>
        <v>0</v>
      </c>
      <c r="BM181" s="46">
        <f t="shared" si="201"/>
        <v>-831541</v>
      </c>
      <c r="BN181" s="46">
        <v>0</v>
      </c>
      <c r="BO181" s="46">
        <f t="shared" si="202"/>
        <v>2958699</v>
      </c>
      <c r="BP181" s="46">
        <f t="shared" si="203"/>
        <v>0</v>
      </c>
      <c r="BQ181" s="46">
        <f t="shared" si="204"/>
        <v>1406720</v>
      </c>
      <c r="BR181" s="46">
        <f t="shared" si="205"/>
        <v>0</v>
      </c>
      <c r="BS181" s="46">
        <f t="shared" si="206"/>
        <v>293184</v>
      </c>
      <c r="BT181" s="46">
        <v>0</v>
      </c>
      <c r="BU181" s="46">
        <f t="shared" si="207"/>
        <v>1699904</v>
      </c>
      <c r="BV181" s="46">
        <f t="shared" si="208"/>
        <v>293184</v>
      </c>
      <c r="BW181" s="46">
        <f t="shared" si="209"/>
        <v>2695665</v>
      </c>
      <c r="BX181" s="46">
        <f t="shared" si="210"/>
        <v>439421</v>
      </c>
      <c r="BY181" s="46">
        <f t="shared" si="211"/>
        <v>-293184</v>
      </c>
      <c r="BZ181" s="46">
        <v>0</v>
      </c>
      <c r="CA181" s="46">
        <f t="shared" si="212"/>
        <v>2841902</v>
      </c>
      <c r="CB181" s="46">
        <f t="shared" si="213"/>
        <v>0</v>
      </c>
      <c r="CC181" s="155">
        <f t="shared" si="216"/>
        <v>0</v>
      </c>
      <c r="CD181" s="79" t="s">
        <v>538</v>
      </c>
      <c r="CE181" s="65">
        <f t="shared" si="217"/>
        <v>1699904</v>
      </c>
      <c r="CF181" s="65">
        <f t="shared" si="218"/>
        <v>1699904</v>
      </c>
      <c r="CG181" s="65">
        <f t="shared" si="219"/>
        <v>1544147</v>
      </c>
      <c r="CH181" s="65">
        <f t="shared" si="220"/>
        <v>1699904</v>
      </c>
      <c r="CI181" s="65">
        <f t="shared" si="221"/>
        <v>4480045</v>
      </c>
      <c r="CJ181" s="65">
        <f t="shared" si="222"/>
        <v>1746574</v>
      </c>
      <c r="CK181" s="65">
        <f t="shared" si="223"/>
        <v>2854859</v>
      </c>
      <c r="CL181" s="65">
        <f t="shared" si="224"/>
        <v>1699904</v>
      </c>
      <c r="CM181" s="65">
        <f t="shared" si="225"/>
        <v>1863218</v>
      </c>
      <c r="CN181" s="65">
        <f t="shared" si="226"/>
        <v>2958699</v>
      </c>
      <c r="CO181" s="65">
        <f t="shared" si="227"/>
        <v>1699904</v>
      </c>
      <c r="CP181" s="65">
        <f t="shared" si="228"/>
        <v>2841902</v>
      </c>
      <c r="CQ181" s="40" t="s">
        <v>538</v>
      </c>
    </row>
    <row r="182" spans="1:95" ht="3" customHeight="1" x14ac:dyDescent="0.25">
      <c r="A182" s="39">
        <v>1</v>
      </c>
      <c r="B182" s="28">
        <v>9102</v>
      </c>
      <c r="C182" s="28" t="s">
        <v>222</v>
      </c>
      <c r="D182" s="48">
        <f>+DATA!Q180</f>
        <v>6558403.801</v>
      </c>
      <c r="E182" s="48">
        <f t="shared" si="214"/>
        <v>431762</v>
      </c>
      <c r="F182" s="48">
        <f t="shared" si="215"/>
        <v>655840</v>
      </c>
      <c r="G182" s="49">
        <f>VLOOKUP(B182,'CALC MEC ESTAB Y ESTIM M FINAL'!$B$7:$F$352,5,0)</f>
        <v>3.4926426515000004E-3</v>
      </c>
      <c r="H182" s="49">
        <f>VLOOKUP(B182,'CALC MEC ESTAB Y ESTIM M FINAL'!$B$7:$R$352,17,0)</f>
        <v>-1.9379598100000001E-4</v>
      </c>
      <c r="I182" s="46">
        <f t="shared" si="154"/>
        <v>271997</v>
      </c>
      <c r="J182" s="46">
        <f t="shared" si="155"/>
        <v>0</v>
      </c>
      <c r="K182" s="46">
        <f t="shared" si="156"/>
        <v>159765</v>
      </c>
      <c r="L182" s="46">
        <v>0</v>
      </c>
      <c r="M182" s="46">
        <f t="shared" si="157"/>
        <v>431762</v>
      </c>
      <c r="N182" s="46">
        <f t="shared" si="158"/>
        <v>159765</v>
      </c>
      <c r="O182" s="46">
        <f t="shared" si="159"/>
        <v>144639</v>
      </c>
      <c r="P182" s="46">
        <f t="shared" si="160"/>
        <v>0</v>
      </c>
      <c r="Q182" s="46">
        <f t="shared" si="161"/>
        <v>287123</v>
      </c>
      <c r="R182" s="46">
        <v>0</v>
      </c>
      <c r="S182" s="46">
        <f t="shared" si="162"/>
        <v>431762</v>
      </c>
      <c r="T182" s="46">
        <f t="shared" si="163"/>
        <v>446888</v>
      </c>
      <c r="U182" s="46">
        <f t="shared" si="164"/>
        <v>412622</v>
      </c>
      <c r="V182" s="46">
        <f t="shared" si="165"/>
        <v>0</v>
      </c>
      <c r="W182" s="46">
        <f t="shared" si="166"/>
        <v>0</v>
      </c>
      <c r="X182" s="46">
        <v>0</v>
      </c>
      <c r="Y182" s="46">
        <f t="shared" si="167"/>
        <v>412622</v>
      </c>
      <c r="Z182" s="46">
        <f t="shared" si="168"/>
        <v>446888</v>
      </c>
      <c r="AA182" s="46">
        <f t="shared" si="169"/>
        <v>219096</v>
      </c>
      <c r="AB182" s="46">
        <f t="shared" si="170"/>
        <v>0</v>
      </c>
      <c r="AC182" s="46">
        <f t="shared" si="171"/>
        <v>212666</v>
      </c>
      <c r="AD182" s="46">
        <v>0</v>
      </c>
      <c r="AE182" s="46">
        <f t="shared" si="172"/>
        <v>431762</v>
      </c>
      <c r="AF182" s="46">
        <f t="shared" si="173"/>
        <v>659554</v>
      </c>
      <c r="AG182" s="46">
        <f t="shared" si="174"/>
        <v>1906544</v>
      </c>
      <c r="AH182" s="46">
        <f t="shared" si="175"/>
        <v>17597</v>
      </c>
      <c r="AI182" s="46">
        <f t="shared" si="176"/>
        <v>-659554</v>
      </c>
      <c r="AJ182" s="46">
        <v>0</v>
      </c>
      <c r="AK182" s="46">
        <f t="shared" si="177"/>
        <v>1264587</v>
      </c>
      <c r="AL182" s="46">
        <f t="shared" si="178"/>
        <v>0</v>
      </c>
      <c r="AM182" s="46">
        <f t="shared" si="179"/>
        <v>377638</v>
      </c>
      <c r="AN182" s="46">
        <f t="shared" si="180"/>
        <v>12471</v>
      </c>
      <c r="AO182" s="46">
        <f t="shared" si="181"/>
        <v>54124</v>
      </c>
      <c r="AP182" s="46">
        <v>0</v>
      </c>
      <c r="AQ182" s="46">
        <f t="shared" si="182"/>
        <v>444233</v>
      </c>
      <c r="AR182" s="46">
        <f t="shared" si="183"/>
        <v>54124</v>
      </c>
      <c r="AS182" s="46">
        <f t="shared" si="184"/>
        <v>750676</v>
      </c>
      <c r="AT182" s="46">
        <f t="shared" si="185"/>
        <v>72877</v>
      </c>
      <c r="AU182" s="46">
        <f t="shared" si="186"/>
        <v>-54124</v>
      </c>
      <c r="AV182" s="46">
        <v>0</v>
      </c>
      <c r="AW182" s="46">
        <f t="shared" si="187"/>
        <v>769429</v>
      </c>
      <c r="AX182" s="46">
        <f t="shared" si="188"/>
        <v>0</v>
      </c>
      <c r="AY182" s="46">
        <f t="shared" si="189"/>
        <v>247960</v>
      </c>
      <c r="AZ182" s="46">
        <f t="shared" si="190"/>
        <v>0</v>
      </c>
      <c r="BA182" s="46">
        <f t="shared" si="191"/>
        <v>183802</v>
      </c>
      <c r="BB182" s="46"/>
      <c r="BC182" s="46">
        <f t="shared" si="192"/>
        <v>431762</v>
      </c>
      <c r="BD182" s="46">
        <f t="shared" si="193"/>
        <v>183802</v>
      </c>
      <c r="BE182" s="46">
        <f t="shared" si="194"/>
        <v>480018</v>
      </c>
      <c r="BF182" s="46">
        <f t="shared" si="195"/>
        <v>17866</v>
      </c>
      <c r="BG182" s="46">
        <f t="shared" si="196"/>
        <v>0</v>
      </c>
      <c r="BH182" s="46">
        <v>0</v>
      </c>
      <c r="BI182" s="46">
        <f t="shared" si="197"/>
        <v>497884</v>
      </c>
      <c r="BJ182" s="46">
        <f t="shared" si="198"/>
        <v>183802</v>
      </c>
      <c r="BK182" s="46">
        <f t="shared" si="199"/>
        <v>1012816</v>
      </c>
      <c r="BL182" s="46">
        <f t="shared" si="200"/>
        <v>0</v>
      </c>
      <c r="BM182" s="46">
        <f t="shared" si="201"/>
        <v>-183802</v>
      </c>
      <c r="BN182" s="46">
        <v>0</v>
      </c>
      <c r="BO182" s="46">
        <f t="shared" si="202"/>
        <v>829014</v>
      </c>
      <c r="BP182" s="46">
        <f t="shared" si="203"/>
        <v>0</v>
      </c>
      <c r="BQ182" s="46">
        <f t="shared" si="204"/>
        <v>375899</v>
      </c>
      <c r="BR182" s="46">
        <f t="shared" si="205"/>
        <v>0</v>
      </c>
      <c r="BS182" s="46">
        <f t="shared" si="206"/>
        <v>55863</v>
      </c>
      <c r="BT182" s="46">
        <v>0</v>
      </c>
      <c r="BU182" s="46">
        <f t="shared" si="207"/>
        <v>431762</v>
      </c>
      <c r="BV182" s="46">
        <f t="shared" si="208"/>
        <v>55863</v>
      </c>
      <c r="BW182" s="46">
        <f t="shared" si="209"/>
        <v>720327</v>
      </c>
      <c r="BX182" s="46">
        <f t="shared" si="210"/>
        <v>117421</v>
      </c>
      <c r="BY182" s="46">
        <f t="shared" si="211"/>
        <v>-55863</v>
      </c>
      <c r="BZ182" s="46">
        <v>0</v>
      </c>
      <c r="CA182" s="46">
        <f t="shared" si="212"/>
        <v>781885</v>
      </c>
      <c r="CB182" s="46">
        <f t="shared" si="213"/>
        <v>0</v>
      </c>
      <c r="CC182" s="155">
        <f t="shared" si="216"/>
        <v>0</v>
      </c>
      <c r="CD182" s="79" t="s">
        <v>538</v>
      </c>
      <c r="CE182" s="65">
        <f t="shared" si="217"/>
        <v>431762</v>
      </c>
      <c r="CF182" s="65">
        <f t="shared" si="218"/>
        <v>431762</v>
      </c>
      <c r="CG182" s="65">
        <f t="shared" si="219"/>
        <v>412622</v>
      </c>
      <c r="CH182" s="65">
        <f t="shared" si="220"/>
        <v>431762</v>
      </c>
      <c r="CI182" s="65">
        <f t="shared" si="221"/>
        <v>1264587</v>
      </c>
      <c r="CJ182" s="65">
        <f t="shared" si="222"/>
        <v>444233</v>
      </c>
      <c r="CK182" s="65">
        <f t="shared" si="223"/>
        <v>769429</v>
      </c>
      <c r="CL182" s="65">
        <f t="shared" si="224"/>
        <v>431762</v>
      </c>
      <c r="CM182" s="65">
        <f t="shared" si="225"/>
        <v>497884</v>
      </c>
      <c r="CN182" s="65">
        <f t="shared" si="226"/>
        <v>829014</v>
      </c>
      <c r="CO182" s="65">
        <f t="shared" si="227"/>
        <v>431762</v>
      </c>
      <c r="CP182" s="65">
        <f t="shared" si="228"/>
        <v>781885</v>
      </c>
      <c r="CQ182" s="40" t="s">
        <v>538</v>
      </c>
    </row>
    <row r="183" spans="1:95" ht="3" customHeight="1" x14ac:dyDescent="0.25">
      <c r="A183" s="39">
        <v>1</v>
      </c>
      <c r="B183" s="28">
        <v>9103</v>
      </c>
      <c r="C183" s="28" t="s">
        <v>217</v>
      </c>
      <c r="D183" s="48">
        <f>+DATA!Q181</f>
        <v>4234723.5530000003</v>
      </c>
      <c r="E183" s="48">
        <f t="shared" si="214"/>
        <v>278786</v>
      </c>
      <c r="F183" s="48">
        <f t="shared" si="215"/>
        <v>423472</v>
      </c>
      <c r="G183" s="49">
        <f>VLOOKUP(B183,'CALC MEC ESTAB Y ESTIM M FINAL'!$B$7:$F$352,5,0)</f>
        <v>2.7078737123999996E-3</v>
      </c>
      <c r="H183" s="49">
        <f>VLOOKUP(B183,'CALC MEC ESTAB Y ESTIM M FINAL'!$B$7:$R$352,17,0)</f>
        <v>-3.7254031900000001E-4</v>
      </c>
      <c r="I183" s="46">
        <f t="shared" si="154"/>
        <v>192553</v>
      </c>
      <c r="J183" s="46">
        <f t="shared" si="155"/>
        <v>0</v>
      </c>
      <c r="K183" s="46">
        <f t="shared" si="156"/>
        <v>86233</v>
      </c>
      <c r="L183" s="46">
        <v>0</v>
      </c>
      <c r="M183" s="46">
        <f t="shared" si="157"/>
        <v>278786</v>
      </c>
      <c r="N183" s="46">
        <f t="shared" si="158"/>
        <v>86233</v>
      </c>
      <c r="O183" s="46">
        <f t="shared" si="159"/>
        <v>102393</v>
      </c>
      <c r="P183" s="46">
        <f t="shared" si="160"/>
        <v>0</v>
      </c>
      <c r="Q183" s="46">
        <f t="shared" si="161"/>
        <v>176393</v>
      </c>
      <c r="R183" s="46">
        <v>0</v>
      </c>
      <c r="S183" s="46">
        <f t="shared" si="162"/>
        <v>278786</v>
      </c>
      <c r="T183" s="46">
        <f t="shared" si="163"/>
        <v>262626</v>
      </c>
      <c r="U183" s="46">
        <f t="shared" si="164"/>
        <v>292105</v>
      </c>
      <c r="V183" s="46">
        <f t="shared" si="165"/>
        <v>0</v>
      </c>
      <c r="W183" s="46">
        <f t="shared" si="166"/>
        <v>0</v>
      </c>
      <c r="X183" s="46">
        <v>0</v>
      </c>
      <c r="Y183" s="46">
        <f t="shared" si="167"/>
        <v>292105</v>
      </c>
      <c r="Z183" s="46">
        <f t="shared" si="168"/>
        <v>262626</v>
      </c>
      <c r="AA183" s="46">
        <f t="shared" si="169"/>
        <v>155103</v>
      </c>
      <c r="AB183" s="46">
        <f t="shared" si="170"/>
        <v>0</v>
      </c>
      <c r="AC183" s="46">
        <f t="shared" si="171"/>
        <v>123683</v>
      </c>
      <c r="AD183" s="46">
        <v>0</v>
      </c>
      <c r="AE183" s="46">
        <f t="shared" si="172"/>
        <v>278786</v>
      </c>
      <c r="AF183" s="46">
        <f t="shared" si="173"/>
        <v>386309</v>
      </c>
      <c r="AG183" s="46">
        <f t="shared" si="174"/>
        <v>1349689</v>
      </c>
      <c r="AH183" s="46">
        <f t="shared" si="175"/>
        <v>12457</v>
      </c>
      <c r="AI183" s="46">
        <f t="shared" si="176"/>
        <v>-386309</v>
      </c>
      <c r="AJ183" s="46">
        <v>0</v>
      </c>
      <c r="AK183" s="46">
        <f t="shared" si="177"/>
        <v>975837</v>
      </c>
      <c r="AL183" s="46">
        <f t="shared" si="178"/>
        <v>0</v>
      </c>
      <c r="AM183" s="46">
        <f t="shared" si="179"/>
        <v>267339</v>
      </c>
      <c r="AN183" s="46">
        <f t="shared" si="180"/>
        <v>8829</v>
      </c>
      <c r="AO183" s="46">
        <f t="shared" si="181"/>
        <v>11447</v>
      </c>
      <c r="AP183" s="46">
        <v>0</v>
      </c>
      <c r="AQ183" s="46">
        <f t="shared" si="182"/>
        <v>287615</v>
      </c>
      <c r="AR183" s="46">
        <f t="shared" si="183"/>
        <v>11447</v>
      </c>
      <c r="AS183" s="46">
        <f t="shared" si="184"/>
        <v>531422</v>
      </c>
      <c r="AT183" s="46">
        <f t="shared" si="185"/>
        <v>51591</v>
      </c>
      <c r="AU183" s="46">
        <f t="shared" si="186"/>
        <v>-11447</v>
      </c>
      <c r="AV183" s="46">
        <v>0</v>
      </c>
      <c r="AW183" s="46">
        <f t="shared" si="187"/>
        <v>571566</v>
      </c>
      <c r="AX183" s="46">
        <f t="shared" si="188"/>
        <v>0</v>
      </c>
      <c r="AY183" s="46">
        <f t="shared" si="189"/>
        <v>175537</v>
      </c>
      <c r="AZ183" s="46">
        <f t="shared" si="190"/>
        <v>0</v>
      </c>
      <c r="BA183" s="46">
        <f t="shared" si="191"/>
        <v>103249</v>
      </c>
      <c r="BB183" s="46"/>
      <c r="BC183" s="46">
        <f t="shared" si="192"/>
        <v>278786</v>
      </c>
      <c r="BD183" s="46">
        <f t="shared" si="193"/>
        <v>103249</v>
      </c>
      <c r="BE183" s="46">
        <f t="shared" si="194"/>
        <v>339816</v>
      </c>
      <c r="BF183" s="46">
        <f t="shared" si="195"/>
        <v>12648</v>
      </c>
      <c r="BG183" s="46">
        <f t="shared" si="196"/>
        <v>0</v>
      </c>
      <c r="BH183" s="46">
        <v>0</v>
      </c>
      <c r="BI183" s="46">
        <f t="shared" si="197"/>
        <v>352464</v>
      </c>
      <c r="BJ183" s="46">
        <f t="shared" si="198"/>
        <v>103249</v>
      </c>
      <c r="BK183" s="46">
        <f t="shared" si="199"/>
        <v>716997</v>
      </c>
      <c r="BL183" s="46">
        <f t="shared" si="200"/>
        <v>0</v>
      </c>
      <c r="BM183" s="46">
        <f t="shared" si="201"/>
        <v>-103249</v>
      </c>
      <c r="BN183" s="46">
        <v>0</v>
      </c>
      <c r="BO183" s="46">
        <f t="shared" si="202"/>
        <v>613748</v>
      </c>
      <c r="BP183" s="46">
        <f t="shared" si="203"/>
        <v>0</v>
      </c>
      <c r="BQ183" s="46">
        <f t="shared" si="204"/>
        <v>266108</v>
      </c>
      <c r="BR183" s="46">
        <f t="shared" si="205"/>
        <v>0</v>
      </c>
      <c r="BS183" s="46">
        <f t="shared" si="206"/>
        <v>12678</v>
      </c>
      <c r="BT183" s="46">
        <v>0</v>
      </c>
      <c r="BU183" s="46">
        <f t="shared" si="207"/>
        <v>278786</v>
      </c>
      <c r="BV183" s="46">
        <f t="shared" si="208"/>
        <v>12678</v>
      </c>
      <c r="BW183" s="46">
        <f t="shared" si="209"/>
        <v>509937</v>
      </c>
      <c r="BX183" s="46">
        <f t="shared" si="210"/>
        <v>83125</v>
      </c>
      <c r="BY183" s="46">
        <f t="shared" si="211"/>
        <v>-12678</v>
      </c>
      <c r="BZ183" s="46">
        <v>0</v>
      </c>
      <c r="CA183" s="46">
        <f t="shared" si="212"/>
        <v>580384</v>
      </c>
      <c r="CB183" s="46">
        <f t="shared" si="213"/>
        <v>0</v>
      </c>
      <c r="CC183" s="155">
        <f t="shared" si="216"/>
        <v>0</v>
      </c>
      <c r="CD183" s="79" t="s">
        <v>538</v>
      </c>
      <c r="CE183" s="65">
        <f t="shared" si="217"/>
        <v>278786</v>
      </c>
      <c r="CF183" s="65">
        <f t="shared" si="218"/>
        <v>278786</v>
      </c>
      <c r="CG183" s="65">
        <f t="shared" si="219"/>
        <v>292105</v>
      </c>
      <c r="CH183" s="65">
        <f t="shared" si="220"/>
        <v>278786</v>
      </c>
      <c r="CI183" s="65">
        <f t="shared" si="221"/>
        <v>975837</v>
      </c>
      <c r="CJ183" s="65">
        <f t="shared" si="222"/>
        <v>287615</v>
      </c>
      <c r="CK183" s="65">
        <f t="shared" si="223"/>
        <v>571566</v>
      </c>
      <c r="CL183" s="65">
        <f t="shared" si="224"/>
        <v>278786</v>
      </c>
      <c r="CM183" s="65">
        <f t="shared" si="225"/>
        <v>352464</v>
      </c>
      <c r="CN183" s="65">
        <f t="shared" si="226"/>
        <v>613748</v>
      </c>
      <c r="CO183" s="65">
        <f t="shared" si="227"/>
        <v>278786</v>
      </c>
      <c r="CP183" s="65">
        <f t="shared" si="228"/>
        <v>580384</v>
      </c>
      <c r="CQ183" s="40" t="s">
        <v>538</v>
      </c>
    </row>
    <row r="184" spans="1:95" ht="3" customHeight="1" x14ac:dyDescent="0.25">
      <c r="A184" s="39">
        <v>1</v>
      </c>
      <c r="B184" s="28">
        <v>9104</v>
      </c>
      <c r="C184" s="28" t="s">
        <v>228</v>
      </c>
      <c r="D184" s="48">
        <f>+DATA!Q182</f>
        <v>2499595.0580000002</v>
      </c>
      <c r="E184" s="48">
        <f t="shared" si="214"/>
        <v>164557</v>
      </c>
      <c r="F184" s="48">
        <f t="shared" si="215"/>
        <v>249960</v>
      </c>
      <c r="G184" s="49">
        <f>VLOOKUP(B184,'CALC MEC ESTAB Y ESTIM M FINAL'!$B$7:$F$352,5,0)</f>
        <v>1.3686223852999999E-3</v>
      </c>
      <c r="H184" s="49">
        <f>VLOOKUP(B184,'CALC MEC ESTAB Y ESTIM M FINAL'!$B$7:$R$352,17,0)</f>
        <v>-9.4726138699999999E-5</v>
      </c>
      <c r="I184" s="46">
        <f t="shared" si="154"/>
        <v>105035</v>
      </c>
      <c r="J184" s="46">
        <f t="shared" si="155"/>
        <v>0</v>
      </c>
      <c r="K184" s="46">
        <f t="shared" si="156"/>
        <v>59522</v>
      </c>
      <c r="L184" s="46">
        <v>0</v>
      </c>
      <c r="M184" s="46">
        <f t="shared" si="157"/>
        <v>164557</v>
      </c>
      <c r="N184" s="46">
        <f t="shared" si="158"/>
        <v>59522</v>
      </c>
      <c r="O184" s="46">
        <f t="shared" si="159"/>
        <v>55854</v>
      </c>
      <c r="P184" s="46">
        <f t="shared" si="160"/>
        <v>0</v>
      </c>
      <c r="Q184" s="46">
        <f t="shared" si="161"/>
        <v>108703</v>
      </c>
      <c r="R184" s="46">
        <v>0</v>
      </c>
      <c r="S184" s="46">
        <f t="shared" si="162"/>
        <v>164557</v>
      </c>
      <c r="T184" s="46">
        <f t="shared" si="163"/>
        <v>168225</v>
      </c>
      <c r="U184" s="46">
        <f t="shared" si="164"/>
        <v>159340</v>
      </c>
      <c r="V184" s="46">
        <f t="shared" si="165"/>
        <v>0</v>
      </c>
      <c r="W184" s="46">
        <f t="shared" si="166"/>
        <v>0</v>
      </c>
      <c r="X184" s="46">
        <v>0</v>
      </c>
      <c r="Y184" s="46">
        <f t="shared" si="167"/>
        <v>159340</v>
      </c>
      <c r="Z184" s="46">
        <f t="shared" si="168"/>
        <v>168225</v>
      </c>
      <c r="AA184" s="46">
        <f t="shared" si="169"/>
        <v>84607</v>
      </c>
      <c r="AB184" s="46">
        <f t="shared" si="170"/>
        <v>0</v>
      </c>
      <c r="AC184" s="46">
        <f t="shared" si="171"/>
        <v>79950</v>
      </c>
      <c r="AD184" s="46">
        <v>0</v>
      </c>
      <c r="AE184" s="46">
        <f t="shared" si="172"/>
        <v>164557</v>
      </c>
      <c r="AF184" s="46">
        <f t="shared" si="173"/>
        <v>248175</v>
      </c>
      <c r="AG184" s="46">
        <f t="shared" si="174"/>
        <v>736239</v>
      </c>
      <c r="AH184" s="46">
        <f t="shared" si="175"/>
        <v>6795</v>
      </c>
      <c r="AI184" s="46">
        <f t="shared" si="176"/>
        <v>-248175</v>
      </c>
      <c r="AJ184" s="46">
        <v>0</v>
      </c>
      <c r="AK184" s="46">
        <f t="shared" si="177"/>
        <v>494859</v>
      </c>
      <c r="AL184" s="46">
        <f t="shared" si="178"/>
        <v>0</v>
      </c>
      <c r="AM184" s="46">
        <f t="shared" si="179"/>
        <v>145830</v>
      </c>
      <c r="AN184" s="46">
        <f t="shared" si="180"/>
        <v>4816</v>
      </c>
      <c r="AO184" s="46">
        <f t="shared" si="181"/>
        <v>18727</v>
      </c>
      <c r="AP184" s="46">
        <v>0</v>
      </c>
      <c r="AQ184" s="46">
        <f t="shared" si="182"/>
        <v>169373</v>
      </c>
      <c r="AR184" s="46">
        <f t="shared" si="183"/>
        <v>18727</v>
      </c>
      <c r="AS184" s="46">
        <f t="shared" si="184"/>
        <v>289884</v>
      </c>
      <c r="AT184" s="46">
        <f t="shared" si="185"/>
        <v>28143</v>
      </c>
      <c r="AU184" s="46">
        <f t="shared" si="186"/>
        <v>-18727</v>
      </c>
      <c r="AV184" s="46">
        <v>0</v>
      </c>
      <c r="AW184" s="46">
        <f t="shared" si="187"/>
        <v>299300</v>
      </c>
      <c r="AX184" s="46">
        <f t="shared" si="188"/>
        <v>0</v>
      </c>
      <c r="AY184" s="46">
        <f t="shared" si="189"/>
        <v>95753</v>
      </c>
      <c r="AZ184" s="46">
        <f t="shared" si="190"/>
        <v>0</v>
      </c>
      <c r="BA184" s="46">
        <f t="shared" si="191"/>
        <v>68804</v>
      </c>
      <c r="BB184" s="46"/>
      <c r="BC184" s="46">
        <f t="shared" si="192"/>
        <v>164557</v>
      </c>
      <c r="BD184" s="46">
        <f t="shared" si="193"/>
        <v>68804</v>
      </c>
      <c r="BE184" s="46">
        <f t="shared" si="194"/>
        <v>185366</v>
      </c>
      <c r="BF184" s="46">
        <f t="shared" si="195"/>
        <v>6899</v>
      </c>
      <c r="BG184" s="46">
        <f t="shared" si="196"/>
        <v>0</v>
      </c>
      <c r="BH184" s="46">
        <v>0</v>
      </c>
      <c r="BI184" s="46">
        <f t="shared" si="197"/>
        <v>192265</v>
      </c>
      <c r="BJ184" s="46">
        <f t="shared" si="198"/>
        <v>68804</v>
      </c>
      <c r="BK184" s="46">
        <f t="shared" si="199"/>
        <v>391113</v>
      </c>
      <c r="BL184" s="46">
        <f t="shared" si="200"/>
        <v>0</v>
      </c>
      <c r="BM184" s="46">
        <f t="shared" si="201"/>
        <v>-68804</v>
      </c>
      <c r="BN184" s="46">
        <v>0</v>
      </c>
      <c r="BO184" s="46">
        <f t="shared" si="202"/>
        <v>322309</v>
      </c>
      <c r="BP184" s="46">
        <f t="shared" si="203"/>
        <v>0</v>
      </c>
      <c r="BQ184" s="46">
        <f t="shared" si="204"/>
        <v>145159</v>
      </c>
      <c r="BR184" s="46">
        <f t="shared" si="205"/>
        <v>0</v>
      </c>
      <c r="BS184" s="46">
        <f t="shared" si="206"/>
        <v>19398</v>
      </c>
      <c r="BT184" s="46">
        <v>0</v>
      </c>
      <c r="BU184" s="46">
        <f t="shared" si="207"/>
        <v>164557</v>
      </c>
      <c r="BV184" s="46">
        <f t="shared" si="208"/>
        <v>19398</v>
      </c>
      <c r="BW184" s="46">
        <f t="shared" si="209"/>
        <v>278165</v>
      </c>
      <c r="BX184" s="46">
        <f t="shared" si="210"/>
        <v>45344</v>
      </c>
      <c r="BY184" s="46">
        <f t="shared" si="211"/>
        <v>-19398</v>
      </c>
      <c r="BZ184" s="46">
        <v>0</v>
      </c>
      <c r="CA184" s="46">
        <f t="shared" si="212"/>
        <v>304111</v>
      </c>
      <c r="CB184" s="46">
        <f t="shared" si="213"/>
        <v>0</v>
      </c>
      <c r="CC184" s="155">
        <f t="shared" si="216"/>
        <v>0</v>
      </c>
      <c r="CD184" s="79" t="s">
        <v>538</v>
      </c>
      <c r="CE184" s="65">
        <f t="shared" si="217"/>
        <v>164557</v>
      </c>
      <c r="CF184" s="65">
        <f t="shared" si="218"/>
        <v>164557</v>
      </c>
      <c r="CG184" s="65">
        <f t="shared" si="219"/>
        <v>159340</v>
      </c>
      <c r="CH184" s="65">
        <f t="shared" si="220"/>
        <v>164557</v>
      </c>
      <c r="CI184" s="65">
        <f t="shared" si="221"/>
        <v>494859</v>
      </c>
      <c r="CJ184" s="65">
        <f t="shared" si="222"/>
        <v>169373</v>
      </c>
      <c r="CK184" s="65">
        <f t="shared" si="223"/>
        <v>299300</v>
      </c>
      <c r="CL184" s="65">
        <f t="shared" si="224"/>
        <v>164557</v>
      </c>
      <c r="CM184" s="65">
        <f t="shared" si="225"/>
        <v>192265</v>
      </c>
      <c r="CN184" s="65">
        <f t="shared" si="226"/>
        <v>322309</v>
      </c>
      <c r="CO184" s="65">
        <f t="shared" si="227"/>
        <v>164557</v>
      </c>
      <c r="CP184" s="65">
        <f t="shared" si="228"/>
        <v>304111</v>
      </c>
      <c r="CQ184" s="40" t="s">
        <v>538</v>
      </c>
    </row>
    <row r="185" spans="1:95" ht="3" customHeight="1" x14ac:dyDescent="0.25">
      <c r="A185" s="39">
        <v>1</v>
      </c>
      <c r="B185" s="28">
        <v>9105</v>
      </c>
      <c r="C185" s="28" t="s">
        <v>216</v>
      </c>
      <c r="D185" s="48">
        <f>+DATA!Q183</f>
        <v>4946432.2539999997</v>
      </c>
      <c r="E185" s="48">
        <f t="shared" si="214"/>
        <v>325640</v>
      </c>
      <c r="F185" s="48">
        <f t="shared" si="215"/>
        <v>494643</v>
      </c>
      <c r="G185" s="49">
        <f>VLOOKUP(B185,'CALC MEC ESTAB Y ESTIM M FINAL'!$B$7:$F$352,5,0)</f>
        <v>2.7452955138999998E-3</v>
      </c>
      <c r="H185" s="49">
        <f>VLOOKUP(B185,'CALC MEC ESTAB Y ESTIM M FINAL'!$B$7:$R$352,17,0)</f>
        <v>-2.0678622319999999E-4</v>
      </c>
      <c r="I185" s="46">
        <f t="shared" si="154"/>
        <v>209306</v>
      </c>
      <c r="J185" s="46">
        <f t="shared" si="155"/>
        <v>0</v>
      </c>
      <c r="K185" s="46">
        <f t="shared" si="156"/>
        <v>116334</v>
      </c>
      <c r="L185" s="46">
        <v>0</v>
      </c>
      <c r="M185" s="46">
        <f t="shared" si="157"/>
        <v>325640</v>
      </c>
      <c r="N185" s="46">
        <f t="shared" si="158"/>
        <v>116334</v>
      </c>
      <c r="O185" s="46">
        <f t="shared" si="159"/>
        <v>111302</v>
      </c>
      <c r="P185" s="46">
        <f t="shared" si="160"/>
        <v>0</v>
      </c>
      <c r="Q185" s="46">
        <f t="shared" si="161"/>
        <v>214338</v>
      </c>
      <c r="R185" s="46">
        <v>0</v>
      </c>
      <c r="S185" s="46">
        <f t="shared" si="162"/>
        <v>325640</v>
      </c>
      <c r="T185" s="46">
        <f t="shared" si="163"/>
        <v>330672</v>
      </c>
      <c r="U185" s="46">
        <f t="shared" si="164"/>
        <v>317519</v>
      </c>
      <c r="V185" s="46">
        <f t="shared" si="165"/>
        <v>0</v>
      </c>
      <c r="W185" s="46">
        <f t="shared" si="166"/>
        <v>0</v>
      </c>
      <c r="X185" s="46">
        <v>0</v>
      </c>
      <c r="Y185" s="46">
        <f t="shared" si="167"/>
        <v>317519</v>
      </c>
      <c r="Z185" s="46">
        <f t="shared" si="168"/>
        <v>330672</v>
      </c>
      <c r="AA185" s="46">
        <f t="shared" si="169"/>
        <v>168597</v>
      </c>
      <c r="AB185" s="46">
        <f t="shared" si="170"/>
        <v>0</v>
      </c>
      <c r="AC185" s="46">
        <f t="shared" si="171"/>
        <v>157043</v>
      </c>
      <c r="AD185" s="46">
        <v>0</v>
      </c>
      <c r="AE185" s="46">
        <f t="shared" si="172"/>
        <v>325640</v>
      </c>
      <c r="AF185" s="46">
        <f t="shared" si="173"/>
        <v>487715</v>
      </c>
      <c r="AG185" s="46">
        <f t="shared" si="174"/>
        <v>1467113</v>
      </c>
      <c r="AH185" s="46">
        <f t="shared" si="175"/>
        <v>13541</v>
      </c>
      <c r="AI185" s="46">
        <f t="shared" si="176"/>
        <v>-487715</v>
      </c>
      <c r="AJ185" s="46">
        <v>0</v>
      </c>
      <c r="AK185" s="46">
        <f t="shared" si="177"/>
        <v>992939</v>
      </c>
      <c r="AL185" s="46">
        <f t="shared" si="178"/>
        <v>0</v>
      </c>
      <c r="AM185" s="46">
        <f t="shared" si="179"/>
        <v>290598</v>
      </c>
      <c r="AN185" s="46">
        <f t="shared" si="180"/>
        <v>9597</v>
      </c>
      <c r="AO185" s="46">
        <f t="shared" si="181"/>
        <v>35042</v>
      </c>
      <c r="AP185" s="46">
        <v>0</v>
      </c>
      <c r="AQ185" s="46">
        <f t="shared" si="182"/>
        <v>335237</v>
      </c>
      <c r="AR185" s="46">
        <f t="shared" si="183"/>
        <v>35042</v>
      </c>
      <c r="AS185" s="46">
        <f t="shared" si="184"/>
        <v>577656</v>
      </c>
      <c r="AT185" s="46">
        <f t="shared" si="185"/>
        <v>56080</v>
      </c>
      <c r="AU185" s="46">
        <f t="shared" si="186"/>
        <v>-35042</v>
      </c>
      <c r="AV185" s="46">
        <v>0</v>
      </c>
      <c r="AW185" s="46">
        <f t="shared" si="187"/>
        <v>598694</v>
      </c>
      <c r="AX185" s="46">
        <f t="shared" si="188"/>
        <v>0</v>
      </c>
      <c r="AY185" s="46">
        <f t="shared" si="189"/>
        <v>190809</v>
      </c>
      <c r="AZ185" s="46">
        <f t="shared" si="190"/>
        <v>0</v>
      </c>
      <c r="BA185" s="46">
        <f t="shared" si="191"/>
        <v>134831</v>
      </c>
      <c r="BB185" s="46"/>
      <c r="BC185" s="46">
        <f t="shared" si="192"/>
        <v>325640</v>
      </c>
      <c r="BD185" s="46">
        <f t="shared" si="193"/>
        <v>134831</v>
      </c>
      <c r="BE185" s="46">
        <f t="shared" si="194"/>
        <v>369380</v>
      </c>
      <c r="BF185" s="46">
        <f t="shared" si="195"/>
        <v>13748</v>
      </c>
      <c r="BG185" s="46">
        <f t="shared" si="196"/>
        <v>0</v>
      </c>
      <c r="BH185" s="46">
        <v>0</v>
      </c>
      <c r="BI185" s="46">
        <f t="shared" si="197"/>
        <v>383128</v>
      </c>
      <c r="BJ185" s="46">
        <f t="shared" si="198"/>
        <v>134831</v>
      </c>
      <c r="BK185" s="46">
        <f t="shared" si="199"/>
        <v>779376</v>
      </c>
      <c r="BL185" s="46">
        <f t="shared" si="200"/>
        <v>0</v>
      </c>
      <c r="BM185" s="46">
        <f t="shared" si="201"/>
        <v>-134831</v>
      </c>
      <c r="BN185" s="46">
        <v>0</v>
      </c>
      <c r="BO185" s="46">
        <f t="shared" si="202"/>
        <v>644545</v>
      </c>
      <c r="BP185" s="46">
        <f t="shared" si="203"/>
        <v>0</v>
      </c>
      <c r="BQ185" s="46">
        <f t="shared" si="204"/>
        <v>289260</v>
      </c>
      <c r="BR185" s="46">
        <f t="shared" si="205"/>
        <v>0</v>
      </c>
      <c r="BS185" s="46">
        <f t="shared" si="206"/>
        <v>36380</v>
      </c>
      <c r="BT185" s="46">
        <v>0</v>
      </c>
      <c r="BU185" s="46">
        <f t="shared" si="207"/>
        <v>325640</v>
      </c>
      <c r="BV185" s="46">
        <f t="shared" si="208"/>
        <v>36380</v>
      </c>
      <c r="BW185" s="46">
        <f t="shared" si="209"/>
        <v>554302</v>
      </c>
      <c r="BX185" s="46">
        <f t="shared" si="210"/>
        <v>90357</v>
      </c>
      <c r="BY185" s="46">
        <f t="shared" si="211"/>
        <v>-36380</v>
      </c>
      <c r="BZ185" s="46">
        <v>0</v>
      </c>
      <c r="CA185" s="46">
        <f t="shared" si="212"/>
        <v>608279</v>
      </c>
      <c r="CB185" s="46">
        <f t="shared" si="213"/>
        <v>0</v>
      </c>
      <c r="CC185" s="155">
        <f t="shared" si="216"/>
        <v>0</v>
      </c>
      <c r="CD185" s="79" t="s">
        <v>538</v>
      </c>
      <c r="CE185" s="65">
        <f t="shared" si="217"/>
        <v>325640</v>
      </c>
      <c r="CF185" s="65">
        <f t="shared" si="218"/>
        <v>325640</v>
      </c>
      <c r="CG185" s="65">
        <f t="shared" si="219"/>
        <v>317519</v>
      </c>
      <c r="CH185" s="65">
        <f t="shared" si="220"/>
        <v>325640</v>
      </c>
      <c r="CI185" s="65">
        <f t="shared" si="221"/>
        <v>992939</v>
      </c>
      <c r="CJ185" s="65">
        <f t="shared" si="222"/>
        <v>335237</v>
      </c>
      <c r="CK185" s="65">
        <f t="shared" si="223"/>
        <v>598694</v>
      </c>
      <c r="CL185" s="65">
        <f t="shared" si="224"/>
        <v>325640</v>
      </c>
      <c r="CM185" s="65">
        <f t="shared" si="225"/>
        <v>383128</v>
      </c>
      <c r="CN185" s="65">
        <f t="shared" si="226"/>
        <v>644545</v>
      </c>
      <c r="CO185" s="65">
        <f t="shared" si="227"/>
        <v>325640</v>
      </c>
      <c r="CP185" s="65">
        <f t="shared" si="228"/>
        <v>608279</v>
      </c>
      <c r="CQ185" s="40" t="s">
        <v>538</v>
      </c>
    </row>
    <row r="186" spans="1:95" ht="3" customHeight="1" x14ac:dyDescent="0.25">
      <c r="A186" s="39">
        <v>1</v>
      </c>
      <c r="B186" s="28">
        <v>9106</v>
      </c>
      <c r="C186" s="28" t="s">
        <v>220</v>
      </c>
      <c r="D186" s="48">
        <f>+DATA!Q184</f>
        <v>3499945.0150000001</v>
      </c>
      <c r="E186" s="48">
        <f t="shared" si="214"/>
        <v>230413</v>
      </c>
      <c r="F186" s="48">
        <f t="shared" si="215"/>
        <v>349995</v>
      </c>
      <c r="G186" s="49">
        <f>VLOOKUP(B186,'CALC MEC ESTAB Y ESTIM M FINAL'!$B$7:$F$352,5,0)</f>
        <v>1.9027357841999999E-3</v>
      </c>
      <c r="H186" s="49">
        <f>VLOOKUP(B186,'CALC MEC ESTAB Y ESTIM M FINAL'!$B$7:$R$352,17,0)</f>
        <v>-1.248819198E-4</v>
      </c>
      <c r="I186" s="46">
        <f t="shared" si="154"/>
        <v>146588</v>
      </c>
      <c r="J186" s="46">
        <f t="shared" si="155"/>
        <v>0</v>
      </c>
      <c r="K186" s="46">
        <f t="shared" si="156"/>
        <v>83825</v>
      </c>
      <c r="L186" s="46">
        <v>0</v>
      </c>
      <c r="M186" s="46">
        <f t="shared" si="157"/>
        <v>230413</v>
      </c>
      <c r="N186" s="46">
        <f t="shared" si="158"/>
        <v>83825</v>
      </c>
      <c r="O186" s="46">
        <f t="shared" si="159"/>
        <v>77951</v>
      </c>
      <c r="P186" s="46">
        <f t="shared" si="160"/>
        <v>0</v>
      </c>
      <c r="Q186" s="46">
        <f t="shared" si="161"/>
        <v>152462</v>
      </c>
      <c r="R186" s="46">
        <v>0</v>
      </c>
      <c r="S186" s="46">
        <f t="shared" si="162"/>
        <v>230413</v>
      </c>
      <c r="T186" s="46">
        <f t="shared" si="163"/>
        <v>236287</v>
      </c>
      <c r="U186" s="46">
        <f t="shared" si="164"/>
        <v>222375</v>
      </c>
      <c r="V186" s="46">
        <f t="shared" si="165"/>
        <v>0</v>
      </c>
      <c r="W186" s="46">
        <f t="shared" si="166"/>
        <v>0</v>
      </c>
      <c r="X186" s="46">
        <v>0</v>
      </c>
      <c r="Y186" s="46">
        <f t="shared" si="167"/>
        <v>222375</v>
      </c>
      <c r="Z186" s="46">
        <f t="shared" si="168"/>
        <v>236287</v>
      </c>
      <c r="AA186" s="46">
        <f t="shared" si="169"/>
        <v>118078</v>
      </c>
      <c r="AB186" s="46">
        <f t="shared" si="170"/>
        <v>0</v>
      </c>
      <c r="AC186" s="46">
        <f t="shared" si="171"/>
        <v>112335</v>
      </c>
      <c r="AD186" s="46">
        <v>0</v>
      </c>
      <c r="AE186" s="46">
        <f t="shared" si="172"/>
        <v>230413</v>
      </c>
      <c r="AF186" s="46">
        <f t="shared" si="173"/>
        <v>348622</v>
      </c>
      <c r="AG186" s="46">
        <f t="shared" si="174"/>
        <v>1027498</v>
      </c>
      <c r="AH186" s="46">
        <f t="shared" si="175"/>
        <v>9484</v>
      </c>
      <c r="AI186" s="46">
        <f t="shared" si="176"/>
        <v>-348622</v>
      </c>
      <c r="AJ186" s="46">
        <v>0</v>
      </c>
      <c r="AK186" s="46">
        <f t="shared" si="177"/>
        <v>688360</v>
      </c>
      <c r="AL186" s="46">
        <f t="shared" si="178"/>
        <v>0</v>
      </c>
      <c r="AM186" s="46">
        <f t="shared" si="179"/>
        <v>203521</v>
      </c>
      <c r="AN186" s="46">
        <f t="shared" si="180"/>
        <v>6721</v>
      </c>
      <c r="AO186" s="46">
        <f t="shared" si="181"/>
        <v>26892</v>
      </c>
      <c r="AP186" s="46">
        <v>0</v>
      </c>
      <c r="AQ186" s="46">
        <f t="shared" si="182"/>
        <v>237134</v>
      </c>
      <c r="AR186" s="46">
        <f t="shared" si="183"/>
        <v>26892</v>
      </c>
      <c r="AS186" s="46">
        <f t="shared" si="184"/>
        <v>404564</v>
      </c>
      <c r="AT186" s="46">
        <f t="shared" si="185"/>
        <v>39276</v>
      </c>
      <c r="AU186" s="46">
        <f t="shared" si="186"/>
        <v>-26892</v>
      </c>
      <c r="AV186" s="46">
        <v>0</v>
      </c>
      <c r="AW186" s="46">
        <f t="shared" si="187"/>
        <v>416948</v>
      </c>
      <c r="AX186" s="46">
        <f t="shared" si="188"/>
        <v>0</v>
      </c>
      <c r="AY186" s="46">
        <f t="shared" si="189"/>
        <v>133634</v>
      </c>
      <c r="AZ186" s="46">
        <f t="shared" si="190"/>
        <v>0</v>
      </c>
      <c r="BA186" s="46">
        <f t="shared" si="191"/>
        <v>96779</v>
      </c>
      <c r="BB186" s="46"/>
      <c r="BC186" s="46">
        <f t="shared" si="192"/>
        <v>230413</v>
      </c>
      <c r="BD186" s="46">
        <f t="shared" si="193"/>
        <v>96779</v>
      </c>
      <c r="BE186" s="46">
        <f t="shared" si="194"/>
        <v>258697</v>
      </c>
      <c r="BF186" s="46">
        <f t="shared" si="195"/>
        <v>9628</v>
      </c>
      <c r="BG186" s="46">
        <f t="shared" si="196"/>
        <v>0</v>
      </c>
      <c r="BH186" s="46">
        <v>0</v>
      </c>
      <c r="BI186" s="46">
        <f t="shared" si="197"/>
        <v>268325</v>
      </c>
      <c r="BJ186" s="46">
        <f t="shared" si="198"/>
        <v>96779</v>
      </c>
      <c r="BK186" s="46">
        <f t="shared" si="199"/>
        <v>545839</v>
      </c>
      <c r="BL186" s="46">
        <f t="shared" si="200"/>
        <v>0</v>
      </c>
      <c r="BM186" s="46">
        <f t="shared" si="201"/>
        <v>-96779</v>
      </c>
      <c r="BN186" s="46">
        <v>0</v>
      </c>
      <c r="BO186" s="46">
        <f t="shared" si="202"/>
        <v>449060</v>
      </c>
      <c r="BP186" s="46">
        <f t="shared" si="203"/>
        <v>0</v>
      </c>
      <c r="BQ186" s="46">
        <f t="shared" si="204"/>
        <v>202584</v>
      </c>
      <c r="BR186" s="46">
        <f t="shared" si="205"/>
        <v>0</v>
      </c>
      <c r="BS186" s="46">
        <f t="shared" si="206"/>
        <v>27829</v>
      </c>
      <c r="BT186" s="46">
        <v>0</v>
      </c>
      <c r="BU186" s="46">
        <f t="shared" si="207"/>
        <v>230413</v>
      </c>
      <c r="BV186" s="46">
        <f t="shared" si="208"/>
        <v>27829</v>
      </c>
      <c r="BW186" s="46">
        <f t="shared" si="209"/>
        <v>388207</v>
      </c>
      <c r="BX186" s="46">
        <f t="shared" si="210"/>
        <v>63282</v>
      </c>
      <c r="BY186" s="46">
        <f t="shared" si="211"/>
        <v>-27829</v>
      </c>
      <c r="BZ186" s="46">
        <v>0</v>
      </c>
      <c r="CA186" s="46">
        <f t="shared" si="212"/>
        <v>423660</v>
      </c>
      <c r="CB186" s="46">
        <f t="shared" si="213"/>
        <v>0</v>
      </c>
      <c r="CC186" s="155">
        <f t="shared" si="216"/>
        <v>0</v>
      </c>
      <c r="CD186" s="79" t="s">
        <v>538</v>
      </c>
      <c r="CE186" s="65">
        <f t="shared" si="217"/>
        <v>230413</v>
      </c>
      <c r="CF186" s="65">
        <f t="shared" si="218"/>
        <v>230413</v>
      </c>
      <c r="CG186" s="65">
        <f t="shared" si="219"/>
        <v>222375</v>
      </c>
      <c r="CH186" s="65">
        <f t="shared" si="220"/>
        <v>230413</v>
      </c>
      <c r="CI186" s="65">
        <f t="shared" si="221"/>
        <v>688360</v>
      </c>
      <c r="CJ186" s="65">
        <f t="shared" si="222"/>
        <v>237134</v>
      </c>
      <c r="CK186" s="65">
        <f t="shared" si="223"/>
        <v>416948</v>
      </c>
      <c r="CL186" s="65">
        <f t="shared" si="224"/>
        <v>230413</v>
      </c>
      <c r="CM186" s="65">
        <f t="shared" si="225"/>
        <v>268325</v>
      </c>
      <c r="CN186" s="65">
        <f t="shared" si="226"/>
        <v>449060</v>
      </c>
      <c r="CO186" s="65">
        <f t="shared" si="227"/>
        <v>230413</v>
      </c>
      <c r="CP186" s="65">
        <f t="shared" si="228"/>
        <v>423660</v>
      </c>
      <c r="CQ186" s="40" t="s">
        <v>538</v>
      </c>
    </row>
    <row r="187" spans="1:95" ht="3" customHeight="1" x14ac:dyDescent="0.25">
      <c r="A187" s="39">
        <v>1</v>
      </c>
      <c r="B187" s="28">
        <v>9107</v>
      </c>
      <c r="C187" s="28" t="s">
        <v>224</v>
      </c>
      <c r="D187" s="48">
        <f>+DATA!Q185</f>
        <v>3840684.423</v>
      </c>
      <c r="E187" s="48">
        <f t="shared" si="214"/>
        <v>252845</v>
      </c>
      <c r="F187" s="48">
        <f t="shared" si="215"/>
        <v>384068</v>
      </c>
      <c r="G187" s="49">
        <f>VLOOKUP(B187,'CALC MEC ESTAB Y ESTIM M FINAL'!$B$7:$F$352,5,0)</f>
        <v>2.1380771390000003E-3</v>
      </c>
      <c r="H187" s="49">
        <f>VLOOKUP(B187,'CALC MEC ESTAB Y ESTIM M FINAL'!$B$7:$R$352,17,0)</f>
        <v>-1.6458722530000001E-4</v>
      </c>
      <c r="I187" s="46">
        <f t="shared" si="154"/>
        <v>162719</v>
      </c>
      <c r="J187" s="46">
        <f t="shared" si="155"/>
        <v>0</v>
      </c>
      <c r="K187" s="46">
        <f t="shared" si="156"/>
        <v>90126</v>
      </c>
      <c r="L187" s="46">
        <v>0</v>
      </c>
      <c r="M187" s="46">
        <f t="shared" si="157"/>
        <v>252845</v>
      </c>
      <c r="N187" s="46">
        <f t="shared" si="158"/>
        <v>90126</v>
      </c>
      <c r="O187" s="46">
        <f t="shared" si="159"/>
        <v>86528</v>
      </c>
      <c r="P187" s="46">
        <f t="shared" si="160"/>
        <v>0</v>
      </c>
      <c r="Q187" s="46">
        <f t="shared" si="161"/>
        <v>166317</v>
      </c>
      <c r="R187" s="46">
        <v>0</v>
      </c>
      <c r="S187" s="46">
        <f t="shared" si="162"/>
        <v>252845</v>
      </c>
      <c r="T187" s="46">
        <f t="shared" si="163"/>
        <v>256443</v>
      </c>
      <c r="U187" s="46">
        <f t="shared" si="164"/>
        <v>246846</v>
      </c>
      <c r="V187" s="46">
        <f t="shared" si="165"/>
        <v>0</v>
      </c>
      <c r="W187" s="46">
        <f t="shared" si="166"/>
        <v>0</v>
      </c>
      <c r="X187" s="46">
        <v>0</v>
      </c>
      <c r="Y187" s="46">
        <f t="shared" si="167"/>
        <v>246846</v>
      </c>
      <c r="Z187" s="46">
        <f t="shared" si="168"/>
        <v>256443</v>
      </c>
      <c r="AA187" s="46">
        <f t="shared" si="169"/>
        <v>131071</v>
      </c>
      <c r="AB187" s="46">
        <f t="shared" si="170"/>
        <v>0</v>
      </c>
      <c r="AC187" s="46">
        <f t="shared" si="171"/>
        <v>121774</v>
      </c>
      <c r="AD187" s="46">
        <v>0</v>
      </c>
      <c r="AE187" s="46">
        <f t="shared" si="172"/>
        <v>252845</v>
      </c>
      <c r="AF187" s="46">
        <f t="shared" si="173"/>
        <v>378217</v>
      </c>
      <c r="AG187" s="46">
        <f t="shared" si="174"/>
        <v>1140564</v>
      </c>
      <c r="AH187" s="46">
        <f t="shared" si="175"/>
        <v>10527</v>
      </c>
      <c r="AI187" s="46">
        <f t="shared" si="176"/>
        <v>-378217</v>
      </c>
      <c r="AJ187" s="46">
        <v>0</v>
      </c>
      <c r="AK187" s="46">
        <f t="shared" si="177"/>
        <v>772874</v>
      </c>
      <c r="AL187" s="46">
        <f t="shared" si="178"/>
        <v>0</v>
      </c>
      <c r="AM187" s="46">
        <f t="shared" si="179"/>
        <v>225917</v>
      </c>
      <c r="AN187" s="46">
        <f t="shared" si="180"/>
        <v>7461</v>
      </c>
      <c r="AO187" s="46">
        <f t="shared" si="181"/>
        <v>26928</v>
      </c>
      <c r="AP187" s="46">
        <v>0</v>
      </c>
      <c r="AQ187" s="46">
        <f t="shared" si="182"/>
        <v>260306</v>
      </c>
      <c r="AR187" s="46">
        <f t="shared" si="183"/>
        <v>26928</v>
      </c>
      <c r="AS187" s="46">
        <f t="shared" si="184"/>
        <v>449082</v>
      </c>
      <c r="AT187" s="46">
        <f t="shared" si="185"/>
        <v>43598</v>
      </c>
      <c r="AU187" s="46">
        <f t="shared" si="186"/>
        <v>-26928</v>
      </c>
      <c r="AV187" s="46">
        <v>0</v>
      </c>
      <c r="AW187" s="46">
        <f t="shared" si="187"/>
        <v>465752</v>
      </c>
      <c r="AX187" s="46">
        <f t="shared" si="188"/>
        <v>0</v>
      </c>
      <c r="AY187" s="46">
        <f t="shared" si="189"/>
        <v>148339</v>
      </c>
      <c r="AZ187" s="46">
        <f t="shared" si="190"/>
        <v>0</v>
      </c>
      <c r="BA187" s="46">
        <f t="shared" si="191"/>
        <v>104506</v>
      </c>
      <c r="BB187" s="46"/>
      <c r="BC187" s="46">
        <f t="shared" si="192"/>
        <v>252845</v>
      </c>
      <c r="BD187" s="46">
        <f t="shared" si="193"/>
        <v>104506</v>
      </c>
      <c r="BE187" s="46">
        <f t="shared" si="194"/>
        <v>287164</v>
      </c>
      <c r="BF187" s="46">
        <f t="shared" si="195"/>
        <v>10688</v>
      </c>
      <c r="BG187" s="46">
        <f t="shared" si="196"/>
        <v>0</v>
      </c>
      <c r="BH187" s="46">
        <v>0</v>
      </c>
      <c r="BI187" s="46">
        <f t="shared" si="197"/>
        <v>297852</v>
      </c>
      <c r="BJ187" s="46">
        <f t="shared" si="198"/>
        <v>104506</v>
      </c>
      <c r="BK187" s="46">
        <f t="shared" si="199"/>
        <v>605903</v>
      </c>
      <c r="BL187" s="46">
        <f t="shared" si="200"/>
        <v>0</v>
      </c>
      <c r="BM187" s="46">
        <f t="shared" si="201"/>
        <v>-104506</v>
      </c>
      <c r="BN187" s="46">
        <v>0</v>
      </c>
      <c r="BO187" s="46">
        <f t="shared" si="202"/>
        <v>501397</v>
      </c>
      <c r="BP187" s="46">
        <f t="shared" si="203"/>
        <v>0</v>
      </c>
      <c r="BQ187" s="46">
        <f t="shared" si="204"/>
        <v>224877</v>
      </c>
      <c r="BR187" s="46">
        <f t="shared" si="205"/>
        <v>0</v>
      </c>
      <c r="BS187" s="46">
        <f t="shared" si="206"/>
        <v>27968</v>
      </c>
      <c r="BT187" s="46">
        <v>0</v>
      </c>
      <c r="BU187" s="46">
        <f t="shared" si="207"/>
        <v>252845</v>
      </c>
      <c r="BV187" s="46">
        <f t="shared" si="208"/>
        <v>27968</v>
      </c>
      <c r="BW187" s="46">
        <f t="shared" si="209"/>
        <v>430926</v>
      </c>
      <c r="BX187" s="46">
        <f t="shared" si="210"/>
        <v>70245</v>
      </c>
      <c r="BY187" s="46">
        <f t="shared" si="211"/>
        <v>-27968</v>
      </c>
      <c r="BZ187" s="46">
        <v>0</v>
      </c>
      <c r="CA187" s="46">
        <f t="shared" si="212"/>
        <v>473203</v>
      </c>
      <c r="CB187" s="46">
        <f t="shared" si="213"/>
        <v>0</v>
      </c>
      <c r="CC187" s="155">
        <f t="shared" si="216"/>
        <v>0</v>
      </c>
      <c r="CD187" s="79" t="s">
        <v>538</v>
      </c>
      <c r="CE187" s="65">
        <f t="shared" si="217"/>
        <v>252845</v>
      </c>
      <c r="CF187" s="65">
        <f t="shared" si="218"/>
        <v>252845</v>
      </c>
      <c r="CG187" s="65">
        <f t="shared" si="219"/>
        <v>246846</v>
      </c>
      <c r="CH187" s="65">
        <f t="shared" si="220"/>
        <v>252845</v>
      </c>
      <c r="CI187" s="65">
        <f t="shared" si="221"/>
        <v>772874</v>
      </c>
      <c r="CJ187" s="65">
        <f t="shared" si="222"/>
        <v>260306</v>
      </c>
      <c r="CK187" s="65">
        <f t="shared" si="223"/>
        <v>465752</v>
      </c>
      <c r="CL187" s="65">
        <f t="shared" si="224"/>
        <v>252845</v>
      </c>
      <c r="CM187" s="65">
        <f t="shared" si="225"/>
        <v>297852</v>
      </c>
      <c r="CN187" s="65">
        <f t="shared" si="226"/>
        <v>501397</v>
      </c>
      <c r="CO187" s="65">
        <f t="shared" si="227"/>
        <v>252845</v>
      </c>
      <c r="CP187" s="65">
        <f t="shared" si="228"/>
        <v>473203</v>
      </c>
      <c r="CQ187" s="40" t="s">
        <v>538</v>
      </c>
    </row>
    <row r="188" spans="1:95" ht="3" customHeight="1" x14ac:dyDescent="0.25">
      <c r="A188" s="39">
        <v>1</v>
      </c>
      <c r="B188" s="28">
        <v>9108</v>
      </c>
      <c r="C188" s="28" t="s">
        <v>218</v>
      </c>
      <c r="D188" s="48">
        <f>+DATA!Q186</f>
        <v>5038179.1359999999</v>
      </c>
      <c r="E188" s="48">
        <f t="shared" si="214"/>
        <v>331680</v>
      </c>
      <c r="F188" s="48">
        <f t="shared" si="215"/>
        <v>503818</v>
      </c>
      <c r="G188" s="49">
        <f>VLOOKUP(B188,'CALC MEC ESTAB Y ESTIM M FINAL'!$B$7:$F$352,5,0)</f>
        <v>3.0484550660999999E-3</v>
      </c>
      <c r="H188" s="49">
        <f>VLOOKUP(B188,'CALC MEC ESTAB Y ESTIM M FINAL'!$B$7:$R$352,17,0)</f>
        <v>-3.5016543619999999E-4</v>
      </c>
      <c r="I188" s="46">
        <f t="shared" si="154"/>
        <v>222480</v>
      </c>
      <c r="J188" s="46">
        <f t="shared" si="155"/>
        <v>0</v>
      </c>
      <c r="K188" s="46">
        <f t="shared" si="156"/>
        <v>109200</v>
      </c>
      <c r="L188" s="46">
        <v>0</v>
      </c>
      <c r="M188" s="46">
        <f t="shared" si="157"/>
        <v>331680</v>
      </c>
      <c r="N188" s="46">
        <f t="shared" si="158"/>
        <v>109200</v>
      </c>
      <c r="O188" s="46">
        <f t="shared" si="159"/>
        <v>118307</v>
      </c>
      <c r="P188" s="46">
        <f t="shared" si="160"/>
        <v>0</v>
      </c>
      <c r="Q188" s="46">
        <f t="shared" si="161"/>
        <v>213373</v>
      </c>
      <c r="R188" s="46">
        <v>0</v>
      </c>
      <c r="S188" s="46">
        <f t="shared" si="162"/>
        <v>331680</v>
      </c>
      <c r="T188" s="46">
        <f t="shared" si="163"/>
        <v>322573</v>
      </c>
      <c r="U188" s="46">
        <f t="shared" si="164"/>
        <v>337504</v>
      </c>
      <c r="V188" s="46">
        <f t="shared" si="165"/>
        <v>0</v>
      </c>
      <c r="W188" s="46">
        <f t="shared" si="166"/>
        <v>0</v>
      </c>
      <c r="X188" s="46">
        <v>0</v>
      </c>
      <c r="Y188" s="46">
        <f t="shared" si="167"/>
        <v>337504</v>
      </c>
      <c r="Z188" s="46">
        <f t="shared" si="168"/>
        <v>322573</v>
      </c>
      <c r="AA188" s="46">
        <f t="shared" si="169"/>
        <v>179209</v>
      </c>
      <c r="AB188" s="46">
        <f t="shared" si="170"/>
        <v>0</v>
      </c>
      <c r="AC188" s="46">
        <f t="shared" si="171"/>
        <v>152471</v>
      </c>
      <c r="AD188" s="46">
        <v>0</v>
      </c>
      <c r="AE188" s="46">
        <f t="shared" si="172"/>
        <v>331680</v>
      </c>
      <c r="AF188" s="46">
        <f t="shared" si="173"/>
        <v>475044</v>
      </c>
      <c r="AG188" s="46">
        <f t="shared" si="174"/>
        <v>1559457</v>
      </c>
      <c r="AH188" s="46">
        <f t="shared" si="175"/>
        <v>14393</v>
      </c>
      <c r="AI188" s="46">
        <f t="shared" si="176"/>
        <v>-475044</v>
      </c>
      <c r="AJ188" s="46">
        <v>0</v>
      </c>
      <c r="AK188" s="46">
        <f t="shared" si="177"/>
        <v>1098806</v>
      </c>
      <c r="AL188" s="46">
        <f t="shared" si="178"/>
        <v>0</v>
      </c>
      <c r="AM188" s="46">
        <f t="shared" si="179"/>
        <v>308889</v>
      </c>
      <c r="AN188" s="46">
        <f t="shared" si="180"/>
        <v>10201</v>
      </c>
      <c r="AO188" s="46">
        <f t="shared" si="181"/>
        <v>22791</v>
      </c>
      <c r="AP188" s="46">
        <v>0</v>
      </c>
      <c r="AQ188" s="46">
        <f t="shared" si="182"/>
        <v>341881</v>
      </c>
      <c r="AR188" s="46">
        <f t="shared" si="183"/>
        <v>22791</v>
      </c>
      <c r="AS188" s="46">
        <f t="shared" si="184"/>
        <v>614015</v>
      </c>
      <c r="AT188" s="46">
        <f t="shared" si="185"/>
        <v>59610</v>
      </c>
      <c r="AU188" s="46">
        <f t="shared" si="186"/>
        <v>-22791</v>
      </c>
      <c r="AV188" s="46">
        <v>0</v>
      </c>
      <c r="AW188" s="46">
        <f t="shared" si="187"/>
        <v>650834</v>
      </c>
      <c r="AX188" s="46">
        <f t="shared" si="188"/>
        <v>0</v>
      </c>
      <c r="AY188" s="46">
        <f t="shared" si="189"/>
        <v>202819</v>
      </c>
      <c r="AZ188" s="46">
        <f t="shared" si="190"/>
        <v>0</v>
      </c>
      <c r="BA188" s="46">
        <f t="shared" si="191"/>
        <v>128861</v>
      </c>
      <c r="BB188" s="46"/>
      <c r="BC188" s="46">
        <f t="shared" si="192"/>
        <v>331680</v>
      </c>
      <c r="BD188" s="46">
        <f t="shared" si="193"/>
        <v>128861</v>
      </c>
      <c r="BE188" s="46">
        <f t="shared" si="194"/>
        <v>392630</v>
      </c>
      <c r="BF188" s="46">
        <f t="shared" si="195"/>
        <v>14613</v>
      </c>
      <c r="BG188" s="46">
        <f t="shared" si="196"/>
        <v>0</v>
      </c>
      <c r="BH188" s="46">
        <v>0</v>
      </c>
      <c r="BI188" s="46">
        <f t="shared" si="197"/>
        <v>407243</v>
      </c>
      <c r="BJ188" s="46">
        <f t="shared" si="198"/>
        <v>128861</v>
      </c>
      <c r="BK188" s="46">
        <f t="shared" si="199"/>
        <v>828432</v>
      </c>
      <c r="BL188" s="46">
        <f t="shared" si="200"/>
        <v>0</v>
      </c>
      <c r="BM188" s="46">
        <f t="shared" si="201"/>
        <v>-128861</v>
      </c>
      <c r="BN188" s="46">
        <v>0</v>
      </c>
      <c r="BO188" s="46">
        <f t="shared" si="202"/>
        <v>699571</v>
      </c>
      <c r="BP188" s="46">
        <f t="shared" si="203"/>
        <v>0</v>
      </c>
      <c r="BQ188" s="46">
        <f t="shared" si="204"/>
        <v>307467</v>
      </c>
      <c r="BR188" s="46">
        <f t="shared" si="205"/>
        <v>0</v>
      </c>
      <c r="BS188" s="46">
        <f t="shared" si="206"/>
        <v>24213</v>
      </c>
      <c r="BT188" s="46">
        <v>0</v>
      </c>
      <c r="BU188" s="46">
        <f t="shared" si="207"/>
        <v>331680</v>
      </c>
      <c r="BV188" s="46">
        <f t="shared" si="208"/>
        <v>24213</v>
      </c>
      <c r="BW188" s="46">
        <f t="shared" si="209"/>
        <v>589191</v>
      </c>
      <c r="BX188" s="46">
        <f t="shared" si="210"/>
        <v>96044</v>
      </c>
      <c r="BY188" s="46">
        <f t="shared" si="211"/>
        <v>-24213</v>
      </c>
      <c r="BZ188" s="46">
        <v>0</v>
      </c>
      <c r="CA188" s="46">
        <f t="shared" si="212"/>
        <v>661022</v>
      </c>
      <c r="CB188" s="46">
        <f t="shared" si="213"/>
        <v>0</v>
      </c>
      <c r="CC188" s="155">
        <f t="shared" si="216"/>
        <v>0</v>
      </c>
      <c r="CD188" s="79" t="s">
        <v>538</v>
      </c>
      <c r="CE188" s="65">
        <f t="shared" si="217"/>
        <v>331680</v>
      </c>
      <c r="CF188" s="65">
        <f t="shared" si="218"/>
        <v>331680</v>
      </c>
      <c r="CG188" s="65">
        <f t="shared" si="219"/>
        <v>337504</v>
      </c>
      <c r="CH188" s="65">
        <f t="shared" si="220"/>
        <v>331680</v>
      </c>
      <c r="CI188" s="65">
        <f t="shared" si="221"/>
        <v>1098806</v>
      </c>
      <c r="CJ188" s="65">
        <f t="shared" si="222"/>
        <v>341881</v>
      </c>
      <c r="CK188" s="65">
        <f t="shared" si="223"/>
        <v>650834</v>
      </c>
      <c r="CL188" s="65">
        <f t="shared" si="224"/>
        <v>331680</v>
      </c>
      <c r="CM188" s="65">
        <f t="shared" si="225"/>
        <v>407243</v>
      </c>
      <c r="CN188" s="65">
        <f t="shared" si="226"/>
        <v>699571</v>
      </c>
      <c r="CO188" s="65">
        <f t="shared" si="227"/>
        <v>331680</v>
      </c>
      <c r="CP188" s="65">
        <f t="shared" si="228"/>
        <v>661022</v>
      </c>
      <c r="CQ188" s="40" t="s">
        <v>538</v>
      </c>
    </row>
    <row r="189" spans="1:95" ht="3" customHeight="1" x14ac:dyDescent="0.25">
      <c r="A189" s="39">
        <v>1</v>
      </c>
      <c r="B189" s="28">
        <v>9109</v>
      </c>
      <c r="C189" s="28" t="s">
        <v>225</v>
      </c>
      <c r="D189" s="48">
        <f>+DATA!Q187</f>
        <v>4980591.3770000003</v>
      </c>
      <c r="E189" s="48">
        <f t="shared" si="214"/>
        <v>327889</v>
      </c>
      <c r="F189" s="48">
        <f t="shared" si="215"/>
        <v>498059</v>
      </c>
      <c r="G189" s="49">
        <f>VLOOKUP(B189,'CALC MEC ESTAB Y ESTIM M FINAL'!$B$7:$F$352,5,0)</f>
        <v>3.0133857353999999E-3</v>
      </c>
      <c r="H189" s="49">
        <f>VLOOKUP(B189,'CALC MEC ESTAB Y ESTIM M FINAL'!$B$7:$R$352,17,0)</f>
        <v>-3.445829896E-4</v>
      </c>
      <c r="I189" s="46">
        <f t="shared" si="154"/>
        <v>220049</v>
      </c>
      <c r="J189" s="46">
        <f t="shared" si="155"/>
        <v>0</v>
      </c>
      <c r="K189" s="46">
        <f t="shared" si="156"/>
        <v>107840</v>
      </c>
      <c r="L189" s="46">
        <v>0</v>
      </c>
      <c r="M189" s="46">
        <f t="shared" si="157"/>
        <v>327889</v>
      </c>
      <c r="N189" s="46">
        <f t="shared" si="158"/>
        <v>107840</v>
      </c>
      <c r="O189" s="46">
        <f t="shared" si="159"/>
        <v>117014</v>
      </c>
      <c r="P189" s="46">
        <f t="shared" si="160"/>
        <v>0</v>
      </c>
      <c r="Q189" s="46">
        <f t="shared" si="161"/>
        <v>210875</v>
      </c>
      <c r="R189" s="46">
        <v>0</v>
      </c>
      <c r="S189" s="46">
        <f t="shared" si="162"/>
        <v>327889</v>
      </c>
      <c r="T189" s="46">
        <f t="shared" si="163"/>
        <v>318715</v>
      </c>
      <c r="U189" s="46">
        <f t="shared" si="164"/>
        <v>333816</v>
      </c>
      <c r="V189" s="46">
        <f t="shared" si="165"/>
        <v>0</v>
      </c>
      <c r="W189" s="46">
        <f t="shared" si="166"/>
        <v>0</v>
      </c>
      <c r="X189" s="46">
        <v>0</v>
      </c>
      <c r="Y189" s="46">
        <f t="shared" si="167"/>
        <v>333816</v>
      </c>
      <c r="Z189" s="46">
        <f t="shared" si="168"/>
        <v>318715</v>
      </c>
      <c r="AA189" s="46">
        <f t="shared" si="169"/>
        <v>177251</v>
      </c>
      <c r="AB189" s="46">
        <f t="shared" si="170"/>
        <v>0</v>
      </c>
      <c r="AC189" s="46">
        <f t="shared" si="171"/>
        <v>150638</v>
      </c>
      <c r="AD189" s="46">
        <v>0</v>
      </c>
      <c r="AE189" s="46">
        <f t="shared" si="172"/>
        <v>327889</v>
      </c>
      <c r="AF189" s="46">
        <f t="shared" si="173"/>
        <v>469353</v>
      </c>
      <c r="AG189" s="46">
        <f t="shared" si="174"/>
        <v>1542415</v>
      </c>
      <c r="AH189" s="46">
        <f t="shared" si="175"/>
        <v>14236</v>
      </c>
      <c r="AI189" s="46">
        <f t="shared" si="176"/>
        <v>-469353</v>
      </c>
      <c r="AJ189" s="46">
        <v>0</v>
      </c>
      <c r="AK189" s="46">
        <f t="shared" si="177"/>
        <v>1087298</v>
      </c>
      <c r="AL189" s="46">
        <f t="shared" si="178"/>
        <v>0</v>
      </c>
      <c r="AM189" s="46">
        <f t="shared" si="179"/>
        <v>305513</v>
      </c>
      <c r="AN189" s="46">
        <f t="shared" si="180"/>
        <v>10089</v>
      </c>
      <c r="AO189" s="46">
        <f t="shared" si="181"/>
        <v>22376</v>
      </c>
      <c r="AP189" s="46">
        <v>0</v>
      </c>
      <c r="AQ189" s="46">
        <f t="shared" si="182"/>
        <v>337978</v>
      </c>
      <c r="AR189" s="46">
        <f t="shared" si="183"/>
        <v>22376</v>
      </c>
      <c r="AS189" s="46">
        <f t="shared" si="184"/>
        <v>607305</v>
      </c>
      <c r="AT189" s="46">
        <f t="shared" si="185"/>
        <v>58958</v>
      </c>
      <c r="AU189" s="46">
        <f t="shared" si="186"/>
        <v>-22376</v>
      </c>
      <c r="AV189" s="46">
        <v>0</v>
      </c>
      <c r="AW189" s="46">
        <f t="shared" si="187"/>
        <v>643887</v>
      </c>
      <c r="AX189" s="46">
        <f t="shared" si="188"/>
        <v>0</v>
      </c>
      <c r="AY189" s="46">
        <f t="shared" si="189"/>
        <v>200602</v>
      </c>
      <c r="AZ189" s="46">
        <f t="shared" si="190"/>
        <v>0</v>
      </c>
      <c r="BA189" s="46">
        <f t="shared" si="191"/>
        <v>127287</v>
      </c>
      <c r="BB189" s="46"/>
      <c r="BC189" s="46">
        <f t="shared" si="192"/>
        <v>327889</v>
      </c>
      <c r="BD189" s="46">
        <f t="shared" si="193"/>
        <v>127287</v>
      </c>
      <c r="BE189" s="46">
        <f t="shared" si="194"/>
        <v>388339</v>
      </c>
      <c r="BF189" s="46">
        <f t="shared" si="195"/>
        <v>14454</v>
      </c>
      <c r="BG189" s="46">
        <f t="shared" si="196"/>
        <v>0</v>
      </c>
      <c r="BH189" s="46">
        <v>0</v>
      </c>
      <c r="BI189" s="46">
        <f t="shared" si="197"/>
        <v>402793</v>
      </c>
      <c r="BJ189" s="46">
        <f t="shared" si="198"/>
        <v>127287</v>
      </c>
      <c r="BK189" s="46">
        <f t="shared" si="199"/>
        <v>819379</v>
      </c>
      <c r="BL189" s="46">
        <f t="shared" si="200"/>
        <v>0</v>
      </c>
      <c r="BM189" s="46">
        <f t="shared" si="201"/>
        <v>-127287</v>
      </c>
      <c r="BN189" s="46">
        <v>0</v>
      </c>
      <c r="BO189" s="46">
        <f t="shared" si="202"/>
        <v>692092</v>
      </c>
      <c r="BP189" s="46">
        <f t="shared" si="203"/>
        <v>0</v>
      </c>
      <c r="BQ189" s="46">
        <f t="shared" si="204"/>
        <v>304107</v>
      </c>
      <c r="BR189" s="46">
        <f t="shared" si="205"/>
        <v>0</v>
      </c>
      <c r="BS189" s="46">
        <f t="shared" si="206"/>
        <v>23782</v>
      </c>
      <c r="BT189" s="46">
        <v>0</v>
      </c>
      <c r="BU189" s="46">
        <f t="shared" si="207"/>
        <v>327889</v>
      </c>
      <c r="BV189" s="46">
        <f t="shared" si="208"/>
        <v>23782</v>
      </c>
      <c r="BW189" s="46">
        <f t="shared" si="209"/>
        <v>582753</v>
      </c>
      <c r="BX189" s="46">
        <f t="shared" si="210"/>
        <v>94995</v>
      </c>
      <c r="BY189" s="46">
        <f t="shared" si="211"/>
        <v>-23782</v>
      </c>
      <c r="BZ189" s="46">
        <v>0</v>
      </c>
      <c r="CA189" s="46">
        <f t="shared" si="212"/>
        <v>653966</v>
      </c>
      <c r="CB189" s="46">
        <f t="shared" si="213"/>
        <v>0</v>
      </c>
      <c r="CC189" s="155">
        <f t="shared" si="216"/>
        <v>0</v>
      </c>
      <c r="CD189" s="79" t="s">
        <v>538</v>
      </c>
      <c r="CE189" s="65">
        <f t="shared" si="217"/>
        <v>327889</v>
      </c>
      <c r="CF189" s="65">
        <f t="shared" si="218"/>
        <v>327889</v>
      </c>
      <c r="CG189" s="65">
        <f t="shared" si="219"/>
        <v>333816</v>
      </c>
      <c r="CH189" s="65">
        <f t="shared" si="220"/>
        <v>327889</v>
      </c>
      <c r="CI189" s="65">
        <f t="shared" si="221"/>
        <v>1087298</v>
      </c>
      <c r="CJ189" s="65">
        <f t="shared" si="222"/>
        <v>337978</v>
      </c>
      <c r="CK189" s="65">
        <f t="shared" si="223"/>
        <v>643887</v>
      </c>
      <c r="CL189" s="65">
        <f t="shared" si="224"/>
        <v>327889</v>
      </c>
      <c r="CM189" s="65">
        <f t="shared" si="225"/>
        <v>402793</v>
      </c>
      <c r="CN189" s="65">
        <f t="shared" si="226"/>
        <v>692092</v>
      </c>
      <c r="CO189" s="65">
        <f t="shared" si="227"/>
        <v>327889</v>
      </c>
      <c r="CP189" s="65">
        <f t="shared" si="228"/>
        <v>653966</v>
      </c>
      <c r="CQ189" s="40" t="s">
        <v>538</v>
      </c>
    </row>
    <row r="190" spans="1:95" ht="3" customHeight="1" x14ac:dyDescent="0.25">
      <c r="A190" s="39">
        <v>1</v>
      </c>
      <c r="B190" s="28">
        <v>9110</v>
      </c>
      <c r="C190" s="28" t="s">
        <v>227</v>
      </c>
      <c r="D190" s="48">
        <f>+DATA!Q188</f>
        <v>3534537.125</v>
      </c>
      <c r="E190" s="48">
        <f t="shared" si="214"/>
        <v>232690</v>
      </c>
      <c r="F190" s="48">
        <f t="shared" si="215"/>
        <v>353454</v>
      </c>
      <c r="G190" s="49">
        <f>VLOOKUP(B190,'CALC MEC ESTAB Y ESTIM M FINAL'!$B$7:$F$352,5,0)</f>
        <v>1.9087254317999998E-3</v>
      </c>
      <c r="H190" s="49">
        <f>VLOOKUP(B190,'CALC MEC ESTAB Y ESTIM M FINAL'!$B$7:$R$352,17,0)</f>
        <v>-1.192540244E-4</v>
      </c>
      <c r="I190" s="46">
        <f t="shared" si="154"/>
        <v>147546</v>
      </c>
      <c r="J190" s="46">
        <f t="shared" si="155"/>
        <v>0</v>
      </c>
      <c r="K190" s="46">
        <f t="shared" si="156"/>
        <v>85144</v>
      </c>
      <c r="L190" s="46">
        <v>0</v>
      </c>
      <c r="M190" s="46">
        <f t="shared" si="157"/>
        <v>232690</v>
      </c>
      <c r="N190" s="46">
        <f t="shared" si="158"/>
        <v>85144</v>
      </c>
      <c r="O190" s="46">
        <f t="shared" si="159"/>
        <v>78460</v>
      </c>
      <c r="P190" s="46">
        <f t="shared" si="160"/>
        <v>0</v>
      </c>
      <c r="Q190" s="46">
        <f t="shared" si="161"/>
        <v>154230</v>
      </c>
      <c r="R190" s="46">
        <v>0</v>
      </c>
      <c r="S190" s="46">
        <f t="shared" si="162"/>
        <v>232690</v>
      </c>
      <c r="T190" s="46">
        <f t="shared" si="163"/>
        <v>239374</v>
      </c>
      <c r="U190" s="46">
        <f t="shared" si="164"/>
        <v>223828</v>
      </c>
      <c r="V190" s="46">
        <f t="shared" si="165"/>
        <v>0</v>
      </c>
      <c r="W190" s="46">
        <f t="shared" si="166"/>
        <v>0</v>
      </c>
      <c r="X190" s="46">
        <v>0</v>
      </c>
      <c r="Y190" s="46">
        <f t="shared" si="167"/>
        <v>223828</v>
      </c>
      <c r="Z190" s="46">
        <f t="shared" si="168"/>
        <v>239374</v>
      </c>
      <c r="AA190" s="46">
        <f t="shared" si="169"/>
        <v>118849</v>
      </c>
      <c r="AB190" s="46">
        <f t="shared" si="170"/>
        <v>0</v>
      </c>
      <c r="AC190" s="46">
        <f t="shared" si="171"/>
        <v>113841</v>
      </c>
      <c r="AD190" s="46">
        <v>0</v>
      </c>
      <c r="AE190" s="46">
        <f t="shared" si="172"/>
        <v>232690</v>
      </c>
      <c r="AF190" s="46">
        <f t="shared" si="173"/>
        <v>353215</v>
      </c>
      <c r="AG190" s="46">
        <f t="shared" si="174"/>
        <v>1034212</v>
      </c>
      <c r="AH190" s="46">
        <f t="shared" si="175"/>
        <v>9546</v>
      </c>
      <c r="AI190" s="46">
        <f t="shared" si="176"/>
        <v>-353215</v>
      </c>
      <c r="AJ190" s="46">
        <v>0</v>
      </c>
      <c r="AK190" s="46">
        <f t="shared" si="177"/>
        <v>690543</v>
      </c>
      <c r="AL190" s="46">
        <f t="shared" si="178"/>
        <v>0</v>
      </c>
      <c r="AM190" s="46">
        <f t="shared" si="179"/>
        <v>204851</v>
      </c>
      <c r="AN190" s="46">
        <f t="shared" si="180"/>
        <v>6765</v>
      </c>
      <c r="AO190" s="46">
        <f t="shared" si="181"/>
        <v>27839</v>
      </c>
      <c r="AP190" s="46">
        <v>0</v>
      </c>
      <c r="AQ190" s="46">
        <f t="shared" si="182"/>
        <v>239455</v>
      </c>
      <c r="AR190" s="46">
        <f t="shared" si="183"/>
        <v>27839</v>
      </c>
      <c r="AS190" s="46">
        <f t="shared" si="184"/>
        <v>407207</v>
      </c>
      <c r="AT190" s="46">
        <f t="shared" si="185"/>
        <v>39532</v>
      </c>
      <c r="AU190" s="46">
        <f t="shared" si="186"/>
        <v>-27839</v>
      </c>
      <c r="AV190" s="46">
        <v>0</v>
      </c>
      <c r="AW190" s="46">
        <f t="shared" si="187"/>
        <v>418900</v>
      </c>
      <c r="AX190" s="46">
        <f t="shared" si="188"/>
        <v>0</v>
      </c>
      <c r="AY190" s="46">
        <f t="shared" si="189"/>
        <v>134507</v>
      </c>
      <c r="AZ190" s="46">
        <f t="shared" si="190"/>
        <v>0</v>
      </c>
      <c r="BA190" s="46">
        <f t="shared" si="191"/>
        <v>98183</v>
      </c>
      <c r="BB190" s="46"/>
      <c r="BC190" s="46">
        <f t="shared" si="192"/>
        <v>232690</v>
      </c>
      <c r="BD190" s="46">
        <f t="shared" si="193"/>
        <v>98183</v>
      </c>
      <c r="BE190" s="46">
        <f t="shared" si="194"/>
        <v>260387</v>
      </c>
      <c r="BF190" s="46">
        <f t="shared" si="195"/>
        <v>9691</v>
      </c>
      <c r="BG190" s="46">
        <f t="shared" si="196"/>
        <v>0</v>
      </c>
      <c r="BH190" s="46">
        <v>0</v>
      </c>
      <c r="BI190" s="46">
        <f t="shared" si="197"/>
        <v>270078</v>
      </c>
      <c r="BJ190" s="46">
        <f t="shared" si="198"/>
        <v>98183</v>
      </c>
      <c r="BK190" s="46">
        <f t="shared" si="199"/>
        <v>549406</v>
      </c>
      <c r="BL190" s="46">
        <f t="shared" si="200"/>
        <v>0</v>
      </c>
      <c r="BM190" s="46">
        <f t="shared" si="201"/>
        <v>-98183</v>
      </c>
      <c r="BN190" s="46">
        <v>0</v>
      </c>
      <c r="BO190" s="46">
        <f t="shared" si="202"/>
        <v>451223</v>
      </c>
      <c r="BP190" s="46">
        <f t="shared" si="203"/>
        <v>0</v>
      </c>
      <c r="BQ190" s="46">
        <f t="shared" si="204"/>
        <v>203908</v>
      </c>
      <c r="BR190" s="46">
        <f t="shared" si="205"/>
        <v>0</v>
      </c>
      <c r="BS190" s="46">
        <f t="shared" si="206"/>
        <v>28782</v>
      </c>
      <c r="BT190" s="46">
        <v>0</v>
      </c>
      <c r="BU190" s="46">
        <f t="shared" si="207"/>
        <v>232690</v>
      </c>
      <c r="BV190" s="46">
        <f t="shared" si="208"/>
        <v>28782</v>
      </c>
      <c r="BW190" s="46">
        <f t="shared" si="209"/>
        <v>390744</v>
      </c>
      <c r="BX190" s="46">
        <f t="shared" si="210"/>
        <v>63695</v>
      </c>
      <c r="BY190" s="46">
        <f t="shared" si="211"/>
        <v>-28782</v>
      </c>
      <c r="BZ190" s="46">
        <v>0</v>
      </c>
      <c r="CA190" s="46">
        <f t="shared" si="212"/>
        <v>425657</v>
      </c>
      <c r="CB190" s="46">
        <f t="shared" si="213"/>
        <v>0</v>
      </c>
      <c r="CC190" s="155">
        <f t="shared" si="216"/>
        <v>0</v>
      </c>
      <c r="CD190" s="79" t="s">
        <v>538</v>
      </c>
      <c r="CE190" s="65">
        <f t="shared" si="217"/>
        <v>232690</v>
      </c>
      <c r="CF190" s="65">
        <f t="shared" si="218"/>
        <v>232690</v>
      </c>
      <c r="CG190" s="65">
        <f t="shared" si="219"/>
        <v>223828</v>
      </c>
      <c r="CH190" s="65">
        <f t="shared" si="220"/>
        <v>232690</v>
      </c>
      <c r="CI190" s="65">
        <f t="shared" si="221"/>
        <v>690543</v>
      </c>
      <c r="CJ190" s="65">
        <f t="shared" si="222"/>
        <v>239455</v>
      </c>
      <c r="CK190" s="65">
        <f t="shared" si="223"/>
        <v>418900</v>
      </c>
      <c r="CL190" s="65">
        <f t="shared" si="224"/>
        <v>232690</v>
      </c>
      <c r="CM190" s="65">
        <f t="shared" si="225"/>
        <v>270078</v>
      </c>
      <c r="CN190" s="65">
        <f t="shared" si="226"/>
        <v>451223</v>
      </c>
      <c r="CO190" s="65">
        <f t="shared" si="227"/>
        <v>232690</v>
      </c>
      <c r="CP190" s="65">
        <f t="shared" si="228"/>
        <v>425657</v>
      </c>
      <c r="CQ190" s="40" t="s">
        <v>538</v>
      </c>
    </row>
    <row r="191" spans="1:95" ht="3" customHeight="1" x14ac:dyDescent="0.25">
      <c r="A191" s="39">
        <v>1</v>
      </c>
      <c r="B191" s="28">
        <v>9111</v>
      </c>
      <c r="C191" s="28" t="s">
        <v>221</v>
      </c>
      <c r="D191" s="48">
        <f>+DATA!Q189</f>
        <v>6776929.9589999998</v>
      </c>
      <c r="E191" s="48">
        <f t="shared" si="214"/>
        <v>446148</v>
      </c>
      <c r="F191" s="48">
        <f t="shared" si="215"/>
        <v>677693</v>
      </c>
      <c r="G191" s="49">
        <f>VLOOKUP(B191,'CALC MEC ESTAB Y ESTIM M FINAL'!$B$7:$F$352,5,0)</f>
        <v>3.6590878179000004E-3</v>
      </c>
      <c r="H191" s="49">
        <f>VLOOKUP(B191,'CALC MEC ESTAB Y ESTIM M FINAL'!$B$7:$R$352,17,0)</f>
        <v>-2.2843392590000001E-4</v>
      </c>
      <c r="I191" s="46">
        <f t="shared" si="154"/>
        <v>282865</v>
      </c>
      <c r="J191" s="46">
        <f t="shared" si="155"/>
        <v>0</v>
      </c>
      <c r="K191" s="46">
        <f t="shared" si="156"/>
        <v>163283</v>
      </c>
      <c r="L191" s="46">
        <v>0</v>
      </c>
      <c r="M191" s="46">
        <f t="shared" si="157"/>
        <v>446148</v>
      </c>
      <c r="N191" s="46">
        <f t="shared" si="158"/>
        <v>163283</v>
      </c>
      <c r="O191" s="46">
        <f t="shared" si="159"/>
        <v>150418</v>
      </c>
      <c r="P191" s="46">
        <f t="shared" si="160"/>
        <v>0</v>
      </c>
      <c r="Q191" s="46">
        <f t="shared" si="161"/>
        <v>295730</v>
      </c>
      <c r="R191" s="46">
        <v>0</v>
      </c>
      <c r="S191" s="46">
        <f t="shared" si="162"/>
        <v>446148</v>
      </c>
      <c r="T191" s="46">
        <f t="shared" si="163"/>
        <v>459013</v>
      </c>
      <c r="U191" s="46">
        <f t="shared" si="164"/>
        <v>429109</v>
      </c>
      <c r="V191" s="46">
        <f t="shared" si="165"/>
        <v>0</v>
      </c>
      <c r="W191" s="46">
        <f t="shared" si="166"/>
        <v>0</v>
      </c>
      <c r="X191" s="46">
        <v>0</v>
      </c>
      <c r="Y191" s="46">
        <f t="shared" si="167"/>
        <v>429109</v>
      </c>
      <c r="Z191" s="46">
        <f t="shared" si="168"/>
        <v>459013</v>
      </c>
      <c r="AA191" s="46">
        <f t="shared" si="169"/>
        <v>227850</v>
      </c>
      <c r="AB191" s="46">
        <f t="shared" si="170"/>
        <v>0</v>
      </c>
      <c r="AC191" s="46">
        <f t="shared" si="171"/>
        <v>218298</v>
      </c>
      <c r="AD191" s="46">
        <v>0</v>
      </c>
      <c r="AE191" s="46">
        <f t="shared" si="172"/>
        <v>446148</v>
      </c>
      <c r="AF191" s="46">
        <f t="shared" si="173"/>
        <v>677311</v>
      </c>
      <c r="AG191" s="46">
        <f t="shared" si="174"/>
        <v>1982721</v>
      </c>
      <c r="AH191" s="46">
        <f t="shared" si="175"/>
        <v>18300</v>
      </c>
      <c r="AI191" s="46">
        <f t="shared" si="176"/>
        <v>-677311</v>
      </c>
      <c r="AJ191" s="46">
        <v>0</v>
      </c>
      <c r="AK191" s="46">
        <f t="shared" si="177"/>
        <v>1323710</v>
      </c>
      <c r="AL191" s="46">
        <f t="shared" si="178"/>
        <v>0</v>
      </c>
      <c r="AM191" s="46">
        <f t="shared" si="179"/>
        <v>392726</v>
      </c>
      <c r="AN191" s="46">
        <f t="shared" si="180"/>
        <v>12969</v>
      </c>
      <c r="AO191" s="46">
        <f t="shared" si="181"/>
        <v>53422</v>
      </c>
      <c r="AP191" s="46">
        <v>0</v>
      </c>
      <c r="AQ191" s="46">
        <f t="shared" si="182"/>
        <v>459117</v>
      </c>
      <c r="AR191" s="46">
        <f t="shared" si="183"/>
        <v>53422</v>
      </c>
      <c r="AS191" s="46">
        <f t="shared" si="184"/>
        <v>780670</v>
      </c>
      <c r="AT191" s="46">
        <f t="shared" si="185"/>
        <v>75789</v>
      </c>
      <c r="AU191" s="46">
        <f t="shared" si="186"/>
        <v>-53422</v>
      </c>
      <c r="AV191" s="46">
        <v>0</v>
      </c>
      <c r="AW191" s="46">
        <f t="shared" si="187"/>
        <v>803037</v>
      </c>
      <c r="AX191" s="46">
        <f t="shared" si="188"/>
        <v>0</v>
      </c>
      <c r="AY191" s="46">
        <f t="shared" si="189"/>
        <v>257867</v>
      </c>
      <c r="AZ191" s="46">
        <f t="shared" si="190"/>
        <v>0</v>
      </c>
      <c r="BA191" s="46">
        <f t="shared" si="191"/>
        <v>188281</v>
      </c>
      <c r="BB191" s="46"/>
      <c r="BC191" s="46">
        <f t="shared" si="192"/>
        <v>446148</v>
      </c>
      <c r="BD191" s="46">
        <f t="shared" si="193"/>
        <v>188281</v>
      </c>
      <c r="BE191" s="46">
        <f t="shared" si="194"/>
        <v>499197</v>
      </c>
      <c r="BF191" s="46">
        <f t="shared" si="195"/>
        <v>18580</v>
      </c>
      <c r="BG191" s="46">
        <f t="shared" si="196"/>
        <v>0</v>
      </c>
      <c r="BH191" s="46">
        <v>0</v>
      </c>
      <c r="BI191" s="46">
        <f t="shared" si="197"/>
        <v>517777</v>
      </c>
      <c r="BJ191" s="46">
        <f t="shared" si="198"/>
        <v>188281</v>
      </c>
      <c r="BK191" s="46">
        <f t="shared" si="199"/>
        <v>1053284</v>
      </c>
      <c r="BL191" s="46">
        <f t="shared" si="200"/>
        <v>0</v>
      </c>
      <c r="BM191" s="46">
        <f t="shared" si="201"/>
        <v>-188281</v>
      </c>
      <c r="BN191" s="46">
        <v>0</v>
      </c>
      <c r="BO191" s="46">
        <f t="shared" si="202"/>
        <v>865003</v>
      </c>
      <c r="BP191" s="46">
        <f t="shared" si="203"/>
        <v>0</v>
      </c>
      <c r="BQ191" s="46">
        <f t="shared" si="204"/>
        <v>390919</v>
      </c>
      <c r="BR191" s="46">
        <f t="shared" si="205"/>
        <v>0</v>
      </c>
      <c r="BS191" s="46">
        <f t="shared" si="206"/>
        <v>55229</v>
      </c>
      <c r="BT191" s="46">
        <v>0</v>
      </c>
      <c r="BU191" s="46">
        <f t="shared" si="207"/>
        <v>446148</v>
      </c>
      <c r="BV191" s="46">
        <f t="shared" si="208"/>
        <v>55229</v>
      </c>
      <c r="BW191" s="46">
        <f t="shared" si="209"/>
        <v>749108</v>
      </c>
      <c r="BX191" s="46">
        <f t="shared" si="210"/>
        <v>122112</v>
      </c>
      <c r="BY191" s="46">
        <f t="shared" si="211"/>
        <v>-55229</v>
      </c>
      <c r="BZ191" s="46">
        <v>0</v>
      </c>
      <c r="CA191" s="46">
        <f t="shared" si="212"/>
        <v>815991</v>
      </c>
      <c r="CB191" s="46">
        <f t="shared" si="213"/>
        <v>0</v>
      </c>
      <c r="CC191" s="155">
        <f t="shared" si="216"/>
        <v>0</v>
      </c>
      <c r="CD191" s="79" t="s">
        <v>538</v>
      </c>
      <c r="CE191" s="65">
        <f t="shared" si="217"/>
        <v>446148</v>
      </c>
      <c r="CF191" s="65">
        <f t="shared" si="218"/>
        <v>446148</v>
      </c>
      <c r="CG191" s="65">
        <f t="shared" si="219"/>
        <v>429109</v>
      </c>
      <c r="CH191" s="65">
        <f t="shared" si="220"/>
        <v>446148</v>
      </c>
      <c r="CI191" s="65">
        <f t="shared" si="221"/>
        <v>1323710</v>
      </c>
      <c r="CJ191" s="65">
        <f t="shared" si="222"/>
        <v>459117</v>
      </c>
      <c r="CK191" s="65">
        <f t="shared" si="223"/>
        <v>803037</v>
      </c>
      <c r="CL191" s="65">
        <f t="shared" si="224"/>
        <v>446148</v>
      </c>
      <c r="CM191" s="65">
        <f t="shared" si="225"/>
        <v>517777</v>
      </c>
      <c r="CN191" s="65">
        <f t="shared" si="226"/>
        <v>865003</v>
      </c>
      <c r="CO191" s="65">
        <f t="shared" si="227"/>
        <v>446148</v>
      </c>
      <c r="CP191" s="65">
        <f t="shared" si="228"/>
        <v>815991</v>
      </c>
      <c r="CQ191" s="40" t="s">
        <v>538</v>
      </c>
    </row>
    <row r="192" spans="1:95" ht="3" customHeight="1" x14ac:dyDescent="0.25">
      <c r="A192" s="39">
        <v>1</v>
      </c>
      <c r="B192" s="28">
        <v>9112</v>
      </c>
      <c r="C192" s="28" t="s">
        <v>230</v>
      </c>
      <c r="D192" s="48">
        <f>+DATA!Q190</f>
        <v>11360550.907</v>
      </c>
      <c r="E192" s="48">
        <f t="shared" si="214"/>
        <v>747903</v>
      </c>
      <c r="F192" s="48">
        <f t="shared" si="215"/>
        <v>1136055</v>
      </c>
      <c r="G192" s="49">
        <f>VLOOKUP(B192,'CALC MEC ESTAB Y ESTIM M FINAL'!$B$7:$F$352,5,0)</f>
        <v>6.3460495326999999E-3</v>
      </c>
      <c r="H192" s="49">
        <f>VLOOKUP(B192,'CALC MEC ESTAB Y ESTIM M FINAL'!$B$7:$R$352,17,0)</f>
        <v>-4.9800109389999995E-4</v>
      </c>
      <c r="I192" s="46">
        <f t="shared" si="154"/>
        <v>482184</v>
      </c>
      <c r="J192" s="46">
        <f t="shared" si="155"/>
        <v>0</v>
      </c>
      <c r="K192" s="46">
        <f t="shared" si="156"/>
        <v>265719</v>
      </c>
      <c r="L192" s="46">
        <v>0</v>
      </c>
      <c r="M192" s="46">
        <f t="shared" si="157"/>
        <v>747903</v>
      </c>
      <c r="N192" s="46">
        <f t="shared" si="158"/>
        <v>265719</v>
      </c>
      <c r="O192" s="46">
        <f t="shared" si="159"/>
        <v>256409</v>
      </c>
      <c r="P192" s="46">
        <f t="shared" si="160"/>
        <v>0</v>
      </c>
      <c r="Q192" s="46">
        <f t="shared" si="161"/>
        <v>491494</v>
      </c>
      <c r="R192" s="46">
        <v>0</v>
      </c>
      <c r="S192" s="46">
        <f t="shared" si="162"/>
        <v>747903</v>
      </c>
      <c r="T192" s="46">
        <f t="shared" si="163"/>
        <v>757213</v>
      </c>
      <c r="U192" s="46">
        <f t="shared" si="164"/>
        <v>731478</v>
      </c>
      <c r="V192" s="46">
        <f t="shared" si="165"/>
        <v>0</v>
      </c>
      <c r="W192" s="46">
        <f t="shared" si="166"/>
        <v>0</v>
      </c>
      <c r="X192" s="46">
        <v>0</v>
      </c>
      <c r="Y192" s="46">
        <f t="shared" si="167"/>
        <v>731478</v>
      </c>
      <c r="Z192" s="46">
        <f t="shared" si="168"/>
        <v>757213</v>
      </c>
      <c r="AA192" s="46">
        <f t="shared" si="169"/>
        <v>388403</v>
      </c>
      <c r="AB192" s="46">
        <f t="shared" si="170"/>
        <v>0</v>
      </c>
      <c r="AC192" s="46">
        <f t="shared" si="171"/>
        <v>359500</v>
      </c>
      <c r="AD192" s="46">
        <v>0</v>
      </c>
      <c r="AE192" s="46">
        <f t="shared" si="172"/>
        <v>747903</v>
      </c>
      <c r="AF192" s="46">
        <f t="shared" si="173"/>
        <v>1116713</v>
      </c>
      <c r="AG192" s="46">
        <f t="shared" si="174"/>
        <v>3379837</v>
      </c>
      <c r="AH192" s="46">
        <f t="shared" si="175"/>
        <v>31195</v>
      </c>
      <c r="AI192" s="46">
        <f t="shared" si="176"/>
        <v>-1116713</v>
      </c>
      <c r="AJ192" s="46">
        <v>0</v>
      </c>
      <c r="AK192" s="46">
        <f t="shared" si="177"/>
        <v>2294319</v>
      </c>
      <c r="AL192" s="46">
        <f t="shared" si="178"/>
        <v>0</v>
      </c>
      <c r="AM192" s="46">
        <f t="shared" si="179"/>
        <v>669459</v>
      </c>
      <c r="AN192" s="46">
        <f t="shared" si="180"/>
        <v>22108</v>
      </c>
      <c r="AO192" s="46">
        <f t="shared" si="181"/>
        <v>78444</v>
      </c>
      <c r="AP192" s="46">
        <v>0</v>
      </c>
      <c r="AQ192" s="46">
        <f t="shared" si="182"/>
        <v>770011</v>
      </c>
      <c r="AR192" s="46">
        <f t="shared" si="183"/>
        <v>78444</v>
      </c>
      <c r="AS192" s="46">
        <f t="shared" si="184"/>
        <v>1330766</v>
      </c>
      <c r="AT192" s="46">
        <f t="shared" si="185"/>
        <v>129193</v>
      </c>
      <c r="AU192" s="46">
        <f t="shared" si="186"/>
        <v>-78444</v>
      </c>
      <c r="AV192" s="46">
        <v>0</v>
      </c>
      <c r="AW192" s="46">
        <f t="shared" si="187"/>
        <v>1381515</v>
      </c>
      <c r="AX192" s="46">
        <f t="shared" si="188"/>
        <v>0</v>
      </c>
      <c r="AY192" s="46">
        <f t="shared" si="189"/>
        <v>439572</v>
      </c>
      <c r="AZ192" s="46">
        <f t="shared" si="190"/>
        <v>0</v>
      </c>
      <c r="BA192" s="46">
        <f t="shared" si="191"/>
        <v>308331</v>
      </c>
      <c r="BB192" s="46"/>
      <c r="BC192" s="46">
        <f t="shared" si="192"/>
        <v>747903</v>
      </c>
      <c r="BD192" s="46">
        <f t="shared" si="193"/>
        <v>308331</v>
      </c>
      <c r="BE192" s="46">
        <f t="shared" si="194"/>
        <v>850954</v>
      </c>
      <c r="BF192" s="46">
        <f t="shared" si="195"/>
        <v>31672</v>
      </c>
      <c r="BG192" s="46">
        <f t="shared" si="196"/>
        <v>0</v>
      </c>
      <c r="BH192" s="46">
        <v>0</v>
      </c>
      <c r="BI192" s="46">
        <f t="shared" si="197"/>
        <v>882626</v>
      </c>
      <c r="BJ192" s="46">
        <f t="shared" si="198"/>
        <v>308331</v>
      </c>
      <c r="BK192" s="46">
        <f t="shared" si="199"/>
        <v>1795476</v>
      </c>
      <c r="BL192" s="46">
        <f t="shared" si="200"/>
        <v>0</v>
      </c>
      <c r="BM192" s="46">
        <f t="shared" si="201"/>
        <v>-308331</v>
      </c>
      <c r="BN192" s="46">
        <v>0</v>
      </c>
      <c r="BO192" s="46">
        <f t="shared" si="202"/>
        <v>1487145</v>
      </c>
      <c r="BP192" s="46">
        <f t="shared" si="203"/>
        <v>0</v>
      </c>
      <c r="BQ192" s="46">
        <f t="shared" si="204"/>
        <v>666378</v>
      </c>
      <c r="BR192" s="46">
        <f t="shared" si="205"/>
        <v>0</v>
      </c>
      <c r="BS192" s="46">
        <f t="shared" si="206"/>
        <v>81525</v>
      </c>
      <c r="BT192" s="46">
        <v>0</v>
      </c>
      <c r="BU192" s="46">
        <f t="shared" si="207"/>
        <v>747903</v>
      </c>
      <c r="BV192" s="46">
        <f t="shared" si="208"/>
        <v>81525</v>
      </c>
      <c r="BW192" s="46">
        <f t="shared" si="209"/>
        <v>1276964</v>
      </c>
      <c r="BX192" s="46">
        <f t="shared" si="210"/>
        <v>208158</v>
      </c>
      <c r="BY192" s="46">
        <f t="shared" si="211"/>
        <v>-81525</v>
      </c>
      <c r="BZ192" s="46">
        <v>0</v>
      </c>
      <c r="CA192" s="46">
        <f t="shared" si="212"/>
        <v>1403597</v>
      </c>
      <c r="CB192" s="46">
        <f t="shared" si="213"/>
        <v>0</v>
      </c>
      <c r="CC192" s="155">
        <f t="shared" si="216"/>
        <v>0</v>
      </c>
      <c r="CD192" s="79" t="s">
        <v>538</v>
      </c>
      <c r="CE192" s="65">
        <f t="shared" si="217"/>
        <v>747903</v>
      </c>
      <c r="CF192" s="65">
        <f t="shared" si="218"/>
        <v>747903</v>
      </c>
      <c r="CG192" s="65">
        <f t="shared" si="219"/>
        <v>731478</v>
      </c>
      <c r="CH192" s="65">
        <f t="shared" si="220"/>
        <v>747903</v>
      </c>
      <c r="CI192" s="65">
        <f t="shared" si="221"/>
        <v>2294319</v>
      </c>
      <c r="CJ192" s="65">
        <f t="shared" si="222"/>
        <v>770011</v>
      </c>
      <c r="CK192" s="65">
        <f t="shared" si="223"/>
        <v>1381515</v>
      </c>
      <c r="CL192" s="65">
        <f t="shared" si="224"/>
        <v>747903</v>
      </c>
      <c r="CM192" s="65">
        <f t="shared" si="225"/>
        <v>882626</v>
      </c>
      <c r="CN192" s="65">
        <f t="shared" si="226"/>
        <v>1487145</v>
      </c>
      <c r="CO192" s="65">
        <f t="shared" si="227"/>
        <v>747903</v>
      </c>
      <c r="CP192" s="65">
        <f t="shared" si="228"/>
        <v>1403597</v>
      </c>
      <c r="CQ192" s="40" t="s">
        <v>538</v>
      </c>
    </row>
    <row r="193" spans="1:95" ht="3" customHeight="1" x14ac:dyDescent="0.25">
      <c r="A193" s="39">
        <v>1</v>
      </c>
      <c r="B193" s="28">
        <v>9113</v>
      </c>
      <c r="C193" s="28" t="s">
        <v>219</v>
      </c>
      <c r="D193" s="48">
        <f>+DATA!Q191</f>
        <v>2485675.5079999999</v>
      </c>
      <c r="E193" s="48">
        <f t="shared" si="214"/>
        <v>163640</v>
      </c>
      <c r="F193" s="48">
        <f t="shared" si="215"/>
        <v>248568</v>
      </c>
      <c r="G193" s="49">
        <f>VLOOKUP(B193,'CALC MEC ESTAB Y ESTIM M FINAL'!$B$7:$F$352,5,0)</f>
        <v>1.4009704862999999E-3</v>
      </c>
      <c r="H193" s="49">
        <f>VLOOKUP(B193,'CALC MEC ESTAB Y ESTIM M FINAL'!$B$7:$R$352,17,0)</f>
        <v>-1.157576407E-4</v>
      </c>
      <c r="I193" s="46">
        <f t="shared" si="154"/>
        <v>105969</v>
      </c>
      <c r="J193" s="46">
        <f t="shared" si="155"/>
        <v>0</v>
      </c>
      <c r="K193" s="46">
        <f t="shared" si="156"/>
        <v>57671</v>
      </c>
      <c r="L193" s="46">
        <v>0</v>
      </c>
      <c r="M193" s="46">
        <f t="shared" si="157"/>
        <v>163640</v>
      </c>
      <c r="N193" s="46">
        <f t="shared" si="158"/>
        <v>57671</v>
      </c>
      <c r="O193" s="46">
        <f t="shared" si="159"/>
        <v>56351</v>
      </c>
      <c r="P193" s="46">
        <f t="shared" si="160"/>
        <v>0</v>
      </c>
      <c r="Q193" s="46">
        <f t="shared" si="161"/>
        <v>107289</v>
      </c>
      <c r="R193" s="46">
        <v>0</v>
      </c>
      <c r="S193" s="46">
        <f t="shared" si="162"/>
        <v>163640</v>
      </c>
      <c r="T193" s="46">
        <f t="shared" si="163"/>
        <v>164960</v>
      </c>
      <c r="U193" s="46">
        <f t="shared" si="164"/>
        <v>160755</v>
      </c>
      <c r="V193" s="46">
        <f t="shared" si="165"/>
        <v>0</v>
      </c>
      <c r="W193" s="46">
        <f t="shared" si="166"/>
        <v>0</v>
      </c>
      <c r="X193" s="46">
        <v>0</v>
      </c>
      <c r="Y193" s="46">
        <f t="shared" si="167"/>
        <v>160755</v>
      </c>
      <c r="Z193" s="46">
        <f t="shared" si="168"/>
        <v>164960</v>
      </c>
      <c r="AA193" s="46">
        <f t="shared" si="169"/>
        <v>85359</v>
      </c>
      <c r="AB193" s="46">
        <f t="shared" si="170"/>
        <v>0</v>
      </c>
      <c r="AC193" s="46">
        <f t="shared" si="171"/>
        <v>78281</v>
      </c>
      <c r="AD193" s="46">
        <v>0</v>
      </c>
      <c r="AE193" s="46">
        <f t="shared" si="172"/>
        <v>163640</v>
      </c>
      <c r="AF193" s="46">
        <f t="shared" si="173"/>
        <v>243241</v>
      </c>
      <c r="AG193" s="46">
        <f t="shared" si="174"/>
        <v>742779</v>
      </c>
      <c r="AH193" s="46">
        <f t="shared" si="175"/>
        <v>6856</v>
      </c>
      <c r="AI193" s="46">
        <f t="shared" si="176"/>
        <v>-243241</v>
      </c>
      <c r="AJ193" s="46">
        <v>0</v>
      </c>
      <c r="AK193" s="46">
        <f t="shared" si="177"/>
        <v>506394</v>
      </c>
      <c r="AL193" s="46">
        <f t="shared" si="178"/>
        <v>0</v>
      </c>
      <c r="AM193" s="46">
        <f t="shared" si="179"/>
        <v>147126</v>
      </c>
      <c r="AN193" s="46">
        <f t="shared" si="180"/>
        <v>4859</v>
      </c>
      <c r="AO193" s="46">
        <f t="shared" si="181"/>
        <v>16514</v>
      </c>
      <c r="AP193" s="46">
        <v>0</v>
      </c>
      <c r="AQ193" s="46">
        <f t="shared" si="182"/>
        <v>168499</v>
      </c>
      <c r="AR193" s="46">
        <f t="shared" si="183"/>
        <v>16514</v>
      </c>
      <c r="AS193" s="46">
        <f t="shared" si="184"/>
        <v>292460</v>
      </c>
      <c r="AT193" s="46">
        <f t="shared" si="185"/>
        <v>28393</v>
      </c>
      <c r="AU193" s="46">
        <f t="shared" si="186"/>
        <v>-16514</v>
      </c>
      <c r="AV193" s="46">
        <v>0</v>
      </c>
      <c r="AW193" s="46">
        <f t="shared" si="187"/>
        <v>304339</v>
      </c>
      <c r="AX193" s="46">
        <f t="shared" si="188"/>
        <v>0</v>
      </c>
      <c r="AY193" s="46">
        <f t="shared" si="189"/>
        <v>96604</v>
      </c>
      <c r="AZ193" s="46">
        <f t="shared" si="190"/>
        <v>0</v>
      </c>
      <c r="BA193" s="46">
        <f t="shared" si="191"/>
        <v>67036</v>
      </c>
      <c r="BB193" s="46"/>
      <c r="BC193" s="46">
        <f t="shared" si="192"/>
        <v>163640</v>
      </c>
      <c r="BD193" s="46">
        <f t="shared" si="193"/>
        <v>67036</v>
      </c>
      <c r="BE193" s="46">
        <f t="shared" si="194"/>
        <v>187012</v>
      </c>
      <c r="BF193" s="46">
        <f t="shared" si="195"/>
        <v>6960</v>
      </c>
      <c r="BG193" s="46">
        <f t="shared" si="196"/>
        <v>0</v>
      </c>
      <c r="BH193" s="46">
        <v>0</v>
      </c>
      <c r="BI193" s="46">
        <f t="shared" si="197"/>
        <v>193972</v>
      </c>
      <c r="BJ193" s="46">
        <f t="shared" si="198"/>
        <v>67036</v>
      </c>
      <c r="BK193" s="46">
        <f t="shared" si="199"/>
        <v>394588</v>
      </c>
      <c r="BL193" s="46">
        <f t="shared" si="200"/>
        <v>0</v>
      </c>
      <c r="BM193" s="46">
        <f t="shared" si="201"/>
        <v>-67036</v>
      </c>
      <c r="BN193" s="46">
        <v>0</v>
      </c>
      <c r="BO193" s="46">
        <f t="shared" si="202"/>
        <v>327552</v>
      </c>
      <c r="BP193" s="46">
        <f t="shared" si="203"/>
        <v>0</v>
      </c>
      <c r="BQ193" s="46">
        <f t="shared" si="204"/>
        <v>146448</v>
      </c>
      <c r="BR193" s="46">
        <f t="shared" si="205"/>
        <v>0</v>
      </c>
      <c r="BS193" s="46">
        <f t="shared" si="206"/>
        <v>17192</v>
      </c>
      <c r="BT193" s="46">
        <v>0</v>
      </c>
      <c r="BU193" s="46">
        <f t="shared" si="207"/>
        <v>163640</v>
      </c>
      <c r="BV193" s="46">
        <f t="shared" si="208"/>
        <v>17192</v>
      </c>
      <c r="BW193" s="46">
        <f t="shared" si="209"/>
        <v>280636</v>
      </c>
      <c r="BX193" s="46">
        <f t="shared" si="210"/>
        <v>45746</v>
      </c>
      <c r="BY193" s="46">
        <f t="shared" si="211"/>
        <v>-17192</v>
      </c>
      <c r="BZ193" s="46">
        <v>0</v>
      </c>
      <c r="CA193" s="46">
        <f t="shared" si="212"/>
        <v>309190</v>
      </c>
      <c r="CB193" s="46">
        <f t="shared" si="213"/>
        <v>0</v>
      </c>
      <c r="CC193" s="155">
        <f t="shared" si="216"/>
        <v>0</v>
      </c>
      <c r="CD193" s="79" t="s">
        <v>538</v>
      </c>
      <c r="CE193" s="65">
        <f t="shared" si="217"/>
        <v>163640</v>
      </c>
      <c r="CF193" s="65">
        <f t="shared" si="218"/>
        <v>163640</v>
      </c>
      <c r="CG193" s="65">
        <f t="shared" si="219"/>
        <v>160755</v>
      </c>
      <c r="CH193" s="65">
        <f t="shared" si="220"/>
        <v>163640</v>
      </c>
      <c r="CI193" s="65">
        <f t="shared" si="221"/>
        <v>506394</v>
      </c>
      <c r="CJ193" s="65">
        <f t="shared" si="222"/>
        <v>168499</v>
      </c>
      <c r="CK193" s="65">
        <f t="shared" si="223"/>
        <v>304339</v>
      </c>
      <c r="CL193" s="65">
        <f t="shared" si="224"/>
        <v>163640</v>
      </c>
      <c r="CM193" s="65">
        <f t="shared" si="225"/>
        <v>193972</v>
      </c>
      <c r="CN193" s="65">
        <f t="shared" si="226"/>
        <v>327552</v>
      </c>
      <c r="CO193" s="65">
        <f t="shared" si="227"/>
        <v>163640</v>
      </c>
      <c r="CP193" s="65">
        <f t="shared" si="228"/>
        <v>309190</v>
      </c>
      <c r="CQ193" s="40" t="s">
        <v>538</v>
      </c>
    </row>
    <row r="194" spans="1:95" ht="3" customHeight="1" x14ac:dyDescent="0.25">
      <c r="A194" s="39">
        <v>1</v>
      </c>
      <c r="B194" s="28">
        <v>9114</v>
      </c>
      <c r="C194" s="28" t="s">
        <v>407</v>
      </c>
      <c r="D194" s="48">
        <f>+DATA!Q192</f>
        <v>5606071.9469999997</v>
      </c>
      <c r="E194" s="48">
        <f t="shared" si="214"/>
        <v>369066</v>
      </c>
      <c r="F194" s="48">
        <f t="shared" si="215"/>
        <v>560607</v>
      </c>
      <c r="G194" s="49">
        <f>VLOOKUP(B194,'CALC MEC ESTAB Y ESTIM M FINAL'!$B$7:$F$352,5,0)</f>
        <v>3.0795621891999999E-3</v>
      </c>
      <c r="H194" s="49">
        <f>VLOOKUP(B194,'CALC MEC ESTAB Y ESTIM M FINAL'!$B$7:$R$352,17,0)</f>
        <v>-2.1761042689999999E-4</v>
      </c>
      <c r="I194" s="46">
        <f t="shared" si="154"/>
        <v>235974</v>
      </c>
      <c r="J194" s="46">
        <f t="shared" si="155"/>
        <v>0</v>
      </c>
      <c r="K194" s="46">
        <f t="shared" si="156"/>
        <v>133092</v>
      </c>
      <c r="L194" s="46">
        <v>0</v>
      </c>
      <c r="M194" s="46">
        <f t="shared" si="157"/>
        <v>369066</v>
      </c>
      <c r="N194" s="46">
        <f t="shared" si="158"/>
        <v>133092</v>
      </c>
      <c r="O194" s="46">
        <f t="shared" si="159"/>
        <v>125483</v>
      </c>
      <c r="P194" s="46">
        <f t="shared" si="160"/>
        <v>0</v>
      </c>
      <c r="Q194" s="46">
        <f t="shared" si="161"/>
        <v>243583</v>
      </c>
      <c r="R194" s="46">
        <v>0</v>
      </c>
      <c r="S194" s="46">
        <f t="shared" si="162"/>
        <v>369066</v>
      </c>
      <c r="T194" s="46">
        <f t="shared" si="163"/>
        <v>376675</v>
      </c>
      <c r="U194" s="46">
        <f t="shared" si="164"/>
        <v>357975</v>
      </c>
      <c r="V194" s="46">
        <f t="shared" si="165"/>
        <v>0</v>
      </c>
      <c r="W194" s="46">
        <f t="shared" si="166"/>
        <v>0</v>
      </c>
      <c r="X194" s="46">
        <v>0</v>
      </c>
      <c r="Y194" s="46">
        <f t="shared" si="167"/>
        <v>357975</v>
      </c>
      <c r="Z194" s="46">
        <f t="shared" si="168"/>
        <v>376675</v>
      </c>
      <c r="AA194" s="46">
        <f t="shared" si="169"/>
        <v>190079</v>
      </c>
      <c r="AB194" s="46">
        <f t="shared" si="170"/>
        <v>0</v>
      </c>
      <c r="AC194" s="46">
        <f t="shared" si="171"/>
        <v>178987</v>
      </c>
      <c r="AD194" s="46">
        <v>0</v>
      </c>
      <c r="AE194" s="46">
        <f t="shared" si="172"/>
        <v>369066</v>
      </c>
      <c r="AF194" s="46">
        <f t="shared" si="173"/>
        <v>555662</v>
      </c>
      <c r="AG194" s="46">
        <f t="shared" si="174"/>
        <v>1654044</v>
      </c>
      <c r="AH194" s="46">
        <f t="shared" si="175"/>
        <v>15266</v>
      </c>
      <c r="AI194" s="46">
        <f t="shared" si="176"/>
        <v>-555662</v>
      </c>
      <c r="AJ194" s="46">
        <v>0</v>
      </c>
      <c r="AK194" s="46">
        <f t="shared" si="177"/>
        <v>1113648</v>
      </c>
      <c r="AL194" s="46">
        <f t="shared" si="178"/>
        <v>0</v>
      </c>
      <c r="AM194" s="46">
        <f t="shared" si="179"/>
        <v>327624</v>
      </c>
      <c r="AN194" s="46">
        <f t="shared" si="180"/>
        <v>10819</v>
      </c>
      <c r="AO194" s="46">
        <f t="shared" si="181"/>
        <v>41442</v>
      </c>
      <c r="AP194" s="46">
        <v>0</v>
      </c>
      <c r="AQ194" s="46">
        <f t="shared" si="182"/>
        <v>379885</v>
      </c>
      <c r="AR194" s="46">
        <f t="shared" si="183"/>
        <v>41442</v>
      </c>
      <c r="AS194" s="46">
        <f t="shared" si="184"/>
        <v>651258</v>
      </c>
      <c r="AT194" s="46">
        <f t="shared" si="185"/>
        <v>63225</v>
      </c>
      <c r="AU194" s="46">
        <f t="shared" si="186"/>
        <v>-41442</v>
      </c>
      <c r="AV194" s="46">
        <v>0</v>
      </c>
      <c r="AW194" s="46">
        <f t="shared" si="187"/>
        <v>673041</v>
      </c>
      <c r="AX194" s="46">
        <f t="shared" si="188"/>
        <v>0</v>
      </c>
      <c r="AY194" s="46">
        <f t="shared" si="189"/>
        <v>215120</v>
      </c>
      <c r="AZ194" s="46">
        <f t="shared" si="190"/>
        <v>0</v>
      </c>
      <c r="BA194" s="46">
        <f t="shared" si="191"/>
        <v>153946</v>
      </c>
      <c r="BB194" s="46"/>
      <c r="BC194" s="46">
        <f t="shared" si="192"/>
        <v>369066</v>
      </c>
      <c r="BD194" s="46">
        <f t="shared" si="193"/>
        <v>153946</v>
      </c>
      <c r="BE194" s="46">
        <f t="shared" si="194"/>
        <v>416445</v>
      </c>
      <c r="BF194" s="46">
        <f t="shared" si="195"/>
        <v>15500</v>
      </c>
      <c r="BG194" s="46">
        <f t="shared" si="196"/>
        <v>0</v>
      </c>
      <c r="BH194" s="46">
        <v>0</v>
      </c>
      <c r="BI194" s="46">
        <f t="shared" si="197"/>
        <v>431945</v>
      </c>
      <c r="BJ194" s="46">
        <f t="shared" si="198"/>
        <v>153946</v>
      </c>
      <c r="BK194" s="46">
        <f t="shared" si="199"/>
        <v>878680</v>
      </c>
      <c r="BL194" s="46">
        <f t="shared" si="200"/>
        <v>0</v>
      </c>
      <c r="BM194" s="46">
        <f t="shared" si="201"/>
        <v>-153946</v>
      </c>
      <c r="BN194" s="46">
        <v>0</v>
      </c>
      <c r="BO194" s="46">
        <f t="shared" si="202"/>
        <v>724734</v>
      </c>
      <c r="BP194" s="46">
        <f t="shared" si="203"/>
        <v>0</v>
      </c>
      <c r="BQ194" s="46">
        <f t="shared" si="204"/>
        <v>326116</v>
      </c>
      <c r="BR194" s="46">
        <f t="shared" si="205"/>
        <v>0</v>
      </c>
      <c r="BS194" s="46">
        <f t="shared" si="206"/>
        <v>42950</v>
      </c>
      <c r="BT194" s="46">
        <v>0</v>
      </c>
      <c r="BU194" s="46">
        <f t="shared" si="207"/>
        <v>369066</v>
      </c>
      <c r="BV194" s="46">
        <f t="shared" si="208"/>
        <v>42950</v>
      </c>
      <c r="BW194" s="46">
        <f t="shared" si="209"/>
        <v>624928</v>
      </c>
      <c r="BX194" s="46">
        <f t="shared" si="210"/>
        <v>101870</v>
      </c>
      <c r="BY194" s="46">
        <f t="shared" si="211"/>
        <v>-42950</v>
      </c>
      <c r="BZ194" s="46">
        <v>0</v>
      </c>
      <c r="CA194" s="46">
        <f t="shared" si="212"/>
        <v>683848</v>
      </c>
      <c r="CB194" s="46">
        <f t="shared" si="213"/>
        <v>0</v>
      </c>
      <c r="CC194" s="155">
        <f t="shared" si="216"/>
        <v>0</v>
      </c>
      <c r="CD194" s="79" t="s">
        <v>538</v>
      </c>
      <c r="CE194" s="65">
        <f t="shared" si="217"/>
        <v>369066</v>
      </c>
      <c r="CF194" s="65">
        <f t="shared" si="218"/>
        <v>369066</v>
      </c>
      <c r="CG194" s="65">
        <f t="shared" si="219"/>
        <v>357975</v>
      </c>
      <c r="CH194" s="65">
        <f t="shared" si="220"/>
        <v>369066</v>
      </c>
      <c r="CI194" s="65">
        <f t="shared" si="221"/>
        <v>1113648</v>
      </c>
      <c r="CJ194" s="65">
        <f t="shared" si="222"/>
        <v>379885</v>
      </c>
      <c r="CK194" s="65">
        <f t="shared" si="223"/>
        <v>673041</v>
      </c>
      <c r="CL194" s="65">
        <f t="shared" si="224"/>
        <v>369066</v>
      </c>
      <c r="CM194" s="65">
        <f t="shared" si="225"/>
        <v>431945</v>
      </c>
      <c r="CN194" s="65">
        <f t="shared" si="226"/>
        <v>724734</v>
      </c>
      <c r="CO194" s="65">
        <f t="shared" si="227"/>
        <v>369066</v>
      </c>
      <c r="CP194" s="65">
        <f t="shared" si="228"/>
        <v>683848</v>
      </c>
      <c r="CQ194" s="40" t="s">
        <v>538</v>
      </c>
    </row>
    <row r="195" spans="1:95" ht="3" customHeight="1" x14ac:dyDescent="0.25">
      <c r="A195" s="39">
        <v>1</v>
      </c>
      <c r="B195" s="28">
        <v>9115</v>
      </c>
      <c r="C195" s="28" t="s">
        <v>408</v>
      </c>
      <c r="D195" s="48">
        <f>+DATA!Q193</f>
        <v>2311873.7999999998</v>
      </c>
      <c r="E195" s="48">
        <f t="shared" si="214"/>
        <v>152198</v>
      </c>
      <c r="F195" s="48">
        <f t="shared" si="215"/>
        <v>231187</v>
      </c>
      <c r="G195" s="49">
        <f>VLOOKUP(B195,'CALC MEC ESTAB Y ESTIM M FINAL'!$B$7:$F$352,5,0)</f>
        <v>1.2212778014E-3</v>
      </c>
      <c r="H195" s="49">
        <f>VLOOKUP(B195,'CALC MEC ESTAB Y ESTIM M FINAL'!$B$7:$R$352,17,0)</f>
        <v>-6.3601136399999995E-5</v>
      </c>
      <c r="I195" s="46">
        <f t="shared" si="154"/>
        <v>95453</v>
      </c>
      <c r="J195" s="46">
        <f t="shared" si="155"/>
        <v>0</v>
      </c>
      <c r="K195" s="46">
        <f t="shared" si="156"/>
        <v>56745</v>
      </c>
      <c r="L195" s="46">
        <v>0</v>
      </c>
      <c r="M195" s="46">
        <f t="shared" si="157"/>
        <v>152198</v>
      </c>
      <c r="N195" s="46">
        <f t="shared" si="158"/>
        <v>56745</v>
      </c>
      <c r="O195" s="46">
        <f t="shared" si="159"/>
        <v>50759</v>
      </c>
      <c r="P195" s="46">
        <f t="shared" si="160"/>
        <v>0</v>
      </c>
      <c r="Q195" s="46">
        <f t="shared" si="161"/>
        <v>101439</v>
      </c>
      <c r="R195" s="46">
        <v>0</v>
      </c>
      <c r="S195" s="46">
        <f t="shared" si="162"/>
        <v>152198</v>
      </c>
      <c r="T195" s="46">
        <f t="shared" si="163"/>
        <v>158184</v>
      </c>
      <c r="U195" s="46">
        <f t="shared" si="164"/>
        <v>144803</v>
      </c>
      <c r="V195" s="46">
        <f t="shared" si="165"/>
        <v>0</v>
      </c>
      <c r="W195" s="46">
        <f t="shared" si="166"/>
        <v>0</v>
      </c>
      <c r="X195" s="46">
        <v>0</v>
      </c>
      <c r="Y195" s="46">
        <f t="shared" si="167"/>
        <v>144803</v>
      </c>
      <c r="Z195" s="46">
        <f t="shared" si="168"/>
        <v>158184</v>
      </c>
      <c r="AA195" s="46">
        <f t="shared" si="169"/>
        <v>76888</v>
      </c>
      <c r="AB195" s="46">
        <f t="shared" si="170"/>
        <v>0</v>
      </c>
      <c r="AC195" s="46">
        <f t="shared" si="171"/>
        <v>75310</v>
      </c>
      <c r="AD195" s="46">
        <v>0</v>
      </c>
      <c r="AE195" s="46">
        <f t="shared" si="172"/>
        <v>152198</v>
      </c>
      <c r="AF195" s="46">
        <f t="shared" si="173"/>
        <v>233494</v>
      </c>
      <c r="AG195" s="46">
        <f t="shared" si="174"/>
        <v>669071</v>
      </c>
      <c r="AH195" s="46">
        <f t="shared" si="175"/>
        <v>6175</v>
      </c>
      <c r="AI195" s="46">
        <f t="shared" si="176"/>
        <v>-233494</v>
      </c>
      <c r="AJ195" s="46">
        <v>0</v>
      </c>
      <c r="AK195" s="46">
        <f t="shared" si="177"/>
        <v>441752</v>
      </c>
      <c r="AL195" s="46">
        <f t="shared" si="178"/>
        <v>0</v>
      </c>
      <c r="AM195" s="46">
        <f t="shared" si="179"/>
        <v>132526</v>
      </c>
      <c r="AN195" s="46">
        <f t="shared" si="180"/>
        <v>4377</v>
      </c>
      <c r="AO195" s="46">
        <f t="shared" si="181"/>
        <v>19672</v>
      </c>
      <c r="AP195" s="46">
        <v>0</v>
      </c>
      <c r="AQ195" s="46">
        <f t="shared" si="182"/>
        <v>156575</v>
      </c>
      <c r="AR195" s="46">
        <f t="shared" si="183"/>
        <v>19672</v>
      </c>
      <c r="AS195" s="46">
        <f t="shared" si="184"/>
        <v>263438</v>
      </c>
      <c r="AT195" s="46">
        <f t="shared" si="185"/>
        <v>25575</v>
      </c>
      <c r="AU195" s="46">
        <f t="shared" si="186"/>
        <v>-19672</v>
      </c>
      <c r="AV195" s="46">
        <v>0</v>
      </c>
      <c r="AW195" s="46">
        <f t="shared" si="187"/>
        <v>269341</v>
      </c>
      <c r="AX195" s="46">
        <f t="shared" si="188"/>
        <v>0</v>
      </c>
      <c r="AY195" s="46">
        <f t="shared" si="189"/>
        <v>87018</v>
      </c>
      <c r="AZ195" s="46">
        <f t="shared" si="190"/>
        <v>0</v>
      </c>
      <c r="BA195" s="46">
        <f t="shared" si="191"/>
        <v>65180</v>
      </c>
      <c r="BB195" s="46"/>
      <c r="BC195" s="46">
        <f t="shared" si="192"/>
        <v>152198</v>
      </c>
      <c r="BD195" s="46">
        <f t="shared" si="193"/>
        <v>65180</v>
      </c>
      <c r="BE195" s="46">
        <f t="shared" si="194"/>
        <v>168454</v>
      </c>
      <c r="BF195" s="46">
        <f t="shared" si="195"/>
        <v>6270</v>
      </c>
      <c r="BG195" s="46">
        <f t="shared" si="196"/>
        <v>0</v>
      </c>
      <c r="BH195" s="46">
        <v>0</v>
      </c>
      <c r="BI195" s="46">
        <f t="shared" si="197"/>
        <v>174724</v>
      </c>
      <c r="BJ195" s="46">
        <f t="shared" si="198"/>
        <v>65180</v>
      </c>
      <c r="BK195" s="46">
        <f t="shared" si="199"/>
        <v>355431</v>
      </c>
      <c r="BL195" s="46">
        <f t="shared" si="200"/>
        <v>0</v>
      </c>
      <c r="BM195" s="46">
        <f t="shared" si="201"/>
        <v>-65180</v>
      </c>
      <c r="BN195" s="46">
        <v>0</v>
      </c>
      <c r="BO195" s="46">
        <f t="shared" si="202"/>
        <v>290251</v>
      </c>
      <c r="BP195" s="46">
        <f t="shared" si="203"/>
        <v>0</v>
      </c>
      <c r="BQ195" s="46">
        <f t="shared" si="204"/>
        <v>131916</v>
      </c>
      <c r="BR195" s="46">
        <f t="shared" si="205"/>
        <v>0</v>
      </c>
      <c r="BS195" s="46">
        <f t="shared" si="206"/>
        <v>20282</v>
      </c>
      <c r="BT195" s="46">
        <v>0</v>
      </c>
      <c r="BU195" s="46">
        <f t="shared" si="207"/>
        <v>152198</v>
      </c>
      <c r="BV195" s="46">
        <f t="shared" si="208"/>
        <v>20282</v>
      </c>
      <c r="BW195" s="46">
        <f t="shared" si="209"/>
        <v>252787</v>
      </c>
      <c r="BX195" s="46">
        <f t="shared" si="210"/>
        <v>41207</v>
      </c>
      <c r="BY195" s="46">
        <f t="shared" si="211"/>
        <v>-20282</v>
      </c>
      <c r="BZ195" s="46">
        <v>0</v>
      </c>
      <c r="CA195" s="46">
        <f t="shared" si="212"/>
        <v>273712</v>
      </c>
      <c r="CB195" s="46">
        <f t="shared" si="213"/>
        <v>0</v>
      </c>
      <c r="CC195" s="155">
        <f t="shared" si="216"/>
        <v>0</v>
      </c>
      <c r="CD195" s="79" t="s">
        <v>538</v>
      </c>
      <c r="CE195" s="65">
        <f t="shared" si="217"/>
        <v>152198</v>
      </c>
      <c r="CF195" s="65">
        <f t="shared" si="218"/>
        <v>152198</v>
      </c>
      <c r="CG195" s="65">
        <f t="shared" si="219"/>
        <v>144803</v>
      </c>
      <c r="CH195" s="65">
        <f t="shared" si="220"/>
        <v>152198</v>
      </c>
      <c r="CI195" s="65">
        <f t="shared" si="221"/>
        <v>441752</v>
      </c>
      <c r="CJ195" s="65">
        <f t="shared" si="222"/>
        <v>156575</v>
      </c>
      <c r="CK195" s="65">
        <f t="shared" si="223"/>
        <v>269341</v>
      </c>
      <c r="CL195" s="65">
        <f t="shared" si="224"/>
        <v>152198</v>
      </c>
      <c r="CM195" s="65">
        <f t="shared" si="225"/>
        <v>174724</v>
      </c>
      <c r="CN195" s="65">
        <f t="shared" si="226"/>
        <v>290251</v>
      </c>
      <c r="CO195" s="65">
        <f t="shared" si="227"/>
        <v>152198</v>
      </c>
      <c r="CP195" s="65">
        <f t="shared" si="228"/>
        <v>273712</v>
      </c>
      <c r="CQ195" s="40" t="s">
        <v>538</v>
      </c>
    </row>
    <row r="196" spans="1:95" ht="3" customHeight="1" x14ac:dyDescent="0.25">
      <c r="A196" s="39">
        <v>1</v>
      </c>
      <c r="B196" s="28">
        <v>9116</v>
      </c>
      <c r="C196" s="28" t="s">
        <v>223</v>
      </c>
      <c r="D196" s="48">
        <f>+DATA!Q194</f>
        <v>4542957.1239999998</v>
      </c>
      <c r="E196" s="48">
        <f t="shared" si="214"/>
        <v>299078</v>
      </c>
      <c r="F196" s="48">
        <f t="shared" si="215"/>
        <v>454296</v>
      </c>
      <c r="G196" s="49">
        <f>VLOOKUP(B196,'CALC MEC ESTAB Y ESTIM M FINAL'!$B$7:$F$352,5,0)</f>
        <v>2.7115601981999998E-3</v>
      </c>
      <c r="H196" s="49">
        <f>VLOOKUP(B196,'CALC MEC ESTAB Y ESTIM M FINAL'!$B$7:$R$352,17,0)</f>
        <v>-2.9311984310000002E-4</v>
      </c>
      <c r="I196" s="46">
        <f t="shared" si="154"/>
        <v>199406</v>
      </c>
      <c r="J196" s="46">
        <f t="shared" si="155"/>
        <v>0</v>
      </c>
      <c r="K196" s="46">
        <f t="shared" si="156"/>
        <v>99672</v>
      </c>
      <c r="L196" s="46">
        <v>0</v>
      </c>
      <c r="M196" s="46">
        <f t="shared" si="157"/>
        <v>299078</v>
      </c>
      <c r="N196" s="46">
        <f t="shared" si="158"/>
        <v>99672</v>
      </c>
      <c r="O196" s="46">
        <f t="shared" si="159"/>
        <v>106037</v>
      </c>
      <c r="P196" s="46">
        <f t="shared" si="160"/>
        <v>0</v>
      </c>
      <c r="Q196" s="46">
        <f t="shared" si="161"/>
        <v>193041</v>
      </c>
      <c r="R196" s="46">
        <v>0</v>
      </c>
      <c r="S196" s="46">
        <f t="shared" si="162"/>
        <v>299078</v>
      </c>
      <c r="T196" s="46">
        <f t="shared" si="163"/>
        <v>292713</v>
      </c>
      <c r="U196" s="46">
        <f t="shared" si="164"/>
        <v>302500</v>
      </c>
      <c r="V196" s="46">
        <f t="shared" si="165"/>
        <v>0</v>
      </c>
      <c r="W196" s="46">
        <f t="shared" si="166"/>
        <v>0</v>
      </c>
      <c r="X196" s="46">
        <v>0</v>
      </c>
      <c r="Y196" s="46">
        <f t="shared" si="167"/>
        <v>302500</v>
      </c>
      <c r="Z196" s="46">
        <f t="shared" si="168"/>
        <v>292713</v>
      </c>
      <c r="AA196" s="46">
        <f t="shared" si="169"/>
        <v>160623</v>
      </c>
      <c r="AB196" s="46">
        <f t="shared" si="170"/>
        <v>0</v>
      </c>
      <c r="AC196" s="46">
        <f t="shared" si="171"/>
        <v>138455</v>
      </c>
      <c r="AD196" s="46">
        <v>0</v>
      </c>
      <c r="AE196" s="46">
        <f t="shared" si="172"/>
        <v>299078</v>
      </c>
      <c r="AF196" s="46">
        <f t="shared" si="173"/>
        <v>431168</v>
      </c>
      <c r="AG196" s="46">
        <f t="shared" si="174"/>
        <v>1397720</v>
      </c>
      <c r="AH196" s="46">
        <f t="shared" si="175"/>
        <v>12901</v>
      </c>
      <c r="AI196" s="46">
        <f t="shared" si="176"/>
        <v>-431168</v>
      </c>
      <c r="AJ196" s="46">
        <v>0</v>
      </c>
      <c r="AK196" s="46">
        <f t="shared" si="177"/>
        <v>979453</v>
      </c>
      <c r="AL196" s="46">
        <f t="shared" si="178"/>
        <v>0</v>
      </c>
      <c r="AM196" s="46">
        <f t="shared" si="179"/>
        <v>276853</v>
      </c>
      <c r="AN196" s="46">
        <f t="shared" si="180"/>
        <v>9143</v>
      </c>
      <c r="AO196" s="46">
        <f t="shared" si="181"/>
        <v>22225</v>
      </c>
      <c r="AP196" s="46">
        <v>0</v>
      </c>
      <c r="AQ196" s="46">
        <f t="shared" si="182"/>
        <v>308221</v>
      </c>
      <c r="AR196" s="46">
        <f t="shared" si="183"/>
        <v>22225</v>
      </c>
      <c r="AS196" s="46">
        <f t="shared" si="184"/>
        <v>550334</v>
      </c>
      <c r="AT196" s="46">
        <f t="shared" si="185"/>
        <v>53427</v>
      </c>
      <c r="AU196" s="46">
        <f t="shared" si="186"/>
        <v>-22225</v>
      </c>
      <c r="AV196" s="46">
        <v>0</v>
      </c>
      <c r="AW196" s="46">
        <f t="shared" si="187"/>
        <v>581536</v>
      </c>
      <c r="AX196" s="46">
        <f t="shared" si="188"/>
        <v>0</v>
      </c>
      <c r="AY196" s="46">
        <f t="shared" si="189"/>
        <v>181784</v>
      </c>
      <c r="AZ196" s="46">
        <f t="shared" si="190"/>
        <v>0</v>
      </c>
      <c r="BA196" s="46">
        <f t="shared" si="191"/>
        <v>117294</v>
      </c>
      <c r="BB196" s="46"/>
      <c r="BC196" s="46">
        <f t="shared" si="192"/>
        <v>299078</v>
      </c>
      <c r="BD196" s="46">
        <f t="shared" si="193"/>
        <v>117294</v>
      </c>
      <c r="BE196" s="46">
        <f t="shared" si="194"/>
        <v>351909</v>
      </c>
      <c r="BF196" s="46">
        <f t="shared" si="195"/>
        <v>13098</v>
      </c>
      <c r="BG196" s="46">
        <f t="shared" si="196"/>
        <v>0</v>
      </c>
      <c r="BH196" s="46">
        <v>0</v>
      </c>
      <c r="BI196" s="46">
        <f t="shared" si="197"/>
        <v>365007</v>
      </c>
      <c r="BJ196" s="46">
        <f t="shared" si="198"/>
        <v>117294</v>
      </c>
      <c r="BK196" s="46">
        <f t="shared" si="199"/>
        <v>742513</v>
      </c>
      <c r="BL196" s="46">
        <f t="shared" si="200"/>
        <v>0</v>
      </c>
      <c r="BM196" s="46">
        <f t="shared" si="201"/>
        <v>-117294</v>
      </c>
      <c r="BN196" s="46">
        <v>0</v>
      </c>
      <c r="BO196" s="46">
        <f t="shared" si="202"/>
        <v>625219</v>
      </c>
      <c r="BP196" s="46">
        <f t="shared" si="203"/>
        <v>0</v>
      </c>
      <c r="BQ196" s="46">
        <f t="shared" si="204"/>
        <v>275578</v>
      </c>
      <c r="BR196" s="46">
        <f t="shared" si="205"/>
        <v>0</v>
      </c>
      <c r="BS196" s="46">
        <f t="shared" si="206"/>
        <v>23500</v>
      </c>
      <c r="BT196" s="46">
        <v>0</v>
      </c>
      <c r="BU196" s="46">
        <f t="shared" si="207"/>
        <v>299078</v>
      </c>
      <c r="BV196" s="46">
        <f t="shared" si="208"/>
        <v>23500</v>
      </c>
      <c r="BW196" s="46">
        <f t="shared" si="209"/>
        <v>528084</v>
      </c>
      <c r="BX196" s="46">
        <f t="shared" si="210"/>
        <v>86083</v>
      </c>
      <c r="BY196" s="46">
        <f t="shared" si="211"/>
        <v>-23500</v>
      </c>
      <c r="BZ196" s="46">
        <v>0</v>
      </c>
      <c r="CA196" s="46">
        <f t="shared" si="212"/>
        <v>590667</v>
      </c>
      <c r="CB196" s="46">
        <f t="shared" si="213"/>
        <v>0</v>
      </c>
      <c r="CC196" s="155">
        <f t="shared" si="216"/>
        <v>0</v>
      </c>
      <c r="CD196" s="79" t="s">
        <v>538</v>
      </c>
      <c r="CE196" s="65">
        <f t="shared" si="217"/>
        <v>299078</v>
      </c>
      <c r="CF196" s="65">
        <f t="shared" si="218"/>
        <v>299078</v>
      </c>
      <c r="CG196" s="65">
        <f t="shared" si="219"/>
        <v>302500</v>
      </c>
      <c r="CH196" s="65">
        <f t="shared" si="220"/>
        <v>299078</v>
      </c>
      <c r="CI196" s="65">
        <f t="shared" si="221"/>
        <v>979453</v>
      </c>
      <c r="CJ196" s="65">
        <f t="shared" si="222"/>
        <v>308221</v>
      </c>
      <c r="CK196" s="65">
        <f t="shared" si="223"/>
        <v>581536</v>
      </c>
      <c r="CL196" s="65">
        <f t="shared" si="224"/>
        <v>299078</v>
      </c>
      <c r="CM196" s="65">
        <f t="shared" si="225"/>
        <v>365007</v>
      </c>
      <c r="CN196" s="65">
        <f t="shared" si="226"/>
        <v>625219</v>
      </c>
      <c r="CO196" s="65">
        <f t="shared" si="227"/>
        <v>299078</v>
      </c>
      <c r="CP196" s="65">
        <f t="shared" si="228"/>
        <v>590667</v>
      </c>
      <c r="CQ196" s="40" t="s">
        <v>538</v>
      </c>
    </row>
    <row r="197" spans="1:95" ht="3" customHeight="1" x14ac:dyDescent="0.25">
      <c r="A197" s="39">
        <v>1</v>
      </c>
      <c r="B197" s="28">
        <v>9117</v>
      </c>
      <c r="C197" s="28" t="s">
        <v>229</v>
      </c>
      <c r="D197" s="48">
        <f>+DATA!Q195</f>
        <v>4465999.665</v>
      </c>
      <c r="E197" s="48">
        <f t="shared" si="214"/>
        <v>294012</v>
      </c>
      <c r="F197" s="48">
        <f t="shared" si="215"/>
        <v>446600</v>
      </c>
      <c r="G197" s="49">
        <f>VLOOKUP(B197,'CALC MEC ESTAB Y ESTIM M FINAL'!$B$7:$F$352,5,0)</f>
        <v>2.6638900212E-3</v>
      </c>
      <c r="H197" s="49">
        <f>VLOOKUP(B197,'CALC MEC ESTAB Y ESTIM M FINAL'!$B$7:$R$352,17,0)</f>
        <v>-2.8757967450000001E-4</v>
      </c>
      <c r="I197" s="46">
        <f t="shared" si="154"/>
        <v>195932</v>
      </c>
      <c r="J197" s="46">
        <f t="shared" si="155"/>
        <v>0</v>
      </c>
      <c r="K197" s="46">
        <f t="shared" si="156"/>
        <v>98080</v>
      </c>
      <c r="L197" s="46">
        <v>0</v>
      </c>
      <c r="M197" s="46">
        <f t="shared" si="157"/>
        <v>294012</v>
      </c>
      <c r="N197" s="46">
        <f t="shared" si="158"/>
        <v>98080</v>
      </c>
      <c r="O197" s="46">
        <f t="shared" si="159"/>
        <v>104190</v>
      </c>
      <c r="P197" s="46">
        <f t="shared" si="160"/>
        <v>0</v>
      </c>
      <c r="Q197" s="46">
        <f t="shared" si="161"/>
        <v>189822</v>
      </c>
      <c r="R197" s="46">
        <v>0</v>
      </c>
      <c r="S197" s="46">
        <f t="shared" si="162"/>
        <v>294012</v>
      </c>
      <c r="T197" s="46">
        <f t="shared" si="163"/>
        <v>287902</v>
      </c>
      <c r="U197" s="46">
        <f t="shared" si="164"/>
        <v>297231</v>
      </c>
      <c r="V197" s="46">
        <f t="shared" si="165"/>
        <v>0</v>
      </c>
      <c r="W197" s="46">
        <f t="shared" si="166"/>
        <v>0</v>
      </c>
      <c r="X197" s="46">
        <v>0</v>
      </c>
      <c r="Y197" s="46">
        <f t="shared" si="167"/>
        <v>297231</v>
      </c>
      <c r="Z197" s="46">
        <f t="shared" si="168"/>
        <v>287902</v>
      </c>
      <c r="AA197" s="46">
        <f t="shared" si="169"/>
        <v>157825</v>
      </c>
      <c r="AB197" s="46">
        <f t="shared" si="170"/>
        <v>0</v>
      </c>
      <c r="AC197" s="46">
        <f t="shared" si="171"/>
        <v>136187</v>
      </c>
      <c r="AD197" s="46">
        <v>0</v>
      </c>
      <c r="AE197" s="46">
        <f t="shared" si="172"/>
        <v>294012</v>
      </c>
      <c r="AF197" s="46">
        <f t="shared" si="173"/>
        <v>424089</v>
      </c>
      <c r="AG197" s="46">
        <f t="shared" si="174"/>
        <v>1373371</v>
      </c>
      <c r="AH197" s="46">
        <f t="shared" si="175"/>
        <v>12676</v>
      </c>
      <c r="AI197" s="46">
        <f t="shared" si="176"/>
        <v>-424089</v>
      </c>
      <c r="AJ197" s="46">
        <v>0</v>
      </c>
      <c r="AK197" s="46">
        <f t="shared" si="177"/>
        <v>961958</v>
      </c>
      <c r="AL197" s="46">
        <f t="shared" si="178"/>
        <v>0</v>
      </c>
      <c r="AM197" s="46">
        <f t="shared" si="179"/>
        <v>272030</v>
      </c>
      <c r="AN197" s="46">
        <f t="shared" si="180"/>
        <v>8983</v>
      </c>
      <c r="AO197" s="46">
        <f t="shared" si="181"/>
        <v>21982</v>
      </c>
      <c r="AP197" s="46">
        <v>0</v>
      </c>
      <c r="AQ197" s="46">
        <f t="shared" si="182"/>
        <v>302995</v>
      </c>
      <c r="AR197" s="46">
        <f t="shared" si="183"/>
        <v>21982</v>
      </c>
      <c r="AS197" s="46">
        <f t="shared" si="184"/>
        <v>540747</v>
      </c>
      <c r="AT197" s="46">
        <f t="shared" si="185"/>
        <v>52497</v>
      </c>
      <c r="AU197" s="46">
        <f t="shared" si="186"/>
        <v>-21982</v>
      </c>
      <c r="AV197" s="46">
        <v>0</v>
      </c>
      <c r="AW197" s="46">
        <f t="shared" si="187"/>
        <v>571262</v>
      </c>
      <c r="AX197" s="46">
        <f t="shared" si="188"/>
        <v>0</v>
      </c>
      <c r="AY197" s="46">
        <f t="shared" si="189"/>
        <v>178617</v>
      </c>
      <c r="AZ197" s="46">
        <f t="shared" si="190"/>
        <v>0</v>
      </c>
      <c r="BA197" s="46">
        <f t="shared" si="191"/>
        <v>115395</v>
      </c>
      <c r="BB197" s="46"/>
      <c r="BC197" s="46">
        <f t="shared" si="192"/>
        <v>294012</v>
      </c>
      <c r="BD197" s="46">
        <f t="shared" si="193"/>
        <v>115395</v>
      </c>
      <c r="BE197" s="46">
        <f t="shared" si="194"/>
        <v>345779</v>
      </c>
      <c r="BF197" s="46">
        <f t="shared" si="195"/>
        <v>12870</v>
      </c>
      <c r="BG197" s="46">
        <f t="shared" si="196"/>
        <v>0</v>
      </c>
      <c r="BH197" s="46">
        <v>0</v>
      </c>
      <c r="BI197" s="46">
        <f t="shared" si="197"/>
        <v>358649</v>
      </c>
      <c r="BJ197" s="46">
        <f t="shared" si="198"/>
        <v>115395</v>
      </c>
      <c r="BK197" s="46">
        <f t="shared" si="199"/>
        <v>729578</v>
      </c>
      <c r="BL197" s="46">
        <f t="shared" si="200"/>
        <v>0</v>
      </c>
      <c r="BM197" s="46">
        <f t="shared" si="201"/>
        <v>-115395</v>
      </c>
      <c r="BN197" s="46">
        <v>0</v>
      </c>
      <c r="BO197" s="46">
        <f t="shared" si="202"/>
        <v>614183</v>
      </c>
      <c r="BP197" s="46">
        <f t="shared" si="203"/>
        <v>0</v>
      </c>
      <c r="BQ197" s="46">
        <f t="shared" si="204"/>
        <v>270778</v>
      </c>
      <c r="BR197" s="46">
        <f t="shared" si="205"/>
        <v>0</v>
      </c>
      <c r="BS197" s="46">
        <f t="shared" si="206"/>
        <v>23234</v>
      </c>
      <c r="BT197" s="46">
        <v>0</v>
      </c>
      <c r="BU197" s="46">
        <f t="shared" si="207"/>
        <v>294012</v>
      </c>
      <c r="BV197" s="46">
        <f t="shared" si="208"/>
        <v>23234</v>
      </c>
      <c r="BW197" s="46">
        <f t="shared" si="209"/>
        <v>518885</v>
      </c>
      <c r="BX197" s="46">
        <f t="shared" si="210"/>
        <v>84584</v>
      </c>
      <c r="BY197" s="46">
        <f t="shared" si="211"/>
        <v>-23234</v>
      </c>
      <c r="BZ197" s="46">
        <v>0</v>
      </c>
      <c r="CA197" s="46">
        <f t="shared" si="212"/>
        <v>580235</v>
      </c>
      <c r="CB197" s="46">
        <f t="shared" si="213"/>
        <v>0</v>
      </c>
      <c r="CC197" s="155">
        <f t="shared" si="216"/>
        <v>0</v>
      </c>
      <c r="CD197" s="79" t="s">
        <v>538</v>
      </c>
      <c r="CE197" s="65">
        <f t="shared" si="217"/>
        <v>294012</v>
      </c>
      <c r="CF197" s="65">
        <f t="shared" si="218"/>
        <v>294012</v>
      </c>
      <c r="CG197" s="65">
        <f t="shared" si="219"/>
        <v>297231</v>
      </c>
      <c r="CH197" s="65">
        <f t="shared" si="220"/>
        <v>294012</v>
      </c>
      <c r="CI197" s="65">
        <f t="shared" si="221"/>
        <v>961958</v>
      </c>
      <c r="CJ197" s="65">
        <f t="shared" si="222"/>
        <v>302995</v>
      </c>
      <c r="CK197" s="65">
        <f t="shared" si="223"/>
        <v>571262</v>
      </c>
      <c r="CL197" s="65">
        <f t="shared" si="224"/>
        <v>294012</v>
      </c>
      <c r="CM197" s="65">
        <f t="shared" si="225"/>
        <v>358649</v>
      </c>
      <c r="CN197" s="65">
        <f t="shared" si="226"/>
        <v>614183</v>
      </c>
      <c r="CO197" s="65">
        <f t="shared" si="227"/>
        <v>294012</v>
      </c>
      <c r="CP197" s="65">
        <f t="shared" si="228"/>
        <v>580235</v>
      </c>
      <c r="CQ197" s="40" t="s">
        <v>538</v>
      </c>
    </row>
    <row r="198" spans="1:95" ht="3" customHeight="1" x14ac:dyDescent="0.25">
      <c r="A198" s="39">
        <v>1</v>
      </c>
      <c r="B198" s="28">
        <v>9118</v>
      </c>
      <c r="C198" s="28" t="s">
        <v>409</v>
      </c>
      <c r="D198" s="48">
        <f>+DATA!Q196</f>
        <v>3713001.0920000002</v>
      </c>
      <c r="E198" s="48">
        <f t="shared" si="214"/>
        <v>244439</v>
      </c>
      <c r="F198" s="48">
        <f t="shared" si="215"/>
        <v>371300</v>
      </c>
      <c r="G198" s="49">
        <f>VLOOKUP(B198,'CALC MEC ESTAB Y ESTIM M FINAL'!$B$7:$F$352,5,0)</f>
        <v>2.0478180833E-3</v>
      </c>
      <c r="H198" s="49">
        <f>VLOOKUP(B198,'CALC MEC ESTAB Y ESTIM M FINAL'!$B$7:$R$352,17,0)</f>
        <v>-1.4825667530000001E-4</v>
      </c>
      <c r="I198" s="46">
        <f t="shared" si="154"/>
        <v>156623</v>
      </c>
      <c r="J198" s="46">
        <f t="shared" si="155"/>
        <v>0</v>
      </c>
      <c r="K198" s="46">
        <f t="shared" si="156"/>
        <v>87816</v>
      </c>
      <c r="L198" s="46">
        <v>0</v>
      </c>
      <c r="M198" s="46">
        <f t="shared" si="157"/>
        <v>244439</v>
      </c>
      <c r="N198" s="46">
        <f t="shared" si="158"/>
        <v>87816</v>
      </c>
      <c r="O198" s="46">
        <f t="shared" si="159"/>
        <v>83287</v>
      </c>
      <c r="P198" s="46">
        <f t="shared" si="160"/>
        <v>0</v>
      </c>
      <c r="Q198" s="46">
        <f t="shared" si="161"/>
        <v>161152</v>
      </c>
      <c r="R198" s="46">
        <v>0</v>
      </c>
      <c r="S198" s="46">
        <f t="shared" si="162"/>
        <v>244439</v>
      </c>
      <c r="T198" s="46">
        <f t="shared" si="163"/>
        <v>248968</v>
      </c>
      <c r="U198" s="46">
        <f t="shared" si="164"/>
        <v>237598</v>
      </c>
      <c r="V198" s="46">
        <f t="shared" si="165"/>
        <v>0</v>
      </c>
      <c r="W198" s="46">
        <f t="shared" si="166"/>
        <v>0</v>
      </c>
      <c r="X198" s="46">
        <v>0</v>
      </c>
      <c r="Y198" s="46">
        <f t="shared" si="167"/>
        <v>237598</v>
      </c>
      <c r="Z198" s="46">
        <f t="shared" si="168"/>
        <v>248968</v>
      </c>
      <c r="AA198" s="46">
        <f t="shared" si="169"/>
        <v>126161</v>
      </c>
      <c r="AB198" s="46">
        <f t="shared" si="170"/>
        <v>0</v>
      </c>
      <c r="AC198" s="46">
        <f t="shared" si="171"/>
        <v>118278</v>
      </c>
      <c r="AD198" s="46">
        <v>0</v>
      </c>
      <c r="AE198" s="46">
        <f t="shared" si="172"/>
        <v>244439</v>
      </c>
      <c r="AF198" s="46">
        <f t="shared" si="173"/>
        <v>367246</v>
      </c>
      <c r="AG198" s="46">
        <f t="shared" si="174"/>
        <v>1097838</v>
      </c>
      <c r="AH198" s="46">
        <f t="shared" si="175"/>
        <v>10133</v>
      </c>
      <c r="AI198" s="46">
        <f t="shared" si="176"/>
        <v>-367246</v>
      </c>
      <c r="AJ198" s="46">
        <v>0</v>
      </c>
      <c r="AK198" s="46">
        <f t="shared" si="177"/>
        <v>740725</v>
      </c>
      <c r="AL198" s="46">
        <f t="shared" si="178"/>
        <v>0</v>
      </c>
      <c r="AM198" s="46">
        <f t="shared" si="179"/>
        <v>217454</v>
      </c>
      <c r="AN198" s="46">
        <f t="shared" si="180"/>
        <v>7181</v>
      </c>
      <c r="AO198" s="46">
        <f t="shared" si="181"/>
        <v>26985</v>
      </c>
      <c r="AP198" s="46">
        <v>0</v>
      </c>
      <c r="AQ198" s="46">
        <f t="shared" si="182"/>
        <v>251620</v>
      </c>
      <c r="AR198" s="46">
        <f t="shared" si="183"/>
        <v>26985</v>
      </c>
      <c r="AS198" s="46">
        <f t="shared" si="184"/>
        <v>432259</v>
      </c>
      <c r="AT198" s="46">
        <f t="shared" si="185"/>
        <v>41965</v>
      </c>
      <c r="AU198" s="46">
        <f t="shared" si="186"/>
        <v>-26985</v>
      </c>
      <c r="AV198" s="46">
        <v>0</v>
      </c>
      <c r="AW198" s="46">
        <f t="shared" si="187"/>
        <v>447239</v>
      </c>
      <c r="AX198" s="46">
        <f t="shared" si="188"/>
        <v>0</v>
      </c>
      <c r="AY198" s="46">
        <f t="shared" si="189"/>
        <v>142782</v>
      </c>
      <c r="AZ198" s="46">
        <f t="shared" si="190"/>
        <v>0</v>
      </c>
      <c r="BA198" s="46">
        <f t="shared" si="191"/>
        <v>101657</v>
      </c>
      <c r="BB198" s="46"/>
      <c r="BC198" s="46">
        <f t="shared" si="192"/>
        <v>244439</v>
      </c>
      <c r="BD198" s="46">
        <f t="shared" si="193"/>
        <v>101657</v>
      </c>
      <c r="BE198" s="46">
        <f t="shared" si="194"/>
        <v>276407</v>
      </c>
      <c r="BF198" s="46">
        <f t="shared" si="195"/>
        <v>10288</v>
      </c>
      <c r="BG198" s="46">
        <f t="shared" si="196"/>
        <v>0</v>
      </c>
      <c r="BH198" s="46">
        <v>0</v>
      </c>
      <c r="BI198" s="46">
        <f t="shared" si="197"/>
        <v>286695</v>
      </c>
      <c r="BJ198" s="46">
        <f t="shared" si="198"/>
        <v>101657</v>
      </c>
      <c r="BK198" s="46">
        <f t="shared" si="199"/>
        <v>583206</v>
      </c>
      <c r="BL198" s="46">
        <f t="shared" si="200"/>
        <v>0</v>
      </c>
      <c r="BM198" s="46">
        <f t="shared" si="201"/>
        <v>-101657</v>
      </c>
      <c r="BN198" s="46">
        <v>0</v>
      </c>
      <c r="BO198" s="46">
        <f t="shared" si="202"/>
        <v>481549</v>
      </c>
      <c r="BP198" s="46">
        <f t="shared" si="203"/>
        <v>0</v>
      </c>
      <c r="BQ198" s="46">
        <f t="shared" si="204"/>
        <v>216453</v>
      </c>
      <c r="BR198" s="46">
        <f t="shared" si="205"/>
        <v>0</v>
      </c>
      <c r="BS198" s="46">
        <f t="shared" si="206"/>
        <v>27986</v>
      </c>
      <c r="BT198" s="46">
        <v>0</v>
      </c>
      <c r="BU198" s="46">
        <f t="shared" si="207"/>
        <v>244439</v>
      </c>
      <c r="BV198" s="46">
        <f t="shared" si="208"/>
        <v>27986</v>
      </c>
      <c r="BW198" s="46">
        <f t="shared" si="209"/>
        <v>414783</v>
      </c>
      <c r="BX198" s="46">
        <f t="shared" si="210"/>
        <v>67614</v>
      </c>
      <c r="BY198" s="46">
        <f t="shared" si="211"/>
        <v>-27986</v>
      </c>
      <c r="BZ198" s="46">
        <v>0</v>
      </c>
      <c r="CA198" s="46">
        <f t="shared" si="212"/>
        <v>454411</v>
      </c>
      <c r="CB198" s="46">
        <f t="shared" si="213"/>
        <v>0</v>
      </c>
      <c r="CC198" s="155">
        <f t="shared" si="216"/>
        <v>0</v>
      </c>
      <c r="CD198" s="79" t="s">
        <v>538</v>
      </c>
      <c r="CE198" s="65">
        <f t="shared" si="217"/>
        <v>244439</v>
      </c>
      <c r="CF198" s="65">
        <f t="shared" si="218"/>
        <v>244439</v>
      </c>
      <c r="CG198" s="65">
        <f t="shared" si="219"/>
        <v>237598</v>
      </c>
      <c r="CH198" s="65">
        <f t="shared" si="220"/>
        <v>244439</v>
      </c>
      <c r="CI198" s="65">
        <f t="shared" si="221"/>
        <v>740725</v>
      </c>
      <c r="CJ198" s="65">
        <f t="shared" si="222"/>
        <v>251620</v>
      </c>
      <c r="CK198" s="65">
        <f t="shared" si="223"/>
        <v>447239</v>
      </c>
      <c r="CL198" s="65">
        <f t="shared" si="224"/>
        <v>244439</v>
      </c>
      <c r="CM198" s="65">
        <f t="shared" si="225"/>
        <v>286695</v>
      </c>
      <c r="CN198" s="65">
        <f t="shared" si="226"/>
        <v>481549</v>
      </c>
      <c r="CO198" s="65">
        <f t="shared" si="227"/>
        <v>244439</v>
      </c>
      <c r="CP198" s="65">
        <f t="shared" si="228"/>
        <v>454411</v>
      </c>
      <c r="CQ198" s="40" t="s">
        <v>538</v>
      </c>
    </row>
    <row r="199" spans="1:95" ht="3" customHeight="1" x14ac:dyDescent="0.25">
      <c r="A199" s="39">
        <v>1</v>
      </c>
      <c r="B199" s="28">
        <v>9119</v>
      </c>
      <c r="C199" s="28" t="s">
        <v>410</v>
      </c>
      <c r="D199" s="48">
        <f>+DATA!Q197</f>
        <v>5807373.3430000003</v>
      </c>
      <c r="E199" s="48">
        <f t="shared" si="214"/>
        <v>382319</v>
      </c>
      <c r="F199" s="48">
        <f t="shared" si="215"/>
        <v>580737</v>
      </c>
      <c r="G199" s="49">
        <f>VLOOKUP(B199,'CALC MEC ESTAB Y ESTIM M FINAL'!$B$7:$F$352,5,0)</f>
        <v>3.5019801381000002E-3</v>
      </c>
      <c r="H199" s="49">
        <f>VLOOKUP(B199,'CALC MEC ESTAB Y ESTIM M FINAL'!$B$7:$R$352,17,0)</f>
        <v>-3.9558002209999998E-4</v>
      </c>
      <c r="I199" s="46">
        <f t="shared" ref="I199:I262" si="229">ROUND(($G199+$H199)*$I$4,0)</f>
        <v>256129</v>
      </c>
      <c r="J199" s="46">
        <f t="shared" ref="J199:J262" si="230">ROUND($J$4*($G199+$H199),0)</f>
        <v>0</v>
      </c>
      <c r="K199" s="46">
        <f t="shared" ref="K199:K262" si="231">IF($E199&gt;I199,$E199-I199,0)</f>
        <v>126190</v>
      </c>
      <c r="L199" s="46">
        <v>0</v>
      </c>
      <c r="M199" s="46">
        <f t="shared" ref="M199:M262" si="232">I199+J199+K199+L199</f>
        <v>382319</v>
      </c>
      <c r="N199" s="46">
        <f t="shared" ref="N199:N263" si="233">K199</f>
        <v>126190</v>
      </c>
      <c r="O199" s="46">
        <f t="shared" ref="O199:O262" si="234">ROUND(($G199+$H199)*$O$4,0)</f>
        <v>136201</v>
      </c>
      <c r="P199" s="46">
        <f t="shared" ref="P199:P262" si="235">ROUND($P$4*($G199+$H199),0)</f>
        <v>0</v>
      </c>
      <c r="Q199" s="46">
        <f t="shared" ref="Q199:Q262" si="236">IF($E199&gt;O199,$E199-O199,0)</f>
        <v>246118</v>
      </c>
      <c r="R199" s="46">
        <v>0</v>
      </c>
      <c r="S199" s="46">
        <f t="shared" ref="S199:S262" si="237">O199+P199+Q199+R199</f>
        <v>382319</v>
      </c>
      <c r="T199" s="46">
        <f t="shared" ref="T199:T263" si="238">N199+Q199</f>
        <v>372308</v>
      </c>
      <c r="U199" s="46">
        <f t="shared" ref="U199:U262" si="239">ROUND(($G199+$H199)*$U$4,0)</f>
        <v>388551</v>
      </c>
      <c r="V199" s="46">
        <f t="shared" ref="V199:V262" si="240">+ROUND($V$4*($G199+$H199),0)</f>
        <v>0</v>
      </c>
      <c r="W199" s="46">
        <f t="shared" ref="W199:W263" si="241">IF(U199&lt;$F199,0,IF(U199-$F199&gt;T199,-T199,-(U199-$F199)))</f>
        <v>0</v>
      </c>
      <c r="X199" s="46">
        <v>0</v>
      </c>
      <c r="Y199" s="46">
        <f t="shared" ref="Y199:Y262" si="242">U199+V199+W199+X199</f>
        <v>388551</v>
      </c>
      <c r="Z199" s="46">
        <f t="shared" ref="Z199:Z263" si="243">T199+W199</f>
        <v>372308</v>
      </c>
      <c r="AA199" s="46">
        <f t="shared" ref="AA199:AA262" si="244">ROUND(($G199+$H199)*$AA$4,0)</f>
        <v>206314</v>
      </c>
      <c r="AB199" s="46">
        <f t="shared" ref="AB199:AB262" si="245">ROUND($AB$4*($G199*$H199),0)</f>
        <v>0</v>
      </c>
      <c r="AC199" s="46">
        <f t="shared" ref="AC199:AC262" si="246">IF($E199&gt;AA199,$E199-AA199,0)</f>
        <v>176005</v>
      </c>
      <c r="AD199" s="46">
        <v>0</v>
      </c>
      <c r="AE199" s="46">
        <f t="shared" ref="AE199:AE262" si="247">AA199+AB199+AC199+AD199</f>
        <v>382319</v>
      </c>
      <c r="AF199" s="46">
        <f t="shared" ref="AF199:AF263" si="248">Z199+AC199</f>
        <v>548313</v>
      </c>
      <c r="AG199" s="46">
        <f t="shared" ref="AG199:AG262" si="249">ROUND(($G199+$H199)*$AG$4,0)</f>
        <v>1795321</v>
      </c>
      <c r="AH199" s="46">
        <f t="shared" ref="AH199:AH262" si="250">+ROUND($AH$4*($G199+$H199),0)</f>
        <v>16570</v>
      </c>
      <c r="AI199" s="46">
        <f t="shared" ref="AI199:AI263" si="251">IF(AG199&lt;$F199,0,IF(AG199-$F199&gt;AF199,-AF199,-(AG199-$F199)))</f>
        <v>-548313</v>
      </c>
      <c r="AJ199" s="46">
        <v>0</v>
      </c>
      <c r="AK199" s="46">
        <f t="shared" ref="AK199:AK262" si="252">AG199+AH199+AI199+AJ199</f>
        <v>1263578</v>
      </c>
      <c r="AL199" s="46">
        <f t="shared" ref="AL199:AL263" si="253">AF199+AI199</f>
        <v>0</v>
      </c>
      <c r="AM199" s="46">
        <f t="shared" ref="AM199:AM262" si="254">ROUND(($G199+$H199)*$AM$4,0)</f>
        <v>355607</v>
      </c>
      <c r="AN199" s="46">
        <f t="shared" ref="AN199:AN262" si="255">ROUND($AN$4*($G199+$H199),0)</f>
        <v>11744</v>
      </c>
      <c r="AO199" s="46">
        <f t="shared" ref="AO199:AO262" si="256">IF($E199&gt;AM199,$E199-AM199,0)</f>
        <v>26712</v>
      </c>
      <c r="AP199" s="46">
        <v>0</v>
      </c>
      <c r="AQ199" s="46">
        <f t="shared" ref="AQ199:AQ262" si="257">AM199+AN199+AO199+AP199</f>
        <v>394063</v>
      </c>
      <c r="AR199" s="46">
        <f t="shared" ref="AR199:AR263" si="258">AL199+AO199</f>
        <v>26712</v>
      </c>
      <c r="AS199" s="46">
        <f t="shared" ref="AS199:AS262" si="259">ROUND(($G199+$H199)*$AS$4,0)</f>
        <v>706884</v>
      </c>
      <c r="AT199" s="46">
        <f t="shared" ref="AT199:AT262" si="260">+ROUND($AT$4*($G199+$H199),0)</f>
        <v>68626</v>
      </c>
      <c r="AU199" s="46">
        <f t="shared" ref="AU199:AU263" si="261">IF(AS199&lt;$F199,0,IF(AS199-$F199&gt;AR199,-AR199,-(AS199-$F199)))</f>
        <v>-26712</v>
      </c>
      <c r="AV199" s="46">
        <v>0</v>
      </c>
      <c r="AW199" s="46">
        <f t="shared" ref="AW199:AW262" si="262">AS199+AT199+AU199+AV199</f>
        <v>748798</v>
      </c>
      <c r="AX199" s="46">
        <f t="shared" ref="AX199:AX263" si="263">AR199+AU199</f>
        <v>0</v>
      </c>
      <c r="AY199" s="46">
        <f t="shared" ref="AY199:AY262" si="264">ROUND(($G199+$H199)*$AY$4,0)</f>
        <v>233495</v>
      </c>
      <c r="AZ199" s="46">
        <f t="shared" ref="AZ199:AZ262" si="265">ROUND($AZ$4*($G199+$H199),0)</f>
        <v>0</v>
      </c>
      <c r="BA199" s="46">
        <f t="shared" ref="BA199:BA262" si="266">IF($E199&gt;AY199,$E199-AY199,0)</f>
        <v>148824</v>
      </c>
      <c r="BB199" s="46"/>
      <c r="BC199" s="46">
        <f t="shared" ref="BC199:BC262" si="267">AY199+AZ199+BA199+BB199</f>
        <v>382319</v>
      </c>
      <c r="BD199" s="46">
        <f t="shared" ref="BD199:BD263" si="268">AX199+BA199</f>
        <v>148824</v>
      </c>
      <c r="BE199" s="46">
        <f t="shared" ref="BE199:BE262" si="269">ROUND(($G199+$H199)*$BE$4,0)</f>
        <v>452014</v>
      </c>
      <c r="BF199" s="46">
        <f t="shared" ref="BF199:BF262" si="270">ROUND($BF$4*($G199+$H199),0)</f>
        <v>16824</v>
      </c>
      <c r="BG199" s="46">
        <f t="shared" ref="BG199:BG263" si="271">IF(BE199&lt;$F199,0,IF(BE199-$F199&gt;BD199,-BD199,-(BE199-$F199)))</f>
        <v>0</v>
      </c>
      <c r="BH199" s="46">
        <v>0</v>
      </c>
      <c r="BI199" s="46">
        <f t="shared" ref="BI199:BI262" si="272">BE199+BF199+BG199+BH199</f>
        <v>468838</v>
      </c>
      <c r="BJ199" s="46">
        <f t="shared" ref="BJ199:BJ263" si="273">BD199+BG199</f>
        <v>148824</v>
      </c>
      <c r="BK199" s="46">
        <f t="shared" ref="BK199:BK262" si="274">ROUND(($G199+$H199)*$BK$4,0)</f>
        <v>953731</v>
      </c>
      <c r="BL199" s="46">
        <f t="shared" ref="BL199:BL262" si="275">+ROUND($BL$4*($G199+$H199),0)</f>
        <v>0</v>
      </c>
      <c r="BM199" s="46">
        <f t="shared" ref="BM199:BM263" si="276">IF(BK199&lt;$F199,0,IF(BK199-$F199&gt;BJ199,-BJ199,-(BK199-$F199)))</f>
        <v>-148824</v>
      </c>
      <c r="BN199" s="46">
        <v>0</v>
      </c>
      <c r="BO199" s="46">
        <f t="shared" ref="BO199:BO262" si="277">BK199+BL199+BM199+BN199</f>
        <v>804907</v>
      </c>
      <c r="BP199" s="46">
        <f t="shared" ref="BP199:BP263" si="278">BJ199+BM199</f>
        <v>0</v>
      </c>
      <c r="BQ199" s="46">
        <f t="shared" ref="BQ199:BQ262" si="279">ROUND(($G199+$H199)*$BQ$4,0)</f>
        <v>353970</v>
      </c>
      <c r="BR199" s="46">
        <f t="shared" ref="BR199:BR262" si="280">+ROUND($BR$4*($G199+$H199),0)</f>
        <v>0</v>
      </c>
      <c r="BS199" s="46">
        <f t="shared" ref="BS199:BS262" si="281">IF($E199&gt;BQ199,$E199-BQ199,0)</f>
        <v>28349</v>
      </c>
      <c r="BT199" s="46">
        <v>0</v>
      </c>
      <c r="BU199" s="46">
        <f t="shared" ref="BU199:BU262" si="282">BQ199+BR199+BS199+BT199</f>
        <v>382319</v>
      </c>
      <c r="BV199" s="46">
        <f t="shared" ref="BV199:BV263" si="283">BP199+BS199</f>
        <v>28349</v>
      </c>
      <c r="BW199" s="46">
        <f t="shared" ref="BW199:BW262" si="284">ROUND(($G199+$H199)*$BW$4,0)</f>
        <v>678305</v>
      </c>
      <c r="BX199" s="46">
        <f t="shared" ref="BX199:BX262" si="285">+ROUND($BX$4*($G199+$H199),0)</f>
        <v>110571</v>
      </c>
      <c r="BY199" s="46">
        <f t="shared" ref="BY199:BY262" si="286">-BV199</f>
        <v>-28349</v>
      </c>
      <c r="BZ199" s="46">
        <v>0</v>
      </c>
      <c r="CA199" s="46">
        <f t="shared" ref="CA199:CA262" si="287">BW199+BX199+BY199+BZ199</f>
        <v>760527</v>
      </c>
      <c r="CB199" s="46">
        <f t="shared" ref="CB199:CB263" si="288">BV199+BY199</f>
        <v>0</v>
      </c>
      <c r="CC199" s="155">
        <f t="shared" si="216"/>
        <v>0</v>
      </c>
      <c r="CD199" s="79" t="s">
        <v>538</v>
      </c>
      <c r="CE199" s="65">
        <f t="shared" si="217"/>
        <v>382319</v>
      </c>
      <c r="CF199" s="65">
        <f t="shared" si="218"/>
        <v>382319</v>
      </c>
      <c r="CG199" s="65">
        <f t="shared" si="219"/>
        <v>388551</v>
      </c>
      <c r="CH199" s="65">
        <f t="shared" si="220"/>
        <v>382319</v>
      </c>
      <c r="CI199" s="65">
        <f t="shared" si="221"/>
        <v>1263578</v>
      </c>
      <c r="CJ199" s="65">
        <f t="shared" si="222"/>
        <v>394063</v>
      </c>
      <c r="CK199" s="65">
        <f t="shared" si="223"/>
        <v>748798</v>
      </c>
      <c r="CL199" s="65">
        <f t="shared" si="224"/>
        <v>382319</v>
      </c>
      <c r="CM199" s="65">
        <f t="shared" si="225"/>
        <v>468838</v>
      </c>
      <c r="CN199" s="65">
        <f t="shared" si="226"/>
        <v>804907</v>
      </c>
      <c r="CO199" s="65">
        <f t="shared" si="227"/>
        <v>382319</v>
      </c>
      <c r="CP199" s="65">
        <f t="shared" si="228"/>
        <v>760527</v>
      </c>
      <c r="CQ199" s="40" t="s">
        <v>538</v>
      </c>
    </row>
    <row r="200" spans="1:95" ht="3" customHeight="1" x14ac:dyDescent="0.25">
      <c r="A200" s="39">
        <v>1</v>
      </c>
      <c r="B200" s="28">
        <v>9120</v>
      </c>
      <c r="C200" s="28" t="s">
        <v>226</v>
      </c>
      <c r="D200" s="48">
        <f>+DATA!Q198</f>
        <v>4610853.068</v>
      </c>
      <c r="E200" s="48">
        <f t="shared" ref="E200:E263" si="289">ROUND(D200/12*$E$4,0)*A200</f>
        <v>303548</v>
      </c>
      <c r="F200" s="48">
        <f t="shared" ref="F200:F263" si="290">ROUND(D200/12*$F$4,0)*A200</f>
        <v>461085</v>
      </c>
      <c r="G200" s="49">
        <f>VLOOKUP(B200,'CALC MEC ESTAB Y ESTIM M FINAL'!$B$7:$F$352,5,0)</f>
        <v>2.0876693739999997E-3</v>
      </c>
      <c r="H200" s="49">
        <f>VLOOKUP(B200,'CALC MEC ESTAB Y ESTIM M FINAL'!$B$7:$R$352,17,0)</f>
        <v>1.167832325E-4</v>
      </c>
      <c r="I200" s="46">
        <f t="shared" si="229"/>
        <v>181762</v>
      </c>
      <c r="J200" s="46">
        <f t="shared" si="230"/>
        <v>0</v>
      </c>
      <c r="K200" s="46">
        <f t="shared" si="231"/>
        <v>121786</v>
      </c>
      <c r="L200" s="46">
        <v>0</v>
      </c>
      <c r="M200" s="46">
        <f t="shared" si="232"/>
        <v>303548</v>
      </c>
      <c r="N200" s="46">
        <f t="shared" si="233"/>
        <v>121786</v>
      </c>
      <c r="O200" s="46">
        <f t="shared" si="234"/>
        <v>96655</v>
      </c>
      <c r="P200" s="46">
        <f t="shared" si="235"/>
        <v>0</v>
      </c>
      <c r="Q200" s="46">
        <f t="shared" si="236"/>
        <v>206893</v>
      </c>
      <c r="R200" s="46">
        <v>0</v>
      </c>
      <c r="S200" s="46">
        <f t="shared" si="237"/>
        <v>303548</v>
      </c>
      <c r="T200" s="46">
        <f t="shared" si="238"/>
        <v>328679</v>
      </c>
      <c r="U200" s="46">
        <f t="shared" si="239"/>
        <v>275734</v>
      </c>
      <c r="V200" s="46">
        <f t="shared" si="240"/>
        <v>0</v>
      </c>
      <c r="W200" s="46">
        <f t="shared" si="241"/>
        <v>0</v>
      </c>
      <c r="X200" s="46">
        <v>0</v>
      </c>
      <c r="Y200" s="46">
        <f t="shared" si="242"/>
        <v>275734</v>
      </c>
      <c r="Z200" s="46">
        <f t="shared" si="243"/>
        <v>328679</v>
      </c>
      <c r="AA200" s="46">
        <f t="shared" si="244"/>
        <v>146411</v>
      </c>
      <c r="AB200" s="46">
        <f t="shared" si="245"/>
        <v>0</v>
      </c>
      <c r="AC200" s="46">
        <f t="shared" si="246"/>
        <v>157137</v>
      </c>
      <c r="AD200" s="46">
        <v>0</v>
      </c>
      <c r="AE200" s="46">
        <f t="shared" si="247"/>
        <v>303548</v>
      </c>
      <c r="AF200" s="46">
        <f t="shared" si="248"/>
        <v>485816</v>
      </c>
      <c r="AG200" s="46">
        <f t="shared" si="249"/>
        <v>1274047</v>
      </c>
      <c r="AH200" s="46">
        <f t="shared" si="250"/>
        <v>11759</v>
      </c>
      <c r="AI200" s="46">
        <f t="shared" si="251"/>
        <v>-485816</v>
      </c>
      <c r="AJ200" s="46">
        <v>0</v>
      </c>
      <c r="AK200" s="46">
        <f t="shared" si="252"/>
        <v>799990</v>
      </c>
      <c r="AL200" s="46">
        <f t="shared" si="253"/>
        <v>0</v>
      </c>
      <c r="AM200" s="46">
        <f t="shared" si="254"/>
        <v>252356</v>
      </c>
      <c r="AN200" s="46">
        <f t="shared" si="255"/>
        <v>8334</v>
      </c>
      <c r="AO200" s="46">
        <f t="shared" si="256"/>
        <v>51192</v>
      </c>
      <c r="AP200" s="46">
        <v>0</v>
      </c>
      <c r="AQ200" s="46">
        <f t="shared" si="257"/>
        <v>311882</v>
      </c>
      <c r="AR200" s="46">
        <f t="shared" si="258"/>
        <v>51192</v>
      </c>
      <c r="AS200" s="46">
        <f t="shared" si="259"/>
        <v>501639</v>
      </c>
      <c r="AT200" s="46">
        <f t="shared" si="260"/>
        <v>48700</v>
      </c>
      <c r="AU200" s="46">
        <f t="shared" si="261"/>
        <v>-40554</v>
      </c>
      <c r="AV200" s="46">
        <v>0</v>
      </c>
      <c r="AW200" s="46">
        <f t="shared" si="262"/>
        <v>509785</v>
      </c>
      <c r="AX200" s="46">
        <f t="shared" si="263"/>
        <v>10638</v>
      </c>
      <c r="AY200" s="46">
        <f t="shared" si="264"/>
        <v>165699</v>
      </c>
      <c r="AZ200" s="46">
        <f t="shared" si="265"/>
        <v>0</v>
      </c>
      <c r="BA200" s="46">
        <f t="shared" si="266"/>
        <v>137849</v>
      </c>
      <c r="BB200" s="46"/>
      <c r="BC200" s="46">
        <f t="shared" si="267"/>
        <v>303548</v>
      </c>
      <c r="BD200" s="46">
        <f t="shared" si="268"/>
        <v>148487</v>
      </c>
      <c r="BE200" s="46">
        <f t="shared" si="269"/>
        <v>320771</v>
      </c>
      <c r="BF200" s="46">
        <f t="shared" si="270"/>
        <v>11939</v>
      </c>
      <c r="BG200" s="46">
        <f t="shared" si="271"/>
        <v>0</v>
      </c>
      <c r="BH200" s="46">
        <v>0</v>
      </c>
      <c r="BI200" s="46">
        <f t="shared" si="272"/>
        <v>332710</v>
      </c>
      <c r="BJ200" s="46">
        <f t="shared" si="273"/>
        <v>148487</v>
      </c>
      <c r="BK200" s="46">
        <f t="shared" si="274"/>
        <v>676814</v>
      </c>
      <c r="BL200" s="46">
        <f t="shared" si="275"/>
        <v>0</v>
      </c>
      <c r="BM200" s="46">
        <f t="shared" si="276"/>
        <v>-148487</v>
      </c>
      <c r="BN200" s="46">
        <v>0</v>
      </c>
      <c r="BO200" s="46">
        <f t="shared" si="277"/>
        <v>528327</v>
      </c>
      <c r="BP200" s="46">
        <f t="shared" si="278"/>
        <v>0</v>
      </c>
      <c r="BQ200" s="46">
        <f t="shared" si="279"/>
        <v>251195</v>
      </c>
      <c r="BR200" s="46">
        <f t="shared" si="280"/>
        <v>0</v>
      </c>
      <c r="BS200" s="46">
        <f t="shared" si="281"/>
        <v>52353</v>
      </c>
      <c r="BT200" s="46">
        <v>0</v>
      </c>
      <c r="BU200" s="46">
        <f t="shared" si="282"/>
        <v>303548</v>
      </c>
      <c r="BV200" s="46">
        <f t="shared" si="283"/>
        <v>52353</v>
      </c>
      <c r="BW200" s="46">
        <f t="shared" si="284"/>
        <v>481358</v>
      </c>
      <c r="BX200" s="46">
        <f t="shared" si="285"/>
        <v>78466</v>
      </c>
      <c r="BY200" s="46">
        <f t="shared" si="286"/>
        <v>-52353</v>
      </c>
      <c r="BZ200" s="46">
        <v>0</v>
      </c>
      <c r="CA200" s="46">
        <f t="shared" si="287"/>
        <v>507471</v>
      </c>
      <c r="CB200" s="46">
        <f t="shared" si="288"/>
        <v>0</v>
      </c>
      <c r="CC200" s="155">
        <f t="shared" ref="CC200:CC263" si="291">+K200+Q200+W200+AC200+AI200+AO200+AU200+BA200+BG200+BM200+BS200+BY200</f>
        <v>0</v>
      </c>
      <c r="CD200" s="79" t="s">
        <v>538</v>
      </c>
      <c r="CE200" s="65">
        <f t="shared" ref="CE200:CE263" si="292">+M200-L200</f>
        <v>303548</v>
      </c>
      <c r="CF200" s="65">
        <f t="shared" ref="CF200:CF263" si="293">+S200-R200</f>
        <v>303548</v>
      </c>
      <c r="CG200" s="65">
        <f t="shared" ref="CG200:CG263" si="294">+Y200-X200</f>
        <v>275734</v>
      </c>
      <c r="CH200" s="65">
        <f t="shared" ref="CH200:CH263" si="295">+AE200-AD200</f>
        <v>303548</v>
      </c>
      <c r="CI200" s="65">
        <f t="shared" ref="CI200:CI263" si="296">+AK200-AJ200</f>
        <v>799990</v>
      </c>
      <c r="CJ200" s="65">
        <f t="shared" ref="CJ200:CJ263" si="297">+AQ200-AP200</f>
        <v>311882</v>
      </c>
      <c r="CK200" s="65">
        <f t="shared" ref="CK200:CK263" si="298">+AW200-AV200</f>
        <v>509785</v>
      </c>
      <c r="CL200" s="65">
        <f t="shared" ref="CL200:CL263" si="299">+BC200-BB200</f>
        <v>303548</v>
      </c>
      <c r="CM200" s="65">
        <f t="shared" ref="CM200:CM263" si="300">+BI200-BH200</f>
        <v>332710</v>
      </c>
      <c r="CN200" s="65">
        <f t="shared" ref="CN200:CN263" si="301">+BO200-BN200</f>
        <v>528327</v>
      </c>
      <c r="CO200" s="65">
        <f t="shared" ref="CO200:CO263" si="302">+BU200-BT200</f>
        <v>303548</v>
      </c>
      <c r="CP200" s="65">
        <f t="shared" ref="CP200:CP263" si="303">+CA200-BZ200</f>
        <v>507471</v>
      </c>
      <c r="CQ200" s="40" t="s">
        <v>538</v>
      </c>
    </row>
    <row r="201" spans="1:95" ht="3" customHeight="1" x14ac:dyDescent="0.25">
      <c r="A201" s="39">
        <v>1</v>
      </c>
      <c r="B201" s="28">
        <v>9121</v>
      </c>
      <c r="C201" s="28" t="s">
        <v>231</v>
      </c>
      <c r="D201" s="48">
        <f>+DATA!Q199</f>
        <v>3500647.3160000001</v>
      </c>
      <c r="E201" s="48">
        <f t="shared" si="289"/>
        <v>230459</v>
      </c>
      <c r="F201" s="48">
        <f t="shared" si="290"/>
        <v>350065</v>
      </c>
      <c r="G201" s="49">
        <f>VLOOKUP(B201,'CALC MEC ESTAB Y ESTIM M FINAL'!$B$7:$F$352,5,0)</f>
        <v>1.9580187297999997E-3</v>
      </c>
      <c r="H201" s="49">
        <f>VLOOKUP(B201,'CALC MEC ESTAB Y ESTIM M FINAL'!$B$7:$R$352,17,0)</f>
        <v>-1.5455150480000001E-4</v>
      </c>
      <c r="I201" s="46">
        <f t="shared" si="229"/>
        <v>148700</v>
      </c>
      <c r="J201" s="46">
        <f t="shared" si="230"/>
        <v>0</v>
      </c>
      <c r="K201" s="46">
        <f t="shared" si="231"/>
        <v>81759</v>
      </c>
      <c r="L201" s="46">
        <v>0</v>
      </c>
      <c r="M201" s="46">
        <f t="shared" si="232"/>
        <v>230459</v>
      </c>
      <c r="N201" s="46">
        <f t="shared" si="233"/>
        <v>81759</v>
      </c>
      <c r="O201" s="46">
        <f t="shared" si="234"/>
        <v>79074</v>
      </c>
      <c r="P201" s="46">
        <f t="shared" si="235"/>
        <v>0</v>
      </c>
      <c r="Q201" s="46">
        <f t="shared" si="236"/>
        <v>151385</v>
      </c>
      <c r="R201" s="46">
        <v>0</v>
      </c>
      <c r="S201" s="46">
        <f t="shared" si="237"/>
        <v>230459</v>
      </c>
      <c r="T201" s="46">
        <f t="shared" si="238"/>
        <v>233144</v>
      </c>
      <c r="U201" s="46">
        <f t="shared" si="239"/>
        <v>225579</v>
      </c>
      <c r="V201" s="46">
        <f t="shared" si="240"/>
        <v>0</v>
      </c>
      <c r="W201" s="46">
        <f t="shared" si="241"/>
        <v>0</v>
      </c>
      <c r="X201" s="46">
        <v>0</v>
      </c>
      <c r="Y201" s="46">
        <f t="shared" si="242"/>
        <v>225579</v>
      </c>
      <c r="Z201" s="46">
        <f t="shared" si="243"/>
        <v>233144</v>
      </c>
      <c r="AA201" s="46">
        <f t="shared" si="244"/>
        <v>119779</v>
      </c>
      <c r="AB201" s="46">
        <f t="shared" si="245"/>
        <v>0</v>
      </c>
      <c r="AC201" s="46">
        <f t="shared" si="246"/>
        <v>110680</v>
      </c>
      <c r="AD201" s="46">
        <v>0</v>
      </c>
      <c r="AE201" s="46">
        <f t="shared" si="247"/>
        <v>230459</v>
      </c>
      <c r="AF201" s="46">
        <f t="shared" si="248"/>
        <v>343824</v>
      </c>
      <c r="AG201" s="46">
        <f t="shared" si="249"/>
        <v>1042301</v>
      </c>
      <c r="AH201" s="46">
        <f t="shared" si="250"/>
        <v>9620</v>
      </c>
      <c r="AI201" s="46">
        <f t="shared" si="251"/>
        <v>-343824</v>
      </c>
      <c r="AJ201" s="46">
        <v>0</v>
      </c>
      <c r="AK201" s="46">
        <f t="shared" si="252"/>
        <v>708097</v>
      </c>
      <c r="AL201" s="46">
        <f t="shared" si="253"/>
        <v>0</v>
      </c>
      <c r="AM201" s="46">
        <f t="shared" si="254"/>
        <v>206453</v>
      </c>
      <c r="AN201" s="46">
        <f t="shared" si="255"/>
        <v>6818</v>
      </c>
      <c r="AO201" s="46">
        <f t="shared" si="256"/>
        <v>24006</v>
      </c>
      <c r="AP201" s="46">
        <v>0</v>
      </c>
      <c r="AQ201" s="46">
        <f t="shared" si="257"/>
        <v>237277</v>
      </c>
      <c r="AR201" s="46">
        <f t="shared" si="258"/>
        <v>24006</v>
      </c>
      <c r="AS201" s="46">
        <f t="shared" si="259"/>
        <v>410392</v>
      </c>
      <c r="AT201" s="46">
        <f t="shared" si="260"/>
        <v>39842</v>
      </c>
      <c r="AU201" s="46">
        <f t="shared" si="261"/>
        <v>-24006</v>
      </c>
      <c r="AV201" s="46">
        <v>0</v>
      </c>
      <c r="AW201" s="46">
        <f t="shared" si="262"/>
        <v>426228</v>
      </c>
      <c r="AX201" s="46">
        <f t="shared" si="263"/>
        <v>0</v>
      </c>
      <c r="AY201" s="46">
        <f t="shared" si="264"/>
        <v>135559</v>
      </c>
      <c r="AZ201" s="46">
        <f t="shared" si="265"/>
        <v>0</v>
      </c>
      <c r="BA201" s="46">
        <f t="shared" si="266"/>
        <v>94900</v>
      </c>
      <c r="BB201" s="46"/>
      <c r="BC201" s="46">
        <f t="shared" si="267"/>
        <v>230459</v>
      </c>
      <c r="BD201" s="46">
        <f t="shared" si="268"/>
        <v>94900</v>
      </c>
      <c r="BE201" s="46">
        <f t="shared" si="269"/>
        <v>262424</v>
      </c>
      <c r="BF201" s="46">
        <f t="shared" si="270"/>
        <v>9767</v>
      </c>
      <c r="BG201" s="46">
        <f t="shared" si="271"/>
        <v>0</v>
      </c>
      <c r="BH201" s="46">
        <v>0</v>
      </c>
      <c r="BI201" s="46">
        <f t="shared" si="272"/>
        <v>272191</v>
      </c>
      <c r="BJ201" s="46">
        <f t="shared" si="273"/>
        <v>94900</v>
      </c>
      <c r="BK201" s="46">
        <f t="shared" si="274"/>
        <v>553703</v>
      </c>
      <c r="BL201" s="46">
        <f t="shared" si="275"/>
        <v>0</v>
      </c>
      <c r="BM201" s="46">
        <f t="shared" si="276"/>
        <v>-94900</v>
      </c>
      <c r="BN201" s="46">
        <v>0</v>
      </c>
      <c r="BO201" s="46">
        <f t="shared" si="277"/>
        <v>458803</v>
      </c>
      <c r="BP201" s="46">
        <f t="shared" si="278"/>
        <v>0</v>
      </c>
      <c r="BQ201" s="46">
        <f t="shared" si="279"/>
        <v>205503</v>
      </c>
      <c r="BR201" s="46">
        <f t="shared" si="280"/>
        <v>0</v>
      </c>
      <c r="BS201" s="46">
        <f t="shared" si="281"/>
        <v>24956</v>
      </c>
      <c r="BT201" s="46">
        <v>0</v>
      </c>
      <c r="BU201" s="46">
        <f t="shared" si="282"/>
        <v>230459</v>
      </c>
      <c r="BV201" s="46">
        <f t="shared" si="283"/>
        <v>24956</v>
      </c>
      <c r="BW201" s="46">
        <f t="shared" si="284"/>
        <v>393800</v>
      </c>
      <c r="BX201" s="46">
        <f t="shared" si="285"/>
        <v>64194</v>
      </c>
      <c r="BY201" s="46">
        <f t="shared" si="286"/>
        <v>-24956</v>
      </c>
      <c r="BZ201" s="46">
        <v>0</v>
      </c>
      <c r="CA201" s="46">
        <f t="shared" si="287"/>
        <v>433038</v>
      </c>
      <c r="CB201" s="46">
        <f t="shared" si="288"/>
        <v>0</v>
      </c>
      <c r="CC201" s="155">
        <f t="shared" si="291"/>
        <v>0</v>
      </c>
      <c r="CD201" s="79" t="s">
        <v>538</v>
      </c>
      <c r="CE201" s="65">
        <f t="shared" si="292"/>
        <v>230459</v>
      </c>
      <c r="CF201" s="65">
        <f t="shared" si="293"/>
        <v>230459</v>
      </c>
      <c r="CG201" s="65">
        <f t="shared" si="294"/>
        <v>225579</v>
      </c>
      <c r="CH201" s="65">
        <f t="shared" si="295"/>
        <v>230459</v>
      </c>
      <c r="CI201" s="65">
        <f t="shared" si="296"/>
        <v>708097</v>
      </c>
      <c r="CJ201" s="65">
        <f t="shared" si="297"/>
        <v>237277</v>
      </c>
      <c r="CK201" s="65">
        <f t="shared" si="298"/>
        <v>426228</v>
      </c>
      <c r="CL201" s="65">
        <f t="shared" si="299"/>
        <v>230459</v>
      </c>
      <c r="CM201" s="65">
        <f t="shared" si="300"/>
        <v>272191</v>
      </c>
      <c r="CN201" s="65">
        <f t="shared" si="301"/>
        <v>458803</v>
      </c>
      <c r="CO201" s="65">
        <f t="shared" si="302"/>
        <v>230459</v>
      </c>
      <c r="CP201" s="65">
        <f t="shared" si="303"/>
        <v>433038</v>
      </c>
      <c r="CQ201" s="40" t="s">
        <v>538</v>
      </c>
    </row>
    <row r="202" spans="1:95" ht="3" customHeight="1" x14ac:dyDescent="0.25">
      <c r="A202" s="39">
        <v>1</v>
      </c>
      <c r="B202" s="28">
        <v>9201</v>
      </c>
      <c r="C202" s="28" t="s">
        <v>207</v>
      </c>
      <c r="D202" s="48">
        <f>+DATA!Q200</f>
        <v>9219539.4220000003</v>
      </c>
      <c r="E202" s="48">
        <f t="shared" si="289"/>
        <v>606953</v>
      </c>
      <c r="F202" s="48">
        <f t="shared" si="290"/>
        <v>921954</v>
      </c>
      <c r="G202" s="49">
        <f>VLOOKUP(B202,'CALC MEC ESTAB Y ESTIM M FINAL'!$B$7:$F$352,5,0)</f>
        <v>4.7473647202999998E-3</v>
      </c>
      <c r="H202" s="49">
        <f>VLOOKUP(B202,'CALC MEC ESTAB Y ESTIM M FINAL'!$B$7:$R$352,17,0)</f>
        <v>-1.8526605899999999E-4</v>
      </c>
      <c r="I202" s="46">
        <f t="shared" si="229"/>
        <v>376155</v>
      </c>
      <c r="J202" s="46">
        <f t="shared" si="230"/>
        <v>0</v>
      </c>
      <c r="K202" s="46">
        <f t="shared" si="231"/>
        <v>230798</v>
      </c>
      <c r="L202" s="46">
        <v>0</v>
      </c>
      <c r="M202" s="46">
        <f t="shared" si="232"/>
        <v>606953</v>
      </c>
      <c r="N202" s="46">
        <f t="shared" si="233"/>
        <v>230798</v>
      </c>
      <c r="O202" s="46">
        <f t="shared" si="234"/>
        <v>200026</v>
      </c>
      <c r="P202" s="46">
        <f t="shared" si="235"/>
        <v>0</v>
      </c>
      <c r="Q202" s="46">
        <f t="shared" si="236"/>
        <v>406927</v>
      </c>
      <c r="R202" s="46">
        <v>0</v>
      </c>
      <c r="S202" s="46">
        <f t="shared" si="237"/>
        <v>606953</v>
      </c>
      <c r="T202" s="46">
        <f t="shared" si="238"/>
        <v>637725</v>
      </c>
      <c r="U202" s="46">
        <f t="shared" si="239"/>
        <v>570631</v>
      </c>
      <c r="V202" s="46">
        <f t="shared" si="240"/>
        <v>0</v>
      </c>
      <c r="W202" s="46">
        <f t="shared" si="241"/>
        <v>0</v>
      </c>
      <c r="X202" s="46">
        <v>0</v>
      </c>
      <c r="Y202" s="46">
        <f t="shared" si="242"/>
        <v>570631</v>
      </c>
      <c r="Z202" s="46">
        <f t="shared" si="243"/>
        <v>637725</v>
      </c>
      <c r="AA202" s="46">
        <f t="shared" si="244"/>
        <v>302996</v>
      </c>
      <c r="AB202" s="46">
        <f t="shared" si="245"/>
        <v>0</v>
      </c>
      <c r="AC202" s="46">
        <f t="shared" si="246"/>
        <v>303957</v>
      </c>
      <c r="AD202" s="46">
        <v>0</v>
      </c>
      <c r="AE202" s="46">
        <f t="shared" si="247"/>
        <v>606953</v>
      </c>
      <c r="AF202" s="46">
        <f t="shared" si="248"/>
        <v>941682</v>
      </c>
      <c r="AG202" s="46">
        <f t="shared" si="249"/>
        <v>2636631</v>
      </c>
      <c r="AH202" s="46">
        <f t="shared" si="250"/>
        <v>24335</v>
      </c>
      <c r="AI202" s="46">
        <f t="shared" si="251"/>
        <v>-941682</v>
      </c>
      <c r="AJ202" s="46">
        <v>0</v>
      </c>
      <c r="AK202" s="46">
        <f t="shared" si="252"/>
        <v>1719284</v>
      </c>
      <c r="AL202" s="46">
        <f t="shared" si="253"/>
        <v>0</v>
      </c>
      <c r="AM202" s="46">
        <f t="shared" si="254"/>
        <v>522249</v>
      </c>
      <c r="AN202" s="46">
        <f t="shared" si="255"/>
        <v>17247</v>
      </c>
      <c r="AO202" s="46">
        <f t="shared" si="256"/>
        <v>84704</v>
      </c>
      <c r="AP202" s="46">
        <v>0</v>
      </c>
      <c r="AQ202" s="46">
        <f t="shared" si="257"/>
        <v>624200</v>
      </c>
      <c r="AR202" s="46">
        <f t="shared" si="258"/>
        <v>84704</v>
      </c>
      <c r="AS202" s="46">
        <f t="shared" si="259"/>
        <v>1038139</v>
      </c>
      <c r="AT202" s="46">
        <f t="shared" si="260"/>
        <v>100784</v>
      </c>
      <c r="AU202" s="46">
        <f t="shared" si="261"/>
        <v>-84704</v>
      </c>
      <c r="AV202" s="46">
        <v>0</v>
      </c>
      <c r="AW202" s="46">
        <f t="shared" si="262"/>
        <v>1054219</v>
      </c>
      <c r="AX202" s="46">
        <f t="shared" si="263"/>
        <v>0</v>
      </c>
      <c r="AY202" s="46">
        <f t="shared" si="264"/>
        <v>342913</v>
      </c>
      <c r="AZ202" s="46">
        <f t="shared" si="265"/>
        <v>0</v>
      </c>
      <c r="BA202" s="46">
        <f t="shared" si="266"/>
        <v>264040</v>
      </c>
      <c r="BB202" s="46"/>
      <c r="BC202" s="46">
        <f t="shared" si="267"/>
        <v>606953</v>
      </c>
      <c r="BD202" s="46">
        <f t="shared" si="268"/>
        <v>264040</v>
      </c>
      <c r="BE202" s="46">
        <f t="shared" si="269"/>
        <v>663834</v>
      </c>
      <c r="BF202" s="46">
        <f t="shared" si="270"/>
        <v>24707</v>
      </c>
      <c r="BG202" s="46">
        <f t="shared" si="271"/>
        <v>0</v>
      </c>
      <c r="BH202" s="46">
        <v>0</v>
      </c>
      <c r="BI202" s="46">
        <f t="shared" si="272"/>
        <v>688541</v>
      </c>
      <c r="BJ202" s="46">
        <f t="shared" si="273"/>
        <v>264040</v>
      </c>
      <c r="BK202" s="46">
        <f t="shared" si="274"/>
        <v>1400662</v>
      </c>
      <c r="BL202" s="46">
        <f t="shared" si="275"/>
        <v>0</v>
      </c>
      <c r="BM202" s="46">
        <f t="shared" si="276"/>
        <v>-264040</v>
      </c>
      <c r="BN202" s="46">
        <v>0</v>
      </c>
      <c r="BO202" s="46">
        <f t="shared" si="277"/>
        <v>1136622</v>
      </c>
      <c r="BP202" s="46">
        <f t="shared" si="278"/>
        <v>0</v>
      </c>
      <c r="BQ202" s="46">
        <f t="shared" si="279"/>
        <v>519845</v>
      </c>
      <c r="BR202" s="46">
        <f t="shared" si="280"/>
        <v>0</v>
      </c>
      <c r="BS202" s="46">
        <f t="shared" si="281"/>
        <v>87108</v>
      </c>
      <c r="BT202" s="46">
        <v>0</v>
      </c>
      <c r="BU202" s="46">
        <f t="shared" si="282"/>
        <v>606953</v>
      </c>
      <c r="BV202" s="46">
        <f t="shared" si="283"/>
        <v>87108</v>
      </c>
      <c r="BW202" s="46">
        <f t="shared" si="284"/>
        <v>996168</v>
      </c>
      <c r="BX202" s="46">
        <f t="shared" si="285"/>
        <v>162386</v>
      </c>
      <c r="BY202" s="46">
        <f t="shared" si="286"/>
        <v>-87108</v>
      </c>
      <c r="BZ202" s="46">
        <v>0</v>
      </c>
      <c r="CA202" s="46">
        <f t="shared" si="287"/>
        <v>1071446</v>
      </c>
      <c r="CB202" s="46">
        <f t="shared" si="288"/>
        <v>0</v>
      </c>
      <c r="CC202" s="155">
        <f t="shared" si="291"/>
        <v>0</v>
      </c>
      <c r="CD202" s="79" t="s">
        <v>538</v>
      </c>
      <c r="CE202" s="65">
        <f t="shared" si="292"/>
        <v>606953</v>
      </c>
      <c r="CF202" s="65">
        <f t="shared" si="293"/>
        <v>606953</v>
      </c>
      <c r="CG202" s="65">
        <f t="shared" si="294"/>
        <v>570631</v>
      </c>
      <c r="CH202" s="65">
        <f t="shared" si="295"/>
        <v>606953</v>
      </c>
      <c r="CI202" s="65">
        <f t="shared" si="296"/>
        <v>1719284</v>
      </c>
      <c r="CJ202" s="65">
        <f t="shared" si="297"/>
        <v>624200</v>
      </c>
      <c r="CK202" s="65">
        <f t="shared" si="298"/>
        <v>1054219</v>
      </c>
      <c r="CL202" s="65">
        <f t="shared" si="299"/>
        <v>606953</v>
      </c>
      <c r="CM202" s="65">
        <f t="shared" si="300"/>
        <v>688541</v>
      </c>
      <c r="CN202" s="65">
        <f t="shared" si="301"/>
        <v>1136622</v>
      </c>
      <c r="CO202" s="65">
        <f t="shared" si="302"/>
        <v>606953</v>
      </c>
      <c r="CP202" s="65">
        <f t="shared" si="303"/>
        <v>1071446</v>
      </c>
      <c r="CQ202" s="40" t="s">
        <v>538</v>
      </c>
    </row>
    <row r="203" spans="1:95" ht="3" customHeight="1" x14ac:dyDescent="0.25">
      <c r="A203" s="39">
        <v>1</v>
      </c>
      <c r="B203" s="28">
        <v>9202</v>
      </c>
      <c r="C203" s="28" t="s">
        <v>210</v>
      </c>
      <c r="D203" s="48">
        <f>+DATA!Q201</f>
        <v>4202428.1960000005</v>
      </c>
      <c r="E203" s="48">
        <f t="shared" si="289"/>
        <v>276660</v>
      </c>
      <c r="F203" s="48">
        <f t="shared" si="290"/>
        <v>420243</v>
      </c>
      <c r="G203" s="49">
        <f>VLOOKUP(B203,'CALC MEC ESTAB Y ESTIM M FINAL'!$B$7:$F$352,5,0)</f>
        <v>2.4549750041000002E-3</v>
      </c>
      <c r="H203" s="49">
        <f>VLOOKUP(B203,'CALC MEC ESTAB Y ESTIM M FINAL'!$B$7:$R$352,17,0)</f>
        <v>-2.4286760669999999E-4</v>
      </c>
      <c r="I203" s="46">
        <f t="shared" si="229"/>
        <v>182393</v>
      </c>
      <c r="J203" s="46">
        <f t="shared" si="230"/>
        <v>0</v>
      </c>
      <c r="K203" s="46">
        <f t="shared" si="231"/>
        <v>94267</v>
      </c>
      <c r="L203" s="46">
        <v>0</v>
      </c>
      <c r="M203" s="46">
        <f t="shared" si="232"/>
        <v>276660</v>
      </c>
      <c r="N203" s="46">
        <f t="shared" si="233"/>
        <v>94267</v>
      </c>
      <c r="O203" s="46">
        <f t="shared" si="234"/>
        <v>96990</v>
      </c>
      <c r="P203" s="46">
        <f t="shared" si="235"/>
        <v>0</v>
      </c>
      <c r="Q203" s="46">
        <f t="shared" si="236"/>
        <v>179670</v>
      </c>
      <c r="R203" s="46">
        <v>0</v>
      </c>
      <c r="S203" s="46">
        <f t="shared" si="237"/>
        <v>276660</v>
      </c>
      <c r="T203" s="46">
        <f t="shared" si="238"/>
        <v>273937</v>
      </c>
      <c r="U203" s="46">
        <f t="shared" si="239"/>
        <v>276692</v>
      </c>
      <c r="V203" s="46">
        <f t="shared" si="240"/>
        <v>0</v>
      </c>
      <c r="W203" s="46">
        <f t="shared" si="241"/>
        <v>0</v>
      </c>
      <c r="X203" s="46">
        <v>0</v>
      </c>
      <c r="Y203" s="46">
        <f t="shared" si="242"/>
        <v>276692</v>
      </c>
      <c r="Z203" s="46">
        <f t="shared" si="243"/>
        <v>273937</v>
      </c>
      <c r="AA203" s="46">
        <f t="shared" si="244"/>
        <v>146919</v>
      </c>
      <c r="AB203" s="46">
        <f t="shared" si="245"/>
        <v>0</v>
      </c>
      <c r="AC203" s="46">
        <f t="shared" si="246"/>
        <v>129741</v>
      </c>
      <c r="AD203" s="46">
        <v>0</v>
      </c>
      <c r="AE203" s="46">
        <f t="shared" si="247"/>
        <v>276660</v>
      </c>
      <c r="AF203" s="46">
        <f t="shared" si="248"/>
        <v>403678</v>
      </c>
      <c r="AG203" s="46">
        <f t="shared" si="249"/>
        <v>1278471</v>
      </c>
      <c r="AH203" s="46">
        <f t="shared" si="250"/>
        <v>11800</v>
      </c>
      <c r="AI203" s="46">
        <f t="shared" si="251"/>
        <v>-403678</v>
      </c>
      <c r="AJ203" s="46">
        <v>0</v>
      </c>
      <c r="AK203" s="46">
        <f t="shared" si="252"/>
        <v>886593</v>
      </c>
      <c r="AL203" s="46">
        <f t="shared" si="253"/>
        <v>0</v>
      </c>
      <c r="AM203" s="46">
        <f t="shared" si="254"/>
        <v>253232</v>
      </c>
      <c r="AN203" s="46">
        <f t="shared" si="255"/>
        <v>8363</v>
      </c>
      <c r="AO203" s="46">
        <f t="shared" si="256"/>
        <v>23428</v>
      </c>
      <c r="AP203" s="46">
        <v>0</v>
      </c>
      <c r="AQ203" s="46">
        <f t="shared" si="257"/>
        <v>285023</v>
      </c>
      <c r="AR203" s="46">
        <f t="shared" si="258"/>
        <v>23428</v>
      </c>
      <c r="AS203" s="46">
        <f t="shared" si="259"/>
        <v>503381</v>
      </c>
      <c r="AT203" s="46">
        <f t="shared" si="260"/>
        <v>48869</v>
      </c>
      <c r="AU203" s="46">
        <f t="shared" si="261"/>
        <v>-23428</v>
      </c>
      <c r="AV203" s="46">
        <v>0</v>
      </c>
      <c r="AW203" s="46">
        <f t="shared" si="262"/>
        <v>528822</v>
      </c>
      <c r="AX203" s="46">
        <f t="shared" si="263"/>
        <v>0</v>
      </c>
      <c r="AY203" s="46">
        <f t="shared" si="264"/>
        <v>166274</v>
      </c>
      <c r="AZ203" s="46">
        <f t="shared" si="265"/>
        <v>0</v>
      </c>
      <c r="BA203" s="46">
        <f t="shared" si="266"/>
        <v>110386</v>
      </c>
      <c r="BB203" s="46"/>
      <c r="BC203" s="46">
        <f t="shared" si="267"/>
        <v>276660</v>
      </c>
      <c r="BD203" s="46">
        <f t="shared" si="268"/>
        <v>110386</v>
      </c>
      <c r="BE203" s="46">
        <f t="shared" si="269"/>
        <v>321885</v>
      </c>
      <c r="BF203" s="46">
        <f t="shared" si="270"/>
        <v>11980</v>
      </c>
      <c r="BG203" s="46">
        <f t="shared" si="271"/>
        <v>0</v>
      </c>
      <c r="BH203" s="46">
        <v>0</v>
      </c>
      <c r="BI203" s="46">
        <f t="shared" si="272"/>
        <v>333865</v>
      </c>
      <c r="BJ203" s="46">
        <f t="shared" si="273"/>
        <v>110386</v>
      </c>
      <c r="BK203" s="46">
        <f t="shared" si="274"/>
        <v>679164</v>
      </c>
      <c r="BL203" s="46">
        <f t="shared" si="275"/>
        <v>0</v>
      </c>
      <c r="BM203" s="46">
        <f t="shared" si="276"/>
        <v>-110386</v>
      </c>
      <c r="BN203" s="46">
        <v>0</v>
      </c>
      <c r="BO203" s="46">
        <f t="shared" si="277"/>
        <v>568778</v>
      </c>
      <c r="BP203" s="46">
        <f t="shared" si="278"/>
        <v>0</v>
      </c>
      <c r="BQ203" s="46">
        <f t="shared" si="279"/>
        <v>252067</v>
      </c>
      <c r="BR203" s="46">
        <f t="shared" si="280"/>
        <v>0</v>
      </c>
      <c r="BS203" s="46">
        <f t="shared" si="281"/>
        <v>24593</v>
      </c>
      <c r="BT203" s="46">
        <v>0</v>
      </c>
      <c r="BU203" s="46">
        <f t="shared" si="282"/>
        <v>276660</v>
      </c>
      <c r="BV203" s="46">
        <f t="shared" si="283"/>
        <v>24593</v>
      </c>
      <c r="BW203" s="46">
        <f t="shared" si="284"/>
        <v>483030</v>
      </c>
      <c r="BX203" s="46">
        <f t="shared" si="285"/>
        <v>78739</v>
      </c>
      <c r="BY203" s="46">
        <f t="shared" si="286"/>
        <v>-24593</v>
      </c>
      <c r="BZ203" s="46">
        <v>0</v>
      </c>
      <c r="CA203" s="46">
        <f t="shared" si="287"/>
        <v>537176</v>
      </c>
      <c r="CB203" s="46">
        <f t="shared" si="288"/>
        <v>0</v>
      </c>
      <c r="CC203" s="155">
        <f t="shared" si="291"/>
        <v>0</v>
      </c>
      <c r="CD203" s="79" t="s">
        <v>538</v>
      </c>
      <c r="CE203" s="65">
        <f t="shared" si="292"/>
        <v>276660</v>
      </c>
      <c r="CF203" s="65">
        <f t="shared" si="293"/>
        <v>276660</v>
      </c>
      <c r="CG203" s="65">
        <f t="shared" si="294"/>
        <v>276692</v>
      </c>
      <c r="CH203" s="65">
        <f t="shared" si="295"/>
        <v>276660</v>
      </c>
      <c r="CI203" s="65">
        <f t="shared" si="296"/>
        <v>886593</v>
      </c>
      <c r="CJ203" s="65">
        <f t="shared" si="297"/>
        <v>285023</v>
      </c>
      <c r="CK203" s="65">
        <f t="shared" si="298"/>
        <v>528822</v>
      </c>
      <c r="CL203" s="65">
        <f t="shared" si="299"/>
        <v>276660</v>
      </c>
      <c r="CM203" s="65">
        <f t="shared" si="300"/>
        <v>333865</v>
      </c>
      <c r="CN203" s="65">
        <f t="shared" si="301"/>
        <v>568778</v>
      </c>
      <c r="CO203" s="65">
        <f t="shared" si="302"/>
        <v>276660</v>
      </c>
      <c r="CP203" s="65">
        <f t="shared" si="303"/>
        <v>537176</v>
      </c>
      <c r="CQ203" s="40" t="s">
        <v>538</v>
      </c>
    </row>
    <row r="204" spans="1:95" ht="3" customHeight="1" x14ac:dyDescent="0.25">
      <c r="A204" s="39">
        <v>1</v>
      </c>
      <c r="B204" s="28">
        <v>9203</v>
      </c>
      <c r="C204" s="28" t="s">
        <v>411</v>
      </c>
      <c r="D204" s="48">
        <f>+DATA!Q202</f>
        <v>5690552.1500000004</v>
      </c>
      <c r="E204" s="48">
        <f t="shared" si="289"/>
        <v>374628</v>
      </c>
      <c r="F204" s="48">
        <f t="shared" si="290"/>
        <v>569055</v>
      </c>
      <c r="G204" s="49">
        <f>VLOOKUP(B204,'CALC MEC ESTAB Y ESTIM M FINAL'!$B$7:$F$352,5,0)</f>
        <v>3.7299494420000002E-3</v>
      </c>
      <c r="H204" s="49">
        <f>VLOOKUP(B204,'CALC MEC ESTAB Y ESTIM M FINAL'!$B$7:$R$352,17,0)</f>
        <v>-5.5109546340000005E-4</v>
      </c>
      <c r="I204" s="46">
        <f t="shared" si="229"/>
        <v>262103</v>
      </c>
      <c r="J204" s="46">
        <f t="shared" si="230"/>
        <v>0</v>
      </c>
      <c r="K204" s="46">
        <f t="shared" si="231"/>
        <v>112525</v>
      </c>
      <c r="L204" s="46">
        <v>0</v>
      </c>
      <c r="M204" s="46">
        <f t="shared" si="232"/>
        <v>374628</v>
      </c>
      <c r="N204" s="46">
        <f t="shared" si="233"/>
        <v>112525</v>
      </c>
      <c r="O204" s="46">
        <f t="shared" si="234"/>
        <v>139378</v>
      </c>
      <c r="P204" s="46">
        <f t="shared" si="235"/>
        <v>0</v>
      </c>
      <c r="Q204" s="46">
        <f t="shared" si="236"/>
        <v>235250</v>
      </c>
      <c r="R204" s="46">
        <v>0</v>
      </c>
      <c r="S204" s="46">
        <f t="shared" si="237"/>
        <v>374628</v>
      </c>
      <c r="T204" s="46">
        <f t="shared" si="238"/>
        <v>347775</v>
      </c>
      <c r="U204" s="46">
        <f t="shared" si="239"/>
        <v>397613</v>
      </c>
      <c r="V204" s="46">
        <f t="shared" si="240"/>
        <v>0</v>
      </c>
      <c r="W204" s="46">
        <f t="shared" si="241"/>
        <v>0</v>
      </c>
      <c r="X204" s="46">
        <v>0</v>
      </c>
      <c r="Y204" s="46">
        <f t="shared" si="242"/>
        <v>397613</v>
      </c>
      <c r="Z204" s="46">
        <f t="shared" si="243"/>
        <v>347775</v>
      </c>
      <c r="AA204" s="46">
        <f t="shared" si="244"/>
        <v>211126</v>
      </c>
      <c r="AB204" s="46">
        <f t="shared" si="245"/>
        <v>0</v>
      </c>
      <c r="AC204" s="46">
        <f t="shared" si="246"/>
        <v>163502</v>
      </c>
      <c r="AD204" s="46">
        <v>0</v>
      </c>
      <c r="AE204" s="46">
        <f t="shared" si="247"/>
        <v>374628</v>
      </c>
      <c r="AF204" s="46">
        <f t="shared" si="248"/>
        <v>511277</v>
      </c>
      <c r="AG204" s="46">
        <f t="shared" si="249"/>
        <v>1837195</v>
      </c>
      <c r="AH204" s="46">
        <f t="shared" si="250"/>
        <v>16957</v>
      </c>
      <c r="AI204" s="46">
        <f t="shared" si="251"/>
        <v>-511277</v>
      </c>
      <c r="AJ204" s="46">
        <v>0</v>
      </c>
      <c r="AK204" s="46">
        <f t="shared" si="252"/>
        <v>1342875</v>
      </c>
      <c r="AL204" s="46">
        <f t="shared" si="253"/>
        <v>0</v>
      </c>
      <c r="AM204" s="46">
        <f t="shared" si="254"/>
        <v>363901</v>
      </c>
      <c r="AN204" s="46">
        <f t="shared" si="255"/>
        <v>12017</v>
      </c>
      <c r="AO204" s="46">
        <f t="shared" si="256"/>
        <v>10727</v>
      </c>
      <c r="AP204" s="46">
        <v>0</v>
      </c>
      <c r="AQ204" s="46">
        <f t="shared" si="257"/>
        <v>386645</v>
      </c>
      <c r="AR204" s="46">
        <f t="shared" si="258"/>
        <v>10727</v>
      </c>
      <c r="AS204" s="46">
        <f t="shared" si="259"/>
        <v>723371</v>
      </c>
      <c r="AT204" s="46">
        <f t="shared" si="260"/>
        <v>70226</v>
      </c>
      <c r="AU204" s="46">
        <f t="shared" si="261"/>
        <v>-10727</v>
      </c>
      <c r="AV204" s="46">
        <v>0</v>
      </c>
      <c r="AW204" s="46">
        <f t="shared" si="262"/>
        <v>782870</v>
      </c>
      <c r="AX204" s="46">
        <f t="shared" si="263"/>
        <v>0</v>
      </c>
      <c r="AY204" s="46">
        <f t="shared" si="264"/>
        <v>238941</v>
      </c>
      <c r="AZ204" s="46">
        <f t="shared" si="265"/>
        <v>0</v>
      </c>
      <c r="BA204" s="46">
        <f t="shared" si="266"/>
        <v>135687</v>
      </c>
      <c r="BB204" s="46"/>
      <c r="BC204" s="46">
        <f t="shared" si="267"/>
        <v>374628</v>
      </c>
      <c r="BD204" s="46">
        <f t="shared" si="268"/>
        <v>135687</v>
      </c>
      <c r="BE204" s="46">
        <f t="shared" si="269"/>
        <v>462557</v>
      </c>
      <c r="BF204" s="46">
        <f t="shared" si="270"/>
        <v>17216</v>
      </c>
      <c r="BG204" s="46">
        <f t="shared" si="271"/>
        <v>0</v>
      </c>
      <c r="BH204" s="46">
        <v>0</v>
      </c>
      <c r="BI204" s="46">
        <f t="shared" si="272"/>
        <v>479773</v>
      </c>
      <c r="BJ204" s="46">
        <f t="shared" si="273"/>
        <v>135687</v>
      </c>
      <c r="BK204" s="46">
        <f t="shared" si="274"/>
        <v>975976</v>
      </c>
      <c r="BL204" s="46">
        <f t="shared" si="275"/>
        <v>0</v>
      </c>
      <c r="BM204" s="46">
        <f t="shared" si="276"/>
        <v>-135687</v>
      </c>
      <c r="BN204" s="46">
        <v>0</v>
      </c>
      <c r="BO204" s="46">
        <f t="shared" si="277"/>
        <v>840289</v>
      </c>
      <c r="BP204" s="46">
        <f t="shared" si="278"/>
        <v>0</v>
      </c>
      <c r="BQ204" s="46">
        <f t="shared" si="279"/>
        <v>362226</v>
      </c>
      <c r="BR204" s="46">
        <f t="shared" si="280"/>
        <v>0</v>
      </c>
      <c r="BS204" s="46">
        <f t="shared" si="281"/>
        <v>12402</v>
      </c>
      <c r="BT204" s="46">
        <v>0</v>
      </c>
      <c r="BU204" s="46">
        <f t="shared" si="282"/>
        <v>374628</v>
      </c>
      <c r="BV204" s="46">
        <f t="shared" si="283"/>
        <v>12402</v>
      </c>
      <c r="BW204" s="46">
        <f t="shared" si="284"/>
        <v>694126</v>
      </c>
      <c r="BX204" s="46">
        <f t="shared" si="285"/>
        <v>113150</v>
      </c>
      <c r="BY204" s="46">
        <f t="shared" si="286"/>
        <v>-12402</v>
      </c>
      <c r="BZ204" s="46">
        <v>0</v>
      </c>
      <c r="CA204" s="46">
        <f t="shared" si="287"/>
        <v>794874</v>
      </c>
      <c r="CB204" s="46">
        <f t="shared" si="288"/>
        <v>0</v>
      </c>
      <c r="CC204" s="155">
        <f t="shared" si="291"/>
        <v>0</v>
      </c>
      <c r="CD204" s="79" t="s">
        <v>538</v>
      </c>
      <c r="CE204" s="65">
        <f t="shared" si="292"/>
        <v>374628</v>
      </c>
      <c r="CF204" s="65">
        <f t="shared" si="293"/>
        <v>374628</v>
      </c>
      <c r="CG204" s="65">
        <f t="shared" si="294"/>
        <v>397613</v>
      </c>
      <c r="CH204" s="65">
        <f t="shared" si="295"/>
        <v>374628</v>
      </c>
      <c r="CI204" s="65">
        <f t="shared" si="296"/>
        <v>1342875</v>
      </c>
      <c r="CJ204" s="65">
        <f t="shared" si="297"/>
        <v>386645</v>
      </c>
      <c r="CK204" s="65">
        <f t="shared" si="298"/>
        <v>782870</v>
      </c>
      <c r="CL204" s="65">
        <f t="shared" si="299"/>
        <v>374628</v>
      </c>
      <c r="CM204" s="65">
        <f t="shared" si="300"/>
        <v>479773</v>
      </c>
      <c r="CN204" s="65">
        <f t="shared" si="301"/>
        <v>840289</v>
      </c>
      <c r="CO204" s="65">
        <f t="shared" si="302"/>
        <v>374628</v>
      </c>
      <c r="CP204" s="65">
        <f t="shared" si="303"/>
        <v>794874</v>
      </c>
      <c r="CQ204" s="40" t="s">
        <v>538</v>
      </c>
    </row>
    <row r="205" spans="1:95" ht="3" customHeight="1" x14ac:dyDescent="0.25">
      <c r="A205" s="39">
        <v>1</v>
      </c>
      <c r="B205" s="28">
        <v>9204</v>
      </c>
      <c r="C205" s="28" t="s">
        <v>211</v>
      </c>
      <c r="D205" s="48">
        <f>+DATA!Q203</f>
        <v>2786213.892</v>
      </c>
      <c r="E205" s="48">
        <f t="shared" si="289"/>
        <v>183426</v>
      </c>
      <c r="F205" s="48">
        <f t="shared" si="290"/>
        <v>278621</v>
      </c>
      <c r="G205" s="49">
        <f>VLOOKUP(B205,'CALC MEC ESTAB Y ESTIM M FINAL'!$B$7:$F$352,5,0)</f>
        <v>1.6268306062E-3</v>
      </c>
      <c r="H205" s="49">
        <f>VLOOKUP(B205,'CALC MEC ESTAB Y ESTIM M FINAL'!$B$7:$R$352,17,0)</f>
        <v>-1.6052466979999999E-4</v>
      </c>
      <c r="I205" s="46">
        <f t="shared" si="229"/>
        <v>120900</v>
      </c>
      <c r="J205" s="46">
        <f t="shared" si="230"/>
        <v>0</v>
      </c>
      <c r="K205" s="46">
        <f t="shared" si="231"/>
        <v>62526</v>
      </c>
      <c r="L205" s="46">
        <v>0</v>
      </c>
      <c r="M205" s="46">
        <f t="shared" si="232"/>
        <v>183426</v>
      </c>
      <c r="N205" s="46">
        <f t="shared" si="233"/>
        <v>62526</v>
      </c>
      <c r="O205" s="46">
        <f t="shared" si="234"/>
        <v>64291</v>
      </c>
      <c r="P205" s="46">
        <f t="shared" si="235"/>
        <v>0</v>
      </c>
      <c r="Q205" s="46">
        <f t="shared" si="236"/>
        <v>119135</v>
      </c>
      <c r="R205" s="46">
        <v>0</v>
      </c>
      <c r="S205" s="46">
        <f t="shared" si="237"/>
        <v>183426</v>
      </c>
      <c r="T205" s="46">
        <f t="shared" si="238"/>
        <v>181661</v>
      </c>
      <c r="U205" s="46">
        <f t="shared" si="239"/>
        <v>183407</v>
      </c>
      <c r="V205" s="46">
        <f t="shared" si="240"/>
        <v>0</v>
      </c>
      <c r="W205" s="46">
        <f t="shared" si="241"/>
        <v>0</v>
      </c>
      <c r="X205" s="46">
        <v>0</v>
      </c>
      <c r="Y205" s="46">
        <f t="shared" si="242"/>
        <v>183407</v>
      </c>
      <c r="Z205" s="46">
        <f t="shared" si="243"/>
        <v>181661</v>
      </c>
      <c r="AA205" s="46">
        <f t="shared" si="244"/>
        <v>97386</v>
      </c>
      <c r="AB205" s="46">
        <f t="shared" si="245"/>
        <v>0</v>
      </c>
      <c r="AC205" s="46">
        <f t="shared" si="246"/>
        <v>86040</v>
      </c>
      <c r="AD205" s="46">
        <v>0</v>
      </c>
      <c r="AE205" s="46">
        <f t="shared" si="247"/>
        <v>183426</v>
      </c>
      <c r="AF205" s="46">
        <f t="shared" si="248"/>
        <v>267701</v>
      </c>
      <c r="AG205" s="46">
        <f t="shared" si="249"/>
        <v>847441</v>
      </c>
      <c r="AH205" s="46">
        <f t="shared" si="250"/>
        <v>7822</v>
      </c>
      <c r="AI205" s="46">
        <f t="shared" si="251"/>
        <v>-267701</v>
      </c>
      <c r="AJ205" s="46">
        <v>0</v>
      </c>
      <c r="AK205" s="46">
        <f t="shared" si="252"/>
        <v>587562</v>
      </c>
      <c r="AL205" s="46">
        <f t="shared" si="253"/>
        <v>0</v>
      </c>
      <c r="AM205" s="46">
        <f t="shared" si="254"/>
        <v>167856</v>
      </c>
      <c r="AN205" s="46">
        <f t="shared" si="255"/>
        <v>5543</v>
      </c>
      <c r="AO205" s="46">
        <f t="shared" si="256"/>
        <v>15570</v>
      </c>
      <c r="AP205" s="46">
        <v>0</v>
      </c>
      <c r="AQ205" s="46">
        <f t="shared" si="257"/>
        <v>188969</v>
      </c>
      <c r="AR205" s="46">
        <f t="shared" si="258"/>
        <v>15570</v>
      </c>
      <c r="AS205" s="46">
        <f t="shared" si="259"/>
        <v>333669</v>
      </c>
      <c r="AT205" s="46">
        <f t="shared" si="260"/>
        <v>32393</v>
      </c>
      <c r="AU205" s="46">
        <f t="shared" si="261"/>
        <v>-15570</v>
      </c>
      <c r="AV205" s="46">
        <v>0</v>
      </c>
      <c r="AW205" s="46">
        <f t="shared" si="262"/>
        <v>350492</v>
      </c>
      <c r="AX205" s="46">
        <f t="shared" si="263"/>
        <v>0</v>
      </c>
      <c r="AY205" s="46">
        <f t="shared" si="264"/>
        <v>110216</v>
      </c>
      <c r="AZ205" s="46">
        <f t="shared" si="265"/>
        <v>0</v>
      </c>
      <c r="BA205" s="46">
        <f t="shared" si="266"/>
        <v>73210</v>
      </c>
      <c r="BB205" s="46"/>
      <c r="BC205" s="46">
        <f t="shared" si="267"/>
        <v>183426</v>
      </c>
      <c r="BD205" s="46">
        <f t="shared" si="268"/>
        <v>73210</v>
      </c>
      <c r="BE205" s="46">
        <f t="shared" si="269"/>
        <v>213363</v>
      </c>
      <c r="BF205" s="46">
        <f t="shared" si="270"/>
        <v>7941</v>
      </c>
      <c r="BG205" s="46">
        <f t="shared" si="271"/>
        <v>0</v>
      </c>
      <c r="BH205" s="46">
        <v>0</v>
      </c>
      <c r="BI205" s="46">
        <f t="shared" si="272"/>
        <v>221304</v>
      </c>
      <c r="BJ205" s="46">
        <f t="shared" si="273"/>
        <v>73210</v>
      </c>
      <c r="BK205" s="46">
        <f t="shared" si="274"/>
        <v>450187</v>
      </c>
      <c r="BL205" s="46">
        <f t="shared" si="275"/>
        <v>0</v>
      </c>
      <c r="BM205" s="46">
        <f t="shared" si="276"/>
        <v>-73210</v>
      </c>
      <c r="BN205" s="46">
        <v>0</v>
      </c>
      <c r="BO205" s="46">
        <f t="shared" si="277"/>
        <v>376977</v>
      </c>
      <c r="BP205" s="46">
        <f t="shared" si="278"/>
        <v>0</v>
      </c>
      <c r="BQ205" s="46">
        <f t="shared" si="279"/>
        <v>167084</v>
      </c>
      <c r="BR205" s="46">
        <f t="shared" si="280"/>
        <v>0</v>
      </c>
      <c r="BS205" s="46">
        <f t="shared" si="281"/>
        <v>16342</v>
      </c>
      <c r="BT205" s="46">
        <v>0</v>
      </c>
      <c r="BU205" s="46">
        <f t="shared" si="282"/>
        <v>183426</v>
      </c>
      <c r="BV205" s="46">
        <f t="shared" si="283"/>
        <v>16342</v>
      </c>
      <c r="BW205" s="46">
        <f t="shared" si="284"/>
        <v>320179</v>
      </c>
      <c r="BX205" s="46">
        <f t="shared" si="285"/>
        <v>52192</v>
      </c>
      <c r="BY205" s="46">
        <f t="shared" si="286"/>
        <v>-16342</v>
      </c>
      <c r="BZ205" s="46">
        <v>0</v>
      </c>
      <c r="CA205" s="46">
        <f t="shared" si="287"/>
        <v>356029</v>
      </c>
      <c r="CB205" s="46">
        <f t="shared" si="288"/>
        <v>0</v>
      </c>
      <c r="CC205" s="155">
        <f t="shared" si="291"/>
        <v>0</v>
      </c>
      <c r="CD205" s="79" t="s">
        <v>538</v>
      </c>
      <c r="CE205" s="65">
        <f t="shared" si="292"/>
        <v>183426</v>
      </c>
      <c r="CF205" s="65">
        <f t="shared" si="293"/>
        <v>183426</v>
      </c>
      <c r="CG205" s="65">
        <f t="shared" si="294"/>
        <v>183407</v>
      </c>
      <c r="CH205" s="65">
        <f t="shared" si="295"/>
        <v>183426</v>
      </c>
      <c r="CI205" s="65">
        <f t="shared" si="296"/>
        <v>587562</v>
      </c>
      <c r="CJ205" s="65">
        <f t="shared" si="297"/>
        <v>188969</v>
      </c>
      <c r="CK205" s="65">
        <f t="shared" si="298"/>
        <v>350492</v>
      </c>
      <c r="CL205" s="65">
        <f t="shared" si="299"/>
        <v>183426</v>
      </c>
      <c r="CM205" s="65">
        <f t="shared" si="300"/>
        <v>221304</v>
      </c>
      <c r="CN205" s="65">
        <f t="shared" si="301"/>
        <v>376977</v>
      </c>
      <c r="CO205" s="65">
        <f t="shared" si="302"/>
        <v>183426</v>
      </c>
      <c r="CP205" s="65">
        <f t="shared" si="303"/>
        <v>356029</v>
      </c>
      <c r="CQ205" s="40" t="s">
        <v>538</v>
      </c>
    </row>
    <row r="206" spans="1:95" ht="3" customHeight="1" x14ac:dyDescent="0.25">
      <c r="A206" s="39">
        <v>1</v>
      </c>
      <c r="B206" s="28">
        <v>9205</v>
      </c>
      <c r="C206" s="28" t="s">
        <v>214</v>
      </c>
      <c r="D206" s="48">
        <f>+DATA!Q204</f>
        <v>3927849.0929999999</v>
      </c>
      <c r="E206" s="48">
        <f t="shared" si="289"/>
        <v>258583</v>
      </c>
      <c r="F206" s="48">
        <f t="shared" si="290"/>
        <v>392785</v>
      </c>
      <c r="G206" s="49">
        <f>VLOOKUP(B206,'CALC MEC ESTAB Y ESTIM M FINAL'!$B$7:$F$352,5,0)</f>
        <v>2.1462341981999997E-3</v>
      </c>
      <c r="H206" s="49">
        <f>VLOOKUP(B206,'CALC MEC ESTAB Y ESTIM M FINAL'!$B$7:$R$352,17,0)</f>
        <v>-1.459370269E-4</v>
      </c>
      <c r="I206" s="46">
        <f t="shared" si="229"/>
        <v>164929</v>
      </c>
      <c r="J206" s="46">
        <f t="shared" si="230"/>
        <v>0</v>
      </c>
      <c r="K206" s="46">
        <f t="shared" si="231"/>
        <v>93654</v>
      </c>
      <c r="L206" s="46">
        <v>0</v>
      </c>
      <c r="M206" s="46">
        <f t="shared" si="232"/>
        <v>258583</v>
      </c>
      <c r="N206" s="46">
        <f t="shared" si="233"/>
        <v>93654</v>
      </c>
      <c r="O206" s="46">
        <f t="shared" si="234"/>
        <v>87704</v>
      </c>
      <c r="P206" s="46">
        <f t="shared" si="235"/>
        <v>0</v>
      </c>
      <c r="Q206" s="46">
        <f t="shared" si="236"/>
        <v>170879</v>
      </c>
      <c r="R206" s="46">
        <v>0</v>
      </c>
      <c r="S206" s="46">
        <f t="shared" si="237"/>
        <v>258583</v>
      </c>
      <c r="T206" s="46">
        <f t="shared" si="238"/>
        <v>264533</v>
      </c>
      <c r="U206" s="46">
        <f t="shared" si="239"/>
        <v>250199</v>
      </c>
      <c r="V206" s="46">
        <f t="shared" si="240"/>
        <v>0</v>
      </c>
      <c r="W206" s="46">
        <f t="shared" si="241"/>
        <v>0</v>
      </c>
      <c r="X206" s="46">
        <v>0</v>
      </c>
      <c r="Y206" s="46">
        <f t="shared" si="242"/>
        <v>250199</v>
      </c>
      <c r="Z206" s="46">
        <f t="shared" si="243"/>
        <v>264533</v>
      </c>
      <c r="AA206" s="46">
        <f t="shared" si="244"/>
        <v>132852</v>
      </c>
      <c r="AB206" s="46">
        <f t="shared" si="245"/>
        <v>0</v>
      </c>
      <c r="AC206" s="46">
        <f t="shared" si="246"/>
        <v>125731</v>
      </c>
      <c r="AD206" s="46">
        <v>0</v>
      </c>
      <c r="AE206" s="46">
        <f t="shared" si="247"/>
        <v>258583</v>
      </c>
      <c r="AF206" s="46">
        <f t="shared" si="248"/>
        <v>390264</v>
      </c>
      <c r="AG206" s="46">
        <f t="shared" si="249"/>
        <v>1156057</v>
      </c>
      <c r="AH206" s="46">
        <f t="shared" si="250"/>
        <v>10670</v>
      </c>
      <c r="AI206" s="46">
        <f t="shared" si="251"/>
        <v>-390264</v>
      </c>
      <c r="AJ206" s="46">
        <v>0</v>
      </c>
      <c r="AK206" s="46">
        <f t="shared" si="252"/>
        <v>776463</v>
      </c>
      <c r="AL206" s="46">
        <f t="shared" si="253"/>
        <v>0</v>
      </c>
      <c r="AM206" s="46">
        <f t="shared" si="254"/>
        <v>228985</v>
      </c>
      <c r="AN206" s="46">
        <f t="shared" si="255"/>
        <v>7562</v>
      </c>
      <c r="AO206" s="46">
        <f t="shared" si="256"/>
        <v>29598</v>
      </c>
      <c r="AP206" s="46">
        <v>0</v>
      </c>
      <c r="AQ206" s="46">
        <f t="shared" si="257"/>
        <v>266145</v>
      </c>
      <c r="AR206" s="46">
        <f t="shared" si="258"/>
        <v>29598</v>
      </c>
      <c r="AS206" s="46">
        <f t="shared" si="259"/>
        <v>455182</v>
      </c>
      <c r="AT206" s="46">
        <f t="shared" si="260"/>
        <v>44190</v>
      </c>
      <c r="AU206" s="46">
        <f t="shared" si="261"/>
        <v>-29598</v>
      </c>
      <c r="AV206" s="46">
        <v>0</v>
      </c>
      <c r="AW206" s="46">
        <f t="shared" si="262"/>
        <v>469774</v>
      </c>
      <c r="AX206" s="46">
        <f t="shared" si="263"/>
        <v>0</v>
      </c>
      <c r="AY206" s="46">
        <f t="shared" si="264"/>
        <v>150354</v>
      </c>
      <c r="AZ206" s="46">
        <f t="shared" si="265"/>
        <v>0</v>
      </c>
      <c r="BA206" s="46">
        <f t="shared" si="266"/>
        <v>108229</v>
      </c>
      <c r="BB206" s="46"/>
      <c r="BC206" s="46">
        <f t="shared" si="267"/>
        <v>258583</v>
      </c>
      <c r="BD206" s="46">
        <f t="shared" si="268"/>
        <v>108229</v>
      </c>
      <c r="BE206" s="46">
        <f t="shared" si="269"/>
        <v>291065</v>
      </c>
      <c r="BF206" s="46">
        <f t="shared" si="270"/>
        <v>10833</v>
      </c>
      <c r="BG206" s="46">
        <f t="shared" si="271"/>
        <v>0</v>
      </c>
      <c r="BH206" s="46">
        <v>0</v>
      </c>
      <c r="BI206" s="46">
        <f t="shared" si="272"/>
        <v>301898</v>
      </c>
      <c r="BJ206" s="46">
        <f t="shared" si="273"/>
        <v>108229</v>
      </c>
      <c r="BK206" s="46">
        <f t="shared" si="274"/>
        <v>614134</v>
      </c>
      <c r="BL206" s="46">
        <f t="shared" si="275"/>
        <v>0</v>
      </c>
      <c r="BM206" s="46">
        <f t="shared" si="276"/>
        <v>-108229</v>
      </c>
      <c r="BN206" s="46">
        <v>0</v>
      </c>
      <c r="BO206" s="46">
        <f t="shared" si="277"/>
        <v>505905</v>
      </c>
      <c r="BP206" s="46">
        <f t="shared" si="278"/>
        <v>0</v>
      </c>
      <c r="BQ206" s="46">
        <f t="shared" si="279"/>
        <v>227931</v>
      </c>
      <c r="BR206" s="46">
        <f t="shared" si="280"/>
        <v>0</v>
      </c>
      <c r="BS206" s="46">
        <f t="shared" si="281"/>
        <v>30652</v>
      </c>
      <c r="BT206" s="46">
        <v>0</v>
      </c>
      <c r="BU206" s="46">
        <f t="shared" si="282"/>
        <v>258583</v>
      </c>
      <c r="BV206" s="46">
        <f t="shared" si="283"/>
        <v>30652</v>
      </c>
      <c r="BW206" s="46">
        <f t="shared" si="284"/>
        <v>436779</v>
      </c>
      <c r="BX206" s="46">
        <f t="shared" si="285"/>
        <v>71200</v>
      </c>
      <c r="BY206" s="46">
        <f t="shared" si="286"/>
        <v>-30652</v>
      </c>
      <c r="BZ206" s="46">
        <v>0</v>
      </c>
      <c r="CA206" s="46">
        <f t="shared" si="287"/>
        <v>477327</v>
      </c>
      <c r="CB206" s="46">
        <f t="shared" si="288"/>
        <v>0</v>
      </c>
      <c r="CC206" s="155">
        <f t="shared" si="291"/>
        <v>0</v>
      </c>
      <c r="CD206" s="79" t="s">
        <v>538</v>
      </c>
      <c r="CE206" s="65">
        <f t="shared" si="292"/>
        <v>258583</v>
      </c>
      <c r="CF206" s="65">
        <f t="shared" si="293"/>
        <v>258583</v>
      </c>
      <c r="CG206" s="65">
        <f t="shared" si="294"/>
        <v>250199</v>
      </c>
      <c r="CH206" s="65">
        <f t="shared" si="295"/>
        <v>258583</v>
      </c>
      <c r="CI206" s="65">
        <f t="shared" si="296"/>
        <v>776463</v>
      </c>
      <c r="CJ206" s="65">
        <f t="shared" si="297"/>
        <v>266145</v>
      </c>
      <c r="CK206" s="65">
        <f t="shared" si="298"/>
        <v>469774</v>
      </c>
      <c r="CL206" s="65">
        <f t="shared" si="299"/>
        <v>258583</v>
      </c>
      <c r="CM206" s="65">
        <f t="shared" si="300"/>
        <v>301898</v>
      </c>
      <c r="CN206" s="65">
        <f t="shared" si="301"/>
        <v>505905</v>
      </c>
      <c r="CO206" s="65">
        <f t="shared" si="302"/>
        <v>258583</v>
      </c>
      <c r="CP206" s="65">
        <f t="shared" si="303"/>
        <v>477327</v>
      </c>
      <c r="CQ206" s="40" t="s">
        <v>538</v>
      </c>
    </row>
    <row r="207" spans="1:95" ht="3" customHeight="1" x14ac:dyDescent="0.25">
      <c r="A207" s="39">
        <v>1</v>
      </c>
      <c r="B207" s="28">
        <v>9206</v>
      </c>
      <c r="C207" s="28" t="s">
        <v>208</v>
      </c>
      <c r="D207" s="48">
        <f>+DATA!Q205</f>
        <v>2595866.156</v>
      </c>
      <c r="E207" s="48">
        <f t="shared" si="289"/>
        <v>170895</v>
      </c>
      <c r="F207" s="48">
        <f t="shared" si="290"/>
        <v>259587</v>
      </c>
      <c r="G207" s="49">
        <f>VLOOKUP(B207,'CALC MEC ESTAB Y ESTIM M FINAL'!$B$7:$F$352,5,0)</f>
        <v>1.4300422417999998E-3</v>
      </c>
      <c r="H207" s="49">
        <f>VLOOKUP(B207,'CALC MEC ESTAB Y ESTIM M FINAL'!$B$7:$R$352,17,0)</f>
        <v>-1.025158449E-4</v>
      </c>
      <c r="I207" s="46">
        <f t="shared" si="229"/>
        <v>109457</v>
      </c>
      <c r="J207" s="46">
        <f t="shared" si="230"/>
        <v>0</v>
      </c>
      <c r="K207" s="46">
        <f t="shared" si="231"/>
        <v>61438</v>
      </c>
      <c r="L207" s="46">
        <v>0</v>
      </c>
      <c r="M207" s="46">
        <f t="shared" si="232"/>
        <v>170895</v>
      </c>
      <c r="N207" s="46">
        <f t="shared" si="233"/>
        <v>61438</v>
      </c>
      <c r="O207" s="46">
        <f t="shared" si="234"/>
        <v>58206</v>
      </c>
      <c r="P207" s="46">
        <f t="shared" si="235"/>
        <v>0</v>
      </c>
      <c r="Q207" s="46">
        <f t="shared" si="236"/>
        <v>112689</v>
      </c>
      <c r="R207" s="46">
        <v>0</v>
      </c>
      <c r="S207" s="46">
        <f t="shared" si="237"/>
        <v>170895</v>
      </c>
      <c r="T207" s="46">
        <f t="shared" si="238"/>
        <v>174127</v>
      </c>
      <c r="U207" s="46">
        <f t="shared" si="239"/>
        <v>166048</v>
      </c>
      <c r="V207" s="46">
        <f t="shared" si="240"/>
        <v>0</v>
      </c>
      <c r="W207" s="46">
        <f t="shared" si="241"/>
        <v>0</v>
      </c>
      <c r="X207" s="46">
        <v>0</v>
      </c>
      <c r="Y207" s="46">
        <f t="shared" si="242"/>
        <v>166048</v>
      </c>
      <c r="Z207" s="46">
        <f t="shared" si="243"/>
        <v>174127</v>
      </c>
      <c r="AA207" s="46">
        <f t="shared" si="244"/>
        <v>88169</v>
      </c>
      <c r="AB207" s="46">
        <f t="shared" si="245"/>
        <v>0</v>
      </c>
      <c r="AC207" s="46">
        <f t="shared" si="246"/>
        <v>82726</v>
      </c>
      <c r="AD207" s="46">
        <v>0</v>
      </c>
      <c r="AE207" s="46">
        <f t="shared" si="247"/>
        <v>170895</v>
      </c>
      <c r="AF207" s="46">
        <f t="shared" si="248"/>
        <v>256853</v>
      </c>
      <c r="AG207" s="46">
        <f t="shared" si="249"/>
        <v>767234</v>
      </c>
      <c r="AH207" s="46">
        <f t="shared" si="250"/>
        <v>7081</v>
      </c>
      <c r="AI207" s="46">
        <f t="shared" si="251"/>
        <v>-256853</v>
      </c>
      <c r="AJ207" s="46">
        <v>0</v>
      </c>
      <c r="AK207" s="46">
        <f t="shared" si="252"/>
        <v>517462</v>
      </c>
      <c r="AL207" s="46">
        <f t="shared" si="253"/>
        <v>0</v>
      </c>
      <c r="AM207" s="46">
        <f t="shared" si="254"/>
        <v>151969</v>
      </c>
      <c r="AN207" s="46">
        <f t="shared" si="255"/>
        <v>5019</v>
      </c>
      <c r="AO207" s="46">
        <f t="shared" si="256"/>
        <v>18926</v>
      </c>
      <c r="AP207" s="46">
        <v>0</v>
      </c>
      <c r="AQ207" s="46">
        <f t="shared" si="257"/>
        <v>175914</v>
      </c>
      <c r="AR207" s="46">
        <f t="shared" si="258"/>
        <v>18926</v>
      </c>
      <c r="AS207" s="46">
        <f t="shared" si="259"/>
        <v>302088</v>
      </c>
      <c r="AT207" s="46">
        <f t="shared" si="260"/>
        <v>29327</v>
      </c>
      <c r="AU207" s="46">
        <f t="shared" si="261"/>
        <v>-18926</v>
      </c>
      <c r="AV207" s="46">
        <v>0</v>
      </c>
      <c r="AW207" s="46">
        <f t="shared" si="262"/>
        <v>312489</v>
      </c>
      <c r="AX207" s="46">
        <f t="shared" si="263"/>
        <v>0</v>
      </c>
      <c r="AY207" s="46">
        <f t="shared" si="264"/>
        <v>99784</v>
      </c>
      <c r="AZ207" s="46">
        <f t="shared" si="265"/>
        <v>0</v>
      </c>
      <c r="BA207" s="46">
        <f t="shared" si="266"/>
        <v>71111</v>
      </c>
      <c r="BB207" s="46"/>
      <c r="BC207" s="46">
        <f t="shared" si="267"/>
        <v>170895</v>
      </c>
      <c r="BD207" s="46">
        <f t="shared" si="268"/>
        <v>71111</v>
      </c>
      <c r="BE207" s="46">
        <f t="shared" si="269"/>
        <v>193169</v>
      </c>
      <c r="BF207" s="46">
        <f t="shared" si="270"/>
        <v>7190</v>
      </c>
      <c r="BG207" s="46">
        <f t="shared" si="271"/>
        <v>0</v>
      </c>
      <c r="BH207" s="46">
        <v>0</v>
      </c>
      <c r="BI207" s="46">
        <f t="shared" si="272"/>
        <v>200359</v>
      </c>
      <c r="BJ207" s="46">
        <f t="shared" si="273"/>
        <v>71111</v>
      </c>
      <c r="BK207" s="46">
        <f t="shared" si="274"/>
        <v>407579</v>
      </c>
      <c r="BL207" s="46">
        <f t="shared" si="275"/>
        <v>0</v>
      </c>
      <c r="BM207" s="46">
        <f t="shared" si="276"/>
        <v>-71111</v>
      </c>
      <c r="BN207" s="46">
        <v>0</v>
      </c>
      <c r="BO207" s="46">
        <f t="shared" si="277"/>
        <v>336468</v>
      </c>
      <c r="BP207" s="46">
        <f t="shared" si="278"/>
        <v>0</v>
      </c>
      <c r="BQ207" s="46">
        <f t="shared" si="279"/>
        <v>151270</v>
      </c>
      <c r="BR207" s="46">
        <f t="shared" si="280"/>
        <v>0</v>
      </c>
      <c r="BS207" s="46">
        <f t="shared" si="281"/>
        <v>19625</v>
      </c>
      <c r="BT207" s="46">
        <v>0</v>
      </c>
      <c r="BU207" s="46">
        <f t="shared" si="282"/>
        <v>170895</v>
      </c>
      <c r="BV207" s="46">
        <f t="shared" si="283"/>
        <v>19625</v>
      </c>
      <c r="BW207" s="46">
        <f t="shared" si="284"/>
        <v>289875</v>
      </c>
      <c r="BX207" s="46">
        <f t="shared" si="285"/>
        <v>47253</v>
      </c>
      <c r="BY207" s="46">
        <f t="shared" si="286"/>
        <v>-19625</v>
      </c>
      <c r="BZ207" s="46">
        <v>0</v>
      </c>
      <c r="CA207" s="46">
        <f t="shared" si="287"/>
        <v>317503</v>
      </c>
      <c r="CB207" s="46">
        <f t="shared" si="288"/>
        <v>0</v>
      </c>
      <c r="CC207" s="155">
        <f t="shared" si="291"/>
        <v>0</v>
      </c>
      <c r="CD207" s="79" t="s">
        <v>538</v>
      </c>
      <c r="CE207" s="65">
        <f t="shared" si="292"/>
        <v>170895</v>
      </c>
      <c r="CF207" s="65">
        <f t="shared" si="293"/>
        <v>170895</v>
      </c>
      <c r="CG207" s="65">
        <f t="shared" si="294"/>
        <v>166048</v>
      </c>
      <c r="CH207" s="65">
        <f t="shared" si="295"/>
        <v>170895</v>
      </c>
      <c r="CI207" s="65">
        <f t="shared" si="296"/>
        <v>517462</v>
      </c>
      <c r="CJ207" s="65">
        <f t="shared" si="297"/>
        <v>175914</v>
      </c>
      <c r="CK207" s="65">
        <f t="shared" si="298"/>
        <v>312489</v>
      </c>
      <c r="CL207" s="65">
        <f t="shared" si="299"/>
        <v>170895</v>
      </c>
      <c r="CM207" s="65">
        <f t="shared" si="300"/>
        <v>200359</v>
      </c>
      <c r="CN207" s="65">
        <f t="shared" si="301"/>
        <v>336468</v>
      </c>
      <c r="CO207" s="65">
        <f t="shared" si="302"/>
        <v>170895</v>
      </c>
      <c r="CP207" s="65">
        <f t="shared" si="303"/>
        <v>317503</v>
      </c>
      <c r="CQ207" s="40" t="s">
        <v>538</v>
      </c>
    </row>
    <row r="208" spans="1:95" ht="3" customHeight="1" x14ac:dyDescent="0.25">
      <c r="A208" s="39">
        <v>1</v>
      </c>
      <c r="B208" s="28">
        <v>9207</v>
      </c>
      <c r="C208" s="28" t="s">
        <v>212</v>
      </c>
      <c r="D208" s="48">
        <f>+DATA!Q206</f>
        <v>3082071.0720000002</v>
      </c>
      <c r="E208" s="48">
        <f t="shared" si="289"/>
        <v>202903</v>
      </c>
      <c r="F208" s="48">
        <f t="shared" si="290"/>
        <v>308207</v>
      </c>
      <c r="G208" s="49">
        <f>VLOOKUP(B208,'CALC MEC ESTAB Y ESTIM M FINAL'!$B$7:$F$352,5,0)</f>
        <v>1.7798239346000001E-3</v>
      </c>
      <c r="H208" s="49">
        <f>VLOOKUP(B208,'CALC MEC ESTAB Y ESTIM M FINAL'!$B$7:$R$352,17,0)</f>
        <v>-1.6632696159999999E-4</v>
      </c>
      <c r="I208" s="46">
        <f t="shared" si="229"/>
        <v>133036</v>
      </c>
      <c r="J208" s="46">
        <f t="shared" si="230"/>
        <v>0</v>
      </c>
      <c r="K208" s="46">
        <f t="shared" si="231"/>
        <v>69867</v>
      </c>
      <c r="L208" s="46">
        <v>0</v>
      </c>
      <c r="M208" s="46">
        <f t="shared" si="232"/>
        <v>202903</v>
      </c>
      <c r="N208" s="46">
        <f t="shared" si="233"/>
        <v>69867</v>
      </c>
      <c r="O208" s="46">
        <f t="shared" si="234"/>
        <v>70744</v>
      </c>
      <c r="P208" s="46">
        <f t="shared" si="235"/>
        <v>0</v>
      </c>
      <c r="Q208" s="46">
        <f t="shared" si="236"/>
        <v>132159</v>
      </c>
      <c r="R208" s="46">
        <v>0</v>
      </c>
      <c r="S208" s="46">
        <f t="shared" si="237"/>
        <v>202903</v>
      </c>
      <c r="T208" s="46">
        <f t="shared" si="238"/>
        <v>202026</v>
      </c>
      <c r="U208" s="46">
        <f t="shared" si="239"/>
        <v>201817</v>
      </c>
      <c r="V208" s="46">
        <f t="shared" si="240"/>
        <v>0</v>
      </c>
      <c r="W208" s="46">
        <f t="shared" si="241"/>
        <v>0</v>
      </c>
      <c r="X208" s="46">
        <v>0</v>
      </c>
      <c r="Y208" s="46">
        <f t="shared" si="242"/>
        <v>201817</v>
      </c>
      <c r="Z208" s="46">
        <f t="shared" si="243"/>
        <v>202026</v>
      </c>
      <c r="AA208" s="46">
        <f t="shared" si="244"/>
        <v>107162</v>
      </c>
      <c r="AB208" s="46">
        <f t="shared" si="245"/>
        <v>0</v>
      </c>
      <c r="AC208" s="46">
        <f t="shared" si="246"/>
        <v>95741</v>
      </c>
      <c r="AD208" s="46">
        <v>0</v>
      </c>
      <c r="AE208" s="46">
        <f t="shared" si="247"/>
        <v>202903</v>
      </c>
      <c r="AF208" s="46">
        <f t="shared" si="248"/>
        <v>297767</v>
      </c>
      <c r="AG208" s="46">
        <f t="shared" si="249"/>
        <v>932509</v>
      </c>
      <c r="AH208" s="46">
        <f t="shared" si="250"/>
        <v>8607</v>
      </c>
      <c r="AI208" s="46">
        <f t="shared" si="251"/>
        <v>-297767</v>
      </c>
      <c r="AJ208" s="46">
        <v>0</v>
      </c>
      <c r="AK208" s="46">
        <f t="shared" si="252"/>
        <v>643349</v>
      </c>
      <c r="AL208" s="46">
        <f t="shared" si="253"/>
        <v>0</v>
      </c>
      <c r="AM208" s="46">
        <f t="shared" si="254"/>
        <v>184706</v>
      </c>
      <c r="AN208" s="46">
        <f t="shared" si="255"/>
        <v>6100</v>
      </c>
      <c r="AO208" s="46">
        <f t="shared" si="256"/>
        <v>18197</v>
      </c>
      <c r="AP208" s="46">
        <v>0</v>
      </c>
      <c r="AQ208" s="46">
        <f t="shared" si="257"/>
        <v>209003</v>
      </c>
      <c r="AR208" s="46">
        <f t="shared" si="258"/>
        <v>18197</v>
      </c>
      <c r="AS208" s="46">
        <f t="shared" si="259"/>
        <v>367163</v>
      </c>
      <c r="AT208" s="46">
        <f t="shared" si="260"/>
        <v>35645</v>
      </c>
      <c r="AU208" s="46">
        <f t="shared" si="261"/>
        <v>-18197</v>
      </c>
      <c r="AV208" s="46">
        <v>0</v>
      </c>
      <c r="AW208" s="46">
        <f t="shared" si="262"/>
        <v>384611</v>
      </c>
      <c r="AX208" s="46">
        <f t="shared" si="263"/>
        <v>0</v>
      </c>
      <c r="AY208" s="46">
        <f t="shared" si="264"/>
        <v>121280</v>
      </c>
      <c r="AZ208" s="46">
        <f t="shared" si="265"/>
        <v>0</v>
      </c>
      <c r="BA208" s="46">
        <f t="shared" si="266"/>
        <v>81623</v>
      </c>
      <c r="BB208" s="46"/>
      <c r="BC208" s="46">
        <f t="shared" si="267"/>
        <v>202903</v>
      </c>
      <c r="BD208" s="46">
        <f t="shared" si="268"/>
        <v>81623</v>
      </c>
      <c r="BE208" s="46">
        <f t="shared" si="269"/>
        <v>234781</v>
      </c>
      <c r="BF208" s="46">
        <f t="shared" si="270"/>
        <v>8738</v>
      </c>
      <c r="BG208" s="46">
        <f t="shared" si="271"/>
        <v>0</v>
      </c>
      <c r="BH208" s="46">
        <v>0</v>
      </c>
      <c r="BI208" s="46">
        <f t="shared" si="272"/>
        <v>243519</v>
      </c>
      <c r="BJ208" s="46">
        <f t="shared" si="273"/>
        <v>81623</v>
      </c>
      <c r="BK208" s="46">
        <f t="shared" si="274"/>
        <v>495378</v>
      </c>
      <c r="BL208" s="46">
        <f t="shared" si="275"/>
        <v>0</v>
      </c>
      <c r="BM208" s="46">
        <f t="shared" si="276"/>
        <v>-81623</v>
      </c>
      <c r="BN208" s="46">
        <v>0</v>
      </c>
      <c r="BO208" s="46">
        <f t="shared" si="277"/>
        <v>413755</v>
      </c>
      <c r="BP208" s="46">
        <f t="shared" si="278"/>
        <v>0</v>
      </c>
      <c r="BQ208" s="46">
        <f t="shared" si="279"/>
        <v>183856</v>
      </c>
      <c r="BR208" s="46">
        <f t="shared" si="280"/>
        <v>0</v>
      </c>
      <c r="BS208" s="46">
        <f t="shared" si="281"/>
        <v>19047</v>
      </c>
      <c r="BT208" s="46">
        <v>0</v>
      </c>
      <c r="BU208" s="46">
        <f t="shared" si="282"/>
        <v>202903</v>
      </c>
      <c r="BV208" s="46">
        <f t="shared" si="283"/>
        <v>19047</v>
      </c>
      <c r="BW208" s="46">
        <f t="shared" si="284"/>
        <v>352319</v>
      </c>
      <c r="BX208" s="46">
        <f t="shared" si="285"/>
        <v>57432</v>
      </c>
      <c r="BY208" s="46">
        <f t="shared" si="286"/>
        <v>-19047</v>
      </c>
      <c r="BZ208" s="46">
        <v>0</v>
      </c>
      <c r="CA208" s="46">
        <f t="shared" si="287"/>
        <v>390704</v>
      </c>
      <c r="CB208" s="46">
        <f t="shared" si="288"/>
        <v>0</v>
      </c>
      <c r="CC208" s="155">
        <f t="shared" si="291"/>
        <v>0</v>
      </c>
      <c r="CD208" s="79" t="s">
        <v>538</v>
      </c>
      <c r="CE208" s="65">
        <f t="shared" si="292"/>
        <v>202903</v>
      </c>
      <c r="CF208" s="65">
        <f t="shared" si="293"/>
        <v>202903</v>
      </c>
      <c r="CG208" s="65">
        <f t="shared" si="294"/>
        <v>201817</v>
      </c>
      <c r="CH208" s="65">
        <f t="shared" si="295"/>
        <v>202903</v>
      </c>
      <c r="CI208" s="65">
        <f t="shared" si="296"/>
        <v>643349</v>
      </c>
      <c r="CJ208" s="65">
        <f t="shared" si="297"/>
        <v>209003</v>
      </c>
      <c r="CK208" s="65">
        <f t="shared" si="298"/>
        <v>384611</v>
      </c>
      <c r="CL208" s="65">
        <f t="shared" si="299"/>
        <v>202903</v>
      </c>
      <c r="CM208" s="65">
        <f t="shared" si="300"/>
        <v>243519</v>
      </c>
      <c r="CN208" s="65">
        <f t="shared" si="301"/>
        <v>413755</v>
      </c>
      <c r="CO208" s="65">
        <f t="shared" si="302"/>
        <v>202903</v>
      </c>
      <c r="CP208" s="65">
        <f t="shared" si="303"/>
        <v>390704</v>
      </c>
      <c r="CQ208" s="40" t="s">
        <v>538</v>
      </c>
    </row>
    <row r="209" spans="1:95" ht="3" customHeight="1" x14ac:dyDescent="0.25">
      <c r="A209" s="39">
        <v>1</v>
      </c>
      <c r="B209" s="28">
        <v>9208</v>
      </c>
      <c r="C209" s="28" t="s">
        <v>412</v>
      </c>
      <c r="D209" s="48">
        <f>+DATA!Q207</f>
        <v>3499176.9939999999</v>
      </c>
      <c r="E209" s="48">
        <f t="shared" si="289"/>
        <v>230362</v>
      </c>
      <c r="F209" s="48">
        <f t="shared" si="290"/>
        <v>349918</v>
      </c>
      <c r="G209" s="49">
        <f>VLOOKUP(B209,'CALC MEC ESTAB Y ESTIM M FINAL'!$B$7:$F$352,5,0)</f>
        <v>1.9433562439000001E-3</v>
      </c>
      <c r="H209" s="49">
        <f>VLOOKUP(B209,'CALC MEC ESTAB Y ESTIM M FINAL'!$B$7:$R$352,17,0)</f>
        <v>-1.4762391580000001E-4</v>
      </c>
      <c r="I209" s="46">
        <f t="shared" si="229"/>
        <v>148062</v>
      </c>
      <c r="J209" s="46">
        <f t="shared" si="230"/>
        <v>0</v>
      </c>
      <c r="K209" s="46">
        <f t="shared" si="231"/>
        <v>82300</v>
      </c>
      <c r="L209" s="46">
        <v>0</v>
      </c>
      <c r="M209" s="46">
        <f t="shared" si="232"/>
        <v>230362</v>
      </c>
      <c r="N209" s="46">
        <f t="shared" si="233"/>
        <v>82300</v>
      </c>
      <c r="O209" s="46">
        <f t="shared" si="234"/>
        <v>78734</v>
      </c>
      <c r="P209" s="46">
        <f t="shared" si="235"/>
        <v>0</v>
      </c>
      <c r="Q209" s="46">
        <f t="shared" si="236"/>
        <v>151628</v>
      </c>
      <c r="R209" s="46">
        <v>0</v>
      </c>
      <c r="S209" s="46">
        <f t="shared" si="237"/>
        <v>230362</v>
      </c>
      <c r="T209" s="46">
        <f t="shared" si="238"/>
        <v>233928</v>
      </c>
      <c r="U209" s="46">
        <f t="shared" si="239"/>
        <v>224611</v>
      </c>
      <c r="V209" s="46">
        <f t="shared" si="240"/>
        <v>0</v>
      </c>
      <c r="W209" s="46">
        <f t="shared" si="241"/>
        <v>0</v>
      </c>
      <c r="X209" s="46">
        <v>0</v>
      </c>
      <c r="Y209" s="46">
        <f t="shared" si="242"/>
        <v>224611</v>
      </c>
      <c r="Z209" s="46">
        <f t="shared" si="243"/>
        <v>233928</v>
      </c>
      <c r="AA209" s="46">
        <f t="shared" si="244"/>
        <v>119265</v>
      </c>
      <c r="AB209" s="46">
        <f t="shared" si="245"/>
        <v>0</v>
      </c>
      <c r="AC209" s="46">
        <f t="shared" si="246"/>
        <v>111097</v>
      </c>
      <c r="AD209" s="46">
        <v>0</v>
      </c>
      <c r="AE209" s="46">
        <f t="shared" si="247"/>
        <v>230362</v>
      </c>
      <c r="AF209" s="46">
        <f t="shared" si="248"/>
        <v>345025</v>
      </c>
      <c r="AG209" s="46">
        <f t="shared" si="249"/>
        <v>1037830</v>
      </c>
      <c r="AH209" s="46">
        <f t="shared" si="250"/>
        <v>9579</v>
      </c>
      <c r="AI209" s="46">
        <f t="shared" si="251"/>
        <v>-345025</v>
      </c>
      <c r="AJ209" s="46">
        <v>0</v>
      </c>
      <c r="AK209" s="46">
        <f t="shared" si="252"/>
        <v>702384</v>
      </c>
      <c r="AL209" s="46">
        <f t="shared" si="253"/>
        <v>0</v>
      </c>
      <c r="AM209" s="46">
        <f t="shared" si="254"/>
        <v>205568</v>
      </c>
      <c r="AN209" s="46">
        <f t="shared" si="255"/>
        <v>6789</v>
      </c>
      <c r="AO209" s="46">
        <f t="shared" si="256"/>
        <v>24794</v>
      </c>
      <c r="AP209" s="46">
        <v>0</v>
      </c>
      <c r="AQ209" s="46">
        <f t="shared" si="257"/>
        <v>237151</v>
      </c>
      <c r="AR209" s="46">
        <f t="shared" si="258"/>
        <v>24794</v>
      </c>
      <c r="AS209" s="46">
        <f t="shared" si="259"/>
        <v>408632</v>
      </c>
      <c r="AT209" s="46">
        <f t="shared" si="260"/>
        <v>39671</v>
      </c>
      <c r="AU209" s="46">
        <f t="shared" si="261"/>
        <v>-24794</v>
      </c>
      <c r="AV209" s="46">
        <v>0</v>
      </c>
      <c r="AW209" s="46">
        <f t="shared" si="262"/>
        <v>423509</v>
      </c>
      <c r="AX209" s="46">
        <f t="shared" si="263"/>
        <v>0</v>
      </c>
      <c r="AY209" s="46">
        <f t="shared" si="264"/>
        <v>134977</v>
      </c>
      <c r="AZ209" s="46">
        <f t="shared" si="265"/>
        <v>0</v>
      </c>
      <c r="BA209" s="46">
        <f t="shared" si="266"/>
        <v>95385</v>
      </c>
      <c r="BB209" s="46"/>
      <c r="BC209" s="46">
        <f t="shared" si="267"/>
        <v>230362</v>
      </c>
      <c r="BD209" s="46">
        <f t="shared" si="268"/>
        <v>95385</v>
      </c>
      <c r="BE209" s="46">
        <f t="shared" si="269"/>
        <v>261298</v>
      </c>
      <c r="BF209" s="46">
        <f t="shared" si="270"/>
        <v>9725</v>
      </c>
      <c r="BG209" s="46">
        <f t="shared" si="271"/>
        <v>0</v>
      </c>
      <c r="BH209" s="46">
        <v>0</v>
      </c>
      <c r="BI209" s="46">
        <f t="shared" si="272"/>
        <v>271023</v>
      </c>
      <c r="BJ209" s="46">
        <f t="shared" si="273"/>
        <v>95385</v>
      </c>
      <c r="BK209" s="46">
        <f t="shared" si="274"/>
        <v>551328</v>
      </c>
      <c r="BL209" s="46">
        <f t="shared" si="275"/>
        <v>0</v>
      </c>
      <c r="BM209" s="46">
        <f t="shared" si="276"/>
        <v>-95385</v>
      </c>
      <c r="BN209" s="46">
        <v>0</v>
      </c>
      <c r="BO209" s="46">
        <f t="shared" si="277"/>
        <v>455943</v>
      </c>
      <c r="BP209" s="46">
        <f t="shared" si="278"/>
        <v>0</v>
      </c>
      <c r="BQ209" s="46">
        <f t="shared" si="279"/>
        <v>204621</v>
      </c>
      <c r="BR209" s="46">
        <f t="shared" si="280"/>
        <v>0</v>
      </c>
      <c r="BS209" s="46">
        <f t="shared" si="281"/>
        <v>25741</v>
      </c>
      <c r="BT209" s="46">
        <v>0</v>
      </c>
      <c r="BU209" s="46">
        <f t="shared" si="282"/>
        <v>230362</v>
      </c>
      <c r="BV209" s="46">
        <f t="shared" si="283"/>
        <v>25741</v>
      </c>
      <c r="BW209" s="46">
        <f t="shared" si="284"/>
        <v>392111</v>
      </c>
      <c r="BX209" s="46">
        <f t="shared" si="285"/>
        <v>63918</v>
      </c>
      <c r="BY209" s="46">
        <f t="shared" si="286"/>
        <v>-25741</v>
      </c>
      <c r="BZ209" s="46">
        <v>0</v>
      </c>
      <c r="CA209" s="46">
        <f t="shared" si="287"/>
        <v>430288</v>
      </c>
      <c r="CB209" s="46">
        <f t="shared" si="288"/>
        <v>0</v>
      </c>
      <c r="CC209" s="155">
        <f t="shared" si="291"/>
        <v>0</v>
      </c>
      <c r="CD209" s="79" t="s">
        <v>538</v>
      </c>
      <c r="CE209" s="65">
        <f t="shared" si="292"/>
        <v>230362</v>
      </c>
      <c r="CF209" s="65">
        <f t="shared" si="293"/>
        <v>230362</v>
      </c>
      <c r="CG209" s="65">
        <f t="shared" si="294"/>
        <v>224611</v>
      </c>
      <c r="CH209" s="65">
        <f t="shared" si="295"/>
        <v>230362</v>
      </c>
      <c r="CI209" s="65">
        <f t="shared" si="296"/>
        <v>702384</v>
      </c>
      <c r="CJ209" s="65">
        <f t="shared" si="297"/>
        <v>237151</v>
      </c>
      <c r="CK209" s="65">
        <f t="shared" si="298"/>
        <v>423509</v>
      </c>
      <c r="CL209" s="65">
        <f t="shared" si="299"/>
        <v>230362</v>
      </c>
      <c r="CM209" s="65">
        <f t="shared" si="300"/>
        <v>271023</v>
      </c>
      <c r="CN209" s="65">
        <f t="shared" si="301"/>
        <v>455943</v>
      </c>
      <c r="CO209" s="65">
        <f t="shared" si="302"/>
        <v>230362</v>
      </c>
      <c r="CP209" s="65">
        <f t="shared" si="303"/>
        <v>430288</v>
      </c>
      <c r="CQ209" s="40" t="s">
        <v>538</v>
      </c>
    </row>
    <row r="210" spans="1:95" ht="3" customHeight="1" x14ac:dyDescent="0.25">
      <c r="A210" s="39">
        <v>1</v>
      </c>
      <c r="B210" s="28">
        <v>9209</v>
      </c>
      <c r="C210" s="28" t="s">
        <v>209</v>
      </c>
      <c r="D210" s="48">
        <f>+DATA!Q208</f>
        <v>2530947.2379999999</v>
      </c>
      <c r="E210" s="48">
        <f t="shared" si="289"/>
        <v>166621</v>
      </c>
      <c r="F210" s="48">
        <f t="shared" si="290"/>
        <v>253095</v>
      </c>
      <c r="G210" s="49">
        <f>VLOOKUP(B210,'CALC MEC ESTAB Y ESTIM M FINAL'!$B$7:$F$352,5,0)</f>
        <v>1.4019406018999999E-3</v>
      </c>
      <c r="H210" s="49">
        <f>VLOOKUP(B210,'CALC MEC ESTAB Y ESTIM M FINAL'!$B$7:$R$352,17,0)</f>
        <v>-1.045226366E-4</v>
      </c>
      <c r="I210" s="46">
        <f t="shared" si="229"/>
        <v>106975</v>
      </c>
      <c r="J210" s="46">
        <f t="shared" si="230"/>
        <v>0</v>
      </c>
      <c r="K210" s="46">
        <f t="shared" si="231"/>
        <v>59646</v>
      </c>
      <c r="L210" s="46">
        <v>0</v>
      </c>
      <c r="M210" s="46">
        <f t="shared" si="232"/>
        <v>166621</v>
      </c>
      <c r="N210" s="46">
        <f t="shared" si="233"/>
        <v>59646</v>
      </c>
      <c r="O210" s="46">
        <f t="shared" si="234"/>
        <v>56886</v>
      </c>
      <c r="P210" s="46">
        <f t="shared" si="235"/>
        <v>0</v>
      </c>
      <c r="Q210" s="46">
        <f t="shared" si="236"/>
        <v>109735</v>
      </c>
      <c r="R210" s="46">
        <v>0</v>
      </c>
      <c r="S210" s="46">
        <f t="shared" si="237"/>
        <v>166621</v>
      </c>
      <c r="T210" s="46">
        <f t="shared" si="238"/>
        <v>169381</v>
      </c>
      <c r="U210" s="46">
        <f t="shared" si="239"/>
        <v>162282</v>
      </c>
      <c r="V210" s="46">
        <f t="shared" si="240"/>
        <v>0</v>
      </c>
      <c r="W210" s="46">
        <f t="shared" si="241"/>
        <v>0</v>
      </c>
      <c r="X210" s="46">
        <v>0</v>
      </c>
      <c r="Y210" s="46">
        <f t="shared" si="242"/>
        <v>162282</v>
      </c>
      <c r="Z210" s="46">
        <f t="shared" si="243"/>
        <v>169381</v>
      </c>
      <c r="AA210" s="46">
        <f t="shared" si="244"/>
        <v>86169</v>
      </c>
      <c r="AB210" s="46">
        <f t="shared" si="245"/>
        <v>0</v>
      </c>
      <c r="AC210" s="46">
        <f t="shared" si="246"/>
        <v>80452</v>
      </c>
      <c r="AD210" s="46">
        <v>0</v>
      </c>
      <c r="AE210" s="46">
        <f t="shared" si="247"/>
        <v>166621</v>
      </c>
      <c r="AF210" s="46">
        <f t="shared" si="248"/>
        <v>249833</v>
      </c>
      <c r="AG210" s="46">
        <f t="shared" si="249"/>
        <v>749833</v>
      </c>
      <c r="AH210" s="46">
        <f t="shared" si="250"/>
        <v>6921</v>
      </c>
      <c r="AI210" s="46">
        <f t="shared" si="251"/>
        <v>-249833</v>
      </c>
      <c r="AJ210" s="46">
        <v>0</v>
      </c>
      <c r="AK210" s="46">
        <f t="shared" si="252"/>
        <v>506921</v>
      </c>
      <c r="AL210" s="46">
        <f t="shared" si="253"/>
        <v>0</v>
      </c>
      <c r="AM210" s="46">
        <f t="shared" si="254"/>
        <v>148523</v>
      </c>
      <c r="AN210" s="46">
        <f t="shared" si="255"/>
        <v>4905</v>
      </c>
      <c r="AO210" s="46">
        <f t="shared" si="256"/>
        <v>18098</v>
      </c>
      <c r="AP210" s="46">
        <v>0</v>
      </c>
      <c r="AQ210" s="46">
        <f t="shared" si="257"/>
        <v>171526</v>
      </c>
      <c r="AR210" s="46">
        <f t="shared" si="258"/>
        <v>18098</v>
      </c>
      <c r="AS210" s="46">
        <f t="shared" si="259"/>
        <v>295237</v>
      </c>
      <c r="AT210" s="46">
        <f t="shared" si="260"/>
        <v>28662</v>
      </c>
      <c r="AU210" s="46">
        <f t="shared" si="261"/>
        <v>-18098</v>
      </c>
      <c r="AV210" s="46">
        <v>0</v>
      </c>
      <c r="AW210" s="46">
        <f t="shared" si="262"/>
        <v>305801</v>
      </c>
      <c r="AX210" s="46">
        <f t="shared" si="263"/>
        <v>0</v>
      </c>
      <c r="AY210" s="46">
        <f t="shared" si="264"/>
        <v>97521</v>
      </c>
      <c r="AZ210" s="46">
        <f t="shared" si="265"/>
        <v>0</v>
      </c>
      <c r="BA210" s="46">
        <f t="shared" si="266"/>
        <v>69100</v>
      </c>
      <c r="BB210" s="46"/>
      <c r="BC210" s="46">
        <f t="shared" si="267"/>
        <v>166621</v>
      </c>
      <c r="BD210" s="46">
        <f t="shared" si="268"/>
        <v>69100</v>
      </c>
      <c r="BE210" s="46">
        <f t="shared" si="269"/>
        <v>188788</v>
      </c>
      <c r="BF210" s="46">
        <f t="shared" si="270"/>
        <v>7027</v>
      </c>
      <c r="BG210" s="46">
        <f t="shared" si="271"/>
        <v>0</v>
      </c>
      <c r="BH210" s="46">
        <v>0</v>
      </c>
      <c r="BI210" s="46">
        <f t="shared" si="272"/>
        <v>195815</v>
      </c>
      <c r="BJ210" s="46">
        <f t="shared" si="273"/>
        <v>69100</v>
      </c>
      <c r="BK210" s="46">
        <f t="shared" si="274"/>
        <v>398335</v>
      </c>
      <c r="BL210" s="46">
        <f t="shared" si="275"/>
        <v>0</v>
      </c>
      <c r="BM210" s="46">
        <f t="shared" si="276"/>
        <v>-69100</v>
      </c>
      <c r="BN210" s="46">
        <v>0</v>
      </c>
      <c r="BO210" s="46">
        <f t="shared" si="277"/>
        <v>329235</v>
      </c>
      <c r="BP210" s="46">
        <f t="shared" si="278"/>
        <v>0</v>
      </c>
      <c r="BQ210" s="46">
        <f t="shared" si="279"/>
        <v>147839</v>
      </c>
      <c r="BR210" s="46">
        <f t="shared" si="280"/>
        <v>0</v>
      </c>
      <c r="BS210" s="46">
        <f t="shared" si="281"/>
        <v>18782</v>
      </c>
      <c r="BT210" s="46">
        <v>0</v>
      </c>
      <c r="BU210" s="46">
        <f t="shared" si="282"/>
        <v>166621</v>
      </c>
      <c r="BV210" s="46">
        <f t="shared" si="283"/>
        <v>18782</v>
      </c>
      <c r="BW210" s="46">
        <f t="shared" si="284"/>
        <v>283301</v>
      </c>
      <c r="BX210" s="46">
        <f t="shared" si="285"/>
        <v>46181</v>
      </c>
      <c r="BY210" s="46">
        <f t="shared" si="286"/>
        <v>-18782</v>
      </c>
      <c r="BZ210" s="46">
        <v>0</v>
      </c>
      <c r="CA210" s="46">
        <f t="shared" si="287"/>
        <v>310700</v>
      </c>
      <c r="CB210" s="46">
        <f t="shared" si="288"/>
        <v>0</v>
      </c>
      <c r="CC210" s="155">
        <f t="shared" si="291"/>
        <v>0</v>
      </c>
      <c r="CD210" s="79" t="s">
        <v>538</v>
      </c>
      <c r="CE210" s="65">
        <f t="shared" si="292"/>
        <v>166621</v>
      </c>
      <c r="CF210" s="65">
        <f t="shared" si="293"/>
        <v>166621</v>
      </c>
      <c r="CG210" s="65">
        <f t="shared" si="294"/>
        <v>162282</v>
      </c>
      <c r="CH210" s="65">
        <f t="shared" si="295"/>
        <v>166621</v>
      </c>
      <c r="CI210" s="65">
        <f t="shared" si="296"/>
        <v>506921</v>
      </c>
      <c r="CJ210" s="65">
        <f t="shared" si="297"/>
        <v>171526</v>
      </c>
      <c r="CK210" s="65">
        <f t="shared" si="298"/>
        <v>305801</v>
      </c>
      <c r="CL210" s="65">
        <f t="shared" si="299"/>
        <v>166621</v>
      </c>
      <c r="CM210" s="65">
        <f t="shared" si="300"/>
        <v>195815</v>
      </c>
      <c r="CN210" s="65">
        <f t="shared" si="301"/>
        <v>329235</v>
      </c>
      <c r="CO210" s="65">
        <f t="shared" si="302"/>
        <v>166621</v>
      </c>
      <c r="CP210" s="65">
        <f t="shared" si="303"/>
        <v>310700</v>
      </c>
      <c r="CQ210" s="40" t="s">
        <v>538</v>
      </c>
    </row>
    <row r="211" spans="1:95" ht="3" customHeight="1" x14ac:dyDescent="0.25">
      <c r="A211" s="39">
        <v>1</v>
      </c>
      <c r="B211" s="28">
        <v>9210</v>
      </c>
      <c r="C211" s="28" t="s">
        <v>413</v>
      </c>
      <c r="D211" s="48">
        <f>+DATA!Q209</f>
        <v>4580370.8990000002</v>
      </c>
      <c r="E211" s="48">
        <f t="shared" si="289"/>
        <v>301541</v>
      </c>
      <c r="F211" s="48">
        <f t="shared" si="290"/>
        <v>458037</v>
      </c>
      <c r="G211" s="49">
        <f>VLOOKUP(B211,'CALC MEC ESTAB Y ESTIM M FINAL'!$B$7:$F$352,5,0)</f>
        <v>2.2078584959999998E-3</v>
      </c>
      <c r="H211" s="49">
        <f>VLOOKUP(B211,'CALC MEC ESTAB Y ESTIM M FINAL'!$B$7:$R$352,17,0)</f>
        <v>-9.8028396000000001E-6</v>
      </c>
      <c r="I211" s="46">
        <f t="shared" si="229"/>
        <v>181234</v>
      </c>
      <c r="J211" s="46">
        <f t="shared" si="230"/>
        <v>0</v>
      </c>
      <c r="K211" s="46">
        <f t="shared" si="231"/>
        <v>120307</v>
      </c>
      <c r="L211" s="46">
        <v>0</v>
      </c>
      <c r="M211" s="46">
        <f t="shared" si="232"/>
        <v>301541</v>
      </c>
      <c r="N211" s="46">
        <f t="shared" si="233"/>
        <v>120307</v>
      </c>
      <c r="O211" s="46">
        <f t="shared" si="234"/>
        <v>96374</v>
      </c>
      <c r="P211" s="46">
        <f t="shared" si="235"/>
        <v>0</v>
      </c>
      <c r="Q211" s="46">
        <f t="shared" si="236"/>
        <v>205167</v>
      </c>
      <c r="R211" s="46">
        <v>0</v>
      </c>
      <c r="S211" s="46">
        <f t="shared" si="237"/>
        <v>301541</v>
      </c>
      <c r="T211" s="46">
        <f t="shared" si="238"/>
        <v>325474</v>
      </c>
      <c r="U211" s="46">
        <f t="shared" si="239"/>
        <v>274934</v>
      </c>
      <c r="V211" s="46">
        <f t="shared" si="240"/>
        <v>0</v>
      </c>
      <c r="W211" s="46">
        <f t="shared" si="241"/>
        <v>0</v>
      </c>
      <c r="X211" s="46">
        <v>0</v>
      </c>
      <c r="Y211" s="46">
        <f t="shared" si="242"/>
        <v>274934</v>
      </c>
      <c r="Z211" s="46">
        <f t="shared" si="243"/>
        <v>325474</v>
      </c>
      <c r="AA211" s="46">
        <f t="shared" si="244"/>
        <v>145986</v>
      </c>
      <c r="AB211" s="46">
        <f t="shared" si="245"/>
        <v>0</v>
      </c>
      <c r="AC211" s="46">
        <f t="shared" si="246"/>
        <v>155555</v>
      </c>
      <c r="AD211" s="46">
        <v>0</v>
      </c>
      <c r="AE211" s="46">
        <f t="shared" si="247"/>
        <v>301541</v>
      </c>
      <c r="AF211" s="46">
        <f t="shared" si="248"/>
        <v>481029</v>
      </c>
      <c r="AG211" s="46">
        <f t="shared" si="249"/>
        <v>1270350</v>
      </c>
      <c r="AH211" s="46">
        <f t="shared" si="250"/>
        <v>11725</v>
      </c>
      <c r="AI211" s="46">
        <f t="shared" si="251"/>
        <v>-481029</v>
      </c>
      <c r="AJ211" s="46">
        <v>0</v>
      </c>
      <c r="AK211" s="46">
        <f t="shared" si="252"/>
        <v>801046</v>
      </c>
      <c r="AL211" s="46">
        <f t="shared" si="253"/>
        <v>0</v>
      </c>
      <c r="AM211" s="46">
        <f t="shared" si="254"/>
        <v>251624</v>
      </c>
      <c r="AN211" s="46">
        <f t="shared" si="255"/>
        <v>8310</v>
      </c>
      <c r="AO211" s="46">
        <f t="shared" si="256"/>
        <v>49917</v>
      </c>
      <c r="AP211" s="46">
        <v>0</v>
      </c>
      <c r="AQ211" s="46">
        <f t="shared" si="257"/>
        <v>309851</v>
      </c>
      <c r="AR211" s="46">
        <f t="shared" si="258"/>
        <v>49917</v>
      </c>
      <c r="AS211" s="46">
        <f t="shared" si="259"/>
        <v>500184</v>
      </c>
      <c r="AT211" s="46">
        <f t="shared" si="260"/>
        <v>48559</v>
      </c>
      <c r="AU211" s="46">
        <f t="shared" si="261"/>
        <v>-42147</v>
      </c>
      <c r="AV211" s="46">
        <v>0</v>
      </c>
      <c r="AW211" s="46">
        <f t="shared" si="262"/>
        <v>506596</v>
      </c>
      <c r="AX211" s="46">
        <f t="shared" si="263"/>
        <v>7770</v>
      </c>
      <c r="AY211" s="46">
        <f t="shared" si="264"/>
        <v>165218</v>
      </c>
      <c r="AZ211" s="46">
        <f t="shared" si="265"/>
        <v>0</v>
      </c>
      <c r="BA211" s="46">
        <f t="shared" si="266"/>
        <v>136323</v>
      </c>
      <c r="BB211" s="46"/>
      <c r="BC211" s="46">
        <f t="shared" si="267"/>
        <v>301541</v>
      </c>
      <c r="BD211" s="46">
        <f t="shared" si="268"/>
        <v>144093</v>
      </c>
      <c r="BE211" s="46">
        <f t="shared" si="269"/>
        <v>319841</v>
      </c>
      <c r="BF211" s="46">
        <f t="shared" si="270"/>
        <v>11904</v>
      </c>
      <c r="BG211" s="46">
        <f t="shared" si="271"/>
        <v>0</v>
      </c>
      <c r="BH211" s="46">
        <v>0</v>
      </c>
      <c r="BI211" s="46">
        <f t="shared" si="272"/>
        <v>331745</v>
      </c>
      <c r="BJ211" s="46">
        <f t="shared" si="273"/>
        <v>144093</v>
      </c>
      <c r="BK211" s="46">
        <f t="shared" si="274"/>
        <v>674850</v>
      </c>
      <c r="BL211" s="46">
        <f t="shared" si="275"/>
        <v>0</v>
      </c>
      <c r="BM211" s="46">
        <f t="shared" si="276"/>
        <v>-144093</v>
      </c>
      <c r="BN211" s="46">
        <v>0</v>
      </c>
      <c r="BO211" s="46">
        <f t="shared" si="277"/>
        <v>530757</v>
      </c>
      <c r="BP211" s="46">
        <f t="shared" si="278"/>
        <v>0</v>
      </c>
      <c r="BQ211" s="46">
        <f t="shared" si="279"/>
        <v>250466</v>
      </c>
      <c r="BR211" s="46">
        <f t="shared" si="280"/>
        <v>0</v>
      </c>
      <c r="BS211" s="46">
        <f t="shared" si="281"/>
        <v>51075</v>
      </c>
      <c r="BT211" s="46">
        <v>0</v>
      </c>
      <c r="BU211" s="46">
        <f t="shared" si="282"/>
        <v>301541</v>
      </c>
      <c r="BV211" s="46">
        <f t="shared" si="283"/>
        <v>51075</v>
      </c>
      <c r="BW211" s="46">
        <f t="shared" si="284"/>
        <v>479961</v>
      </c>
      <c r="BX211" s="46">
        <f t="shared" si="285"/>
        <v>78239</v>
      </c>
      <c r="BY211" s="46">
        <f t="shared" si="286"/>
        <v>-51075</v>
      </c>
      <c r="BZ211" s="46">
        <v>0</v>
      </c>
      <c r="CA211" s="46">
        <f t="shared" si="287"/>
        <v>507125</v>
      </c>
      <c r="CB211" s="46">
        <f t="shared" si="288"/>
        <v>0</v>
      </c>
      <c r="CC211" s="155">
        <f t="shared" si="291"/>
        <v>0</v>
      </c>
      <c r="CD211" s="79" t="s">
        <v>538</v>
      </c>
      <c r="CE211" s="65">
        <f t="shared" si="292"/>
        <v>301541</v>
      </c>
      <c r="CF211" s="65">
        <f t="shared" si="293"/>
        <v>301541</v>
      </c>
      <c r="CG211" s="65">
        <f t="shared" si="294"/>
        <v>274934</v>
      </c>
      <c r="CH211" s="65">
        <f t="shared" si="295"/>
        <v>301541</v>
      </c>
      <c r="CI211" s="65">
        <f t="shared" si="296"/>
        <v>801046</v>
      </c>
      <c r="CJ211" s="65">
        <f t="shared" si="297"/>
        <v>309851</v>
      </c>
      <c r="CK211" s="65">
        <f t="shared" si="298"/>
        <v>506596</v>
      </c>
      <c r="CL211" s="65">
        <f t="shared" si="299"/>
        <v>301541</v>
      </c>
      <c r="CM211" s="65">
        <f t="shared" si="300"/>
        <v>331745</v>
      </c>
      <c r="CN211" s="65">
        <f t="shared" si="301"/>
        <v>530757</v>
      </c>
      <c r="CO211" s="65">
        <f t="shared" si="302"/>
        <v>301541</v>
      </c>
      <c r="CP211" s="65">
        <f t="shared" si="303"/>
        <v>507125</v>
      </c>
      <c r="CQ211" s="40" t="s">
        <v>538</v>
      </c>
    </row>
    <row r="212" spans="1:95" ht="3" customHeight="1" x14ac:dyDescent="0.25">
      <c r="A212" s="39">
        <v>1</v>
      </c>
      <c r="B212" s="28">
        <v>9211</v>
      </c>
      <c r="C212" s="28" t="s">
        <v>213</v>
      </c>
      <c r="D212" s="48">
        <f>+DATA!Q210</f>
        <v>6330582.1969999997</v>
      </c>
      <c r="E212" s="48">
        <f t="shared" si="289"/>
        <v>416763</v>
      </c>
      <c r="F212" s="48">
        <f t="shared" si="290"/>
        <v>633058</v>
      </c>
      <c r="G212" s="49">
        <f>VLOOKUP(B212,'CALC MEC ESTAB Y ESTIM M FINAL'!$B$7:$F$352,5,0)</f>
        <v>3.5992676399999998E-3</v>
      </c>
      <c r="H212" s="49">
        <f>VLOOKUP(B212,'CALC MEC ESTAB Y ESTIM M FINAL'!$B$7:$R$352,17,0)</f>
        <v>-3.1123346429999998E-4</v>
      </c>
      <c r="I212" s="46">
        <f t="shared" si="229"/>
        <v>271106</v>
      </c>
      <c r="J212" s="46">
        <f t="shared" si="230"/>
        <v>0</v>
      </c>
      <c r="K212" s="46">
        <f t="shared" si="231"/>
        <v>145657</v>
      </c>
      <c r="L212" s="46">
        <v>0</v>
      </c>
      <c r="M212" s="46">
        <f t="shared" si="232"/>
        <v>416763</v>
      </c>
      <c r="N212" s="46">
        <f t="shared" si="233"/>
        <v>145657</v>
      </c>
      <c r="O212" s="46">
        <f t="shared" si="234"/>
        <v>144165</v>
      </c>
      <c r="P212" s="46">
        <f t="shared" si="235"/>
        <v>0</v>
      </c>
      <c r="Q212" s="46">
        <f t="shared" si="236"/>
        <v>272598</v>
      </c>
      <c r="R212" s="46">
        <v>0</v>
      </c>
      <c r="S212" s="46">
        <f t="shared" si="237"/>
        <v>416763</v>
      </c>
      <c r="T212" s="46">
        <f t="shared" si="238"/>
        <v>418255</v>
      </c>
      <c r="U212" s="46">
        <f t="shared" si="239"/>
        <v>411270</v>
      </c>
      <c r="V212" s="46">
        <f t="shared" si="240"/>
        <v>0</v>
      </c>
      <c r="W212" s="46">
        <f t="shared" si="241"/>
        <v>0</v>
      </c>
      <c r="X212" s="46">
        <v>0</v>
      </c>
      <c r="Y212" s="46">
        <f t="shared" si="242"/>
        <v>411270</v>
      </c>
      <c r="Z212" s="46">
        <f t="shared" si="243"/>
        <v>418255</v>
      </c>
      <c r="AA212" s="46">
        <f t="shared" si="244"/>
        <v>218378</v>
      </c>
      <c r="AB212" s="46">
        <f t="shared" si="245"/>
        <v>0</v>
      </c>
      <c r="AC212" s="46">
        <f t="shared" si="246"/>
        <v>198385</v>
      </c>
      <c r="AD212" s="46">
        <v>0</v>
      </c>
      <c r="AE212" s="46">
        <f t="shared" si="247"/>
        <v>416763</v>
      </c>
      <c r="AF212" s="46">
        <f t="shared" si="248"/>
        <v>616640</v>
      </c>
      <c r="AG212" s="46">
        <f t="shared" si="249"/>
        <v>1900295</v>
      </c>
      <c r="AH212" s="46">
        <f t="shared" si="250"/>
        <v>17539</v>
      </c>
      <c r="AI212" s="46">
        <f t="shared" si="251"/>
        <v>-616640</v>
      </c>
      <c r="AJ212" s="46">
        <v>0</v>
      </c>
      <c r="AK212" s="46">
        <f t="shared" si="252"/>
        <v>1301194</v>
      </c>
      <c r="AL212" s="46">
        <f t="shared" si="253"/>
        <v>0</v>
      </c>
      <c r="AM212" s="46">
        <f t="shared" si="254"/>
        <v>376400</v>
      </c>
      <c r="AN212" s="46">
        <f t="shared" si="255"/>
        <v>12430</v>
      </c>
      <c r="AO212" s="46">
        <f t="shared" si="256"/>
        <v>40363</v>
      </c>
      <c r="AP212" s="46">
        <v>0</v>
      </c>
      <c r="AQ212" s="46">
        <f t="shared" si="257"/>
        <v>429193</v>
      </c>
      <c r="AR212" s="46">
        <f t="shared" si="258"/>
        <v>40363</v>
      </c>
      <c r="AS212" s="46">
        <f t="shared" si="259"/>
        <v>748216</v>
      </c>
      <c r="AT212" s="46">
        <f t="shared" si="260"/>
        <v>72638</v>
      </c>
      <c r="AU212" s="46">
        <f t="shared" si="261"/>
        <v>-40363</v>
      </c>
      <c r="AV212" s="46">
        <v>0</v>
      </c>
      <c r="AW212" s="46">
        <f t="shared" si="262"/>
        <v>780491</v>
      </c>
      <c r="AX212" s="46">
        <f t="shared" si="263"/>
        <v>0</v>
      </c>
      <c r="AY212" s="46">
        <f t="shared" si="264"/>
        <v>247147</v>
      </c>
      <c r="AZ212" s="46">
        <f t="shared" si="265"/>
        <v>0</v>
      </c>
      <c r="BA212" s="46">
        <f t="shared" si="266"/>
        <v>169616</v>
      </c>
      <c r="BB212" s="46"/>
      <c r="BC212" s="46">
        <f t="shared" si="267"/>
        <v>416763</v>
      </c>
      <c r="BD212" s="46">
        <f t="shared" si="268"/>
        <v>169616</v>
      </c>
      <c r="BE212" s="46">
        <f t="shared" si="269"/>
        <v>478444</v>
      </c>
      <c r="BF212" s="46">
        <f t="shared" si="270"/>
        <v>17807</v>
      </c>
      <c r="BG212" s="46">
        <f t="shared" si="271"/>
        <v>0</v>
      </c>
      <c r="BH212" s="46">
        <v>0</v>
      </c>
      <c r="BI212" s="46">
        <f t="shared" si="272"/>
        <v>496251</v>
      </c>
      <c r="BJ212" s="46">
        <f t="shared" si="273"/>
        <v>169616</v>
      </c>
      <c r="BK212" s="46">
        <f t="shared" si="274"/>
        <v>1009497</v>
      </c>
      <c r="BL212" s="46">
        <f t="shared" si="275"/>
        <v>0</v>
      </c>
      <c r="BM212" s="46">
        <f t="shared" si="276"/>
        <v>-169616</v>
      </c>
      <c r="BN212" s="46">
        <v>0</v>
      </c>
      <c r="BO212" s="46">
        <f t="shared" si="277"/>
        <v>839881</v>
      </c>
      <c r="BP212" s="46">
        <f t="shared" si="278"/>
        <v>0</v>
      </c>
      <c r="BQ212" s="46">
        <f t="shared" si="279"/>
        <v>374667</v>
      </c>
      <c r="BR212" s="46">
        <f t="shared" si="280"/>
        <v>0</v>
      </c>
      <c r="BS212" s="46">
        <f t="shared" si="281"/>
        <v>42096</v>
      </c>
      <c r="BT212" s="46">
        <v>0</v>
      </c>
      <c r="BU212" s="46">
        <f t="shared" si="282"/>
        <v>416763</v>
      </c>
      <c r="BV212" s="46">
        <f t="shared" si="283"/>
        <v>42096</v>
      </c>
      <c r="BW212" s="46">
        <f t="shared" si="284"/>
        <v>717966</v>
      </c>
      <c r="BX212" s="46">
        <f t="shared" si="285"/>
        <v>117036</v>
      </c>
      <c r="BY212" s="46">
        <f t="shared" si="286"/>
        <v>-42096</v>
      </c>
      <c r="BZ212" s="46">
        <v>0</v>
      </c>
      <c r="CA212" s="46">
        <f t="shared" si="287"/>
        <v>792906</v>
      </c>
      <c r="CB212" s="46">
        <f t="shared" si="288"/>
        <v>0</v>
      </c>
      <c r="CC212" s="155">
        <f t="shared" si="291"/>
        <v>0</v>
      </c>
      <c r="CD212" s="79" t="s">
        <v>538</v>
      </c>
      <c r="CE212" s="65">
        <f t="shared" si="292"/>
        <v>416763</v>
      </c>
      <c r="CF212" s="65">
        <f t="shared" si="293"/>
        <v>416763</v>
      </c>
      <c r="CG212" s="65">
        <f t="shared" si="294"/>
        <v>411270</v>
      </c>
      <c r="CH212" s="65">
        <f t="shared" si="295"/>
        <v>416763</v>
      </c>
      <c r="CI212" s="65">
        <f t="shared" si="296"/>
        <v>1301194</v>
      </c>
      <c r="CJ212" s="65">
        <f t="shared" si="297"/>
        <v>429193</v>
      </c>
      <c r="CK212" s="65">
        <f t="shared" si="298"/>
        <v>780491</v>
      </c>
      <c r="CL212" s="65">
        <f t="shared" si="299"/>
        <v>416763</v>
      </c>
      <c r="CM212" s="65">
        <f t="shared" si="300"/>
        <v>496251</v>
      </c>
      <c r="CN212" s="65">
        <f t="shared" si="301"/>
        <v>839881</v>
      </c>
      <c r="CO212" s="65">
        <f t="shared" si="302"/>
        <v>416763</v>
      </c>
      <c r="CP212" s="65">
        <f t="shared" si="303"/>
        <v>792906</v>
      </c>
      <c r="CQ212" s="40" t="s">
        <v>538</v>
      </c>
    </row>
    <row r="213" spans="1:95" ht="3" customHeight="1" x14ac:dyDescent="0.25">
      <c r="A213" s="39">
        <v>1</v>
      </c>
      <c r="B213" s="28">
        <v>10101</v>
      </c>
      <c r="C213" s="28" t="s">
        <v>246</v>
      </c>
      <c r="D213" s="48">
        <f>+DATA!Q211</f>
        <v>19457428.452</v>
      </c>
      <c r="E213" s="48">
        <f t="shared" si="289"/>
        <v>1280947</v>
      </c>
      <c r="F213" s="48">
        <f t="shared" si="290"/>
        <v>1945743</v>
      </c>
      <c r="G213" s="49">
        <f>VLOOKUP(B213,'CALC MEC ESTAB Y ESTIM M FINAL'!$B$7:$F$352,5,0)</f>
        <v>9.2874398216000013E-3</v>
      </c>
      <c r="H213" s="49">
        <f>VLOOKUP(B213,'CALC MEC ESTAB Y ESTIM M FINAL'!$B$7:$R$352,17,0)</f>
        <v>1.51735443E-5</v>
      </c>
      <c r="I213" s="46">
        <f t="shared" si="229"/>
        <v>767021</v>
      </c>
      <c r="J213" s="46">
        <f t="shared" si="230"/>
        <v>0</v>
      </c>
      <c r="K213" s="46">
        <f t="shared" si="231"/>
        <v>513926</v>
      </c>
      <c r="L213" s="46">
        <v>0</v>
      </c>
      <c r="M213" s="46">
        <f t="shared" si="232"/>
        <v>1280947</v>
      </c>
      <c r="N213" s="46">
        <f t="shared" si="233"/>
        <v>513926</v>
      </c>
      <c r="O213" s="46">
        <f t="shared" si="234"/>
        <v>407876</v>
      </c>
      <c r="P213" s="46">
        <f t="shared" si="235"/>
        <v>0</v>
      </c>
      <c r="Q213" s="46">
        <f t="shared" si="236"/>
        <v>873071</v>
      </c>
      <c r="R213" s="46">
        <v>0</v>
      </c>
      <c r="S213" s="46">
        <f t="shared" si="237"/>
        <v>1280947</v>
      </c>
      <c r="T213" s="46">
        <f t="shared" si="238"/>
        <v>1386997</v>
      </c>
      <c r="U213" s="46">
        <f t="shared" si="239"/>
        <v>1163577</v>
      </c>
      <c r="V213" s="46">
        <f t="shared" si="240"/>
        <v>0</v>
      </c>
      <c r="W213" s="46">
        <f t="shared" si="241"/>
        <v>0</v>
      </c>
      <c r="X213" s="46">
        <v>0</v>
      </c>
      <c r="Y213" s="46">
        <f t="shared" si="242"/>
        <v>1163577</v>
      </c>
      <c r="Z213" s="46">
        <f t="shared" si="243"/>
        <v>1386997</v>
      </c>
      <c r="AA213" s="46">
        <f t="shared" si="244"/>
        <v>617841</v>
      </c>
      <c r="AB213" s="46">
        <f t="shared" si="245"/>
        <v>0</v>
      </c>
      <c r="AC213" s="46">
        <f t="shared" si="246"/>
        <v>663106</v>
      </c>
      <c r="AD213" s="46">
        <v>0</v>
      </c>
      <c r="AE213" s="46">
        <f t="shared" si="247"/>
        <v>1280947</v>
      </c>
      <c r="AF213" s="46">
        <f t="shared" si="248"/>
        <v>2050103</v>
      </c>
      <c r="AG213" s="46">
        <f t="shared" si="249"/>
        <v>5376377</v>
      </c>
      <c r="AH213" s="46">
        <f t="shared" si="250"/>
        <v>49623</v>
      </c>
      <c r="AI213" s="46">
        <f t="shared" si="251"/>
        <v>-2050103</v>
      </c>
      <c r="AJ213" s="46">
        <v>0</v>
      </c>
      <c r="AK213" s="46">
        <f t="shared" si="252"/>
        <v>3375897</v>
      </c>
      <c r="AL213" s="46">
        <f t="shared" si="253"/>
        <v>0</v>
      </c>
      <c r="AM213" s="46">
        <f t="shared" si="254"/>
        <v>1064923</v>
      </c>
      <c r="AN213" s="46">
        <f t="shared" si="255"/>
        <v>35168</v>
      </c>
      <c r="AO213" s="46">
        <f t="shared" si="256"/>
        <v>216024</v>
      </c>
      <c r="AP213" s="46">
        <v>0</v>
      </c>
      <c r="AQ213" s="46">
        <f t="shared" si="257"/>
        <v>1316115</v>
      </c>
      <c r="AR213" s="46">
        <f t="shared" si="258"/>
        <v>216024</v>
      </c>
      <c r="AS213" s="46">
        <f t="shared" si="259"/>
        <v>2116877</v>
      </c>
      <c r="AT213" s="46">
        <f t="shared" si="260"/>
        <v>205510</v>
      </c>
      <c r="AU213" s="46">
        <f t="shared" si="261"/>
        <v>-171134</v>
      </c>
      <c r="AV213" s="46">
        <v>0</v>
      </c>
      <c r="AW213" s="46">
        <f t="shared" si="262"/>
        <v>2151253</v>
      </c>
      <c r="AX213" s="46">
        <f t="shared" si="263"/>
        <v>44890</v>
      </c>
      <c r="AY213" s="46">
        <f t="shared" si="264"/>
        <v>699237</v>
      </c>
      <c r="AZ213" s="46">
        <f t="shared" si="265"/>
        <v>0</v>
      </c>
      <c r="BA213" s="46">
        <f t="shared" si="266"/>
        <v>581710</v>
      </c>
      <c r="BB213" s="46"/>
      <c r="BC213" s="46">
        <f t="shared" si="267"/>
        <v>1280947</v>
      </c>
      <c r="BD213" s="46">
        <f t="shared" si="268"/>
        <v>626600</v>
      </c>
      <c r="BE213" s="46">
        <f t="shared" si="269"/>
        <v>1353630</v>
      </c>
      <c r="BF213" s="46">
        <f t="shared" si="270"/>
        <v>50381</v>
      </c>
      <c r="BG213" s="46">
        <f t="shared" si="271"/>
        <v>0</v>
      </c>
      <c r="BH213" s="46">
        <v>0</v>
      </c>
      <c r="BI213" s="46">
        <f t="shared" si="272"/>
        <v>1404011</v>
      </c>
      <c r="BJ213" s="46">
        <f t="shared" si="273"/>
        <v>626600</v>
      </c>
      <c r="BK213" s="46">
        <f t="shared" si="274"/>
        <v>2856101</v>
      </c>
      <c r="BL213" s="46">
        <f t="shared" si="275"/>
        <v>0</v>
      </c>
      <c r="BM213" s="46">
        <f t="shared" si="276"/>
        <v>-626600</v>
      </c>
      <c r="BN213" s="46">
        <v>0</v>
      </c>
      <c r="BO213" s="46">
        <f t="shared" si="277"/>
        <v>2229501</v>
      </c>
      <c r="BP213" s="46">
        <f t="shared" si="278"/>
        <v>0</v>
      </c>
      <c r="BQ213" s="46">
        <f t="shared" si="279"/>
        <v>1060021</v>
      </c>
      <c r="BR213" s="46">
        <f t="shared" si="280"/>
        <v>0</v>
      </c>
      <c r="BS213" s="46">
        <f t="shared" si="281"/>
        <v>220926</v>
      </c>
      <c r="BT213" s="46">
        <v>0</v>
      </c>
      <c r="BU213" s="46">
        <f t="shared" si="282"/>
        <v>1280947</v>
      </c>
      <c r="BV213" s="46">
        <f t="shared" si="283"/>
        <v>220926</v>
      </c>
      <c r="BW213" s="46">
        <f t="shared" si="284"/>
        <v>2031293</v>
      </c>
      <c r="BX213" s="46">
        <f t="shared" si="285"/>
        <v>331122</v>
      </c>
      <c r="BY213" s="46">
        <f t="shared" si="286"/>
        <v>-220926</v>
      </c>
      <c r="BZ213" s="46">
        <v>0</v>
      </c>
      <c r="CA213" s="46">
        <f t="shared" si="287"/>
        <v>2141489</v>
      </c>
      <c r="CB213" s="46">
        <f t="shared" si="288"/>
        <v>0</v>
      </c>
      <c r="CC213" s="155">
        <f t="shared" si="291"/>
        <v>0</v>
      </c>
      <c r="CD213" s="79" t="s">
        <v>538</v>
      </c>
      <c r="CE213" s="65">
        <f t="shared" si="292"/>
        <v>1280947</v>
      </c>
      <c r="CF213" s="65">
        <f t="shared" si="293"/>
        <v>1280947</v>
      </c>
      <c r="CG213" s="65">
        <f t="shared" si="294"/>
        <v>1163577</v>
      </c>
      <c r="CH213" s="65">
        <f t="shared" si="295"/>
        <v>1280947</v>
      </c>
      <c r="CI213" s="65">
        <f t="shared" si="296"/>
        <v>3375897</v>
      </c>
      <c r="CJ213" s="65">
        <f t="shared" si="297"/>
        <v>1316115</v>
      </c>
      <c r="CK213" s="65">
        <f t="shared" si="298"/>
        <v>2151253</v>
      </c>
      <c r="CL213" s="65">
        <f t="shared" si="299"/>
        <v>1280947</v>
      </c>
      <c r="CM213" s="65">
        <f t="shared" si="300"/>
        <v>1404011</v>
      </c>
      <c r="CN213" s="65">
        <f t="shared" si="301"/>
        <v>2229501</v>
      </c>
      <c r="CO213" s="65">
        <f t="shared" si="302"/>
        <v>1280947</v>
      </c>
      <c r="CP213" s="65">
        <f t="shared" si="303"/>
        <v>2141489</v>
      </c>
      <c r="CQ213" s="40" t="s">
        <v>538</v>
      </c>
    </row>
    <row r="214" spans="1:95" ht="3" customHeight="1" x14ac:dyDescent="0.25">
      <c r="A214" s="39">
        <v>1</v>
      </c>
      <c r="B214" s="28">
        <v>10102</v>
      </c>
      <c r="C214" s="28" t="s">
        <v>252</v>
      </c>
      <c r="D214" s="48">
        <f>+DATA!Q212</f>
        <v>4968660.3559999997</v>
      </c>
      <c r="E214" s="48">
        <f t="shared" si="289"/>
        <v>327103</v>
      </c>
      <c r="F214" s="48">
        <f t="shared" si="290"/>
        <v>496866</v>
      </c>
      <c r="G214" s="49">
        <f>VLOOKUP(B214,'CALC MEC ESTAB Y ESTIM M FINAL'!$B$7:$F$352,5,0)</f>
        <v>2.6456999753000001E-3</v>
      </c>
      <c r="H214" s="49">
        <f>VLOOKUP(B214,'CALC MEC ESTAB Y ESTIM M FINAL'!$B$7:$R$352,17,0)</f>
        <v>-1.467868131E-4</v>
      </c>
      <c r="I214" s="46">
        <f t="shared" si="229"/>
        <v>206041</v>
      </c>
      <c r="J214" s="46">
        <f t="shared" si="230"/>
        <v>0</v>
      </c>
      <c r="K214" s="46">
        <f t="shared" si="231"/>
        <v>121062</v>
      </c>
      <c r="L214" s="46">
        <v>0</v>
      </c>
      <c r="M214" s="46">
        <f t="shared" si="232"/>
        <v>327103</v>
      </c>
      <c r="N214" s="46">
        <f t="shared" si="233"/>
        <v>121062</v>
      </c>
      <c r="O214" s="46">
        <f t="shared" si="234"/>
        <v>109566</v>
      </c>
      <c r="P214" s="46">
        <f t="shared" si="235"/>
        <v>0</v>
      </c>
      <c r="Q214" s="46">
        <f t="shared" si="236"/>
        <v>217537</v>
      </c>
      <c r="R214" s="46">
        <v>0</v>
      </c>
      <c r="S214" s="46">
        <f t="shared" si="237"/>
        <v>327103</v>
      </c>
      <c r="T214" s="46">
        <f t="shared" si="238"/>
        <v>338599</v>
      </c>
      <c r="U214" s="46">
        <f t="shared" si="239"/>
        <v>312566</v>
      </c>
      <c r="V214" s="46">
        <f t="shared" si="240"/>
        <v>0</v>
      </c>
      <c r="W214" s="46">
        <f t="shared" si="241"/>
        <v>0</v>
      </c>
      <c r="X214" s="46">
        <v>0</v>
      </c>
      <c r="Y214" s="46">
        <f t="shared" si="242"/>
        <v>312566</v>
      </c>
      <c r="Z214" s="46">
        <f t="shared" si="243"/>
        <v>338599</v>
      </c>
      <c r="AA214" s="46">
        <f t="shared" si="244"/>
        <v>165968</v>
      </c>
      <c r="AB214" s="46">
        <f t="shared" si="245"/>
        <v>0</v>
      </c>
      <c r="AC214" s="46">
        <f t="shared" si="246"/>
        <v>161135</v>
      </c>
      <c r="AD214" s="46">
        <v>0</v>
      </c>
      <c r="AE214" s="46">
        <f t="shared" si="247"/>
        <v>327103</v>
      </c>
      <c r="AF214" s="46">
        <f t="shared" si="248"/>
        <v>499734</v>
      </c>
      <c r="AG214" s="46">
        <f t="shared" si="249"/>
        <v>1444228</v>
      </c>
      <c r="AH214" s="46">
        <f t="shared" si="250"/>
        <v>13330</v>
      </c>
      <c r="AI214" s="46">
        <f t="shared" si="251"/>
        <v>-499734</v>
      </c>
      <c r="AJ214" s="46">
        <v>0</v>
      </c>
      <c r="AK214" s="46">
        <f t="shared" si="252"/>
        <v>957824</v>
      </c>
      <c r="AL214" s="46">
        <f t="shared" si="253"/>
        <v>0</v>
      </c>
      <c r="AM214" s="46">
        <f t="shared" si="254"/>
        <v>286065</v>
      </c>
      <c r="AN214" s="46">
        <f t="shared" si="255"/>
        <v>9447</v>
      </c>
      <c r="AO214" s="46">
        <f t="shared" si="256"/>
        <v>41038</v>
      </c>
      <c r="AP214" s="46">
        <v>0</v>
      </c>
      <c r="AQ214" s="46">
        <f t="shared" si="257"/>
        <v>336550</v>
      </c>
      <c r="AR214" s="46">
        <f t="shared" si="258"/>
        <v>41038</v>
      </c>
      <c r="AS214" s="46">
        <f t="shared" si="259"/>
        <v>568646</v>
      </c>
      <c r="AT214" s="46">
        <f t="shared" si="260"/>
        <v>55205</v>
      </c>
      <c r="AU214" s="46">
        <f t="shared" si="261"/>
        <v>-41038</v>
      </c>
      <c r="AV214" s="46">
        <v>0</v>
      </c>
      <c r="AW214" s="46">
        <f t="shared" si="262"/>
        <v>582813</v>
      </c>
      <c r="AX214" s="46">
        <f t="shared" si="263"/>
        <v>0</v>
      </c>
      <c r="AY214" s="46">
        <f t="shared" si="264"/>
        <v>187832</v>
      </c>
      <c r="AZ214" s="46">
        <f t="shared" si="265"/>
        <v>0</v>
      </c>
      <c r="BA214" s="46">
        <f t="shared" si="266"/>
        <v>139271</v>
      </c>
      <c r="BB214" s="46"/>
      <c r="BC214" s="46">
        <f t="shared" si="267"/>
        <v>327103</v>
      </c>
      <c r="BD214" s="46">
        <f t="shared" si="268"/>
        <v>139271</v>
      </c>
      <c r="BE214" s="46">
        <f t="shared" si="269"/>
        <v>363619</v>
      </c>
      <c r="BF214" s="46">
        <f t="shared" si="270"/>
        <v>13534</v>
      </c>
      <c r="BG214" s="46">
        <f t="shared" si="271"/>
        <v>0</v>
      </c>
      <c r="BH214" s="46">
        <v>0</v>
      </c>
      <c r="BI214" s="46">
        <f t="shared" si="272"/>
        <v>377153</v>
      </c>
      <c r="BJ214" s="46">
        <f t="shared" si="273"/>
        <v>139271</v>
      </c>
      <c r="BK214" s="46">
        <f t="shared" si="274"/>
        <v>767220</v>
      </c>
      <c r="BL214" s="46">
        <f t="shared" si="275"/>
        <v>0</v>
      </c>
      <c r="BM214" s="46">
        <f t="shared" si="276"/>
        <v>-139271</v>
      </c>
      <c r="BN214" s="46">
        <v>0</v>
      </c>
      <c r="BO214" s="46">
        <f t="shared" si="277"/>
        <v>627949</v>
      </c>
      <c r="BP214" s="46">
        <f t="shared" si="278"/>
        <v>0</v>
      </c>
      <c r="BQ214" s="46">
        <f t="shared" si="279"/>
        <v>284748</v>
      </c>
      <c r="BR214" s="46">
        <f t="shared" si="280"/>
        <v>0</v>
      </c>
      <c r="BS214" s="46">
        <f t="shared" si="281"/>
        <v>42355</v>
      </c>
      <c r="BT214" s="46">
        <v>0</v>
      </c>
      <c r="BU214" s="46">
        <f t="shared" si="282"/>
        <v>327103</v>
      </c>
      <c r="BV214" s="46">
        <f t="shared" si="283"/>
        <v>42355</v>
      </c>
      <c r="BW214" s="46">
        <f t="shared" si="284"/>
        <v>545656</v>
      </c>
      <c r="BX214" s="46">
        <f t="shared" si="285"/>
        <v>88948</v>
      </c>
      <c r="BY214" s="46">
        <f t="shared" si="286"/>
        <v>-42355</v>
      </c>
      <c r="BZ214" s="46">
        <v>0</v>
      </c>
      <c r="CA214" s="46">
        <f t="shared" si="287"/>
        <v>592249</v>
      </c>
      <c r="CB214" s="46">
        <f t="shared" si="288"/>
        <v>0</v>
      </c>
      <c r="CC214" s="155">
        <f t="shared" si="291"/>
        <v>0</v>
      </c>
      <c r="CD214" s="79" t="s">
        <v>538</v>
      </c>
      <c r="CE214" s="65">
        <f t="shared" si="292"/>
        <v>327103</v>
      </c>
      <c r="CF214" s="65">
        <f t="shared" si="293"/>
        <v>327103</v>
      </c>
      <c r="CG214" s="65">
        <f t="shared" si="294"/>
        <v>312566</v>
      </c>
      <c r="CH214" s="65">
        <f t="shared" si="295"/>
        <v>327103</v>
      </c>
      <c r="CI214" s="65">
        <f t="shared" si="296"/>
        <v>957824</v>
      </c>
      <c r="CJ214" s="65">
        <f t="shared" si="297"/>
        <v>336550</v>
      </c>
      <c r="CK214" s="65">
        <f t="shared" si="298"/>
        <v>582813</v>
      </c>
      <c r="CL214" s="65">
        <f t="shared" si="299"/>
        <v>327103</v>
      </c>
      <c r="CM214" s="65">
        <f t="shared" si="300"/>
        <v>377153</v>
      </c>
      <c r="CN214" s="65">
        <f t="shared" si="301"/>
        <v>627949</v>
      </c>
      <c r="CO214" s="65">
        <f t="shared" si="302"/>
        <v>327103</v>
      </c>
      <c r="CP214" s="65">
        <f t="shared" si="303"/>
        <v>592249</v>
      </c>
      <c r="CQ214" s="40" t="s">
        <v>538</v>
      </c>
    </row>
    <row r="215" spans="1:95" ht="3" customHeight="1" x14ac:dyDescent="0.25">
      <c r="A215" s="39">
        <v>1</v>
      </c>
      <c r="B215" s="28">
        <v>10103</v>
      </c>
      <c r="C215" s="28" t="s">
        <v>414</v>
      </c>
      <c r="D215" s="48">
        <f>+DATA!Q213</f>
        <v>1617705.503</v>
      </c>
      <c r="E215" s="48">
        <f t="shared" si="289"/>
        <v>106499</v>
      </c>
      <c r="F215" s="48">
        <f t="shared" si="290"/>
        <v>161771</v>
      </c>
      <c r="G215" s="49">
        <f>VLOOKUP(B215,'CALC MEC ESTAB Y ESTIM M FINAL'!$B$7:$F$352,5,0)</f>
        <v>8.4630116429999997E-4</v>
      </c>
      <c r="H215" s="49">
        <f>VLOOKUP(B215,'CALC MEC ESTAB Y ESTIM M FINAL'!$B$7:$R$352,17,0)</f>
        <v>-3.9743003299999998E-5</v>
      </c>
      <c r="I215" s="46">
        <f t="shared" si="229"/>
        <v>66502</v>
      </c>
      <c r="J215" s="46">
        <f t="shared" si="230"/>
        <v>0</v>
      </c>
      <c r="K215" s="46">
        <f t="shared" si="231"/>
        <v>39997</v>
      </c>
      <c r="L215" s="46">
        <v>0</v>
      </c>
      <c r="M215" s="46">
        <f t="shared" si="232"/>
        <v>106499</v>
      </c>
      <c r="N215" s="46">
        <f t="shared" si="233"/>
        <v>39997</v>
      </c>
      <c r="O215" s="46">
        <f t="shared" si="234"/>
        <v>35364</v>
      </c>
      <c r="P215" s="46">
        <f t="shared" si="235"/>
        <v>0</v>
      </c>
      <c r="Q215" s="46">
        <f t="shared" si="236"/>
        <v>71135</v>
      </c>
      <c r="R215" s="46">
        <v>0</v>
      </c>
      <c r="S215" s="46">
        <f t="shared" si="237"/>
        <v>106499</v>
      </c>
      <c r="T215" s="46">
        <f t="shared" si="238"/>
        <v>111132</v>
      </c>
      <c r="U215" s="46">
        <f t="shared" si="239"/>
        <v>100885</v>
      </c>
      <c r="V215" s="46">
        <f t="shared" si="240"/>
        <v>0</v>
      </c>
      <c r="W215" s="46">
        <f t="shared" si="241"/>
        <v>0</v>
      </c>
      <c r="X215" s="46">
        <v>0</v>
      </c>
      <c r="Y215" s="46">
        <f t="shared" si="242"/>
        <v>100885</v>
      </c>
      <c r="Z215" s="46">
        <f t="shared" si="243"/>
        <v>111132</v>
      </c>
      <c r="AA215" s="46">
        <f t="shared" si="244"/>
        <v>53568</v>
      </c>
      <c r="AB215" s="46">
        <f t="shared" si="245"/>
        <v>0</v>
      </c>
      <c r="AC215" s="46">
        <f t="shared" si="246"/>
        <v>52931</v>
      </c>
      <c r="AD215" s="46">
        <v>0</v>
      </c>
      <c r="AE215" s="46">
        <f t="shared" si="247"/>
        <v>106499</v>
      </c>
      <c r="AF215" s="46">
        <f t="shared" si="248"/>
        <v>164063</v>
      </c>
      <c r="AG215" s="46">
        <f t="shared" si="249"/>
        <v>466144</v>
      </c>
      <c r="AH215" s="46">
        <f t="shared" si="250"/>
        <v>4302</v>
      </c>
      <c r="AI215" s="46">
        <f t="shared" si="251"/>
        <v>-164063</v>
      </c>
      <c r="AJ215" s="46">
        <v>0</v>
      </c>
      <c r="AK215" s="46">
        <f t="shared" si="252"/>
        <v>306383</v>
      </c>
      <c r="AL215" s="46">
        <f t="shared" si="253"/>
        <v>0</v>
      </c>
      <c r="AM215" s="46">
        <f t="shared" si="254"/>
        <v>92331</v>
      </c>
      <c r="AN215" s="46">
        <f t="shared" si="255"/>
        <v>3049</v>
      </c>
      <c r="AO215" s="46">
        <f t="shared" si="256"/>
        <v>14168</v>
      </c>
      <c r="AP215" s="46">
        <v>0</v>
      </c>
      <c r="AQ215" s="46">
        <f t="shared" si="257"/>
        <v>109548</v>
      </c>
      <c r="AR215" s="46">
        <f t="shared" si="258"/>
        <v>14168</v>
      </c>
      <c r="AS215" s="46">
        <f t="shared" si="259"/>
        <v>183538</v>
      </c>
      <c r="AT215" s="46">
        <f t="shared" si="260"/>
        <v>17818</v>
      </c>
      <c r="AU215" s="46">
        <f t="shared" si="261"/>
        <v>-14168</v>
      </c>
      <c r="AV215" s="46">
        <v>0</v>
      </c>
      <c r="AW215" s="46">
        <f t="shared" si="262"/>
        <v>187188</v>
      </c>
      <c r="AX215" s="46">
        <f t="shared" si="263"/>
        <v>0</v>
      </c>
      <c r="AY215" s="46">
        <f t="shared" si="264"/>
        <v>60625</v>
      </c>
      <c r="AZ215" s="46">
        <f t="shared" si="265"/>
        <v>0</v>
      </c>
      <c r="BA215" s="46">
        <f t="shared" si="266"/>
        <v>45874</v>
      </c>
      <c r="BB215" s="46"/>
      <c r="BC215" s="46">
        <f t="shared" si="267"/>
        <v>106499</v>
      </c>
      <c r="BD215" s="46">
        <f t="shared" si="268"/>
        <v>45874</v>
      </c>
      <c r="BE215" s="46">
        <f t="shared" si="269"/>
        <v>117363</v>
      </c>
      <c r="BF215" s="46">
        <f t="shared" si="270"/>
        <v>4368</v>
      </c>
      <c r="BG215" s="46">
        <f t="shared" si="271"/>
        <v>0</v>
      </c>
      <c r="BH215" s="46">
        <v>0</v>
      </c>
      <c r="BI215" s="46">
        <f t="shared" si="272"/>
        <v>121731</v>
      </c>
      <c r="BJ215" s="46">
        <f t="shared" si="273"/>
        <v>45874</v>
      </c>
      <c r="BK215" s="46">
        <f t="shared" si="274"/>
        <v>247631</v>
      </c>
      <c r="BL215" s="46">
        <f t="shared" si="275"/>
        <v>0</v>
      </c>
      <c r="BM215" s="46">
        <f t="shared" si="276"/>
        <v>-45874</v>
      </c>
      <c r="BN215" s="46">
        <v>0</v>
      </c>
      <c r="BO215" s="46">
        <f t="shared" si="277"/>
        <v>201757</v>
      </c>
      <c r="BP215" s="46">
        <f t="shared" si="278"/>
        <v>0</v>
      </c>
      <c r="BQ215" s="46">
        <f t="shared" si="279"/>
        <v>91906</v>
      </c>
      <c r="BR215" s="46">
        <f t="shared" si="280"/>
        <v>0</v>
      </c>
      <c r="BS215" s="46">
        <f t="shared" si="281"/>
        <v>14593</v>
      </c>
      <c r="BT215" s="46">
        <v>0</v>
      </c>
      <c r="BU215" s="46">
        <f t="shared" si="282"/>
        <v>106499</v>
      </c>
      <c r="BV215" s="46">
        <f t="shared" si="283"/>
        <v>14593</v>
      </c>
      <c r="BW215" s="46">
        <f t="shared" si="284"/>
        <v>176118</v>
      </c>
      <c r="BX215" s="46">
        <f t="shared" si="285"/>
        <v>28709</v>
      </c>
      <c r="BY215" s="46">
        <f t="shared" si="286"/>
        <v>-14593</v>
      </c>
      <c r="BZ215" s="46">
        <v>0</v>
      </c>
      <c r="CA215" s="46">
        <f t="shared" si="287"/>
        <v>190234</v>
      </c>
      <c r="CB215" s="46">
        <f t="shared" si="288"/>
        <v>0</v>
      </c>
      <c r="CC215" s="155">
        <f t="shared" si="291"/>
        <v>0</v>
      </c>
      <c r="CD215" s="79" t="s">
        <v>538</v>
      </c>
      <c r="CE215" s="65">
        <f t="shared" si="292"/>
        <v>106499</v>
      </c>
      <c r="CF215" s="65">
        <f t="shared" si="293"/>
        <v>106499</v>
      </c>
      <c r="CG215" s="65">
        <f t="shared" si="294"/>
        <v>100885</v>
      </c>
      <c r="CH215" s="65">
        <f t="shared" si="295"/>
        <v>106499</v>
      </c>
      <c r="CI215" s="65">
        <f t="shared" si="296"/>
        <v>306383</v>
      </c>
      <c r="CJ215" s="65">
        <f t="shared" si="297"/>
        <v>109548</v>
      </c>
      <c r="CK215" s="65">
        <f t="shared" si="298"/>
        <v>187188</v>
      </c>
      <c r="CL215" s="65">
        <f t="shared" si="299"/>
        <v>106499</v>
      </c>
      <c r="CM215" s="65">
        <f t="shared" si="300"/>
        <v>121731</v>
      </c>
      <c r="CN215" s="65">
        <f t="shared" si="301"/>
        <v>201757</v>
      </c>
      <c r="CO215" s="65">
        <f t="shared" si="302"/>
        <v>106499</v>
      </c>
      <c r="CP215" s="65">
        <f t="shared" si="303"/>
        <v>190234</v>
      </c>
      <c r="CQ215" s="40" t="s">
        <v>538</v>
      </c>
    </row>
    <row r="216" spans="1:95" ht="3" customHeight="1" x14ac:dyDescent="0.25">
      <c r="A216" s="39">
        <v>1</v>
      </c>
      <c r="B216" s="28">
        <v>10104</v>
      </c>
      <c r="C216" s="28" t="s">
        <v>248</v>
      </c>
      <c r="D216" s="48">
        <f>+DATA!Q214</f>
        <v>2415341.7480000001</v>
      </c>
      <c r="E216" s="48">
        <f t="shared" si="289"/>
        <v>159010</v>
      </c>
      <c r="F216" s="48">
        <f t="shared" si="290"/>
        <v>241534</v>
      </c>
      <c r="G216" s="49">
        <f>VLOOKUP(B216,'CALC MEC ESTAB Y ESTIM M FINAL'!$B$7:$F$352,5,0)</f>
        <v>1.2241028465E-3</v>
      </c>
      <c r="H216" s="49">
        <f>VLOOKUP(B216,'CALC MEC ESTAB Y ESTIM M FINAL'!$B$7:$R$352,17,0)</f>
        <v>-3.7798923799999997E-5</v>
      </c>
      <c r="I216" s="46">
        <f t="shared" si="229"/>
        <v>97813</v>
      </c>
      <c r="J216" s="46">
        <f t="shared" si="230"/>
        <v>0</v>
      </c>
      <c r="K216" s="46">
        <f t="shared" si="231"/>
        <v>61197</v>
      </c>
      <c r="L216" s="46">
        <v>0</v>
      </c>
      <c r="M216" s="46">
        <f t="shared" si="232"/>
        <v>159010</v>
      </c>
      <c r="N216" s="46">
        <f t="shared" si="233"/>
        <v>61197</v>
      </c>
      <c r="O216" s="46">
        <f t="shared" si="234"/>
        <v>52014</v>
      </c>
      <c r="P216" s="46">
        <f t="shared" si="235"/>
        <v>0</v>
      </c>
      <c r="Q216" s="46">
        <f t="shared" si="236"/>
        <v>106996</v>
      </c>
      <c r="R216" s="46">
        <v>0</v>
      </c>
      <c r="S216" s="46">
        <f t="shared" si="237"/>
        <v>159010</v>
      </c>
      <c r="T216" s="46">
        <f t="shared" si="238"/>
        <v>168193</v>
      </c>
      <c r="U216" s="46">
        <f t="shared" si="239"/>
        <v>148384</v>
      </c>
      <c r="V216" s="46">
        <f t="shared" si="240"/>
        <v>0</v>
      </c>
      <c r="W216" s="46">
        <f t="shared" si="241"/>
        <v>0</v>
      </c>
      <c r="X216" s="46">
        <v>0</v>
      </c>
      <c r="Y216" s="46">
        <f t="shared" si="242"/>
        <v>148384</v>
      </c>
      <c r="Z216" s="46">
        <f t="shared" si="243"/>
        <v>168193</v>
      </c>
      <c r="AA216" s="46">
        <f t="shared" si="244"/>
        <v>78789</v>
      </c>
      <c r="AB216" s="46">
        <f t="shared" si="245"/>
        <v>0</v>
      </c>
      <c r="AC216" s="46">
        <f t="shared" si="246"/>
        <v>80221</v>
      </c>
      <c r="AD216" s="46">
        <v>0</v>
      </c>
      <c r="AE216" s="46">
        <f t="shared" si="247"/>
        <v>159010</v>
      </c>
      <c r="AF216" s="46">
        <f t="shared" si="248"/>
        <v>248414</v>
      </c>
      <c r="AG216" s="46">
        <f t="shared" si="249"/>
        <v>685616</v>
      </c>
      <c r="AH216" s="46">
        <f t="shared" si="250"/>
        <v>6328</v>
      </c>
      <c r="AI216" s="46">
        <f t="shared" si="251"/>
        <v>-248414</v>
      </c>
      <c r="AJ216" s="46">
        <v>0</v>
      </c>
      <c r="AK216" s="46">
        <f t="shared" si="252"/>
        <v>443530</v>
      </c>
      <c r="AL216" s="46">
        <f t="shared" si="253"/>
        <v>0</v>
      </c>
      <c r="AM216" s="46">
        <f t="shared" si="254"/>
        <v>135803</v>
      </c>
      <c r="AN216" s="46">
        <f t="shared" si="255"/>
        <v>4485</v>
      </c>
      <c r="AO216" s="46">
        <f t="shared" si="256"/>
        <v>23207</v>
      </c>
      <c r="AP216" s="46">
        <v>0</v>
      </c>
      <c r="AQ216" s="46">
        <f t="shared" si="257"/>
        <v>163495</v>
      </c>
      <c r="AR216" s="46">
        <f t="shared" si="258"/>
        <v>23207</v>
      </c>
      <c r="AS216" s="46">
        <f t="shared" si="259"/>
        <v>269952</v>
      </c>
      <c r="AT216" s="46">
        <f t="shared" si="260"/>
        <v>26207</v>
      </c>
      <c r="AU216" s="46">
        <f t="shared" si="261"/>
        <v>-23207</v>
      </c>
      <c r="AV216" s="46">
        <v>0</v>
      </c>
      <c r="AW216" s="46">
        <f t="shared" si="262"/>
        <v>272952</v>
      </c>
      <c r="AX216" s="46">
        <f t="shared" si="263"/>
        <v>0</v>
      </c>
      <c r="AY216" s="46">
        <f t="shared" si="264"/>
        <v>89169</v>
      </c>
      <c r="AZ216" s="46">
        <f t="shared" si="265"/>
        <v>0</v>
      </c>
      <c r="BA216" s="46">
        <f t="shared" si="266"/>
        <v>69841</v>
      </c>
      <c r="BB216" s="46"/>
      <c r="BC216" s="46">
        <f t="shared" si="267"/>
        <v>159010</v>
      </c>
      <c r="BD216" s="46">
        <f t="shared" si="268"/>
        <v>69841</v>
      </c>
      <c r="BE216" s="46">
        <f t="shared" si="269"/>
        <v>172620</v>
      </c>
      <c r="BF216" s="46">
        <f t="shared" si="270"/>
        <v>6425</v>
      </c>
      <c r="BG216" s="46">
        <f t="shared" si="271"/>
        <v>0</v>
      </c>
      <c r="BH216" s="46">
        <v>0</v>
      </c>
      <c r="BI216" s="46">
        <f t="shared" si="272"/>
        <v>179045</v>
      </c>
      <c r="BJ216" s="46">
        <f t="shared" si="273"/>
        <v>69841</v>
      </c>
      <c r="BK216" s="46">
        <f t="shared" si="274"/>
        <v>364221</v>
      </c>
      <c r="BL216" s="46">
        <f t="shared" si="275"/>
        <v>0</v>
      </c>
      <c r="BM216" s="46">
        <f t="shared" si="276"/>
        <v>-69841</v>
      </c>
      <c r="BN216" s="46">
        <v>0</v>
      </c>
      <c r="BO216" s="46">
        <f t="shared" si="277"/>
        <v>294380</v>
      </c>
      <c r="BP216" s="46">
        <f t="shared" si="278"/>
        <v>0</v>
      </c>
      <c r="BQ216" s="46">
        <f t="shared" si="279"/>
        <v>135178</v>
      </c>
      <c r="BR216" s="46">
        <f t="shared" si="280"/>
        <v>0</v>
      </c>
      <c r="BS216" s="46">
        <f t="shared" si="281"/>
        <v>23832</v>
      </c>
      <c r="BT216" s="46">
        <v>0</v>
      </c>
      <c r="BU216" s="46">
        <f t="shared" si="282"/>
        <v>159010</v>
      </c>
      <c r="BV216" s="46">
        <f t="shared" si="283"/>
        <v>23832</v>
      </c>
      <c r="BW216" s="46">
        <f t="shared" si="284"/>
        <v>259038</v>
      </c>
      <c r="BX216" s="46">
        <f t="shared" si="285"/>
        <v>42226</v>
      </c>
      <c r="BY216" s="46">
        <f t="shared" si="286"/>
        <v>-23832</v>
      </c>
      <c r="BZ216" s="46">
        <v>0</v>
      </c>
      <c r="CA216" s="46">
        <f t="shared" si="287"/>
        <v>277432</v>
      </c>
      <c r="CB216" s="46">
        <f t="shared" si="288"/>
        <v>0</v>
      </c>
      <c r="CC216" s="155">
        <f t="shared" si="291"/>
        <v>0</v>
      </c>
      <c r="CD216" s="79" t="s">
        <v>538</v>
      </c>
      <c r="CE216" s="65">
        <f t="shared" si="292"/>
        <v>159010</v>
      </c>
      <c r="CF216" s="65">
        <f t="shared" si="293"/>
        <v>159010</v>
      </c>
      <c r="CG216" s="65">
        <f t="shared" si="294"/>
        <v>148384</v>
      </c>
      <c r="CH216" s="65">
        <f t="shared" si="295"/>
        <v>159010</v>
      </c>
      <c r="CI216" s="65">
        <f t="shared" si="296"/>
        <v>443530</v>
      </c>
      <c r="CJ216" s="65">
        <f t="shared" si="297"/>
        <v>163495</v>
      </c>
      <c r="CK216" s="65">
        <f t="shared" si="298"/>
        <v>272952</v>
      </c>
      <c r="CL216" s="65">
        <f t="shared" si="299"/>
        <v>159010</v>
      </c>
      <c r="CM216" s="65">
        <f t="shared" si="300"/>
        <v>179045</v>
      </c>
      <c r="CN216" s="65">
        <f t="shared" si="301"/>
        <v>294380</v>
      </c>
      <c r="CO216" s="65">
        <f t="shared" si="302"/>
        <v>159010</v>
      </c>
      <c r="CP216" s="65">
        <f t="shared" si="303"/>
        <v>277432</v>
      </c>
      <c r="CQ216" s="40" t="s">
        <v>538</v>
      </c>
    </row>
    <row r="217" spans="1:95" ht="3" customHeight="1" x14ac:dyDescent="0.25">
      <c r="A217" s="39">
        <v>1</v>
      </c>
      <c r="B217" s="28">
        <v>10105</v>
      </c>
      <c r="C217" s="28" t="s">
        <v>249</v>
      </c>
      <c r="D217" s="48">
        <f>+DATA!Q215</f>
        <v>2053830.5179999999</v>
      </c>
      <c r="E217" s="48">
        <f t="shared" si="289"/>
        <v>135211</v>
      </c>
      <c r="F217" s="48">
        <f t="shared" si="290"/>
        <v>205383</v>
      </c>
      <c r="G217" s="49">
        <f>VLOOKUP(B217,'CALC MEC ESTAB Y ESTIM M FINAL'!$B$7:$F$352,5,0)</f>
        <v>1.0393933335999998E-3</v>
      </c>
      <c r="H217" s="49">
        <f>VLOOKUP(B217,'CALC MEC ESTAB Y ESTIM M FINAL'!$B$7:$R$352,17,0)</f>
        <v>-3.1660522600000003E-5</v>
      </c>
      <c r="I217" s="46">
        <f t="shared" si="229"/>
        <v>83090</v>
      </c>
      <c r="J217" s="46">
        <f t="shared" si="230"/>
        <v>0</v>
      </c>
      <c r="K217" s="46">
        <f t="shared" si="231"/>
        <v>52121</v>
      </c>
      <c r="L217" s="46">
        <v>0</v>
      </c>
      <c r="M217" s="46">
        <f t="shared" si="232"/>
        <v>135211</v>
      </c>
      <c r="N217" s="46">
        <f t="shared" si="233"/>
        <v>52121</v>
      </c>
      <c r="O217" s="46">
        <f t="shared" si="234"/>
        <v>44184</v>
      </c>
      <c r="P217" s="46">
        <f t="shared" si="235"/>
        <v>0</v>
      </c>
      <c r="Q217" s="46">
        <f t="shared" si="236"/>
        <v>91027</v>
      </c>
      <c r="R217" s="46">
        <v>0</v>
      </c>
      <c r="S217" s="46">
        <f t="shared" si="237"/>
        <v>135211</v>
      </c>
      <c r="T217" s="46">
        <f t="shared" si="238"/>
        <v>143148</v>
      </c>
      <c r="U217" s="46">
        <f t="shared" si="239"/>
        <v>126048</v>
      </c>
      <c r="V217" s="46">
        <f t="shared" si="240"/>
        <v>0</v>
      </c>
      <c r="W217" s="46">
        <f t="shared" si="241"/>
        <v>0</v>
      </c>
      <c r="X217" s="46">
        <v>0</v>
      </c>
      <c r="Y217" s="46">
        <f t="shared" si="242"/>
        <v>126048</v>
      </c>
      <c r="Z217" s="46">
        <f t="shared" si="243"/>
        <v>143148</v>
      </c>
      <c r="AA217" s="46">
        <f t="shared" si="244"/>
        <v>66929</v>
      </c>
      <c r="AB217" s="46">
        <f t="shared" si="245"/>
        <v>0</v>
      </c>
      <c r="AC217" s="46">
        <f t="shared" si="246"/>
        <v>68282</v>
      </c>
      <c r="AD217" s="46">
        <v>0</v>
      </c>
      <c r="AE217" s="46">
        <f t="shared" si="247"/>
        <v>135211</v>
      </c>
      <c r="AF217" s="46">
        <f t="shared" si="248"/>
        <v>211430</v>
      </c>
      <c r="AG217" s="46">
        <f t="shared" si="249"/>
        <v>582412</v>
      </c>
      <c r="AH217" s="46">
        <f t="shared" si="250"/>
        <v>5376</v>
      </c>
      <c r="AI217" s="46">
        <f t="shared" si="251"/>
        <v>-211430</v>
      </c>
      <c r="AJ217" s="46">
        <v>0</v>
      </c>
      <c r="AK217" s="46">
        <f t="shared" si="252"/>
        <v>376358</v>
      </c>
      <c r="AL217" s="46">
        <f t="shared" si="253"/>
        <v>0</v>
      </c>
      <c r="AM217" s="46">
        <f t="shared" si="254"/>
        <v>115361</v>
      </c>
      <c r="AN217" s="46">
        <f t="shared" si="255"/>
        <v>3810</v>
      </c>
      <c r="AO217" s="46">
        <f t="shared" si="256"/>
        <v>19850</v>
      </c>
      <c r="AP217" s="46">
        <v>0</v>
      </c>
      <c r="AQ217" s="46">
        <f t="shared" si="257"/>
        <v>139021</v>
      </c>
      <c r="AR217" s="46">
        <f t="shared" si="258"/>
        <v>19850</v>
      </c>
      <c r="AS217" s="46">
        <f t="shared" si="259"/>
        <v>229317</v>
      </c>
      <c r="AT217" s="46">
        <f t="shared" si="260"/>
        <v>22263</v>
      </c>
      <c r="AU217" s="46">
        <f t="shared" si="261"/>
        <v>-19850</v>
      </c>
      <c r="AV217" s="46">
        <v>0</v>
      </c>
      <c r="AW217" s="46">
        <f t="shared" si="262"/>
        <v>231730</v>
      </c>
      <c r="AX217" s="46">
        <f t="shared" si="263"/>
        <v>0</v>
      </c>
      <c r="AY217" s="46">
        <f t="shared" si="264"/>
        <v>75747</v>
      </c>
      <c r="AZ217" s="46">
        <f t="shared" si="265"/>
        <v>0</v>
      </c>
      <c r="BA217" s="46">
        <f t="shared" si="266"/>
        <v>59464</v>
      </c>
      <c r="BB217" s="46"/>
      <c r="BC217" s="46">
        <f t="shared" si="267"/>
        <v>135211</v>
      </c>
      <c r="BD217" s="46">
        <f t="shared" si="268"/>
        <v>59464</v>
      </c>
      <c r="BE217" s="46">
        <f t="shared" si="269"/>
        <v>146636</v>
      </c>
      <c r="BF217" s="46">
        <f t="shared" si="270"/>
        <v>5458</v>
      </c>
      <c r="BG217" s="46">
        <f t="shared" si="271"/>
        <v>0</v>
      </c>
      <c r="BH217" s="46">
        <v>0</v>
      </c>
      <c r="BI217" s="46">
        <f t="shared" si="272"/>
        <v>152094</v>
      </c>
      <c r="BJ217" s="46">
        <f t="shared" si="273"/>
        <v>59464</v>
      </c>
      <c r="BK217" s="46">
        <f t="shared" si="274"/>
        <v>309395</v>
      </c>
      <c r="BL217" s="46">
        <f t="shared" si="275"/>
        <v>0</v>
      </c>
      <c r="BM217" s="46">
        <f t="shared" si="276"/>
        <v>-59464</v>
      </c>
      <c r="BN217" s="46">
        <v>0</v>
      </c>
      <c r="BO217" s="46">
        <f t="shared" si="277"/>
        <v>249931</v>
      </c>
      <c r="BP217" s="46">
        <f t="shared" si="278"/>
        <v>0</v>
      </c>
      <c r="BQ217" s="46">
        <f t="shared" si="279"/>
        <v>114830</v>
      </c>
      <c r="BR217" s="46">
        <f t="shared" si="280"/>
        <v>0</v>
      </c>
      <c r="BS217" s="46">
        <f t="shared" si="281"/>
        <v>20381</v>
      </c>
      <c r="BT217" s="46">
        <v>0</v>
      </c>
      <c r="BU217" s="46">
        <f t="shared" si="282"/>
        <v>135211</v>
      </c>
      <c r="BV217" s="46">
        <f t="shared" si="283"/>
        <v>20381</v>
      </c>
      <c r="BW217" s="46">
        <f t="shared" si="284"/>
        <v>220046</v>
      </c>
      <c r="BX217" s="46">
        <f t="shared" si="285"/>
        <v>35870</v>
      </c>
      <c r="BY217" s="46">
        <f t="shared" si="286"/>
        <v>-20381</v>
      </c>
      <c r="BZ217" s="46">
        <v>0</v>
      </c>
      <c r="CA217" s="46">
        <f t="shared" si="287"/>
        <v>235535</v>
      </c>
      <c r="CB217" s="46">
        <f t="shared" si="288"/>
        <v>0</v>
      </c>
      <c r="CC217" s="155">
        <f t="shared" si="291"/>
        <v>0</v>
      </c>
      <c r="CD217" s="79" t="s">
        <v>538</v>
      </c>
      <c r="CE217" s="65">
        <f t="shared" si="292"/>
        <v>135211</v>
      </c>
      <c r="CF217" s="65">
        <f t="shared" si="293"/>
        <v>135211</v>
      </c>
      <c r="CG217" s="65">
        <f t="shared" si="294"/>
        <v>126048</v>
      </c>
      <c r="CH217" s="65">
        <f t="shared" si="295"/>
        <v>135211</v>
      </c>
      <c r="CI217" s="65">
        <f t="shared" si="296"/>
        <v>376358</v>
      </c>
      <c r="CJ217" s="65">
        <f t="shared" si="297"/>
        <v>139021</v>
      </c>
      <c r="CK217" s="65">
        <f t="shared" si="298"/>
        <v>231730</v>
      </c>
      <c r="CL217" s="65">
        <f t="shared" si="299"/>
        <v>135211</v>
      </c>
      <c r="CM217" s="65">
        <f t="shared" si="300"/>
        <v>152094</v>
      </c>
      <c r="CN217" s="65">
        <f t="shared" si="301"/>
        <v>249931</v>
      </c>
      <c r="CO217" s="65">
        <f t="shared" si="302"/>
        <v>135211</v>
      </c>
      <c r="CP217" s="65">
        <f t="shared" si="303"/>
        <v>235535</v>
      </c>
      <c r="CQ217" s="40" t="s">
        <v>538</v>
      </c>
    </row>
    <row r="218" spans="1:95" ht="3" customHeight="1" x14ac:dyDescent="0.25">
      <c r="A218" s="39">
        <v>1</v>
      </c>
      <c r="B218" s="28">
        <v>10106</v>
      </c>
      <c r="C218" s="28" t="s">
        <v>251</v>
      </c>
      <c r="D218" s="48">
        <f>+DATA!Q216</f>
        <v>2888230.5619999999</v>
      </c>
      <c r="E218" s="48">
        <f t="shared" si="289"/>
        <v>190142</v>
      </c>
      <c r="F218" s="48">
        <f t="shared" si="290"/>
        <v>288823</v>
      </c>
      <c r="G218" s="49">
        <f>VLOOKUP(B218,'CALC MEC ESTAB Y ESTIM M FINAL'!$B$7:$F$352,5,0)</f>
        <v>1.3342067159E-3</v>
      </c>
      <c r="H218" s="49">
        <f>VLOOKUP(B218,'CALC MEC ESTAB Y ESTIM M FINAL'!$B$7:$R$352,17,0)</f>
        <v>4.6658613599999999E-5</v>
      </c>
      <c r="I218" s="46">
        <f t="shared" si="229"/>
        <v>113855</v>
      </c>
      <c r="J218" s="46">
        <f t="shared" si="230"/>
        <v>0</v>
      </c>
      <c r="K218" s="46">
        <f t="shared" si="231"/>
        <v>76287</v>
      </c>
      <c r="L218" s="46">
        <v>0</v>
      </c>
      <c r="M218" s="46">
        <f t="shared" si="232"/>
        <v>190142</v>
      </c>
      <c r="N218" s="46">
        <f t="shared" si="233"/>
        <v>76287</v>
      </c>
      <c r="O218" s="46">
        <f t="shared" si="234"/>
        <v>60544</v>
      </c>
      <c r="P218" s="46">
        <f t="shared" si="235"/>
        <v>0</v>
      </c>
      <c r="Q218" s="46">
        <f t="shared" si="236"/>
        <v>129598</v>
      </c>
      <c r="R218" s="46">
        <v>0</v>
      </c>
      <c r="S218" s="46">
        <f t="shared" si="237"/>
        <v>190142</v>
      </c>
      <c r="T218" s="46">
        <f t="shared" si="238"/>
        <v>205885</v>
      </c>
      <c r="U218" s="46">
        <f t="shared" si="239"/>
        <v>172720</v>
      </c>
      <c r="V218" s="46">
        <f t="shared" si="240"/>
        <v>0</v>
      </c>
      <c r="W218" s="46">
        <f t="shared" si="241"/>
        <v>0</v>
      </c>
      <c r="X218" s="46">
        <v>0</v>
      </c>
      <c r="Y218" s="46">
        <f t="shared" si="242"/>
        <v>172720</v>
      </c>
      <c r="Z218" s="46">
        <f t="shared" si="243"/>
        <v>205885</v>
      </c>
      <c r="AA218" s="46">
        <f t="shared" si="244"/>
        <v>91711</v>
      </c>
      <c r="AB218" s="46">
        <f t="shared" si="245"/>
        <v>0</v>
      </c>
      <c r="AC218" s="46">
        <f t="shared" si="246"/>
        <v>98431</v>
      </c>
      <c r="AD218" s="46">
        <v>0</v>
      </c>
      <c r="AE218" s="46">
        <f t="shared" si="247"/>
        <v>190142</v>
      </c>
      <c r="AF218" s="46">
        <f t="shared" si="248"/>
        <v>304316</v>
      </c>
      <c r="AG218" s="46">
        <f t="shared" si="249"/>
        <v>798061</v>
      </c>
      <c r="AH218" s="46">
        <f t="shared" si="250"/>
        <v>7366</v>
      </c>
      <c r="AI218" s="46">
        <f t="shared" si="251"/>
        <v>-304316</v>
      </c>
      <c r="AJ218" s="46">
        <v>0</v>
      </c>
      <c r="AK218" s="46">
        <f t="shared" si="252"/>
        <v>501111</v>
      </c>
      <c r="AL218" s="46">
        <f t="shared" si="253"/>
        <v>0</v>
      </c>
      <c r="AM218" s="46">
        <f t="shared" si="254"/>
        <v>158075</v>
      </c>
      <c r="AN218" s="46">
        <f t="shared" si="255"/>
        <v>5220</v>
      </c>
      <c r="AO218" s="46">
        <f t="shared" si="256"/>
        <v>32067</v>
      </c>
      <c r="AP218" s="46">
        <v>0</v>
      </c>
      <c r="AQ218" s="46">
        <f t="shared" si="257"/>
        <v>195362</v>
      </c>
      <c r="AR218" s="46">
        <f t="shared" si="258"/>
        <v>32067</v>
      </c>
      <c r="AS218" s="46">
        <f t="shared" si="259"/>
        <v>314226</v>
      </c>
      <c r="AT218" s="46">
        <f t="shared" si="260"/>
        <v>30506</v>
      </c>
      <c r="AU218" s="46">
        <f t="shared" si="261"/>
        <v>-25403</v>
      </c>
      <c r="AV218" s="46">
        <v>0</v>
      </c>
      <c r="AW218" s="46">
        <f t="shared" si="262"/>
        <v>319329</v>
      </c>
      <c r="AX218" s="46">
        <f t="shared" si="263"/>
        <v>6664</v>
      </c>
      <c r="AY218" s="46">
        <f t="shared" si="264"/>
        <v>103794</v>
      </c>
      <c r="AZ218" s="46">
        <f t="shared" si="265"/>
        <v>0</v>
      </c>
      <c r="BA218" s="46">
        <f t="shared" si="266"/>
        <v>86348</v>
      </c>
      <c r="BB218" s="46"/>
      <c r="BC218" s="46">
        <f t="shared" si="267"/>
        <v>190142</v>
      </c>
      <c r="BD218" s="46">
        <f t="shared" si="268"/>
        <v>93012</v>
      </c>
      <c r="BE218" s="46">
        <f t="shared" si="269"/>
        <v>200931</v>
      </c>
      <c r="BF218" s="46">
        <f t="shared" si="270"/>
        <v>7478</v>
      </c>
      <c r="BG218" s="46">
        <f t="shared" si="271"/>
        <v>0</v>
      </c>
      <c r="BH218" s="46">
        <v>0</v>
      </c>
      <c r="BI218" s="46">
        <f t="shared" si="272"/>
        <v>208409</v>
      </c>
      <c r="BJ218" s="46">
        <f t="shared" si="273"/>
        <v>93012</v>
      </c>
      <c r="BK218" s="46">
        <f t="shared" si="274"/>
        <v>423955</v>
      </c>
      <c r="BL218" s="46">
        <f t="shared" si="275"/>
        <v>0</v>
      </c>
      <c r="BM218" s="46">
        <f t="shared" si="276"/>
        <v>-93012</v>
      </c>
      <c r="BN218" s="46">
        <v>0</v>
      </c>
      <c r="BO218" s="46">
        <f t="shared" si="277"/>
        <v>330943</v>
      </c>
      <c r="BP218" s="46">
        <f t="shared" si="278"/>
        <v>0</v>
      </c>
      <c r="BQ218" s="46">
        <f t="shared" si="279"/>
        <v>157348</v>
      </c>
      <c r="BR218" s="46">
        <f t="shared" si="280"/>
        <v>0</v>
      </c>
      <c r="BS218" s="46">
        <f t="shared" si="281"/>
        <v>32794</v>
      </c>
      <c r="BT218" s="46">
        <v>0</v>
      </c>
      <c r="BU218" s="46">
        <f t="shared" si="282"/>
        <v>190142</v>
      </c>
      <c r="BV218" s="46">
        <f t="shared" si="283"/>
        <v>32794</v>
      </c>
      <c r="BW218" s="46">
        <f t="shared" si="284"/>
        <v>301522</v>
      </c>
      <c r="BX218" s="46">
        <f t="shared" si="285"/>
        <v>49151</v>
      </c>
      <c r="BY218" s="46">
        <f t="shared" si="286"/>
        <v>-32794</v>
      </c>
      <c r="BZ218" s="46">
        <v>0</v>
      </c>
      <c r="CA218" s="46">
        <f t="shared" si="287"/>
        <v>317879</v>
      </c>
      <c r="CB218" s="46">
        <f t="shared" si="288"/>
        <v>0</v>
      </c>
      <c r="CC218" s="155">
        <f t="shared" si="291"/>
        <v>0</v>
      </c>
      <c r="CD218" s="79" t="s">
        <v>538</v>
      </c>
      <c r="CE218" s="65">
        <f t="shared" si="292"/>
        <v>190142</v>
      </c>
      <c r="CF218" s="65">
        <f t="shared" si="293"/>
        <v>190142</v>
      </c>
      <c r="CG218" s="65">
        <f t="shared" si="294"/>
        <v>172720</v>
      </c>
      <c r="CH218" s="65">
        <f t="shared" si="295"/>
        <v>190142</v>
      </c>
      <c r="CI218" s="65">
        <f t="shared" si="296"/>
        <v>501111</v>
      </c>
      <c r="CJ218" s="65">
        <f t="shared" si="297"/>
        <v>195362</v>
      </c>
      <c r="CK218" s="65">
        <f t="shared" si="298"/>
        <v>319329</v>
      </c>
      <c r="CL218" s="65">
        <f t="shared" si="299"/>
        <v>190142</v>
      </c>
      <c r="CM218" s="65">
        <f t="shared" si="300"/>
        <v>208409</v>
      </c>
      <c r="CN218" s="65">
        <f t="shared" si="301"/>
        <v>330943</v>
      </c>
      <c r="CO218" s="65">
        <f t="shared" si="302"/>
        <v>190142</v>
      </c>
      <c r="CP218" s="65">
        <f t="shared" si="303"/>
        <v>317879</v>
      </c>
      <c r="CQ218" s="40" t="s">
        <v>538</v>
      </c>
    </row>
    <row r="219" spans="1:95" ht="3" customHeight="1" x14ac:dyDescent="0.25">
      <c r="A219" s="39">
        <v>1</v>
      </c>
      <c r="B219" s="28">
        <v>10107</v>
      </c>
      <c r="C219" s="28" t="s">
        <v>250</v>
      </c>
      <c r="D219" s="48">
        <f>+DATA!Q217</f>
        <v>2123576.1090000002</v>
      </c>
      <c r="E219" s="48">
        <f t="shared" si="289"/>
        <v>139802</v>
      </c>
      <c r="F219" s="48">
        <f t="shared" si="290"/>
        <v>212358</v>
      </c>
      <c r="G219" s="49">
        <f>VLOOKUP(B219,'CALC MEC ESTAB Y ESTIM M FINAL'!$B$7:$F$352,5,0)</f>
        <v>1.03108395E-3</v>
      </c>
      <c r="H219" s="49">
        <f>VLOOKUP(B219,'CALC MEC ESTAB Y ESTIM M FINAL'!$B$7:$R$352,17,0)</f>
        <v>-8.6151825000000006E-6</v>
      </c>
      <c r="I219" s="46">
        <f t="shared" si="229"/>
        <v>84305</v>
      </c>
      <c r="J219" s="46">
        <f t="shared" si="230"/>
        <v>0</v>
      </c>
      <c r="K219" s="46">
        <f t="shared" si="231"/>
        <v>55497</v>
      </c>
      <c r="L219" s="46">
        <v>0</v>
      </c>
      <c r="M219" s="46">
        <f t="shared" si="232"/>
        <v>139802</v>
      </c>
      <c r="N219" s="46">
        <f t="shared" si="233"/>
        <v>55497</v>
      </c>
      <c r="O219" s="46">
        <f t="shared" si="234"/>
        <v>44830</v>
      </c>
      <c r="P219" s="46">
        <f t="shared" si="235"/>
        <v>0</v>
      </c>
      <c r="Q219" s="46">
        <f t="shared" si="236"/>
        <v>94972</v>
      </c>
      <c r="R219" s="46">
        <v>0</v>
      </c>
      <c r="S219" s="46">
        <f t="shared" si="237"/>
        <v>139802</v>
      </c>
      <c r="T219" s="46">
        <f t="shared" si="238"/>
        <v>150469</v>
      </c>
      <c r="U219" s="46">
        <f t="shared" si="239"/>
        <v>127891</v>
      </c>
      <c r="V219" s="46">
        <f t="shared" si="240"/>
        <v>0</v>
      </c>
      <c r="W219" s="46">
        <f t="shared" si="241"/>
        <v>0</v>
      </c>
      <c r="X219" s="46">
        <v>0</v>
      </c>
      <c r="Y219" s="46">
        <f t="shared" si="242"/>
        <v>127891</v>
      </c>
      <c r="Z219" s="46">
        <f t="shared" si="243"/>
        <v>150469</v>
      </c>
      <c r="AA219" s="46">
        <f t="shared" si="244"/>
        <v>67908</v>
      </c>
      <c r="AB219" s="46">
        <f t="shared" si="245"/>
        <v>0</v>
      </c>
      <c r="AC219" s="46">
        <f t="shared" si="246"/>
        <v>71894</v>
      </c>
      <c r="AD219" s="46">
        <v>0</v>
      </c>
      <c r="AE219" s="46">
        <f t="shared" si="247"/>
        <v>139802</v>
      </c>
      <c r="AF219" s="46">
        <f t="shared" si="248"/>
        <v>222363</v>
      </c>
      <c r="AG219" s="46">
        <f t="shared" si="249"/>
        <v>590928</v>
      </c>
      <c r="AH219" s="46">
        <f t="shared" si="250"/>
        <v>5454</v>
      </c>
      <c r="AI219" s="46">
        <f t="shared" si="251"/>
        <v>-222363</v>
      </c>
      <c r="AJ219" s="46">
        <v>0</v>
      </c>
      <c r="AK219" s="46">
        <f t="shared" si="252"/>
        <v>374019</v>
      </c>
      <c r="AL219" s="46">
        <f t="shared" si="253"/>
        <v>0</v>
      </c>
      <c r="AM219" s="46">
        <f t="shared" si="254"/>
        <v>117048</v>
      </c>
      <c r="AN219" s="46">
        <f t="shared" si="255"/>
        <v>3865</v>
      </c>
      <c r="AO219" s="46">
        <f t="shared" si="256"/>
        <v>22754</v>
      </c>
      <c r="AP219" s="46">
        <v>0</v>
      </c>
      <c r="AQ219" s="46">
        <f t="shared" si="257"/>
        <v>143667</v>
      </c>
      <c r="AR219" s="46">
        <f t="shared" si="258"/>
        <v>22754</v>
      </c>
      <c r="AS219" s="46">
        <f t="shared" si="259"/>
        <v>232670</v>
      </c>
      <c r="AT219" s="46">
        <f t="shared" si="260"/>
        <v>22588</v>
      </c>
      <c r="AU219" s="46">
        <f t="shared" si="261"/>
        <v>-20312</v>
      </c>
      <c r="AV219" s="46">
        <v>0</v>
      </c>
      <c r="AW219" s="46">
        <f t="shared" si="262"/>
        <v>234946</v>
      </c>
      <c r="AX219" s="46">
        <f t="shared" si="263"/>
        <v>2442</v>
      </c>
      <c r="AY219" s="46">
        <f t="shared" si="264"/>
        <v>76855</v>
      </c>
      <c r="AZ219" s="46">
        <f t="shared" si="265"/>
        <v>0</v>
      </c>
      <c r="BA219" s="46">
        <f t="shared" si="266"/>
        <v>62947</v>
      </c>
      <c r="BB219" s="46"/>
      <c r="BC219" s="46">
        <f t="shared" si="267"/>
        <v>139802</v>
      </c>
      <c r="BD219" s="46">
        <f t="shared" si="268"/>
        <v>65389</v>
      </c>
      <c r="BE219" s="46">
        <f t="shared" si="269"/>
        <v>148780</v>
      </c>
      <c r="BF219" s="46">
        <f t="shared" si="270"/>
        <v>5537</v>
      </c>
      <c r="BG219" s="46">
        <f t="shared" si="271"/>
        <v>0</v>
      </c>
      <c r="BH219" s="46">
        <v>0</v>
      </c>
      <c r="BI219" s="46">
        <f t="shared" si="272"/>
        <v>154317</v>
      </c>
      <c r="BJ219" s="46">
        <f t="shared" si="273"/>
        <v>65389</v>
      </c>
      <c r="BK219" s="46">
        <f t="shared" si="274"/>
        <v>313920</v>
      </c>
      <c r="BL219" s="46">
        <f t="shared" si="275"/>
        <v>0</v>
      </c>
      <c r="BM219" s="46">
        <f t="shared" si="276"/>
        <v>-65389</v>
      </c>
      <c r="BN219" s="46">
        <v>0</v>
      </c>
      <c r="BO219" s="46">
        <f t="shared" si="277"/>
        <v>248531</v>
      </c>
      <c r="BP219" s="46">
        <f t="shared" si="278"/>
        <v>0</v>
      </c>
      <c r="BQ219" s="46">
        <f t="shared" si="279"/>
        <v>116509</v>
      </c>
      <c r="BR219" s="46">
        <f t="shared" si="280"/>
        <v>0</v>
      </c>
      <c r="BS219" s="46">
        <f t="shared" si="281"/>
        <v>23293</v>
      </c>
      <c r="BT219" s="46">
        <v>0</v>
      </c>
      <c r="BU219" s="46">
        <f t="shared" si="282"/>
        <v>139802</v>
      </c>
      <c r="BV219" s="46">
        <f t="shared" si="283"/>
        <v>23293</v>
      </c>
      <c r="BW219" s="46">
        <f t="shared" si="284"/>
        <v>223264</v>
      </c>
      <c r="BX219" s="46">
        <f t="shared" si="285"/>
        <v>36394</v>
      </c>
      <c r="BY219" s="46">
        <f t="shared" si="286"/>
        <v>-23293</v>
      </c>
      <c r="BZ219" s="46">
        <v>0</v>
      </c>
      <c r="CA219" s="46">
        <f t="shared" si="287"/>
        <v>236365</v>
      </c>
      <c r="CB219" s="46">
        <f t="shared" si="288"/>
        <v>0</v>
      </c>
      <c r="CC219" s="155">
        <f t="shared" si="291"/>
        <v>0</v>
      </c>
      <c r="CD219" s="79" t="s">
        <v>538</v>
      </c>
      <c r="CE219" s="65">
        <f t="shared" si="292"/>
        <v>139802</v>
      </c>
      <c r="CF219" s="65">
        <f t="shared" si="293"/>
        <v>139802</v>
      </c>
      <c r="CG219" s="65">
        <f t="shared" si="294"/>
        <v>127891</v>
      </c>
      <c r="CH219" s="65">
        <f t="shared" si="295"/>
        <v>139802</v>
      </c>
      <c r="CI219" s="65">
        <f t="shared" si="296"/>
        <v>374019</v>
      </c>
      <c r="CJ219" s="65">
        <f t="shared" si="297"/>
        <v>143667</v>
      </c>
      <c r="CK219" s="65">
        <f t="shared" si="298"/>
        <v>234946</v>
      </c>
      <c r="CL219" s="65">
        <f t="shared" si="299"/>
        <v>139802</v>
      </c>
      <c r="CM219" s="65">
        <f t="shared" si="300"/>
        <v>154317</v>
      </c>
      <c r="CN219" s="65">
        <f t="shared" si="301"/>
        <v>248531</v>
      </c>
      <c r="CO219" s="65">
        <f t="shared" si="302"/>
        <v>139802</v>
      </c>
      <c r="CP219" s="65">
        <f t="shared" si="303"/>
        <v>236365</v>
      </c>
      <c r="CQ219" s="40" t="s">
        <v>538</v>
      </c>
    </row>
    <row r="220" spans="1:95" ht="3" customHeight="1" x14ac:dyDescent="0.25">
      <c r="A220" s="39">
        <v>1</v>
      </c>
      <c r="B220" s="28">
        <v>10108</v>
      </c>
      <c r="C220" s="28" t="s">
        <v>415</v>
      </c>
      <c r="D220" s="48">
        <f>+DATA!Q218</f>
        <v>3307567.3149999999</v>
      </c>
      <c r="E220" s="48">
        <f t="shared" si="289"/>
        <v>217748</v>
      </c>
      <c r="F220" s="48">
        <f t="shared" si="290"/>
        <v>330757</v>
      </c>
      <c r="G220" s="49">
        <f>VLOOKUP(B220,'CALC MEC ESTAB Y ESTIM M FINAL'!$B$7:$F$352,5,0)</f>
        <v>2.0462577328999999E-3</v>
      </c>
      <c r="H220" s="49">
        <f>VLOOKUP(B220,'CALC MEC ESTAB Y ESTIM M FINAL'!$B$7:$R$352,17,0)</f>
        <v>-2.5300726039999998E-4</v>
      </c>
      <c r="I220" s="46">
        <f t="shared" si="229"/>
        <v>147857</v>
      </c>
      <c r="J220" s="46">
        <f t="shared" si="230"/>
        <v>0</v>
      </c>
      <c r="K220" s="46">
        <f t="shared" si="231"/>
        <v>69891</v>
      </c>
      <c r="L220" s="46">
        <v>0</v>
      </c>
      <c r="M220" s="46">
        <f t="shared" si="232"/>
        <v>217748</v>
      </c>
      <c r="N220" s="46">
        <f t="shared" si="233"/>
        <v>69891</v>
      </c>
      <c r="O220" s="46">
        <f t="shared" si="234"/>
        <v>78626</v>
      </c>
      <c r="P220" s="46">
        <f t="shared" si="235"/>
        <v>0</v>
      </c>
      <c r="Q220" s="46">
        <f t="shared" si="236"/>
        <v>139122</v>
      </c>
      <c r="R220" s="46">
        <v>0</v>
      </c>
      <c r="S220" s="46">
        <f t="shared" si="237"/>
        <v>217748</v>
      </c>
      <c r="T220" s="46">
        <f t="shared" si="238"/>
        <v>209013</v>
      </c>
      <c r="U220" s="46">
        <f t="shared" si="239"/>
        <v>224301</v>
      </c>
      <c r="V220" s="46">
        <f t="shared" si="240"/>
        <v>0</v>
      </c>
      <c r="W220" s="46">
        <f t="shared" si="241"/>
        <v>0</v>
      </c>
      <c r="X220" s="46">
        <v>0</v>
      </c>
      <c r="Y220" s="46">
        <f t="shared" si="242"/>
        <v>224301</v>
      </c>
      <c r="Z220" s="46">
        <f t="shared" si="243"/>
        <v>209013</v>
      </c>
      <c r="AA220" s="46">
        <f t="shared" si="244"/>
        <v>119100</v>
      </c>
      <c r="AB220" s="46">
        <f t="shared" si="245"/>
        <v>0</v>
      </c>
      <c r="AC220" s="46">
        <f t="shared" si="246"/>
        <v>98648</v>
      </c>
      <c r="AD220" s="46">
        <v>0</v>
      </c>
      <c r="AE220" s="46">
        <f t="shared" si="247"/>
        <v>217748</v>
      </c>
      <c r="AF220" s="46">
        <f t="shared" si="248"/>
        <v>307661</v>
      </c>
      <c r="AG220" s="46">
        <f t="shared" si="249"/>
        <v>1036396</v>
      </c>
      <c r="AH220" s="46">
        <f t="shared" si="250"/>
        <v>9566</v>
      </c>
      <c r="AI220" s="46">
        <f t="shared" si="251"/>
        <v>-307661</v>
      </c>
      <c r="AJ220" s="46">
        <v>0</v>
      </c>
      <c r="AK220" s="46">
        <f t="shared" si="252"/>
        <v>738301</v>
      </c>
      <c r="AL220" s="46">
        <f t="shared" si="253"/>
        <v>0</v>
      </c>
      <c r="AM220" s="46">
        <f t="shared" si="254"/>
        <v>205284</v>
      </c>
      <c r="AN220" s="46">
        <f t="shared" si="255"/>
        <v>6779</v>
      </c>
      <c r="AO220" s="46">
        <f t="shared" si="256"/>
        <v>12464</v>
      </c>
      <c r="AP220" s="46">
        <v>0</v>
      </c>
      <c r="AQ220" s="46">
        <f t="shared" si="257"/>
        <v>224527</v>
      </c>
      <c r="AR220" s="46">
        <f t="shared" si="258"/>
        <v>12464</v>
      </c>
      <c r="AS220" s="46">
        <f t="shared" si="259"/>
        <v>408067</v>
      </c>
      <c r="AT220" s="46">
        <f t="shared" si="260"/>
        <v>39616</v>
      </c>
      <c r="AU220" s="46">
        <f t="shared" si="261"/>
        <v>-12464</v>
      </c>
      <c r="AV220" s="46">
        <v>0</v>
      </c>
      <c r="AW220" s="46">
        <f t="shared" si="262"/>
        <v>435219</v>
      </c>
      <c r="AX220" s="46">
        <f t="shared" si="263"/>
        <v>0</v>
      </c>
      <c r="AY220" s="46">
        <f t="shared" si="264"/>
        <v>134791</v>
      </c>
      <c r="AZ220" s="46">
        <f t="shared" si="265"/>
        <v>0</v>
      </c>
      <c r="BA220" s="46">
        <f t="shared" si="266"/>
        <v>82957</v>
      </c>
      <c r="BB220" s="46"/>
      <c r="BC220" s="46">
        <f t="shared" si="267"/>
        <v>217748</v>
      </c>
      <c r="BD220" s="46">
        <f t="shared" si="268"/>
        <v>82957</v>
      </c>
      <c r="BE220" s="46">
        <f t="shared" si="269"/>
        <v>260937</v>
      </c>
      <c r="BF220" s="46">
        <f t="shared" si="270"/>
        <v>9712</v>
      </c>
      <c r="BG220" s="46">
        <f t="shared" si="271"/>
        <v>0</v>
      </c>
      <c r="BH220" s="46">
        <v>0</v>
      </c>
      <c r="BI220" s="46">
        <f t="shared" si="272"/>
        <v>270649</v>
      </c>
      <c r="BJ220" s="46">
        <f t="shared" si="273"/>
        <v>82957</v>
      </c>
      <c r="BK220" s="46">
        <f t="shared" si="274"/>
        <v>550566</v>
      </c>
      <c r="BL220" s="46">
        <f t="shared" si="275"/>
        <v>0</v>
      </c>
      <c r="BM220" s="46">
        <f t="shared" si="276"/>
        <v>-82957</v>
      </c>
      <c r="BN220" s="46">
        <v>0</v>
      </c>
      <c r="BO220" s="46">
        <f t="shared" si="277"/>
        <v>467609</v>
      </c>
      <c r="BP220" s="46">
        <f t="shared" si="278"/>
        <v>0</v>
      </c>
      <c r="BQ220" s="46">
        <f t="shared" si="279"/>
        <v>204339</v>
      </c>
      <c r="BR220" s="46">
        <f t="shared" si="280"/>
        <v>0</v>
      </c>
      <c r="BS220" s="46">
        <f t="shared" si="281"/>
        <v>13409</v>
      </c>
      <c r="BT220" s="46">
        <v>0</v>
      </c>
      <c r="BU220" s="46">
        <f t="shared" si="282"/>
        <v>217748</v>
      </c>
      <c r="BV220" s="46">
        <f t="shared" si="283"/>
        <v>13409</v>
      </c>
      <c r="BW220" s="46">
        <f t="shared" si="284"/>
        <v>391569</v>
      </c>
      <c r="BX220" s="46">
        <f t="shared" si="285"/>
        <v>63830</v>
      </c>
      <c r="BY220" s="46">
        <f t="shared" si="286"/>
        <v>-13409</v>
      </c>
      <c r="BZ220" s="46">
        <v>0</v>
      </c>
      <c r="CA220" s="46">
        <f t="shared" si="287"/>
        <v>441990</v>
      </c>
      <c r="CB220" s="46">
        <f t="shared" si="288"/>
        <v>0</v>
      </c>
      <c r="CC220" s="155">
        <f t="shared" si="291"/>
        <v>0</v>
      </c>
      <c r="CD220" s="79" t="s">
        <v>538</v>
      </c>
      <c r="CE220" s="65">
        <f t="shared" si="292"/>
        <v>217748</v>
      </c>
      <c r="CF220" s="65">
        <f t="shared" si="293"/>
        <v>217748</v>
      </c>
      <c r="CG220" s="65">
        <f t="shared" si="294"/>
        <v>224301</v>
      </c>
      <c r="CH220" s="65">
        <f t="shared" si="295"/>
        <v>217748</v>
      </c>
      <c r="CI220" s="65">
        <f t="shared" si="296"/>
        <v>738301</v>
      </c>
      <c r="CJ220" s="65">
        <f t="shared" si="297"/>
        <v>224527</v>
      </c>
      <c r="CK220" s="65">
        <f t="shared" si="298"/>
        <v>435219</v>
      </c>
      <c r="CL220" s="65">
        <f t="shared" si="299"/>
        <v>217748</v>
      </c>
      <c r="CM220" s="65">
        <f t="shared" si="300"/>
        <v>270649</v>
      </c>
      <c r="CN220" s="65">
        <f t="shared" si="301"/>
        <v>467609</v>
      </c>
      <c r="CO220" s="65">
        <f t="shared" si="302"/>
        <v>217748</v>
      </c>
      <c r="CP220" s="65">
        <f t="shared" si="303"/>
        <v>441990</v>
      </c>
      <c r="CQ220" s="40" t="s">
        <v>538</v>
      </c>
    </row>
    <row r="221" spans="1:95" ht="3" customHeight="1" x14ac:dyDescent="0.25">
      <c r="A221" s="39">
        <v>1</v>
      </c>
      <c r="B221" s="28">
        <v>10109</v>
      </c>
      <c r="C221" s="28" t="s">
        <v>247</v>
      </c>
      <c r="D221" s="48">
        <f>+DATA!Q219</f>
        <v>2148486.4720000001</v>
      </c>
      <c r="E221" s="48">
        <f t="shared" si="289"/>
        <v>141442</v>
      </c>
      <c r="F221" s="48">
        <f t="shared" si="290"/>
        <v>214849</v>
      </c>
      <c r="G221" s="49">
        <f>VLOOKUP(B221,'CALC MEC ESTAB Y ESTIM M FINAL'!$B$7:$F$352,5,0)</f>
        <v>1.0382555286E-3</v>
      </c>
      <c r="H221" s="49">
        <f>VLOOKUP(B221,'CALC MEC ESTAB Y ESTIM M FINAL'!$B$7:$R$352,17,0)</f>
        <v>-7.0424440000000001E-6</v>
      </c>
      <c r="I221" s="46">
        <f t="shared" si="229"/>
        <v>85026</v>
      </c>
      <c r="J221" s="46">
        <f t="shared" si="230"/>
        <v>0</v>
      </c>
      <c r="K221" s="46">
        <f t="shared" si="231"/>
        <v>56416</v>
      </c>
      <c r="L221" s="46">
        <v>0</v>
      </c>
      <c r="M221" s="46">
        <f t="shared" si="232"/>
        <v>141442</v>
      </c>
      <c r="N221" s="46">
        <f t="shared" si="233"/>
        <v>56416</v>
      </c>
      <c r="O221" s="46">
        <f t="shared" si="234"/>
        <v>45214</v>
      </c>
      <c r="P221" s="46">
        <f t="shared" si="235"/>
        <v>0</v>
      </c>
      <c r="Q221" s="46">
        <f t="shared" si="236"/>
        <v>96228</v>
      </c>
      <c r="R221" s="46">
        <v>0</v>
      </c>
      <c r="S221" s="46">
        <f t="shared" si="237"/>
        <v>141442</v>
      </c>
      <c r="T221" s="46">
        <f t="shared" si="238"/>
        <v>152644</v>
      </c>
      <c r="U221" s="46">
        <f t="shared" si="239"/>
        <v>128985</v>
      </c>
      <c r="V221" s="46">
        <f t="shared" si="240"/>
        <v>0</v>
      </c>
      <c r="W221" s="46">
        <f t="shared" si="241"/>
        <v>0</v>
      </c>
      <c r="X221" s="46">
        <v>0</v>
      </c>
      <c r="Y221" s="46">
        <f t="shared" si="242"/>
        <v>128985</v>
      </c>
      <c r="Z221" s="46">
        <f t="shared" si="243"/>
        <v>152644</v>
      </c>
      <c r="AA221" s="46">
        <f t="shared" si="244"/>
        <v>68489</v>
      </c>
      <c r="AB221" s="46">
        <f t="shared" si="245"/>
        <v>0</v>
      </c>
      <c r="AC221" s="46">
        <f t="shared" si="246"/>
        <v>72953</v>
      </c>
      <c r="AD221" s="46">
        <v>0</v>
      </c>
      <c r="AE221" s="46">
        <f t="shared" si="247"/>
        <v>141442</v>
      </c>
      <c r="AF221" s="46">
        <f t="shared" si="248"/>
        <v>225597</v>
      </c>
      <c r="AG221" s="46">
        <f t="shared" si="249"/>
        <v>595982</v>
      </c>
      <c r="AH221" s="46">
        <f t="shared" si="250"/>
        <v>5501</v>
      </c>
      <c r="AI221" s="46">
        <f t="shared" si="251"/>
        <v>-225597</v>
      </c>
      <c r="AJ221" s="46">
        <v>0</v>
      </c>
      <c r="AK221" s="46">
        <f t="shared" si="252"/>
        <v>375886</v>
      </c>
      <c r="AL221" s="46">
        <f t="shared" si="253"/>
        <v>0</v>
      </c>
      <c r="AM221" s="46">
        <f t="shared" si="254"/>
        <v>118049</v>
      </c>
      <c r="AN221" s="46">
        <f t="shared" si="255"/>
        <v>3898</v>
      </c>
      <c r="AO221" s="46">
        <f t="shared" si="256"/>
        <v>23393</v>
      </c>
      <c r="AP221" s="46">
        <v>0</v>
      </c>
      <c r="AQ221" s="46">
        <f t="shared" si="257"/>
        <v>145340</v>
      </c>
      <c r="AR221" s="46">
        <f t="shared" si="258"/>
        <v>23393</v>
      </c>
      <c r="AS221" s="46">
        <f t="shared" si="259"/>
        <v>234660</v>
      </c>
      <c r="AT221" s="46">
        <f t="shared" si="260"/>
        <v>22781</v>
      </c>
      <c r="AU221" s="46">
        <f t="shared" si="261"/>
        <v>-19811</v>
      </c>
      <c r="AV221" s="46">
        <v>0</v>
      </c>
      <c r="AW221" s="46">
        <f t="shared" si="262"/>
        <v>237630</v>
      </c>
      <c r="AX221" s="46">
        <f t="shared" si="263"/>
        <v>3582</v>
      </c>
      <c r="AY221" s="46">
        <f t="shared" si="264"/>
        <v>77512</v>
      </c>
      <c r="AZ221" s="46">
        <f t="shared" si="265"/>
        <v>0</v>
      </c>
      <c r="BA221" s="46">
        <f t="shared" si="266"/>
        <v>63930</v>
      </c>
      <c r="BB221" s="46"/>
      <c r="BC221" s="46">
        <f t="shared" si="267"/>
        <v>141442</v>
      </c>
      <c r="BD221" s="46">
        <f t="shared" si="268"/>
        <v>67512</v>
      </c>
      <c r="BE221" s="46">
        <f t="shared" si="269"/>
        <v>150053</v>
      </c>
      <c r="BF221" s="46">
        <f t="shared" si="270"/>
        <v>5585</v>
      </c>
      <c r="BG221" s="46">
        <f t="shared" si="271"/>
        <v>0</v>
      </c>
      <c r="BH221" s="46">
        <v>0</v>
      </c>
      <c r="BI221" s="46">
        <f t="shared" si="272"/>
        <v>155638</v>
      </c>
      <c r="BJ221" s="46">
        <f t="shared" si="273"/>
        <v>67512</v>
      </c>
      <c r="BK221" s="46">
        <f t="shared" si="274"/>
        <v>316604</v>
      </c>
      <c r="BL221" s="46">
        <f t="shared" si="275"/>
        <v>0</v>
      </c>
      <c r="BM221" s="46">
        <f t="shared" si="276"/>
        <v>-67512</v>
      </c>
      <c r="BN221" s="46">
        <v>0</v>
      </c>
      <c r="BO221" s="46">
        <f t="shared" si="277"/>
        <v>249092</v>
      </c>
      <c r="BP221" s="46">
        <f t="shared" si="278"/>
        <v>0</v>
      </c>
      <c r="BQ221" s="46">
        <f t="shared" si="279"/>
        <v>117505</v>
      </c>
      <c r="BR221" s="46">
        <f t="shared" si="280"/>
        <v>0</v>
      </c>
      <c r="BS221" s="46">
        <f t="shared" si="281"/>
        <v>23937</v>
      </c>
      <c r="BT221" s="46">
        <v>0</v>
      </c>
      <c r="BU221" s="46">
        <f t="shared" si="282"/>
        <v>141442</v>
      </c>
      <c r="BV221" s="46">
        <f t="shared" si="283"/>
        <v>23937</v>
      </c>
      <c r="BW221" s="46">
        <f t="shared" si="284"/>
        <v>225173</v>
      </c>
      <c r="BX221" s="46">
        <f t="shared" si="285"/>
        <v>36706</v>
      </c>
      <c r="BY221" s="46">
        <f t="shared" si="286"/>
        <v>-23937</v>
      </c>
      <c r="BZ221" s="46">
        <v>0</v>
      </c>
      <c r="CA221" s="46">
        <f t="shared" si="287"/>
        <v>237942</v>
      </c>
      <c r="CB221" s="46">
        <f t="shared" si="288"/>
        <v>0</v>
      </c>
      <c r="CC221" s="155">
        <f t="shared" si="291"/>
        <v>0</v>
      </c>
      <c r="CD221" s="79" t="s">
        <v>538</v>
      </c>
      <c r="CE221" s="65">
        <f t="shared" si="292"/>
        <v>141442</v>
      </c>
      <c r="CF221" s="65">
        <f t="shared" si="293"/>
        <v>141442</v>
      </c>
      <c r="CG221" s="65">
        <f t="shared" si="294"/>
        <v>128985</v>
      </c>
      <c r="CH221" s="65">
        <f t="shared" si="295"/>
        <v>141442</v>
      </c>
      <c r="CI221" s="65">
        <f t="shared" si="296"/>
        <v>375886</v>
      </c>
      <c r="CJ221" s="65">
        <f t="shared" si="297"/>
        <v>145340</v>
      </c>
      <c r="CK221" s="65">
        <f t="shared" si="298"/>
        <v>237630</v>
      </c>
      <c r="CL221" s="65">
        <f t="shared" si="299"/>
        <v>141442</v>
      </c>
      <c r="CM221" s="65">
        <f t="shared" si="300"/>
        <v>155638</v>
      </c>
      <c r="CN221" s="65">
        <f t="shared" si="301"/>
        <v>249092</v>
      </c>
      <c r="CO221" s="65">
        <f t="shared" si="302"/>
        <v>141442</v>
      </c>
      <c r="CP221" s="65">
        <f t="shared" si="303"/>
        <v>237942</v>
      </c>
      <c r="CQ221" s="40" t="s">
        <v>538</v>
      </c>
    </row>
    <row r="222" spans="1:95" ht="3" customHeight="1" x14ac:dyDescent="0.25">
      <c r="A222" s="39">
        <v>1</v>
      </c>
      <c r="B222" s="28">
        <v>10201</v>
      </c>
      <c r="C222" s="28" t="s">
        <v>253</v>
      </c>
      <c r="D222" s="48">
        <f>+DATA!Q220</f>
        <v>11394863.403999999</v>
      </c>
      <c r="E222" s="48">
        <f t="shared" si="289"/>
        <v>750162</v>
      </c>
      <c r="F222" s="48">
        <f t="shared" si="290"/>
        <v>1139486</v>
      </c>
      <c r="G222" s="49">
        <f>VLOOKUP(B222,'CALC MEC ESTAB Y ESTIM M FINAL'!$B$7:$F$352,5,0)</f>
        <v>3.9677600097000002E-3</v>
      </c>
      <c r="H222" s="49">
        <f>VLOOKUP(B222,'CALC MEC ESTAB Y ESTIM M FINAL'!$B$7:$R$352,17,0)</f>
        <v>1.4801340112E-3</v>
      </c>
      <c r="I222" s="46">
        <f t="shared" si="229"/>
        <v>449191</v>
      </c>
      <c r="J222" s="46">
        <f t="shared" si="230"/>
        <v>0</v>
      </c>
      <c r="K222" s="46">
        <f t="shared" si="231"/>
        <v>300971</v>
      </c>
      <c r="L222" s="46">
        <v>0</v>
      </c>
      <c r="M222" s="46">
        <f t="shared" si="232"/>
        <v>750162</v>
      </c>
      <c r="N222" s="46">
        <f t="shared" si="233"/>
        <v>300971</v>
      </c>
      <c r="O222" s="46">
        <f t="shared" si="234"/>
        <v>238864</v>
      </c>
      <c r="P222" s="46">
        <f t="shared" si="235"/>
        <v>0</v>
      </c>
      <c r="Q222" s="46">
        <f t="shared" si="236"/>
        <v>511298</v>
      </c>
      <c r="R222" s="46">
        <v>0</v>
      </c>
      <c r="S222" s="46">
        <f t="shared" si="237"/>
        <v>750162</v>
      </c>
      <c r="T222" s="46">
        <f t="shared" si="238"/>
        <v>812269</v>
      </c>
      <c r="U222" s="46">
        <f t="shared" si="239"/>
        <v>681426</v>
      </c>
      <c r="V222" s="46">
        <f t="shared" si="240"/>
        <v>0</v>
      </c>
      <c r="W222" s="46">
        <f t="shared" si="241"/>
        <v>0</v>
      </c>
      <c r="X222" s="46">
        <v>0</v>
      </c>
      <c r="Y222" s="46">
        <f t="shared" si="242"/>
        <v>681426</v>
      </c>
      <c r="Z222" s="46">
        <f t="shared" si="243"/>
        <v>812269</v>
      </c>
      <c r="AA222" s="46">
        <f t="shared" si="244"/>
        <v>361827</v>
      </c>
      <c r="AB222" s="46">
        <f t="shared" si="245"/>
        <v>0</v>
      </c>
      <c r="AC222" s="46">
        <f t="shared" si="246"/>
        <v>388335</v>
      </c>
      <c r="AD222" s="46">
        <v>0</v>
      </c>
      <c r="AE222" s="46">
        <f t="shared" si="247"/>
        <v>750162</v>
      </c>
      <c r="AF222" s="46">
        <f t="shared" si="248"/>
        <v>1200604</v>
      </c>
      <c r="AG222" s="46">
        <f t="shared" si="249"/>
        <v>3148570</v>
      </c>
      <c r="AH222" s="46">
        <f t="shared" si="250"/>
        <v>29060</v>
      </c>
      <c r="AI222" s="46">
        <f t="shared" si="251"/>
        <v>-1200604</v>
      </c>
      <c r="AJ222" s="46">
        <v>0</v>
      </c>
      <c r="AK222" s="46">
        <f t="shared" si="252"/>
        <v>1977026</v>
      </c>
      <c r="AL222" s="46">
        <f t="shared" si="253"/>
        <v>0</v>
      </c>
      <c r="AM222" s="46">
        <f t="shared" si="254"/>
        <v>623651</v>
      </c>
      <c r="AN222" s="46">
        <f t="shared" si="255"/>
        <v>20595</v>
      </c>
      <c r="AO222" s="46">
        <f t="shared" si="256"/>
        <v>126511</v>
      </c>
      <c r="AP222" s="46">
        <v>0</v>
      </c>
      <c r="AQ222" s="46">
        <f t="shared" si="257"/>
        <v>770757</v>
      </c>
      <c r="AR222" s="46">
        <f t="shared" si="258"/>
        <v>126511</v>
      </c>
      <c r="AS222" s="46">
        <f t="shared" si="259"/>
        <v>1239708</v>
      </c>
      <c r="AT222" s="46">
        <f t="shared" si="260"/>
        <v>120353</v>
      </c>
      <c r="AU222" s="46">
        <f t="shared" si="261"/>
        <v>-100222</v>
      </c>
      <c r="AV222" s="46">
        <v>0</v>
      </c>
      <c r="AW222" s="46">
        <f t="shared" si="262"/>
        <v>1259839</v>
      </c>
      <c r="AX222" s="46">
        <f t="shared" si="263"/>
        <v>26289</v>
      </c>
      <c r="AY222" s="46">
        <f t="shared" si="264"/>
        <v>409494</v>
      </c>
      <c r="AZ222" s="46">
        <f t="shared" si="265"/>
        <v>0</v>
      </c>
      <c r="BA222" s="46">
        <f t="shared" si="266"/>
        <v>340668</v>
      </c>
      <c r="BB222" s="46"/>
      <c r="BC222" s="46">
        <f t="shared" si="267"/>
        <v>750162</v>
      </c>
      <c r="BD222" s="46">
        <f t="shared" si="268"/>
        <v>366957</v>
      </c>
      <c r="BE222" s="46">
        <f t="shared" si="269"/>
        <v>792727</v>
      </c>
      <c r="BF222" s="46">
        <f t="shared" si="270"/>
        <v>29505</v>
      </c>
      <c r="BG222" s="46">
        <f t="shared" si="271"/>
        <v>0</v>
      </c>
      <c r="BH222" s="46">
        <v>0</v>
      </c>
      <c r="BI222" s="46">
        <f t="shared" si="272"/>
        <v>822232</v>
      </c>
      <c r="BJ222" s="46">
        <f t="shared" si="273"/>
        <v>366957</v>
      </c>
      <c r="BK222" s="46">
        <f t="shared" si="274"/>
        <v>1672620</v>
      </c>
      <c r="BL222" s="46">
        <f t="shared" si="275"/>
        <v>0</v>
      </c>
      <c r="BM222" s="46">
        <f t="shared" si="276"/>
        <v>-366957</v>
      </c>
      <c r="BN222" s="46">
        <v>0</v>
      </c>
      <c r="BO222" s="46">
        <f t="shared" si="277"/>
        <v>1305663</v>
      </c>
      <c r="BP222" s="46">
        <f t="shared" si="278"/>
        <v>0</v>
      </c>
      <c r="BQ222" s="46">
        <f t="shared" si="279"/>
        <v>620781</v>
      </c>
      <c r="BR222" s="46">
        <f t="shared" si="280"/>
        <v>0</v>
      </c>
      <c r="BS222" s="46">
        <f t="shared" si="281"/>
        <v>129381</v>
      </c>
      <c r="BT222" s="46">
        <v>0</v>
      </c>
      <c r="BU222" s="46">
        <f t="shared" si="282"/>
        <v>750162</v>
      </c>
      <c r="BV222" s="46">
        <f t="shared" si="283"/>
        <v>129381</v>
      </c>
      <c r="BW222" s="46">
        <f t="shared" si="284"/>
        <v>1189587</v>
      </c>
      <c r="BX222" s="46">
        <f t="shared" si="285"/>
        <v>193915</v>
      </c>
      <c r="BY222" s="46">
        <f t="shared" si="286"/>
        <v>-129381</v>
      </c>
      <c r="BZ222" s="46">
        <v>0</v>
      </c>
      <c r="CA222" s="46">
        <f t="shared" si="287"/>
        <v>1254121</v>
      </c>
      <c r="CB222" s="46">
        <f t="shared" si="288"/>
        <v>0</v>
      </c>
      <c r="CC222" s="155">
        <f t="shared" si="291"/>
        <v>0</v>
      </c>
      <c r="CD222" s="79" t="s">
        <v>538</v>
      </c>
      <c r="CE222" s="65">
        <f t="shared" si="292"/>
        <v>750162</v>
      </c>
      <c r="CF222" s="65">
        <f t="shared" si="293"/>
        <v>750162</v>
      </c>
      <c r="CG222" s="65">
        <f t="shared" si="294"/>
        <v>681426</v>
      </c>
      <c r="CH222" s="65">
        <f t="shared" si="295"/>
        <v>750162</v>
      </c>
      <c r="CI222" s="65">
        <f t="shared" si="296"/>
        <v>1977026</v>
      </c>
      <c r="CJ222" s="65">
        <f t="shared" si="297"/>
        <v>770757</v>
      </c>
      <c r="CK222" s="65">
        <f t="shared" si="298"/>
        <v>1259839</v>
      </c>
      <c r="CL222" s="65">
        <f t="shared" si="299"/>
        <v>750162</v>
      </c>
      <c r="CM222" s="65">
        <f t="shared" si="300"/>
        <v>822232</v>
      </c>
      <c r="CN222" s="65">
        <f t="shared" si="301"/>
        <v>1305663</v>
      </c>
      <c r="CO222" s="65">
        <f t="shared" si="302"/>
        <v>750162</v>
      </c>
      <c r="CP222" s="65">
        <f t="shared" si="303"/>
        <v>1254121</v>
      </c>
      <c r="CQ222" s="40" t="s">
        <v>538</v>
      </c>
    </row>
    <row r="223" spans="1:95" ht="3" customHeight="1" x14ac:dyDescent="0.25">
      <c r="A223" s="39">
        <v>1</v>
      </c>
      <c r="B223" s="28">
        <v>10202</v>
      </c>
      <c r="C223" s="28" t="s">
        <v>255</v>
      </c>
      <c r="D223" s="48">
        <f>+DATA!Q221</f>
        <v>7329657.5820000004</v>
      </c>
      <c r="E223" s="48">
        <f t="shared" si="289"/>
        <v>482536</v>
      </c>
      <c r="F223" s="48">
        <f t="shared" si="290"/>
        <v>732966</v>
      </c>
      <c r="G223" s="49">
        <f>VLOOKUP(B223,'CALC MEC ESTAB Y ESTIM M FINAL'!$B$7:$F$352,5,0)</f>
        <v>3.8136460450999997E-3</v>
      </c>
      <c r="H223" s="49">
        <f>VLOOKUP(B223,'CALC MEC ESTAB Y ESTIM M FINAL'!$B$7:$R$352,17,0)</f>
        <v>-1.697867044E-4</v>
      </c>
      <c r="I223" s="46">
        <f t="shared" si="229"/>
        <v>300444</v>
      </c>
      <c r="J223" s="46">
        <f t="shared" si="230"/>
        <v>0</v>
      </c>
      <c r="K223" s="46">
        <f t="shared" si="231"/>
        <v>182092</v>
      </c>
      <c r="L223" s="46">
        <v>0</v>
      </c>
      <c r="M223" s="46">
        <f t="shared" si="232"/>
        <v>482536</v>
      </c>
      <c r="N223" s="46">
        <f t="shared" si="233"/>
        <v>182092</v>
      </c>
      <c r="O223" s="46">
        <f t="shared" si="234"/>
        <v>159766</v>
      </c>
      <c r="P223" s="46">
        <f t="shared" si="235"/>
        <v>0</v>
      </c>
      <c r="Q223" s="46">
        <f t="shared" si="236"/>
        <v>322770</v>
      </c>
      <c r="R223" s="46">
        <v>0</v>
      </c>
      <c r="S223" s="46">
        <f t="shared" si="237"/>
        <v>482536</v>
      </c>
      <c r="T223" s="46">
        <f t="shared" si="238"/>
        <v>504862</v>
      </c>
      <c r="U223" s="46">
        <f t="shared" si="239"/>
        <v>455776</v>
      </c>
      <c r="V223" s="46">
        <f t="shared" si="240"/>
        <v>0</v>
      </c>
      <c r="W223" s="46">
        <f t="shared" si="241"/>
        <v>0</v>
      </c>
      <c r="X223" s="46">
        <v>0</v>
      </c>
      <c r="Y223" s="46">
        <f t="shared" si="242"/>
        <v>455776</v>
      </c>
      <c r="Z223" s="46">
        <f t="shared" si="243"/>
        <v>504862</v>
      </c>
      <c r="AA223" s="46">
        <f t="shared" si="244"/>
        <v>242010</v>
      </c>
      <c r="AB223" s="46">
        <f t="shared" si="245"/>
        <v>0</v>
      </c>
      <c r="AC223" s="46">
        <f t="shared" si="246"/>
        <v>240526</v>
      </c>
      <c r="AD223" s="46">
        <v>0</v>
      </c>
      <c r="AE223" s="46">
        <f t="shared" si="247"/>
        <v>482536</v>
      </c>
      <c r="AF223" s="46">
        <f t="shared" si="248"/>
        <v>745388</v>
      </c>
      <c r="AG223" s="46">
        <f t="shared" si="249"/>
        <v>2105942</v>
      </c>
      <c r="AH223" s="46">
        <f t="shared" si="250"/>
        <v>19437</v>
      </c>
      <c r="AI223" s="46">
        <f t="shared" si="251"/>
        <v>-745388</v>
      </c>
      <c r="AJ223" s="46">
        <v>0</v>
      </c>
      <c r="AK223" s="46">
        <f t="shared" si="252"/>
        <v>1379991</v>
      </c>
      <c r="AL223" s="46">
        <f t="shared" si="253"/>
        <v>0</v>
      </c>
      <c r="AM223" s="46">
        <f t="shared" si="254"/>
        <v>417133</v>
      </c>
      <c r="AN223" s="46">
        <f t="shared" si="255"/>
        <v>13775</v>
      </c>
      <c r="AO223" s="46">
        <f t="shared" si="256"/>
        <v>65403</v>
      </c>
      <c r="AP223" s="46">
        <v>0</v>
      </c>
      <c r="AQ223" s="46">
        <f t="shared" si="257"/>
        <v>496311</v>
      </c>
      <c r="AR223" s="46">
        <f t="shared" si="258"/>
        <v>65403</v>
      </c>
      <c r="AS223" s="46">
        <f t="shared" si="259"/>
        <v>829187</v>
      </c>
      <c r="AT223" s="46">
        <f t="shared" si="260"/>
        <v>80499</v>
      </c>
      <c r="AU223" s="46">
        <f t="shared" si="261"/>
        <v>-65403</v>
      </c>
      <c r="AV223" s="46">
        <v>0</v>
      </c>
      <c r="AW223" s="46">
        <f t="shared" si="262"/>
        <v>844283</v>
      </c>
      <c r="AX223" s="46">
        <f t="shared" si="263"/>
        <v>0</v>
      </c>
      <c r="AY223" s="46">
        <f t="shared" si="264"/>
        <v>273893</v>
      </c>
      <c r="AZ223" s="46">
        <f t="shared" si="265"/>
        <v>0</v>
      </c>
      <c r="BA223" s="46">
        <f t="shared" si="266"/>
        <v>208643</v>
      </c>
      <c r="BB223" s="46"/>
      <c r="BC223" s="46">
        <f t="shared" si="267"/>
        <v>482536</v>
      </c>
      <c r="BD223" s="46">
        <f t="shared" si="268"/>
        <v>208643</v>
      </c>
      <c r="BE223" s="46">
        <f t="shared" si="269"/>
        <v>530221</v>
      </c>
      <c r="BF223" s="46">
        <f t="shared" si="270"/>
        <v>19734</v>
      </c>
      <c r="BG223" s="46">
        <f t="shared" si="271"/>
        <v>0</v>
      </c>
      <c r="BH223" s="46">
        <v>0</v>
      </c>
      <c r="BI223" s="46">
        <f t="shared" si="272"/>
        <v>549955</v>
      </c>
      <c r="BJ223" s="46">
        <f t="shared" si="273"/>
        <v>208643</v>
      </c>
      <c r="BK223" s="46">
        <f t="shared" si="274"/>
        <v>1118742</v>
      </c>
      <c r="BL223" s="46">
        <f t="shared" si="275"/>
        <v>0</v>
      </c>
      <c r="BM223" s="46">
        <f t="shared" si="276"/>
        <v>-208643</v>
      </c>
      <c r="BN223" s="46">
        <v>0</v>
      </c>
      <c r="BO223" s="46">
        <f t="shared" si="277"/>
        <v>910099</v>
      </c>
      <c r="BP223" s="46">
        <f t="shared" si="278"/>
        <v>0</v>
      </c>
      <c r="BQ223" s="46">
        <f t="shared" si="279"/>
        <v>415213</v>
      </c>
      <c r="BR223" s="46">
        <f t="shared" si="280"/>
        <v>0</v>
      </c>
      <c r="BS223" s="46">
        <f t="shared" si="281"/>
        <v>67323</v>
      </c>
      <c r="BT223" s="46">
        <v>0</v>
      </c>
      <c r="BU223" s="46">
        <f t="shared" si="282"/>
        <v>482536</v>
      </c>
      <c r="BV223" s="46">
        <f t="shared" si="283"/>
        <v>67323</v>
      </c>
      <c r="BW223" s="46">
        <f t="shared" si="284"/>
        <v>795663</v>
      </c>
      <c r="BX223" s="46">
        <f t="shared" si="285"/>
        <v>129701</v>
      </c>
      <c r="BY223" s="46">
        <f t="shared" si="286"/>
        <v>-67323</v>
      </c>
      <c r="BZ223" s="46">
        <v>0</v>
      </c>
      <c r="CA223" s="46">
        <f t="shared" si="287"/>
        <v>858041</v>
      </c>
      <c r="CB223" s="46">
        <f t="shared" si="288"/>
        <v>0</v>
      </c>
      <c r="CC223" s="155">
        <f t="shared" si="291"/>
        <v>0</v>
      </c>
      <c r="CD223" s="79" t="s">
        <v>538</v>
      </c>
      <c r="CE223" s="65">
        <f t="shared" si="292"/>
        <v>482536</v>
      </c>
      <c r="CF223" s="65">
        <f t="shared" si="293"/>
        <v>482536</v>
      </c>
      <c r="CG223" s="65">
        <f t="shared" si="294"/>
        <v>455776</v>
      </c>
      <c r="CH223" s="65">
        <f t="shared" si="295"/>
        <v>482536</v>
      </c>
      <c r="CI223" s="65">
        <f t="shared" si="296"/>
        <v>1379991</v>
      </c>
      <c r="CJ223" s="65">
        <f t="shared" si="297"/>
        <v>496311</v>
      </c>
      <c r="CK223" s="65">
        <f t="shared" si="298"/>
        <v>844283</v>
      </c>
      <c r="CL223" s="65">
        <f t="shared" si="299"/>
        <v>482536</v>
      </c>
      <c r="CM223" s="65">
        <f t="shared" si="300"/>
        <v>549955</v>
      </c>
      <c r="CN223" s="65">
        <f t="shared" si="301"/>
        <v>910099</v>
      </c>
      <c r="CO223" s="65">
        <f t="shared" si="302"/>
        <v>482536</v>
      </c>
      <c r="CP223" s="65">
        <f t="shared" si="303"/>
        <v>858041</v>
      </c>
      <c r="CQ223" s="40" t="s">
        <v>538</v>
      </c>
    </row>
    <row r="224" spans="1:95" ht="3" customHeight="1" x14ac:dyDescent="0.25">
      <c r="A224" s="39">
        <v>1</v>
      </c>
      <c r="B224" s="28">
        <v>10203</v>
      </c>
      <c r="C224" s="28" t="s">
        <v>254</v>
      </c>
      <c r="D224" s="48">
        <f>+DATA!Q222</f>
        <v>3081467.3470000001</v>
      </c>
      <c r="E224" s="48">
        <f t="shared" si="289"/>
        <v>202863</v>
      </c>
      <c r="F224" s="48">
        <f t="shared" si="290"/>
        <v>308147</v>
      </c>
      <c r="G224" s="49">
        <f>VLOOKUP(B224,'CALC MEC ESTAB Y ESTIM M FINAL'!$B$7:$F$352,5,0)</f>
        <v>1.7443317520999999E-3</v>
      </c>
      <c r="H224" s="49">
        <f>VLOOKUP(B224,'CALC MEC ESTAB Y ESTIM M FINAL'!$B$7:$R$352,17,0)</f>
        <v>-1.478624337E-4</v>
      </c>
      <c r="I224" s="46">
        <f t="shared" si="229"/>
        <v>131632</v>
      </c>
      <c r="J224" s="46">
        <f t="shared" si="230"/>
        <v>0</v>
      </c>
      <c r="K224" s="46">
        <f t="shared" si="231"/>
        <v>71231</v>
      </c>
      <c r="L224" s="46">
        <v>0</v>
      </c>
      <c r="M224" s="46">
        <f t="shared" si="232"/>
        <v>202863</v>
      </c>
      <c r="N224" s="46">
        <f t="shared" si="233"/>
        <v>71231</v>
      </c>
      <c r="O224" s="46">
        <f t="shared" si="234"/>
        <v>69998</v>
      </c>
      <c r="P224" s="46">
        <f t="shared" si="235"/>
        <v>0</v>
      </c>
      <c r="Q224" s="46">
        <f t="shared" si="236"/>
        <v>132865</v>
      </c>
      <c r="R224" s="46">
        <v>0</v>
      </c>
      <c r="S224" s="46">
        <f t="shared" si="237"/>
        <v>202863</v>
      </c>
      <c r="T224" s="46">
        <f t="shared" si="238"/>
        <v>204096</v>
      </c>
      <c r="U224" s="46">
        <f t="shared" si="239"/>
        <v>199688</v>
      </c>
      <c r="V224" s="46">
        <f t="shared" si="240"/>
        <v>0</v>
      </c>
      <c r="W224" s="46">
        <f t="shared" si="241"/>
        <v>0</v>
      </c>
      <c r="X224" s="46">
        <v>0</v>
      </c>
      <c r="Y224" s="46">
        <f t="shared" si="242"/>
        <v>199688</v>
      </c>
      <c r="Z224" s="46">
        <f t="shared" si="243"/>
        <v>204096</v>
      </c>
      <c r="AA224" s="46">
        <f t="shared" si="244"/>
        <v>106031</v>
      </c>
      <c r="AB224" s="46">
        <f t="shared" si="245"/>
        <v>0</v>
      </c>
      <c r="AC224" s="46">
        <f t="shared" si="246"/>
        <v>96832</v>
      </c>
      <c r="AD224" s="46">
        <v>0</v>
      </c>
      <c r="AE224" s="46">
        <f t="shared" si="247"/>
        <v>202863</v>
      </c>
      <c r="AF224" s="46">
        <f t="shared" si="248"/>
        <v>300928</v>
      </c>
      <c r="AG224" s="46">
        <f t="shared" si="249"/>
        <v>922668</v>
      </c>
      <c r="AH224" s="46">
        <f t="shared" si="250"/>
        <v>8516</v>
      </c>
      <c r="AI224" s="46">
        <f t="shared" si="251"/>
        <v>-300928</v>
      </c>
      <c r="AJ224" s="46">
        <v>0</v>
      </c>
      <c r="AK224" s="46">
        <f t="shared" si="252"/>
        <v>630256</v>
      </c>
      <c r="AL224" s="46">
        <f t="shared" si="253"/>
        <v>0</v>
      </c>
      <c r="AM224" s="46">
        <f t="shared" si="254"/>
        <v>182757</v>
      </c>
      <c r="AN224" s="46">
        <f t="shared" si="255"/>
        <v>6035</v>
      </c>
      <c r="AO224" s="46">
        <f t="shared" si="256"/>
        <v>20106</v>
      </c>
      <c r="AP224" s="46">
        <v>0</v>
      </c>
      <c r="AQ224" s="46">
        <f t="shared" si="257"/>
        <v>208898</v>
      </c>
      <c r="AR224" s="46">
        <f t="shared" si="258"/>
        <v>20106</v>
      </c>
      <c r="AS224" s="46">
        <f t="shared" si="259"/>
        <v>363288</v>
      </c>
      <c r="AT224" s="46">
        <f t="shared" si="260"/>
        <v>35269</v>
      </c>
      <c r="AU224" s="46">
        <f t="shared" si="261"/>
        <v>-20106</v>
      </c>
      <c r="AV224" s="46">
        <v>0</v>
      </c>
      <c r="AW224" s="46">
        <f t="shared" si="262"/>
        <v>378451</v>
      </c>
      <c r="AX224" s="46">
        <f t="shared" si="263"/>
        <v>0</v>
      </c>
      <c r="AY224" s="46">
        <f t="shared" si="264"/>
        <v>120000</v>
      </c>
      <c r="AZ224" s="46">
        <f t="shared" si="265"/>
        <v>0</v>
      </c>
      <c r="BA224" s="46">
        <f t="shared" si="266"/>
        <v>82863</v>
      </c>
      <c r="BB224" s="46"/>
      <c r="BC224" s="46">
        <f t="shared" si="267"/>
        <v>202863</v>
      </c>
      <c r="BD224" s="46">
        <f t="shared" si="268"/>
        <v>82863</v>
      </c>
      <c r="BE224" s="46">
        <f t="shared" si="269"/>
        <v>232303</v>
      </c>
      <c r="BF224" s="46">
        <f t="shared" si="270"/>
        <v>8646</v>
      </c>
      <c r="BG224" s="46">
        <f t="shared" si="271"/>
        <v>0</v>
      </c>
      <c r="BH224" s="46">
        <v>0</v>
      </c>
      <c r="BI224" s="46">
        <f t="shared" si="272"/>
        <v>240949</v>
      </c>
      <c r="BJ224" s="46">
        <f t="shared" si="273"/>
        <v>82863</v>
      </c>
      <c r="BK224" s="46">
        <f t="shared" si="274"/>
        <v>490150</v>
      </c>
      <c r="BL224" s="46">
        <f t="shared" si="275"/>
        <v>0</v>
      </c>
      <c r="BM224" s="46">
        <f t="shared" si="276"/>
        <v>-82863</v>
      </c>
      <c r="BN224" s="46">
        <v>0</v>
      </c>
      <c r="BO224" s="46">
        <f t="shared" si="277"/>
        <v>407287</v>
      </c>
      <c r="BP224" s="46">
        <f t="shared" si="278"/>
        <v>0</v>
      </c>
      <c r="BQ224" s="46">
        <f t="shared" si="279"/>
        <v>181916</v>
      </c>
      <c r="BR224" s="46">
        <f t="shared" si="280"/>
        <v>0</v>
      </c>
      <c r="BS224" s="46">
        <f t="shared" si="281"/>
        <v>20947</v>
      </c>
      <c r="BT224" s="46">
        <v>0</v>
      </c>
      <c r="BU224" s="46">
        <f t="shared" si="282"/>
        <v>202863</v>
      </c>
      <c r="BV224" s="46">
        <f t="shared" si="283"/>
        <v>20947</v>
      </c>
      <c r="BW224" s="46">
        <f t="shared" si="284"/>
        <v>348601</v>
      </c>
      <c r="BX224" s="46">
        <f t="shared" si="285"/>
        <v>56826</v>
      </c>
      <c r="BY224" s="46">
        <f t="shared" si="286"/>
        <v>-20947</v>
      </c>
      <c r="BZ224" s="46">
        <v>0</v>
      </c>
      <c r="CA224" s="46">
        <f t="shared" si="287"/>
        <v>384480</v>
      </c>
      <c r="CB224" s="46">
        <f t="shared" si="288"/>
        <v>0</v>
      </c>
      <c r="CC224" s="155">
        <f t="shared" si="291"/>
        <v>0</v>
      </c>
      <c r="CD224" s="79" t="s">
        <v>538</v>
      </c>
      <c r="CE224" s="65">
        <f t="shared" si="292"/>
        <v>202863</v>
      </c>
      <c r="CF224" s="65">
        <f t="shared" si="293"/>
        <v>202863</v>
      </c>
      <c r="CG224" s="65">
        <f t="shared" si="294"/>
        <v>199688</v>
      </c>
      <c r="CH224" s="65">
        <f t="shared" si="295"/>
        <v>202863</v>
      </c>
      <c r="CI224" s="65">
        <f t="shared" si="296"/>
        <v>630256</v>
      </c>
      <c r="CJ224" s="65">
        <f t="shared" si="297"/>
        <v>208898</v>
      </c>
      <c r="CK224" s="65">
        <f t="shared" si="298"/>
        <v>378451</v>
      </c>
      <c r="CL224" s="65">
        <f t="shared" si="299"/>
        <v>202863</v>
      </c>
      <c r="CM224" s="65">
        <f t="shared" si="300"/>
        <v>240949</v>
      </c>
      <c r="CN224" s="65">
        <f t="shared" si="301"/>
        <v>407287</v>
      </c>
      <c r="CO224" s="65">
        <f t="shared" si="302"/>
        <v>202863</v>
      </c>
      <c r="CP224" s="65">
        <f t="shared" si="303"/>
        <v>384480</v>
      </c>
      <c r="CQ224" s="40" t="s">
        <v>538</v>
      </c>
    </row>
    <row r="225" spans="1:95" ht="3" customHeight="1" x14ac:dyDescent="0.25">
      <c r="A225" s="39">
        <v>1</v>
      </c>
      <c r="B225" s="28">
        <v>10204</v>
      </c>
      <c r="C225" s="28" t="s">
        <v>416</v>
      </c>
      <c r="D225" s="48">
        <f>+DATA!Q223</f>
        <v>2108248.7940000002</v>
      </c>
      <c r="E225" s="48">
        <f t="shared" si="289"/>
        <v>138793</v>
      </c>
      <c r="F225" s="48">
        <f t="shared" si="290"/>
        <v>210825</v>
      </c>
      <c r="G225" s="49">
        <f>VLOOKUP(B225,'CALC MEC ESTAB Y ESTIM M FINAL'!$B$7:$F$352,5,0)</f>
        <v>1.1108845379000001E-3</v>
      </c>
      <c r="H225" s="49">
        <f>VLOOKUP(B225,'CALC MEC ESTAB Y ESTIM M FINAL'!$B$7:$R$352,17,0)</f>
        <v>-5.6173610999999997E-5</v>
      </c>
      <c r="I225" s="46">
        <f t="shared" si="229"/>
        <v>86963</v>
      </c>
      <c r="J225" s="46">
        <f t="shared" si="230"/>
        <v>0</v>
      </c>
      <c r="K225" s="46">
        <f t="shared" si="231"/>
        <v>51830</v>
      </c>
      <c r="L225" s="46">
        <v>0</v>
      </c>
      <c r="M225" s="46">
        <f t="shared" si="232"/>
        <v>138793</v>
      </c>
      <c r="N225" s="46">
        <f t="shared" si="233"/>
        <v>51830</v>
      </c>
      <c r="O225" s="46">
        <f t="shared" si="234"/>
        <v>46244</v>
      </c>
      <c r="P225" s="46">
        <f t="shared" si="235"/>
        <v>0</v>
      </c>
      <c r="Q225" s="46">
        <f t="shared" si="236"/>
        <v>92549</v>
      </c>
      <c r="R225" s="46">
        <v>0</v>
      </c>
      <c r="S225" s="46">
        <f t="shared" si="237"/>
        <v>138793</v>
      </c>
      <c r="T225" s="46">
        <f t="shared" si="238"/>
        <v>144379</v>
      </c>
      <c r="U225" s="46">
        <f t="shared" si="239"/>
        <v>131924</v>
      </c>
      <c r="V225" s="46">
        <f t="shared" si="240"/>
        <v>0</v>
      </c>
      <c r="W225" s="46">
        <f t="shared" si="241"/>
        <v>0</v>
      </c>
      <c r="X225" s="46">
        <v>0</v>
      </c>
      <c r="Y225" s="46">
        <f t="shared" si="242"/>
        <v>131924</v>
      </c>
      <c r="Z225" s="46">
        <f t="shared" si="243"/>
        <v>144379</v>
      </c>
      <c r="AA225" s="46">
        <f t="shared" si="244"/>
        <v>70050</v>
      </c>
      <c r="AB225" s="46">
        <f t="shared" si="245"/>
        <v>0</v>
      </c>
      <c r="AC225" s="46">
        <f t="shared" si="246"/>
        <v>68743</v>
      </c>
      <c r="AD225" s="46">
        <v>0</v>
      </c>
      <c r="AE225" s="46">
        <f t="shared" si="247"/>
        <v>138793</v>
      </c>
      <c r="AF225" s="46">
        <f t="shared" si="248"/>
        <v>213122</v>
      </c>
      <c r="AG225" s="46">
        <f t="shared" si="249"/>
        <v>609562</v>
      </c>
      <c r="AH225" s="46">
        <f t="shared" si="250"/>
        <v>5626</v>
      </c>
      <c r="AI225" s="46">
        <f t="shared" si="251"/>
        <v>-213122</v>
      </c>
      <c r="AJ225" s="46">
        <v>0</v>
      </c>
      <c r="AK225" s="46">
        <f t="shared" si="252"/>
        <v>402066</v>
      </c>
      <c r="AL225" s="46">
        <f t="shared" si="253"/>
        <v>0</v>
      </c>
      <c r="AM225" s="46">
        <f t="shared" si="254"/>
        <v>120739</v>
      </c>
      <c r="AN225" s="46">
        <f t="shared" si="255"/>
        <v>3987</v>
      </c>
      <c r="AO225" s="46">
        <f t="shared" si="256"/>
        <v>18054</v>
      </c>
      <c r="AP225" s="46">
        <v>0</v>
      </c>
      <c r="AQ225" s="46">
        <f t="shared" si="257"/>
        <v>142780</v>
      </c>
      <c r="AR225" s="46">
        <f t="shared" si="258"/>
        <v>18054</v>
      </c>
      <c r="AS225" s="46">
        <f t="shared" si="259"/>
        <v>240007</v>
      </c>
      <c r="AT225" s="46">
        <f t="shared" si="260"/>
        <v>23300</v>
      </c>
      <c r="AU225" s="46">
        <f t="shared" si="261"/>
        <v>-18054</v>
      </c>
      <c r="AV225" s="46">
        <v>0</v>
      </c>
      <c r="AW225" s="46">
        <f t="shared" si="262"/>
        <v>245253</v>
      </c>
      <c r="AX225" s="46">
        <f t="shared" si="263"/>
        <v>0</v>
      </c>
      <c r="AY225" s="46">
        <f t="shared" si="264"/>
        <v>79278</v>
      </c>
      <c r="AZ225" s="46">
        <f t="shared" si="265"/>
        <v>0</v>
      </c>
      <c r="BA225" s="46">
        <f t="shared" si="266"/>
        <v>59515</v>
      </c>
      <c r="BB225" s="46"/>
      <c r="BC225" s="46">
        <f t="shared" si="267"/>
        <v>138793</v>
      </c>
      <c r="BD225" s="46">
        <f t="shared" si="268"/>
        <v>59515</v>
      </c>
      <c r="BE225" s="46">
        <f t="shared" si="269"/>
        <v>153472</v>
      </c>
      <c r="BF225" s="46">
        <f t="shared" si="270"/>
        <v>5712</v>
      </c>
      <c r="BG225" s="46">
        <f t="shared" si="271"/>
        <v>0</v>
      </c>
      <c r="BH225" s="46">
        <v>0</v>
      </c>
      <c r="BI225" s="46">
        <f t="shared" si="272"/>
        <v>159184</v>
      </c>
      <c r="BJ225" s="46">
        <f t="shared" si="273"/>
        <v>59515</v>
      </c>
      <c r="BK225" s="46">
        <f t="shared" si="274"/>
        <v>323819</v>
      </c>
      <c r="BL225" s="46">
        <f t="shared" si="275"/>
        <v>0</v>
      </c>
      <c r="BM225" s="46">
        <f t="shared" si="276"/>
        <v>-59515</v>
      </c>
      <c r="BN225" s="46">
        <v>0</v>
      </c>
      <c r="BO225" s="46">
        <f t="shared" si="277"/>
        <v>264304</v>
      </c>
      <c r="BP225" s="46">
        <f t="shared" si="278"/>
        <v>0</v>
      </c>
      <c r="BQ225" s="46">
        <f t="shared" si="279"/>
        <v>120183</v>
      </c>
      <c r="BR225" s="46">
        <f t="shared" si="280"/>
        <v>0</v>
      </c>
      <c r="BS225" s="46">
        <f t="shared" si="281"/>
        <v>18610</v>
      </c>
      <c r="BT225" s="46">
        <v>0</v>
      </c>
      <c r="BU225" s="46">
        <f t="shared" si="282"/>
        <v>138793</v>
      </c>
      <c r="BV225" s="46">
        <f t="shared" si="283"/>
        <v>18610</v>
      </c>
      <c r="BW225" s="46">
        <f t="shared" si="284"/>
        <v>230304</v>
      </c>
      <c r="BX225" s="46">
        <f t="shared" si="285"/>
        <v>37542</v>
      </c>
      <c r="BY225" s="46">
        <f t="shared" si="286"/>
        <v>-18610</v>
      </c>
      <c r="BZ225" s="46">
        <v>0</v>
      </c>
      <c r="CA225" s="46">
        <f t="shared" si="287"/>
        <v>249236</v>
      </c>
      <c r="CB225" s="46">
        <f t="shared" si="288"/>
        <v>0</v>
      </c>
      <c r="CC225" s="155">
        <f t="shared" si="291"/>
        <v>0</v>
      </c>
      <c r="CD225" s="79" t="s">
        <v>538</v>
      </c>
      <c r="CE225" s="65">
        <f t="shared" si="292"/>
        <v>138793</v>
      </c>
      <c r="CF225" s="65">
        <f t="shared" si="293"/>
        <v>138793</v>
      </c>
      <c r="CG225" s="65">
        <f t="shared" si="294"/>
        <v>131924</v>
      </c>
      <c r="CH225" s="65">
        <f t="shared" si="295"/>
        <v>138793</v>
      </c>
      <c r="CI225" s="65">
        <f t="shared" si="296"/>
        <v>402066</v>
      </c>
      <c r="CJ225" s="65">
        <f t="shared" si="297"/>
        <v>142780</v>
      </c>
      <c r="CK225" s="65">
        <f t="shared" si="298"/>
        <v>245253</v>
      </c>
      <c r="CL225" s="65">
        <f t="shared" si="299"/>
        <v>138793</v>
      </c>
      <c r="CM225" s="65">
        <f t="shared" si="300"/>
        <v>159184</v>
      </c>
      <c r="CN225" s="65">
        <f t="shared" si="301"/>
        <v>264304</v>
      </c>
      <c r="CO225" s="65">
        <f t="shared" si="302"/>
        <v>138793</v>
      </c>
      <c r="CP225" s="65">
        <f t="shared" si="303"/>
        <v>249236</v>
      </c>
      <c r="CQ225" s="40" t="s">
        <v>538</v>
      </c>
    </row>
    <row r="226" spans="1:95" ht="3" customHeight="1" x14ac:dyDescent="0.25">
      <c r="A226" s="39">
        <v>1</v>
      </c>
      <c r="B226" s="28">
        <v>10205</v>
      </c>
      <c r="C226" s="28" t="s">
        <v>257</v>
      </c>
      <c r="D226" s="48">
        <f>+DATA!Q224</f>
        <v>3391783.264</v>
      </c>
      <c r="E226" s="48">
        <f t="shared" si="289"/>
        <v>223292</v>
      </c>
      <c r="F226" s="48">
        <f t="shared" si="290"/>
        <v>339178</v>
      </c>
      <c r="G226" s="49">
        <f>VLOOKUP(B226,'CALC MEC ESTAB Y ESTIM M FINAL'!$B$7:$F$352,5,0)</f>
        <v>1.8581377129999999E-3</v>
      </c>
      <c r="H226" s="49">
        <f>VLOOKUP(B226,'CALC MEC ESTAB Y ESTIM M FINAL'!$B$7:$R$352,17,0)</f>
        <v>-1.2880073030000001E-4</v>
      </c>
      <c r="I226" s="46">
        <f t="shared" si="229"/>
        <v>142588</v>
      </c>
      <c r="J226" s="46">
        <f t="shared" si="230"/>
        <v>0</v>
      </c>
      <c r="K226" s="46">
        <f t="shared" si="231"/>
        <v>80704</v>
      </c>
      <c r="L226" s="46">
        <v>0</v>
      </c>
      <c r="M226" s="46">
        <f t="shared" si="232"/>
        <v>223292</v>
      </c>
      <c r="N226" s="46">
        <f t="shared" si="233"/>
        <v>80704</v>
      </c>
      <c r="O226" s="46">
        <f t="shared" si="234"/>
        <v>75823</v>
      </c>
      <c r="P226" s="46">
        <f t="shared" si="235"/>
        <v>0</v>
      </c>
      <c r="Q226" s="46">
        <f t="shared" si="236"/>
        <v>147469</v>
      </c>
      <c r="R226" s="46">
        <v>0</v>
      </c>
      <c r="S226" s="46">
        <f t="shared" si="237"/>
        <v>223292</v>
      </c>
      <c r="T226" s="46">
        <f t="shared" si="238"/>
        <v>228173</v>
      </c>
      <c r="U226" s="46">
        <f t="shared" si="239"/>
        <v>216307</v>
      </c>
      <c r="V226" s="46">
        <f t="shared" si="240"/>
        <v>0</v>
      </c>
      <c r="W226" s="46">
        <f t="shared" si="241"/>
        <v>0</v>
      </c>
      <c r="X226" s="46">
        <v>0</v>
      </c>
      <c r="Y226" s="46">
        <f t="shared" si="242"/>
        <v>216307</v>
      </c>
      <c r="Z226" s="46">
        <f t="shared" si="243"/>
        <v>228173</v>
      </c>
      <c r="AA226" s="46">
        <f t="shared" si="244"/>
        <v>114855</v>
      </c>
      <c r="AB226" s="46">
        <f t="shared" si="245"/>
        <v>0</v>
      </c>
      <c r="AC226" s="46">
        <f t="shared" si="246"/>
        <v>108437</v>
      </c>
      <c r="AD226" s="46">
        <v>0</v>
      </c>
      <c r="AE226" s="46">
        <f t="shared" si="247"/>
        <v>223292</v>
      </c>
      <c r="AF226" s="46">
        <f t="shared" si="248"/>
        <v>336610</v>
      </c>
      <c r="AG226" s="46">
        <f t="shared" si="249"/>
        <v>999458</v>
      </c>
      <c r="AH226" s="46">
        <f t="shared" si="250"/>
        <v>9225</v>
      </c>
      <c r="AI226" s="46">
        <f t="shared" si="251"/>
        <v>-336610</v>
      </c>
      <c r="AJ226" s="46">
        <v>0</v>
      </c>
      <c r="AK226" s="46">
        <f t="shared" si="252"/>
        <v>672073</v>
      </c>
      <c r="AL226" s="46">
        <f t="shared" si="253"/>
        <v>0</v>
      </c>
      <c r="AM226" s="46">
        <f t="shared" si="254"/>
        <v>197967</v>
      </c>
      <c r="AN226" s="46">
        <f t="shared" si="255"/>
        <v>6538</v>
      </c>
      <c r="AO226" s="46">
        <f t="shared" si="256"/>
        <v>25325</v>
      </c>
      <c r="AP226" s="46">
        <v>0</v>
      </c>
      <c r="AQ226" s="46">
        <f t="shared" si="257"/>
        <v>229830</v>
      </c>
      <c r="AR226" s="46">
        <f t="shared" si="258"/>
        <v>25325</v>
      </c>
      <c r="AS226" s="46">
        <f t="shared" si="259"/>
        <v>393523</v>
      </c>
      <c r="AT226" s="46">
        <f t="shared" si="260"/>
        <v>38204</v>
      </c>
      <c r="AU226" s="46">
        <f t="shared" si="261"/>
        <v>-25325</v>
      </c>
      <c r="AV226" s="46">
        <v>0</v>
      </c>
      <c r="AW226" s="46">
        <f t="shared" si="262"/>
        <v>406402</v>
      </c>
      <c r="AX226" s="46">
        <f t="shared" si="263"/>
        <v>0</v>
      </c>
      <c r="AY226" s="46">
        <f t="shared" si="264"/>
        <v>129987</v>
      </c>
      <c r="AZ226" s="46">
        <f t="shared" si="265"/>
        <v>0</v>
      </c>
      <c r="BA226" s="46">
        <f t="shared" si="266"/>
        <v>93305</v>
      </c>
      <c r="BB226" s="46"/>
      <c r="BC226" s="46">
        <f t="shared" si="267"/>
        <v>223292</v>
      </c>
      <c r="BD226" s="46">
        <f t="shared" si="268"/>
        <v>93305</v>
      </c>
      <c r="BE226" s="46">
        <f t="shared" si="269"/>
        <v>251637</v>
      </c>
      <c r="BF226" s="46">
        <f t="shared" si="270"/>
        <v>9366</v>
      </c>
      <c r="BG226" s="46">
        <f t="shared" si="271"/>
        <v>0</v>
      </c>
      <c r="BH226" s="46">
        <v>0</v>
      </c>
      <c r="BI226" s="46">
        <f t="shared" si="272"/>
        <v>261003</v>
      </c>
      <c r="BJ226" s="46">
        <f t="shared" si="273"/>
        <v>93305</v>
      </c>
      <c r="BK226" s="46">
        <f t="shared" si="274"/>
        <v>530943</v>
      </c>
      <c r="BL226" s="46">
        <f t="shared" si="275"/>
        <v>0</v>
      </c>
      <c r="BM226" s="46">
        <f t="shared" si="276"/>
        <v>-93305</v>
      </c>
      <c r="BN226" s="46">
        <v>0</v>
      </c>
      <c r="BO226" s="46">
        <f t="shared" si="277"/>
        <v>437638</v>
      </c>
      <c r="BP226" s="46">
        <f t="shared" si="278"/>
        <v>0</v>
      </c>
      <c r="BQ226" s="46">
        <f t="shared" si="279"/>
        <v>197056</v>
      </c>
      <c r="BR226" s="46">
        <f t="shared" si="280"/>
        <v>0</v>
      </c>
      <c r="BS226" s="46">
        <f t="shared" si="281"/>
        <v>26236</v>
      </c>
      <c r="BT226" s="46">
        <v>0</v>
      </c>
      <c r="BU226" s="46">
        <f t="shared" si="282"/>
        <v>223292</v>
      </c>
      <c r="BV226" s="46">
        <f t="shared" si="283"/>
        <v>26236</v>
      </c>
      <c r="BW226" s="46">
        <f t="shared" si="284"/>
        <v>377613</v>
      </c>
      <c r="BX226" s="46">
        <f t="shared" si="285"/>
        <v>61555</v>
      </c>
      <c r="BY226" s="46">
        <f t="shared" si="286"/>
        <v>-26236</v>
      </c>
      <c r="BZ226" s="46">
        <v>0</v>
      </c>
      <c r="CA226" s="46">
        <f t="shared" si="287"/>
        <v>412932</v>
      </c>
      <c r="CB226" s="46">
        <f t="shared" si="288"/>
        <v>0</v>
      </c>
      <c r="CC226" s="155">
        <f t="shared" si="291"/>
        <v>0</v>
      </c>
      <c r="CD226" s="79" t="s">
        <v>538</v>
      </c>
      <c r="CE226" s="65">
        <f t="shared" si="292"/>
        <v>223292</v>
      </c>
      <c r="CF226" s="65">
        <f t="shared" si="293"/>
        <v>223292</v>
      </c>
      <c r="CG226" s="65">
        <f t="shared" si="294"/>
        <v>216307</v>
      </c>
      <c r="CH226" s="65">
        <f t="shared" si="295"/>
        <v>223292</v>
      </c>
      <c r="CI226" s="65">
        <f t="shared" si="296"/>
        <v>672073</v>
      </c>
      <c r="CJ226" s="65">
        <f t="shared" si="297"/>
        <v>229830</v>
      </c>
      <c r="CK226" s="65">
        <f t="shared" si="298"/>
        <v>406402</v>
      </c>
      <c r="CL226" s="65">
        <f t="shared" si="299"/>
        <v>223292</v>
      </c>
      <c r="CM226" s="65">
        <f t="shared" si="300"/>
        <v>261003</v>
      </c>
      <c r="CN226" s="65">
        <f t="shared" si="301"/>
        <v>437638</v>
      </c>
      <c r="CO226" s="65">
        <f t="shared" si="302"/>
        <v>223292</v>
      </c>
      <c r="CP226" s="65">
        <f t="shared" si="303"/>
        <v>412932</v>
      </c>
      <c r="CQ226" s="40" t="s">
        <v>538</v>
      </c>
    </row>
    <row r="227" spans="1:95" ht="3" customHeight="1" x14ac:dyDescent="0.25">
      <c r="A227" s="39">
        <v>1</v>
      </c>
      <c r="B227" s="28">
        <v>10206</v>
      </c>
      <c r="C227" s="28" t="s">
        <v>417</v>
      </c>
      <c r="D227" s="48">
        <f>+DATA!Q225</f>
        <v>1930830.6040000001</v>
      </c>
      <c r="E227" s="48">
        <f t="shared" si="289"/>
        <v>127113</v>
      </c>
      <c r="F227" s="48">
        <f t="shared" si="290"/>
        <v>193083</v>
      </c>
      <c r="G227" s="49">
        <f>VLOOKUP(B227,'CALC MEC ESTAB Y ESTIM M FINAL'!$B$7:$F$352,5,0)</f>
        <v>1.0900185097999998E-3</v>
      </c>
      <c r="H227" s="49">
        <f>VLOOKUP(B227,'CALC MEC ESTAB Y ESTIM M FINAL'!$B$7:$R$352,17,0)</f>
        <v>-9.0647024399999993E-5</v>
      </c>
      <c r="I227" s="46">
        <f t="shared" si="229"/>
        <v>82400</v>
      </c>
      <c r="J227" s="46">
        <f t="shared" si="230"/>
        <v>0</v>
      </c>
      <c r="K227" s="46">
        <f t="shared" si="231"/>
        <v>44713</v>
      </c>
      <c r="L227" s="46">
        <v>0</v>
      </c>
      <c r="M227" s="46">
        <f t="shared" si="232"/>
        <v>127113</v>
      </c>
      <c r="N227" s="46">
        <f t="shared" si="233"/>
        <v>44713</v>
      </c>
      <c r="O227" s="46">
        <f t="shared" si="234"/>
        <v>43818</v>
      </c>
      <c r="P227" s="46">
        <f t="shared" si="235"/>
        <v>0</v>
      </c>
      <c r="Q227" s="46">
        <f t="shared" si="236"/>
        <v>83295</v>
      </c>
      <c r="R227" s="46">
        <v>0</v>
      </c>
      <c r="S227" s="46">
        <f t="shared" si="237"/>
        <v>127113</v>
      </c>
      <c r="T227" s="46">
        <f t="shared" si="238"/>
        <v>128008</v>
      </c>
      <c r="U227" s="46">
        <f t="shared" si="239"/>
        <v>125002</v>
      </c>
      <c r="V227" s="46">
        <f t="shared" si="240"/>
        <v>0</v>
      </c>
      <c r="W227" s="46">
        <f t="shared" si="241"/>
        <v>0</v>
      </c>
      <c r="X227" s="46">
        <v>0</v>
      </c>
      <c r="Y227" s="46">
        <f t="shared" si="242"/>
        <v>125002</v>
      </c>
      <c r="Z227" s="46">
        <f t="shared" si="243"/>
        <v>128008</v>
      </c>
      <c r="AA227" s="46">
        <f t="shared" si="244"/>
        <v>66374</v>
      </c>
      <c r="AB227" s="46">
        <f t="shared" si="245"/>
        <v>0</v>
      </c>
      <c r="AC227" s="46">
        <f t="shared" si="246"/>
        <v>60739</v>
      </c>
      <c r="AD227" s="46">
        <v>0</v>
      </c>
      <c r="AE227" s="46">
        <f t="shared" si="247"/>
        <v>127113</v>
      </c>
      <c r="AF227" s="46">
        <f t="shared" si="248"/>
        <v>188747</v>
      </c>
      <c r="AG227" s="46">
        <f t="shared" si="249"/>
        <v>577579</v>
      </c>
      <c r="AH227" s="46">
        <f t="shared" si="250"/>
        <v>5331</v>
      </c>
      <c r="AI227" s="46">
        <f t="shared" si="251"/>
        <v>-188747</v>
      </c>
      <c r="AJ227" s="46">
        <v>0</v>
      </c>
      <c r="AK227" s="46">
        <f t="shared" si="252"/>
        <v>394163</v>
      </c>
      <c r="AL227" s="46">
        <f t="shared" si="253"/>
        <v>0</v>
      </c>
      <c r="AM227" s="46">
        <f t="shared" si="254"/>
        <v>114404</v>
      </c>
      <c r="AN227" s="46">
        <f t="shared" si="255"/>
        <v>3778</v>
      </c>
      <c r="AO227" s="46">
        <f t="shared" si="256"/>
        <v>12709</v>
      </c>
      <c r="AP227" s="46">
        <v>0</v>
      </c>
      <c r="AQ227" s="46">
        <f t="shared" si="257"/>
        <v>130891</v>
      </c>
      <c r="AR227" s="46">
        <f t="shared" si="258"/>
        <v>12709</v>
      </c>
      <c r="AS227" s="46">
        <f t="shared" si="259"/>
        <v>227414</v>
      </c>
      <c r="AT227" s="46">
        <f t="shared" si="260"/>
        <v>22078</v>
      </c>
      <c r="AU227" s="46">
        <f t="shared" si="261"/>
        <v>-12709</v>
      </c>
      <c r="AV227" s="46">
        <v>0</v>
      </c>
      <c r="AW227" s="46">
        <f t="shared" si="262"/>
        <v>236783</v>
      </c>
      <c r="AX227" s="46">
        <f t="shared" si="263"/>
        <v>0</v>
      </c>
      <c r="AY227" s="46">
        <f t="shared" si="264"/>
        <v>75118</v>
      </c>
      <c r="AZ227" s="46">
        <f t="shared" si="265"/>
        <v>0</v>
      </c>
      <c r="BA227" s="46">
        <f t="shared" si="266"/>
        <v>51995</v>
      </c>
      <c r="BB227" s="46"/>
      <c r="BC227" s="46">
        <f t="shared" si="267"/>
        <v>127113</v>
      </c>
      <c r="BD227" s="46">
        <f t="shared" si="268"/>
        <v>51995</v>
      </c>
      <c r="BE227" s="46">
        <f t="shared" si="269"/>
        <v>145419</v>
      </c>
      <c r="BF227" s="46">
        <f t="shared" si="270"/>
        <v>5412</v>
      </c>
      <c r="BG227" s="46">
        <f t="shared" si="271"/>
        <v>0</v>
      </c>
      <c r="BH227" s="46">
        <v>0</v>
      </c>
      <c r="BI227" s="46">
        <f t="shared" si="272"/>
        <v>150831</v>
      </c>
      <c r="BJ227" s="46">
        <f t="shared" si="273"/>
        <v>51995</v>
      </c>
      <c r="BK227" s="46">
        <f t="shared" si="274"/>
        <v>306828</v>
      </c>
      <c r="BL227" s="46">
        <f t="shared" si="275"/>
        <v>0</v>
      </c>
      <c r="BM227" s="46">
        <f t="shared" si="276"/>
        <v>-51995</v>
      </c>
      <c r="BN227" s="46">
        <v>0</v>
      </c>
      <c r="BO227" s="46">
        <f t="shared" si="277"/>
        <v>254833</v>
      </c>
      <c r="BP227" s="46">
        <f t="shared" si="278"/>
        <v>0</v>
      </c>
      <c r="BQ227" s="46">
        <f t="shared" si="279"/>
        <v>113877</v>
      </c>
      <c r="BR227" s="46">
        <f t="shared" si="280"/>
        <v>0</v>
      </c>
      <c r="BS227" s="46">
        <f t="shared" si="281"/>
        <v>13236</v>
      </c>
      <c r="BT227" s="46">
        <v>0</v>
      </c>
      <c r="BU227" s="46">
        <f t="shared" si="282"/>
        <v>127113</v>
      </c>
      <c r="BV227" s="46">
        <f t="shared" si="283"/>
        <v>13236</v>
      </c>
      <c r="BW227" s="46">
        <f t="shared" si="284"/>
        <v>218220</v>
      </c>
      <c r="BX227" s="46">
        <f t="shared" si="285"/>
        <v>35572</v>
      </c>
      <c r="BY227" s="46">
        <f t="shared" si="286"/>
        <v>-13236</v>
      </c>
      <c r="BZ227" s="46">
        <v>0</v>
      </c>
      <c r="CA227" s="46">
        <f t="shared" si="287"/>
        <v>240556</v>
      </c>
      <c r="CB227" s="46">
        <f t="shared" si="288"/>
        <v>0</v>
      </c>
      <c r="CC227" s="155">
        <f t="shared" si="291"/>
        <v>0</v>
      </c>
      <c r="CD227" s="79" t="s">
        <v>538</v>
      </c>
      <c r="CE227" s="65">
        <f t="shared" si="292"/>
        <v>127113</v>
      </c>
      <c r="CF227" s="65">
        <f t="shared" si="293"/>
        <v>127113</v>
      </c>
      <c r="CG227" s="65">
        <f t="shared" si="294"/>
        <v>125002</v>
      </c>
      <c r="CH227" s="65">
        <f t="shared" si="295"/>
        <v>127113</v>
      </c>
      <c r="CI227" s="65">
        <f t="shared" si="296"/>
        <v>394163</v>
      </c>
      <c r="CJ227" s="65">
        <f t="shared" si="297"/>
        <v>130891</v>
      </c>
      <c r="CK227" s="65">
        <f t="shared" si="298"/>
        <v>236783</v>
      </c>
      <c r="CL227" s="65">
        <f t="shared" si="299"/>
        <v>127113</v>
      </c>
      <c r="CM227" s="65">
        <f t="shared" si="300"/>
        <v>150831</v>
      </c>
      <c r="CN227" s="65">
        <f t="shared" si="301"/>
        <v>254833</v>
      </c>
      <c r="CO227" s="65">
        <f t="shared" si="302"/>
        <v>127113</v>
      </c>
      <c r="CP227" s="65">
        <f t="shared" si="303"/>
        <v>240556</v>
      </c>
      <c r="CQ227" s="40" t="s">
        <v>538</v>
      </c>
    </row>
    <row r="228" spans="1:95" ht="3" customHeight="1" x14ac:dyDescent="0.25">
      <c r="A228" s="39">
        <v>1</v>
      </c>
      <c r="B228" s="28">
        <v>10207</v>
      </c>
      <c r="C228" s="28" t="s">
        <v>418</v>
      </c>
      <c r="D228" s="48">
        <f>+DATA!Q226</f>
        <v>2227190.7000000002</v>
      </c>
      <c r="E228" s="48">
        <f t="shared" si="289"/>
        <v>146623</v>
      </c>
      <c r="F228" s="48">
        <f t="shared" si="290"/>
        <v>222719</v>
      </c>
      <c r="G228" s="49">
        <f>VLOOKUP(B228,'CALC MEC ESTAB Y ESTIM M FINAL'!$B$7:$F$352,5,0)</f>
        <v>1.3413757572000001E-3</v>
      </c>
      <c r="H228" s="49">
        <f>VLOOKUP(B228,'CALC MEC ESTAB Y ESTIM M FINAL'!$B$7:$R$352,17,0)</f>
        <v>-1.5073451350000001E-4</v>
      </c>
      <c r="I228" s="46">
        <f t="shared" si="229"/>
        <v>98171</v>
      </c>
      <c r="J228" s="46">
        <f t="shared" si="230"/>
        <v>0</v>
      </c>
      <c r="K228" s="46">
        <f t="shared" si="231"/>
        <v>48452</v>
      </c>
      <c r="L228" s="46">
        <v>0</v>
      </c>
      <c r="M228" s="46">
        <f t="shared" si="232"/>
        <v>146623</v>
      </c>
      <c r="N228" s="46">
        <f t="shared" si="233"/>
        <v>48452</v>
      </c>
      <c r="O228" s="46">
        <f t="shared" si="234"/>
        <v>52204</v>
      </c>
      <c r="P228" s="46">
        <f t="shared" si="235"/>
        <v>0</v>
      </c>
      <c r="Q228" s="46">
        <f t="shared" si="236"/>
        <v>94419</v>
      </c>
      <c r="R228" s="46">
        <v>0</v>
      </c>
      <c r="S228" s="46">
        <f t="shared" si="237"/>
        <v>146623</v>
      </c>
      <c r="T228" s="46">
        <f t="shared" si="238"/>
        <v>142871</v>
      </c>
      <c r="U228" s="46">
        <f t="shared" si="239"/>
        <v>148926</v>
      </c>
      <c r="V228" s="46">
        <f t="shared" si="240"/>
        <v>0</v>
      </c>
      <c r="W228" s="46">
        <f t="shared" si="241"/>
        <v>0</v>
      </c>
      <c r="X228" s="46">
        <v>0</v>
      </c>
      <c r="Y228" s="46">
        <f t="shared" si="242"/>
        <v>148926</v>
      </c>
      <c r="Z228" s="46">
        <f t="shared" si="243"/>
        <v>142871</v>
      </c>
      <c r="AA228" s="46">
        <f t="shared" si="244"/>
        <v>79078</v>
      </c>
      <c r="AB228" s="46">
        <f t="shared" si="245"/>
        <v>0</v>
      </c>
      <c r="AC228" s="46">
        <f t="shared" si="246"/>
        <v>67545</v>
      </c>
      <c r="AD228" s="46">
        <v>0</v>
      </c>
      <c r="AE228" s="46">
        <f t="shared" si="247"/>
        <v>146623</v>
      </c>
      <c r="AF228" s="46">
        <f t="shared" si="248"/>
        <v>210416</v>
      </c>
      <c r="AG228" s="46">
        <f t="shared" si="249"/>
        <v>688122</v>
      </c>
      <c r="AH228" s="46">
        <f t="shared" si="250"/>
        <v>6351</v>
      </c>
      <c r="AI228" s="46">
        <f t="shared" si="251"/>
        <v>-210416</v>
      </c>
      <c r="AJ228" s="46">
        <v>0</v>
      </c>
      <c r="AK228" s="46">
        <f t="shared" si="252"/>
        <v>484057</v>
      </c>
      <c r="AL228" s="46">
        <f t="shared" si="253"/>
        <v>0</v>
      </c>
      <c r="AM228" s="46">
        <f t="shared" si="254"/>
        <v>136299</v>
      </c>
      <c r="AN228" s="46">
        <f t="shared" si="255"/>
        <v>4501</v>
      </c>
      <c r="AO228" s="46">
        <f t="shared" si="256"/>
        <v>10324</v>
      </c>
      <c r="AP228" s="46">
        <v>0</v>
      </c>
      <c r="AQ228" s="46">
        <f t="shared" si="257"/>
        <v>151124</v>
      </c>
      <c r="AR228" s="46">
        <f t="shared" si="258"/>
        <v>10324</v>
      </c>
      <c r="AS228" s="46">
        <f t="shared" si="259"/>
        <v>270939</v>
      </c>
      <c r="AT228" s="46">
        <f t="shared" si="260"/>
        <v>26303</v>
      </c>
      <c r="AU228" s="46">
        <f t="shared" si="261"/>
        <v>-10324</v>
      </c>
      <c r="AV228" s="46">
        <v>0</v>
      </c>
      <c r="AW228" s="46">
        <f t="shared" si="262"/>
        <v>286918</v>
      </c>
      <c r="AX228" s="46">
        <f t="shared" si="263"/>
        <v>0</v>
      </c>
      <c r="AY228" s="46">
        <f t="shared" si="264"/>
        <v>89495</v>
      </c>
      <c r="AZ228" s="46">
        <f t="shared" si="265"/>
        <v>0</v>
      </c>
      <c r="BA228" s="46">
        <f t="shared" si="266"/>
        <v>57128</v>
      </c>
      <c r="BB228" s="46"/>
      <c r="BC228" s="46">
        <f t="shared" si="267"/>
        <v>146623</v>
      </c>
      <c r="BD228" s="46">
        <f t="shared" si="268"/>
        <v>57128</v>
      </c>
      <c r="BE228" s="46">
        <f t="shared" si="269"/>
        <v>173251</v>
      </c>
      <c r="BF228" s="46">
        <f t="shared" si="270"/>
        <v>6448</v>
      </c>
      <c r="BG228" s="46">
        <f t="shared" si="271"/>
        <v>0</v>
      </c>
      <c r="BH228" s="46">
        <v>0</v>
      </c>
      <c r="BI228" s="46">
        <f t="shared" si="272"/>
        <v>179699</v>
      </c>
      <c r="BJ228" s="46">
        <f t="shared" si="273"/>
        <v>57128</v>
      </c>
      <c r="BK228" s="46">
        <f t="shared" si="274"/>
        <v>365552</v>
      </c>
      <c r="BL228" s="46">
        <f t="shared" si="275"/>
        <v>0</v>
      </c>
      <c r="BM228" s="46">
        <f t="shared" si="276"/>
        <v>-57128</v>
      </c>
      <c r="BN228" s="46">
        <v>0</v>
      </c>
      <c r="BO228" s="46">
        <f t="shared" si="277"/>
        <v>308424</v>
      </c>
      <c r="BP228" s="46">
        <f t="shared" si="278"/>
        <v>0</v>
      </c>
      <c r="BQ228" s="46">
        <f t="shared" si="279"/>
        <v>135672</v>
      </c>
      <c r="BR228" s="46">
        <f t="shared" si="280"/>
        <v>0</v>
      </c>
      <c r="BS228" s="46">
        <f t="shared" si="281"/>
        <v>10951</v>
      </c>
      <c r="BT228" s="46">
        <v>0</v>
      </c>
      <c r="BU228" s="46">
        <f t="shared" si="282"/>
        <v>146623</v>
      </c>
      <c r="BV228" s="46">
        <f t="shared" si="283"/>
        <v>10951</v>
      </c>
      <c r="BW228" s="46">
        <f t="shared" si="284"/>
        <v>259985</v>
      </c>
      <c r="BX228" s="46">
        <f t="shared" si="285"/>
        <v>42380</v>
      </c>
      <c r="BY228" s="46">
        <f t="shared" si="286"/>
        <v>-10951</v>
      </c>
      <c r="BZ228" s="46">
        <v>0</v>
      </c>
      <c r="CA228" s="46">
        <f t="shared" si="287"/>
        <v>291414</v>
      </c>
      <c r="CB228" s="46">
        <f t="shared" si="288"/>
        <v>0</v>
      </c>
      <c r="CC228" s="155">
        <f t="shared" si="291"/>
        <v>0</v>
      </c>
      <c r="CD228" s="79" t="s">
        <v>538</v>
      </c>
      <c r="CE228" s="65">
        <f t="shared" si="292"/>
        <v>146623</v>
      </c>
      <c r="CF228" s="65">
        <f t="shared" si="293"/>
        <v>146623</v>
      </c>
      <c r="CG228" s="65">
        <f t="shared" si="294"/>
        <v>148926</v>
      </c>
      <c r="CH228" s="65">
        <f t="shared" si="295"/>
        <v>146623</v>
      </c>
      <c r="CI228" s="65">
        <f t="shared" si="296"/>
        <v>484057</v>
      </c>
      <c r="CJ228" s="65">
        <f t="shared" si="297"/>
        <v>151124</v>
      </c>
      <c r="CK228" s="65">
        <f t="shared" si="298"/>
        <v>286918</v>
      </c>
      <c r="CL228" s="65">
        <f t="shared" si="299"/>
        <v>146623</v>
      </c>
      <c r="CM228" s="65">
        <f t="shared" si="300"/>
        <v>179699</v>
      </c>
      <c r="CN228" s="65">
        <f t="shared" si="301"/>
        <v>308424</v>
      </c>
      <c r="CO228" s="65">
        <f t="shared" si="302"/>
        <v>146623</v>
      </c>
      <c r="CP228" s="65">
        <f t="shared" si="303"/>
        <v>291414</v>
      </c>
      <c r="CQ228" s="40" t="s">
        <v>538</v>
      </c>
    </row>
    <row r="229" spans="1:95" ht="3" customHeight="1" x14ac:dyDescent="0.25">
      <c r="A229" s="39">
        <v>1</v>
      </c>
      <c r="B229" s="28">
        <v>10208</v>
      </c>
      <c r="C229" s="28" t="s">
        <v>419</v>
      </c>
      <c r="D229" s="48">
        <f>+DATA!Q227</f>
        <v>4281515.7790000001</v>
      </c>
      <c r="E229" s="48">
        <f t="shared" si="289"/>
        <v>281866</v>
      </c>
      <c r="F229" s="48">
        <f t="shared" si="290"/>
        <v>428152</v>
      </c>
      <c r="G229" s="49">
        <f>VLOOKUP(B229,'CALC MEC ESTAB Y ESTIM M FINAL'!$B$7:$F$352,5,0)</f>
        <v>2.6517997271999997E-3</v>
      </c>
      <c r="H229" s="49">
        <f>VLOOKUP(B229,'CALC MEC ESTAB Y ESTIM M FINAL'!$B$7:$R$352,17,0)</f>
        <v>-3.2965007710000001E-4</v>
      </c>
      <c r="I229" s="46">
        <f t="shared" si="229"/>
        <v>191466</v>
      </c>
      <c r="J229" s="46">
        <f t="shared" si="230"/>
        <v>0</v>
      </c>
      <c r="K229" s="46">
        <f t="shared" si="231"/>
        <v>90400</v>
      </c>
      <c r="L229" s="46">
        <v>0</v>
      </c>
      <c r="M229" s="46">
        <f t="shared" si="232"/>
        <v>281866</v>
      </c>
      <c r="N229" s="46">
        <f t="shared" si="233"/>
        <v>90400</v>
      </c>
      <c r="O229" s="46">
        <f t="shared" si="234"/>
        <v>101815</v>
      </c>
      <c r="P229" s="46">
        <f t="shared" si="235"/>
        <v>0</v>
      </c>
      <c r="Q229" s="46">
        <f t="shared" si="236"/>
        <v>180051</v>
      </c>
      <c r="R229" s="46">
        <v>0</v>
      </c>
      <c r="S229" s="46">
        <f t="shared" si="237"/>
        <v>281866</v>
      </c>
      <c r="T229" s="46">
        <f t="shared" si="238"/>
        <v>270451</v>
      </c>
      <c r="U229" s="46">
        <f t="shared" si="239"/>
        <v>290456</v>
      </c>
      <c r="V229" s="46">
        <f t="shared" si="240"/>
        <v>0</v>
      </c>
      <c r="W229" s="46">
        <f t="shared" si="241"/>
        <v>0</v>
      </c>
      <c r="X229" s="46">
        <v>0</v>
      </c>
      <c r="Y229" s="46">
        <f t="shared" si="242"/>
        <v>290456</v>
      </c>
      <c r="Z229" s="46">
        <f t="shared" si="243"/>
        <v>270451</v>
      </c>
      <c r="AA229" s="46">
        <f t="shared" si="244"/>
        <v>154228</v>
      </c>
      <c r="AB229" s="46">
        <f t="shared" si="245"/>
        <v>0</v>
      </c>
      <c r="AC229" s="46">
        <f t="shared" si="246"/>
        <v>127638</v>
      </c>
      <c r="AD229" s="46">
        <v>0</v>
      </c>
      <c r="AE229" s="46">
        <f t="shared" si="247"/>
        <v>281866</v>
      </c>
      <c r="AF229" s="46">
        <f t="shared" si="248"/>
        <v>398089</v>
      </c>
      <c r="AG229" s="46">
        <f t="shared" si="249"/>
        <v>1342069</v>
      </c>
      <c r="AH229" s="46">
        <f t="shared" si="250"/>
        <v>12387</v>
      </c>
      <c r="AI229" s="46">
        <f t="shared" si="251"/>
        <v>-398089</v>
      </c>
      <c r="AJ229" s="46">
        <v>0</v>
      </c>
      <c r="AK229" s="46">
        <f t="shared" si="252"/>
        <v>956367</v>
      </c>
      <c r="AL229" s="46">
        <f t="shared" si="253"/>
        <v>0</v>
      </c>
      <c r="AM229" s="46">
        <f t="shared" si="254"/>
        <v>265830</v>
      </c>
      <c r="AN229" s="46">
        <f t="shared" si="255"/>
        <v>8779</v>
      </c>
      <c r="AO229" s="46">
        <f t="shared" si="256"/>
        <v>16036</v>
      </c>
      <c r="AP229" s="46">
        <v>0</v>
      </c>
      <c r="AQ229" s="46">
        <f t="shared" si="257"/>
        <v>290645</v>
      </c>
      <c r="AR229" s="46">
        <f t="shared" si="258"/>
        <v>16036</v>
      </c>
      <c r="AS229" s="46">
        <f t="shared" si="259"/>
        <v>528422</v>
      </c>
      <c r="AT229" s="46">
        <f t="shared" si="260"/>
        <v>51300</v>
      </c>
      <c r="AU229" s="46">
        <f t="shared" si="261"/>
        <v>-16036</v>
      </c>
      <c r="AV229" s="46">
        <v>0</v>
      </c>
      <c r="AW229" s="46">
        <f t="shared" si="262"/>
        <v>563686</v>
      </c>
      <c r="AX229" s="46">
        <f t="shared" si="263"/>
        <v>0</v>
      </c>
      <c r="AY229" s="46">
        <f t="shared" si="264"/>
        <v>174546</v>
      </c>
      <c r="AZ229" s="46">
        <f t="shared" si="265"/>
        <v>0</v>
      </c>
      <c r="BA229" s="46">
        <f t="shared" si="266"/>
        <v>107320</v>
      </c>
      <c r="BB229" s="46"/>
      <c r="BC229" s="46">
        <f t="shared" si="267"/>
        <v>281866</v>
      </c>
      <c r="BD229" s="46">
        <f t="shared" si="268"/>
        <v>107320</v>
      </c>
      <c r="BE229" s="46">
        <f t="shared" si="269"/>
        <v>337898</v>
      </c>
      <c r="BF229" s="46">
        <f t="shared" si="270"/>
        <v>12576</v>
      </c>
      <c r="BG229" s="46">
        <f t="shared" si="271"/>
        <v>0</v>
      </c>
      <c r="BH229" s="46">
        <v>0</v>
      </c>
      <c r="BI229" s="46">
        <f t="shared" si="272"/>
        <v>350474</v>
      </c>
      <c r="BJ229" s="46">
        <f t="shared" si="273"/>
        <v>107320</v>
      </c>
      <c r="BK229" s="46">
        <f t="shared" si="274"/>
        <v>712949</v>
      </c>
      <c r="BL229" s="46">
        <f t="shared" si="275"/>
        <v>0</v>
      </c>
      <c r="BM229" s="46">
        <f t="shared" si="276"/>
        <v>-107320</v>
      </c>
      <c r="BN229" s="46">
        <v>0</v>
      </c>
      <c r="BO229" s="46">
        <f t="shared" si="277"/>
        <v>605629</v>
      </c>
      <c r="BP229" s="46">
        <f t="shared" si="278"/>
        <v>0</v>
      </c>
      <c r="BQ229" s="46">
        <f t="shared" si="279"/>
        <v>264606</v>
      </c>
      <c r="BR229" s="46">
        <f t="shared" si="280"/>
        <v>0</v>
      </c>
      <c r="BS229" s="46">
        <f t="shared" si="281"/>
        <v>17260</v>
      </c>
      <c r="BT229" s="46">
        <v>0</v>
      </c>
      <c r="BU229" s="46">
        <f t="shared" si="282"/>
        <v>281866</v>
      </c>
      <c r="BV229" s="46">
        <f t="shared" si="283"/>
        <v>17260</v>
      </c>
      <c r="BW229" s="46">
        <f t="shared" si="284"/>
        <v>507058</v>
      </c>
      <c r="BX229" s="46">
        <f t="shared" si="285"/>
        <v>82656</v>
      </c>
      <c r="BY229" s="46">
        <f t="shared" si="286"/>
        <v>-17260</v>
      </c>
      <c r="BZ229" s="46">
        <v>0</v>
      </c>
      <c r="CA229" s="46">
        <f t="shared" si="287"/>
        <v>572454</v>
      </c>
      <c r="CB229" s="46">
        <f t="shared" si="288"/>
        <v>0</v>
      </c>
      <c r="CC229" s="155">
        <f t="shared" si="291"/>
        <v>0</v>
      </c>
      <c r="CD229" s="79" t="s">
        <v>538</v>
      </c>
      <c r="CE229" s="65">
        <f t="shared" si="292"/>
        <v>281866</v>
      </c>
      <c r="CF229" s="65">
        <f t="shared" si="293"/>
        <v>281866</v>
      </c>
      <c r="CG229" s="65">
        <f t="shared" si="294"/>
        <v>290456</v>
      </c>
      <c r="CH229" s="65">
        <f t="shared" si="295"/>
        <v>281866</v>
      </c>
      <c r="CI229" s="65">
        <f t="shared" si="296"/>
        <v>956367</v>
      </c>
      <c r="CJ229" s="65">
        <f t="shared" si="297"/>
        <v>290645</v>
      </c>
      <c r="CK229" s="65">
        <f t="shared" si="298"/>
        <v>563686</v>
      </c>
      <c r="CL229" s="65">
        <f t="shared" si="299"/>
        <v>281866</v>
      </c>
      <c r="CM229" s="65">
        <f t="shared" si="300"/>
        <v>350474</v>
      </c>
      <c r="CN229" s="65">
        <f t="shared" si="301"/>
        <v>605629</v>
      </c>
      <c r="CO229" s="65">
        <f t="shared" si="302"/>
        <v>281866</v>
      </c>
      <c r="CP229" s="65">
        <f t="shared" si="303"/>
        <v>572454</v>
      </c>
      <c r="CQ229" s="40" t="s">
        <v>538</v>
      </c>
    </row>
    <row r="230" spans="1:95" ht="3" customHeight="1" x14ac:dyDescent="0.25">
      <c r="A230" s="39">
        <v>1</v>
      </c>
      <c r="B230" s="28">
        <v>10209</v>
      </c>
      <c r="C230" s="28" t="s">
        <v>256</v>
      </c>
      <c r="D230" s="48">
        <f>+DATA!Q228</f>
        <v>2722289.986</v>
      </c>
      <c r="E230" s="48">
        <f t="shared" si="289"/>
        <v>179217</v>
      </c>
      <c r="F230" s="48">
        <f t="shared" si="290"/>
        <v>272229</v>
      </c>
      <c r="G230" s="49">
        <f>VLOOKUP(B230,'CALC MEC ESTAB Y ESTIM M FINAL'!$B$7:$F$352,5,0)</f>
        <v>1.558435041E-3</v>
      </c>
      <c r="H230" s="49">
        <f>VLOOKUP(B230,'CALC MEC ESTAB Y ESTIM M FINAL'!$B$7:$R$352,17,0)</f>
        <v>-1.396714397E-4</v>
      </c>
      <c r="I230" s="46">
        <f t="shared" si="229"/>
        <v>116980</v>
      </c>
      <c r="J230" s="46">
        <f t="shared" si="230"/>
        <v>0</v>
      </c>
      <c r="K230" s="46">
        <f t="shared" si="231"/>
        <v>62237</v>
      </c>
      <c r="L230" s="46">
        <v>0</v>
      </c>
      <c r="M230" s="46">
        <f t="shared" si="232"/>
        <v>179217</v>
      </c>
      <c r="N230" s="46">
        <f t="shared" si="233"/>
        <v>62237</v>
      </c>
      <c r="O230" s="46">
        <f t="shared" si="234"/>
        <v>62206</v>
      </c>
      <c r="P230" s="46">
        <f t="shared" si="235"/>
        <v>0</v>
      </c>
      <c r="Q230" s="46">
        <f t="shared" si="236"/>
        <v>117011</v>
      </c>
      <c r="R230" s="46">
        <v>0</v>
      </c>
      <c r="S230" s="46">
        <f t="shared" si="237"/>
        <v>179217</v>
      </c>
      <c r="T230" s="46">
        <f t="shared" si="238"/>
        <v>179248</v>
      </c>
      <c r="U230" s="46">
        <f t="shared" si="239"/>
        <v>177460</v>
      </c>
      <c r="V230" s="46">
        <f t="shared" si="240"/>
        <v>0</v>
      </c>
      <c r="W230" s="46">
        <f t="shared" si="241"/>
        <v>0</v>
      </c>
      <c r="X230" s="46">
        <v>0</v>
      </c>
      <c r="Y230" s="46">
        <f t="shared" si="242"/>
        <v>177460</v>
      </c>
      <c r="Z230" s="46">
        <f t="shared" si="243"/>
        <v>179248</v>
      </c>
      <c r="AA230" s="46">
        <f t="shared" si="244"/>
        <v>94228</v>
      </c>
      <c r="AB230" s="46">
        <f t="shared" si="245"/>
        <v>0</v>
      </c>
      <c r="AC230" s="46">
        <f t="shared" si="246"/>
        <v>84989</v>
      </c>
      <c r="AD230" s="46">
        <v>0</v>
      </c>
      <c r="AE230" s="46">
        <f t="shared" si="247"/>
        <v>179217</v>
      </c>
      <c r="AF230" s="46">
        <f t="shared" si="248"/>
        <v>264237</v>
      </c>
      <c r="AG230" s="46">
        <f t="shared" si="249"/>
        <v>819964</v>
      </c>
      <c r="AH230" s="46">
        <f t="shared" si="250"/>
        <v>7568</v>
      </c>
      <c r="AI230" s="46">
        <f t="shared" si="251"/>
        <v>-264237</v>
      </c>
      <c r="AJ230" s="46">
        <v>0</v>
      </c>
      <c r="AK230" s="46">
        <f t="shared" si="252"/>
        <v>563295</v>
      </c>
      <c r="AL230" s="46">
        <f t="shared" si="253"/>
        <v>0</v>
      </c>
      <c r="AM230" s="46">
        <f t="shared" si="254"/>
        <v>162414</v>
      </c>
      <c r="AN230" s="46">
        <f t="shared" si="255"/>
        <v>5364</v>
      </c>
      <c r="AO230" s="46">
        <f t="shared" si="256"/>
        <v>16803</v>
      </c>
      <c r="AP230" s="46">
        <v>0</v>
      </c>
      <c r="AQ230" s="46">
        <f t="shared" si="257"/>
        <v>184581</v>
      </c>
      <c r="AR230" s="46">
        <f t="shared" si="258"/>
        <v>16803</v>
      </c>
      <c r="AS230" s="46">
        <f t="shared" si="259"/>
        <v>322850</v>
      </c>
      <c r="AT230" s="46">
        <f t="shared" si="260"/>
        <v>31343</v>
      </c>
      <c r="AU230" s="46">
        <f t="shared" si="261"/>
        <v>-16803</v>
      </c>
      <c r="AV230" s="46">
        <v>0</v>
      </c>
      <c r="AW230" s="46">
        <f t="shared" si="262"/>
        <v>337390</v>
      </c>
      <c r="AX230" s="46">
        <f t="shared" si="263"/>
        <v>0</v>
      </c>
      <c r="AY230" s="46">
        <f t="shared" si="264"/>
        <v>106642</v>
      </c>
      <c r="AZ230" s="46">
        <f t="shared" si="265"/>
        <v>0</v>
      </c>
      <c r="BA230" s="46">
        <f t="shared" si="266"/>
        <v>72575</v>
      </c>
      <c r="BB230" s="46"/>
      <c r="BC230" s="46">
        <f t="shared" si="267"/>
        <v>179217</v>
      </c>
      <c r="BD230" s="46">
        <f t="shared" si="268"/>
        <v>72575</v>
      </c>
      <c r="BE230" s="46">
        <f t="shared" si="269"/>
        <v>206445</v>
      </c>
      <c r="BF230" s="46">
        <f t="shared" si="270"/>
        <v>7684</v>
      </c>
      <c r="BG230" s="46">
        <f t="shared" si="271"/>
        <v>0</v>
      </c>
      <c r="BH230" s="46">
        <v>0</v>
      </c>
      <c r="BI230" s="46">
        <f t="shared" si="272"/>
        <v>214129</v>
      </c>
      <c r="BJ230" s="46">
        <f t="shared" si="273"/>
        <v>72575</v>
      </c>
      <c r="BK230" s="46">
        <f t="shared" si="274"/>
        <v>435591</v>
      </c>
      <c r="BL230" s="46">
        <f t="shared" si="275"/>
        <v>0</v>
      </c>
      <c r="BM230" s="46">
        <f t="shared" si="276"/>
        <v>-72575</v>
      </c>
      <c r="BN230" s="46">
        <v>0</v>
      </c>
      <c r="BO230" s="46">
        <f t="shared" si="277"/>
        <v>363016</v>
      </c>
      <c r="BP230" s="46">
        <f t="shared" si="278"/>
        <v>0</v>
      </c>
      <c r="BQ230" s="46">
        <f t="shared" si="279"/>
        <v>161666</v>
      </c>
      <c r="BR230" s="46">
        <f t="shared" si="280"/>
        <v>0</v>
      </c>
      <c r="BS230" s="46">
        <f t="shared" si="281"/>
        <v>17551</v>
      </c>
      <c r="BT230" s="46">
        <v>0</v>
      </c>
      <c r="BU230" s="46">
        <f t="shared" si="282"/>
        <v>179217</v>
      </c>
      <c r="BV230" s="46">
        <f t="shared" si="283"/>
        <v>17551</v>
      </c>
      <c r="BW230" s="46">
        <f t="shared" si="284"/>
        <v>309797</v>
      </c>
      <c r="BX230" s="46">
        <f t="shared" si="285"/>
        <v>50500</v>
      </c>
      <c r="BY230" s="46">
        <f t="shared" si="286"/>
        <v>-17551</v>
      </c>
      <c r="BZ230" s="46">
        <v>0</v>
      </c>
      <c r="CA230" s="46">
        <f t="shared" si="287"/>
        <v>342746</v>
      </c>
      <c r="CB230" s="46">
        <f t="shared" si="288"/>
        <v>0</v>
      </c>
      <c r="CC230" s="155">
        <f t="shared" si="291"/>
        <v>0</v>
      </c>
      <c r="CD230" s="79" t="s">
        <v>538</v>
      </c>
      <c r="CE230" s="65">
        <f t="shared" si="292"/>
        <v>179217</v>
      </c>
      <c r="CF230" s="65">
        <f t="shared" si="293"/>
        <v>179217</v>
      </c>
      <c r="CG230" s="65">
        <f t="shared" si="294"/>
        <v>177460</v>
      </c>
      <c r="CH230" s="65">
        <f t="shared" si="295"/>
        <v>179217</v>
      </c>
      <c r="CI230" s="65">
        <f t="shared" si="296"/>
        <v>563295</v>
      </c>
      <c r="CJ230" s="65">
        <f t="shared" si="297"/>
        <v>184581</v>
      </c>
      <c r="CK230" s="65">
        <f t="shared" si="298"/>
        <v>337390</v>
      </c>
      <c r="CL230" s="65">
        <f t="shared" si="299"/>
        <v>179217</v>
      </c>
      <c r="CM230" s="65">
        <f t="shared" si="300"/>
        <v>214129</v>
      </c>
      <c r="CN230" s="65">
        <f t="shared" si="301"/>
        <v>363016</v>
      </c>
      <c r="CO230" s="65">
        <f t="shared" si="302"/>
        <v>179217</v>
      </c>
      <c r="CP230" s="65">
        <f t="shared" si="303"/>
        <v>342746</v>
      </c>
      <c r="CQ230" s="40" t="s">
        <v>538</v>
      </c>
    </row>
    <row r="231" spans="1:95" ht="3" customHeight="1" x14ac:dyDescent="0.25">
      <c r="A231" s="39">
        <v>1</v>
      </c>
      <c r="B231" s="28">
        <v>10210</v>
      </c>
      <c r="C231" s="28" t="s">
        <v>258</v>
      </c>
      <c r="D231" s="48">
        <f>+DATA!Q229</f>
        <v>2587226.733</v>
      </c>
      <c r="E231" s="48">
        <f t="shared" si="289"/>
        <v>170326</v>
      </c>
      <c r="F231" s="48">
        <f t="shared" si="290"/>
        <v>258723</v>
      </c>
      <c r="G231" s="49">
        <f>VLOOKUP(B231,'CALC MEC ESTAB Y ESTIM M FINAL'!$B$7:$F$352,5,0)</f>
        <v>1.4172483634000001E-3</v>
      </c>
      <c r="H231" s="49">
        <f>VLOOKUP(B231,'CALC MEC ESTAB Y ESTIM M FINAL'!$B$7:$R$352,17,0)</f>
        <v>-9.8082652999999993E-5</v>
      </c>
      <c r="I231" s="46">
        <f t="shared" si="229"/>
        <v>108768</v>
      </c>
      <c r="J231" s="46">
        <f t="shared" si="230"/>
        <v>0</v>
      </c>
      <c r="K231" s="46">
        <f t="shared" si="231"/>
        <v>61558</v>
      </c>
      <c r="L231" s="46">
        <v>0</v>
      </c>
      <c r="M231" s="46">
        <f t="shared" si="232"/>
        <v>170326</v>
      </c>
      <c r="N231" s="46">
        <f t="shared" si="233"/>
        <v>61558</v>
      </c>
      <c r="O231" s="46">
        <f t="shared" si="234"/>
        <v>57839</v>
      </c>
      <c r="P231" s="46">
        <f t="shared" si="235"/>
        <v>0</v>
      </c>
      <c r="Q231" s="46">
        <f t="shared" si="236"/>
        <v>112487</v>
      </c>
      <c r="R231" s="46">
        <v>0</v>
      </c>
      <c r="S231" s="46">
        <f t="shared" si="237"/>
        <v>170326</v>
      </c>
      <c r="T231" s="46">
        <f t="shared" si="238"/>
        <v>174045</v>
      </c>
      <c r="U231" s="46">
        <f t="shared" si="239"/>
        <v>165002</v>
      </c>
      <c r="V231" s="46">
        <f t="shared" si="240"/>
        <v>0</v>
      </c>
      <c r="W231" s="46">
        <f t="shared" si="241"/>
        <v>0</v>
      </c>
      <c r="X231" s="46">
        <v>0</v>
      </c>
      <c r="Y231" s="46">
        <f t="shared" si="242"/>
        <v>165002</v>
      </c>
      <c r="Z231" s="46">
        <f t="shared" si="243"/>
        <v>174045</v>
      </c>
      <c r="AA231" s="46">
        <f t="shared" si="244"/>
        <v>87614</v>
      </c>
      <c r="AB231" s="46">
        <f t="shared" si="245"/>
        <v>0</v>
      </c>
      <c r="AC231" s="46">
        <f t="shared" si="246"/>
        <v>82712</v>
      </c>
      <c r="AD231" s="46">
        <v>0</v>
      </c>
      <c r="AE231" s="46">
        <f t="shared" si="247"/>
        <v>170326</v>
      </c>
      <c r="AF231" s="46">
        <f t="shared" si="248"/>
        <v>256757</v>
      </c>
      <c r="AG231" s="46">
        <f t="shared" si="249"/>
        <v>762402</v>
      </c>
      <c r="AH231" s="46">
        <f t="shared" si="250"/>
        <v>7037</v>
      </c>
      <c r="AI231" s="46">
        <f t="shared" si="251"/>
        <v>-256757</v>
      </c>
      <c r="AJ231" s="46">
        <v>0</v>
      </c>
      <c r="AK231" s="46">
        <f t="shared" si="252"/>
        <v>512682</v>
      </c>
      <c r="AL231" s="46">
        <f t="shared" si="253"/>
        <v>0</v>
      </c>
      <c r="AM231" s="46">
        <f t="shared" si="254"/>
        <v>151012</v>
      </c>
      <c r="AN231" s="46">
        <f t="shared" si="255"/>
        <v>4987</v>
      </c>
      <c r="AO231" s="46">
        <f t="shared" si="256"/>
        <v>19314</v>
      </c>
      <c r="AP231" s="46">
        <v>0</v>
      </c>
      <c r="AQ231" s="46">
        <f t="shared" si="257"/>
        <v>175313</v>
      </c>
      <c r="AR231" s="46">
        <f t="shared" si="258"/>
        <v>19314</v>
      </c>
      <c r="AS231" s="46">
        <f t="shared" si="259"/>
        <v>300186</v>
      </c>
      <c r="AT231" s="46">
        <f t="shared" si="260"/>
        <v>29143</v>
      </c>
      <c r="AU231" s="46">
        <f t="shared" si="261"/>
        <v>-19314</v>
      </c>
      <c r="AV231" s="46">
        <v>0</v>
      </c>
      <c r="AW231" s="46">
        <f t="shared" si="262"/>
        <v>310015</v>
      </c>
      <c r="AX231" s="46">
        <f t="shared" si="263"/>
        <v>0</v>
      </c>
      <c r="AY231" s="46">
        <f t="shared" si="264"/>
        <v>99156</v>
      </c>
      <c r="AZ231" s="46">
        <f t="shared" si="265"/>
        <v>0</v>
      </c>
      <c r="BA231" s="46">
        <f t="shared" si="266"/>
        <v>71170</v>
      </c>
      <c r="BB231" s="46"/>
      <c r="BC231" s="46">
        <f t="shared" si="267"/>
        <v>170326</v>
      </c>
      <c r="BD231" s="46">
        <f t="shared" si="268"/>
        <v>71170</v>
      </c>
      <c r="BE231" s="46">
        <f t="shared" si="269"/>
        <v>191953</v>
      </c>
      <c r="BF231" s="46">
        <f t="shared" si="270"/>
        <v>7144</v>
      </c>
      <c r="BG231" s="46">
        <f t="shared" si="271"/>
        <v>0</v>
      </c>
      <c r="BH231" s="46">
        <v>0</v>
      </c>
      <c r="BI231" s="46">
        <f t="shared" si="272"/>
        <v>199097</v>
      </c>
      <c r="BJ231" s="46">
        <f t="shared" si="273"/>
        <v>71170</v>
      </c>
      <c r="BK231" s="46">
        <f t="shared" si="274"/>
        <v>405012</v>
      </c>
      <c r="BL231" s="46">
        <f t="shared" si="275"/>
        <v>0</v>
      </c>
      <c r="BM231" s="46">
        <f t="shared" si="276"/>
        <v>-71170</v>
      </c>
      <c r="BN231" s="46">
        <v>0</v>
      </c>
      <c r="BO231" s="46">
        <f t="shared" si="277"/>
        <v>333842</v>
      </c>
      <c r="BP231" s="46">
        <f t="shared" si="278"/>
        <v>0</v>
      </c>
      <c r="BQ231" s="46">
        <f t="shared" si="279"/>
        <v>150317</v>
      </c>
      <c r="BR231" s="46">
        <f t="shared" si="280"/>
        <v>0</v>
      </c>
      <c r="BS231" s="46">
        <f t="shared" si="281"/>
        <v>20009</v>
      </c>
      <c r="BT231" s="46">
        <v>0</v>
      </c>
      <c r="BU231" s="46">
        <f t="shared" si="282"/>
        <v>170326</v>
      </c>
      <c r="BV231" s="46">
        <f t="shared" si="283"/>
        <v>20009</v>
      </c>
      <c r="BW231" s="46">
        <f t="shared" si="284"/>
        <v>288049</v>
      </c>
      <c r="BX231" s="46">
        <f t="shared" si="285"/>
        <v>46955</v>
      </c>
      <c r="BY231" s="46">
        <f t="shared" si="286"/>
        <v>-20009</v>
      </c>
      <c r="BZ231" s="46">
        <v>0</v>
      </c>
      <c r="CA231" s="46">
        <f t="shared" si="287"/>
        <v>314995</v>
      </c>
      <c r="CB231" s="46">
        <f t="shared" si="288"/>
        <v>0</v>
      </c>
      <c r="CC231" s="155">
        <f t="shared" si="291"/>
        <v>0</v>
      </c>
      <c r="CD231" s="79" t="s">
        <v>538</v>
      </c>
      <c r="CE231" s="65">
        <f t="shared" si="292"/>
        <v>170326</v>
      </c>
      <c r="CF231" s="65">
        <f t="shared" si="293"/>
        <v>170326</v>
      </c>
      <c r="CG231" s="65">
        <f t="shared" si="294"/>
        <v>165002</v>
      </c>
      <c r="CH231" s="65">
        <f t="shared" si="295"/>
        <v>170326</v>
      </c>
      <c r="CI231" s="65">
        <f t="shared" si="296"/>
        <v>512682</v>
      </c>
      <c r="CJ231" s="65">
        <f t="shared" si="297"/>
        <v>175313</v>
      </c>
      <c r="CK231" s="65">
        <f t="shared" si="298"/>
        <v>310015</v>
      </c>
      <c r="CL231" s="65">
        <f t="shared" si="299"/>
        <v>170326</v>
      </c>
      <c r="CM231" s="65">
        <f t="shared" si="300"/>
        <v>199097</v>
      </c>
      <c r="CN231" s="65">
        <f t="shared" si="301"/>
        <v>333842</v>
      </c>
      <c r="CO231" s="65">
        <f t="shared" si="302"/>
        <v>170326</v>
      </c>
      <c r="CP231" s="65">
        <f t="shared" si="303"/>
        <v>314995</v>
      </c>
      <c r="CQ231" s="40" t="s">
        <v>538</v>
      </c>
    </row>
    <row r="232" spans="1:95" ht="3" customHeight="1" x14ac:dyDescent="0.25">
      <c r="A232" s="39">
        <v>1</v>
      </c>
      <c r="B232" s="28">
        <v>10301</v>
      </c>
      <c r="C232" s="28" t="s">
        <v>240</v>
      </c>
      <c r="D232" s="48">
        <f>+DATA!Q230</f>
        <v>11310399.801000001</v>
      </c>
      <c r="E232" s="48">
        <f t="shared" si="289"/>
        <v>744601</v>
      </c>
      <c r="F232" s="48">
        <f t="shared" si="290"/>
        <v>1131040</v>
      </c>
      <c r="G232" s="49">
        <f>VLOOKUP(B232,'CALC MEC ESTAB Y ESTIM M FINAL'!$B$7:$F$352,5,0)</f>
        <v>5.6817189611000005E-3</v>
      </c>
      <c r="H232" s="49">
        <f>VLOOKUP(B232,'CALC MEC ESTAB Y ESTIM M FINAL'!$B$7:$R$352,17,0)</f>
        <v>-1.499051617E-4</v>
      </c>
      <c r="I232" s="46">
        <f t="shared" si="229"/>
        <v>456110</v>
      </c>
      <c r="J232" s="46">
        <f t="shared" si="230"/>
        <v>0</v>
      </c>
      <c r="K232" s="46">
        <f t="shared" si="231"/>
        <v>288491</v>
      </c>
      <c r="L232" s="46">
        <v>0</v>
      </c>
      <c r="M232" s="46">
        <f t="shared" si="232"/>
        <v>744601</v>
      </c>
      <c r="N232" s="46">
        <f t="shared" si="233"/>
        <v>288491</v>
      </c>
      <c r="O232" s="46">
        <f t="shared" si="234"/>
        <v>242544</v>
      </c>
      <c r="P232" s="46">
        <f t="shared" si="235"/>
        <v>0</v>
      </c>
      <c r="Q232" s="46">
        <f t="shared" si="236"/>
        <v>502057</v>
      </c>
      <c r="R232" s="46">
        <v>0</v>
      </c>
      <c r="S232" s="46">
        <f t="shared" si="237"/>
        <v>744601</v>
      </c>
      <c r="T232" s="46">
        <f t="shared" si="238"/>
        <v>790548</v>
      </c>
      <c r="U232" s="46">
        <f t="shared" si="239"/>
        <v>691923</v>
      </c>
      <c r="V232" s="46">
        <f t="shared" si="240"/>
        <v>0</v>
      </c>
      <c r="W232" s="46">
        <f t="shared" si="241"/>
        <v>0</v>
      </c>
      <c r="X232" s="46">
        <v>0</v>
      </c>
      <c r="Y232" s="46">
        <f t="shared" si="242"/>
        <v>691923</v>
      </c>
      <c r="Z232" s="46">
        <f t="shared" si="243"/>
        <v>790548</v>
      </c>
      <c r="AA232" s="46">
        <f t="shared" si="244"/>
        <v>367400</v>
      </c>
      <c r="AB232" s="46">
        <f t="shared" si="245"/>
        <v>0</v>
      </c>
      <c r="AC232" s="46">
        <f t="shared" si="246"/>
        <v>377201</v>
      </c>
      <c r="AD232" s="46">
        <v>0</v>
      </c>
      <c r="AE232" s="46">
        <f t="shared" si="247"/>
        <v>744601</v>
      </c>
      <c r="AF232" s="46">
        <f t="shared" si="248"/>
        <v>1167749</v>
      </c>
      <c r="AG232" s="46">
        <f t="shared" si="249"/>
        <v>3197071</v>
      </c>
      <c r="AH232" s="46">
        <f t="shared" si="250"/>
        <v>29508</v>
      </c>
      <c r="AI232" s="46">
        <f t="shared" si="251"/>
        <v>-1167749</v>
      </c>
      <c r="AJ232" s="46">
        <v>0</v>
      </c>
      <c r="AK232" s="46">
        <f t="shared" si="252"/>
        <v>2058830</v>
      </c>
      <c r="AL232" s="46">
        <f t="shared" si="253"/>
        <v>0</v>
      </c>
      <c r="AM232" s="46">
        <f t="shared" si="254"/>
        <v>633258</v>
      </c>
      <c r="AN232" s="46">
        <f t="shared" si="255"/>
        <v>20913</v>
      </c>
      <c r="AO232" s="46">
        <f t="shared" si="256"/>
        <v>111343</v>
      </c>
      <c r="AP232" s="46">
        <v>0</v>
      </c>
      <c r="AQ232" s="46">
        <f t="shared" si="257"/>
        <v>765514</v>
      </c>
      <c r="AR232" s="46">
        <f t="shared" si="258"/>
        <v>111343</v>
      </c>
      <c r="AS232" s="46">
        <f t="shared" si="259"/>
        <v>1258804</v>
      </c>
      <c r="AT232" s="46">
        <f t="shared" si="260"/>
        <v>122207</v>
      </c>
      <c r="AU232" s="46">
        <f t="shared" si="261"/>
        <v>-111343</v>
      </c>
      <c r="AV232" s="46">
        <v>0</v>
      </c>
      <c r="AW232" s="46">
        <f t="shared" si="262"/>
        <v>1269668</v>
      </c>
      <c r="AX232" s="46">
        <f t="shared" si="263"/>
        <v>0</v>
      </c>
      <c r="AY232" s="46">
        <f t="shared" si="264"/>
        <v>415802</v>
      </c>
      <c r="AZ232" s="46">
        <f t="shared" si="265"/>
        <v>0</v>
      </c>
      <c r="BA232" s="46">
        <f t="shared" si="266"/>
        <v>328799</v>
      </c>
      <c r="BB232" s="46"/>
      <c r="BC232" s="46">
        <f t="shared" si="267"/>
        <v>744601</v>
      </c>
      <c r="BD232" s="46">
        <f t="shared" si="268"/>
        <v>328799</v>
      </c>
      <c r="BE232" s="46">
        <f t="shared" si="269"/>
        <v>804938</v>
      </c>
      <c r="BF232" s="46">
        <f t="shared" si="270"/>
        <v>29959</v>
      </c>
      <c r="BG232" s="46">
        <f t="shared" si="271"/>
        <v>0</v>
      </c>
      <c r="BH232" s="46">
        <v>0</v>
      </c>
      <c r="BI232" s="46">
        <f t="shared" si="272"/>
        <v>834897</v>
      </c>
      <c r="BJ232" s="46">
        <f t="shared" si="273"/>
        <v>328799</v>
      </c>
      <c r="BK232" s="46">
        <f t="shared" si="274"/>
        <v>1698385</v>
      </c>
      <c r="BL232" s="46">
        <f t="shared" si="275"/>
        <v>0</v>
      </c>
      <c r="BM232" s="46">
        <f t="shared" si="276"/>
        <v>-328799</v>
      </c>
      <c r="BN232" s="46">
        <v>0</v>
      </c>
      <c r="BO232" s="46">
        <f t="shared" si="277"/>
        <v>1369586</v>
      </c>
      <c r="BP232" s="46">
        <f t="shared" si="278"/>
        <v>0</v>
      </c>
      <c r="BQ232" s="46">
        <f t="shared" si="279"/>
        <v>630343</v>
      </c>
      <c r="BR232" s="46">
        <f t="shared" si="280"/>
        <v>0</v>
      </c>
      <c r="BS232" s="46">
        <f t="shared" si="281"/>
        <v>114258</v>
      </c>
      <c r="BT232" s="46">
        <v>0</v>
      </c>
      <c r="BU232" s="46">
        <f t="shared" si="282"/>
        <v>744601</v>
      </c>
      <c r="BV232" s="46">
        <f t="shared" si="283"/>
        <v>114258</v>
      </c>
      <c r="BW232" s="46">
        <f t="shared" si="284"/>
        <v>1207912</v>
      </c>
      <c r="BX232" s="46">
        <f t="shared" si="285"/>
        <v>196902</v>
      </c>
      <c r="BY232" s="46">
        <f t="shared" si="286"/>
        <v>-114258</v>
      </c>
      <c r="BZ232" s="46">
        <v>0</v>
      </c>
      <c r="CA232" s="46">
        <f t="shared" si="287"/>
        <v>1290556</v>
      </c>
      <c r="CB232" s="46">
        <f t="shared" si="288"/>
        <v>0</v>
      </c>
      <c r="CC232" s="155">
        <f t="shared" si="291"/>
        <v>0</v>
      </c>
      <c r="CD232" s="79" t="s">
        <v>538</v>
      </c>
      <c r="CE232" s="65">
        <f t="shared" si="292"/>
        <v>744601</v>
      </c>
      <c r="CF232" s="65">
        <f t="shared" si="293"/>
        <v>744601</v>
      </c>
      <c r="CG232" s="65">
        <f t="shared" si="294"/>
        <v>691923</v>
      </c>
      <c r="CH232" s="65">
        <f t="shared" si="295"/>
        <v>744601</v>
      </c>
      <c r="CI232" s="65">
        <f t="shared" si="296"/>
        <v>2058830</v>
      </c>
      <c r="CJ232" s="65">
        <f t="shared" si="297"/>
        <v>765514</v>
      </c>
      <c r="CK232" s="65">
        <f t="shared" si="298"/>
        <v>1269668</v>
      </c>
      <c r="CL232" s="65">
        <f t="shared" si="299"/>
        <v>744601</v>
      </c>
      <c r="CM232" s="65">
        <f t="shared" si="300"/>
        <v>834897</v>
      </c>
      <c r="CN232" s="65">
        <f t="shared" si="301"/>
        <v>1369586</v>
      </c>
      <c r="CO232" s="65">
        <f t="shared" si="302"/>
        <v>744601</v>
      </c>
      <c r="CP232" s="65">
        <f t="shared" si="303"/>
        <v>1290556</v>
      </c>
      <c r="CQ232" s="40" t="s">
        <v>538</v>
      </c>
    </row>
    <row r="233" spans="1:95" ht="3" customHeight="1" x14ac:dyDescent="0.25">
      <c r="A233" s="39">
        <v>1</v>
      </c>
      <c r="B233" s="28">
        <v>10302</v>
      </c>
      <c r="C233" s="28" t="s">
        <v>242</v>
      </c>
      <c r="D233" s="48">
        <f>+DATA!Q231</f>
        <v>1668396.7220000001</v>
      </c>
      <c r="E233" s="48">
        <f t="shared" si="289"/>
        <v>109836</v>
      </c>
      <c r="F233" s="48">
        <f t="shared" si="290"/>
        <v>166840</v>
      </c>
      <c r="G233" s="49">
        <f>VLOOKUP(B233,'CALC MEC ESTAB Y ESTIM M FINAL'!$B$7:$F$352,5,0)</f>
        <v>8.7292722980000001E-4</v>
      </c>
      <c r="H233" s="49">
        <f>VLOOKUP(B233,'CALC MEC ESTAB Y ESTIM M FINAL'!$B$7:$R$352,17,0)</f>
        <v>-4.1147334799999997E-5</v>
      </c>
      <c r="I233" s="46">
        <f t="shared" si="229"/>
        <v>68582</v>
      </c>
      <c r="J233" s="46">
        <f t="shared" si="230"/>
        <v>0</v>
      </c>
      <c r="K233" s="46">
        <f t="shared" si="231"/>
        <v>41254</v>
      </c>
      <c r="L233" s="46">
        <v>0</v>
      </c>
      <c r="M233" s="46">
        <f t="shared" si="232"/>
        <v>109836</v>
      </c>
      <c r="N233" s="46">
        <f t="shared" si="233"/>
        <v>41254</v>
      </c>
      <c r="O233" s="46">
        <f t="shared" si="234"/>
        <v>36470</v>
      </c>
      <c r="P233" s="46">
        <f t="shared" si="235"/>
        <v>0</v>
      </c>
      <c r="Q233" s="46">
        <f t="shared" si="236"/>
        <v>73366</v>
      </c>
      <c r="R233" s="46">
        <v>0</v>
      </c>
      <c r="S233" s="46">
        <f t="shared" si="237"/>
        <v>109836</v>
      </c>
      <c r="T233" s="46">
        <f t="shared" si="238"/>
        <v>114620</v>
      </c>
      <c r="U233" s="46">
        <f t="shared" si="239"/>
        <v>104040</v>
      </c>
      <c r="V233" s="46">
        <f t="shared" si="240"/>
        <v>0</v>
      </c>
      <c r="W233" s="46">
        <f t="shared" si="241"/>
        <v>0</v>
      </c>
      <c r="X233" s="46">
        <v>0</v>
      </c>
      <c r="Y233" s="46">
        <f t="shared" si="242"/>
        <v>104040</v>
      </c>
      <c r="Z233" s="46">
        <f t="shared" si="243"/>
        <v>114620</v>
      </c>
      <c r="AA233" s="46">
        <f t="shared" si="244"/>
        <v>55243</v>
      </c>
      <c r="AB233" s="46">
        <f t="shared" si="245"/>
        <v>0</v>
      </c>
      <c r="AC233" s="46">
        <f t="shared" si="246"/>
        <v>54593</v>
      </c>
      <c r="AD233" s="46">
        <v>0</v>
      </c>
      <c r="AE233" s="46">
        <f t="shared" si="247"/>
        <v>109836</v>
      </c>
      <c r="AF233" s="46">
        <f t="shared" si="248"/>
        <v>169213</v>
      </c>
      <c r="AG233" s="46">
        <f t="shared" si="249"/>
        <v>480721</v>
      </c>
      <c r="AH233" s="46">
        <f t="shared" si="250"/>
        <v>4437</v>
      </c>
      <c r="AI233" s="46">
        <f t="shared" si="251"/>
        <v>-169213</v>
      </c>
      <c r="AJ233" s="46">
        <v>0</v>
      </c>
      <c r="AK233" s="46">
        <f t="shared" si="252"/>
        <v>315945</v>
      </c>
      <c r="AL233" s="46">
        <f t="shared" si="253"/>
        <v>0</v>
      </c>
      <c r="AM233" s="46">
        <f t="shared" si="254"/>
        <v>95219</v>
      </c>
      <c r="AN233" s="46">
        <f t="shared" si="255"/>
        <v>3144</v>
      </c>
      <c r="AO233" s="46">
        <f t="shared" si="256"/>
        <v>14617</v>
      </c>
      <c r="AP233" s="46">
        <v>0</v>
      </c>
      <c r="AQ233" s="46">
        <f t="shared" si="257"/>
        <v>112980</v>
      </c>
      <c r="AR233" s="46">
        <f t="shared" si="258"/>
        <v>14617</v>
      </c>
      <c r="AS233" s="46">
        <f t="shared" si="259"/>
        <v>189278</v>
      </c>
      <c r="AT233" s="46">
        <f t="shared" si="260"/>
        <v>18375</v>
      </c>
      <c r="AU233" s="46">
        <f t="shared" si="261"/>
        <v>-14617</v>
      </c>
      <c r="AV233" s="46">
        <v>0</v>
      </c>
      <c r="AW233" s="46">
        <f t="shared" si="262"/>
        <v>193036</v>
      </c>
      <c r="AX233" s="46">
        <f t="shared" si="263"/>
        <v>0</v>
      </c>
      <c r="AY233" s="46">
        <f t="shared" si="264"/>
        <v>62521</v>
      </c>
      <c r="AZ233" s="46">
        <f t="shared" si="265"/>
        <v>0</v>
      </c>
      <c r="BA233" s="46">
        <f t="shared" si="266"/>
        <v>47315</v>
      </c>
      <c r="BB233" s="46"/>
      <c r="BC233" s="46">
        <f t="shared" si="267"/>
        <v>109836</v>
      </c>
      <c r="BD233" s="46">
        <f t="shared" si="268"/>
        <v>47315</v>
      </c>
      <c r="BE233" s="46">
        <f t="shared" si="269"/>
        <v>121033</v>
      </c>
      <c r="BF233" s="46">
        <f t="shared" si="270"/>
        <v>4505</v>
      </c>
      <c r="BG233" s="46">
        <f t="shared" si="271"/>
        <v>0</v>
      </c>
      <c r="BH233" s="46">
        <v>0</v>
      </c>
      <c r="BI233" s="46">
        <f t="shared" si="272"/>
        <v>125538</v>
      </c>
      <c r="BJ233" s="46">
        <f t="shared" si="273"/>
        <v>47315</v>
      </c>
      <c r="BK233" s="46">
        <f t="shared" si="274"/>
        <v>255374</v>
      </c>
      <c r="BL233" s="46">
        <f t="shared" si="275"/>
        <v>0</v>
      </c>
      <c r="BM233" s="46">
        <f t="shared" si="276"/>
        <v>-47315</v>
      </c>
      <c r="BN233" s="46">
        <v>0</v>
      </c>
      <c r="BO233" s="46">
        <f t="shared" si="277"/>
        <v>208059</v>
      </c>
      <c r="BP233" s="46">
        <f t="shared" si="278"/>
        <v>0</v>
      </c>
      <c r="BQ233" s="46">
        <f t="shared" si="279"/>
        <v>94780</v>
      </c>
      <c r="BR233" s="46">
        <f t="shared" si="280"/>
        <v>0</v>
      </c>
      <c r="BS233" s="46">
        <f t="shared" si="281"/>
        <v>15056</v>
      </c>
      <c r="BT233" s="46">
        <v>0</v>
      </c>
      <c r="BU233" s="46">
        <f t="shared" si="282"/>
        <v>109836</v>
      </c>
      <c r="BV233" s="46">
        <f t="shared" si="283"/>
        <v>15056</v>
      </c>
      <c r="BW233" s="46">
        <f t="shared" si="284"/>
        <v>181625</v>
      </c>
      <c r="BX233" s="46">
        <f t="shared" si="285"/>
        <v>29607</v>
      </c>
      <c r="BY233" s="46">
        <f t="shared" si="286"/>
        <v>-15056</v>
      </c>
      <c r="BZ233" s="46">
        <v>0</v>
      </c>
      <c r="CA233" s="46">
        <f t="shared" si="287"/>
        <v>196176</v>
      </c>
      <c r="CB233" s="46">
        <f t="shared" si="288"/>
        <v>0</v>
      </c>
      <c r="CC233" s="155">
        <f t="shared" si="291"/>
        <v>0</v>
      </c>
      <c r="CD233" s="79" t="s">
        <v>538</v>
      </c>
      <c r="CE233" s="65">
        <f t="shared" si="292"/>
        <v>109836</v>
      </c>
      <c r="CF233" s="65">
        <f t="shared" si="293"/>
        <v>109836</v>
      </c>
      <c r="CG233" s="65">
        <f t="shared" si="294"/>
        <v>104040</v>
      </c>
      <c r="CH233" s="65">
        <f t="shared" si="295"/>
        <v>109836</v>
      </c>
      <c r="CI233" s="65">
        <f t="shared" si="296"/>
        <v>315945</v>
      </c>
      <c r="CJ233" s="65">
        <f t="shared" si="297"/>
        <v>112980</v>
      </c>
      <c r="CK233" s="65">
        <f t="shared" si="298"/>
        <v>193036</v>
      </c>
      <c r="CL233" s="65">
        <f t="shared" si="299"/>
        <v>109836</v>
      </c>
      <c r="CM233" s="65">
        <f t="shared" si="300"/>
        <v>125538</v>
      </c>
      <c r="CN233" s="65">
        <f t="shared" si="301"/>
        <v>208059</v>
      </c>
      <c r="CO233" s="65">
        <f t="shared" si="302"/>
        <v>109836</v>
      </c>
      <c r="CP233" s="65">
        <f t="shared" si="303"/>
        <v>196176</v>
      </c>
      <c r="CQ233" s="40" t="s">
        <v>538</v>
      </c>
    </row>
    <row r="234" spans="1:95" ht="3" customHeight="1" x14ac:dyDescent="0.25">
      <c r="A234" s="39">
        <v>1</v>
      </c>
      <c r="B234" s="28">
        <v>10303</v>
      </c>
      <c r="C234" s="28" t="s">
        <v>244</v>
      </c>
      <c r="D234" s="48">
        <f>+DATA!Q232</f>
        <v>2941156.5809999998</v>
      </c>
      <c r="E234" s="48">
        <f t="shared" si="289"/>
        <v>193626</v>
      </c>
      <c r="F234" s="48">
        <f t="shared" si="290"/>
        <v>294116</v>
      </c>
      <c r="G234" s="49">
        <f>VLOOKUP(B234,'CALC MEC ESTAB Y ESTIM M FINAL'!$B$7:$F$352,5,0)</f>
        <v>1.2387615614999998E-3</v>
      </c>
      <c r="H234" s="49">
        <f>VLOOKUP(B234,'CALC MEC ESTAB Y ESTIM M FINAL'!$B$7:$R$352,17,0)</f>
        <v>1.6782289519999999E-4</v>
      </c>
      <c r="I234" s="46">
        <f t="shared" si="229"/>
        <v>115976</v>
      </c>
      <c r="J234" s="46">
        <f t="shared" si="230"/>
        <v>0</v>
      </c>
      <c r="K234" s="46">
        <f t="shared" si="231"/>
        <v>77650</v>
      </c>
      <c r="L234" s="46">
        <v>0</v>
      </c>
      <c r="M234" s="46">
        <f t="shared" si="232"/>
        <v>193626</v>
      </c>
      <c r="N234" s="46">
        <f t="shared" si="233"/>
        <v>77650</v>
      </c>
      <c r="O234" s="46">
        <f t="shared" si="234"/>
        <v>61672</v>
      </c>
      <c r="P234" s="46">
        <f t="shared" si="235"/>
        <v>0</v>
      </c>
      <c r="Q234" s="46">
        <f t="shared" si="236"/>
        <v>131954</v>
      </c>
      <c r="R234" s="46">
        <v>0</v>
      </c>
      <c r="S234" s="46">
        <f t="shared" si="237"/>
        <v>193626</v>
      </c>
      <c r="T234" s="46">
        <f t="shared" si="238"/>
        <v>209604</v>
      </c>
      <c r="U234" s="46">
        <f t="shared" si="239"/>
        <v>175937</v>
      </c>
      <c r="V234" s="46">
        <f t="shared" si="240"/>
        <v>0</v>
      </c>
      <c r="W234" s="46">
        <f t="shared" si="241"/>
        <v>0</v>
      </c>
      <c r="X234" s="46">
        <v>0</v>
      </c>
      <c r="Y234" s="46">
        <f t="shared" si="242"/>
        <v>175937</v>
      </c>
      <c r="Z234" s="46">
        <f t="shared" si="243"/>
        <v>209604</v>
      </c>
      <c r="AA234" s="46">
        <f t="shared" si="244"/>
        <v>93420</v>
      </c>
      <c r="AB234" s="46">
        <f t="shared" si="245"/>
        <v>0</v>
      </c>
      <c r="AC234" s="46">
        <f t="shared" si="246"/>
        <v>100206</v>
      </c>
      <c r="AD234" s="46">
        <v>0</v>
      </c>
      <c r="AE234" s="46">
        <f t="shared" si="247"/>
        <v>193626</v>
      </c>
      <c r="AF234" s="46">
        <f t="shared" si="248"/>
        <v>309810</v>
      </c>
      <c r="AG234" s="46">
        <f t="shared" si="249"/>
        <v>812925</v>
      </c>
      <c r="AH234" s="46">
        <f t="shared" si="250"/>
        <v>7503</v>
      </c>
      <c r="AI234" s="46">
        <f t="shared" si="251"/>
        <v>-309810</v>
      </c>
      <c r="AJ234" s="46">
        <v>0</v>
      </c>
      <c r="AK234" s="46">
        <f t="shared" si="252"/>
        <v>510618</v>
      </c>
      <c r="AL234" s="46">
        <f t="shared" si="253"/>
        <v>0</v>
      </c>
      <c r="AM234" s="46">
        <f t="shared" si="254"/>
        <v>161020</v>
      </c>
      <c r="AN234" s="46">
        <f t="shared" si="255"/>
        <v>5317</v>
      </c>
      <c r="AO234" s="46">
        <f t="shared" si="256"/>
        <v>32606</v>
      </c>
      <c r="AP234" s="46">
        <v>0</v>
      </c>
      <c r="AQ234" s="46">
        <f t="shared" si="257"/>
        <v>198943</v>
      </c>
      <c r="AR234" s="46">
        <f t="shared" si="258"/>
        <v>32606</v>
      </c>
      <c r="AS234" s="46">
        <f t="shared" si="259"/>
        <v>320078</v>
      </c>
      <c r="AT234" s="46">
        <f t="shared" si="260"/>
        <v>31074</v>
      </c>
      <c r="AU234" s="46">
        <f t="shared" si="261"/>
        <v>-25962</v>
      </c>
      <c r="AV234" s="46">
        <v>0</v>
      </c>
      <c r="AW234" s="46">
        <f t="shared" si="262"/>
        <v>325190</v>
      </c>
      <c r="AX234" s="46">
        <f t="shared" si="263"/>
        <v>6644</v>
      </c>
      <c r="AY234" s="46">
        <f t="shared" si="264"/>
        <v>105727</v>
      </c>
      <c r="AZ234" s="46">
        <f t="shared" si="265"/>
        <v>0</v>
      </c>
      <c r="BA234" s="46">
        <f t="shared" si="266"/>
        <v>87899</v>
      </c>
      <c r="BB234" s="46"/>
      <c r="BC234" s="46">
        <f t="shared" si="267"/>
        <v>193626</v>
      </c>
      <c r="BD234" s="46">
        <f t="shared" si="268"/>
        <v>94543</v>
      </c>
      <c r="BE234" s="46">
        <f t="shared" si="269"/>
        <v>204673</v>
      </c>
      <c r="BF234" s="46">
        <f t="shared" si="270"/>
        <v>7618</v>
      </c>
      <c r="BG234" s="46">
        <f t="shared" si="271"/>
        <v>0</v>
      </c>
      <c r="BH234" s="46">
        <v>0</v>
      </c>
      <c r="BI234" s="46">
        <f t="shared" si="272"/>
        <v>212291</v>
      </c>
      <c r="BJ234" s="46">
        <f t="shared" si="273"/>
        <v>94543</v>
      </c>
      <c r="BK234" s="46">
        <f t="shared" si="274"/>
        <v>431851</v>
      </c>
      <c r="BL234" s="46">
        <f t="shared" si="275"/>
        <v>0</v>
      </c>
      <c r="BM234" s="46">
        <f t="shared" si="276"/>
        <v>-94543</v>
      </c>
      <c r="BN234" s="46">
        <v>0</v>
      </c>
      <c r="BO234" s="46">
        <f t="shared" si="277"/>
        <v>337308</v>
      </c>
      <c r="BP234" s="46">
        <f t="shared" si="278"/>
        <v>0</v>
      </c>
      <c r="BQ234" s="46">
        <f t="shared" si="279"/>
        <v>160279</v>
      </c>
      <c r="BR234" s="46">
        <f t="shared" si="280"/>
        <v>0</v>
      </c>
      <c r="BS234" s="46">
        <f t="shared" si="281"/>
        <v>33347</v>
      </c>
      <c r="BT234" s="46">
        <v>0</v>
      </c>
      <c r="BU234" s="46">
        <f t="shared" si="282"/>
        <v>193626</v>
      </c>
      <c r="BV234" s="46">
        <f t="shared" si="283"/>
        <v>33347</v>
      </c>
      <c r="BW234" s="46">
        <f t="shared" si="284"/>
        <v>307138</v>
      </c>
      <c r="BX234" s="46">
        <f t="shared" si="285"/>
        <v>50067</v>
      </c>
      <c r="BY234" s="46">
        <f t="shared" si="286"/>
        <v>-33347</v>
      </c>
      <c r="BZ234" s="46">
        <v>0</v>
      </c>
      <c r="CA234" s="46">
        <f t="shared" si="287"/>
        <v>323858</v>
      </c>
      <c r="CB234" s="46">
        <f t="shared" si="288"/>
        <v>0</v>
      </c>
      <c r="CC234" s="155">
        <f t="shared" si="291"/>
        <v>0</v>
      </c>
      <c r="CD234" s="79" t="s">
        <v>538</v>
      </c>
      <c r="CE234" s="65">
        <f t="shared" si="292"/>
        <v>193626</v>
      </c>
      <c r="CF234" s="65">
        <f t="shared" si="293"/>
        <v>193626</v>
      </c>
      <c r="CG234" s="65">
        <f t="shared" si="294"/>
        <v>175937</v>
      </c>
      <c r="CH234" s="65">
        <f t="shared" si="295"/>
        <v>193626</v>
      </c>
      <c r="CI234" s="65">
        <f t="shared" si="296"/>
        <v>510618</v>
      </c>
      <c r="CJ234" s="65">
        <f t="shared" si="297"/>
        <v>198943</v>
      </c>
      <c r="CK234" s="65">
        <f t="shared" si="298"/>
        <v>325190</v>
      </c>
      <c r="CL234" s="65">
        <f t="shared" si="299"/>
        <v>193626</v>
      </c>
      <c r="CM234" s="65">
        <f t="shared" si="300"/>
        <v>212291</v>
      </c>
      <c r="CN234" s="65">
        <f t="shared" si="301"/>
        <v>337308</v>
      </c>
      <c r="CO234" s="65">
        <f t="shared" si="302"/>
        <v>193626</v>
      </c>
      <c r="CP234" s="65">
        <f t="shared" si="303"/>
        <v>323858</v>
      </c>
      <c r="CQ234" s="40" t="s">
        <v>538</v>
      </c>
    </row>
    <row r="235" spans="1:95" ht="3" customHeight="1" x14ac:dyDescent="0.25">
      <c r="A235" s="39">
        <v>1</v>
      </c>
      <c r="B235" s="28">
        <v>10304</v>
      </c>
      <c r="C235" s="28" t="s">
        <v>243</v>
      </c>
      <c r="D235" s="48">
        <f>+DATA!Q233</f>
        <v>1864817.4550000001</v>
      </c>
      <c r="E235" s="48">
        <f t="shared" si="289"/>
        <v>122767</v>
      </c>
      <c r="F235" s="48">
        <f t="shared" si="290"/>
        <v>186482</v>
      </c>
      <c r="G235" s="49">
        <f>VLOOKUP(B235,'CALC MEC ESTAB Y ESTIM M FINAL'!$B$7:$F$352,5,0)</f>
        <v>9.9469763619999992E-4</v>
      </c>
      <c r="H235" s="49">
        <f>VLOOKUP(B235,'CALC MEC ESTAB Y ESTIM M FINAL'!$B$7:$R$352,17,0)</f>
        <v>-5.6194397699999998E-5</v>
      </c>
      <c r="I235" s="46">
        <f t="shared" si="229"/>
        <v>77382</v>
      </c>
      <c r="J235" s="46">
        <f t="shared" si="230"/>
        <v>0</v>
      </c>
      <c r="K235" s="46">
        <f t="shared" si="231"/>
        <v>45385</v>
      </c>
      <c r="L235" s="46">
        <v>0</v>
      </c>
      <c r="M235" s="46">
        <f t="shared" si="232"/>
        <v>122767</v>
      </c>
      <c r="N235" s="46">
        <f t="shared" si="233"/>
        <v>45385</v>
      </c>
      <c r="O235" s="46">
        <f t="shared" si="234"/>
        <v>41149</v>
      </c>
      <c r="P235" s="46">
        <f t="shared" si="235"/>
        <v>0</v>
      </c>
      <c r="Q235" s="46">
        <f t="shared" si="236"/>
        <v>81618</v>
      </c>
      <c r="R235" s="46">
        <v>0</v>
      </c>
      <c r="S235" s="46">
        <f t="shared" si="237"/>
        <v>122767</v>
      </c>
      <c r="T235" s="46">
        <f t="shared" si="238"/>
        <v>127003</v>
      </c>
      <c r="U235" s="46">
        <f t="shared" si="239"/>
        <v>117389</v>
      </c>
      <c r="V235" s="46">
        <f t="shared" si="240"/>
        <v>0</v>
      </c>
      <c r="W235" s="46">
        <f t="shared" si="241"/>
        <v>0</v>
      </c>
      <c r="X235" s="46">
        <v>0</v>
      </c>
      <c r="Y235" s="46">
        <f t="shared" si="242"/>
        <v>117389</v>
      </c>
      <c r="Z235" s="46">
        <f t="shared" si="243"/>
        <v>127003</v>
      </c>
      <c r="AA235" s="46">
        <f t="shared" si="244"/>
        <v>62332</v>
      </c>
      <c r="AB235" s="46">
        <f t="shared" si="245"/>
        <v>0</v>
      </c>
      <c r="AC235" s="46">
        <f t="shared" si="246"/>
        <v>60435</v>
      </c>
      <c r="AD235" s="46">
        <v>0</v>
      </c>
      <c r="AE235" s="46">
        <f t="shared" si="247"/>
        <v>122767</v>
      </c>
      <c r="AF235" s="46">
        <f t="shared" si="248"/>
        <v>187438</v>
      </c>
      <c r="AG235" s="46">
        <f t="shared" si="249"/>
        <v>542401</v>
      </c>
      <c r="AH235" s="46">
        <f t="shared" si="250"/>
        <v>5006</v>
      </c>
      <c r="AI235" s="46">
        <f t="shared" si="251"/>
        <v>-187438</v>
      </c>
      <c r="AJ235" s="46">
        <v>0</v>
      </c>
      <c r="AK235" s="46">
        <f t="shared" si="252"/>
        <v>359969</v>
      </c>
      <c r="AL235" s="46">
        <f t="shared" si="253"/>
        <v>0</v>
      </c>
      <c r="AM235" s="46">
        <f t="shared" si="254"/>
        <v>107436</v>
      </c>
      <c r="AN235" s="46">
        <f t="shared" si="255"/>
        <v>3548</v>
      </c>
      <c r="AO235" s="46">
        <f t="shared" si="256"/>
        <v>15331</v>
      </c>
      <c r="AP235" s="46">
        <v>0</v>
      </c>
      <c r="AQ235" s="46">
        <f t="shared" si="257"/>
        <v>126315</v>
      </c>
      <c r="AR235" s="46">
        <f t="shared" si="258"/>
        <v>15331</v>
      </c>
      <c r="AS235" s="46">
        <f t="shared" si="259"/>
        <v>213563</v>
      </c>
      <c r="AT235" s="46">
        <f t="shared" si="260"/>
        <v>20733</v>
      </c>
      <c r="AU235" s="46">
        <f t="shared" si="261"/>
        <v>-15331</v>
      </c>
      <c r="AV235" s="46">
        <v>0</v>
      </c>
      <c r="AW235" s="46">
        <f t="shared" si="262"/>
        <v>218965</v>
      </c>
      <c r="AX235" s="46">
        <f t="shared" si="263"/>
        <v>0</v>
      </c>
      <c r="AY235" s="46">
        <f t="shared" si="264"/>
        <v>70543</v>
      </c>
      <c r="AZ235" s="46">
        <f t="shared" si="265"/>
        <v>0</v>
      </c>
      <c r="BA235" s="46">
        <f t="shared" si="266"/>
        <v>52224</v>
      </c>
      <c r="BB235" s="46"/>
      <c r="BC235" s="46">
        <f t="shared" si="267"/>
        <v>122767</v>
      </c>
      <c r="BD235" s="46">
        <f t="shared" si="268"/>
        <v>52224</v>
      </c>
      <c r="BE235" s="46">
        <f t="shared" si="269"/>
        <v>136562</v>
      </c>
      <c r="BF235" s="46">
        <f t="shared" si="270"/>
        <v>5083</v>
      </c>
      <c r="BG235" s="46">
        <f t="shared" si="271"/>
        <v>0</v>
      </c>
      <c r="BH235" s="46">
        <v>0</v>
      </c>
      <c r="BI235" s="46">
        <f t="shared" si="272"/>
        <v>141645</v>
      </c>
      <c r="BJ235" s="46">
        <f t="shared" si="273"/>
        <v>52224</v>
      </c>
      <c r="BK235" s="46">
        <f t="shared" si="274"/>
        <v>288140</v>
      </c>
      <c r="BL235" s="46">
        <f t="shared" si="275"/>
        <v>0</v>
      </c>
      <c r="BM235" s="46">
        <f t="shared" si="276"/>
        <v>-52224</v>
      </c>
      <c r="BN235" s="46">
        <v>0</v>
      </c>
      <c r="BO235" s="46">
        <f t="shared" si="277"/>
        <v>235916</v>
      </c>
      <c r="BP235" s="46">
        <f t="shared" si="278"/>
        <v>0</v>
      </c>
      <c r="BQ235" s="46">
        <f t="shared" si="279"/>
        <v>106941</v>
      </c>
      <c r="BR235" s="46">
        <f t="shared" si="280"/>
        <v>0</v>
      </c>
      <c r="BS235" s="46">
        <f t="shared" si="281"/>
        <v>15826</v>
      </c>
      <c r="BT235" s="46">
        <v>0</v>
      </c>
      <c r="BU235" s="46">
        <f t="shared" si="282"/>
        <v>122767</v>
      </c>
      <c r="BV235" s="46">
        <f t="shared" si="283"/>
        <v>15826</v>
      </c>
      <c r="BW235" s="46">
        <f t="shared" si="284"/>
        <v>204929</v>
      </c>
      <c r="BX235" s="46">
        <f t="shared" si="285"/>
        <v>33406</v>
      </c>
      <c r="BY235" s="46">
        <f t="shared" si="286"/>
        <v>-15826</v>
      </c>
      <c r="BZ235" s="46">
        <v>0</v>
      </c>
      <c r="CA235" s="46">
        <f t="shared" si="287"/>
        <v>222509</v>
      </c>
      <c r="CB235" s="46">
        <f t="shared" si="288"/>
        <v>0</v>
      </c>
      <c r="CC235" s="155">
        <f t="shared" si="291"/>
        <v>0</v>
      </c>
      <c r="CD235" s="79" t="s">
        <v>538</v>
      </c>
      <c r="CE235" s="65">
        <f t="shared" si="292"/>
        <v>122767</v>
      </c>
      <c r="CF235" s="65">
        <f t="shared" si="293"/>
        <v>122767</v>
      </c>
      <c r="CG235" s="65">
        <f t="shared" si="294"/>
        <v>117389</v>
      </c>
      <c r="CH235" s="65">
        <f t="shared" si="295"/>
        <v>122767</v>
      </c>
      <c r="CI235" s="65">
        <f t="shared" si="296"/>
        <v>359969</v>
      </c>
      <c r="CJ235" s="65">
        <f t="shared" si="297"/>
        <v>126315</v>
      </c>
      <c r="CK235" s="65">
        <f t="shared" si="298"/>
        <v>218965</v>
      </c>
      <c r="CL235" s="65">
        <f t="shared" si="299"/>
        <v>122767</v>
      </c>
      <c r="CM235" s="65">
        <f t="shared" si="300"/>
        <v>141645</v>
      </c>
      <c r="CN235" s="65">
        <f t="shared" si="301"/>
        <v>235916</v>
      </c>
      <c r="CO235" s="65">
        <f t="shared" si="302"/>
        <v>122767</v>
      </c>
      <c r="CP235" s="65">
        <f t="shared" si="303"/>
        <v>222509</v>
      </c>
      <c r="CQ235" s="40" t="s">
        <v>538</v>
      </c>
    </row>
    <row r="236" spans="1:95" ht="3" customHeight="1" x14ac:dyDescent="0.25">
      <c r="A236" s="39">
        <v>1</v>
      </c>
      <c r="B236" s="28">
        <v>10305</v>
      </c>
      <c r="C236" s="28" t="s">
        <v>420</v>
      </c>
      <c r="D236" s="48">
        <f>+DATA!Q234</f>
        <v>2346891.36</v>
      </c>
      <c r="E236" s="48">
        <f t="shared" si="289"/>
        <v>154504</v>
      </c>
      <c r="F236" s="48">
        <f t="shared" si="290"/>
        <v>234689</v>
      </c>
      <c r="G236" s="49">
        <f>VLOOKUP(B236,'CALC MEC ESTAB Y ESTIM M FINAL'!$B$7:$F$352,5,0)</f>
        <v>1.1259803472999999E-3</v>
      </c>
      <c r="H236" s="49">
        <f>VLOOKUP(B236,'CALC MEC ESTAB Y ESTIM M FINAL'!$B$7:$R$352,17,0)</f>
        <v>-2.1424334000000001E-6</v>
      </c>
      <c r="I236" s="46">
        <f t="shared" si="229"/>
        <v>92663</v>
      </c>
      <c r="J236" s="46">
        <f t="shared" si="230"/>
        <v>0</v>
      </c>
      <c r="K236" s="46">
        <f t="shared" si="231"/>
        <v>61841</v>
      </c>
      <c r="L236" s="46">
        <v>0</v>
      </c>
      <c r="M236" s="46">
        <f t="shared" si="232"/>
        <v>154504</v>
      </c>
      <c r="N236" s="46">
        <f t="shared" si="233"/>
        <v>61841</v>
      </c>
      <c r="O236" s="46">
        <f t="shared" si="234"/>
        <v>49275</v>
      </c>
      <c r="P236" s="46">
        <f t="shared" si="235"/>
        <v>0</v>
      </c>
      <c r="Q236" s="46">
        <f t="shared" si="236"/>
        <v>105229</v>
      </c>
      <c r="R236" s="46">
        <v>0</v>
      </c>
      <c r="S236" s="46">
        <f t="shared" si="237"/>
        <v>154504</v>
      </c>
      <c r="T236" s="46">
        <f t="shared" si="238"/>
        <v>167070</v>
      </c>
      <c r="U236" s="46">
        <f t="shared" si="239"/>
        <v>140570</v>
      </c>
      <c r="V236" s="46">
        <f t="shared" si="240"/>
        <v>0</v>
      </c>
      <c r="W236" s="46">
        <f t="shared" si="241"/>
        <v>0</v>
      </c>
      <c r="X236" s="46">
        <v>0</v>
      </c>
      <c r="Y236" s="46">
        <f t="shared" si="242"/>
        <v>140570</v>
      </c>
      <c r="Z236" s="46">
        <f t="shared" si="243"/>
        <v>167070</v>
      </c>
      <c r="AA236" s="46">
        <f t="shared" si="244"/>
        <v>74641</v>
      </c>
      <c r="AB236" s="46">
        <f t="shared" si="245"/>
        <v>0</v>
      </c>
      <c r="AC236" s="46">
        <f t="shared" si="246"/>
        <v>79863</v>
      </c>
      <c r="AD236" s="46">
        <v>0</v>
      </c>
      <c r="AE236" s="46">
        <f t="shared" si="247"/>
        <v>154504</v>
      </c>
      <c r="AF236" s="46">
        <f t="shared" si="248"/>
        <v>246933</v>
      </c>
      <c r="AG236" s="46">
        <f t="shared" si="249"/>
        <v>649514</v>
      </c>
      <c r="AH236" s="46">
        <f t="shared" si="250"/>
        <v>5995</v>
      </c>
      <c r="AI236" s="46">
        <f t="shared" si="251"/>
        <v>-246933</v>
      </c>
      <c r="AJ236" s="46">
        <v>0</v>
      </c>
      <c r="AK236" s="46">
        <f t="shared" si="252"/>
        <v>408576</v>
      </c>
      <c r="AL236" s="46">
        <f t="shared" si="253"/>
        <v>0</v>
      </c>
      <c r="AM236" s="46">
        <f t="shared" si="254"/>
        <v>128652</v>
      </c>
      <c r="AN236" s="46">
        <f t="shared" si="255"/>
        <v>4249</v>
      </c>
      <c r="AO236" s="46">
        <f t="shared" si="256"/>
        <v>25852</v>
      </c>
      <c r="AP236" s="46">
        <v>0</v>
      </c>
      <c r="AQ236" s="46">
        <f t="shared" si="257"/>
        <v>158753</v>
      </c>
      <c r="AR236" s="46">
        <f t="shared" si="258"/>
        <v>25852</v>
      </c>
      <c r="AS236" s="46">
        <f t="shared" si="259"/>
        <v>255737</v>
      </c>
      <c r="AT236" s="46">
        <f t="shared" si="260"/>
        <v>24827</v>
      </c>
      <c r="AU236" s="46">
        <f t="shared" si="261"/>
        <v>-21048</v>
      </c>
      <c r="AV236" s="46">
        <v>0</v>
      </c>
      <c r="AW236" s="46">
        <f t="shared" si="262"/>
        <v>259516</v>
      </c>
      <c r="AX236" s="46">
        <f t="shared" si="263"/>
        <v>4804</v>
      </c>
      <c r="AY236" s="46">
        <f t="shared" si="264"/>
        <v>84474</v>
      </c>
      <c r="AZ236" s="46">
        <f t="shared" si="265"/>
        <v>0</v>
      </c>
      <c r="BA236" s="46">
        <f t="shared" si="266"/>
        <v>70030</v>
      </c>
      <c r="BB236" s="46"/>
      <c r="BC236" s="46">
        <f t="shared" si="267"/>
        <v>154504</v>
      </c>
      <c r="BD236" s="46">
        <f t="shared" si="268"/>
        <v>74834</v>
      </c>
      <c r="BE236" s="46">
        <f t="shared" si="269"/>
        <v>163530</v>
      </c>
      <c r="BF236" s="46">
        <f t="shared" si="270"/>
        <v>6086</v>
      </c>
      <c r="BG236" s="46">
        <f t="shared" si="271"/>
        <v>0</v>
      </c>
      <c r="BH236" s="46">
        <v>0</v>
      </c>
      <c r="BI236" s="46">
        <f t="shared" si="272"/>
        <v>169616</v>
      </c>
      <c r="BJ236" s="46">
        <f t="shared" si="273"/>
        <v>74834</v>
      </c>
      <c r="BK236" s="46">
        <f t="shared" si="274"/>
        <v>345042</v>
      </c>
      <c r="BL236" s="46">
        <f t="shared" si="275"/>
        <v>0</v>
      </c>
      <c r="BM236" s="46">
        <f t="shared" si="276"/>
        <v>-74834</v>
      </c>
      <c r="BN236" s="46">
        <v>0</v>
      </c>
      <c r="BO236" s="46">
        <f t="shared" si="277"/>
        <v>270208</v>
      </c>
      <c r="BP236" s="46">
        <f t="shared" si="278"/>
        <v>0</v>
      </c>
      <c r="BQ236" s="46">
        <f t="shared" si="279"/>
        <v>128060</v>
      </c>
      <c r="BR236" s="46">
        <f t="shared" si="280"/>
        <v>0</v>
      </c>
      <c r="BS236" s="46">
        <f t="shared" si="281"/>
        <v>26444</v>
      </c>
      <c r="BT236" s="46">
        <v>0</v>
      </c>
      <c r="BU236" s="46">
        <f t="shared" si="282"/>
        <v>154504</v>
      </c>
      <c r="BV236" s="46">
        <f t="shared" si="283"/>
        <v>26444</v>
      </c>
      <c r="BW236" s="46">
        <f t="shared" si="284"/>
        <v>245398</v>
      </c>
      <c r="BX236" s="46">
        <f t="shared" si="285"/>
        <v>40002</v>
      </c>
      <c r="BY236" s="46">
        <f t="shared" si="286"/>
        <v>-26444</v>
      </c>
      <c r="BZ236" s="46">
        <v>0</v>
      </c>
      <c r="CA236" s="46">
        <f t="shared" si="287"/>
        <v>258956</v>
      </c>
      <c r="CB236" s="46">
        <f t="shared" si="288"/>
        <v>0</v>
      </c>
      <c r="CC236" s="155">
        <f t="shared" si="291"/>
        <v>0</v>
      </c>
      <c r="CD236" s="79" t="s">
        <v>538</v>
      </c>
      <c r="CE236" s="65">
        <f t="shared" si="292"/>
        <v>154504</v>
      </c>
      <c r="CF236" s="65">
        <f t="shared" si="293"/>
        <v>154504</v>
      </c>
      <c r="CG236" s="65">
        <f t="shared" si="294"/>
        <v>140570</v>
      </c>
      <c r="CH236" s="65">
        <f t="shared" si="295"/>
        <v>154504</v>
      </c>
      <c r="CI236" s="65">
        <f t="shared" si="296"/>
        <v>408576</v>
      </c>
      <c r="CJ236" s="65">
        <f t="shared" si="297"/>
        <v>158753</v>
      </c>
      <c r="CK236" s="65">
        <f t="shared" si="298"/>
        <v>259516</v>
      </c>
      <c r="CL236" s="65">
        <f t="shared" si="299"/>
        <v>154504</v>
      </c>
      <c r="CM236" s="65">
        <f t="shared" si="300"/>
        <v>169616</v>
      </c>
      <c r="CN236" s="65">
        <f t="shared" si="301"/>
        <v>270208</v>
      </c>
      <c r="CO236" s="65">
        <f t="shared" si="302"/>
        <v>154504</v>
      </c>
      <c r="CP236" s="65">
        <f t="shared" si="303"/>
        <v>258956</v>
      </c>
      <c r="CQ236" s="40" t="s">
        <v>538</v>
      </c>
    </row>
    <row r="237" spans="1:95" ht="3" customHeight="1" x14ac:dyDescent="0.25">
      <c r="A237" s="39">
        <v>1</v>
      </c>
      <c r="B237" s="28">
        <v>10306</v>
      </c>
      <c r="C237" s="28" t="s">
        <v>245</v>
      </c>
      <c r="D237" s="48">
        <f>+DATA!Q235</f>
        <v>4069194.2820000001</v>
      </c>
      <c r="E237" s="48">
        <f t="shared" si="289"/>
        <v>267889</v>
      </c>
      <c r="F237" s="48">
        <f t="shared" si="290"/>
        <v>406919</v>
      </c>
      <c r="G237" s="49">
        <f>VLOOKUP(B237,'CALC MEC ESTAB Y ESTIM M FINAL'!$B$7:$F$352,5,0)</f>
        <v>2.8827170536000002E-3</v>
      </c>
      <c r="H237" s="49">
        <f>VLOOKUP(B237,'CALC MEC ESTAB Y ESTIM M FINAL'!$B$7:$R$352,17,0)</f>
        <v>-5.1152403790000005E-4</v>
      </c>
      <c r="I237" s="46">
        <f t="shared" si="229"/>
        <v>195510</v>
      </c>
      <c r="J237" s="46">
        <f t="shared" si="230"/>
        <v>0</v>
      </c>
      <c r="K237" s="46">
        <f t="shared" si="231"/>
        <v>72379</v>
      </c>
      <c r="L237" s="46">
        <v>0</v>
      </c>
      <c r="M237" s="46">
        <f t="shared" si="232"/>
        <v>267889</v>
      </c>
      <c r="N237" s="46">
        <f t="shared" si="233"/>
        <v>72379</v>
      </c>
      <c r="O237" s="46">
        <f t="shared" si="234"/>
        <v>103966</v>
      </c>
      <c r="P237" s="46">
        <f t="shared" si="235"/>
        <v>0</v>
      </c>
      <c r="Q237" s="46">
        <f t="shared" si="236"/>
        <v>163923</v>
      </c>
      <c r="R237" s="46">
        <v>0</v>
      </c>
      <c r="S237" s="46">
        <f t="shared" si="237"/>
        <v>267889</v>
      </c>
      <c r="T237" s="46">
        <f t="shared" si="238"/>
        <v>236302</v>
      </c>
      <c r="U237" s="46">
        <f t="shared" si="239"/>
        <v>296590</v>
      </c>
      <c r="V237" s="46">
        <f t="shared" si="240"/>
        <v>0</v>
      </c>
      <c r="W237" s="46">
        <f t="shared" si="241"/>
        <v>0</v>
      </c>
      <c r="X237" s="46">
        <v>0</v>
      </c>
      <c r="Y237" s="46">
        <f t="shared" si="242"/>
        <v>296590</v>
      </c>
      <c r="Z237" s="46">
        <f t="shared" si="243"/>
        <v>236302</v>
      </c>
      <c r="AA237" s="46">
        <f t="shared" si="244"/>
        <v>157485</v>
      </c>
      <c r="AB237" s="46">
        <f t="shared" si="245"/>
        <v>0</v>
      </c>
      <c r="AC237" s="46">
        <f t="shared" si="246"/>
        <v>110404</v>
      </c>
      <c r="AD237" s="46">
        <v>0</v>
      </c>
      <c r="AE237" s="46">
        <f t="shared" si="247"/>
        <v>267889</v>
      </c>
      <c r="AF237" s="46">
        <f t="shared" si="248"/>
        <v>346706</v>
      </c>
      <c r="AG237" s="46">
        <f t="shared" si="249"/>
        <v>1370414</v>
      </c>
      <c r="AH237" s="46">
        <f t="shared" si="250"/>
        <v>12649</v>
      </c>
      <c r="AI237" s="46">
        <f t="shared" si="251"/>
        <v>-346706</v>
      </c>
      <c r="AJ237" s="46">
        <v>0</v>
      </c>
      <c r="AK237" s="46">
        <f t="shared" si="252"/>
        <v>1036357</v>
      </c>
      <c r="AL237" s="46">
        <f t="shared" si="253"/>
        <v>0</v>
      </c>
      <c r="AM237" s="46">
        <f t="shared" si="254"/>
        <v>271444</v>
      </c>
      <c r="AN237" s="46">
        <f t="shared" si="255"/>
        <v>8964</v>
      </c>
      <c r="AO237" s="46">
        <f t="shared" si="256"/>
        <v>0</v>
      </c>
      <c r="AP237" s="46">
        <v>0</v>
      </c>
      <c r="AQ237" s="46">
        <f t="shared" si="257"/>
        <v>280408</v>
      </c>
      <c r="AR237" s="46">
        <f t="shared" si="258"/>
        <v>0</v>
      </c>
      <c r="AS237" s="46">
        <f t="shared" si="259"/>
        <v>539582</v>
      </c>
      <c r="AT237" s="46">
        <f t="shared" si="260"/>
        <v>52384</v>
      </c>
      <c r="AU237" s="46">
        <f t="shared" si="261"/>
        <v>0</v>
      </c>
      <c r="AV237" s="46">
        <v>0</v>
      </c>
      <c r="AW237" s="46">
        <f t="shared" si="262"/>
        <v>591966</v>
      </c>
      <c r="AX237" s="46">
        <f t="shared" si="263"/>
        <v>0</v>
      </c>
      <c r="AY237" s="46">
        <f t="shared" si="264"/>
        <v>178232</v>
      </c>
      <c r="AZ237" s="46">
        <f t="shared" si="265"/>
        <v>0</v>
      </c>
      <c r="BA237" s="46">
        <f t="shared" si="266"/>
        <v>89657</v>
      </c>
      <c r="BB237" s="46"/>
      <c r="BC237" s="46">
        <f t="shared" si="267"/>
        <v>267889</v>
      </c>
      <c r="BD237" s="46">
        <f t="shared" si="268"/>
        <v>89657</v>
      </c>
      <c r="BE237" s="46">
        <f t="shared" si="269"/>
        <v>345034</v>
      </c>
      <c r="BF237" s="46">
        <f t="shared" si="270"/>
        <v>12842</v>
      </c>
      <c r="BG237" s="46">
        <f t="shared" si="271"/>
        <v>0</v>
      </c>
      <c r="BH237" s="46">
        <v>0</v>
      </c>
      <c r="BI237" s="46">
        <f t="shared" si="272"/>
        <v>357876</v>
      </c>
      <c r="BJ237" s="46">
        <f t="shared" si="273"/>
        <v>89657</v>
      </c>
      <c r="BK237" s="46">
        <f t="shared" si="274"/>
        <v>728007</v>
      </c>
      <c r="BL237" s="46">
        <f t="shared" si="275"/>
        <v>0</v>
      </c>
      <c r="BM237" s="46">
        <f t="shared" si="276"/>
        <v>-89657</v>
      </c>
      <c r="BN237" s="46">
        <v>0</v>
      </c>
      <c r="BO237" s="46">
        <f t="shared" si="277"/>
        <v>638350</v>
      </c>
      <c r="BP237" s="46">
        <f t="shared" si="278"/>
        <v>0</v>
      </c>
      <c r="BQ237" s="46">
        <f t="shared" si="279"/>
        <v>270194</v>
      </c>
      <c r="BR237" s="46">
        <f t="shared" si="280"/>
        <v>0</v>
      </c>
      <c r="BS237" s="46">
        <f t="shared" si="281"/>
        <v>0</v>
      </c>
      <c r="BT237" s="46">
        <v>0</v>
      </c>
      <c r="BU237" s="46">
        <f t="shared" si="282"/>
        <v>270194</v>
      </c>
      <c r="BV237" s="46">
        <f t="shared" si="283"/>
        <v>0</v>
      </c>
      <c r="BW237" s="46">
        <f t="shared" si="284"/>
        <v>517767</v>
      </c>
      <c r="BX237" s="46">
        <f t="shared" si="285"/>
        <v>84401</v>
      </c>
      <c r="BY237" s="46">
        <f t="shared" si="286"/>
        <v>0</v>
      </c>
      <c r="BZ237" s="46">
        <v>0</v>
      </c>
      <c r="CA237" s="46">
        <f t="shared" si="287"/>
        <v>602168</v>
      </c>
      <c r="CB237" s="46">
        <f t="shared" si="288"/>
        <v>0</v>
      </c>
      <c r="CC237" s="155">
        <f t="shared" si="291"/>
        <v>0</v>
      </c>
      <c r="CD237" s="79" t="s">
        <v>538</v>
      </c>
      <c r="CE237" s="65">
        <f t="shared" si="292"/>
        <v>267889</v>
      </c>
      <c r="CF237" s="65">
        <f t="shared" si="293"/>
        <v>267889</v>
      </c>
      <c r="CG237" s="65">
        <f t="shared" si="294"/>
        <v>296590</v>
      </c>
      <c r="CH237" s="65">
        <f t="shared" si="295"/>
        <v>267889</v>
      </c>
      <c r="CI237" s="65">
        <f t="shared" si="296"/>
        <v>1036357</v>
      </c>
      <c r="CJ237" s="65">
        <f t="shared" si="297"/>
        <v>280408</v>
      </c>
      <c r="CK237" s="65">
        <f t="shared" si="298"/>
        <v>591966</v>
      </c>
      <c r="CL237" s="65">
        <f t="shared" si="299"/>
        <v>267889</v>
      </c>
      <c r="CM237" s="65">
        <f t="shared" si="300"/>
        <v>357876</v>
      </c>
      <c r="CN237" s="65">
        <f t="shared" si="301"/>
        <v>638350</v>
      </c>
      <c r="CO237" s="65">
        <f t="shared" si="302"/>
        <v>270194</v>
      </c>
      <c r="CP237" s="65">
        <f t="shared" si="303"/>
        <v>602168</v>
      </c>
      <c r="CQ237" s="40" t="s">
        <v>538</v>
      </c>
    </row>
    <row r="238" spans="1:95" ht="3" customHeight="1" x14ac:dyDescent="0.25">
      <c r="A238" s="39">
        <v>1</v>
      </c>
      <c r="B238" s="28">
        <v>10307</v>
      </c>
      <c r="C238" s="28" t="s">
        <v>241</v>
      </c>
      <c r="D238" s="48">
        <f>+DATA!Q236</f>
        <v>2031945.469</v>
      </c>
      <c r="E238" s="48">
        <f t="shared" si="289"/>
        <v>133770</v>
      </c>
      <c r="F238" s="48">
        <f t="shared" si="290"/>
        <v>203195</v>
      </c>
      <c r="G238" s="49">
        <f>VLOOKUP(B238,'CALC MEC ESTAB Y ESTIM M FINAL'!$B$7:$F$352,5,0)</f>
        <v>1.0759287710999999E-3</v>
      </c>
      <c r="H238" s="49">
        <f>VLOOKUP(B238,'CALC MEC ESTAB Y ESTIM M FINAL'!$B$7:$R$352,17,0)</f>
        <v>-5.6745772200000001E-5</v>
      </c>
      <c r="I238" s="46">
        <f t="shared" si="229"/>
        <v>84034</v>
      </c>
      <c r="J238" s="46">
        <f t="shared" si="230"/>
        <v>0</v>
      </c>
      <c r="K238" s="46">
        <f t="shared" si="231"/>
        <v>49736</v>
      </c>
      <c r="L238" s="46">
        <v>0</v>
      </c>
      <c r="M238" s="46">
        <f t="shared" si="232"/>
        <v>133770</v>
      </c>
      <c r="N238" s="46">
        <f t="shared" si="233"/>
        <v>49736</v>
      </c>
      <c r="O238" s="46">
        <f t="shared" si="234"/>
        <v>44686</v>
      </c>
      <c r="P238" s="46">
        <f t="shared" si="235"/>
        <v>0</v>
      </c>
      <c r="Q238" s="46">
        <f t="shared" si="236"/>
        <v>89084</v>
      </c>
      <c r="R238" s="46">
        <v>0</v>
      </c>
      <c r="S238" s="46">
        <f t="shared" si="237"/>
        <v>133770</v>
      </c>
      <c r="T238" s="46">
        <f t="shared" si="238"/>
        <v>138820</v>
      </c>
      <c r="U238" s="46">
        <f t="shared" si="239"/>
        <v>127480</v>
      </c>
      <c r="V238" s="46">
        <f t="shared" si="240"/>
        <v>0</v>
      </c>
      <c r="W238" s="46">
        <f t="shared" si="241"/>
        <v>0</v>
      </c>
      <c r="X238" s="46">
        <v>0</v>
      </c>
      <c r="Y238" s="46">
        <f t="shared" si="242"/>
        <v>127480</v>
      </c>
      <c r="Z238" s="46">
        <f t="shared" si="243"/>
        <v>138820</v>
      </c>
      <c r="AA238" s="46">
        <f t="shared" si="244"/>
        <v>67690</v>
      </c>
      <c r="AB238" s="46">
        <f t="shared" si="245"/>
        <v>0</v>
      </c>
      <c r="AC238" s="46">
        <f t="shared" si="246"/>
        <v>66080</v>
      </c>
      <c r="AD238" s="46">
        <v>0</v>
      </c>
      <c r="AE238" s="46">
        <f t="shared" si="247"/>
        <v>133770</v>
      </c>
      <c r="AF238" s="46">
        <f t="shared" si="248"/>
        <v>204900</v>
      </c>
      <c r="AG238" s="46">
        <f t="shared" si="249"/>
        <v>589029</v>
      </c>
      <c r="AH238" s="46">
        <f t="shared" si="250"/>
        <v>5437</v>
      </c>
      <c r="AI238" s="46">
        <f t="shared" si="251"/>
        <v>-204900</v>
      </c>
      <c r="AJ238" s="46">
        <v>0</v>
      </c>
      <c r="AK238" s="46">
        <f t="shared" si="252"/>
        <v>389566</v>
      </c>
      <c r="AL238" s="46">
        <f t="shared" si="253"/>
        <v>0</v>
      </c>
      <c r="AM238" s="46">
        <f t="shared" si="254"/>
        <v>116672</v>
      </c>
      <c r="AN238" s="46">
        <f t="shared" si="255"/>
        <v>3853</v>
      </c>
      <c r="AO238" s="46">
        <f t="shared" si="256"/>
        <v>17098</v>
      </c>
      <c r="AP238" s="46">
        <v>0</v>
      </c>
      <c r="AQ238" s="46">
        <f t="shared" si="257"/>
        <v>137623</v>
      </c>
      <c r="AR238" s="46">
        <f t="shared" si="258"/>
        <v>17098</v>
      </c>
      <c r="AS238" s="46">
        <f t="shared" si="259"/>
        <v>231922</v>
      </c>
      <c r="AT238" s="46">
        <f t="shared" si="260"/>
        <v>22515</v>
      </c>
      <c r="AU238" s="46">
        <f t="shared" si="261"/>
        <v>-17098</v>
      </c>
      <c r="AV238" s="46">
        <v>0</v>
      </c>
      <c r="AW238" s="46">
        <f t="shared" si="262"/>
        <v>237339</v>
      </c>
      <c r="AX238" s="46">
        <f t="shared" si="263"/>
        <v>0</v>
      </c>
      <c r="AY238" s="46">
        <f t="shared" si="264"/>
        <v>76608</v>
      </c>
      <c r="AZ238" s="46">
        <f t="shared" si="265"/>
        <v>0</v>
      </c>
      <c r="BA238" s="46">
        <f t="shared" si="266"/>
        <v>57162</v>
      </c>
      <c r="BB238" s="46"/>
      <c r="BC238" s="46">
        <f t="shared" si="267"/>
        <v>133770</v>
      </c>
      <c r="BD238" s="46">
        <f t="shared" si="268"/>
        <v>57162</v>
      </c>
      <c r="BE238" s="46">
        <f t="shared" si="269"/>
        <v>148302</v>
      </c>
      <c r="BF238" s="46">
        <f t="shared" si="270"/>
        <v>5520</v>
      </c>
      <c r="BG238" s="46">
        <f t="shared" si="271"/>
        <v>0</v>
      </c>
      <c r="BH238" s="46">
        <v>0</v>
      </c>
      <c r="BI238" s="46">
        <f t="shared" si="272"/>
        <v>153822</v>
      </c>
      <c r="BJ238" s="46">
        <f t="shared" si="273"/>
        <v>57162</v>
      </c>
      <c r="BK238" s="46">
        <f t="shared" si="274"/>
        <v>312911</v>
      </c>
      <c r="BL238" s="46">
        <f t="shared" si="275"/>
        <v>0</v>
      </c>
      <c r="BM238" s="46">
        <f t="shared" si="276"/>
        <v>-57162</v>
      </c>
      <c r="BN238" s="46">
        <v>0</v>
      </c>
      <c r="BO238" s="46">
        <f t="shared" si="277"/>
        <v>255749</v>
      </c>
      <c r="BP238" s="46">
        <f t="shared" si="278"/>
        <v>0</v>
      </c>
      <c r="BQ238" s="46">
        <f t="shared" si="279"/>
        <v>116135</v>
      </c>
      <c r="BR238" s="46">
        <f t="shared" si="280"/>
        <v>0</v>
      </c>
      <c r="BS238" s="46">
        <f t="shared" si="281"/>
        <v>17635</v>
      </c>
      <c r="BT238" s="46">
        <v>0</v>
      </c>
      <c r="BU238" s="46">
        <f t="shared" si="282"/>
        <v>133770</v>
      </c>
      <c r="BV238" s="46">
        <f t="shared" si="283"/>
        <v>17635</v>
      </c>
      <c r="BW238" s="46">
        <f t="shared" si="284"/>
        <v>222546</v>
      </c>
      <c r="BX238" s="46">
        <f t="shared" si="285"/>
        <v>36277</v>
      </c>
      <c r="BY238" s="46">
        <f t="shared" si="286"/>
        <v>-17635</v>
      </c>
      <c r="BZ238" s="46">
        <v>0</v>
      </c>
      <c r="CA238" s="46">
        <f t="shared" si="287"/>
        <v>241188</v>
      </c>
      <c r="CB238" s="46">
        <f t="shared" si="288"/>
        <v>0</v>
      </c>
      <c r="CC238" s="155">
        <f t="shared" si="291"/>
        <v>0</v>
      </c>
      <c r="CD238" s="79" t="s">
        <v>538</v>
      </c>
      <c r="CE238" s="65">
        <f t="shared" si="292"/>
        <v>133770</v>
      </c>
      <c r="CF238" s="65">
        <f t="shared" si="293"/>
        <v>133770</v>
      </c>
      <c r="CG238" s="65">
        <f t="shared" si="294"/>
        <v>127480</v>
      </c>
      <c r="CH238" s="65">
        <f t="shared" si="295"/>
        <v>133770</v>
      </c>
      <c r="CI238" s="65">
        <f t="shared" si="296"/>
        <v>389566</v>
      </c>
      <c r="CJ238" s="65">
        <f t="shared" si="297"/>
        <v>137623</v>
      </c>
      <c r="CK238" s="65">
        <f t="shared" si="298"/>
        <v>237339</v>
      </c>
      <c r="CL238" s="65">
        <f t="shared" si="299"/>
        <v>133770</v>
      </c>
      <c r="CM238" s="65">
        <f t="shared" si="300"/>
        <v>153822</v>
      </c>
      <c r="CN238" s="65">
        <f t="shared" si="301"/>
        <v>255749</v>
      </c>
      <c r="CO238" s="65">
        <f t="shared" si="302"/>
        <v>133770</v>
      </c>
      <c r="CP238" s="65">
        <f t="shared" si="303"/>
        <v>241188</v>
      </c>
      <c r="CQ238" s="40" t="s">
        <v>538</v>
      </c>
    </row>
    <row r="239" spans="1:95" ht="3" customHeight="1" x14ac:dyDescent="0.25">
      <c r="A239" s="39">
        <v>1</v>
      </c>
      <c r="B239" s="28">
        <v>10401</v>
      </c>
      <c r="C239" s="28" t="s">
        <v>421</v>
      </c>
      <c r="D239" s="48">
        <f>+DATA!Q237</f>
        <v>2219163.5019999999</v>
      </c>
      <c r="E239" s="48">
        <f t="shared" si="289"/>
        <v>146095</v>
      </c>
      <c r="F239" s="48">
        <f t="shared" si="290"/>
        <v>221916</v>
      </c>
      <c r="G239" s="49">
        <f>VLOOKUP(B239,'CALC MEC ESTAB Y ESTIM M FINAL'!$B$7:$F$352,5,0)</f>
        <v>1.2122549189999999E-3</v>
      </c>
      <c r="H239" s="49">
        <f>VLOOKUP(B239,'CALC MEC ESTAB Y ESTIM M FINAL'!$B$7:$R$352,17,0)</f>
        <v>-8.2451450200000001E-5</v>
      </c>
      <c r="I239" s="46">
        <f t="shared" si="229"/>
        <v>93155</v>
      </c>
      <c r="J239" s="46">
        <f t="shared" si="230"/>
        <v>0</v>
      </c>
      <c r="K239" s="46">
        <f t="shared" si="231"/>
        <v>52940</v>
      </c>
      <c r="L239" s="46">
        <v>0</v>
      </c>
      <c r="M239" s="46">
        <f t="shared" si="232"/>
        <v>146095</v>
      </c>
      <c r="N239" s="46">
        <f t="shared" si="233"/>
        <v>52940</v>
      </c>
      <c r="O239" s="46">
        <f t="shared" si="234"/>
        <v>49537</v>
      </c>
      <c r="P239" s="46">
        <f t="shared" si="235"/>
        <v>0</v>
      </c>
      <c r="Q239" s="46">
        <f t="shared" si="236"/>
        <v>96558</v>
      </c>
      <c r="R239" s="46">
        <v>0</v>
      </c>
      <c r="S239" s="46">
        <f t="shared" si="237"/>
        <v>146095</v>
      </c>
      <c r="T239" s="46">
        <f t="shared" si="238"/>
        <v>149498</v>
      </c>
      <c r="U239" s="46">
        <f t="shared" si="239"/>
        <v>141317</v>
      </c>
      <c r="V239" s="46">
        <f t="shared" si="240"/>
        <v>0</v>
      </c>
      <c r="W239" s="46">
        <f t="shared" si="241"/>
        <v>0</v>
      </c>
      <c r="X239" s="46">
        <v>0</v>
      </c>
      <c r="Y239" s="46">
        <f t="shared" si="242"/>
        <v>141317</v>
      </c>
      <c r="Z239" s="46">
        <f t="shared" si="243"/>
        <v>149498</v>
      </c>
      <c r="AA239" s="46">
        <f t="shared" si="244"/>
        <v>75037</v>
      </c>
      <c r="AB239" s="46">
        <f t="shared" si="245"/>
        <v>0</v>
      </c>
      <c r="AC239" s="46">
        <f t="shared" si="246"/>
        <v>71058</v>
      </c>
      <c r="AD239" s="46">
        <v>0</v>
      </c>
      <c r="AE239" s="46">
        <f t="shared" si="247"/>
        <v>146095</v>
      </c>
      <c r="AF239" s="46">
        <f t="shared" si="248"/>
        <v>220556</v>
      </c>
      <c r="AG239" s="46">
        <f t="shared" si="249"/>
        <v>652962</v>
      </c>
      <c r="AH239" s="46">
        <f t="shared" si="250"/>
        <v>6027</v>
      </c>
      <c r="AI239" s="46">
        <f t="shared" si="251"/>
        <v>-220556</v>
      </c>
      <c r="AJ239" s="46">
        <v>0</v>
      </c>
      <c r="AK239" s="46">
        <f t="shared" si="252"/>
        <v>438433</v>
      </c>
      <c r="AL239" s="46">
        <f t="shared" si="253"/>
        <v>0</v>
      </c>
      <c r="AM239" s="46">
        <f t="shared" si="254"/>
        <v>129335</v>
      </c>
      <c r="AN239" s="46">
        <f t="shared" si="255"/>
        <v>4271</v>
      </c>
      <c r="AO239" s="46">
        <f t="shared" si="256"/>
        <v>16760</v>
      </c>
      <c r="AP239" s="46">
        <v>0</v>
      </c>
      <c r="AQ239" s="46">
        <f t="shared" si="257"/>
        <v>150366</v>
      </c>
      <c r="AR239" s="46">
        <f t="shared" si="258"/>
        <v>16760</v>
      </c>
      <c r="AS239" s="46">
        <f t="shared" si="259"/>
        <v>257095</v>
      </c>
      <c r="AT239" s="46">
        <f t="shared" si="260"/>
        <v>24959</v>
      </c>
      <c r="AU239" s="46">
        <f t="shared" si="261"/>
        <v>-16760</v>
      </c>
      <c r="AV239" s="46">
        <v>0</v>
      </c>
      <c r="AW239" s="46">
        <f t="shared" si="262"/>
        <v>265294</v>
      </c>
      <c r="AX239" s="46">
        <f t="shared" si="263"/>
        <v>0</v>
      </c>
      <c r="AY239" s="46">
        <f t="shared" si="264"/>
        <v>84922</v>
      </c>
      <c r="AZ239" s="46">
        <f t="shared" si="265"/>
        <v>0</v>
      </c>
      <c r="BA239" s="46">
        <f t="shared" si="266"/>
        <v>61173</v>
      </c>
      <c r="BB239" s="46"/>
      <c r="BC239" s="46">
        <f t="shared" si="267"/>
        <v>146095</v>
      </c>
      <c r="BD239" s="46">
        <f t="shared" si="268"/>
        <v>61173</v>
      </c>
      <c r="BE239" s="46">
        <f t="shared" si="269"/>
        <v>164399</v>
      </c>
      <c r="BF239" s="46">
        <f t="shared" si="270"/>
        <v>6119</v>
      </c>
      <c r="BG239" s="46">
        <f t="shared" si="271"/>
        <v>0</v>
      </c>
      <c r="BH239" s="46">
        <v>0</v>
      </c>
      <c r="BI239" s="46">
        <f t="shared" si="272"/>
        <v>170518</v>
      </c>
      <c r="BJ239" s="46">
        <f t="shared" si="273"/>
        <v>61173</v>
      </c>
      <c r="BK239" s="46">
        <f t="shared" si="274"/>
        <v>346874</v>
      </c>
      <c r="BL239" s="46">
        <f t="shared" si="275"/>
        <v>0</v>
      </c>
      <c r="BM239" s="46">
        <f t="shared" si="276"/>
        <v>-61173</v>
      </c>
      <c r="BN239" s="46">
        <v>0</v>
      </c>
      <c r="BO239" s="46">
        <f t="shared" si="277"/>
        <v>285701</v>
      </c>
      <c r="BP239" s="46">
        <f t="shared" si="278"/>
        <v>0</v>
      </c>
      <c r="BQ239" s="46">
        <f t="shared" si="279"/>
        <v>128740</v>
      </c>
      <c r="BR239" s="46">
        <f t="shared" si="280"/>
        <v>0</v>
      </c>
      <c r="BS239" s="46">
        <f t="shared" si="281"/>
        <v>17355</v>
      </c>
      <c r="BT239" s="46">
        <v>0</v>
      </c>
      <c r="BU239" s="46">
        <f t="shared" si="282"/>
        <v>146095</v>
      </c>
      <c r="BV239" s="46">
        <f t="shared" si="283"/>
        <v>17355</v>
      </c>
      <c r="BW239" s="46">
        <f t="shared" si="284"/>
        <v>246701</v>
      </c>
      <c r="BX239" s="46">
        <f t="shared" si="285"/>
        <v>40215</v>
      </c>
      <c r="BY239" s="46">
        <f t="shared" si="286"/>
        <v>-17355</v>
      </c>
      <c r="BZ239" s="46">
        <v>0</v>
      </c>
      <c r="CA239" s="46">
        <f t="shared" si="287"/>
        <v>269561</v>
      </c>
      <c r="CB239" s="46">
        <f t="shared" si="288"/>
        <v>0</v>
      </c>
      <c r="CC239" s="155">
        <f t="shared" si="291"/>
        <v>0</v>
      </c>
      <c r="CD239" s="79" t="s">
        <v>538</v>
      </c>
      <c r="CE239" s="65">
        <f t="shared" si="292"/>
        <v>146095</v>
      </c>
      <c r="CF239" s="65">
        <f t="shared" si="293"/>
        <v>146095</v>
      </c>
      <c r="CG239" s="65">
        <f t="shared" si="294"/>
        <v>141317</v>
      </c>
      <c r="CH239" s="65">
        <f t="shared" si="295"/>
        <v>146095</v>
      </c>
      <c r="CI239" s="65">
        <f t="shared" si="296"/>
        <v>438433</v>
      </c>
      <c r="CJ239" s="65">
        <f t="shared" si="297"/>
        <v>150366</v>
      </c>
      <c r="CK239" s="65">
        <f t="shared" si="298"/>
        <v>265294</v>
      </c>
      <c r="CL239" s="65">
        <f t="shared" si="299"/>
        <v>146095</v>
      </c>
      <c r="CM239" s="65">
        <f t="shared" si="300"/>
        <v>170518</v>
      </c>
      <c r="CN239" s="65">
        <f t="shared" si="301"/>
        <v>285701</v>
      </c>
      <c r="CO239" s="65">
        <f t="shared" si="302"/>
        <v>146095</v>
      </c>
      <c r="CP239" s="65">
        <f t="shared" si="303"/>
        <v>269561</v>
      </c>
      <c r="CQ239" s="40" t="s">
        <v>538</v>
      </c>
    </row>
    <row r="240" spans="1:95" ht="3" customHeight="1" x14ac:dyDescent="0.25">
      <c r="A240" s="39">
        <v>1</v>
      </c>
      <c r="B240" s="28">
        <v>10402</v>
      </c>
      <c r="C240" s="28" t="s">
        <v>422</v>
      </c>
      <c r="D240" s="48">
        <f>+DATA!Q238</f>
        <v>2036779.89</v>
      </c>
      <c r="E240" s="48">
        <f t="shared" si="289"/>
        <v>134088</v>
      </c>
      <c r="F240" s="48">
        <f t="shared" si="290"/>
        <v>203678</v>
      </c>
      <c r="G240" s="49">
        <f>VLOOKUP(B240,'CALC MEC ESTAB Y ESTIM M FINAL'!$B$7:$F$352,5,0)</f>
        <v>7.9090937229999998E-4</v>
      </c>
      <c r="H240" s="49">
        <f>VLOOKUP(B240,'CALC MEC ESTAB Y ESTIM M FINAL'!$B$7:$R$352,17,0)</f>
        <v>1.8287700439999999E-4</v>
      </c>
      <c r="I240" s="46">
        <f t="shared" si="229"/>
        <v>80291</v>
      </c>
      <c r="J240" s="46">
        <f t="shared" si="230"/>
        <v>0</v>
      </c>
      <c r="K240" s="46">
        <f t="shared" si="231"/>
        <v>53797</v>
      </c>
      <c r="L240" s="46">
        <v>0</v>
      </c>
      <c r="M240" s="46">
        <f t="shared" si="232"/>
        <v>134088</v>
      </c>
      <c r="N240" s="46">
        <f t="shared" si="233"/>
        <v>53797</v>
      </c>
      <c r="O240" s="46">
        <f t="shared" si="234"/>
        <v>42696</v>
      </c>
      <c r="P240" s="46">
        <f t="shared" si="235"/>
        <v>0</v>
      </c>
      <c r="Q240" s="46">
        <f t="shared" si="236"/>
        <v>91392</v>
      </c>
      <c r="R240" s="46">
        <v>0</v>
      </c>
      <c r="S240" s="46">
        <f t="shared" si="237"/>
        <v>134088</v>
      </c>
      <c r="T240" s="46">
        <f t="shared" si="238"/>
        <v>145189</v>
      </c>
      <c r="U240" s="46">
        <f t="shared" si="239"/>
        <v>121802</v>
      </c>
      <c r="V240" s="46">
        <f t="shared" si="240"/>
        <v>0</v>
      </c>
      <c r="W240" s="46">
        <f t="shared" si="241"/>
        <v>0</v>
      </c>
      <c r="X240" s="46">
        <v>0</v>
      </c>
      <c r="Y240" s="46">
        <f t="shared" si="242"/>
        <v>121802</v>
      </c>
      <c r="Z240" s="46">
        <f t="shared" si="243"/>
        <v>145189</v>
      </c>
      <c r="AA240" s="46">
        <f t="shared" si="244"/>
        <v>64675</v>
      </c>
      <c r="AB240" s="46">
        <f t="shared" si="245"/>
        <v>0</v>
      </c>
      <c r="AC240" s="46">
        <f t="shared" si="246"/>
        <v>69413</v>
      </c>
      <c r="AD240" s="46">
        <v>0</v>
      </c>
      <c r="AE240" s="46">
        <f t="shared" si="247"/>
        <v>134088</v>
      </c>
      <c r="AF240" s="46">
        <f t="shared" si="248"/>
        <v>214602</v>
      </c>
      <c r="AG240" s="46">
        <f t="shared" si="249"/>
        <v>562793</v>
      </c>
      <c r="AH240" s="46">
        <f t="shared" si="250"/>
        <v>5194</v>
      </c>
      <c r="AI240" s="46">
        <f t="shared" si="251"/>
        <v>-214602</v>
      </c>
      <c r="AJ240" s="46">
        <v>0</v>
      </c>
      <c r="AK240" s="46">
        <f t="shared" si="252"/>
        <v>353385</v>
      </c>
      <c r="AL240" s="46">
        <f t="shared" si="253"/>
        <v>0</v>
      </c>
      <c r="AM240" s="46">
        <f t="shared" si="254"/>
        <v>111475</v>
      </c>
      <c r="AN240" s="46">
        <f t="shared" si="255"/>
        <v>3681</v>
      </c>
      <c r="AO240" s="46">
        <f t="shared" si="256"/>
        <v>22613</v>
      </c>
      <c r="AP240" s="46">
        <v>0</v>
      </c>
      <c r="AQ240" s="46">
        <f t="shared" si="257"/>
        <v>137769</v>
      </c>
      <c r="AR240" s="46">
        <f t="shared" si="258"/>
        <v>22613</v>
      </c>
      <c r="AS240" s="46">
        <f t="shared" si="259"/>
        <v>221592</v>
      </c>
      <c r="AT240" s="46">
        <f t="shared" si="260"/>
        <v>21513</v>
      </c>
      <c r="AU240" s="46">
        <f t="shared" si="261"/>
        <v>-17914</v>
      </c>
      <c r="AV240" s="46">
        <v>0</v>
      </c>
      <c r="AW240" s="46">
        <f t="shared" si="262"/>
        <v>225191</v>
      </c>
      <c r="AX240" s="46">
        <f t="shared" si="263"/>
        <v>4699</v>
      </c>
      <c r="AY240" s="46">
        <f t="shared" si="264"/>
        <v>73195</v>
      </c>
      <c r="AZ240" s="46">
        <f t="shared" si="265"/>
        <v>0</v>
      </c>
      <c r="BA240" s="46">
        <f t="shared" si="266"/>
        <v>60893</v>
      </c>
      <c r="BB240" s="46"/>
      <c r="BC240" s="46">
        <f t="shared" si="267"/>
        <v>134088</v>
      </c>
      <c r="BD240" s="46">
        <f t="shared" si="268"/>
        <v>65592</v>
      </c>
      <c r="BE240" s="46">
        <f t="shared" si="269"/>
        <v>141696</v>
      </c>
      <c r="BF240" s="46">
        <f t="shared" si="270"/>
        <v>5274</v>
      </c>
      <c r="BG240" s="46">
        <f t="shared" si="271"/>
        <v>0</v>
      </c>
      <c r="BH240" s="46">
        <v>0</v>
      </c>
      <c r="BI240" s="46">
        <f t="shared" si="272"/>
        <v>146970</v>
      </c>
      <c r="BJ240" s="46">
        <f t="shared" si="273"/>
        <v>65592</v>
      </c>
      <c r="BK240" s="46">
        <f t="shared" si="274"/>
        <v>298973</v>
      </c>
      <c r="BL240" s="46">
        <f t="shared" si="275"/>
        <v>0</v>
      </c>
      <c r="BM240" s="46">
        <f t="shared" si="276"/>
        <v>-65592</v>
      </c>
      <c r="BN240" s="46">
        <v>0</v>
      </c>
      <c r="BO240" s="46">
        <f t="shared" si="277"/>
        <v>233381</v>
      </c>
      <c r="BP240" s="46">
        <f t="shared" si="278"/>
        <v>0</v>
      </c>
      <c r="BQ240" s="46">
        <f t="shared" si="279"/>
        <v>110962</v>
      </c>
      <c r="BR240" s="46">
        <f t="shared" si="280"/>
        <v>0</v>
      </c>
      <c r="BS240" s="46">
        <f t="shared" si="281"/>
        <v>23126</v>
      </c>
      <c r="BT240" s="46">
        <v>0</v>
      </c>
      <c r="BU240" s="46">
        <f t="shared" si="282"/>
        <v>134088</v>
      </c>
      <c r="BV240" s="46">
        <f t="shared" si="283"/>
        <v>23126</v>
      </c>
      <c r="BW240" s="46">
        <f t="shared" si="284"/>
        <v>212633</v>
      </c>
      <c r="BX240" s="46">
        <f t="shared" si="285"/>
        <v>34661</v>
      </c>
      <c r="BY240" s="46">
        <f t="shared" si="286"/>
        <v>-23126</v>
      </c>
      <c r="BZ240" s="46">
        <v>0</v>
      </c>
      <c r="CA240" s="46">
        <f t="shared" si="287"/>
        <v>224168</v>
      </c>
      <c r="CB240" s="46">
        <f t="shared" si="288"/>
        <v>0</v>
      </c>
      <c r="CC240" s="155">
        <f t="shared" si="291"/>
        <v>0</v>
      </c>
      <c r="CD240" s="79" t="s">
        <v>538</v>
      </c>
      <c r="CE240" s="65">
        <f t="shared" si="292"/>
        <v>134088</v>
      </c>
      <c r="CF240" s="65">
        <f t="shared" si="293"/>
        <v>134088</v>
      </c>
      <c r="CG240" s="65">
        <f t="shared" si="294"/>
        <v>121802</v>
      </c>
      <c r="CH240" s="65">
        <f t="shared" si="295"/>
        <v>134088</v>
      </c>
      <c r="CI240" s="65">
        <f t="shared" si="296"/>
        <v>353385</v>
      </c>
      <c r="CJ240" s="65">
        <f t="shared" si="297"/>
        <v>137769</v>
      </c>
      <c r="CK240" s="65">
        <f t="shared" si="298"/>
        <v>225191</v>
      </c>
      <c r="CL240" s="65">
        <f t="shared" si="299"/>
        <v>134088</v>
      </c>
      <c r="CM240" s="65">
        <f t="shared" si="300"/>
        <v>146970</v>
      </c>
      <c r="CN240" s="65">
        <f t="shared" si="301"/>
        <v>233381</v>
      </c>
      <c r="CO240" s="65">
        <f t="shared" si="302"/>
        <v>134088</v>
      </c>
      <c r="CP240" s="65">
        <f t="shared" si="303"/>
        <v>224168</v>
      </c>
      <c r="CQ240" s="40" t="s">
        <v>538</v>
      </c>
    </row>
    <row r="241" spans="1:95" ht="3" customHeight="1" x14ac:dyDescent="0.25">
      <c r="A241" s="39">
        <v>1</v>
      </c>
      <c r="B241" s="28">
        <v>10403</v>
      </c>
      <c r="C241" s="28" t="s">
        <v>35</v>
      </c>
      <c r="D241" s="48">
        <f>+DATA!Q239</f>
        <v>3029862.4380000001</v>
      </c>
      <c r="E241" s="48">
        <f t="shared" si="289"/>
        <v>199466</v>
      </c>
      <c r="F241" s="48">
        <f t="shared" si="290"/>
        <v>302986</v>
      </c>
      <c r="G241" s="49">
        <f>VLOOKUP(B241,'CALC MEC ESTAB Y ESTIM M FINAL'!$B$7:$F$352,5,0)</f>
        <v>1.9214217726999999E-3</v>
      </c>
      <c r="H241" s="49">
        <f>VLOOKUP(B241,'CALC MEC ESTAB Y ESTIM M FINAL'!$B$7:$R$352,17,0)</f>
        <v>-2.5789071209999999E-4</v>
      </c>
      <c r="I241" s="46">
        <f t="shared" si="229"/>
        <v>137162</v>
      </c>
      <c r="J241" s="46">
        <f t="shared" si="230"/>
        <v>0</v>
      </c>
      <c r="K241" s="46">
        <f t="shared" si="231"/>
        <v>62304</v>
      </c>
      <c r="L241" s="46">
        <v>0</v>
      </c>
      <c r="M241" s="46">
        <f t="shared" si="232"/>
        <v>199466</v>
      </c>
      <c r="N241" s="46">
        <f t="shared" si="233"/>
        <v>62304</v>
      </c>
      <c r="O241" s="46">
        <f t="shared" si="234"/>
        <v>72938</v>
      </c>
      <c r="P241" s="46">
        <f t="shared" si="235"/>
        <v>0</v>
      </c>
      <c r="Q241" s="46">
        <f t="shared" si="236"/>
        <v>126528</v>
      </c>
      <c r="R241" s="46">
        <v>0</v>
      </c>
      <c r="S241" s="46">
        <f t="shared" si="237"/>
        <v>199466</v>
      </c>
      <c r="T241" s="46">
        <f t="shared" si="238"/>
        <v>188832</v>
      </c>
      <c r="U241" s="46">
        <f t="shared" si="239"/>
        <v>208076</v>
      </c>
      <c r="V241" s="46">
        <f t="shared" si="240"/>
        <v>0</v>
      </c>
      <c r="W241" s="46">
        <f t="shared" si="241"/>
        <v>0</v>
      </c>
      <c r="X241" s="46">
        <v>0</v>
      </c>
      <c r="Y241" s="46">
        <f t="shared" si="242"/>
        <v>208076</v>
      </c>
      <c r="Z241" s="46">
        <f t="shared" si="243"/>
        <v>188832</v>
      </c>
      <c r="AA241" s="46">
        <f t="shared" si="244"/>
        <v>110485</v>
      </c>
      <c r="AB241" s="46">
        <f t="shared" si="245"/>
        <v>0</v>
      </c>
      <c r="AC241" s="46">
        <f t="shared" si="246"/>
        <v>88981</v>
      </c>
      <c r="AD241" s="46">
        <v>0</v>
      </c>
      <c r="AE241" s="46">
        <f t="shared" si="247"/>
        <v>199466</v>
      </c>
      <c r="AF241" s="46">
        <f t="shared" si="248"/>
        <v>277813</v>
      </c>
      <c r="AG241" s="46">
        <f t="shared" si="249"/>
        <v>961426</v>
      </c>
      <c r="AH241" s="46">
        <f t="shared" si="250"/>
        <v>8874</v>
      </c>
      <c r="AI241" s="46">
        <f t="shared" si="251"/>
        <v>-277813</v>
      </c>
      <c r="AJ241" s="46">
        <v>0</v>
      </c>
      <c r="AK241" s="46">
        <f t="shared" si="252"/>
        <v>692487</v>
      </c>
      <c r="AL241" s="46">
        <f t="shared" si="253"/>
        <v>0</v>
      </c>
      <c r="AM241" s="46">
        <f t="shared" si="254"/>
        <v>190434</v>
      </c>
      <c r="AN241" s="46">
        <f t="shared" si="255"/>
        <v>6289</v>
      </c>
      <c r="AO241" s="46">
        <f t="shared" si="256"/>
        <v>9032</v>
      </c>
      <c r="AP241" s="46">
        <v>0</v>
      </c>
      <c r="AQ241" s="46">
        <f t="shared" si="257"/>
        <v>205755</v>
      </c>
      <c r="AR241" s="46">
        <f t="shared" si="258"/>
        <v>9032</v>
      </c>
      <c r="AS241" s="46">
        <f t="shared" si="259"/>
        <v>378549</v>
      </c>
      <c r="AT241" s="46">
        <f t="shared" si="260"/>
        <v>36750</v>
      </c>
      <c r="AU241" s="46">
        <f t="shared" si="261"/>
        <v>-9032</v>
      </c>
      <c r="AV241" s="46">
        <v>0</v>
      </c>
      <c r="AW241" s="46">
        <f t="shared" si="262"/>
        <v>406267</v>
      </c>
      <c r="AX241" s="46">
        <f t="shared" si="263"/>
        <v>0</v>
      </c>
      <c r="AY241" s="46">
        <f t="shared" si="264"/>
        <v>125040</v>
      </c>
      <c r="AZ241" s="46">
        <f t="shared" si="265"/>
        <v>0</v>
      </c>
      <c r="BA241" s="46">
        <f t="shared" si="266"/>
        <v>74426</v>
      </c>
      <c r="BB241" s="46"/>
      <c r="BC241" s="46">
        <f t="shared" si="267"/>
        <v>199466</v>
      </c>
      <c r="BD241" s="46">
        <f t="shared" si="268"/>
        <v>74426</v>
      </c>
      <c r="BE241" s="46">
        <f t="shared" si="269"/>
        <v>242062</v>
      </c>
      <c r="BF241" s="46">
        <f t="shared" si="270"/>
        <v>9009</v>
      </c>
      <c r="BG241" s="46">
        <f t="shared" si="271"/>
        <v>0</v>
      </c>
      <c r="BH241" s="46">
        <v>0</v>
      </c>
      <c r="BI241" s="46">
        <f t="shared" si="272"/>
        <v>251071</v>
      </c>
      <c r="BJ241" s="46">
        <f t="shared" si="273"/>
        <v>74426</v>
      </c>
      <c r="BK241" s="46">
        <f t="shared" si="274"/>
        <v>510739</v>
      </c>
      <c r="BL241" s="46">
        <f t="shared" si="275"/>
        <v>0</v>
      </c>
      <c r="BM241" s="46">
        <f t="shared" si="276"/>
        <v>-74426</v>
      </c>
      <c r="BN241" s="46">
        <v>0</v>
      </c>
      <c r="BO241" s="46">
        <f t="shared" si="277"/>
        <v>436313</v>
      </c>
      <c r="BP241" s="46">
        <f t="shared" si="278"/>
        <v>0</v>
      </c>
      <c r="BQ241" s="46">
        <f t="shared" si="279"/>
        <v>189557</v>
      </c>
      <c r="BR241" s="46">
        <f t="shared" si="280"/>
        <v>0</v>
      </c>
      <c r="BS241" s="46">
        <f t="shared" si="281"/>
        <v>9909</v>
      </c>
      <c r="BT241" s="46">
        <v>0</v>
      </c>
      <c r="BU241" s="46">
        <f t="shared" si="282"/>
        <v>199466</v>
      </c>
      <c r="BV241" s="46">
        <f t="shared" si="283"/>
        <v>9909</v>
      </c>
      <c r="BW241" s="46">
        <f t="shared" si="284"/>
        <v>363244</v>
      </c>
      <c r="BX241" s="46">
        <f t="shared" si="285"/>
        <v>59213</v>
      </c>
      <c r="BY241" s="46">
        <f t="shared" si="286"/>
        <v>-9909</v>
      </c>
      <c r="BZ241" s="46">
        <v>0</v>
      </c>
      <c r="CA241" s="46">
        <f t="shared" si="287"/>
        <v>412548</v>
      </c>
      <c r="CB241" s="46">
        <f t="shared" si="288"/>
        <v>0</v>
      </c>
      <c r="CC241" s="155">
        <f t="shared" si="291"/>
        <v>0</v>
      </c>
      <c r="CD241" s="79" t="s">
        <v>538</v>
      </c>
      <c r="CE241" s="65">
        <f t="shared" si="292"/>
        <v>199466</v>
      </c>
      <c r="CF241" s="65">
        <f t="shared" si="293"/>
        <v>199466</v>
      </c>
      <c r="CG241" s="65">
        <f t="shared" si="294"/>
        <v>208076</v>
      </c>
      <c r="CH241" s="65">
        <f t="shared" si="295"/>
        <v>199466</v>
      </c>
      <c r="CI241" s="65">
        <f t="shared" si="296"/>
        <v>692487</v>
      </c>
      <c r="CJ241" s="65">
        <f t="shared" si="297"/>
        <v>205755</v>
      </c>
      <c r="CK241" s="65">
        <f t="shared" si="298"/>
        <v>406267</v>
      </c>
      <c r="CL241" s="65">
        <f t="shared" si="299"/>
        <v>199466</v>
      </c>
      <c r="CM241" s="65">
        <f t="shared" si="300"/>
        <v>251071</v>
      </c>
      <c r="CN241" s="65">
        <f t="shared" si="301"/>
        <v>436313</v>
      </c>
      <c r="CO241" s="65">
        <f t="shared" si="302"/>
        <v>199466</v>
      </c>
      <c r="CP241" s="65">
        <f t="shared" si="303"/>
        <v>412548</v>
      </c>
      <c r="CQ241" s="40" t="s">
        <v>538</v>
      </c>
    </row>
    <row r="242" spans="1:95" ht="3" customHeight="1" x14ac:dyDescent="0.25">
      <c r="A242" s="39">
        <v>1</v>
      </c>
      <c r="B242" s="28">
        <v>10404</v>
      </c>
      <c r="C242" s="28" t="s">
        <v>259</v>
      </c>
      <c r="D242" s="48">
        <f>+DATA!Q240</f>
        <v>1675906.1259999999</v>
      </c>
      <c r="E242" s="48">
        <f t="shared" si="289"/>
        <v>110330</v>
      </c>
      <c r="F242" s="48">
        <f t="shared" si="290"/>
        <v>167591</v>
      </c>
      <c r="G242" s="49">
        <f>VLOOKUP(B242,'CALC MEC ESTAB Y ESTIM M FINAL'!$B$7:$F$352,5,0)</f>
        <v>8.7558731570000004E-4</v>
      </c>
      <c r="H242" s="49">
        <f>VLOOKUP(B242,'CALC MEC ESTAB Y ESTIM M FINAL'!$B$7:$R$352,17,0)</f>
        <v>-4.0554034699999999E-5</v>
      </c>
      <c r="I242" s="46">
        <f t="shared" si="229"/>
        <v>68850</v>
      </c>
      <c r="J242" s="46">
        <f t="shared" si="230"/>
        <v>0</v>
      </c>
      <c r="K242" s="46">
        <f t="shared" si="231"/>
        <v>41480</v>
      </c>
      <c r="L242" s="46">
        <v>0</v>
      </c>
      <c r="M242" s="46">
        <f t="shared" si="232"/>
        <v>110330</v>
      </c>
      <c r="N242" s="46">
        <f t="shared" si="233"/>
        <v>41480</v>
      </c>
      <c r="O242" s="46">
        <f t="shared" si="234"/>
        <v>36612</v>
      </c>
      <c r="P242" s="46">
        <f t="shared" si="235"/>
        <v>0</v>
      </c>
      <c r="Q242" s="46">
        <f t="shared" si="236"/>
        <v>73718</v>
      </c>
      <c r="R242" s="46">
        <v>0</v>
      </c>
      <c r="S242" s="46">
        <f t="shared" si="237"/>
        <v>110330</v>
      </c>
      <c r="T242" s="46">
        <f t="shared" si="238"/>
        <v>115198</v>
      </c>
      <c r="U242" s="46">
        <f t="shared" si="239"/>
        <v>104447</v>
      </c>
      <c r="V242" s="46">
        <f t="shared" si="240"/>
        <v>0</v>
      </c>
      <c r="W242" s="46">
        <f t="shared" si="241"/>
        <v>0</v>
      </c>
      <c r="X242" s="46">
        <v>0</v>
      </c>
      <c r="Y242" s="46">
        <f t="shared" si="242"/>
        <v>104447</v>
      </c>
      <c r="Z242" s="46">
        <f t="shared" si="243"/>
        <v>115198</v>
      </c>
      <c r="AA242" s="46">
        <f t="shared" si="244"/>
        <v>55459</v>
      </c>
      <c r="AB242" s="46">
        <f t="shared" si="245"/>
        <v>0</v>
      </c>
      <c r="AC242" s="46">
        <f t="shared" si="246"/>
        <v>54871</v>
      </c>
      <c r="AD242" s="46">
        <v>0</v>
      </c>
      <c r="AE242" s="46">
        <f t="shared" si="247"/>
        <v>110330</v>
      </c>
      <c r="AF242" s="46">
        <f t="shared" si="248"/>
        <v>170069</v>
      </c>
      <c r="AG242" s="46">
        <f t="shared" si="249"/>
        <v>482601</v>
      </c>
      <c r="AH242" s="46">
        <f t="shared" si="250"/>
        <v>4454</v>
      </c>
      <c r="AI242" s="46">
        <f t="shared" si="251"/>
        <v>-170069</v>
      </c>
      <c r="AJ242" s="46">
        <v>0</v>
      </c>
      <c r="AK242" s="46">
        <f t="shared" si="252"/>
        <v>316986</v>
      </c>
      <c r="AL242" s="46">
        <f t="shared" si="253"/>
        <v>0</v>
      </c>
      <c r="AM242" s="46">
        <f t="shared" si="254"/>
        <v>95591</v>
      </c>
      <c r="AN242" s="46">
        <f t="shared" si="255"/>
        <v>3157</v>
      </c>
      <c r="AO242" s="46">
        <f t="shared" si="256"/>
        <v>14739</v>
      </c>
      <c r="AP242" s="46">
        <v>0</v>
      </c>
      <c r="AQ242" s="46">
        <f t="shared" si="257"/>
        <v>113487</v>
      </c>
      <c r="AR242" s="46">
        <f t="shared" si="258"/>
        <v>14739</v>
      </c>
      <c r="AS242" s="46">
        <f t="shared" si="259"/>
        <v>190018</v>
      </c>
      <c r="AT242" s="46">
        <f t="shared" si="260"/>
        <v>18447</v>
      </c>
      <c r="AU242" s="46">
        <f t="shared" si="261"/>
        <v>-14739</v>
      </c>
      <c r="AV242" s="46">
        <v>0</v>
      </c>
      <c r="AW242" s="46">
        <f t="shared" si="262"/>
        <v>193726</v>
      </c>
      <c r="AX242" s="46">
        <f t="shared" si="263"/>
        <v>0</v>
      </c>
      <c r="AY242" s="46">
        <f t="shared" si="264"/>
        <v>62766</v>
      </c>
      <c r="AZ242" s="46">
        <f t="shared" si="265"/>
        <v>0</v>
      </c>
      <c r="BA242" s="46">
        <f t="shared" si="266"/>
        <v>47564</v>
      </c>
      <c r="BB242" s="46"/>
      <c r="BC242" s="46">
        <f t="shared" si="267"/>
        <v>110330</v>
      </c>
      <c r="BD242" s="46">
        <f t="shared" si="268"/>
        <v>47564</v>
      </c>
      <c r="BE242" s="46">
        <f t="shared" si="269"/>
        <v>121506</v>
      </c>
      <c r="BF242" s="46">
        <f t="shared" si="270"/>
        <v>4522</v>
      </c>
      <c r="BG242" s="46">
        <f t="shared" si="271"/>
        <v>0</v>
      </c>
      <c r="BH242" s="46">
        <v>0</v>
      </c>
      <c r="BI242" s="46">
        <f t="shared" si="272"/>
        <v>126028</v>
      </c>
      <c r="BJ242" s="46">
        <f t="shared" si="273"/>
        <v>47564</v>
      </c>
      <c r="BK242" s="46">
        <f t="shared" si="274"/>
        <v>256373</v>
      </c>
      <c r="BL242" s="46">
        <f t="shared" si="275"/>
        <v>0</v>
      </c>
      <c r="BM242" s="46">
        <f t="shared" si="276"/>
        <v>-47564</v>
      </c>
      <c r="BN242" s="46">
        <v>0</v>
      </c>
      <c r="BO242" s="46">
        <f t="shared" si="277"/>
        <v>208809</v>
      </c>
      <c r="BP242" s="46">
        <f t="shared" si="278"/>
        <v>0</v>
      </c>
      <c r="BQ242" s="46">
        <f t="shared" si="279"/>
        <v>95151</v>
      </c>
      <c r="BR242" s="46">
        <f t="shared" si="280"/>
        <v>0</v>
      </c>
      <c r="BS242" s="46">
        <f t="shared" si="281"/>
        <v>15179</v>
      </c>
      <c r="BT242" s="46">
        <v>0</v>
      </c>
      <c r="BU242" s="46">
        <f t="shared" si="282"/>
        <v>110330</v>
      </c>
      <c r="BV242" s="46">
        <f t="shared" si="283"/>
        <v>15179</v>
      </c>
      <c r="BW242" s="46">
        <f t="shared" si="284"/>
        <v>182336</v>
      </c>
      <c r="BX242" s="46">
        <f t="shared" si="285"/>
        <v>29723</v>
      </c>
      <c r="BY242" s="46">
        <f t="shared" si="286"/>
        <v>-15179</v>
      </c>
      <c r="BZ242" s="46">
        <v>0</v>
      </c>
      <c r="CA242" s="46">
        <f t="shared" si="287"/>
        <v>196880</v>
      </c>
      <c r="CB242" s="46">
        <f t="shared" si="288"/>
        <v>0</v>
      </c>
      <c r="CC242" s="155">
        <f t="shared" si="291"/>
        <v>0</v>
      </c>
      <c r="CD242" s="79" t="s">
        <v>538</v>
      </c>
      <c r="CE242" s="65">
        <f t="shared" si="292"/>
        <v>110330</v>
      </c>
      <c r="CF242" s="65">
        <f t="shared" si="293"/>
        <v>110330</v>
      </c>
      <c r="CG242" s="65">
        <f t="shared" si="294"/>
        <v>104447</v>
      </c>
      <c r="CH242" s="65">
        <f t="shared" si="295"/>
        <v>110330</v>
      </c>
      <c r="CI242" s="65">
        <f t="shared" si="296"/>
        <v>316986</v>
      </c>
      <c r="CJ242" s="65">
        <f t="shared" si="297"/>
        <v>113487</v>
      </c>
      <c r="CK242" s="65">
        <f t="shared" si="298"/>
        <v>193726</v>
      </c>
      <c r="CL242" s="65">
        <f t="shared" si="299"/>
        <v>110330</v>
      </c>
      <c r="CM242" s="65">
        <f t="shared" si="300"/>
        <v>126028</v>
      </c>
      <c r="CN242" s="65">
        <f t="shared" si="301"/>
        <v>208809</v>
      </c>
      <c r="CO242" s="65">
        <f t="shared" si="302"/>
        <v>110330</v>
      </c>
      <c r="CP242" s="65">
        <f t="shared" si="303"/>
        <v>196880</v>
      </c>
      <c r="CQ242" s="40" t="s">
        <v>538</v>
      </c>
    </row>
    <row r="243" spans="1:95" ht="3" customHeight="1" x14ac:dyDescent="0.25">
      <c r="A243" s="39">
        <v>1</v>
      </c>
      <c r="B243" s="28">
        <v>11101</v>
      </c>
      <c r="C243" s="28" t="s">
        <v>501</v>
      </c>
      <c r="D243" s="48">
        <f>+DATA!Q241</f>
        <v>8586305.9110000003</v>
      </c>
      <c r="E243" s="48">
        <f t="shared" si="289"/>
        <v>565265</v>
      </c>
      <c r="F243" s="48">
        <f t="shared" si="290"/>
        <v>858631</v>
      </c>
      <c r="G243" s="49">
        <f>VLOOKUP(B243,'CALC MEC ESTAB Y ESTIM M FINAL'!$B$7:$F$352,5,0)</f>
        <v>3.7174535196000001E-3</v>
      </c>
      <c r="H243" s="49">
        <f>VLOOKUP(B243,'CALC MEC ESTAB Y ESTIM M FINAL'!$B$7:$R$352,17,0)</f>
        <v>3.8766665299999999E-4</v>
      </c>
      <c r="I243" s="46">
        <f t="shared" si="229"/>
        <v>338476</v>
      </c>
      <c r="J243" s="46">
        <f t="shared" si="230"/>
        <v>0</v>
      </c>
      <c r="K243" s="46">
        <f t="shared" si="231"/>
        <v>226789</v>
      </c>
      <c r="L243" s="46">
        <v>0</v>
      </c>
      <c r="M243" s="46">
        <f t="shared" si="232"/>
        <v>565265</v>
      </c>
      <c r="N243" s="46">
        <f t="shared" si="233"/>
        <v>226789</v>
      </c>
      <c r="O243" s="46">
        <f t="shared" si="234"/>
        <v>179990</v>
      </c>
      <c r="P243" s="46">
        <f t="shared" si="235"/>
        <v>0</v>
      </c>
      <c r="Q243" s="46">
        <f t="shared" si="236"/>
        <v>385275</v>
      </c>
      <c r="R243" s="46">
        <v>0</v>
      </c>
      <c r="S243" s="46">
        <f t="shared" si="237"/>
        <v>565265</v>
      </c>
      <c r="T243" s="46">
        <f t="shared" si="238"/>
        <v>612064</v>
      </c>
      <c r="U243" s="46">
        <f t="shared" si="239"/>
        <v>513471</v>
      </c>
      <c r="V243" s="46">
        <f t="shared" si="240"/>
        <v>0</v>
      </c>
      <c r="W243" s="46">
        <f t="shared" si="241"/>
        <v>0</v>
      </c>
      <c r="X243" s="46">
        <v>0</v>
      </c>
      <c r="Y243" s="46">
        <f t="shared" si="242"/>
        <v>513471</v>
      </c>
      <c r="Z243" s="46">
        <f t="shared" si="243"/>
        <v>612064</v>
      </c>
      <c r="AA243" s="46">
        <f t="shared" si="244"/>
        <v>272645</v>
      </c>
      <c r="AB243" s="46">
        <f t="shared" si="245"/>
        <v>0</v>
      </c>
      <c r="AC243" s="46">
        <f t="shared" si="246"/>
        <v>292620</v>
      </c>
      <c r="AD243" s="46">
        <v>0</v>
      </c>
      <c r="AE243" s="46">
        <f t="shared" si="247"/>
        <v>565265</v>
      </c>
      <c r="AF243" s="46">
        <f t="shared" si="248"/>
        <v>904684</v>
      </c>
      <c r="AG243" s="46">
        <f t="shared" si="249"/>
        <v>2372524</v>
      </c>
      <c r="AH243" s="46">
        <f t="shared" si="250"/>
        <v>21898</v>
      </c>
      <c r="AI243" s="46">
        <f t="shared" si="251"/>
        <v>-904684</v>
      </c>
      <c r="AJ243" s="46">
        <v>0</v>
      </c>
      <c r="AK243" s="46">
        <f t="shared" si="252"/>
        <v>1489738</v>
      </c>
      <c r="AL243" s="46">
        <f t="shared" si="253"/>
        <v>0</v>
      </c>
      <c r="AM243" s="46">
        <f t="shared" si="254"/>
        <v>469936</v>
      </c>
      <c r="AN243" s="46">
        <f t="shared" si="255"/>
        <v>15519</v>
      </c>
      <c r="AO243" s="46">
        <f t="shared" si="256"/>
        <v>95329</v>
      </c>
      <c r="AP243" s="46">
        <v>0</v>
      </c>
      <c r="AQ243" s="46">
        <f t="shared" si="257"/>
        <v>580784</v>
      </c>
      <c r="AR243" s="46">
        <f t="shared" si="258"/>
        <v>95329</v>
      </c>
      <c r="AS243" s="46">
        <f t="shared" si="259"/>
        <v>934150</v>
      </c>
      <c r="AT243" s="46">
        <f t="shared" si="260"/>
        <v>90689</v>
      </c>
      <c r="AU243" s="46">
        <f t="shared" si="261"/>
        <v>-75519</v>
      </c>
      <c r="AV243" s="46">
        <v>0</v>
      </c>
      <c r="AW243" s="46">
        <f t="shared" si="262"/>
        <v>949320</v>
      </c>
      <c r="AX243" s="46">
        <f t="shared" si="263"/>
        <v>19810</v>
      </c>
      <c r="AY243" s="46">
        <f t="shared" si="264"/>
        <v>308564</v>
      </c>
      <c r="AZ243" s="46">
        <f t="shared" si="265"/>
        <v>0</v>
      </c>
      <c r="BA243" s="46">
        <f t="shared" si="266"/>
        <v>256701</v>
      </c>
      <c r="BB243" s="46"/>
      <c r="BC243" s="46">
        <f t="shared" si="267"/>
        <v>565265</v>
      </c>
      <c r="BD243" s="46">
        <f t="shared" si="268"/>
        <v>276511</v>
      </c>
      <c r="BE243" s="46">
        <f t="shared" si="269"/>
        <v>597339</v>
      </c>
      <c r="BF243" s="46">
        <f t="shared" si="270"/>
        <v>22232</v>
      </c>
      <c r="BG243" s="46">
        <f t="shared" si="271"/>
        <v>0</v>
      </c>
      <c r="BH243" s="46">
        <v>0</v>
      </c>
      <c r="BI243" s="46">
        <f t="shared" si="272"/>
        <v>619571</v>
      </c>
      <c r="BJ243" s="46">
        <f t="shared" si="273"/>
        <v>276511</v>
      </c>
      <c r="BK243" s="46">
        <f t="shared" si="274"/>
        <v>1260359</v>
      </c>
      <c r="BL243" s="46">
        <f t="shared" si="275"/>
        <v>0</v>
      </c>
      <c r="BM243" s="46">
        <f t="shared" si="276"/>
        <v>-276511</v>
      </c>
      <c r="BN243" s="46">
        <v>0</v>
      </c>
      <c r="BO243" s="46">
        <f t="shared" si="277"/>
        <v>983848</v>
      </c>
      <c r="BP243" s="46">
        <f t="shared" si="278"/>
        <v>0</v>
      </c>
      <c r="BQ243" s="46">
        <f t="shared" si="279"/>
        <v>467773</v>
      </c>
      <c r="BR243" s="46">
        <f t="shared" si="280"/>
        <v>0</v>
      </c>
      <c r="BS243" s="46">
        <f t="shared" si="281"/>
        <v>97492</v>
      </c>
      <c r="BT243" s="46">
        <v>0</v>
      </c>
      <c r="BU243" s="46">
        <f t="shared" si="282"/>
        <v>565265</v>
      </c>
      <c r="BV243" s="46">
        <f t="shared" si="283"/>
        <v>97492</v>
      </c>
      <c r="BW243" s="46">
        <f t="shared" si="284"/>
        <v>896383</v>
      </c>
      <c r="BX243" s="46">
        <f t="shared" si="285"/>
        <v>146120</v>
      </c>
      <c r="BY243" s="46">
        <f t="shared" si="286"/>
        <v>-97492</v>
      </c>
      <c r="BZ243" s="46">
        <v>0</v>
      </c>
      <c r="CA243" s="46">
        <f t="shared" si="287"/>
        <v>945011</v>
      </c>
      <c r="CB243" s="46">
        <f t="shared" si="288"/>
        <v>0</v>
      </c>
      <c r="CC243" s="155">
        <f t="shared" si="291"/>
        <v>0</v>
      </c>
      <c r="CD243" s="79" t="s">
        <v>538</v>
      </c>
      <c r="CE243" s="65">
        <f t="shared" si="292"/>
        <v>565265</v>
      </c>
      <c r="CF243" s="65">
        <f t="shared" si="293"/>
        <v>565265</v>
      </c>
      <c r="CG243" s="65">
        <f t="shared" si="294"/>
        <v>513471</v>
      </c>
      <c r="CH243" s="65">
        <f t="shared" si="295"/>
        <v>565265</v>
      </c>
      <c r="CI243" s="65">
        <f t="shared" si="296"/>
        <v>1489738</v>
      </c>
      <c r="CJ243" s="65">
        <f t="shared" si="297"/>
        <v>580784</v>
      </c>
      <c r="CK243" s="65">
        <f t="shared" si="298"/>
        <v>949320</v>
      </c>
      <c r="CL243" s="65">
        <f t="shared" si="299"/>
        <v>565265</v>
      </c>
      <c r="CM243" s="65">
        <f t="shared" si="300"/>
        <v>619571</v>
      </c>
      <c r="CN243" s="65">
        <f t="shared" si="301"/>
        <v>983848</v>
      </c>
      <c r="CO243" s="65">
        <f t="shared" si="302"/>
        <v>565265</v>
      </c>
      <c r="CP243" s="65">
        <f t="shared" si="303"/>
        <v>945011</v>
      </c>
      <c r="CQ243" s="40" t="s">
        <v>538</v>
      </c>
    </row>
    <row r="244" spans="1:95" ht="3" customHeight="1" x14ac:dyDescent="0.25">
      <c r="A244" s="39">
        <v>1</v>
      </c>
      <c r="B244" s="28">
        <v>11102</v>
      </c>
      <c r="C244" s="28" t="s">
        <v>265</v>
      </c>
      <c r="D244" s="48">
        <f>+DATA!Q242</f>
        <v>1474381.0109999999</v>
      </c>
      <c r="E244" s="48">
        <f t="shared" si="289"/>
        <v>97063</v>
      </c>
      <c r="F244" s="48">
        <f t="shared" si="290"/>
        <v>147438</v>
      </c>
      <c r="G244" s="49">
        <f>VLOOKUP(B244,'CALC MEC ESTAB Y ESTIM M FINAL'!$B$7:$F$352,5,0)</f>
        <v>7.6633354040000004E-4</v>
      </c>
      <c r="H244" s="49">
        <f>VLOOKUP(B244,'CALC MEC ESTAB Y ESTIM M FINAL'!$B$7:$R$352,17,0)</f>
        <v>-3.3548583899999997E-5</v>
      </c>
      <c r="I244" s="46">
        <f t="shared" si="229"/>
        <v>60420</v>
      </c>
      <c r="J244" s="46">
        <f t="shared" si="230"/>
        <v>0</v>
      </c>
      <c r="K244" s="46">
        <f t="shared" si="231"/>
        <v>36643</v>
      </c>
      <c r="L244" s="46">
        <v>0</v>
      </c>
      <c r="M244" s="46">
        <f t="shared" si="232"/>
        <v>97063</v>
      </c>
      <c r="N244" s="46">
        <f t="shared" si="233"/>
        <v>36643</v>
      </c>
      <c r="O244" s="46">
        <f t="shared" si="234"/>
        <v>32129</v>
      </c>
      <c r="P244" s="46">
        <f t="shared" si="235"/>
        <v>0</v>
      </c>
      <c r="Q244" s="46">
        <f t="shared" si="236"/>
        <v>64934</v>
      </c>
      <c r="R244" s="46">
        <v>0</v>
      </c>
      <c r="S244" s="46">
        <f t="shared" si="237"/>
        <v>97063</v>
      </c>
      <c r="T244" s="46">
        <f t="shared" si="238"/>
        <v>101577</v>
      </c>
      <c r="U244" s="46">
        <f t="shared" si="239"/>
        <v>91657</v>
      </c>
      <c r="V244" s="46">
        <f t="shared" si="240"/>
        <v>0</v>
      </c>
      <c r="W244" s="46">
        <f t="shared" si="241"/>
        <v>0</v>
      </c>
      <c r="X244" s="46">
        <v>0</v>
      </c>
      <c r="Y244" s="46">
        <f t="shared" si="242"/>
        <v>91657</v>
      </c>
      <c r="Z244" s="46">
        <f t="shared" si="243"/>
        <v>101577</v>
      </c>
      <c r="AA244" s="46">
        <f t="shared" si="244"/>
        <v>48669</v>
      </c>
      <c r="AB244" s="46">
        <f t="shared" si="245"/>
        <v>0</v>
      </c>
      <c r="AC244" s="46">
        <f t="shared" si="246"/>
        <v>48394</v>
      </c>
      <c r="AD244" s="46">
        <v>0</v>
      </c>
      <c r="AE244" s="46">
        <f t="shared" si="247"/>
        <v>97063</v>
      </c>
      <c r="AF244" s="46">
        <f t="shared" si="248"/>
        <v>149971</v>
      </c>
      <c r="AG244" s="46">
        <f t="shared" si="249"/>
        <v>423508</v>
      </c>
      <c r="AH244" s="46">
        <f t="shared" si="250"/>
        <v>3909</v>
      </c>
      <c r="AI244" s="46">
        <f t="shared" si="251"/>
        <v>-149971</v>
      </c>
      <c r="AJ244" s="46">
        <v>0</v>
      </c>
      <c r="AK244" s="46">
        <f t="shared" si="252"/>
        <v>277446</v>
      </c>
      <c r="AL244" s="46">
        <f t="shared" si="253"/>
        <v>0</v>
      </c>
      <c r="AM244" s="46">
        <f t="shared" si="254"/>
        <v>83886</v>
      </c>
      <c r="AN244" s="46">
        <f t="shared" si="255"/>
        <v>2770</v>
      </c>
      <c r="AO244" s="46">
        <f t="shared" si="256"/>
        <v>13177</v>
      </c>
      <c r="AP244" s="46">
        <v>0</v>
      </c>
      <c r="AQ244" s="46">
        <f t="shared" si="257"/>
        <v>99833</v>
      </c>
      <c r="AR244" s="46">
        <f t="shared" si="258"/>
        <v>13177</v>
      </c>
      <c r="AS244" s="46">
        <f t="shared" si="259"/>
        <v>166751</v>
      </c>
      <c r="AT244" s="46">
        <f t="shared" si="260"/>
        <v>16188</v>
      </c>
      <c r="AU244" s="46">
        <f t="shared" si="261"/>
        <v>-13177</v>
      </c>
      <c r="AV244" s="46">
        <v>0</v>
      </c>
      <c r="AW244" s="46">
        <f t="shared" si="262"/>
        <v>169762</v>
      </c>
      <c r="AX244" s="46">
        <f t="shared" si="263"/>
        <v>0</v>
      </c>
      <c r="AY244" s="46">
        <f t="shared" si="264"/>
        <v>55080</v>
      </c>
      <c r="AZ244" s="46">
        <f t="shared" si="265"/>
        <v>0</v>
      </c>
      <c r="BA244" s="46">
        <f t="shared" si="266"/>
        <v>41983</v>
      </c>
      <c r="BB244" s="46"/>
      <c r="BC244" s="46">
        <f t="shared" si="267"/>
        <v>97063</v>
      </c>
      <c r="BD244" s="46">
        <f t="shared" si="268"/>
        <v>41983</v>
      </c>
      <c r="BE244" s="46">
        <f t="shared" si="269"/>
        <v>106628</v>
      </c>
      <c r="BF244" s="46">
        <f t="shared" si="270"/>
        <v>3969</v>
      </c>
      <c r="BG244" s="46">
        <f t="shared" si="271"/>
        <v>0</v>
      </c>
      <c r="BH244" s="46">
        <v>0</v>
      </c>
      <c r="BI244" s="46">
        <f t="shared" si="272"/>
        <v>110597</v>
      </c>
      <c r="BJ244" s="46">
        <f t="shared" si="273"/>
        <v>41983</v>
      </c>
      <c r="BK244" s="46">
        <f t="shared" si="274"/>
        <v>224981</v>
      </c>
      <c r="BL244" s="46">
        <f t="shared" si="275"/>
        <v>0</v>
      </c>
      <c r="BM244" s="46">
        <f t="shared" si="276"/>
        <v>-41983</v>
      </c>
      <c r="BN244" s="46">
        <v>0</v>
      </c>
      <c r="BO244" s="46">
        <f t="shared" si="277"/>
        <v>182998</v>
      </c>
      <c r="BP244" s="46">
        <f t="shared" si="278"/>
        <v>0</v>
      </c>
      <c r="BQ244" s="46">
        <f t="shared" si="279"/>
        <v>83500</v>
      </c>
      <c r="BR244" s="46">
        <f t="shared" si="280"/>
        <v>0</v>
      </c>
      <c r="BS244" s="46">
        <f t="shared" si="281"/>
        <v>13563</v>
      </c>
      <c r="BT244" s="46">
        <v>0</v>
      </c>
      <c r="BU244" s="46">
        <f t="shared" si="282"/>
        <v>97063</v>
      </c>
      <c r="BV244" s="46">
        <f t="shared" si="283"/>
        <v>13563</v>
      </c>
      <c r="BW244" s="46">
        <f t="shared" si="284"/>
        <v>160009</v>
      </c>
      <c r="BX244" s="46">
        <f t="shared" si="285"/>
        <v>26083</v>
      </c>
      <c r="BY244" s="46">
        <f t="shared" si="286"/>
        <v>-13563</v>
      </c>
      <c r="BZ244" s="46">
        <v>0</v>
      </c>
      <c r="CA244" s="46">
        <f t="shared" si="287"/>
        <v>172529</v>
      </c>
      <c r="CB244" s="46">
        <f t="shared" si="288"/>
        <v>0</v>
      </c>
      <c r="CC244" s="155">
        <f t="shared" si="291"/>
        <v>0</v>
      </c>
      <c r="CD244" s="79" t="s">
        <v>538</v>
      </c>
      <c r="CE244" s="65">
        <f t="shared" si="292"/>
        <v>97063</v>
      </c>
      <c r="CF244" s="65">
        <f t="shared" si="293"/>
        <v>97063</v>
      </c>
      <c r="CG244" s="65">
        <f t="shared" si="294"/>
        <v>91657</v>
      </c>
      <c r="CH244" s="65">
        <f t="shared" si="295"/>
        <v>97063</v>
      </c>
      <c r="CI244" s="65">
        <f t="shared" si="296"/>
        <v>277446</v>
      </c>
      <c r="CJ244" s="65">
        <f t="shared" si="297"/>
        <v>99833</v>
      </c>
      <c r="CK244" s="65">
        <f t="shared" si="298"/>
        <v>169762</v>
      </c>
      <c r="CL244" s="65">
        <f t="shared" si="299"/>
        <v>97063</v>
      </c>
      <c r="CM244" s="65">
        <f t="shared" si="300"/>
        <v>110597</v>
      </c>
      <c r="CN244" s="65">
        <f t="shared" si="301"/>
        <v>182998</v>
      </c>
      <c r="CO244" s="65">
        <f t="shared" si="302"/>
        <v>97063</v>
      </c>
      <c r="CP244" s="65">
        <f t="shared" si="303"/>
        <v>172529</v>
      </c>
      <c r="CQ244" s="40" t="s">
        <v>538</v>
      </c>
    </row>
    <row r="245" spans="1:95" ht="3" customHeight="1" x14ac:dyDescent="0.25">
      <c r="A245" s="39">
        <v>1</v>
      </c>
      <c r="B245" s="28">
        <v>11201</v>
      </c>
      <c r="C245" s="28" t="s">
        <v>502</v>
      </c>
      <c r="D245" s="48">
        <f>+DATA!Q243</f>
        <v>4935093.1780000003</v>
      </c>
      <c r="E245" s="48">
        <f t="shared" si="289"/>
        <v>324894</v>
      </c>
      <c r="F245" s="48">
        <f t="shared" si="290"/>
        <v>493509</v>
      </c>
      <c r="G245" s="49">
        <f>VLOOKUP(B245,'CALC MEC ESTAB Y ESTIM M FINAL'!$B$7:$F$352,5,0)</f>
        <v>2.0030663056000001E-3</v>
      </c>
      <c r="H245" s="49">
        <f>VLOOKUP(B245,'CALC MEC ESTAB Y ESTIM M FINAL'!$B$7:$R$352,17,0)</f>
        <v>3.5640600899999999E-4</v>
      </c>
      <c r="I245" s="46">
        <f t="shared" si="229"/>
        <v>194544</v>
      </c>
      <c r="J245" s="46">
        <f t="shared" si="230"/>
        <v>0</v>
      </c>
      <c r="K245" s="46">
        <f t="shared" si="231"/>
        <v>130350</v>
      </c>
      <c r="L245" s="46">
        <v>0</v>
      </c>
      <c r="M245" s="46">
        <f t="shared" si="232"/>
        <v>324894</v>
      </c>
      <c r="N245" s="46">
        <f t="shared" si="233"/>
        <v>130350</v>
      </c>
      <c r="O245" s="46">
        <f t="shared" si="234"/>
        <v>103452</v>
      </c>
      <c r="P245" s="46">
        <f t="shared" si="235"/>
        <v>0</v>
      </c>
      <c r="Q245" s="46">
        <f t="shared" si="236"/>
        <v>221442</v>
      </c>
      <c r="R245" s="46">
        <v>0</v>
      </c>
      <c r="S245" s="46">
        <f t="shared" si="237"/>
        <v>324894</v>
      </c>
      <c r="T245" s="46">
        <f t="shared" si="238"/>
        <v>351792</v>
      </c>
      <c r="U245" s="46">
        <f t="shared" si="239"/>
        <v>295124</v>
      </c>
      <c r="V245" s="46">
        <f t="shared" si="240"/>
        <v>0</v>
      </c>
      <c r="W245" s="46">
        <f t="shared" si="241"/>
        <v>0</v>
      </c>
      <c r="X245" s="46">
        <v>0</v>
      </c>
      <c r="Y245" s="46">
        <f t="shared" si="242"/>
        <v>295124</v>
      </c>
      <c r="Z245" s="46">
        <f t="shared" si="243"/>
        <v>351792</v>
      </c>
      <c r="AA245" s="46">
        <f t="shared" si="244"/>
        <v>156706</v>
      </c>
      <c r="AB245" s="46">
        <f t="shared" si="245"/>
        <v>0</v>
      </c>
      <c r="AC245" s="46">
        <f t="shared" si="246"/>
        <v>168188</v>
      </c>
      <c r="AD245" s="46">
        <v>0</v>
      </c>
      <c r="AE245" s="46">
        <f t="shared" si="247"/>
        <v>324894</v>
      </c>
      <c r="AF245" s="46">
        <f t="shared" si="248"/>
        <v>519980</v>
      </c>
      <c r="AG245" s="46">
        <f t="shared" si="249"/>
        <v>1363640</v>
      </c>
      <c r="AH245" s="46">
        <f t="shared" si="250"/>
        <v>12586</v>
      </c>
      <c r="AI245" s="46">
        <f t="shared" si="251"/>
        <v>-519980</v>
      </c>
      <c r="AJ245" s="46">
        <v>0</v>
      </c>
      <c r="AK245" s="46">
        <f t="shared" si="252"/>
        <v>856246</v>
      </c>
      <c r="AL245" s="46">
        <f t="shared" si="253"/>
        <v>0</v>
      </c>
      <c r="AM245" s="46">
        <f t="shared" si="254"/>
        <v>270102</v>
      </c>
      <c r="AN245" s="46">
        <f t="shared" si="255"/>
        <v>8920</v>
      </c>
      <c r="AO245" s="46">
        <f t="shared" si="256"/>
        <v>54792</v>
      </c>
      <c r="AP245" s="46">
        <v>0</v>
      </c>
      <c r="AQ245" s="46">
        <f t="shared" si="257"/>
        <v>333814</v>
      </c>
      <c r="AR245" s="46">
        <f t="shared" si="258"/>
        <v>54792</v>
      </c>
      <c r="AS245" s="46">
        <f t="shared" si="259"/>
        <v>536915</v>
      </c>
      <c r="AT245" s="46">
        <f t="shared" si="260"/>
        <v>52125</v>
      </c>
      <c r="AU245" s="46">
        <f t="shared" si="261"/>
        <v>-43406</v>
      </c>
      <c r="AV245" s="46">
        <v>0</v>
      </c>
      <c r="AW245" s="46">
        <f t="shared" si="262"/>
        <v>545634</v>
      </c>
      <c r="AX245" s="46">
        <f t="shared" si="263"/>
        <v>11386</v>
      </c>
      <c r="AY245" s="46">
        <f t="shared" si="264"/>
        <v>177351</v>
      </c>
      <c r="AZ245" s="46">
        <f t="shared" si="265"/>
        <v>0</v>
      </c>
      <c r="BA245" s="46">
        <f t="shared" si="266"/>
        <v>147543</v>
      </c>
      <c r="BB245" s="46"/>
      <c r="BC245" s="46">
        <f t="shared" si="267"/>
        <v>324894</v>
      </c>
      <c r="BD245" s="46">
        <f t="shared" si="268"/>
        <v>158929</v>
      </c>
      <c r="BE245" s="46">
        <f t="shared" si="269"/>
        <v>343328</v>
      </c>
      <c r="BF245" s="46">
        <f t="shared" si="270"/>
        <v>12778</v>
      </c>
      <c r="BG245" s="46">
        <f t="shared" si="271"/>
        <v>0</v>
      </c>
      <c r="BH245" s="46">
        <v>0</v>
      </c>
      <c r="BI245" s="46">
        <f t="shared" si="272"/>
        <v>356106</v>
      </c>
      <c r="BJ245" s="46">
        <f t="shared" si="273"/>
        <v>158929</v>
      </c>
      <c r="BK245" s="46">
        <f t="shared" si="274"/>
        <v>724408</v>
      </c>
      <c r="BL245" s="46">
        <f t="shared" si="275"/>
        <v>0</v>
      </c>
      <c r="BM245" s="46">
        <f t="shared" si="276"/>
        <v>-158929</v>
      </c>
      <c r="BN245" s="46">
        <v>0</v>
      </c>
      <c r="BO245" s="46">
        <f t="shared" si="277"/>
        <v>565479</v>
      </c>
      <c r="BP245" s="46">
        <f t="shared" si="278"/>
        <v>0</v>
      </c>
      <c r="BQ245" s="46">
        <f t="shared" si="279"/>
        <v>268859</v>
      </c>
      <c r="BR245" s="46">
        <f t="shared" si="280"/>
        <v>0</v>
      </c>
      <c r="BS245" s="46">
        <f t="shared" si="281"/>
        <v>56035</v>
      </c>
      <c r="BT245" s="46">
        <v>0</v>
      </c>
      <c r="BU245" s="46">
        <f t="shared" si="282"/>
        <v>324894</v>
      </c>
      <c r="BV245" s="46">
        <f t="shared" si="283"/>
        <v>56035</v>
      </c>
      <c r="BW245" s="46">
        <f t="shared" si="284"/>
        <v>515208</v>
      </c>
      <c r="BX245" s="46">
        <f t="shared" si="285"/>
        <v>83984</v>
      </c>
      <c r="BY245" s="46">
        <f t="shared" si="286"/>
        <v>-56035</v>
      </c>
      <c r="BZ245" s="46">
        <v>0</v>
      </c>
      <c r="CA245" s="46">
        <f t="shared" si="287"/>
        <v>543157</v>
      </c>
      <c r="CB245" s="46">
        <f t="shared" si="288"/>
        <v>0</v>
      </c>
      <c r="CC245" s="155">
        <f t="shared" si="291"/>
        <v>0</v>
      </c>
      <c r="CD245" s="79" t="s">
        <v>538</v>
      </c>
      <c r="CE245" s="65">
        <f t="shared" si="292"/>
        <v>324894</v>
      </c>
      <c r="CF245" s="65">
        <f t="shared" si="293"/>
        <v>324894</v>
      </c>
      <c r="CG245" s="65">
        <f t="shared" si="294"/>
        <v>295124</v>
      </c>
      <c r="CH245" s="65">
        <f t="shared" si="295"/>
        <v>324894</v>
      </c>
      <c r="CI245" s="65">
        <f t="shared" si="296"/>
        <v>856246</v>
      </c>
      <c r="CJ245" s="65">
        <f t="shared" si="297"/>
        <v>333814</v>
      </c>
      <c r="CK245" s="65">
        <f t="shared" si="298"/>
        <v>545634</v>
      </c>
      <c r="CL245" s="65">
        <f t="shared" si="299"/>
        <v>324894</v>
      </c>
      <c r="CM245" s="65">
        <f t="shared" si="300"/>
        <v>356106</v>
      </c>
      <c r="CN245" s="65">
        <f t="shared" si="301"/>
        <v>565479</v>
      </c>
      <c r="CO245" s="65">
        <f t="shared" si="302"/>
        <v>324894</v>
      </c>
      <c r="CP245" s="65">
        <f t="shared" si="303"/>
        <v>543157</v>
      </c>
      <c r="CQ245" s="40" t="s">
        <v>538</v>
      </c>
    </row>
    <row r="246" spans="1:95" ht="3" customHeight="1" x14ac:dyDescent="0.25">
      <c r="A246" s="39">
        <v>1</v>
      </c>
      <c r="B246" s="28">
        <v>11202</v>
      </c>
      <c r="C246" s="28" t="s">
        <v>260</v>
      </c>
      <c r="D246" s="48">
        <f>+DATA!Q244</f>
        <v>1850891.0789999999</v>
      </c>
      <c r="E246" s="48">
        <f t="shared" si="289"/>
        <v>121850</v>
      </c>
      <c r="F246" s="48">
        <f t="shared" si="290"/>
        <v>185089</v>
      </c>
      <c r="G246" s="49">
        <f>VLOOKUP(B246,'CALC MEC ESTAB Y ESTIM M FINAL'!$B$7:$F$352,5,0)</f>
        <v>9.4235666410000002E-4</v>
      </c>
      <c r="H246" s="49">
        <f>VLOOKUP(B246,'CALC MEC ESTAB Y ESTIM M FINAL'!$B$7:$R$352,17,0)</f>
        <v>-3.13346303E-5</v>
      </c>
      <c r="I246" s="46">
        <f t="shared" si="229"/>
        <v>75116</v>
      </c>
      <c r="J246" s="46">
        <f t="shared" si="230"/>
        <v>0</v>
      </c>
      <c r="K246" s="46">
        <f t="shared" si="231"/>
        <v>46734</v>
      </c>
      <c r="L246" s="46">
        <v>0</v>
      </c>
      <c r="M246" s="46">
        <f t="shared" si="232"/>
        <v>121850</v>
      </c>
      <c r="N246" s="46">
        <f t="shared" si="233"/>
        <v>46734</v>
      </c>
      <c r="O246" s="46">
        <f t="shared" si="234"/>
        <v>39944</v>
      </c>
      <c r="P246" s="46">
        <f t="shared" si="235"/>
        <v>0</v>
      </c>
      <c r="Q246" s="46">
        <f t="shared" si="236"/>
        <v>81906</v>
      </c>
      <c r="R246" s="46">
        <v>0</v>
      </c>
      <c r="S246" s="46">
        <f t="shared" si="237"/>
        <v>121850</v>
      </c>
      <c r="T246" s="46">
        <f t="shared" si="238"/>
        <v>128640</v>
      </c>
      <c r="U246" s="46">
        <f t="shared" si="239"/>
        <v>113951</v>
      </c>
      <c r="V246" s="46">
        <f t="shared" si="240"/>
        <v>0</v>
      </c>
      <c r="W246" s="46">
        <f t="shared" si="241"/>
        <v>0</v>
      </c>
      <c r="X246" s="46">
        <v>0</v>
      </c>
      <c r="Y246" s="46">
        <f t="shared" si="242"/>
        <v>113951</v>
      </c>
      <c r="Z246" s="46">
        <f t="shared" si="243"/>
        <v>128640</v>
      </c>
      <c r="AA246" s="46">
        <f t="shared" si="244"/>
        <v>60506</v>
      </c>
      <c r="AB246" s="46">
        <f t="shared" si="245"/>
        <v>0</v>
      </c>
      <c r="AC246" s="46">
        <f t="shared" si="246"/>
        <v>61344</v>
      </c>
      <c r="AD246" s="46">
        <v>0</v>
      </c>
      <c r="AE246" s="46">
        <f t="shared" si="247"/>
        <v>121850</v>
      </c>
      <c r="AF246" s="46">
        <f t="shared" si="248"/>
        <v>189984</v>
      </c>
      <c r="AG246" s="46">
        <f t="shared" si="249"/>
        <v>526518</v>
      </c>
      <c r="AH246" s="46">
        <f t="shared" si="250"/>
        <v>4860</v>
      </c>
      <c r="AI246" s="46">
        <f t="shared" si="251"/>
        <v>-189984</v>
      </c>
      <c r="AJ246" s="46">
        <v>0</v>
      </c>
      <c r="AK246" s="46">
        <f t="shared" si="252"/>
        <v>341394</v>
      </c>
      <c r="AL246" s="46">
        <f t="shared" si="253"/>
        <v>0</v>
      </c>
      <c r="AM246" s="46">
        <f t="shared" si="254"/>
        <v>104290</v>
      </c>
      <c r="AN246" s="46">
        <f t="shared" si="255"/>
        <v>3444</v>
      </c>
      <c r="AO246" s="46">
        <f t="shared" si="256"/>
        <v>17560</v>
      </c>
      <c r="AP246" s="46">
        <v>0</v>
      </c>
      <c r="AQ246" s="46">
        <f t="shared" si="257"/>
        <v>125294</v>
      </c>
      <c r="AR246" s="46">
        <f t="shared" si="258"/>
        <v>17560</v>
      </c>
      <c r="AS246" s="46">
        <f t="shared" si="259"/>
        <v>207310</v>
      </c>
      <c r="AT246" s="46">
        <f t="shared" si="260"/>
        <v>20126</v>
      </c>
      <c r="AU246" s="46">
        <f t="shared" si="261"/>
        <v>-17560</v>
      </c>
      <c r="AV246" s="46">
        <v>0</v>
      </c>
      <c r="AW246" s="46">
        <f t="shared" si="262"/>
        <v>209876</v>
      </c>
      <c r="AX246" s="46">
        <f t="shared" si="263"/>
        <v>0</v>
      </c>
      <c r="AY246" s="46">
        <f t="shared" si="264"/>
        <v>68478</v>
      </c>
      <c r="AZ246" s="46">
        <f t="shared" si="265"/>
        <v>0</v>
      </c>
      <c r="BA246" s="46">
        <f t="shared" si="266"/>
        <v>53372</v>
      </c>
      <c r="BB246" s="46"/>
      <c r="BC246" s="46">
        <f t="shared" si="267"/>
        <v>121850</v>
      </c>
      <c r="BD246" s="46">
        <f t="shared" si="268"/>
        <v>53372</v>
      </c>
      <c r="BE246" s="46">
        <f t="shared" si="269"/>
        <v>132563</v>
      </c>
      <c r="BF246" s="46">
        <f t="shared" si="270"/>
        <v>4934</v>
      </c>
      <c r="BG246" s="46">
        <f t="shared" si="271"/>
        <v>0</v>
      </c>
      <c r="BH246" s="46">
        <v>0</v>
      </c>
      <c r="BI246" s="46">
        <f t="shared" si="272"/>
        <v>137497</v>
      </c>
      <c r="BJ246" s="46">
        <f t="shared" si="273"/>
        <v>53372</v>
      </c>
      <c r="BK246" s="46">
        <f t="shared" si="274"/>
        <v>279703</v>
      </c>
      <c r="BL246" s="46">
        <f t="shared" si="275"/>
        <v>0</v>
      </c>
      <c r="BM246" s="46">
        <f t="shared" si="276"/>
        <v>-53372</v>
      </c>
      <c r="BN246" s="46">
        <v>0</v>
      </c>
      <c r="BO246" s="46">
        <f t="shared" si="277"/>
        <v>226331</v>
      </c>
      <c r="BP246" s="46">
        <f t="shared" si="278"/>
        <v>0</v>
      </c>
      <c r="BQ246" s="46">
        <f t="shared" si="279"/>
        <v>103810</v>
      </c>
      <c r="BR246" s="46">
        <f t="shared" si="280"/>
        <v>0</v>
      </c>
      <c r="BS246" s="46">
        <f t="shared" si="281"/>
        <v>18040</v>
      </c>
      <c r="BT246" s="46">
        <v>0</v>
      </c>
      <c r="BU246" s="46">
        <f t="shared" si="282"/>
        <v>121850</v>
      </c>
      <c r="BV246" s="46">
        <f t="shared" si="283"/>
        <v>18040</v>
      </c>
      <c r="BW246" s="46">
        <f t="shared" si="284"/>
        <v>198928</v>
      </c>
      <c r="BX246" s="46">
        <f t="shared" si="285"/>
        <v>32427</v>
      </c>
      <c r="BY246" s="46">
        <f t="shared" si="286"/>
        <v>-18040</v>
      </c>
      <c r="BZ246" s="46">
        <v>0</v>
      </c>
      <c r="CA246" s="46">
        <f t="shared" si="287"/>
        <v>213315</v>
      </c>
      <c r="CB246" s="46">
        <f t="shared" si="288"/>
        <v>0</v>
      </c>
      <c r="CC246" s="155">
        <f t="shared" si="291"/>
        <v>0</v>
      </c>
      <c r="CD246" s="79" t="s">
        <v>538</v>
      </c>
      <c r="CE246" s="65">
        <f t="shared" si="292"/>
        <v>121850</v>
      </c>
      <c r="CF246" s="65">
        <f t="shared" si="293"/>
        <v>121850</v>
      </c>
      <c r="CG246" s="65">
        <f t="shared" si="294"/>
        <v>113951</v>
      </c>
      <c r="CH246" s="65">
        <f t="shared" si="295"/>
        <v>121850</v>
      </c>
      <c r="CI246" s="65">
        <f t="shared" si="296"/>
        <v>341394</v>
      </c>
      <c r="CJ246" s="65">
        <f t="shared" si="297"/>
        <v>125294</v>
      </c>
      <c r="CK246" s="65">
        <f t="shared" si="298"/>
        <v>209876</v>
      </c>
      <c r="CL246" s="65">
        <f t="shared" si="299"/>
        <v>121850</v>
      </c>
      <c r="CM246" s="65">
        <f t="shared" si="300"/>
        <v>137497</v>
      </c>
      <c r="CN246" s="65">
        <f t="shared" si="301"/>
        <v>226331</v>
      </c>
      <c r="CO246" s="65">
        <f t="shared" si="302"/>
        <v>121850</v>
      </c>
      <c r="CP246" s="65">
        <f t="shared" si="303"/>
        <v>213315</v>
      </c>
      <c r="CQ246" s="40" t="s">
        <v>538</v>
      </c>
    </row>
    <row r="247" spans="1:95" ht="3" customHeight="1" x14ac:dyDescent="0.25">
      <c r="A247" s="39">
        <v>1</v>
      </c>
      <c r="B247" s="28">
        <v>11203</v>
      </c>
      <c r="C247" s="28" t="s">
        <v>261</v>
      </c>
      <c r="D247" s="48">
        <f>+DATA!Q245</f>
        <v>1483797.6410000001</v>
      </c>
      <c r="E247" s="48">
        <f t="shared" si="289"/>
        <v>97683</v>
      </c>
      <c r="F247" s="48">
        <f t="shared" si="290"/>
        <v>148380</v>
      </c>
      <c r="G247" s="49">
        <f>VLOOKUP(B247,'CALC MEC ESTAB Y ESTIM M FINAL'!$B$7:$F$352,5,0)</f>
        <v>7.6940630609999999E-4</v>
      </c>
      <c r="H247" s="49">
        <f>VLOOKUP(B247,'CALC MEC ESTAB Y ESTIM M FINAL'!$B$7:$R$352,17,0)</f>
        <v>-3.2735438599999999E-5</v>
      </c>
      <c r="I247" s="46">
        <f t="shared" si="229"/>
        <v>60740</v>
      </c>
      <c r="J247" s="46">
        <f t="shared" si="230"/>
        <v>0</v>
      </c>
      <c r="K247" s="46">
        <f t="shared" si="231"/>
        <v>36943</v>
      </c>
      <c r="L247" s="46">
        <v>0</v>
      </c>
      <c r="M247" s="46">
        <f t="shared" si="232"/>
        <v>97683</v>
      </c>
      <c r="N247" s="46">
        <f t="shared" si="233"/>
        <v>36943</v>
      </c>
      <c r="O247" s="46">
        <f t="shared" si="234"/>
        <v>32300</v>
      </c>
      <c r="P247" s="46">
        <f t="shared" si="235"/>
        <v>0</v>
      </c>
      <c r="Q247" s="46">
        <f t="shared" si="236"/>
        <v>65383</v>
      </c>
      <c r="R247" s="46">
        <v>0</v>
      </c>
      <c r="S247" s="46">
        <f t="shared" si="237"/>
        <v>97683</v>
      </c>
      <c r="T247" s="46">
        <f t="shared" si="238"/>
        <v>102326</v>
      </c>
      <c r="U247" s="46">
        <f t="shared" si="239"/>
        <v>92143</v>
      </c>
      <c r="V247" s="46">
        <f t="shared" si="240"/>
        <v>0</v>
      </c>
      <c r="W247" s="46">
        <f t="shared" si="241"/>
        <v>0</v>
      </c>
      <c r="X247" s="46">
        <v>0</v>
      </c>
      <c r="Y247" s="46">
        <f t="shared" si="242"/>
        <v>92143</v>
      </c>
      <c r="Z247" s="46">
        <f t="shared" si="243"/>
        <v>102326</v>
      </c>
      <c r="AA247" s="46">
        <f t="shared" si="244"/>
        <v>48927</v>
      </c>
      <c r="AB247" s="46">
        <f t="shared" si="245"/>
        <v>0</v>
      </c>
      <c r="AC247" s="46">
        <f t="shared" si="246"/>
        <v>48756</v>
      </c>
      <c r="AD247" s="46">
        <v>0</v>
      </c>
      <c r="AE247" s="46">
        <f t="shared" si="247"/>
        <v>97683</v>
      </c>
      <c r="AF247" s="46">
        <f t="shared" si="248"/>
        <v>151082</v>
      </c>
      <c r="AG247" s="46">
        <f t="shared" si="249"/>
        <v>425754</v>
      </c>
      <c r="AH247" s="46">
        <f t="shared" si="250"/>
        <v>3930</v>
      </c>
      <c r="AI247" s="46">
        <f t="shared" si="251"/>
        <v>-151082</v>
      </c>
      <c r="AJ247" s="46">
        <v>0</v>
      </c>
      <c r="AK247" s="46">
        <f t="shared" si="252"/>
        <v>278602</v>
      </c>
      <c r="AL247" s="46">
        <f t="shared" si="253"/>
        <v>0</v>
      </c>
      <c r="AM247" s="46">
        <f t="shared" si="254"/>
        <v>84331</v>
      </c>
      <c r="AN247" s="46">
        <f t="shared" si="255"/>
        <v>2785</v>
      </c>
      <c r="AO247" s="46">
        <f t="shared" si="256"/>
        <v>13352</v>
      </c>
      <c r="AP247" s="46">
        <v>0</v>
      </c>
      <c r="AQ247" s="46">
        <f t="shared" si="257"/>
        <v>100468</v>
      </c>
      <c r="AR247" s="46">
        <f t="shared" si="258"/>
        <v>13352</v>
      </c>
      <c r="AS247" s="46">
        <f t="shared" si="259"/>
        <v>167635</v>
      </c>
      <c r="AT247" s="46">
        <f t="shared" si="260"/>
        <v>16274</v>
      </c>
      <c r="AU247" s="46">
        <f t="shared" si="261"/>
        <v>-13352</v>
      </c>
      <c r="AV247" s="46">
        <v>0</v>
      </c>
      <c r="AW247" s="46">
        <f t="shared" si="262"/>
        <v>170557</v>
      </c>
      <c r="AX247" s="46">
        <f t="shared" si="263"/>
        <v>0</v>
      </c>
      <c r="AY247" s="46">
        <f t="shared" si="264"/>
        <v>55372</v>
      </c>
      <c r="AZ247" s="46">
        <f t="shared" si="265"/>
        <v>0</v>
      </c>
      <c r="BA247" s="46">
        <f t="shared" si="266"/>
        <v>42311</v>
      </c>
      <c r="BB247" s="46"/>
      <c r="BC247" s="46">
        <f t="shared" si="267"/>
        <v>97683</v>
      </c>
      <c r="BD247" s="46">
        <f t="shared" si="268"/>
        <v>42311</v>
      </c>
      <c r="BE247" s="46">
        <f t="shared" si="269"/>
        <v>107193</v>
      </c>
      <c r="BF247" s="46">
        <f t="shared" si="270"/>
        <v>3990</v>
      </c>
      <c r="BG247" s="46">
        <f t="shared" si="271"/>
        <v>0</v>
      </c>
      <c r="BH247" s="46">
        <v>0</v>
      </c>
      <c r="BI247" s="46">
        <f t="shared" si="272"/>
        <v>111183</v>
      </c>
      <c r="BJ247" s="46">
        <f t="shared" si="273"/>
        <v>42311</v>
      </c>
      <c r="BK247" s="46">
        <f t="shared" si="274"/>
        <v>226174</v>
      </c>
      <c r="BL247" s="46">
        <f t="shared" si="275"/>
        <v>0</v>
      </c>
      <c r="BM247" s="46">
        <f t="shared" si="276"/>
        <v>-42311</v>
      </c>
      <c r="BN247" s="46">
        <v>0</v>
      </c>
      <c r="BO247" s="46">
        <f t="shared" si="277"/>
        <v>183863</v>
      </c>
      <c r="BP247" s="46">
        <f t="shared" si="278"/>
        <v>0</v>
      </c>
      <c r="BQ247" s="46">
        <f t="shared" si="279"/>
        <v>83943</v>
      </c>
      <c r="BR247" s="46">
        <f t="shared" si="280"/>
        <v>0</v>
      </c>
      <c r="BS247" s="46">
        <f t="shared" si="281"/>
        <v>13740</v>
      </c>
      <c r="BT247" s="46">
        <v>0</v>
      </c>
      <c r="BU247" s="46">
        <f t="shared" si="282"/>
        <v>97683</v>
      </c>
      <c r="BV247" s="46">
        <f t="shared" si="283"/>
        <v>13740</v>
      </c>
      <c r="BW247" s="46">
        <f t="shared" si="284"/>
        <v>160857</v>
      </c>
      <c r="BX247" s="46">
        <f t="shared" si="285"/>
        <v>26221</v>
      </c>
      <c r="BY247" s="46">
        <f t="shared" si="286"/>
        <v>-13740</v>
      </c>
      <c r="BZ247" s="46">
        <v>0</v>
      </c>
      <c r="CA247" s="46">
        <f t="shared" si="287"/>
        <v>173338</v>
      </c>
      <c r="CB247" s="46">
        <f t="shared" si="288"/>
        <v>0</v>
      </c>
      <c r="CC247" s="155">
        <f t="shared" si="291"/>
        <v>0</v>
      </c>
      <c r="CD247" s="79" t="s">
        <v>538</v>
      </c>
      <c r="CE247" s="65">
        <f t="shared" si="292"/>
        <v>97683</v>
      </c>
      <c r="CF247" s="65">
        <f t="shared" si="293"/>
        <v>97683</v>
      </c>
      <c r="CG247" s="65">
        <f t="shared" si="294"/>
        <v>92143</v>
      </c>
      <c r="CH247" s="65">
        <f t="shared" si="295"/>
        <v>97683</v>
      </c>
      <c r="CI247" s="65">
        <f t="shared" si="296"/>
        <v>278602</v>
      </c>
      <c r="CJ247" s="65">
        <f t="shared" si="297"/>
        <v>100468</v>
      </c>
      <c r="CK247" s="65">
        <f t="shared" si="298"/>
        <v>170557</v>
      </c>
      <c r="CL247" s="65">
        <f t="shared" si="299"/>
        <v>97683</v>
      </c>
      <c r="CM247" s="65">
        <f t="shared" si="300"/>
        <v>111183</v>
      </c>
      <c r="CN247" s="65">
        <f t="shared" si="301"/>
        <v>183863</v>
      </c>
      <c r="CO247" s="65">
        <f t="shared" si="302"/>
        <v>97683</v>
      </c>
      <c r="CP247" s="65">
        <f t="shared" si="303"/>
        <v>173338</v>
      </c>
      <c r="CQ247" s="40" t="s">
        <v>538</v>
      </c>
    </row>
    <row r="248" spans="1:95" ht="3" customHeight="1" x14ac:dyDescent="0.25">
      <c r="A248" s="39">
        <v>1</v>
      </c>
      <c r="B248" s="28">
        <v>11301</v>
      </c>
      <c r="C248" s="28" t="s">
        <v>263</v>
      </c>
      <c r="D248" s="48">
        <f>+DATA!Q246</f>
        <v>1996338.4909999999</v>
      </c>
      <c r="E248" s="48">
        <f t="shared" si="289"/>
        <v>131426</v>
      </c>
      <c r="F248" s="48">
        <f t="shared" si="290"/>
        <v>199634</v>
      </c>
      <c r="G248" s="49">
        <f>VLOOKUP(B248,'CALC MEC ESTAB Y ESTIM M FINAL'!$B$7:$F$352,5,0)</f>
        <v>1.1040507308E-3</v>
      </c>
      <c r="H248" s="49">
        <f>VLOOKUP(B248,'CALC MEC ESTAB Y ESTIM M FINAL'!$B$7:$R$352,17,0)</f>
        <v>-8.1685867599999996E-5</v>
      </c>
      <c r="I248" s="46">
        <f t="shared" si="229"/>
        <v>84296</v>
      </c>
      <c r="J248" s="46">
        <f t="shared" si="230"/>
        <v>0</v>
      </c>
      <c r="K248" s="46">
        <f t="shared" si="231"/>
        <v>47130</v>
      </c>
      <c r="L248" s="46">
        <v>0</v>
      </c>
      <c r="M248" s="46">
        <f t="shared" si="232"/>
        <v>131426</v>
      </c>
      <c r="N248" s="46">
        <f t="shared" si="233"/>
        <v>47130</v>
      </c>
      <c r="O248" s="46">
        <f t="shared" si="234"/>
        <v>44826</v>
      </c>
      <c r="P248" s="46">
        <f t="shared" si="235"/>
        <v>0</v>
      </c>
      <c r="Q248" s="46">
        <f t="shared" si="236"/>
        <v>86600</v>
      </c>
      <c r="R248" s="46">
        <v>0</v>
      </c>
      <c r="S248" s="46">
        <f t="shared" si="237"/>
        <v>131426</v>
      </c>
      <c r="T248" s="46">
        <f t="shared" si="238"/>
        <v>133730</v>
      </c>
      <c r="U248" s="46">
        <f t="shared" si="239"/>
        <v>127878</v>
      </c>
      <c r="V248" s="46">
        <f t="shared" si="240"/>
        <v>0</v>
      </c>
      <c r="W248" s="46">
        <f t="shared" si="241"/>
        <v>0</v>
      </c>
      <c r="X248" s="46">
        <v>0</v>
      </c>
      <c r="Y248" s="46">
        <f t="shared" si="242"/>
        <v>127878</v>
      </c>
      <c r="Z248" s="46">
        <f t="shared" si="243"/>
        <v>133730</v>
      </c>
      <c r="AA248" s="46">
        <f t="shared" si="244"/>
        <v>67901</v>
      </c>
      <c r="AB248" s="46">
        <f t="shared" si="245"/>
        <v>0</v>
      </c>
      <c r="AC248" s="46">
        <f t="shared" si="246"/>
        <v>63525</v>
      </c>
      <c r="AD248" s="46">
        <v>0</v>
      </c>
      <c r="AE248" s="46">
        <f t="shared" si="247"/>
        <v>131426</v>
      </c>
      <c r="AF248" s="46">
        <f t="shared" si="248"/>
        <v>197255</v>
      </c>
      <c r="AG248" s="46">
        <f t="shared" si="249"/>
        <v>590868</v>
      </c>
      <c r="AH248" s="46">
        <f t="shared" si="250"/>
        <v>5454</v>
      </c>
      <c r="AI248" s="46">
        <f t="shared" si="251"/>
        <v>-197255</v>
      </c>
      <c r="AJ248" s="46">
        <v>0</v>
      </c>
      <c r="AK248" s="46">
        <f t="shared" si="252"/>
        <v>399067</v>
      </c>
      <c r="AL248" s="46">
        <f t="shared" si="253"/>
        <v>0</v>
      </c>
      <c r="AM248" s="46">
        <f t="shared" si="254"/>
        <v>117036</v>
      </c>
      <c r="AN248" s="46">
        <f t="shared" si="255"/>
        <v>3865</v>
      </c>
      <c r="AO248" s="46">
        <f t="shared" si="256"/>
        <v>14390</v>
      </c>
      <c r="AP248" s="46">
        <v>0</v>
      </c>
      <c r="AQ248" s="46">
        <f t="shared" si="257"/>
        <v>135291</v>
      </c>
      <c r="AR248" s="46">
        <f t="shared" si="258"/>
        <v>14390</v>
      </c>
      <c r="AS248" s="46">
        <f t="shared" si="259"/>
        <v>232647</v>
      </c>
      <c r="AT248" s="46">
        <f t="shared" si="260"/>
        <v>22586</v>
      </c>
      <c r="AU248" s="46">
        <f t="shared" si="261"/>
        <v>-14390</v>
      </c>
      <c r="AV248" s="46">
        <v>0</v>
      </c>
      <c r="AW248" s="46">
        <f t="shared" si="262"/>
        <v>240843</v>
      </c>
      <c r="AX248" s="46">
        <f t="shared" si="263"/>
        <v>0</v>
      </c>
      <c r="AY248" s="46">
        <f t="shared" si="264"/>
        <v>76847</v>
      </c>
      <c r="AZ248" s="46">
        <f t="shared" si="265"/>
        <v>0</v>
      </c>
      <c r="BA248" s="46">
        <f t="shared" si="266"/>
        <v>54579</v>
      </c>
      <c r="BB248" s="46"/>
      <c r="BC248" s="46">
        <f t="shared" si="267"/>
        <v>131426</v>
      </c>
      <c r="BD248" s="46">
        <f t="shared" si="268"/>
        <v>54579</v>
      </c>
      <c r="BE248" s="46">
        <f t="shared" si="269"/>
        <v>148765</v>
      </c>
      <c r="BF248" s="46">
        <f t="shared" si="270"/>
        <v>5537</v>
      </c>
      <c r="BG248" s="46">
        <f t="shared" si="271"/>
        <v>0</v>
      </c>
      <c r="BH248" s="46">
        <v>0</v>
      </c>
      <c r="BI248" s="46">
        <f t="shared" si="272"/>
        <v>154302</v>
      </c>
      <c r="BJ248" s="46">
        <f t="shared" si="273"/>
        <v>54579</v>
      </c>
      <c r="BK248" s="46">
        <f t="shared" si="274"/>
        <v>313888</v>
      </c>
      <c r="BL248" s="46">
        <f t="shared" si="275"/>
        <v>0</v>
      </c>
      <c r="BM248" s="46">
        <f t="shared" si="276"/>
        <v>-54579</v>
      </c>
      <c r="BN248" s="46">
        <v>0</v>
      </c>
      <c r="BO248" s="46">
        <f t="shared" si="277"/>
        <v>259309</v>
      </c>
      <c r="BP248" s="46">
        <f t="shared" si="278"/>
        <v>0</v>
      </c>
      <c r="BQ248" s="46">
        <f t="shared" si="279"/>
        <v>116497</v>
      </c>
      <c r="BR248" s="46">
        <f t="shared" si="280"/>
        <v>0</v>
      </c>
      <c r="BS248" s="46">
        <f t="shared" si="281"/>
        <v>14929</v>
      </c>
      <c r="BT248" s="46">
        <v>0</v>
      </c>
      <c r="BU248" s="46">
        <f t="shared" si="282"/>
        <v>131426</v>
      </c>
      <c r="BV248" s="46">
        <f t="shared" si="283"/>
        <v>14929</v>
      </c>
      <c r="BW248" s="46">
        <f t="shared" si="284"/>
        <v>223241</v>
      </c>
      <c r="BX248" s="46">
        <f t="shared" si="285"/>
        <v>36391</v>
      </c>
      <c r="BY248" s="46">
        <f t="shared" si="286"/>
        <v>-14929</v>
      </c>
      <c r="BZ248" s="46">
        <v>0</v>
      </c>
      <c r="CA248" s="46">
        <f t="shared" si="287"/>
        <v>244703</v>
      </c>
      <c r="CB248" s="46">
        <f t="shared" si="288"/>
        <v>0</v>
      </c>
      <c r="CC248" s="155">
        <f t="shared" si="291"/>
        <v>0</v>
      </c>
      <c r="CD248" s="79" t="s">
        <v>538</v>
      </c>
      <c r="CE248" s="65">
        <f t="shared" si="292"/>
        <v>131426</v>
      </c>
      <c r="CF248" s="65">
        <f t="shared" si="293"/>
        <v>131426</v>
      </c>
      <c r="CG248" s="65">
        <f t="shared" si="294"/>
        <v>127878</v>
      </c>
      <c r="CH248" s="65">
        <f t="shared" si="295"/>
        <v>131426</v>
      </c>
      <c r="CI248" s="65">
        <f t="shared" si="296"/>
        <v>399067</v>
      </c>
      <c r="CJ248" s="65">
        <f t="shared" si="297"/>
        <v>135291</v>
      </c>
      <c r="CK248" s="65">
        <f t="shared" si="298"/>
        <v>240843</v>
      </c>
      <c r="CL248" s="65">
        <f t="shared" si="299"/>
        <v>131426</v>
      </c>
      <c r="CM248" s="65">
        <f t="shared" si="300"/>
        <v>154302</v>
      </c>
      <c r="CN248" s="65">
        <f t="shared" si="301"/>
        <v>259309</v>
      </c>
      <c r="CO248" s="65">
        <f t="shared" si="302"/>
        <v>131426</v>
      </c>
      <c r="CP248" s="65">
        <f t="shared" si="303"/>
        <v>244703</v>
      </c>
      <c r="CQ248" s="40" t="s">
        <v>538</v>
      </c>
    </row>
    <row r="249" spans="1:95" ht="3" customHeight="1" x14ac:dyDescent="0.25">
      <c r="A249" s="39">
        <v>1</v>
      </c>
      <c r="B249" s="28">
        <v>11302</v>
      </c>
      <c r="C249" s="28" t="s">
        <v>490</v>
      </c>
      <c r="D249" s="48">
        <f>+DATA!Q247</f>
        <v>1566396.139</v>
      </c>
      <c r="E249" s="48">
        <f t="shared" si="289"/>
        <v>103121</v>
      </c>
      <c r="F249" s="48">
        <f t="shared" si="290"/>
        <v>156640</v>
      </c>
      <c r="G249" s="49">
        <f>VLOOKUP(B249,'CALC MEC ESTAB Y ESTIM M FINAL'!$B$7:$F$352,5,0)</f>
        <v>7.457782386E-4</v>
      </c>
      <c r="H249" s="49">
        <f>VLOOKUP(B249,'CALC MEC ESTAB Y ESTIM M FINAL'!$B$7:$R$352,17,0)</f>
        <v>3.2000860000000001E-6</v>
      </c>
      <c r="I249" s="46">
        <f t="shared" si="229"/>
        <v>61755</v>
      </c>
      <c r="J249" s="46">
        <f t="shared" si="230"/>
        <v>0</v>
      </c>
      <c r="K249" s="46">
        <f t="shared" si="231"/>
        <v>41366</v>
      </c>
      <c r="L249" s="46">
        <v>0</v>
      </c>
      <c r="M249" s="46">
        <f t="shared" si="232"/>
        <v>103121</v>
      </c>
      <c r="N249" s="46">
        <f t="shared" si="233"/>
        <v>41366</v>
      </c>
      <c r="O249" s="46">
        <f t="shared" si="234"/>
        <v>32839</v>
      </c>
      <c r="P249" s="46">
        <f t="shared" si="235"/>
        <v>0</v>
      </c>
      <c r="Q249" s="46">
        <f t="shared" si="236"/>
        <v>70282</v>
      </c>
      <c r="R249" s="46">
        <v>0</v>
      </c>
      <c r="S249" s="46">
        <f t="shared" si="237"/>
        <v>103121</v>
      </c>
      <c r="T249" s="46">
        <f t="shared" si="238"/>
        <v>111648</v>
      </c>
      <c r="U249" s="46">
        <f t="shared" si="239"/>
        <v>93683</v>
      </c>
      <c r="V249" s="46">
        <f t="shared" si="240"/>
        <v>0</v>
      </c>
      <c r="W249" s="46">
        <f t="shared" si="241"/>
        <v>0</v>
      </c>
      <c r="X249" s="46">
        <v>0</v>
      </c>
      <c r="Y249" s="46">
        <f t="shared" si="242"/>
        <v>93683</v>
      </c>
      <c r="Z249" s="46">
        <f t="shared" si="243"/>
        <v>111648</v>
      </c>
      <c r="AA249" s="46">
        <f t="shared" si="244"/>
        <v>49744</v>
      </c>
      <c r="AB249" s="46">
        <f t="shared" si="245"/>
        <v>0</v>
      </c>
      <c r="AC249" s="46">
        <f t="shared" si="246"/>
        <v>53377</v>
      </c>
      <c r="AD249" s="46">
        <v>0</v>
      </c>
      <c r="AE249" s="46">
        <f t="shared" si="247"/>
        <v>103121</v>
      </c>
      <c r="AF249" s="46">
        <f t="shared" si="248"/>
        <v>165025</v>
      </c>
      <c r="AG249" s="46">
        <f t="shared" si="249"/>
        <v>432867</v>
      </c>
      <c r="AH249" s="46">
        <f t="shared" si="250"/>
        <v>3995</v>
      </c>
      <c r="AI249" s="46">
        <f t="shared" si="251"/>
        <v>-165025</v>
      </c>
      <c r="AJ249" s="46">
        <v>0</v>
      </c>
      <c r="AK249" s="46">
        <f t="shared" si="252"/>
        <v>271837</v>
      </c>
      <c r="AL249" s="46">
        <f t="shared" si="253"/>
        <v>0</v>
      </c>
      <c r="AM249" s="46">
        <f t="shared" si="254"/>
        <v>85740</v>
      </c>
      <c r="AN249" s="46">
        <f t="shared" si="255"/>
        <v>2831</v>
      </c>
      <c r="AO249" s="46">
        <f t="shared" si="256"/>
        <v>17381</v>
      </c>
      <c r="AP249" s="46">
        <v>0</v>
      </c>
      <c r="AQ249" s="46">
        <f t="shared" si="257"/>
        <v>105952</v>
      </c>
      <c r="AR249" s="46">
        <f t="shared" si="258"/>
        <v>17381</v>
      </c>
      <c r="AS249" s="46">
        <f t="shared" si="259"/>
        <v>170435</v>
      </c>
      <c r="AT249" s="46">
        <f t="shared" si="260"/>
        <v>16546</v>
      </c>
      <c r="AU249" s="46">
        <f t="shared" si="261"/>
        <v>-13795</v>
      </c>
      <c r="AV249" s="46">
        <v>0</v>
      </c>
      <c r="AW249" s="46">
        <f t="shared" si="262"/>
        <v>173186</v>
      </c>
      <c r="AX249" s="46">
        <f t="shared" si="263"/>
        <v>3586</v>
      </c>
      <c r="AY249" s="46">
        <f t="shared" si="264"/>
        <v>56297</v>
      </c>
      <c r="AZ249" s="46">
        <f t="shared" si="265"/>
        <v>0</v>
      </c>
      <c r="BA249" s="46">
        <f t="shared" si="266"/>
        <v>46824</v>
      </c>
      <c r="BB249" s="46"/>
      <c r="BC249" s="46">
        <f t="shared" si="267"/>
        <v>103121</v>
      </c>
      <c r="BD249" s="46">
        <f t="shared" si="268"/>
        <v>50410</v>
      </c>
      <c r="BE249" s="46">
        <f t="shared" si="269"/>
        <v>108984</v>
      </c>
      <c r="BF249" s="46">
        <f t="shared" si="270"/>
        <v>4056</v>
      </c>
      <c r="BG249" s="46">
        <f t="shared" si="271"/>
        <v>0</v>
      </c>
      <c r="BH249" s="46">
        <v>0</v>
      </c>
      <c r="BI249" s="46">
        <f t="shared" si="272"/>
        <v>113040</v>
      </c>
      <c r="BJ249" s="46">
        <f t="shared" si="273"/>
        <v>50410</v>
      </c>
      <c r="BK249" s="46">
        <f t="shared" si="274"/>
        <v>229952</v>
      </c>
      <c r="BL249" s="46">
        <f t="shared" si="275"/>
        <v>0</v>
      </c>
      <c r="BM249" s="46">
        <f t="shared" si="276"/>
        <v>-50410</v>
      </c>
      <c r="BN249" s="46">
        <v>0</v>
      </c>
      <c r="BO249" s="46">
        <f t="shared" si="277"/>
        <v>179542</v>
      </c>
      <c r="BP249" s="46">
        <f t="shared" si="278"/>
        <v>0</v>
      </c>
      <c r="BQ249" s="46">
        <f t="shared" si="279"/>
        <v>85345</v>
      </c>
      <c r="BR249" s="46">
        <f t="shared" si="280"/>
        <v>0</v>
      </c>
      <c r="BS249" s="46">
        <f t="shared" si="281"/>
        <v>17776</v>
      </c>
      <c r="BT249" s="46">
        <v>0</v>
      </c>
      <c r="BU249" s="46">
        <f t="shared" si="282"/>
        <v>103121</v>
      </c>
      <c r="BV249" s="46">
        <f t="shared" si="283"/>
        <v>17776</v>
      </c>
      <c r="BW249" s="46">
        <f t="shared" si="284"/>
        <v>163545</v>
      </c>
      <c r="BX249" s="46">
        <f t="shared" si="285"/>
        <v>26660</v>
      </c>
      <c r="BY249" s="46">
        <f t="shared" si="286"/>
        <v>-17776</v>
      </c>
      <c r="BZ249" s="46">
        <v>0</v>
      </c>
      <c r="CA249" s="46">
        <f t="shared" si="287"/>
        <v>172429</v>
      </c>
      <c r="CB249" s="46">
        <f t="shared" si="288"/>
        <v>0</v>
      </c>
      <c r="CC249" s="155">
        <f t="shared" si="291"/>
        <v>0</v>
      </c>
      <c r="CD249" s="79" t="s">
        <v>538</v>
      </c>
      <c r="CE249" s="65">
        <f t="shared" si="292"/>
        <v>103121</v>
      </c>
      <c r="CF249" s="65">
        <f t="shared" si="293"/>
        <v>103121</v>
      </c>
      <c r="CG249" s="65">
        <f t="shared" si="294"/>
        <v>93683</v>
      </c>
      <c r="CH249" s="65">
        <f t="shared" si="295"/>
        <v>103121</v>
      </c>
      <c r="CI249" s="65">
        <f t="shared" si="296"/>
        <v>271837</v>
      </c>
      <c r="CJ249" s="65">
        <f t="shared" si="297"/>
        <v>105952</v>
      </c>
      <c r="CK249" s="65">
        <f t="shared" si="298"/>
        <v>173186</v>
      </c>
      <c r="CL249" s="65">
        <f t="shared" si="299"/>
        <v>103121</v>
      </c>
      <c r="CM249" s="65">
        <f t="shared" si="300"/>
        <v>113040</v>
      </c>
      <c r="CN249" s="65">
        <f t="shared" si="301"/>
        <v>179542</v>
      </c>
      <c r="CO249" s="65">
        <f t="shared" si="302"/>
        <v>103121</v>
      </c>
      <c r="CP249" s="65">
        <f t="shared" si="303"/>
        <v>172429</v>
      </c>
      <c r="CQ249" s="40" t="s">
        <v>538</v>
      </c>
    </row>
    <row r="250" spans="1:95" ht="3" customHeight="1" x14ac:dyDescent="0.25">
      <c r="A250" s="39">
        <v>1</v>
      </c>
      <c r="B250" s="28">
        <v>11303</v>
      </c>
      <c r="C250" s="28" t="s">
        <v>264</v>
      </c>
      <c r="D250" s="48">
        <f>+DATA!Q248</f>
        <v>1505982.8570000001</v>
      </c>
      <c r="E250" s="48">
        <f t="shared" si="289"/>
        <v>99144</v>
      </c>
      <c r="F250" s="48">
        <f t="shared" si="290"/>
        <v>150598</v>
      </c>
      <c r="G250" s="49">
        <f>VLOOKUP(B250,'CALC MEC ESTAB Y ESTIM M FINAL'!$B$7:$F$352,5,0)</f>
        <v>8.7418339719999994E-4</v>
      </c>
      <c r="H250" s="49">
        <f>VLOOKUP(B250,'CALC MEC ESTAB Y ESTIM M FINAL'!$B$7:$R$352,17,0)</f>
        <v>-8.4090424099999994E-5</v>
      </c>
      <c r="I250" s="46">
        <f t="shared" si="229"/>
        <v>65145</v>
      </c>
      <c r="J250" s="46">
        <f t="shared" si="230"/>
        <v>0</v>
      </c>
      <c r="K250" s="46">
        <f t="shared" si="231"/>
        <v>33999</v>
      </c>
      <c r="L250" s="46">
        <v>0</v>
      </c>
      <c r="M250" s="46">
        <f t="shared" si="232"/>
        <v>99144</v>
      </c>
      <c r="N250" s="46">
        <f t="shared" si="233"/>
        <v>33999</v>
      </c>
      <c r="O250" s="46">
        <f t="shared" si="234"/>
        <v>34642</v>
      </c>
      <c r="P250" s="46">
        <f t="shared" si="235"/>
        <v>0</v>
      </c>
      <c r="Q250" s="46">
        <f t="shared" si="236"/>
        <v>64502</v>
      </c>
      <c r="R250" s="46">
        <v>0</v>
      </c>
      <c r="S250" s="46">
        <f t="shared" si="237"/>
        <v>99144</v>
      </c>
      <c r="T250" s="46">
        <f t="shared" si="238"/>
        <v>98501</v>
      </c>
      <c r="U250" s="46">
        <f t="shared" si="239"/>
        <v>98825</v>
      </c>
      <c r="V250" s="46">
        <f t="shared" si="240"/>
        <v>0</v>
      </c>
      <c r="W250" s="46">
        <f t="shared" si="241"/>
        <v>0</v>
      </c>
      <c r="X250" s="46">
        <v>0</v>
      </c>
      <c r="Y250" s="46">
        <f t="shared" si="242"/>
        <v>98825</v>
      </c>
      <c r="Z250" s="46">
        <f t="shared" si="243"/>
        <v>98501</v>
      </c>
      <c r="AA250" s="46">
        <f t="shared" si="244"/>
        <v>52475</v>
      </c>
      <c r="AB250" s="46">
        <f t="shared" si="245"/>
        <v>0</v>
      </c>
      <c r="AC250" s="46">
        <f t="shared" si="246"/>
        <v>46669</v>
      </c>
      <c r="AD250" s="46">
        <v>0</v>
      </c>
      <c r="AE250" s="46">
        <f t="shared" si="247"/>
        <v>99144</v>
      </c>
      <c r="AF250" s="46">
        <f t="shared" si="248"/>
        <v>145170</v>
      </c>
      <c r="AG250" s="46">
        <f t="shared" si="249"/>
        <v>456628</v>
      </c>
      <c r="AH250" s="46">
        <f t="shared" si="250"/>
        <v>4215</v>
      </c>
      <c r="AI250" s="46">
        <f t="shared" si="251"/>
        <v>-145170</v>
      </c>
      <c r="AJ250" s="46">
        <v>0</v>
      </c>
      <c r="AK250" s="46">
        <f t="shared" si="252"/>
        <v>315673</v>
      </c>
      <c r="AL250" s="46">
        <f t="shared" si="253"/>
        <v>0</v>
      </c>
      <c r="AM250" s="46">
        <f t="shared" si="254"/>
        <v>90446</v>
      </c>
      <c r="AN250" s="46">
        <f t="shared" si="255"/>
        <v>2987</v>
      </c>
      <c r="AO250" s="46">
        <f t="shared" si="256"/>
        <v>8698</v>
      </c>
      <c r="AP250" s="46">
        <v>0</v>
      </c>
      <c r="AQ250" s="46">
        <f t="shared" si="257"/>
        <v>102131</v>
      </c>
      <c r="AR250" s="46">
        <f t="shared" si="258"/>
        <v>8698</v>
      </c>
      <c r="AS250" s="46">
        <f t="shared" si="259"/>
        <v>179791</v>
      </c>
      <c r="AT250" s="46">
        <f t="shared" si="260"/>
        <v>17454</v>
      </c>
      <c r="AU250" s="46">
        <f t="shared" si="261"/>
        <v>-8698</v>
      </c>
      <c r="AV250" s="46">
        <v>0</v>
      </c>
      <c r="AW250" s="46">
        <f t="shared" si="262"/>
        <v>188547</v>
      </c>
      <c r="AX250" s="46">
        <f t="shared" si="263"/>
        <v>0</v>
      </c>
      <c r="AY250" s="46">
        <f t="shared" si="264"/>
        <v>59388</v>
      </c>
      <c r="AZ250" s="46">
        <f t="shared" si="265"/>
        <v>0</v>
      </c>
      <c r="BA250" s="46">
        <f t="shared" si="266"/>
        <v>39756</v>
      </c>
      <c r="BB250" s="46"/>
      <c r="BC250" s="46">
        <f t="shared" si="267"/>
        <v>99144</v>
      </c>
      <c r="BD250" s="46">
        <f t="shared" si="268"/>
        <v>39756</v>
      </c>
      <c r="BE250" s="46">
        <f t="shared" si="269"/>
        <v>114967</v>
      </c>
      <c r="BF250" s="46">
        <f t="shared" si="270"/>
        <v>4279</v>
      </c>
      <c r="BG250" s="46">
        <f t="shared" si="271"/>
        <v>0</v>
      </c>
      <c r="BH250" s="46">
        <v>0</v>
      </c>
      <c r="BI250" s="46">
        <f t="shared" si="272"/>
        <v>119246</v>
      </c>
      <c r="BJ250" s="46">
        <f t="shared" si="273"/>
        <v>39756</v>
      </c>
      <c r="BK250" s="46">
        <f t="shared" si="274"/>
        <v>242575</v>
      </c>
      <c r="BL250" s="46">
        <f t="shared" si="275"/>
        <v>0</v>
      </c>
      <c r="BM250" s="46">
        <f t="shared" si="276"/>
        <v>-39756</v>
      </c>
      <c r="BN250" s="46">
        <v>0</v>
      </c>
      <c r="BO250" s="46">
        <f t="shared" si="277"/>
        <v>202819</v>
      </c>
      <c r="BP250" s="46">
        <f t="shared" si="278"/>
        <v>0</v>
      </c>
      <c r="BQ250" s="46">
        <f t="shared" si="279"/>
        <v>90030</v>
      </c>
      <c r="BR250" s="46">
        <f t="shared" si="280"/>
        <v>0</v>
      </c>
      <c r="BS250" s="46">
        <f t="shared" si="281"/>
        <v>9114</v>
      </c>
      <c r="BT250" s="46">
        <v>0</v>
      </c>
      <c r="BU250" s="46">
        <f t="shared" si="282"/>
        <v>99144</v>
      </c>
      <c r="BV250" s="46">
        <f t="shared" si="283"/>
        <v>9114</v>
      </c>
      <c r="BW250" s="46">
        <f t="shared" si="284"/>
        <v>172523</v>
      </c>
      <c r="BX250" s="46">
        <f t="shared" si="285"/>
        <v>28123</v>
      </c>
      <c r="BY250" s="46">
        <f t="shared" si="286"/>
        <v>-9114</v>
      </c>
      <c r="BZ250" s="46">
        <v>0</v>
      </c>
      <c r="CA250" s="46">
        <f t="shared" si="287"/>
        <v>191532</v>
      </c>
      <c r="CB250" s="46">
        <f t="shared" si="288"/>
        <v>0</v>
      </c>
      <c r="CC250" s="155">
        <f t="shared" si="291"/>
        <v>0</v>
      </c>
      <c r="CD250" s="79" t="s">
        <v>538</v>
      </c>
      <c r="CE250" s="65">
        <f t="shared" si="292"/>
        <v>99144</v>
      </c>
      <c r="CF250" s="65">
        <f t="shared" si="293"/>
        <v>99144</v>
      </c>
      <c r="CG250" s="65">
        <f t="shared" si="294"/>
        <v>98825</v>
      </c>
      <c r="CH250" s="65">
        <f t="shared" si="295"/>
        <v>99144</v>
      </c>
      <c r="CI250" s="65">
        <f t="shared" si="296"/>
        <v>315673</v>
      </c>
      <c r="CJ250" s="65">
        <f t="shared" si="297"/>
        <v>102131</v>
      </c>
      <c r="CK250" s="65">
        <f t="shared" si="298"/>
        <v>188547</v>
      </c>
      <c r="CL250" s="65">
        <f t="shared" si="299"/>
        <v>99144</v>
      </c>
      <c r="CM250" s="65">
        <f t="shared" si="300"/>
        <v>119246</v>
      </c>
      <c r="CN250" s="65">
        <f t="shared" si="301"/>
        <v>202819</v>
      </c>
      <c r="CO250" s="65">
        <f t="shared" si="302"/>
        <v>99144</v>
      </c>
      <c r="CP250" s="65">
        <f t="shared" si="303"/>
        <v>191532</v>
      </c>
      <c r="CQ250" s="40" t="s">
        <v>538</v>
      </c>
    </row>
    <row r="251" spans="1:95" ht="3" customHeight="1" x14ac:dyDescent="0.25">
      <c r="A251" s="39">
        <v>1</v>
      </c>
      <c r="B251" s="28">
        <v>11401</v>
      </c>
      <c r="C251" s="28" t="s">
        <v>262</v>
      </c>
      <c r="D251" s="48">
        <f>+DATA!Q249</f>
        <v>2907174.3879999998</v>
      </c>
      <c r="E251" s="48">
        <f t="shared" si="289"/>
        <v>191389</v>
      </c>
      <c r="F251" s="48">
        <f t="shared" si="290"/>
        <v>290717</v>
      </c>
      <c r="G251" s="49">
        <f>VLOOKUP(B251,'CALC MEC ESTAB Y ESTIM M FINAL'!$B$7:$F$352,5,0)</f>
        <v>1.2077483734E-3</v>
      </c>
      <c r="H251" s="49">
        <f>VLOOKUP(B251,'CALC MEC ESTAB Y ESTIM M FINAL'!$B$7:$R$352,17,0)</f>
        <v>1.8217413399999999E-4</v>
      </c>
      <c r="I251" s="46">
        <f t="shared" si="229"/>
        <v>114602</v>
      </c>
      <c r="J251" s="46">
        <f t="shared" si="230"/>
        <v>0</v>
      </c>
      <c r="K251" s="46">
        <f t="shared" si="231"/>
        <v>76787</v>
      </c>
      <c r="L251" s="46">
        <v>0</v>
      </c>
      <c r="M251" s="46">
        <f t="shared" si="232"/>
        <v>191389</v>
      </c>
      <c r="N251" s="46">
        <f t="shared" si="233"/>
        <v>76787</v>
      </c>
      <c r="O251" s="46">
        <f t="shared" si="234"/>
        <v>60942</v>
      </c>
      <c r="P251" s="46">
        <f t="shared" si="235"/>
        <v>0</v>
      </c>
      <c r="Q251" s="46">
        <f t="shared" si="236"/>
        <v>130447</v>
      </c>
      <c r="R251" s="46">
        <v>0</v>
      </c>
      <c r="S251" s="46">
        <f t="shared" si="237"/>
        <v>191389</v>
      </c>
      <c r="T251" s="46">
        <f t="shared" si="238"/>
        <v>207234</v>
      </c>
      <c r="U251" s="46">
        <f t="shared" si="239"/>
        <v>173852</v>
      </c>
      <c r="V251" s="46">
        <f t="shared" si="240"/>
        <v>0</v>
      </c>
      <c r="W251" s="46">
        <f t="shared" si="241"/>
        <v>0</v>
      </c>
      <c r="X251" s="46">
        <v>0</v>
      </c>
      <c r="Y251" s="46">
        <f t="shared" si="242"/>
        <v>173852</v>
      </c>
      <c r="Z251" s="46">
        <f t="shared" si="243"/>
        <v>207234</v>
      </c>
      <c r="AA251" s="46">
        <f t="shared" si="244"/>
        <v>92313</v>
      </c>
      <c r="AB251" s="46">
        <f t="shared" si="245"/>
        <v>0</v>
      </c>
      <c r="AC251" s="46">
        <f t="shared" si="246"/>
        <v>99076</v>
      </c>
      <c r="AD251" s="46">
        <v>0</v>
      </c>
      <c r="AE251" s="46">
        <f t="shared" si="247"/>
        <v>191389</v>
      </c>
      <c r="AF251" s="46">
        <f t="shared" si="248"/>
        <v>306310</v>
      </c>
      <c r="AG251" s="46">
        <f t="shared" si="249"/>
        <v>803295</v>
      </c>
      <c r="AH251" s="46">
        <f t="shared" si="250"/>
        <v>7414</v>
      </c>
      <c r="AI251" s="46">
        <f t="shared" si="251"/>
        <v>-306310</v>
      </c>
      <c r="AJ251" s="46">
        <v>0</v>
      </c>
      <c r="AK251" s="46">
        <f t="shared" si="252"/>
        <v>504399</v>
      </c>
      <c r="AL251" s="46">
        <f t="shared" si="253"/>
        <v>0</v>
      </c>
      <c r="AM251" s="46">
        <f t="shared" si="254"/>
        <v>159112</v>
      </c>
      <c r="AN251" s="46">
        <f t="shared" si="255"/>
        <v>5255</v>
      </c>
      <c r="AO251" s="46">
        <f t="shared" si="256"/>
        <v>32277</v>
      </c>
      <c r="AP251" s="46">
        <v>0</v>
      </c>
      <c r="AQ251" s="46">
        <f t="shared" si="257"/>
        <v>196644</v>
      </c>
      <c r="AR251" s="46">
        <f t="shared" si="258"/>
        <v>32277</v>
      </c>
      <c r="AS251" s="46">
        <f t="shared" si="259"/>
        <v>316287</v>
      </c>
      <c r="AT251" s="46">
        <f t="shared" si="260"/>
        <v>30706</v>
      </c>
      <c r="AU251" s="46">
        <f t="shared" si="261"/>
        <v>-25570</v>
      </c>
      <c r="AV251" s="46">
        <v>0</v>
      </c>
      <c r="AW251" s="46">
        <f t="shared" si="262"/>
        <v>321423</v>
      </c>
      <c r="AX251" s="46">
        <f t="shared" si="263"/>
        <v>6707</v>
      </c>
      <c r="AY251" s="46">
        <f t="shared" si="264"/>
        <v>104474</v>
      </c>
      <c r="AZ251" s="46">
        <f t="shared" si="265"/>
        <v>0</v>
      </c>
      <c r="BA251" s="46">
        <f t="shared" si="266"/>
        <v>86915</v>
      </c>
      <c r="BB251" s="46"/>
      <c r="BC251" s="46">
        <f t="shared" si="267"/>
        <v>191389</v>
      </c>
      <c r="BD251" s="46">
        <f t="shared" si="268"/>
        <v>93622</v>
      </c>
      <c r="BE251" s="46">
        <f t="shared" si="269"/>
        <v>202249</v>
      </c>
      <c r="BF251" s="46">
        <f t="shared" si="270"/>
        <v>7528</v>
      </c>
      <c r="BG251" s="46">
        <f t="shared" si="271"/>
        <v>0</v>
      </c>
      <c r="BH251" s="46">
        <v>0</v>
      </c>
      <c r="BI251" s="46">
        <f t="shared" si="272"/>
        <v>209777</v>
      </c>
      <c r="BJ251" s="46">
        <f t="shared" si="273"/>
        <v>93622</v>
      </c>
      <c r="BK251" s="46">
        <f t="shared" si="274"/>
        <v>426736</v>
      </c>
      <c r="BL251" s="46">
        <f t="shared" si="275"/>
        <v>0</v>
      </c>
      <c r="BM251" s="46">
        <f t="shared" si="276"/>
        <v>-93622</v>
      </c>
      <c r="BN251" s="46">
        <v>0</v>
      </c>
      <c r="BO251" s="46">
        <f t="shared" si="277"/>
        <v>333114</v>
      </c>
      <c r="BP251" s="46">
        <f t="shared" si="278"/>
        <v>0</v>
      </c>
      <c r="BQ251" s="46">
        <f t="shared" si="279"/>
        <v>158380</v>
      </c>
      <c r="BR251" s="46">
        <f t="shared" si="280"/>
        <v>0</v>
      </c>
      <c r="BS251" s="46">
        <f t="shared" si="281"/>
        <v>33009</v>
      </c>
      <c r="BT251" s="46">
        <v>0</v>
      </c>
      <c r="BU251" s="46">
        <f t="shared" si="282"/>
        <v>191389</v>
      </c>
      <c r="BV251" s="46">
        <f t="shared" si="283"/>
        <v>33009</v>
      </c>
      <c r="BW251" s="46">
        <f t="shared" si="284"/>
        <v>303500</v>
      </c>
      <c r="BX251" s="46">
        <f t="shared" si="285"/>
        <v>49474</v>
      </c>
      <c r="BY251" s="46">
        <f t="shared" si="286"/>
        <v>-33009</v>
      </c>
      <c r="BZ251" s="46">
        <v>0</v>
      </c>
      <c r="CA251" s="46">
        <f t="shared" si="287"/>
        <v>319965</v>
      </c>
      <c r="CB251" s="46">
        <f t="shared" si="288"/>
        <v>0</v>
      </c>
      <c r="CC251" s="155">
        <f t="shared" si="291"/>
        <v>0</v>
      </c>
      <c r="CD251" s="79" t="s">
        <v>538</v>
      </c>
      <c r="CE251" s="65">
        <f t="shared" si="292"/>
        <v>191389</v>
      </c>
      <c r="CF251" s="65">
        <f t="shared" si="293"/>
        <v>191389</v>
      </c>
      <c r="CG251" s="65">
        <f t="shared" si="294"/>
        <v>173852</v>
      </c>
      <c r="CH251" s="65">
        <f t="shared" si="295"/>
        <v>191389</v>
      </c>
      <c r="CI251" s="65">
        <f t="shared" si="296"/>
        <v>504399</v>
      </c>
      <c r="CJ251" s="65">
        <f t="shared" si="297"/>
        <v>196644</v>
      </c>
      <c r="CK251" s="65">
        <f t="shared" si="298"/>
        <v>321423</v>
      </c>
      <c r="CL251" s="65">
        <f t="shared" si="299"/>
        <v>191389</v>
      </c>
      <c r="CM251" s="65">
        <f t="shared" si="300"/>
        <v>209777</v>
      </c>
      <c r="CN251" s="65">
        <f t="shared" si="301"/>
        <v>333114</v>
      </c>
      <c r="CO251" s="65">
        <f t="shared" si="302"/>
        <v>191389</v>
      </c>
      <c r="CP251" s="65">
        <f t="shared" si="303"/>
        <v>319965</v>
      </c>
      <c r="CQ251" s="40" t="s">
        <v>538</v>
      </c>
    </row>
    <row r="252" spans="1:95" ht="3" customHeight="1" x14ac:dyDescent="0.25">
      <c r="A252" s="39">
        <v>1</v>
      </c>
      <c r="B252" s="28">
        <v>11402</v>
      </c>
      <c r="C252" s="28" t="s">
        <v>423</v>
      </c>
      <c r="D252" s="48">
        <f>+DATA!Q250</f>
        <v>2203115.1209999998</v>
      </c>
      <c r="E252" s="48">
        <f t="shared" si="289"/>
        <v>145038</v>
      </c>
      <c r="F252" s="48">
        <f t="shared" si="290"/>
        <v>220312</v>
      </c>
      <c r="G252" s="49">
        <f>VLOOKUP(B252,'CALC MEC ESTAB Y ESTIM M FINAL'!$B$7:$F$352,5,0)</f>
        <v>1.2734496323E-3</v>
      </c>
      <c r="H252" s="49">
        <f>VLOOKUP(B252,'CALC MEC ESTAB Y ESTIM M FINAL'!$B$7:$R$352,17,0)</f>
        <v>-1.2032330339999999E-4</v>
      </c>
      <c r="I252" s="46">
        <f t="shared" si="229"/>
        <v>95078</v>
      </c>
      <c r="J252" s="46">
        <f t="shared" si="230"/>
        <v>0</v>
      </c>
      <c r="K252" s="46">
        <f t="shared" si="231"/>
        <v>49960</v>
      </c>
      <c r="L252" s="46">
        <v>0</v>
      </c>
      <c r="M252" s="46">
        <f t="shared" si="232"/>
        <v>145038</v>
      </c>
      <c r="N252" s="46">
        <f t="shared" si="233"/>
        <v>49960</v>
      </c>
      <c r="O252" s="46">
        <f t="shared" si="234"/>
        <v>50559</v>
      </c>
      <c r="P252" s="46">
        <f t="shared" si="235"/>
        <v>0</v>
      </c>
      <c r="Q252" s="46">
        <f t="shared" si="236"/>
        <v>94479</v>
      </c>
      <c r="R252" s="46">
        <v>0</v>
      </c>
      <c r="S252" s="46">
        <f t="shared" si="237"/>
        <v>145038</v>
      </c>
      <c r="T252" s="46">
        <f t="shared" si="238"/>
        <v>144439</v>
      </c>
      <c r="U252" s="46">
        <f t="shared" si="239"/>
        <v>144234</v>
      </c>
      <c r="V252" s="46">
        <f t="shared" si="240"/>
        <v>0</v>
      </c>
      <c r="W252" s="46">
        <f t="shared" si="241"/>
        <v>0</v>
      </c>
      <c r="X252" s="46">
        <v>0</v>
      </c>
      <c r="Y252" s="46">
        <f t="shared" si="242"/>
        <v>144234</v>
      </c>
      <c r="Z252" s="46">
        <f t="shared" si="243"/>
        <v>144439</v>
      </c>
      <c r="AA252" s="46">
        <f t="shared" si="244"/>
        <v>76586</v>
      </c>
      <c r="AB252" s="46">
        <f t="shared" si="245"/>
        <v>0</v>
      </c>
      <c r="AC252" s="46">
        <f t="shared" si="246"/>
        <v>68452</v>
      </c>
      <c r="AD252" s="46">
        <v>0</v>
      </c>
      <c r="AE252" s="46">
        <f t="shared" si="247"/>
        <v>145038</v>
      </c>
      <c r="AF252" s="46">
        <f t="shared" si="248"/>
        <v>212891</v>
      </c>
      <c r="AG252" s="46">
        <f t="shared" si="249"/>
        <v>666441</v>
      </c>
      <c r="AH252" s="46">
        <f t="shared" si="250"/>
        <v>6151</v>
      </c>
      <c r="AI252" s="46">
        <f t="shared" si="251"/>
        <v>-212891</v>
      </c>
      <c r="AJ252" s="46">
        <v>0</v>
      </c>
      <c r="AK252" s="46">
        <f t="shared" si="252"/>
        <v>459701</v>
      </c>
      <c r="AL252" s="46">
        <f t="shared" si="253"/>
        <v>0</v>
      </c>
      <c r="AM252" s="46">
        <f t="shared" si="254"/>
        <v>132005</v>
      </c>
      <c r="AN252" s="46">
        <f t="shared" si="255"/>
        <v>4359</v>
      </c>
      <c r="AO252" s="46">
        <f t="shared" si="256"/>
        <v>13033</v>
      </c>
      <c r="AP252" s="46">
        <v>0</v>
      </c>
      <c r="AQ252" s="46">
        <f t="shared" si="257"/>
        <v>149397</v>
      </c>
      <c r="AR252" s="46">
        <f t="shared" si="258"/>
        <v>13033</v>
      </c>
      <c r="AS252" s="46">
        <f t="shared" si="259"/>
        <v>262402</v>
      </c>
      <c r="AT252" s="46">
        <f t="shared" si="260"/>
        <v>25475</v>
      </c>
      <c r="AU252" s="46">
        <f t="shared" si="261"/>
        <v>-13033</v>
      </c>
      <c r="AV252" s="46">
        <v>0</v>
      </c>
      <c r="AW252" s="46">
        <f t="shared" si="262"/>
        <v>274844</v>
      </c>
      <c r="AX252" s="46">
        <f t="shared" si="263"/>
        <v>0</v>
      </c>
      <c r="AY252" s="46">
        <f t="shared" si="264"/>
        <v>86675</v>
      </c>
      <c r="AZ252" s="46">
        <f t="shared" si="265"/>
        <v>0</v>
      </c>
      <c r="BA252" s="46">
        <f t="shared" si="266"/>
        <v>58363</v>
      </c>
      <c r="BB252" s="46"/>
      <c r="BC252" s="46">
        <f t="shared" si="267"/>
        <v>145038</v>
      </c>
      <c r="BD252" s="46">
        <f t="shared" si="268"/>
        <v>58363</v>
      </c>
      <c r="BE252" s="46">
        <f t="shared" si="269"/>
        <v>167792</v>
      </c>
      <c r="BF252" s="46">
        <f t="shared" si="270"/>
        <v>6245</v>
      </c>
      <c r="BG252" s="46">
        <f t="shared" si="271"/>
        <v>0</v>
      </c>
      <c r="BH252" s="46">
        <v>0</v>
      </c>
      <c r="BI252" s="46">
        <f t="shared" si="272"/>
        <v>174037</v>
      </c>
      <c r="BJ252" s="46">
        <f t="shared" si="273"/>
        <v>58363</v>
      </c>
      <c r="BK252" s="46">
        <f t="shared" si="274"/>
        <v>354034</v>
      </c>
      <c r="BL252" s="46">
        <f t="shared" si="275"/>
        <v>0</v>
      </c>
      <c r="BM252" s="46">
        <f t="shared" si="276"/>
        <v>-58363</v>
      </c>
      <c r="BN252" s="46">
        <v>0</v>
      </c>
      <c r="BO252" s="46">
        <f t="shared" si="277"/>
        <v>295671</v>
      </c>
      <c r="BP252" s="46">
        <f t="shared" si="278"/>
        <v>0</v>
      </c>
      <c r="BQ252" s="46">
        <f t="shared" si="279"/>
        <v>131397</v>
      </c>
      <c r="BR252" s="46">
        <f t="shared" si="280"/>
        <v>0</v>
      </c>
      <c r="BS252" s="46">
        <f t="shared" si="281"/>
        <v>13641</v>
      </c>
      <c r="BT252" s="46">
        <v>0</v>
      </c>
      <c r="BU252" s="46">
        <f t="shared" si="282"/>
        <v>145038</v>
      </c>
      <c r="BV252" s="46">
        <f t="shared" si="283"/>
        <v>13641</v>
      </c>
      <c r="BW252" s="46">
        <f t="shared" si="284"/>
        <v>251794</v>
      </c>
      <c r="BX252" s="46">
        <f t="shared" si="285"/>
        <v>41045</v>
      </c>
      <c r="BY252" s="46">
        <f t="shared" si="286"/>
        <v>-13641</v>
      </c>
      <c r="BZ252" s="46">
        <v>0</v>
      </c>
      <c r="CA252" s="46">
        <f t="shared" si="287"/>
        <v>279198</v>
      </c>
      <c r="CB252" s="46">
        <f t="shared" si="288"/>
        <v>0</v>
      </c>
      <c r="CC252" s="155">
        <f t="shared" si="291"/>
        <v>0</v>
      </c>
      <c r="CD252" s="79" t="s">
        <v>538</v>
      </c>
      <c r="CE252" s="65">
        <f t="shared" si="292"/>
        <v>145038</v>
      </c>
      <c r="CF252" s="65">
        <f t="shared" si="293"/>
        <v>145038</v>
      </c>
      <c r="CG252" s="65">
        <f t="shared" si="294"/>
        <v>144234</v>
      </c>
      <c r="CH252" s="65">
        <f t="shared" si="295"/>
        <v>145038</v>
      </c>
      <c r="CI252" s="65">
        <f t="shared" si="296"/>
        <v>459701</v>
      </c>
      <c r="CJ252" s="65">
        <f t="shared" si="297"/>
        <v>149397</v>
      </c>
      <c r="CK252" s="65">
        <f t="shared" si="298"/>
        <v>274844</v>
      </c>
      <c r="CL252" s="65">
        <f t="shared" si="299"/>
        <v>145038</v>
      </c>
      <c r="CM252" s="65">
        <f t="shared" si="300"/>
        <v>174037</v>
      </c>
      <c r="CN252" s="65">
        <f t="shared" si="301"/>
        <v>295671</v>
      </c>
      <c r="CO252" s="65">
        <f t="shared" si="302"/>
        <v>145038</v>
      </c>
      <c r="CP252" s="65">
        <f t="shared" si="303"/>
        <v>279198</v>
      </c>
      <c r="CQ252" s="40" t="s">
        <v>538</v>
      </c>
    </row>
    <row r="253" spans="1:95" ht="3" customHeight="1" x14ac:dyDescent="0.25">
      <c r="A253" s="39">
        <v>1</v>
      </c>
      <c r="B253" s="28">
        <v>12101</v>
      </c>
      <c r="C253" s="28" t="s">
        <v>268</v>
      </c>
      <c r="D253" s="48">
        <f>+DATA!Q251</f>
        <v>8242481.7690000003</v>
      </c>
      <c r="E253" s="48">
        <f t="shared" si="289"/>
        <v>542630</v>
      </c>
      <c r="F253" s="48">
        <f t="shared" si="290"/>
        <v>824248</v>
      </c>
      <c r="G253" s="49">
        <f>VLOOKUP(B253,'CALC MEC ESTAB Y ESTIM M FINAL'!$B$7:$F$352,5,0)</f>
        <v>3.1810040936E-3</v>
      </c>
      <c r="H253" s="49">
        <f>VLOOKUP(B253,'CALC MEC ESTAB Y ESTIM M FINAL'!$B$7:$R$352,17,0)</f>
        <v>7.5973345939999999E-4</v>
      </c>
      <c r="I253" s="46">
        <f t="shared" si="229"/>
        <v>324922</v>
      </c>
      <c r="J253" s="46">
        <f t="shared" si="230"/>
        <v>0</v>
      </c>
      <c r="K253" s="46">
        <f t="shared" si="231"/>
        <v>217708</v>
      </c>
      <c r="L253" s="46">
        <v>0</v>
      </c>
      <c r="M253" s="46">
        <f t="shared" si="232"/>
        <v>542630</v>
      </c>
      <c r="N253" s="46">
        <f t="shared" si="233"/>
        <v>217708</v>
      </c>
      <c r="O253" s="46">
        <f t="shared" si="234"/>
        <v>172783</v>
      </c>
      <c r="P253" s="46">
        <f t="shared" si="235"/>
        <v>0</v>
      </c>
      <c r="Q253" s="46">
        <f t="shared" si="236"/>
        <v>369847</v>
      </c>
      <c r="R253" s="46">
        <v>0</v>
      </c>
      <c r="S253" s="46">
        <f t="shared" si="237"/>
        <v>542630</v>
      </c>
      <c r="T253" s="46">
        <f t="shared" si="238"/>
        <v>587555</v>
      </c>
      <c r="U253" s="46">
        <f t="shared" si="239"/>
        <v>492910</v>
      </c>
      <c r="V253" s="46">
        <f t="shared" si="240"/>
        <v>0</v>
      </c>
      <c r="W253" s="46">
        <f t="shared" si="241"/>
        <v>0</v>
      </c>
      <c r="X253" s="46">
        <v>0</v>
      </c>
      <c r="Y253" s="46">
        <f t="shared" si="242"/>
        <v>492910</v>
      </c>
      <c r="Z253" s="46">
        <f t="shared" si="243"/>
        <v>587555</v>
      </c>
      <c r="AA253" s="46">
        <f t="shared" si="244"/>
        <v>261728</v>
      </c>
      <c r="AB253" s="46">
        <f t="shared" si="245"/>
        <v>0</v>
      </c>
      <c r="AC253" s="46">
        <f t="shared" si="246"/>
        <v>280902</v>
      </c>
      <c r="AD253" s="46">
        <v>0</v>
      </c>
      <c r="AE253" s="46">
        <f t="shared" si="247"/>
        <v>542630</v>
      </c>
      <c r="AF253" s="46">
        <f t="shared" si="248"/>
        <v>868457</v>
      </c>
      <c r="AG253" s="46">
        <f t="shared" si="249"/>
        <v>2277520</v>
      </c>
      <c r="AH253" s="46">
        <f t="shared" si="250"/>
        <v>21021</v>
      </c>
      <c r="AI253" s="46">
        <f t="shared" si="251"/>
        <v>-868457</v>
      </c>
      <c r="AJ253" s="46">
        <v>0</v>
      </c>
      <c r="AK253" s="46">
        <f t="shared" si="252"/>
        <v>1430084</v>
      </c>
      <c r="AL253" s="46">
        <f t="shared" si="253"/>
        <v>0</v>
      </c>
      <c r="AM253" s="46">
        <f t="shared" si="254"/>
        <v>451119</v>
      </c>
      <c r="AN253" s="46">
        <f t="shared" si="255"/>
        <v>14898</v>
      </c>
      <c r="AO253" s="46">
        <f t="shared" si="256"/>
        <v>91511</v>
      </c>
      <c r="AP253" s="46">
        <v>0</v>
      </c>
      <c r="AQ253" s="46">
        <f t="shared" si="257"/>
        <v>557528</v>
      </c>
      <c r="AR253" s="46">
        <f t="shared" si="258"/>
        <v>91511</v>
      </c>
      <c r="AS253" s="46">
        <f t="shared" si="259"/>
        <v>896743</v>
      </c>
      <c r="AT253" s="46">
        <f t="shared" si="260"/>
        <v>87058</v>
      </c>
      <c r="AU253" s="46">
        <f t="shared" si="261"/>
        <v>-72495</v>
      </c>
      <c r="AV253" s="46">
        <v>0</v>
      </c>
      <c r="AW253" s="46">
        <f t="shared" si="262"/>
        <v>911306</v>
      </c>
      <c r="AX253" s="46">
        <f t="shared" si="263"/>
        <v>19016</v>
      </c>
      <c r="AY253" s="46">
        <f t="shared" si="264"/>
        <v>296208</v>
      </c>
      <c r="AZ253" s="46">
        <f t="shared" si="265"/>
        <v>0</v>
      </c>
      <c r="BA253" s="46">
        <f t="shared" si="266"/>
        <v>246422</v>
      </c>
      <c r="BB253" s="46"/>
      <c r="BC253" s="46">
        <f t="shared" si="267"/>
        <v>542630</v>
      </c>
      <c r="BD253" s="46">
        <f t="shared" si="268"/>
        <v>265438</v>
      </c>
      <c r="BE253" s="46">
        <f t="shared" si="269"/>
        <v>573420</v>
      </c>
      <c r="BF253" s="46">
        <f t="shared" si="270"/>
        <v>21342</v>
      </c>
      <c r="BG253" s="46">
        <f t="shared" si="271"/>
        <v>0</v>
      </c>
      <c r="BH253" s="46">
        <v>0</v>
      </c>
      <c r="BI253" s="46">
        <f t="shared" si="272"/>
        <v>594762</v>
      </c>
      <c r="BJ253" s="46">
        <f t="shared" si="273"/>
        <v>265438</v>
      </c>
      <c r="BK253" s="46">
        <f t="shared" si="274"/>
        <v>1209890</v>
      </c>
      <c r="BL253" s="46">
        <f t="shared" si="275"/>
        <v>0</v>
      </c>
      <c r="BM253" s="46">
        <f t="shared" si="276"/>
        <v>-265438</v>
      </c>
      <c r="BN253" s="46">
        <v>0</v>
      </c>
      <c r="BO253" s="46">
        <f t="shared" si="277"/>
        <v>944452</v>
      </c>
      <c r="BP253" s="46">
        <f t="shared" si="278"/>
        <v>0</v>
      </c>
      <c r="BQ253" s="46">
        <f t="shared" si="279"/>
        <v>449042</v>
      </c>
      <c r="BR253" s="46">
        <f t="shared" si="280"/>
        <v>0</v>
      </c>
      <c r="BS253" s="46">
        <f t="shared" si="281"/>
        <v>93588</v>
      </c>
      <c r="BT253" s="46">
        <v>0</v>
      </c>
      <c r="BU253" s="46">
        <f t="shared" si="282"/>
        <v>542630</v>
      </c>
      <c r="BV253" s="46">
        <f t="shared" si="283"/>
        <v>93588</v>
      </c>
      <c r="BW253" s="46">
        <f t="shared" si="284"/>
        <v>860489</v>
      </c>
      <c r="BX253" s="46">
        <f t="shared" si="285"/>
        <v>140269</v>
      </c>
      <c r="BY253" s="46">
        <f t="shared" si="286"/>
        <v>-93588</v>
      </c>
      <c r="BZ253" s="46">
        <v>0</v>
      </c>
      <c r="CA253" s="46">
        <f t="shared" si="287"/>
        <v>907170</v>
      </c>
      <c r="CB253" s="46">
        <f t="shared" si="288"/>
        <v>0</v>
      </c>
      <c r="CC253" s="155">
        <f t="shared" si="291"/>
        <v>0</v>
      </c>
      <c r="CD253" s="79" t="s">
        <v>538</v>
      </c>
      <c r="CE253" s="65">
        <f t="shared" si="292"/>
        <v>542630</v>
      </c>
      <c r="CF253" s="65">
        <f t="shared" si="293"/>
        <v>542630</v>
      </c>
      <c r="CG253" s="65">
        <f t="shared" si="294"/>
        <v>492910</v>
      </c>
      <c r="CH253" s="65">
        <f t="shared" si="295"/>
        <v>542630</v>
      </c>
      <c r="CI253" s="65">
        <f t="shared" si="296"/>
        <v>1430084</v>
      </c>
      <c r="CJ253" s="65">
        <f t="shared" si="297"/>
        <v>557528</v>
      </c>
      <c r="CK253" s="65">
        <f t="shared" si="298"/>
        <v>911306</v>
      </c>
      <c r="CL253" s="65">
        <f t="shared" si="299"/>
        <v>542630</v>
      </c>
      <c r="CM253" s="65">
        <f t="shared" si="300"/>
        <v>594762</v>
      </c>
      <c r="CN253" s="65">
        <f t="shared" si="301"/>
        <v>944452</v>
      </c>
      <c r="CO253" s="65">
        <f t="shared" si="302"/>
        <v>542630</v>
      </c>
      <c r="CP253" s="65">
        <f t="shared" si="303"/>
        <v>907170</v>
      </c>
      <c r="CQ253" s="40" t="s">
        <v>538</v>
      </c>
    </row>
    <row r="254" spans="1:95" ht="3" customHeight="1" x14ac:dyDescent="0.25">
      <c r="A254" s="39">
        <v>1</v>
      </c>
      <c r="B254" s="28">
        <v>12102</v>
      </c>
      <c r="C254" s="28" t="s">
        <v>269</v>
      </c>
      <c r="D254" s="48">
        <f>+DATA!Q252</f>
        <v>1374851.6</v>
      </c>
      <c r="E254" s="48">
        <f t="shared" si="289"/>
        <v>90511</v>
      </c>
      <c r="F254" s="48">
        <f t="shared" si="290"/>
        <v>137485</v>
      </c>
      <c r="G254" s="49">
        <f>VLOOKUP(B254,'CALC MEC ESTAB Y ESTIM M FINAL'!$B$7:$F$352,5,0)</f>
        <v>7.2609764709999998E-4</v>
      </c>
      <c r="H254" s="49">
        <f>VLOOKUP(B254,'CALC MEC ESTAB Y ESTIM M FINAL'!$B$7:$R$352,17,0)</f>
        <v>-3.7537153000000002E-5</v>
      </c>
      <c r="I254" s="46">
        <f t="shared" si="229"/>
        <v>56773</v>
      </c>
      <c r="J254" s="46">
        <f t="shared" si="230"/>
        <v>0</v>
      </c>
      <c r="K254" s="46">
        <f t="shared" si="231"/>
        <v>33738</v>
      </c>
      <c r="L254" s="46">
        <v>0</v>
      </c>
      <c r="M254" s="46">
        <f t="shared" si="232"/>
        <v>90511</v>
      </c>
      <c r="N254" s="46">
        <f t="shared" si="233"/>
        <v>33738</v>
      </c>
      <c r="O254" s="46">
        <f t="shared" si="234"/>
        <v>30190</v>
      </c>
      <c r="P254" s="46">
        <f t="shared" si="235"/>
        <v>0</v>
      </c>
      <c r="Q254" s="46">
        <f t="shared" si="236"/>
        <v>60321</v>
      </c>
      <c r="R254" s="46">
        <v>0</v>
      </c>
      <c r="S254" s="46">
        <f t="shared" si="237"/>
        <v>90511</v>
      </c>
      <c r="T254" s="46">
        <f t="shared" si="238"/>
        <v>94059</v>
      </c>
      <c r="U254" s="46">
        <f t="shared" si="239"/>
        <v>86126</v>
      </c>
      <c r="V254" s="46">
        <f t="shared" si="240"/>
        <v>0</v>
      </c>
      <c r="W254" s="46">
        <f t="shared" si="241"/>
        <v>0</v>
      </c>
      <c r="X254" s="46">
        <v>0</v>
      </c>
      <c r="Y254" s="46">
        <f t="shared" si="242"/>
        <v>86126</v>
      </c>
      <c r="Z254" s="46">
        <f t="shared" si="243"/>
        <v>94059</v>
      </c>
      <c r="AA254" s="46">
        <f t="shared" si="244"/>
        <v>45731</v>
      </c>
      <c r="AB254" s="46">
        <f t="shared" si="245"/>
        <v>0</v>
      </c>
      <c r="AC254" s="46">
        <f t="shared" si="246"/>
        <v>44780</v>
      </c>
      <c r="AD254" s="46">
        <v>0</v>
      </c>
      <c r="AE254" s="46">
        <f t="shared" si="247"/>
        <v>90511</v>
      </c>
      <c r="AF254" s="46">
        <f t="shared" si="248"/>
        <v>138839</v>
      </c>
      <c r="AG254" s="46">
        <f t="shared" si="249"/>
        <v>397948</v>
      </c>
      <c r="AH254" s="46">
        <f t="shared" si="250"/>
        <v>3673</v>
      </c>
      <c r="AI254" s="46">
        <f t="shared" si="251"/>
        <v>-138839</v>
      </c>
      <c r="AJ254" s="46">
        <v>0</v>
      </c>
      <c r="AK254" s="46">
        <f t="shared" si="252"/>
        <v>262782</v>
      </c>
      <c r="AL254" s="46">
        <f t="shared" si="253"/>
        <v>0</v>
      </c>
      <c r="AM254" s="46">
        <f t="shared" si="254"/>
        <v>78823</v>
      </c>
      <c r="AN254" s="46">
        <f t="shared" si="255"/>
        <v>2603</v>
      </c>
      <c r="AO254" s="46">
        <f t="shared" si="256"/>
        <v>11688</v>
      </c>
      <c r="AP254" s="46">
        <v>0</v>
      </c>
      <c r="AQ254" s="46">
        <f t="shared" si="257"/>
        <v>93114</v>
      </c>
      <c r="AR254" s="46">
        <f t="shared" si="258"/>
        <v>11688</v>
      </c>
      <c r="AS254" s="46">
        <f t="shared" si="259"/>
        <v>156687</v>
      </c>
      <c r="AT254" s="46">
        <f t="shared" si="260"/>
        <v>15211</v>
      </c>
      <c r="AU254" s="46">
        <f t="shared" si="261"/>
        <v>-11688</v>
      </c>
      <c r="AV254" s="46">
        <v>0</v>
      </c>
      <c r="AW254" s="46">
        <f t="shared" si="262"/>
        <v>160210</v>
      </c>
      <c r="AX254" s="46">
        <f t="shared" si="263"/>
        <v>0</v>
      </c>
      <c r="AY254" s="46">
        <f t="shared" si="264"/>
        <v>51756</v>
      </c>
      <c r="AZ254" s="46">
        <f t="shared" si="265"/>
        <v>0</v>
      </c>
      <c r="BA254" s="46">
        <f t="shared" si="266"/>
        <v>38755</v>
      </c>
      <c r="BB254" s="46"/>
      <c r="BC254" s="46">
        <f t="shared" si="267"/>
        <v>90511</v>
      </c>
      <c r="BD254" s="46">
        <f t="shared" si="268"/>
        <v>38755</v>
      </c>
      <c r="BE254" s="46">
        <f t="shared" si="269"/>
        <v>100193</v>
      </c>
      <c r="BF254" s="46">
        <f t="shared" si="270"/>
        <v>3729</v>
      </c>
      <c r="BG254" s="46">
        <f t="shared" si="271"/>
        <v>0</v>
      </c>
      <c r="BH254" s="46">
        <v>0</v>
      </c>
      <c r="BI254" s="46">
        <f t="shared" si="272"/>
        <v>103922</v>
      </c>
      <c r="BJ254" s="46">
        <f t="shared" si="273"/>
        <v>38755</v>
      </c>
      <c r="BK254" s="46">
        <f t="shared" si="274"/>
        <v>211403</v>
      </c>
      <c r="BL254" s="46">
        <f t="shared" si="275"/>
        <v>0</v>
      </c>
      <c r="BM254" s="46">
        <f t="shared" si="276"/>
        <v>-38755</v>
      </c>
      <c r="BN254" s="46">
        <v>0</v>
      </c>
      <c r="BO254" s="46">
        <f t="shared" si="277"/>
        <v>172648</v>
      </c>
      <c r="BP254" s="46">
        <f t="shared" si="278"/>
        <v>0</v>
      </c>
      <c r="BQ254" s="46">
        <f t="shared" si="279"/>
        <v>78461</v>
      </c>
      <c r="BR254" s="46">
        <f t="shared" si="280"/>
        <v>0</v>
      </c>
      <c r="BS254" s="46">
        <f t="shared" si="281"/>
        <v>12050</v>
      </c>
      <c r="BT254" s="46">
        <v>0</v>
      </c>
      <c r="BU254" s="46">
        <f t="shared" si="282"/>
        <v>90511</v>
      </c>
      <c r="BV254" s="46">
        <f t="shared" si="283"/>
        <v>12050</v>
      </c>
      <c r="BW254" s="46">
        <f t="shared" si="284"/>
        <v>150352</v>
      </c>
      <c r="BX254" s="46">
        <f t="shared" si="285"/>
        <v>24509</v>
      </c>
      <c r="BY254" s="46">
        <f t="shared" si="286"/>
        <v>-12050</v>
      </c>
      <c r="BZ254" s="46">
        <v>0</v>
      </c>
      <c r="CA254" s="46">
        <f t="shared" si="287"/>
        <v>162811</v>
      </c>
      <c r="CB254" s="46">
        <f t="shared" si="288"/>
        <v>0</v>
      </c>
      <c r="CC254" s="155">
        <f t="shared" si="291"/>
        <v>0</v>
      </c>
      <c r="CD254" s="79" t="s">
        <v>538</v>
      </c>
      <c r="CE254" s="65">
        <f t="shared" si="292"/>
        <v>90511</v>
      </c>
      <c r="CF254" s="65">
        <f t="shared" si="293"/>
        <v>90511</v>
      </c>
      <c r="CG254" s="65">
        <f t="shared" si="294"/>
        <v>86126</v>
      </c>
      <c r="CH254" s="65">
        <f t="shared" si="295"/>
        <v>90511</v>
      </c>
      <c r="CI254" s="65">
        <f t="shared" si="296"/>
        <v>262782</v>
      </c>
      <c r="CJ254" s="65">
        <f t="shared" si="297"/>
        <v>93114</v>
      </c>
      <c r="CK254" s="65">
        <f t="shared" si="298"/>
        <v>160210</v>
      </c>
      <c r="CL254" s="65">
        <f t="shared" si="299"/>
        <v>90511</v>
      </c>
      <c r="CM254" s="65">
        <f t="shared" si="300"/>
        <v>103922</v>
      </c>
      <c r="CN254" s="65">
        <f t="shared" si="301"/>
        <v>172648</v>
      </c>
      <c r="CO254" s="65">
        <f t="shared" si="302"/>
        <v>90511</v>
      </c>
      <c r="CP254" s="65">
        <f t="shared" si="303"/>
        <v>162811</v>
      </c>
      <c r="CQ254" s="40" t="s">
        <v>538</v>
      </c>
    </row>
    <row r="255" spans="1:95" ht="3" customHeight="1" x14ac:dyDescent="0.25">
      <c r="A255" s="39">
        <v>1</v>
      </c>
      <c r="B255" s="28">
        <v>12103</v>
      </c>
      <c r="C255" s="28" t="s">
        <v>424</v>
      </c>
      <c r="D255" s="48">
        <f>+DATA!Q253</f>
        <v>1370753.098</v>
      </c>
      <c r="E255" s="48">
        <f t="shared" si="289"/>
        <v>90241</v>
      </c>
      <c r="F255" s="48">
        <f t="shared" si="290"/>
        <v>137075</v>
      </c>
      <c r="G255" s="49">
        <f>VLOOKUP(B255,'CALC MEC ESTAB Y ESTIM M FINAL'!$B$7:$F$352,5,0)</f>
        <v>7.253806656E-4</v>
      </c>
      <c r="H255" s="49">
        <f>VLOOKUP(B255,'CALC MEC ESTAB Y ESTIM M FINAL'!$B$7:$R$352,17,0)</f>
        <v>-3.8225226099999997E-5</v>
      </c>
      <c r="I255" s="46">
        <f t="shared" si="229"/>
        <v>56657</v>
      </c>
      <c r="J255" s="46">
        <f t="shared" si="230"/>
        <v>0</v>
      </c>
      <c r="K255" s="46">
        <f t="shared" si="231"/>
        <v>33584</v>
      </c>
      <c r="L255" s="46">
        <v>0</v>
      </c>
      <c r="M255" s="46">
        <f t="shared" si="232"/>
        <v>90241</v>
      </c>
      <c r="N255" s="46">
        <f t="shared" si="233"/>
        <v>33584</v>
      </c>
      <c r="O255" s="46">
        <f t="shared" si="234"/>
        <v>30129</v>
      </c>
      <c r="P255" s="46">
        <f t="shared" si="235"/>
        <v>0</v>
      </c>
      <c r="Q255" s="46">
        <f t="shared" si="236"/>
        <v>60112</v>
      </c>
      <c r="R255" s="46">
        <v>0</v>
      </c>
      <c r="S255" s="46">
        <f t="shared" si="237"/>
        <v>90241</v>
      </c>
      <c r="T255" s="46">
        <f t="shared" si="238"/>
        <v>93696</v>
      </c>
      <c r="U255" s="46">
        <f t="shared" si="239"/>
        <v>85950</v>
      </c>
      <c r="V255" s="46">
        <f t="shared" si="240"/>
        <v>0</v>
      </c>
      <c r="W255" s="46">
        <f t="shared" si="241"/>
        <v>0</v>
      </c>
      <c r="X255" s="46">
        <v>0</v>
      </c>
      <c r="Y255" s="46">
        <f t="shared" si="242"/>
        <v>85950</v>
      </c>
      <c r="Z255" s="46">
        <f t="shared" si="243"/>
        <v>93696</v>
      </c>
      <c r="AA255" s="46">
        <f t="shared" si="244"/>
        <v>45638</v>
      </c>
      <c r="AB255" s="46">
        <f t="shared" si="245"/>
        <v>0</v>
      </c>
      <c r="AC255" s="46">
        <f t="shared" si="246"/>
        <v>44603</v>
      </c>
      <c r="AD255" s="46">
        <v>0</v>
      </c>
      <c r="AE255" s="46">
        <f t="shared" si="247"/>
        <v>90241</v>
      </c>
      <c r="AF255" s="46">
        <f t="shared" si="248"/>
        <v>138299</v>
      </c>
      <c r="AG255" s="46">
        <f t="shared" si="249"/>
        <v>397136</v>
      </c>
      <c r="AH255" s="46">
        <f t="shared" si="250"/>
        <v>3665</v>
      </c>
      <c r="AI255" s="46">
        <f t="shared" si="251"/>
        <v>-138299</v>
      </c>
      <c r="AJ255" s="46">
        <v>0</v>
      </c>
      <c r="AK255" s="46">
        <f t="shared" si="252"/>
        <v>262502</v>
      </c>
      <c r="AL255" s="46">
        <f t="shared" si="253"/>
        <v>0</v>
      </c>
      <c r="AM255" s="46">
        <f t="shared" si="254"/>
        <v>78663</v>
      </c>
      <c r="AN255" s="46">
        <f t="shared" si="255"/>
        <v>2598</v>
      </c>
      <c r="AO255" s="46">
        <f t="shared" si="256"/>
        <v>11578</v>
      </c>
      <c r="AP255" s="46">
        <v>0</v>
      </c>
      <c r="AQ255" s="46">
        <f t="shared" si="257"/>
        <v>92839</v>
      </c>
      <c r="AR255" s="46">
        <f t="shared" si="258"/>
        <v>11578</v>
      </c>
      <c r="AS255" s="46">
        <f t="shared" si="259"/>
        <v>156367</v>
      </c>
      <c r="AT255" s="46">
        <f t="shared" si="260"/>
        <v>15180</v>
      </c>
      <c r="AU255" s="46">
        <f t="shared" si="261"/>
        <v>-11578</v>
      </c>
      <c r="AV255" s="46">
        <v>0</v>
      </c>
      <c r="AW255" s="46">
        <f t="shared" si="262"/>
        <v>159969</v>
      </c>
      <c r="AX255" s="46">
        <f t="shared" si="263"/>
        <v>0</v>
      </c>
      <c r="AY255" s="46">
        <f t="shared" si="264"/>
        <v>51650</v>
      </c>
      <c r="AZ255" s="46">
        <f t="shared" si="265"/>
        <v>0</v>
      </c>
      <c r="BA255" s="46">
        <f t="shared" si="266"/>
        <v>38591</v>
      </c>
      <c r="BB255" s="46"/>
      <c r="BC255" s="46">
        <f t="shared" si="267"/>
        <v>90241</v>
      </c>
      <c r="BD255" s="46">
        <f t="shared" si="268"/>
        <v>38591</v>
      </c>
      <c r="BE255" s="46">
        <f t="shared" si="269"/>
        <v>99988</v>
      </c>
      <c r="BF255" s="46">
        <f t="shared" si="270"/>
        <v>3721</v>
      </c>
      <c r="BG255" s="46">
        <f t="shared" si="271"/>
        <v>0</v>
      </c>
      <c r="BH255" s="46">
        <v>0</v>
      </c>
      <c r="BI255" s="46">
        <f t="shared" si="272"/>
        <v>103709</v>
      </c>
      <c r="BJ255" s="46">
        <f t="shared" si="273"/>
        <v>38591</v>
      </c>
      <c r="BK255" s="46">
        <f t="shared" si="274"/>
        <v>210971</v>
      </c>
      <c r="BL255" s="46">
        <f t="shared" si="275"/>
        <v>0</v>
      </c>
      <c r="BM255" s="46">
        <f t="shared" si="276"/>
        <v>-38591</v>
      </c>
      <c r="BN255" s="46">
        <v>0</v>
      </c>
      <c r="BO255" s="46">
        <f t="shared" si="277"/>
        <v>172380</v>
      </c>
      <c r="BP255" s="46">
        <f t="shared" si="278"/>
        <v>0</v>
      </c>
      <c r="BQ255" s="46">
        <f t="shared" si="279"/>
        <v>78300</v>
      </c>
      <c r="BR255" s="46">
        <f t="shared" si="280"/>
        <v>0</v>
      </c>
      <c r="BS255" s="46">
        <f t="shared" si="281"/>
        <v>11941</v>
      </c>
      <c r="BT255" s="46">
        <v>0</v>
      </c>
      <c r="BU255" s="46">
        <f t="shared" si="282"/>
        <v>90241</v>
      </c>
      <c r="BV255" s="46">
        <f t="shared" si="283"/>
        <v>11941</v>
      </c>
      <c r="BW255" s="46">
        <f t="shared" si="284"/>
        <v>150045</v>
      </c>
      <c r="BX255" s="46">
        <f t="shared" si="285"/>
        <v>24459</v>
      </c>
      <c r="BY255" s="46">
        <f t="shared" si="286"/>
        <v>-11941</v>
      </c>
      <c r="BZ255" s="46">
        <v>0</v>
      </c>
      <c r="CA255" s="46">
        <f t="shared" si="287"/>
        <v>162563</v>
      </c>
      <c r="CB255" s="46">
        <f t="shared" si="288"/>
        <v>0</v>
      </c>
      <c r="CC255" s="155">
        <f t="shared" si="291"/>
        <v>0</v>
      </c>
      <c r="CD255" s="79" t="s">
        <v>538</v>
      </c>
      <c r="CE255" s="65">
        <f t="shared" si="292"/>
        <v>90241</v>
      </c>
      <c r="CF255" s="65">
        <f t="shared" si="293"/>
        <v>90241</v>
      </c>
      <c r="CG255" s="65">
        <f t="shared" si="294"/>
        <v>85950</v>
      </c>
      <c r="CH255" s="65">
        <f t="shared" si="295"/>
        <v>90241</v>
      </c>
      <c r="CI255" s="65">
        <f t="shared" si="296"/>
        <v>262502</v>
      </c>
      <c r="CJ255" s="65">
        <f t="shared" si="297"/>
        <v>92839</v>
      </c>
      <c r="CK255" s="65">
        <f t="shared" si="298"/>
        <v>159969</v>
      </c>
      <c r="CL255" s="65">
        <f t="shared" si="299"/>
        <v>90241</v>
      </c>
      <c r="CM255" s="65">
        <f t="shared" si="300"/>
        <v>103709</v>
      </c>
      <c r="CN255" s="65">
        <f t="shared" si="301"/>
        <v>172380</v>
      </c>
      <c r="CO255" s="65">
        <f t="shared" si="302"/>
        <v>90241</v>
      </c>
      <c r="CP255" s="65">
        <f t="shared" si="303"/>
        <v>162563</v>
      </c>
      <c r="CQ255" s="40" t="s">
        <v>538</v>
      </c>
    </row>
    <row r="256" spans="1:95" ht="3" customHeight="1" x14ac:dyDescent="0.25">
      <c r="A256" s="39">
        <v>1</v>
      </c>
      <c r="B256" s="28">
        <v>12104</v>
      </c>
      <c r="C256" s="28" t="s">
        <v>267</v>
      </c>
      <c r="D256" s="48">
        <f>+DATA!Q254</f>
        <v>1382905.818</v>
      </c>
      <c r="E256" s="48">
        <f t="shared" si="289"/>
        <v>91041</v>
      </c>
      <c r="F256" s="48">
        <f t="shared" si="290"/>
        <v>138291</v>
      </c>
      <c r="G256" s="49">
        <f>VLOOKUP(B256,'CALC MEC ESTAB Y ESTIM M FINAL'!$B$7:$F$352,5,0)</f>
        <v>7.3358364199999993E-4</v>
      </c>
      <c r="H256" s="49">
        <f>VLOOKUP(B256,'CALC MEC ESTAB Y ESTIM M FINAL'!$B$7:$R$352,17,0)</f>
        <v>-3.94988484E-5</v>
      </c>
      <c r="I256" s="46">
        <f t="shared" si="229"/>
        <v>57229</v>
      </c>
      <c r="J256" s="46">
        <f t="shared" si="230"/>
        <v>0</v>
      </c>
      <c r="K256" s="46">
        <f t="shared" si="231"/>
        <v>33812</v>
      </c>
      <c r="L256" s="46">
        <v>0</v>
      </c>
      <c r="M256" s="46">
        <f t="shared" si="232"/>
        <v>91041</v>
      </c>
      <c r="N256" s="46">
        <f t="shared" si="233"/>
        <v>33812</v>
      </c>
      <c r="O256" s="46">
        <f t="shared" si="234"/>
        <v>30432</v>
      </c>
      <c r="P256" s="46">
        <f t="shared" si="235"/>
        <v>0</v>
      </c>
      <c r="Q256" s="46">
        <f t="shared" si="236"/>
        <v>60609</v>
      </c>
      <c r="R256" s="46">
        <v>0</v>
      </c>
      <c r="S256" s="46">
        <f t="shared" si="237"/>
        <v>91041</v>
      </c>
      <c r="T256" s="46">
        <f t="shared" si="238"/>
        <v>94421</v>
      </c>
      <c r="U256" s="46">
        <f t="shared" si="239"/>
        <v>86817</v>
      </c>
      <c r="V256" s="46">
        <f t="shared" si="240"/>
        <v>0</v>
      </c>
      <c r="W256" s="46">
        <f t="shared" si="241"/>
        <v>0</v>
      </c>
      <c r="X256" s="46">
        <v>0</v>
      </c>
      <c r="Y256" s="46">
        <f t="shared" si="242"/>
        <v>86817</v>
      </c>
      <c r="Z256" s="46">
        <f t="shared" si="243"/>
        <v>94421</v>
      </c>
      <c r="AA256" s="46">
        <f t="shared" si="244"/>
        <v>46098</v>
      </c>
      <c r="AB256" s="46">
        <f t="shared" si="245"/>
        <v>0</v>
      </c>
      <c r="AC256" s="46">
        <f t="shared" si="246"/>
        <v>44943</v>
      </c>
      <c r="AD256" s="46">
        <v>0</v>
      </c>
      <c r="AE256" s="46">
        <f t="shared" si="247"/>
        <v>91041</v>
      </c>
      <c r="AF256" s="46">
        <f t="shared" si="248"/>
        <v>139364</v>
      </c>
      <c r="AG256" s="46">
        <f t="shared" si="249"/>
        <v>401141</v>
      </c>
      <c r="AH256" s="46">
        <f t="shared" si="250"/>
        <v>3702</v>
      </c>
      <c r="AI256" s="46">
        <f t="shared" si="251"/>
        <v>-139364</v>
      </c>
      <c r="AJ256" s="46">
        <v>0</v>
      </c>
      <c r="AK256" s="46">
        <f t="shared" si="252"/>
        <v>265479</v>
      </c>
      <c r="AL256" s="46">
        <f t="shared" si="253"/>
        <v>0</v>
      </c>
      <c r="AM256" s="46">
        <f t="shared" si="254"/>
        <v>79456</v>
      </c>
      <c r="AN256" s="46">
        <f t="shared" si="255"/>
        <v>2624</v>
      </c>
      <c r="AO256" s="46">
        <f t="shared" si="256"/>
        <v>11585</v>
      </c>
      <c r="AP256" s="46">
        <v>0</v>
      </c>
      <c r="AQ256" s="46">
        <f t="shared" si="257"/>
        <v>93665</v>
      </c>
      <c r="AR256" s="46">
        <f t="shared" si="258"/>
        <v>11585</v>
      </c>
      <c r="AS256" s="46">
        <f t="shared" si="259"/>
        <v>157944</v>
      </c>
      <c r="AT256" s="46">
        <f t="shared" si="260"/>
        <v>15334</v>
      </c>
      <c r="AU256" s="46">
        <f t="shared" si="261"/>
        <v>-11585</v>
      </c>
      <c r="AV256" s="46">
        <v>0</v>
      </c>
      <c r="AW256" s="46">
        <f t="shared" si="262"/>
        <v>161693</v>
      </c>
      <c r="AX256" s="46">
        <f t="shared" si="263"/>
        <v>0</v>
      </c>
      <c r="AY256" s="46">
        <f t="shared" si="264"/>
        <v>52171</v>
      </c>
      <c r="AZ256" s="46">
        <f t="shared" si="265"/>
        <v>0</v>
      </c>
      <c r="BA256" s="46">
        <f t="shared" si="266"/>
        <v>38870</v>
      </c>
      <c r="BB256" s="46"/>
      <c r="BC256" s="46">
        <f t="shared" si="267"/>
        <v>91041</v>
      </c>
      <c r="BD256" s="46">
        <f t="shared" si="268"/>
        <v>38870</v>
      </c>
      <c r="BE256" s="46">
        <f t="shared" si="269"/>
        <v>100997</v>
      </c>
      <c r="BF256" s="46">
        <f t="shared" si="270"/>
        <v>3759</v>
      </c>
      <c r="BG256" s="46">
        <f t="shared" si="271"/>
        <v>0</v>
      </c>
      <c r="BH256" s="46">
        <v>0</v>
      </c>
      <c r="BI256" s="46">
        <f t="shared" si="272"/>
        <v>104756</v>
      </c>
      <c r="BJ256" s="46">
        <f t="shared" si="273"/>
        <v>38870</v>
      </c>
      <c r="BK256" s="46">
        <f t="shared" si="274"/>
        <v>213099</v>
      </c>
      <c r="BL256" s="46">
        <f t="shared" si="275"/>
        <v>0</v>
      </c>
      <c r="BM256" s="46">
        <f t="shared" si="276"/>
        <v>-38870</v>
      </c>
      <c r="BN256" s="46">
        <v>0</v>
      </c>
      <c r="BO256" s="46">
        <f t="shared" si="277"/>
        <v>174229</v>
      </c>
      <c r="BP256" s="46">
        <f t="shared" si="278"/>
        <v>0</v>
      </c>
      <c r="BQ256" s="46">
        <f t="shared" si="279"/>
        <v>79090</v>
      </c>
      <c r="BR256" s="46">
        <f t="shared" si="280"/>
        <v>0</v>
      </c>
      <c r="BS256" s="46">
        <f t="shared" si="281"/>
        <v>11951</v>
      </c>
      <c r="BT256" s="46">
        <v>0</v>
      </c>
      <c r="BU256" s="46">
        <f t="shared" si="282"/>
        <v>91041</v>
      </c>
      <c r="BV256" s="46">
        <f t="shared" si="283"/>
        <v>11951</v>
      </c>
      <c r="BW256" s="46">
        <f t="shared" si="284"/>
        <v>151558</v>
      </c>
      <c r="BX256" s="46">
        <f t="shared" si="285"/>
        <v>24706</v>
      </c>
      <c r="BY256" s="46">
        <f t="shared" si="286"/>
        <v>-11951</v>
      </c>
      <c r="BZ256" s="46">
        <v>0</v>
      </c>
      <c r="CA256" s="46">
        <f t="shared" si="287"/>
        <v>164313</v>
      </c>
      <c r="CB256" s="46">
        <f t="shared" si="288"/>
        <v>0</v>
      </c>
      <c r="CC256" s="155">
        <f t="shared" si="291"/>
        <v>0</v>
      </c>
      <c r="CD256" s="79" t="s">
        <v>538</v>
      </c>
      <c r="CE256" s="65">
        <f t="shared" si="292"/>
        <v>91041</v>
      </c>
      <c r="CF256" s="65">
        <f t="shared" si="293"/>
        <v>91041</v>
      </c>
      <c r="CG256" s="65">
        <f t="shared" si="294"/>
        <v>86817</v>
      </c>
      <c r="CH256" s="65">
        <f t="shared" si="295"/>
        <v>91041</v>
      </c>
      <c r="CI256" s="65">
        <f t="shared" si="296"/>
        <v>265479</v>
      </c>
      <c r="CJ256" s="65">
        <f t="shared" si="297"/>
        <v>93665</v>
      </c>
      <c r="CK256" s="65">
        <f t="shared" si="298"/>
        <v>161693</v>
      </c>
      <c r="CL256" s="65">
        <f t="shared" si="299"/>
        <v>91041</v>
      </c>
      <c r="CM256" s="65">
        <f t="shared" si="300"/>
        <v>104756</v>
      </c>
      <c r="CN256" s="65">
        <f t="shared" si="301"/>
        <v>174229</v>
      </c>
      <c r="CO256" s="65">
        <f t="shared" si="302"/>
        <v>91041</v>
      </c>
      <c r="CP256" s="65">
        <f t="shared" si="303"/>
        <v>164313</v>
      </c>
      <c r="CQ256" s="40" t="s">
        <v>538</v>
      </c>
    </row>
    <row r="257" spans="1:95" ht="3" customHeight="1" x14ac:dyDescent="0.25">
      <c r="A257" s="39">
        <v>1</v>
      </c>
      <c r="B257" s="28">
        <v>12201</v>
      </c>
      <c r="C257" s="28" t="s">
        <v>273</v>
      </c>
      <c r="D257" s="48">
        <f>+DATA!Q255</f>
        <v>1677703.0379999999</v>
      </c>
      <c r="E257" s="48">
        <f t="shared" si="289"/>
        <v>110449</v>
      </c>
      <c r="F257" s="48">
        <f t="shared" si="290"/>
        <v>167770</v>
      </c>
      <c r="G257" s="49">
        <f>VLOOKUP(B257,'CALC MEC ESTAB Y ESTIM M FINAL'!$B$7:$F$352,5,0)</f>
        <v>8.8254157359999989E-4</v>
      </c>
      <c r="H257" s="49">
        <f>VLOOKUP(B257,'CALC MEC ESTAB Y ESTIM M FINAL'!$B$7:$R$352,17,0)</f>
        <v>-4.3985592300000001E-5</v>
      </c>
      <c r="I257" s="46">
        <f t="shared" si="229"/>
        <v>69141</v>
      </c>
      <c r="J257" s="46">
        <f t="shared" si="230"/>
        <v>0</v>
      </c>
      <c r="K257" s="46">
        <f t="shared" si="231"/>
        <v>41308</v>
      </c>
      <c r="L257" s="46">
        <v>0</v>
      </c>
      <c r="M257" s="46">
        <f t="shared" si="232"/>
        <v>110449</v>
      </c>
      <c r="N257" s="46">
        <f t="shared" si="233"/>
        <v>41308</v>
      </c>
      <c r="O257" s="46">
        <f t="shared" si="234"/>
        <v>36767</v>
      </c>
      <c r="P257" s="46">
        <f t="shared" si="235"/>
        <v>0</v>
      </c>
      <c r="Q257" s="46">
        <f t="shared" si="236"/>
        <v>73682</v>
      </c>
      <c r="R257" s="46">
        <v>0</v>
      </c>
      <c r="S257" s="46">
        <f t="shared" si="237"/>
        <v>110449</v>
      </c>
      <c r="T257" s="46">
        <f t="shared" si="238"/>
        <v>114990</v>
      </c>
      <c r="U257" s="46">
        <f t="shared" si="239"/>
        <v>104887</v>
      </c>
      <c r="V257" s="46">
        <f t="shared" si="240"/>
        <v>0</v>
      </c>
      <c r="W257" s="46">
        <f t="shared" si="241"/>
        <v>0</v>
      </c>
      <c r="X257" s="46">
        <v>0</v>
      </c>
      <c r="Y257" s="46">
        <f t="shared" si="242"/>
        <v>104887</v>
      </c>
      <c r="Z257" s="46">
        <f t="shared" si="243"/>
        <v>114990</v>
      </c>
      <c r="AA257" s="46">
        <f t="shared" si="244"/>
        <v>55693</v>
      </c>
      <c r="AB257" s="46">
        <f t="shared" si="245"/>
        <v>0</v>
      </c>
      <c r="AC257" s="46">
        <f t="shared" si="246"/>
        <v>54756</v>
      </c>
      <c r="AD257" s="46">
        <v>0</v>
      </c>
      <c r="AE257" s="46">
        <f t="shared" si="247"/>
        <v>110449</v>
      </c>
      <c r="AF257" s="46">
        <f t="shared" si="248"/>
        <v>169746</v>
      </c>
      <c r="AG257" s="46">
        <f t="shared" si="249"/>
        <v>484637</v>
      </c>
      <c r="AH257" s="46">
        <f t="shared" si="250"/>
        <v>4473</v>
      </c>
      <c r="AI257" s="46">
        <f t="shared" si="251"/>
        <v>-169746</v>
      </c>
      <c r="AJ257" s="46">
        <v>0</v>
      </c>
      <c r="AK257" s="46">
        <f t="shared" si="252"/>
        <v>319364</v>
      </c>
      <c r="AL257" s="46">
        <f t="shared" si="253"/>
        <v>0</v>
      </c>
      <c r="AM257" s="46">
        <f t="shared" si="254"/>
        <v>95994</v>
      </c>
      <c r="AN257" s="46">
        <f t="shared" si="255"/>
        <v>3170</v>
      </c>
      <c r="AO257" s="46">
        <f t="shared" si="256"/>
        <v>14455</v>
      </c>
      <c r="AP257" s="46">
        <v>0</v>
      </c>
      <c r="AQ257" s="46">
        <f t="shared" si="257"/>
        <v>113619</v>
      </c>
      <c r="AR257" s="46">
        <f t="shared" si="258"/>
        <v>14455</v>
      </c>
      <c r="AS257" s="46">
        <f t="shared" si="259"/>
        <v>190819</v>
      </c>
      <c r="AT257" s="46">
        <f t="shared" si="260"/>
        <v>18525</v>
      </c>
      <c r="AU257" s="46">
        <f t="shared" si="261"/>
        <v>-14455</v>
      </c>
      <c r="AV257" s="46">
        <v>0</v>
      </c>
      <c r="AW257" s="46">
        <f t="shared" si="262"/>
        <v>194889</v>
      </c>
      <c r="AX257" s="46">
        <f t="shared" si="263"/>
        <v>0</v>
      </c>
      <c r="AY257" s="46">
        <f t="shared" si="264"/>
        <v>63031</v>
      </c>
      <c r="AZ257" s="46">
        <f t="shared" si="265"/>
        <v>0</v>
      </c>
      <c r="BA257" s="46">
        <f t="shared" si="266"/>
        <v>47418</v>
      </c>
      <c r="BB257" s="46"/>
      <c r="BC257" s="46">
        <f t="shared" si="267"/>
        <v>110449</v>
      </c>
      <c r="BD257" s="46">
        <f t="shared" si="268"/>
        <v>47418</v>
      </c>
      <c r="BE257" s="46">
        <f t="shared" si="269"/>
        <v>122019</v>
      </c>
      <c r="BF257" s="46">
        <f t="shared" si="270"/>
        <v>4541</v>
      </c>
      <c r="BG257" s="46">
        <f t="shared" si="271"/>
        <v>0</v>
      </c>
      <c r="BH257" s="46">
        <v>0</v>
      </c>
      <c r="BI257" s="46">
        <f t="shared" si="272"/>
        <v>126560</v>
      </c>
      <c r="BJ257" s="46">
        <f t="shared" si="273"/>
        <v>47418</v>
      </c>
      <c r="BK257" s="46">
        <f t="shared" si="274"/>
        <v>257455</v>
      </c>
      <c r="BL257" s="46">
        <f t="shared" si="275"/>
        <v>0</v>
      </c>
      <c r="BM257" s="46">
        <f t="shared" si="276"/>
        <v>-47418</v>
      </c>
      <c r="BN257" s="46">
        <v>0</v>
      </c>
      <c r="BO257" s="46">
        <f t="shared" si="277"/>
        <v>210037</v>
      </c>
      <c r="BP257" s="46">
        <f t="shared" si="278"/>
        <v>0</v>
      </c>
      <c r="BQ257" s="46">
        <f t="shared" si="279"/>
        <v>95552</v>
      </c>
      <c r="BR257" s="46">
        <f t="shared" si="280"/>
        <v>0</v>
      </c>
      <c r="BS257" s="46">
        <f t="shared" si="281"/>
        <v>14897</v>
      </c>
      <c r="BT257" s="46">
        <v>0</v>
      </c>
      <c r="BU257" s="46">
        <f t="shared" si="282"/>
        <v>110449</v>
      </c>
      <c r="BV257" s="46">
        <f t="shared" si="283"/>
        <v>14897</v>
      </c>
      <c r="BW257" s="46">
        <f t="shared" si="284"/>
        <v>183105</v>
      </c>
      <c r="BX257" s="46">
        <f t="shared" si="285"/>
        <v>29848</v>
      </c>
      <c r="BY257" s="46">
        <f t="shared" si="286"/>
        <v>-14897</v>
      </c>
      <c r="BZ257" s="46">
        <v>0</v>
      </c>
      <c r="CA257" s="46">
        <f t="shared" si="287"/>
        <v>198056</v>
      </c>
      <c r="CB257" s="46">
        <f t="shared" si="288"/>
        <v>0</v>
      </c>
      <c r="CC257" s="155">
        <f t="shared" si="291"/>
        <v>0</v>
      </c>
      <c r="CD257" s="79" t="s">
        <v>538</v>
      </c>
      <c r="CE257" s="65">
        <f t="shared" si="292"/>
        <v>110449</v>
      </c>
      <c r="CF257" s="65">
        <f t="shared" si="293"/>
        <v>110449</v>
      </c>
      <c r="CG257" s="65">
        <f t="shared" si="294"/>
        <v>104887</v>
      </c>
      <c r="CH257" s="65">
        <f t="shared" si="295"/>
        <v>110449</v>
      </c>
      <c r="CI257" s="65">
        <f t="shared" si="296"/>
        <v>319364</v>
      </c>
      <c r="CJ257" s="65">
        <f t="shared" si="297"/>
        <v>113619</v>
      </c>
      <c r="CK257" s="65">
        <f t="shared" si="298"/>
        <v>194889</v>
      </c>
      <c r="CL257" s="65">
        <f t="shared" si="299"/>
        <v>110449</v>
      </c>
      <c r="CM257" s="65">
        <f t="shared" si="300"/>
        <v>126560</v>
      </c>
      <c r="CN257" s="65">
        <f t="shared" si="301"/>
        <v>210037</v>
      </c>
      <c r="CO257" s="65">
        <f t="shared" si="302"/>
        <v>110449</v>
      </c>
      <c r="CP257" s="65">
        <f t="shared" si="303"/>
        <v>198056</v>
      </c>
      <c r="CQ257" s="40" t="s">
        <v>538</v>
      </c>
    </row>
    <row r="258" spans="1:95" ht="3" customHeight="1" x14ac:dyDescent="0.25">
      <c r="A258" s="39">
        <v>1</v>
      </c>
      <c r="B258" s="28">
        <v>12202</v>
      </c>
      <c r="C258" s="28" t="s">
        <v>472</v>
      </c>
      <c r="D258" s="48">
        <f>+DATA!Q256</f>
        <v>1362356.0819999999</v>
      </c>
      <c r="E258" s="48">
        <f t="shared" si="289"/>
        <v>89688</v>
      </c>
      <c r="F258" s="48">
        <f t="shared" si="290"/>
        <v>136236</v>
      </c>
      <c r="G258" s="49">
        <f>VLOOKUP(B258,'CALC MEC ESTAB Y ESTIM M FINAL'!$B$7:$F$352,5,0)</f>
        <v>7.2254335259999995E-4</v>
      </c>
      <c r="H258" s="49">
        <f>VLOOKUP(B258,'CALC MEC ESTAB Y ESTIM M FINAL'!$B$7:$R$352,17,0)</f>
        <v>-3.8857280999999999E-5</v>
      </c>
      <c r="I258" s="46">
        <f t="shared" si="229"/>
        <v>56371</v>
      </c>
      <c r="J258" s="46">
        <f t="shared" si="230"/>
        <v>0</v>
      </c>
      <c r="K258" s="46">
        <f t="shared" si="231"/>
        <v>33317</v>
      </c>
      <c r="L258" s="46">
        <v>0</v>
      </c>
      <c r="M258" s="46">
        <f t="shared" si="232"/>
        <v>89688</v>
      </c>
      <c r="N258" s="46">
        <f t="shared" si="233"/>
        <v>33317</v>
      </c>
      <c r="O258" s="46">
        <f t="shared" si="234"/>
        <v>29976</v>
      </c>
      <c r="P258" s="46">
        <f t="shared" si="235"/>
        <v>0</v>
      </c>
      <c r="Q258" s="46">
        <f t="shared" si="236"/>
        <v>59712</v>
      </c>
      <c r="R258" s="46">
        <v>0</v>
      </c>
      <c r="S258" s="46">
        <f t="shared" si="237"/>
        <v>89688</v>
      </c>
      <c r="T258" s="46">
        <f t="shared" si="238"/>
        <v>93029</v>
      </c>
      <c r="U258" s="46">
        <f t="shared" si="239"/>
        <v>85516</v>
      </c>
      <c r="V258" s="46">
        <f t="shared" si="240"/>
        <v>0</v>
      </c>
      <c r="W258" s="46">
        <f t="shared" si="241"/>
        <v>0</v>
      </c>
      <c r="X258" s="46">
        <v>0</v>
      </c>
      <c r="Y258" s="46">
        <f t="shared" si="242"/>
        <v>85516</v>
      </c>
      <c r="Z258" s="46">
        <f t="shared" si="243"/>
        <v>93029</v>
      </c>
      <c r="AA258" s="46">
        <f t="shared" si="244"/>
        <v>45408</v>
      </c>
      <c r="AB258" s="46">
        <f t="shared" si="245"/>
        <v>0</v>
      </c>
      <c r="AC258" s="46">
        <f t="shared" si="246"/>
        <v>44280</v>
      </c>
      <c r="AD258" s="46">
        <v>0</v>
      </c>
      <c r="AE258" s="46">
        <f t="shared" si="247"/>
        <v>89688</v>
      </c>
      <c r="AF258" s="46">
        <f t="shared" si="248"/>
        <v>137309</v>
      </c>
      <c r="AG258" s="46">
        <f t="shared" si="249"/>
        <v>395131</v>
      </c>
      <c r="AH258" s="46">
        <f t="shared" si="250"/>
        <v>3647</v>
      </c>
      <c r="AI258" s="46">
        <f t="shared" si="251"/>
        <v>-137309</v>
      </c>
      <c r="AJ258" s="46">
        <v>0</v>
      </c>
      <c r="AK258" s="46">
        <f t="shared" si="252"/>
        <v>261469</v>
      </c>
      <c r="AL258" s="46">
        <f t="shared" si="253"/>
        <v>0</v>
      </c>
      <c r="AM258" s="46">
        <f t="shared" si="254"/>
        <v>78265</v>
      </c>
      <c r="AN258" s="46">
        <f t="shared" si="255"/>
        <v>2585</v>
      </c>
      <c r="AO258" s="46">
        <f t="shared" si="256"/>
        <v>11423</v>
      </c>
      <c r="AP258" s="46">
        <v>0</v>
      </c>
      <c r="AQ258" s="46">
        <f t="shared" si="257"/>
        <v>92273</v>
      </c>
      <c r="AR258" s="46">
        <f t="shared" si="258"/>
        <v>11423</v>
      </c>
      <c r="AS258" s="46">
        <f t="shared" si="259"/>
        <v>155578</v>
      </c>
      <c r="AT258" s="46">
        <f t="shared" si="260"/>
        <v>15104</v>
      </c>
      <c r="AU258" s="46">
        <f t="shared" si="261"/>
        <v>-11423</v>
      </c>
      <c r="AV258" s="46">
        <v>0</v>
      </c>
      <c r="AW258" s="46">
        <f t="shared" si="262"/>
        <v>159259</v>
      </c>
      <c r="AX258" s="46">
        <f t="shared" si="263"/>
        <v>0</v>
      </c>
      <c r="AY258" s="46">
        <f t="shared" si="264"/>
        <v>51390</v>
      </c>
      <c r="AZ258" s="46">
        <f t="shared" si="265"/>
        <v>0</v>
      </c>
      <c r="BA258" s="46">
        <f t="shared" si="266"/>
        <v>38298</v>
      </c>
      <c r="BB258" s="46"/>
      <c r="BC258" s="46">
        <f t="shared" si="267"/>
        <v>89688</v>
      </c>
      <c r="BD258" s="46">
        <f t="shared" si="268"/>
        <v>38298</v>
      </c>
      <c r="BE258" s="46">
        <f t="shared" si="269"/>
        <v>99484</v>
      </c>
      <c r="BF258" s="46">
        <f t="shared" si="270"/>
        <v>3703</v>
      </c>
      <c r="BG258" s="46">
        <f t="shared" si="271"/>
        <v>0</v>
      </c>
      <c r="BH258" s="46">
        <v>0</v>
      </c>
      <c r="BI258" s="46">
        <f t="shared" si="272"/>
        <v>103187</v>
      </c>
      <c r="BJ258" s="46">
        <f t="shared" si="273"/>
        <v>38298</v>
      </c>
      <c r="BK258" s="46">
        <f t="shared" si="274"/>
        <v>209906</v>
      </c>
      <c r="BL258" s="46">
        <f t="shared" si="275"/>
        <v>0</v>
      </c>
      <c r="BM258" s="46">
        <f t="shared" si="276"/>
        <v>-38298</v>
      </c>
      <c r="BN258" s="46">
        <v>0</v>
      </c>
      <c r="BO258" s="46">
        <f t="shared" si="277"/>
        <v>171608</v>
      </c>
      <c r="BP258" s="46">
        <f t="shared" si="278"/>
        <v>0</v>
      </c>
      <c r="BQ258" s="46">
        <f t="shared" si="279"/>
        <v>77905</v>
      </c>
      <c r="BR258" s="46">
        <f t="shared" si="280"/>
        <v>0</v>
      </c>
      <c r="BS258" s="46">
        <f t="shared" si="281"/>
        <v>11783</v>
      </c>
      <c r="BT258" s="46">
        <v>0</v>
      </c>
      <c r="BU258" s="46">
        <f t="shared" si="282"/>
        <v>89688</v>
      </c>
      <c r="BV258" s="46">
        <f t="shared" si="283"/>
        <v>11783</v>
      </c>
      <c r="BW258" s="46">
        <f t="shared" si="284"/>
        <v>149288</v>
      </c>
      <c r="BX258" s="46">
        <f t="shared" si="285"/>
        <v>24335</v>
      </c>
      <c r="BY258" s="46">
        <f t="shared" si="286"/>
        <v>-11783</v>
      </c>
      <c r="BZ258" s="46">
        <v>0</v>
      </c>
      <c r="CA258" s="46">
        <f t="shared" si="287"/>
        <v>161840</v>
      </c>
      <c r="CB258" s="46">
        <f t="shared" si="288"/>
        <v>0</v>
      </c>
      <c r="CC258" s="155">
        <f t="shared" si="291"/>
        <v>0</v>
      </c>
      <c r="CD258" s="79" t="s">
        <v>538</v>
      </c>
      <c r="CE258" s="65">
        <f t="shared" si="292"/>
        <v>89688</v>
      </c>
      <c r="CF258" s="65">
        <f t="shared" si="293"/>
        <v>89688</v>
      </c>
      <c r="CG258" s="65">
        <f t="shared" si="294"/>
        <v>85516</v>
      </c>
      <c r="CH258" s="65">
        <f t="shared" si="295"/>
        <v>89688</v>
      </c>
      <c r="CI258" s="65">
        <f t="shared" si="296"/>
        <v>261469</v>
      </c>
      <c r="CJ258" s="65">
        <f t="shared" si="297"/>
        <v>92273</v>
      </c>
      <c r="CK258" s="65">
        <f t="shared" si="298"/>
        <v>159259</v>
      </c>
      <c r="CL258" s="65">
        <f t="shared" si="299"/>
        <v>89688</v>
      </c>
      <c r="CM258" s="65">
        <f t="shared" si="300"/>
        <v>103187</v>
      </c>
      <c r="CN258" s="65">
        <f t="shared" si="301"/>
        <v>171608</v>
      </c>
      <c r="CO258" s="65">
        <f t="shared" si="302"/>
        <v>89688</v>
      </c>
      <c r="CP258" s="65">
        <f t="shared" si="303"/>
        <v>161840</v>
      </c>
      <c r="CQ258" s="40" t="s">
        <v>538</v>
      </c>
    </row>
    <row r="259" spans="1:95" ht="3" customHeight="1" x14ac:dyDescent="0.25">
      <c r="A259" s="39">
        <v>1</v>
      </c>
      <c r="B259" s="28">
        <v>12301</v>
      </c>
      <c r="C259" s="28" t="s">
        <v>270</v>
      </c>
      <c r="D259" s="48">
        <f>+DATA!Q257</f>
        <v>1946505.3289999999</v>
      </c>
      <c r="E259" s="48">
        <f t="shared" si="289"/>
        <v>128145</v>
      </c>
      <c r="F259" s="48">
        <f t="shared" si="290"/>
        <v>194651</v>
      </c>
      <c r="G259" s="49">
        <f>VLOOKUP(B259,'CALC MEC ESTAB Y ESTIM M FINAL'!$B$7:$F$352,5,0)</f>
        <v>1.0096170824999999E-3</v>
      </c>
      <c r="H259" s="49">
        <f>VLOOKUP(B259,'CALC MEC ESTAB Y ESTIM M FINAL'!$B$7:$R$352,17,0)</f>
        <v>-4.3200984600000001E-5</v>
      </c>
      <c r="I259" s="46">
        <f t="shared" si="229"/>
        <v>79683</v>
      </c>
      <c r="J259" s="46">
        <f t="shared" si="230"/>
        <v>0</v>
      </c>
      <c r="K259" s="46">
        <f t="shared" si="231"/>
        <v>48462</v>
      </c>
      <c r="L259" s="46">
        <v>0</v>
      </c>
      <c r="M259" s="46">
        <f t="shared" si="232"/>
        <v>128145</v>
      </c>
      <c r="N259" s="46">
        <f t="shared" si="233"/>
        <v>48462</v>
      </c>
      <c r="O259" s="46">
        <f t="shared" si="234"/>
        <v>42373</v>
      </c>
      <c r="P259" s="46">
        <f t="shared" si="235"/>
        <v>0</v>
      </c>
      <c r="Q259" s="46">
        <f t="shared" si="236"/>
        <v>85772</v>
      </c>
      <c r="R259" s="46">
        <v>0</v>
      </c>
      <c r="S259" s="46">
        <f t="shared" si="237"/>
        <v>128145</v>
      </c>
      <c r="T259" s="46">
        <f t="shared" si="238"/>
        <v>134234</v>
      </c>
      <c r="U259" s="46">
        <f t="shared" si="239"/>
        <v>120880</v>
      </c>
      <c r="V259" s="46">
        <f t="shared" si="240"/>
        <v>0</v>
      </c>
      <c r="W259" s="46">
        <f t="shared" si="241"/>
        <v>0</v>
      </c>
      <c r="X259" s="46">
        <v>0</v>
      </c>
      <c r="Y259" s="46">
        <f t="shared" si="242"/>
        <v>120880</v>
      </c>
      <c r="Z259" s="46">
        <f t="shared" si="243"/>
        <v>134234</v>
      </c>
      <c r="AA259" s="46">
        <f t="shared" si="244"/>
        <v>64185</v>
      </c>
      <c r="AB259" s="46">
        <f t="shared" si="245"/>
        <v>0</v>
      </c>
      <c r="AC259" s="46">
        <f t="shared" si="246"/>
        <v>63960</v>
      </c>
      <c r="AD259" s="46">
        <v>0</v>
      </c>
      <c r="AE259" s="46">
        <f t="shared" si="247"/>
        <v>128145</v>
      </c>
      <c r="AF259" s="46">
        <f t="shared" si="248"/>
        <v>198194</v>
      </c>
      <c r="AG259" s="46">
        <f t="shared" si="249"/>
        <v>558533</v>
      </c>
      <c r="AH259" s="46">
        <f t="shared" si="250"/>
        <v>5155</v>
      </c>
      <c r="AI259" s="46">
        <f t="shared" si="251"/>
        <v>-198194</v>
      </c>
      <c r="AJ259" s="46">
        <v>0</v>
      </c>
      <c r="AK259" s="46">
        <f t="shared" si="252"/>
        <v>365494</v>
      </c>
      <c r="AL259" s="46">
        <f t="shared" si="253"/>
        <v>0</v>
      </c>
      <c r="AM259" s="46">
        <f t="shared" si="254"/>
        <v>110631</v>
      </c>
      <c r="AN259" s="46">
        <f t="shared" si="255"/>
        <v>3653</v>
      </c>
      <c r="AO259" s="46">
        <f t="shared" si="256"/>
        <v>17514</v>
      </c>
      <c r="AP259" s="46">
        <v>0</v>
      </c>
      <c r="AQ259" s="46">
        <f t="shared" si="257"/>
        <v>131798</v>
      </c>
      <c r="AR259" s="46">
        <f t="shared" si="258"/>
        <v>17514</v>
      </c>
      <c r="AS259" s="46">
        <f t="shared" si="259"/>
        <v>219915</v>
      </c>
      <c r="AT259" s="46">
        <f t="shared" si="260"/>
        <v>21350</v>
      </c>
      <c r="AU259" s="46">
        <f t="shared" si="261"/>
        <v>-17514</v>
      </c>
      <c r="AV259" s="46">
        <v>0</v>
      </c>
      <c r="AW259" s="46">
        <f t="shared" si="262"/>
        <v>223751</v>
      </c>
      <c r="AX259" s="46">
        <f t="shared" si="263"/>
        <v>0</v>
      </c>
      <c r="AY259" s="46">
        <f t="shared" si="264"/>
        <v>72641</v>
      </c>
      <c r="AZ259" s="46">
        <f t="shared" si="265"/>
        <v>0</v>
      </c>
      <c r="BA259" s="46">
        <f t="shared" si="266"/>
        <v>55504</v>
      </c>
      <c r="BB259" s="46"/>
      <c r="BC259" s="46">
        <f t="shared" si="267"/>
        <v>128145</v>
      </c>
      <c r="BD259" s="46">
        <f t="shared" si="268"/>
        <v>55504</v>
      </c>
      <c r="BE259" s="46">
        <f t="shared" si="269"/>
        <v>140624</v>
      </c>
      <c r="BF259" s="46">
        <f t="shared" si="270"/>
        <v>5234</v>
      </c>
      <c r="BG259" s="46">
        <f t="shared" si="271"/>
        <v>0</v>
      </c>
      <c r="BH259" s="46">
        <v>0</v>
      </c>
      <c r="BI259" s="46">
        <f t="shared" si="272"/>
        <v>145858</v>
      </c>
      <c r="BJ259" s="46">
        <f t="shared" si="273"/>
        <v>55504</v>
      </c>
      <c r="BK259" s="46">
        <f t="shared" si="274"/>
        <v>296710</v>
      </c>
      <c r="BL259" s="46">
        <f t="shared" si="275"/>
        <v>0</v>
      </c>
      <c r="BM259" s="46">
        <f t="shared" si="276"/>
        <v>-55504</v>
      </c>
      <c r="BN259" s="46">
        <v>0</v>
      </c>
      <c r="BO259" s="46">
        <f t="shared" si="277"/>
        <v>241206</v>
      </c>
      <c r="BP259" s="46">
        <f t="shared" si="278"/>
        <v>0</v>
      </c>
      <c r="BQ259" s="46">
        <f t="shared" si="279"/>
        <v>110122</v>
      </c>
      <c r="BR259" s="46">
        <f t="shared" si="280"/>
        <v>0</v>
      </c>
      <c r="BS259" s="46">
        <f t="shared" si="281"/>
        <v>18023</v>
      </c>
      <c r="BT259" s="46">
        <v>0</v>
      </c>
      <c r="BU259" s="46">
        <f t="shared" si="282"/>
        <v>128145</v>
      </c>
      <c r="BV259" s="46">
        <f t="shared" si="283"/>
        <v>18023</v>
      </c>
      <c r="BW259" s="46">
        <f t="shared" si="284"/>
        <v>211024</v>
      </c>
      <c r="BX259" s="46">
        <f t="shared" si="285"/>
        <v>34399</v>
      </c>
      <c r="BY259" s="46">
        <f t="shared" si="286"/>
        <v>-18023</v>
      </c>
      <c r="BZ259" s="46">
        <v>0</v>
      </c>
      <c r="CA259" s="46">
        <f t="shared" si="287"/>
        <v>227400</v>
      </c>
      <c r="CB259" s="46">
        <f t="shared" si="288"/>
        <v>0</v>
      </c>
      <c r="CC259" s="155">
        <f t="shared" si="291"/>
        <v>0</v>
      </c>
      <c r="CD259" s="79" t="s">
        <v>538</v>
      </c>
      <c r="CE259" s="65">
        <f t="shared" si="292"/>
        <v>128145</v>
      </c>
      <c r="CF259" s="65">
        <f t="shared" si="293"/>
        <v>128145</v>
      </c>
      <c r="CG259" s="65">
        <f t="shared" si="294"/>
        <v>120880</v>
      </c>
      <c r="CH259" s="65">
        <f t="shared" si="295"/>
        <v>128145</v>
      </c>
      <c r="CI259" s="65">
        <f t="shared" si="296"/>
        <v>365494</v>
      </c>
      <c r="CJ259" s="65">
        <f t="shared" si="297"/>
        <v>131798</v>
      </c>
      <c r="CK259" s="65">
        <f t="shared" si="298"/>
        <v>223751</v>
      </c>
      <c r="CL259" s="65">
        <f t="shared" si="299"/>
        <v>128145</v>
      </c>
      <c r="CM259" s="65">
        <f t="shared" si="300"/>
        <v>145858</v>
      </c>
      <c r="CN259" s="65">
        <f t="shared" si="301"/>
        <v>241206</v>
      </c>
      <c r="CO259" s="65">
        <f t="shared" si="302"/>
        <v>128145</v>
      </c>
      <c r="CP259" s="65">
        <f t="shared" si="303"/>
        <v>227400</v>
      </c>
      <c r="CQ259" s="40" t="s">
        <v>538</v>
      </c>
    </row>
    <row r="260" spans="1:95" ht="3" customHeight="1" x14ac:dyDescent="0.25">
      <c r="A260" s="39">
        <v>1</v>
      </c>
      <c r="B260" s="28">
        <v>12302</v>
      </c>
      <c r="C260" s="28" t="s">
        <v>271</v>
      </c>
      <c r="D260" s="48">
        <f>+DATA!Q258</f>
        <v>1439538.142</v>
      </c>
      <c r="E260" s="48">
        <f t="shared" si="289"/>
        <v>94770</v>
      </c>
      <c r="F260" s="48">
        <f t="shared" si="290"/>
        <v>143954</v>
      </c>
      <c r="G260" s="49">
        <f>VLOOKUP(B260,'CALC MEC ESTAB Y ESTIM M FINAL'!$B$7:$F$352,5,0)</f>
        <v>8.0180119699999985E-4</v>
      </c>
      <c r="H260" s="49">
        <f>VLOOKUP(B260,'CALC MEC ESTAB Y ESTIM M FINAL'!$B$7:$R$352,17,0)</f>
        <v>-6.1989995399999994E-5</v>
      </c>
      <c r="I260" s="46">
        <f t="shared" si="229"/>
        <v>60999</v>
      </c>
      <c r="J260" s="46">
        <f t="shared" si="230"/>
        <v>0</v>
      </c>
      <c r="K260" s="46">
        <f t="shared" si="231"/>
        <v>33771</v>
      </c>
      <c r="L260" s="46">
        <v>0</v>
      </c>
      <c r="M260" s="46">
        <f t="shared" si="232"/>
        <v>94770</v>
      </c>
      <c r="N260" s="46">
        <f t="shared" si="233"/>
        <v>33771</v>
      </c>
      <c r="O260" s="46">
        <f t="shared" si="234"/>
        <v>32437</v>
      </c>
      <c r="P260" s="46">
        <f t="shared" si="235"/>
        <v>0</v>
      </c>
      <c r="Q260" s="46">
        <f t="shared" si="236"/>
        <v>62333</v>
      </c>
      <c r="R260" s="46">
        <v>0</v>
      </c>
      <c r="S260" s="46">
        <f t="shared" si="237"/>
        <v>94770</v>
      </c>
      <c r="T260" s="46">
        <f t="shared" si="238"/>
        <v>96104</v>
      </c>
      <c r="U260" s="46">
        <f t="shared" si="239"/>
        <v>92536</v>
      </c>
      <c r="V260" s="46">
        <f t="shared" si="240"/>
        <v>0</v>
      </c>
      <c r="W260" s="46">
        <f t="shared" si="241"/>
        <v>0</v>
      </c>
      <c r="X260" s="46">
        <v>0</v>
      </c>
      <c r="Y260" s="46">
        <f t="shared" si="242"/>
        <v>92536</v>
      </c>
      <c r="Z260" s="46">
        <f t="shared" si="243"/>
        <v>96104</v>
      </c>
      <c r="AA260" s="46">
        <f t="shared" si="244"/>
        <v>49135</v>
      </c>
      <c r="AB260" s="46">
        <f t="shared" si="245"/>
        <v>0</v>
      </c>
      <c r="AC260" s="46">
        <f t="shared" si="246"/>
        <v>45635</v>
      </c>
      <c r="AD260" s="46">
        <v>0</v>
      </c>
      <c r="AE260" s="46">
        <f t="shared" si="247"/>
        <v>94770</v>
      </c>
      <c r="AF260" s="46">
        <f t="shared" si="248"/>
        <v>141739</v>
      </c>
      <c r="AG260" s="46">
        <f t="shared" si="249"/>
        <v>427568</v>
      </c>
      <c r="AH260" s="46">
        <f t="shared" si="250"/>
        <v>3946</v>
      </c>
      <c r="AI260" s="46">
        <f t="shared" si="251"/>
        <v>-141739</v>
      </c>
      <c r="AJ260" s="46">
        <v>0</v>
      </c>
      <c r="AK260" s="46">
        <f t="shared" si="252"/>
        <v>289775</v>
      </c>
      <c r="AL260" s="46">
        <f t="shared" si="253"/>
        <v>0</v>
      </c>
      <c r="AM260" s="46">
        <f t="shared" si="254"/>
        <v>84690</v>
      </c>
      <c r="AN260" s="46">
        <f t="shared" si="255"/>
        <v>2797</v>
      </c>
      <c r="AO260" s="46">
        <f t="shared" si="256"/>
        <v>10080</v>
      </c>
      <c r="AP260" s="46">
        <v>0</v>
      </c>
      <c r="AQ260" s="46">
        <f t="shared" si="257"/>
        <v>97567</v>
      </c>
      <c r="AR260" s="46">
        <f t="shared" si="258"/>
        <v>10080</v>
      </c>
      <c r="AS260" s="46">
        <f t="shared" si="259"/>
        <v>168349</v>
      </c>
      <c r="AT260" s="46">
        <f t="shared" si="260"/>
        <v>16344</v>
      </c>
      <c r="AU260" s="46">
        <f t="shared" si="261"/>
        <v>-10080</v>
      </c>
      <c r="AV260" s="46">
        <v>0</v>
      </c>
      <c r="AW260" s="46">
        <f t="shared" si="262"/>
        <v>174613</v>
      </c>
      <c r="AX260" s="46">
        <f t="shared" si="263"/>
        <v>0</v>
      </c>
      <c r="AY260" s="46">
        <f t="shared" si="264"/>
        <v>55608</v>
      </c>
      <c r="AZ260" s="46">
        <f t="shared" si="265"/>
        <v>0</v>
      </c>
      <c r="BA260" s="46">
        <f t="shared" si="266"/>
        <v>39162</v>
      </c>
      <c r="BB260" s="46"/>
      <c r="BC260" s="46">
        <f t="shared" si="267"/>
        <v>94770</v>
      </c>
      <c r="BD260" s="46">
        <f t="shared" si="268"/>
        <v>39162</v>
      </c>
      <c r="BE260" s="46">
        <f t="shared" si="269"/>
        <v>107650</v>
      </c>
      <c r="BF260" s="46">
        <f t="shared" si="270"/>
        <v>4007</v>
      </c>
      <c r="BG260" s="46">
        <f t="shared" si="271"/>
        <v>0</v>
      </c>
      <c r="BH260" s="46">
        <v>0</v>
      </c>
      <c r="BI260" s="46">
        <f t="shared" si="272"/>
        <v>111657</v>
      </c>
      <c r="BJ260" s="46">
        <f t="shared" si="273"/>
        <v>39162</v>
      </c>
      <c r="BK260" s="46">
        <f t="shared" si="274"/>
        <v>227138</v>
      </c>
      <c r="BL260" s="46">
        <f t="shared" si="275"/>
        <v>0</v>
      </c>
      <c r="BM260" s="46">
        <f t="shared" si="276"/>
        <v>-39162</v>
      </c>
      <c r="BN260" s="46">
        <v>0</v>
      </c>
      <c r="BO260" s="46">
        <f t="shared" si="277"/>
        <v>187976</v>
      </c>
      <c r="BP260" s="46">
        <f t="shared" si="278"/>
        <v>0</v>
      </c>
      <c r="BQ260" s="46">
        <f t="shared" si="279"/>
        <v>84301</v>
      </c>
      <c r="BR260" s="46">
        <f t="shared" si="280"/>
        <v>0</v>
      </c>
      <c r="BS260" s="46">
        <f t="shared" si="281"/>
        <v>10469</v>
      </c>
      <c r="BT260" s="46">
        <v>0</v>
      </c>
      <c r="BU260" s="46">
        <f t="shared" si="282"/>
        <v>94770</v>
      </c>
      <c r="BV260" s="46">
        <f t="shared" si="283"/>
        <v>10469</v>
      </c>
      <c r="BW260" s="46">
        <f t="shared" si="284"/>
        <v>161543</v>
      </c>
      <c r="BX260" s="46">
        <f t="shared" si="285"/>
        <v>26333</v>
      </c>
      <c r="BY260" s="46">
        <f t="shared" si="286"/>
        <v>-10469</v>
      </c>
      <c r="BZ260" s="46">
        <v>0</v>
      </c>
      <c r="CA260" s="46">
        <f t="shared" si="287"/>
        <v>177407</v>
      </c>
      <c r="CB260" s="46">
        <f t="shared" si="288"/>
        <v>0</v>
      </c>
      <c r="CC260" s="155">
        <f t="shared" si="291"/>
        <v>0</v>
      </c>
      <c r="CD260" s="79" t="s">
        <v>538</v>
      </c>
      <c r="CE260" s="65">
        <f t="shared" si="292"/>
        <v>94770</v>
      </c>
      <c r="CF260" s="65">
        <f t="shared" si="293"/>
        <v>94770</v>
      </c>
      <c r="CG260" s="65">
        <f t="shared" si="294"/>
        <v>92536</v>
      </c>
      <c r="CH260" s="65">
        <f t="shared" si="295"/>
        <v>94770</v>
      </c>
      <c r="CI260" s="65">
        <f t="shared" si="296"/>
        <v>289775</v>
      </c>
      <c r="CJ260" s="65">
        <f t="shared" si="297"/>
        <v>97567</v>
      </c>
      <c r="CK260" s="65">
        <f t="shared" si="298"/>
        <v>174613</v>
      </c>
      <c r="CL260" s="65">
        <f t="shared" si="299"/>
        <v>94770</v>
      </c>
      <c r="CM260" s="65">
        <f t="shared" si="300"/>
        <v>111657</v>
      </c>
      <c r="CN260" s="65">
        <f t="shared" si="301"/>
        <v>187976</v>
      </c>
      <c r="CO260" s="65">
        <f t="shared" si="302"/>
        <v>94770</v>
      </c>
      <c r="CP260" s="65">
        <f t="shared" si="303"/>
        <v>177407</v>
      </c>
      <c r="CQ260" s="40" t="s">
        <v>538</v>
      </c>
    </row>
    <row r="261" spans="1:95" ht="3" customHeight="1" x14ac:dyDescent="0.25">
      <c r="A261" s="39">
        <v>1</v>
      </c>
      <c r="B261" s="28">
        <v>12303</v>
      </c>
      <c r="C261" s="28" t="s">
        <v>272</v>
      </c>
      <c r="D261" s="48">
        <f>+DATA!Q259</f>
        <v>1452235.4639999999</v>
      </c>
      <c r="E261" s="48">
        <f t="shared" si="289"/>
        <v>95606</v>
      </c>
      <c r="F261" s="48">
        <f t="shared" si="290"/>
        <v>145224</v>
      </c>
      <c r="G261" s="49">
        <f>VLOOKUP(B261,'CALC MEC ESTAB Y ESTIM M FINAL'!$B$7:$F$352,5,0)</f>
        <v>7.4905058509999994E-4</v>
      </c>
      <c r="H261" s="49">
        <f>VLOOKUP(B261,'CALC MEC ESTAB Y ESTIM M FINAL'!$B$7:$R$352,17,0)</f>
        <v>-2.98675866E-5</v>
      </c>
      <c r="I261" s="46">
        <f t="shared" si="229"/>
        <v>59298</v>
      </c>
      <c r="J261" s="46">
        <f t="shared" si="230"/>
        <v>0</v>
      </c>
      <c r="K261" s="46">
        <f t="shared" si="231"/>
        <v>36308</v>
      </c>
      <c r="L261" s="46">
        <v>0</v>
      </c>
      <c r="M261" s="46">
        <f t="shared" si="232"/>
        <v>95606</v>
      </c>
      <c r="N261" s="46">
        <f t="shared" si="233"/>
        <v>36308</v>
      </c>
      <c r="O261" s="46">
        <f t="shared" si="234"/>
        <v>31533</v>
      </c>
      <c r="P261" s="46">
        <f t="shared" si="235"/>
        <v>0</v>
      </c>
      <c r="Q261" s="46">
        <f t="shared" si="236"/>
        <v>64073</v>
      </c>
      <c r="R261" s="46">
        <v>0</v>
      </c>
      <c r="S261" s="46">
        <f t="shared" si="237"/>
        <v>95606</v>
      </c>
      <c r="T261" s="46">
        <f t="shared" si="238"/>
        <v>100381</v>
      </c>
      <c r="U261" s="46">
        <f t="shared" si="239"/>
        <v>89956</v>
      </c>
      <c r="V261" s="46">
        <f t="shared" si="240"/>
        <v>0</v>
      </c>
      <c r="W261" s="46">
        <f t="shared" si="241"/>
        <v>0</v>
      </c>
      <c r="X261" s="46">
        <v>0</v>
      </c>
      <c r="Y261" s="46">
        <f t="shared" si="242"/>
        <v>89956</v>
      </c>
      <c r="Z261" s="46">
        <f t="shared" si="243"/>
        <v>100381</v>
      </c>
      <c r="AA261" s="46">
        <f t="shared" si="244"/>
        <v>47765</v>
      </c>
      <c r="AB261" s="46">
        <f t="shared" si="245"/>
        <v>0</v>
      </c>
      <c r="AC261" s="46">
        <f t="shared" si="246"/>
        <v>47841</v>
      </c>
      <c r="AD261" s="46">
        <v>0</v>
      </c>
      <c r="AE261" s="46">
        <f t="shared" si="247"/>
        <v>95606</v>
      </c>
      <c r="AF261" s="46">
        <f t="shared" si="248"/>
        <v>148222</v>
      </c>
      <c r="AG261" s="46">
        <f t="shared" si="249"/>
        <v>415647</v>
      </c>
      <c r="AH261" s="46">
        <f t="shared" si="250"/>
        <v>3836</v>
      </c>
      <c r="AI261" s="46">
        <f t="shared" si="251"/>
        <v>-148222</v>
      </c>
      <c r="AJ261" s="46">
        <v>0</v>
      </c>
      <c r="AK261" s="46">
        <f t="shared" si="252"/>
        <v>271261</v>
      </c>
      <c r="AL261" s="46">
        <f t="shared" si="253"/>
        <v>0</v>
      </c>
      <c r="AM261" s="46">
        <f t="shared" si="254"/>
        <v>82329</v>
      </c>
      <c r="AN261" s="46">
        <f t="shared" si="255"/>
        <v>2719</v>
      </c>
      <c r="AO261" s="46">
        <f t="shared" si="256"/>
        <v>13277</v>
      </c>
      <c r="AP261" s="46">
        <v>0</v>
      </c>
      <c r="AQ261" s="46">
        <f t="shared" si="257"/>
        <v>98325</v>
      </c>
      <c r="AR261" s="46">
        <f t="shared" si="258"/>
        <v>13277</v>
      </c>
      <c r="AS261" s="46">
        <f t="shared" si="259"/>
        <v>163655</v>
      </c>
      <c r="AT261" s="46">
        <f t="shared" si="260"/>
        <v>15888</v>
      </c>
      <c r="AU261" s="46">
        <f t="shared" si="261"/>
        <v>-13277</v>
      </c>
      <c r="AV261" s="46">
        <v>0</v>
      </c>
      <c r="AW261" s="46">
        <f t="shared" si="262"/>
        <v>166266</v>
      </c>
      <c r="AX261" s="46">
        <f t="shared" si="263"/>
        <v>0</v>
      </c>
      <c r="AY261" s="46">
        <f t="shared" si="264"/>
        <v>54058</v>
      </c>
      <c r="AZ261" s="46">
        <f t="shared" si="265"/>
        <v>0</v>
      </c>
      <c r="BA261" s="46">
        <f t="shared" si="266"/>
        <v>41548</v>
      </c>
      <c r="BB261" s="46"/>
      <c r="BC261" s="46">
        <f t="shared" si="267"/>
        <v>95606</v>
      </c>
      <c r="BD261" s="46">
        <f t="shared" si="268"/>
        <v>41548</v>
      </c>
      <c r="BE261" s="46">
        <f t="shared" si="269"/>
        <v>104649</v>
      </c>
      <c r="BF261" s="46">
        <f t="shared" si="270"/>
        <v>3895</v>
      </c>
      <c r="BG261" s="46">
        <f t="shared" si="271"/>
        <v>0</v>
      </c>
      <c r="BH261" s="46">
        <v>0</v>
      </c>
      <c r="BI261" s="46">
        <f t="shared" si="272"/>
        <v>108544</v>
      </c>
      <c r="BJ261" s="46">
        <f t="shared" si="273"/>
        <v>41548</v>
      </c>
      <c r="BK261" s="46">
        <f t="shared" si="274"/>
        <v>220805</v>
      </c>
      <c r="BL261" s="46">
        <f t="shared" si="275"/>
        <v>0</v>
      </c>
      <c r="BM261" s="46">
        <f t="shared" si="276"/>
        <v>-41548</v>
      </c>
      <c r="BN261" s="46">
        <v>0</v>
      </c>
      <c r="BO261" s="46">
        <f t="shared" si="277"/>
        <v>179257</v>
      </c>
      <c r="BP261" s="46">
        <f t="shared" si="278"/>
        <v>0</v>
      </c>
      <c r="BQ261" s="46">
        <f t="shared" si="279"/>
        <v>81950</v>
      </c>
      <c r="BR261" s="46">
        <f t="shared" si="280"/>
        <v>0</v>
      </c>
      <c r="BS261" s="46">
        <f t="shared" si="281"/>
        <v>13656</v>
      </c>
      <c r="BT261" s="46">
        <v>0</v>
      </c>
      <c r="BU261" s="46">
        <f t="shared" si="282"/>
        <v>95606</v>
      </c>
      <c r="BV261" s="46">
        <f t="shared" si="283"/>
        <v>13656</v>
      </c>
      <c r="BW261" s="46">
        <f t="shared" si="284"/>
        <v>157039</v>
      </c>
      <c r="BX261" s="46">
        <f t="shared" si="285"/>
        <v>25599</v>
      </c>
      <c r="BY261" s="46">
        <f t="shared" si="286"/>
        <v>-13656</v>
      </c>
      <c r="BZ261" s="46">
        <v>0</v>
      </c>
      <c r="CA261" s="46">
        <f t="shared" si="287"/>
        <v>168982</v>
      </c>
      <c r="CB261" s="46">
        <f t="shared" si="288"/>
        <v>0</v>
      </c>
      <c r="CC261" s="155">
        <f t="shared" si="291"/>
        <v>0</v>
      </c>
      <c r="CD261" s="79" t="s">
        <v>538</v>
      </c>
      <c r="CE261" s="65">
        <f t="shared" si="292"/>
        <v>95606</v>
      </c>
      <c r="CF261" s="65">
        <f t="shared" si="293"/>
        <v>95606</v>
      </c>
      <c r="CG261" s="65">
        <f t="shared" si="294"/>
        <v>89956</v>
      </c>
      <c r="CH261" s="65">
        <f t="shared" si="295"/>
        <v>95606</v>
      </c>
      <c r="CI261" s="65">
        <f t="shared" si="296"/>
        <v>271261</v>
      </c>
      <c r="CJ261" s="65">
        <f t="shared" si="297"/>
        <v>98325</v>
      </c>
      <c r="CK261" s="65">
        <f t="shared" si="298"/>
        <v>166266</v>
      </c>
      <c r="CL261" s="65">
        <f t="shared" si="299"/>
        <v>95606</v>
      </c>
      <c r="CM261" s="65">
        <f t="shared" si="300"/>
        <v>108544</v>
      </c>
      <c r="CN261" s="65">
        <f t="shared" si="301"/>
        <v>179257</v>
      </c>
      <c r="CO261" s="65">
        <f t="shared" si="302"/>
        <v>95606</v>
      </c>
      <c r="CP261" s="65">
        <f t="shared" si="303"/>
        <v>168982</v>
      </c>
      <c r="CQ261" s="40" t="s">
        <v>538</v>
      </c>
    </row>
    <row r="262" spans="1:95" ht="3" customHeight="1" x14ac:dyDescent="0.25">
      <c r="A262" s="39">
        <v>1</v>
      </c>
      <c r="B262" s="28">
        <v>12401</v>
      </c>
      <c r="C262" s="28" t="s">
        <v>266</v>
      </c>
      <c r="D262" s="48">
        <f>+DATA!Q260</f>
        <v>4778279.3449999997</v>
      </c>
      <c r="E262" s="48">
        <f t="shared" si="289"/>
        <v>314570</v>
      </c>
      <c r="F262" s="48">
        <f t="shared" si="290"/>
        <v>477828</v>
      </c>
      <c r="G262" s="49">
        <f>VLOOKUP(B262,'CALC MEC ESTAB Y ESTIM M FINAL'!$B$7:$F$352,5,0)</f>
        <v>2.3509239746000001E-3</v>
      </c>
      <c r="H262" s="49">
        <f>VLOOKUP(B262,'CALC MEC ESTAB Y ESTIM M FINAL'!$B$7:$R$352,17,0)</f>
        <v>-3.6820190000000003E-5</v>
      </c>
      <c r="I262" s="46">
        <f t="shared" si="229"/>
        <v>190803</v>
      </c>
      <c r="J262" s="46">
        <f t="shared" si="230"/>
        <v>0</v>
      </c>
      <c r="K262" s="46">
        <f t="shared" si="231"/>
        <v>123767</v>
      </c>
      <c r="L262" s="46">
        <v>0</v>
      </c>
      <c r="M262" s="46">
        <f t="shared" si="232"/>
        <v>314570</v>
      </c>
      <c r="N262" s="46">
        <f t="shared" si="233"/>
        <v>123767</v>
      </c>
      <c r="O262" s="46">
        <f t="shared" si="234"/>
        <v>101463</v>
      </c>
      <c r="P262" s="46">
        <f t="shared" si="235"/>
        <v>0</v>
      </c>
      <c r="Q262" s="46">
        <f t="shared" si="236"/>
        <v>213107</v>
      </c>
      <c r="R262" s="46">
        <v>0</v>
      </c>
      <c r="S262" s="46">
        <f t="shared" si="237"/>
        <v>314570</v>
      </c>
      <c r="T262" s="46">
        <f t="shared" si="238"/>
        <v>336874</v>
      </c>
      <c r="U262" s="46">
        <f t="shared" si="239"/>
        <v>289450</v>
      </c>
      <c r="V262" s="46">
        <f t="shared" si="240"/>
        <v>0</v>
      </c>
      <c r="W262" s="46">
        <f t="shared" si="241"/>
        <v>0</v>
      </c>
      <c r="X262" s="46">
        <v>0</v>
      </c>
      <c r="Y262" s="46">
        <f t="shared" si="242"/>
        <v>289450</v>
      </c>
      <c r="Z262" s="46">
        <f t="shared" si="243"/>
        <v>336874</v>
      </c>
      <c r="AA262" s="46">
        <f t="shared" si="244"/>
        <v>153693</v>
      </c>
      <c r="AB262" s="46">
        <f t="shared" si="245"/>
        <v>0</v>
      </c>
      <c r="AC262" s="46">
        <f t="shared" si="246"/>
        <v>160877</v>
      </c>
      <c r="AD262" s="46">
        <v>0</v>
      </c>
      <c r="AE262" s="46">
        <f t="shared" si="247"/>
        <v>314570</v>
      </c>
      <c r="AF262" s="46">
        <f t="shared" si="248"/>
        <v>497751</v>
      </c>
      <c r="AG262" s="46">
        <f t="shared" si="249"/>
        <v>1337419</v>
      </c>
      <c r="AH262" s="46">
        <f t="shared" si="250"/>
        <v>12344</v>
      </c>
      <c r="AI262" s="46">
        <f t="shared" si="251"/>
        <v>-497751</v>
      </c>
      <c r="AJ262" s="46">
        <v>0</v>
      </c>
      <c r="AK262" s="46">
        <f t="shared" si="252"/>
        <v>852012</v>
      </c>
      <c r="AL262" s="46">
        <f t="shared" si="253"/>
        <v>0</v>
      </c>
      <c r="AM262" s="46">
        <f t="shared" si="254"/>
        <v>264909</v>
      </c>
      <c r="AN262" s="46">
        <f t="shared" si="255"/>
        <v>8748</v>
      </c>
      <c r="AO262" s="46">
        <f t="shared" si="256"/>
        <v>49661</v>
      </c>
      <c r="AP262" s="46">
        <v>0</v>
      </c>
      <c r="AQ262" s="46">
        <f t="shared" si="257"/>
        <v>323318</v>
      </c>
      <c r="AR262" s="46">
        <f t="shared" si="258"/>
        <v>49661</v>
      </c>
      <c r="AS262" s="46">
        <f t="shared" si="259"/>
        <v>526591</v>
      </c>
      <c r="AT262" s="46">
        <f t="shared" si="260"/>
        <v>51122</v>
      </c>
      <c r="AU262" s="46">
        <f t="shared" si="261"/>
        <v>-48763</v>
      </c>
      <c r="AV262" s="46">
        <v>0</v>
      </c>
      <c r="AW262" s="46">
        <f t="shared" si="262"/>
        <v>528950</v>
      </c>
      <c r="AX262" s="46">
        <f t="shared" si="263"/>
        <v>898</v>
      </c>
      <c r="AY262" s="46">
        <f t="shared" si="264"/>
        <v>173941</v>
      </c>
      <c r="AZ262" s="46">
        <f t="shared" si="265"/>
        <v>0</v>
      </c>
      <c r="BA262" s="46">
        <f t="shared" si="266"/>
        <v>140629</v>
      </c>
      <c r="BB262" s="46"/>
      <c r="BC262" s="46">
        <f t="shared" si="267"/>
        <v>314570</v>
      </c>
      <c r="BD262" s="46">
        <f t="shared" si="268"/>
        <v>141527</v>
      </c>
      <c r="BE262" s="46">
        <f t="shared" si="269"/>
        <v>336727</v>
      </c>
      <c r="BF262" s="46">
        <f t="shared" si="270"/>
        <v>12533</v>
      </c>
      <c r="BG262" s="46">
        <f t="shared" si="271"/>
        <v>0</v>
      </c>
      <c r="BH262" s="46">
        <v>0</v>
      </c>
      <c r="BI262" s="46">
        <f t="shared" si="272"/>
        <v>349260</v>
      </c>
      <c r="BJ262" s="46">
        <f t="shared" si="273"/>
        <v>141527</v>
      </c>
      <c r="BK262" s="46">
        <f t="shared" si="274"/>
        <v>710479</v>
      </c>
      <c r="BL262" s="46">
        <f t="shared" si="275"/>
        <v>0</v>
      </c>
      <c r="BM262" s="46">
        <f t="shared" si="276"/>
        <v>-141527</v>
      </c>
      <c r="BN262" s="46">
        <v>0</v>
      </c>
      <c r="BO262" s="46">
        <f t="shared" si="277"/>
        <v>568952</v>
      </c>
      <c r="BP262" s="46">
        <f t="shared" si="278"/>
        <v>0</v>
      </c>
      <c r="BQ262" s="46">
        <f t="shared" si="279"/>
        <v>263689</v>
      </c>
      <c r="BR262" s="46">
        <f t="shared" si="280"/>
        <v>0</v>
      </c>
      <c r="BS262" s="46">
        <f t="shared" si="281"/>
        <v>50881</v>
      </c>
      <c r="BT262" s="46">
        <v>0</v>
      </c>
      <c r="BU262" s="46">
        <f t="shared" si="282"/>
        <v>314570</v>
      </c>
      <c r="BV262" s="46">
        <f t="shared" si="283"/>
        <v>50881</v>
      </c>
      <c r="BW262" s="46">
        <f t="shared" si="284"/>
        <v>505301</v>
      </c>
      <c r="BX262" s="46">
        <f t="shared" si="285"/>
        <v>82369</v>
      </c>
      <c r="BY262" s="46">
        <f t="shared" si="286"/>
        <v>-50881</v>
      </c>
      <c r="BZ262" s="46">
        <v>0</v>
      </c>
      <c r="CA262" s="46">
        <f t="shared" si="287"/>
        <v>536789</v>
      </c>
      <c r="CB262" s="46">
        <f t="shared" si="288"/>
        <v>0</v>
      </c>
      <c r="CC262" s="155">
        <f t="shared" si="291"/>
        <v>0</v>
      </c>
      <c r="CD262" s="79" t="s">
        <v>538</v>
      </c>
      <c r="CE262" s="65">
        <f t="shared" si="292"/>
        <v>314570</v>
      </c>
      <c r="CF262" s="65">
        <f t="shared" si="293"/>
        <v>314570</v>
      </c>
      <c r="CG262" s="65">
        <f t="shared" si="294"/>
        <v>289450</v>
      </c>
      <c r="CH262" s="65">
        <f t="shared" si="295"/>
        <v>314570</v>
      </c>
      <c r="CI262" s="65">
        <f t="shared" si="296"/>
        <v>852012</v>
      </c>
      <c r="CJ262" s="65">
        <f t="shared" si="297"/>
        <v>323318</v>
      </c>
      <c r="CK262" s="65">
        <f t="shared" si="298"/>
        <v>528950</v>
      </c>
      <c r="CL262" s="65">
        <f t="shared" si="299"/>
        <v>314570</v>
      </c>
      <c r="CM262" s="65">
        <f t="shared" si="300"/>
        <v>349260</v>
      </c>
      <c r="CN262" s="65">
        <f t="shared" si="301"/>
        <v>568952</v>
      </c>
      <c r="CO262" s="65">
        <f t="shared" si="302"/>
        <v>314570</v>
      </c>
      <c r="CP262" s="65">
        <f t="shared" si="303"/>
        <v>536789</v>
      </c>
      <c r="CQ262" s="40" t="s">
        <v>538</v>
      </c>
    </row>
    <row r="263" spans="1:95" ht="3" customHeight="1" x14ac:dyDescent="0.25">
      <c r="A263" s="39">
        <v>1</v>
      </c>
      <c r="B263" s="28">
        <v>12402</v>
      </c>
      <c r="C263" s="28" t="s">
        <v>321</v>
      </c>
      <c r="D263" s="48">
        <f>+DATA!Q261</f>
        <v>1385073.4550000001</v>
      </c>
      <c r="E263" s="48">
        <f t="shared" si="289"/>
        <v>91184</v>
      </c>
      <c r="F263" s="48">
        <f t="shared" si="290"/>
        <v>138507</v>
      </c>
      <c r="G263" s="49">
        <f>VLOOKUP(B263,'CALC MEC ESTAB Y ESTIM M FINAL'!$B$7:$F$352,5,0)</f>
        <v>7.3222564599999989E-4</v>
      </c>
      <c r="H263" s="49">
        <f>VLOOKUP(B263,'CALC MEC ESTAB Y ESTIM M FINAL'!$B$7:$R$352,17,0)</f>
        <v>-3.8201620900000003E-5</v>
      </c>
      <c r="I263" s="46">
        <f t="shared" ref="I263:I326" si="304">ROUND(($G263+$H263)*$I$4,0)</f>
        <v>57224</v>
      </c>
      <c r="J263" s="46">
        <f t="shared" ref="J263:J326" si="305">ROUND($J$4*($G263+$H263),0)</f>
        <v>0</v>
      </c>
      <c r="K263" s="46">
        <f t="shared" ref="K263:K326" si="306">IF($E263&gt;I263,$E263-I263,0)</f>
        <v>33960</v>
      </c>
      <c r="L263" s="46">
        <v>0</v>
      </c>
      <c r="M263" s="46">
        <f t="shared" ref="M263:M326" si="307">I263+J263+K263+L263</f>
        <v>91184</v>
      </c>
      <c r="N263" s="46">
        <f t="shared" si="233"/>
        <v>33960</v>
      </c>
      <c r="O263" s="46">
        <f t="shared" ref="O263:O326" si="308">ROUND(($G263+$H263)*$O$4,0)</f>
        <v>30430</v>
      </c>
      <c r="P263" s="46">
        <f t="shared" ref="P263:P326" si="309">ROUND($P$4*($G263+$H263),0)</f>
        <v>0</v>
      </c>
      <c r="Q263" s="46">
        <f t="shared" ref="Q263:Q326" si="310">IF($E263&gt;O263,$E263-O263,0)</f>
        <v>60754</v>
      </c>
      <c r="R263" s="46">
        <v>0</v>
      </c>
      <c r="S263" s="46">
        <f t="shared" ref="S263:S326" si="311">O263+P263+Q263+R263</f>
        <v>91184</v>
      </c>
      <c r="T263" s="46">
        <f t="shared" si="238"/>
        <v>94714</v>
      </c>
      <c r="U263" s="46">
        <f t="shared" ref="U263:U326" si="312">ROUND(($G263+$H263)*$U$4,0)</f>
        <v>86809</v>
      </c>
      <c r="V263" s="46">
        <f t="shared" ref="V263:V326" si="313">+ROUND($V$4*($G263+$H263),0)</f>
        <v>0</v>
      </c>
      <c r="W263" s="46">
        <f t="shared" si="241"/>
        <v>0</v>
      </c>
      <c r="X263" s="46">
        <v>0</v>
      </c>
      <c r="Y263" s="46">
        <f t="shared" ref="Y263:Y326" si="314">U263+V263+W263+X263</f>
        <v>86809</v>
      </c>
      <c r="Z263" s="46">
        <f t="shared" si="243"/>
        <v>94714</v>
      </c>
      <c r="AA263" s="46">
        <f t="shared" ref="AA263:AA326" si="315">ROUND(($G263+$H263)*$AA$4,0)</f>
        <v>46094</v>
      </c>
      <c r="AB263" s="46">
        <f t="shared" ref="AB263:AB326" si="316">ROUND($AB$4*($G263*$H263),0)</f>
        <v>0</v>
      </c>
      <c r="AC263" s="46">
        <f t="shared" ref="AC263:AC326" si="317">IF($E263&gt;AA263,$E263-AA263,0)</f>
        <v>45090</v>
      </c>
      <c r="AD263" s="46">
        <v>0</v>
      </c>
      <c r="AE263" s="46">
        <f t="shared" ref="AE263:AE326" si="318">AA263+AB263+AC263+AD263</f>
        <v>91184</v>
      </c>
      <c r="AF263" s="46">
        <f t="shared" si="248"/>
        <v>139804</v>
      </c>
      <c r="AG263" s="46">
        <f t="shared" ref="AG263:AG326" si="319">ROUND(($G263+$H263)*$AG$4,0)</f>
        <v>401106</v>
      </c>
      <c r="AH263" s="46">
        <f t="shared" ref="AH263:AH326" si="320">+ROUND($AH$4*($G263+$H263),0)</f>
        <v>3702</v>
      </c>
      <c r="AI263" s="46">
        <f t="shared" si="251"/>
        <v>-139804</v>
      </c>
      <c r="AJ263" s="46">
        <v>0</v>
      </c>
      <c r="AK263" s="46">
        <f t="shared" ref="AK263:AK326" si="321">AG263+AH263+AI263+AJ263</f>
        <v>265004</v>
      </c>
      <c r="AL263" s="46">
        <f t="shared" si="253"/>
        <v>0</v>
      </c>
      <c r="AM263" s="46">
        <f t="shared" ref="AM263:AM326" si="322">ROUND(($G263+$H263)*$AM$4,0)</f>
        <v>79449</v>
      </c>
      <c r="AN263" s="46">
        <f t="shared" ref="AN263:AN326" si="323">ROUND($AN$4*($G263+$H263),0)</f>
        <v>2624</v>
      </c>
      <c r="AO263" s="46">
        <f t="shared" ref="AO263:AO326" si="324">IF($E263&gt;AM263,$E263-AM263,0)</f>
        <v>11735</v>
      </c>
      <c r="AP263" s="46">
        <v>0</v>
      </c>
      <c r="AQ263" s="46">
        <f t="shared" ref="AQ263:AQ326" si="325">AM263+AN263+AO263+AP263</f>
        <v>93808</v>
      </c>
      <c r="AR263" s="46">
        <f t="shared" si="258"/>
        <v>11735</v>
      </c>
      <c r="AS263" s="46">
        <f t="shared" ref="AS263:AS326" si="326">ROUND(($G263+$H263)*$AS$4,0)</f>
        <v>157930</v>
      </c>
      <c r="AT263" s="46">
        <f t="shared" ref="AT263:AT326" si="327">+ROUND($AT$4*($G263+$H263),0)</f>
        <v>15332</v>
      </c>
      <c r="AU263" s="46">
        <f t="shared" si="261"/>
        <v>-11735</v>
      </c>
      <c r="AV263" s="46">
        <v>0</v>
      </c>
      <c r="AW263" s="46">
        <f t="shared" ref="AW263:AW326" si="328">AS263+AT263+AU263+AV263</f>
        <v>161527</v>
      </c>
      <c r="AX263" s="46">
        <f t="shared" si="263"/>
        <v>0</v>
      </c>
      <c r="AY263" s="46">
        <f t="shared" ref="AY263:AY326" si="329">ROUND(($G263+$H263)*$AY$4,0)</f>
        <v>52167</v>
      </c>
      <c r="AZ263" s="46">
        <f t="shared" ref="AZ263:AZ326" si="330">ROUND($AZ$4*($G263+$H263),0)</f>
        <v>0</v>
      </c>
      <c r="BA263" s="46">
        <f t="shared" ref="BA263:BA326" si="331">IF($E263&gt;AY263,$E263-AY263,0)</f>
        <v>39017</v>
      </c>
      <c r="BB263" s="46"/>
      <c r="BC263" s="46">
        <f t="shared" ref="BC263:BC326" si="332">AY263+AZ263+BA263+BB263</f>
        <v>91184</v>
      </c>
      <c r="BD263" s="46">
        <f t="shared" si="268"/>
        <v>39017</v>
      </c>
      <c r="BE263" s="46">
        <f t="shared" ref="BE263:BE326" si="333">ROUND(($G263+$H263)*$BE$4,0)</f>
        <v>100988</v>
      </c>
      <c r="BF263" s="46">
        <f t="shared" ref="BF263:BF326" si="334">ROUND($BF$4*($G263+$H263),0)</f>
        <v>3759</v>
      </c>
      <c r="BG263" s="46">
        <f t="shared" si="271"/>
        <v>0</v>
      </c>
      <c r="BH263" s="46">
        <v>0</v>
      </c>
      <c r="BI263" s="46">
        <f t="shared" ref="BI263:BI326" si="335">BE263+BF263+BG263+BH263</f>
        <v>104747</v>
      </c>
      <c r="BJ263" s="46">
        <f t="shared" si="273"/>
        <v>39017</v>
      </c>
      <c r="BK263" s="46">
        <f t="shared" ref="BK263:BK326" si="336">ROUND(($G263+$H263)*$BK$4,0)</f>
        <v>213080</v>
      </c>
      <c r="BL263" s="46">
        <f t="shared" ref="BL263:BL326" si="337">+ROUND($BL$4*($G263+$H263),0)</f>
        <v>0</v>
      </c>
      <c r="BM263" s="46">
        <f t="shared" si="276"/>
        <v>-39017</v>
      </c>
      <c r="BN263" s="46">
        <v>0</v>
      </c>
      <c r="BO263" s="46">
        <f t="shared" ref="BO263:BO326" si="338">BK263+BL263+BM263+BN263</f>
        <v>174063</v>
      </c>
      <c r="BP263" s="46">
        <f t="shared" si="278"/>
        <v>0</v>
      </c>
      <c r="BQ263" s="46">
        <f t="shared" ref="BQ263:BQ326" si="339">ROUND(($G263+$H263)*$BQ$4,0)</f>
        <v>79083</v>
      </c>
      <c r="BR263" s="46">
        <f t="shared" ref="BR263:BR326" si="340">+ROUND($BR$4*($G263+$H263),0)</f>
        <v>0</v>
      </c>
      <c r="BS263" s="46">
        <f t="shared" ref="BS263:BS326" si="341">IF($E263&gt;BQ263,$E263-BQ263,0)</f>
        <v>12101</v>
      </c>
      <c r="BT263" s="46">
        <v>0</v>
      </c>
      <c r="BU263" s="46">
        <f t="shared" ref="BU263:BU326" si="342">BQ263+BR263+BS263+BT263</f>
        <v>91184</v>
      </c>
      <c r="BV263" s="46">
        <f t="shared" si="283"/>
        <v>12101</v>
      </c>
      <c r="BW263" s="46">
        <f t="shared" ref="BW263:BW326" si="343">ROUND(($G263+$H263)*$BW$4,0)</f>
        <v>151545</v>
      </c>
      <c r="BX263" s="46">
        <f t="shared" ref="BX263:BX326" si="344">+ROUND($BX$4*($G263+$H263),0)</f>
        <v>24703</v>
      </c>
      <c r="BY263" s="46">
        <f t="shared" ref="BY263:BY326" si="345">-BV263</f>
        <v>-12101</v>
      </c>
      <c r="BZ263" s="46">
        <v>0</v>
      </c>
      <c r="CA263" s="46">
        <f t="shared" ref="CA263:CA326" si="346">BW263+BX263+BY263+BZ263</f>
        <v>164147</v>
      </c>
      <c r="CB263" s="46">
        <f t="shared" si="288"/>
        <v>0</v>
      </c>
      <c r="CC263" s="155">
        <f t="shared" si="291"/>
        <v>0</v>
      </c>
      <c r="CD263" s="79" t="s">
        <v>538</v>
      </c>
      <c r="CE263" s="65">
        <f t="shared" si="292"/>
        <v>91184</v>
      </c>
      <c r="CF263" s="65">
        <f t="shared" si="293"/>
        <v>91184</v>
      </c>
      <c r="CG263" s="65">
        <f t="shared" si="294"/>
        <v>86809</v>
      </c>
      <c r="CH263" s="65">
        <f t="shared" si="295"/>
        <v>91184</v>
      </c>
      <c r="CI263" s="65">
        <f t="shared" si="296"/>
        <v>265004</v>
      </c>
      <c r="CJ263" s="65">
        <f t="shared" si="297"/>
        <v>93808</v>
      </c>
      <c r="CK263" s="65">
        <f t="shared" si="298"/>
        <v>161527</v>
      </c>
      <c r="CL263" s="65">
        <f t="shared" si="299"/>
        <v>91184</v>
      </c>
      <c r="CM263" s="65">
        <f t="shared" si="300"/>
        <v>104747</v>
      </c>
      <c r="CN263" s="65">
        <f t="shared" si="301"/>
        <v>174063</v>
      </c>
      <c r="CO263" s="65">
        <f t="shared" si="302"/>
        <v>91184</v>
      </c>
      <c r="CP263" s="65">
        <f t="shared" si="303"/>
        <v>164147</v>
      </c>
      <c r="CQ263" s="40" t="s">
        <v>538</v>
      </c>
    </row>
    <row r="264" spans="1:95" ht="3" customHeight="1" x14ac:dyDescent="0.25">
      <c r="A264" s="39">
        <v>0</v>
      </c>
      <c r="B264" s="28">
        <v>13101</v>
      </c>
      <c r="C264" s="28" t="s">
        <v>274</v>
      </c>
      <c r="D264" s="48">
        <f>+DATA!Q262</f>
        <v>11232653.049000001</v>
      </c>
      <c r="E264" s="48">
        <f t="shared" ref="E264:E327" si="347">ROUND(D264/12*$E$4,0)*A264</f>
        <v>0</v>
      </c>
      <c r="F264" s="48">
        <f t="shared" ref="F264:F327" si="348">ROUND(D264/12*$F$4,0)*A264</f>
        <v>0</v>
      </c>
      <c r="G264" s="49">
        <f>VLOOKUP(B264,'CALC MEC ESTAB Y ESTIM M FINAL'!$B$7:$F$352,5,0)</f>
        <v>6.0128439107000001E-3</v>
      </c>
      <c r="H264" s="49">
        <f>VLOOKUP(B264,'CALC MEC ESTAB Y ESTIM M FINAL'!$B$7:$R$352,17,0)</f>
        <v>-3.6276284609999999E-4</v>
      </c>
      <c r="I264" s="46">
        <f t="shared" si="304"/>
        <v>465861</v>
      </c>
      <c r="J264" s="46">
        <f t="shared" si="305"/>
        <v>0</v>
      </c>
      <c r="K264" s="46">
        <f t="shared" si="306"/>
        <v>0</v>
      </c>
      <c r="L264" s="46">
        <v>0</v>
      </c>
      <c r="M264" s="46">
        <f t="shared" si="307"/>
        <v>465861</v>
      </c>
      <c r="N264" s="46">
        <v>0</v>
      </c>
      <c r="O264" s="46">
        <f t="shared" si="308"/>
        <v>247729</v>
      </c>
      <c r="P264" s="46">
        <f t="shared" si="309"/>
        <v>0</v>
      </c>
      <c r="Q264" s="46">
        <f t="shared" si="310"/>
        <v>0</v>
      </c>
      <c r="R264" s="46">
        <v>0</v>
      </c>
      <c r="S264" s="46">
        <f t="shared" si="311"/>
        <v>247729</v>
      </c>
      <c r="T264" s="46">
        <v>0</v>
      </c>
      <c r="U264" s="46">
        <f t="shared" si="312"/>
        <v>706716</v>
      </c>
      <c r="V264" s="46">
        <f t="shared" si="313"/>
        <v>0</v>
      </c>
      <c r="W264" s="46">
        <v>0</v>
      </c>
      <c r="X264" s="46">
        <v>0</v>
      </c>
      <c r="Y264" s="46">
        <f t="shared" si="314"/>
        <v>706716</v>
      </c>
      <c r="Z264" s="46">
        <v>0</v>
      </c>
      <c r="AA264" s="46">
        <f t="shared" si="315"/>
        <v>375255</v>
      </c>
      <c r="AB264" s="46">
        <f t="shared" si="316"/>
        <v>0</v>
      </c>
      <c r="AC264" s="46">
        <f t="shared" si="317"/>
        <v>0</v>
      </c>
      <c r="AD264" s="46">
        <v>0</v>
      </c>
      <c r="AE264" s="46">
        <f t="shared" si="318"/>
        <v>375255</v>
      </c>
      <c r="AF264" s="46">
        <v>0</v>
      </c>
      <c r="AG264" s="46">
        <f t="shared" si="319"/>
        <v>3265423</v>
      </c>
      <c r="AH264" s="46">
        <f t="shared" si="320"/>
        <v>30139</v>
      </c>
      <c r="AI264" s="46">
        <v>0</v>
      </c>
      <c r="AJ264" s="46">
        <v>0</v>
      </c>
      <c r="AK264" s="46">
        <f t="shared" si="321"/>
        <v>3295562</v>
      </c>
      <c r="AL264" s="46">
        <v>0</v>
      </c>
      <c r="AM264" s="46">
        <f t="shared" si="322"/>
        <v>646797</v>
      </c>
      <c r="AN264" s="46">
        <f t="shared" si="323"/>
        <v>21360</v>
      </c>
      <c r="AO264" s="46">
        <f t="shared" si="324"/>
        <v>0</v>
      </c>
      <c r="AP264" s="46">
        <v>0</v>
      </c>
      <c r="AQ264" s="46">
        <f t="shared" si="325"/>
        <v>668157</v>
      </c>
      <c r="AR264" s="46">
        <v>0</v>
      </c>
      <c r="AS264" s="46">
        <f t="shared" si="326"/>
        <v>1285717</v>
      </c>
      <c r="AT264" s="46">
        <f t="shared" si="327"/>
        <v>124820</v>
      </c>
      <c r="AU264" s="46">
        <v>0</v>
      </c>
      <c r="AV264" s="46">
        <v>0</v>
      </c>
      <c r="AW264" s="46">
        <f t="shared" si="328"/>
        <v>1410537</v>
      </c>
      <c r="AX264" s="46">
        <v>0</v>
      </c>
      <c r="AY264" s="46">
        <f t="shared" si="329"/>
        <v>424692</v>
      </c>
      <c r="AZ264" s="46">
        <f t="shared" si="330"/>
        <v>0</v>
      </c>
      <c r="BA264" s="46">
        <f t="shared" si="331"/>
        <v>0</v>
      </c>
      <c r="BB264" s="46">
        <v>0</v>
      </c>
      <c r="BC264" s="46">
        <f t="shared" si="332"/>
        <v>424692</v>
      </c>
      <c r="BD264" s="46">
        <v>0</v>
      </c>
      <c r="BE264" s="46">
        <f t="shared" si="333"/>
        <v>822147</v>
      </c>
      <c r="BF264" s="46">
        <f t="shared" si="334"/>
        <v>30600</v>
      </c>
      <c r="BG264" s="46">
        <v>0</v>
      </c>
      <c r="BH264" s="46">
        <v>0</v>
      </c>
      <c r="BI264" s="46">
        <f t="shared" si="335"/>
        <v>852747</v>
      </c>
      <c r="BJ264" s="46">
        <v>0</v>
      </c>
      <c r="BK264" s="46">
        <f t="shared" si="336"/>
        <v>1734695</v>
      </c>
      <c r="BL264" s="46">
        <f t="shared" si="337"/>
        <v>0</v>
      </c>
      <c r="BM264" s="46">
        <v>0</v>
      </c>
      <c r="BN264" s="46">
        <v>0</v>
      </c>
      <c r="BO264" s="46">
        <f t="shared" si="338"/>
        <v>1734695</v>
      </c>
      <c r="BP264" s="46">
        <v>0</v>
      </c>
      <c r="BQ264" s="46">
        <f t="shared" si="339"/>
        <v>643820</v>
      </c>
      <c r="BR264" s="46">
        <f t="shared" si="340"/>
        <v>0</v>
      </c>
      <c r="BS264" s="46">
        <f t="shared" si="341"/>
        <v>0</v>
      </c>
      <c r="BT264" s="46">
        <v>0</v>
      </c>
      <c r="BU264" s="46">
        <f t="shared" si="342"/>
        <v>643820</v>
      </c>
      <c r="BV264" s="46">
        <v>0</v>
      </c>
      <c r="BW264" s="46">
        <f t="shared" si="343"/>
        <v>1233736</v>
      </c>
      <c r="BX264" s="46">
        <f t="shared" si="344"/>
        <v>201112</v>
      </c>
      <c r="BY264" s="46">
        <f t="shared" si="345"/>
        <v>0</v>
      </c>
      <c r="BZ264" s="46">
        <v>0</v>
      </c>
      <c r="CA264" s="46">
        <f t="shared" si="346"/>
        <v>1434848</v>
      </c>
      <c r="CB264" s="46">
        <v>0</v>
      </c>
      <c r="CC264" s="155">
        <f t="shared" ref="CC264:CC327" si="349">+K264+Q264+W264+AC264+AI264+AO264+AU264+BA264+BG264+BM264+BS264+BY264</f>
        <v>0</v>
      </c>
      <c r="CD264" s="79" t="s">
        <v>538</v>
      </c>
      <c r="CE264" s="65">
        <f t="shared" ref="CE264:CE327" si="350">+M264-L264</f>
        <v>465861</v>
      </c>
      <c r="CF264" s="65">
        <f t="shared" ref="CF264:CF327" si="351">+S264-R264</f>
        <v>247729</v>
      </c>
      <c r="CG264" s="65">
        <f t="shared" ref="CG264:CG327" si="352">+Y264-X264</f>
        <v>706716</v>
      </c>
      <c r="CH264" s="65">
        <f t="shared" ref="CH264:CH327" si="353">+AE264-AD264</f>
        <v>375255</v>
      </c>
      <c r="CI264" s="65">
        <f t="shared" ref="CI264:CI327" si="354">+AK264-AJ264</f>
        <v>3295562</v>
      </c>
      <c r="CJ264" s="65">
        <f t="shared" ref="CJ264:CJ327" si="355">+AQ264-AP264</f>
        <v>668157</v>
      </c>
      <c r="CK264" s="65">
        <f t="shared" ref="CK264:CK327" si="356">+AW264-AV264</f>
        <v>1410537</v>
      </c>
      <c r="CL264" s="65">
        <f t="shared" ref="CL264:CL327" si="357">+BC264-BB264</f>
        <v>424692</v>
      </c>
      <c r="CM264" s="65">
        <f t="shared" ref="CM264:CM327" si="358">+BI264-BH264</f>
        <v>852747</v>
      </c>
      <c r="CN264" s="65">
        <f t="shared" ref="CN264:CN327" si="359">+BO264-BN264</f>
        <v>1734695</v>
      </c>
      <c r="CO264" s="65">
        <f t="shared" ref="CO264:CO327" si="360">+BU264-BT264</f>
        <v>643820</v>
      </c>
      <c r="CP264" s="65">
        <f t="shared" ref="CP264:CP327" si="361">+CA264-BZ264</f>
        <v>1434848</v>
      </c>
      <c r="CQ264" s="40" t="s">
        <v>538</v>
      </c>
    </row>
    <row r="265" spans="1:95" ht="3" customHeight="1" x14ac:dyDescent="0.25">
      <c r="A265" s="39">
        <v>1</v>
      </c>
      <c r="B265" s="28">
        <v>13102</v>
      </c>
      <c r="C265" s="28" t="s">
        <v>298</v>
      </c>
      <c r="D265" s="48">
        <f>+DATA!Q263</f>
        <v>4270912.2050000001</v>
      </c>
      <c r="E265" s="48">
        <f t="shared" si="347"/>
        <v>281168</v>
      </c>
      <c r="F265" s="48">
        <f t="shared" si="348"/>
        <v>427091</v>
      </c>
      <c r="G265" s="49">
        <f>VLOOKUP(B265,'CALC MEC ESTAB Y ESTIM M FINAL'!$B$7:$F$352,5,0)</f>
        <v>2.2551721245999998E-3</v>
      </c>
      <c r="H265" s="49">
        <f>VLOOKUP(B265,'CALC MEC ESTAB Y ESTIM M FINAL'!$B$7:$R$352,17,0)</f>
        <v>-1.165091307E-4</v>
      </c>
      <c r="I265" s="46">
        <f t="shared" si="304"/>
        <v>176337</v>
      </c>
      <c r="J265" s="46">
        <f t="shared" si="305"/>
        <v>0</v>
      </c>
      <c r="K265" s="46">
        <f t="shared" si="306"/>
        <v>104831</v>
      </c>
      <c r="L265" s="46">
        <v>0</v>
      </c>
      <c r="M265" s="46">
        <f t="shared" si="307"/>
        <v>281168</v>
      </c>
      <c r="N265" s="46">
        <f t="shared" ref="N265:N276" si="362">K265</f>
        <v>104831</v>
      </c>
      <c r="O265" s="46">
        <f t="shared" si="308"/>
        <v>93770</v>
      </c>
      <c r="P265" s="46">
        <f t="shared" si="309"/>
        <v>0</v>
      </c>
      <c r="Q265" s="46">
        <f t="shared" si="310"/>
        <v>187398</v>
      </c>
      <c r="R265" s="46">
        <v>0</v>
      </c>
      <c r="S265" s="46">
        <f t="shared" si="311"/>
        <v>281168</v>
      </c>
      <c r="T265" s="46">
        <f t="shared" ref="T265:T276" si="363">N265+Q265</f>
        <v>292229</v>
      </c>
      <c r="U265" s="46">
        <f t="shared" si="312"/>
        <v>267505</v>
      </c>
      <c r="V265" s="46">
        <f t="shared" si="313"/>
        <v>0</v>
      </c>
      <c r="W265" s="46">
        <f t="shared" ref="W265:W276" si="364">IF(U265&lt;$F265,0,IF(U265-$F265&gt;T265,-T265,-(U265-$F265)))</f>
        <v>0</v>
      </c>
      <c r="X265" s="46">
        <v>0</v>
      </c>
      <c r="Y265" s="46">
        <f t="shared" si="314"/>
        <v>267505</v>
      </c>
      <c r="Z265" s="46">
        <f t="shared" ref="Z265:Z276" si="365">T265+W265</f>
        <v>292229</v>
      </c>
      <c r="AA265" s="46">
        <f t="shared" si="315"/>
        <v>142041</v>
      </c>
      <c r="AB265" s="46">
        <f t="shared" si="316"/>
        <v>0</v>
      </c>
      <c r="AC265" s="46">
        <f t="shared" si="317"/>
        <v>139127</v>
      </c>
      <c r="AD265" s="46">
        <v>0</v>
      </c>
      <c r="AE265" s="46">
        <f t="shared" si="318"/>
        <v>281168</v>
      </c>
      <c r="AF265" s="46">
        <f t="shared" ref="AF265:AF276" si="366">Z265+AC265</f>
        <v>431356</v>
      </c>
      <c r="AG265" s="46">
        <f t="shared" si="319"/>
        <v>1236025</v>
      </c>
      <c r="AH265" s="46">
        <f t="shared" si="320"/>
        <v>11408</v>
      </c>
      <c r="AI265" s="46">
        <f t="shared" ref="AI265:AI276" si="367">IF(AG265&lt;$F265,0,IF(AG265-$F265&gt;AF265,-AF265,-(AG265-$F265)))</f>
        <v>-431356</v>
      </c>
      <c r="AJ265" s="46">
        <v>0</v>
      </c>
      <c r="AK265" s="46">
        <f t="shared" si="321"/>
        <v>816077</v>
      </c>
      <c r="AL265" s="46">
        <f t="shared" ref="AL265:AL276" si="368">AF265+AI265</f>
        <v>0</v>
      </c>
      <c r="AM265" s="46">
        <f t="shared" si="322"/>
        <v>244825</v>
      </c>
      <c r="AN265" s="46">
        <f t="shared" si="323"/>
        <v>8085</v>
      </c>
      <c r="AO265" s="46">
        <f t="shared" si="324"/>
        <v>36343</v>
      </c>
      <c r="AP265" s="46">
        <v>0</v>
      </c>
      <c r="AQ265" s="46">
        <f t="shared" si="325"/>
        <v>289253</v>
      </c>
      <c r="AR265" s="46">
        <f t="shared" ref="AR265:AR276" si="369">AL265+AO265</f>
        <v>36343</v>
      </c>
      <c r="AS265" s="46">
        <f t="shared" si="326"/>
        <v>486668</v>
      </c>
      <c r="AT265" s="46">
        <f t="shared" si="327"/>
        <v>47247</v>
      </c>
      <c r="AU265" s="46">
        <f t="shared" ref="AU265:AU276" si="370">IF(AS265&lt;$F265,0,IF(AS265-$F265&gt;AR265,-AR265,-(AS265-$F265)))</f>
        <v>-36343</v>
      </c>
      <c r="AV265" s="46">
        <v>0</v>
      </c>
      <c r="AW265" s="46">
        <f t="shared" si="328"/>
        <v>497572</v>
      </c>
      <c r="AX265" s="46">
        <f t="shared" ref="AX265:AX276" si="371">AR265+AU265</f>
        <v>0</v>
      </c>
      <c r="AY265" s="46">
        <f t="shared" si="329"/>
        <v>160754</v>
      </c>
      <c r="AZ265" s="46">
        <f t="shared" si="330"/>
        <v>0</v>
      </c>
      <c r="BA265" s="46">
        <f t="shared" si="331"/>
        <v>120414</v>
      </c>
      <c r="BB265" s="46"/>
      <c r="BC265" s="46">
        <f t="shared" si="332"/>
        <v>281168</v>
      </c>
      <c r="BD265" s="46">
        <f t="shared" ref="BD265:BD276" si="372">AX265+BA265</f>
        <v>120414</v>
      </c>
      <c r="BE265" s="46">
        <f t="shared" si="333"/>
        <v>311198</v>
      </c>
      <c r="BF265" s="46">
        <f t="shared" si="334"/>
        <v>11583</v>
      </c>
      <c r="BG265" s="46">
        <f t="shared" ref="BG265:BG276" si="373">IF(BE265&lt;$F265,0,IF(BE265-$F265&gt;BD265,-BD265,-(BE265-$F265)))</f>
        <v>0</v>
      </c>
      <c r="BH265" s="46">
        <v>0</v>
      </c>
      <c r="BI265" s="46">
        <f t="shared" si="335"/>
        <v>322781</v>
      </c>
      <c r="BJ265" s="46">
        <f t="shared" ref="BJ265:BJ276" si="374">BD265+BG265</f>
        <v>120414</v>
      </c>
      <c r="BK265" s="46">
        <f t="shared" si="336"/>
        <v>656615</v>
      </c>
      <c r="BL265" s="46">
        <f t="shared" si="337"/>
        <v>0</v>
      </c>
      <c r="BM265" s="46">
        <f t="shared" ref="BM265:BM276" si="375">IF(BK265&lt;$F265,0,IF(BK265-$F265&gt;BJ265,-BJ265,-(BK265-$F265)))</f>
        <v>-120414</v>
      </c>
      <c r="BN265" s="46">
        <v>0</v>
      </c>
      <c r="BO265" s="46">
        <f t="shared" si="338"/>
        <v>536201</v>
      </c>
      <c r="BP265" s="46">
        <f t="shared" ref="BP265:BP276" si="376">BJ265+BM265</f>
        <v>0</v>
      </c>
      <c r="BQ265" s="46">
        <f t="shared" si="339"/>
        <v>243698</v>
      </c>
      <c r="BR265" s="46">
        <f t="shared" si="340"/>
        <v>0</v>
      </c>
      <c r="BS265" s="46">
        <f t="shared" si="341"/>
        <v>37470</v>
      </c>
      <c r="BT265" s="46">
        <v>0</v>
      </c>
      <c r="BU265" s="46">
        <f t="shared" si="342"/>
        <v>281168</v>
      </c>
      <c r="BV265" s="46">
        <f t="shared" ref="BV265:BV276" si="377">BP265+BS265</f>
        <v>37470</v>
      </c>
      <c r="BW265" s="46">
        <f t="shared" si="343"/>
        <v>466993</v>
      </c>
      <c r="BX265" s="46">
        <f t="shared" si="344"/>
        <v>76125</v>
      </c>
      <c r="BY265" s="46">
        <f t="shared" si="345"/>
        <v>-37470</v>
      </c>
      <c r="BZ265" s="46">
        <v>0</v>
      </c>
      <c r="CA265" s="46">
        <f t="shared" si="346"/>
        <v>505648</v>
      </c>
      <c r="CB265" s="46">
        <f t="shared" ref="CB265:CB276" si="378">BV265+BY265</f>
        <v>0</v>
      </c>
      <c r="CC265" s="155">
        <f t="shared" si="349"/>
        <v>0</v>
      </c>
      <c r="CD265" s="79" t="s">
        <v>538</v>
      </c>
      <c r="CE265" s="65">
        <f t="shared" si="350"/>
        <v>281168</v>
      </c>
      <c r="CF265" s="65">
        <f t="shared" si="351"/>
        <v>281168</v>
      </c>
      <c r="CG265" s="65">
        <f t="shared" si="352"/>
        <v>267505</v>
      </c>
      <c r="CH265" s="65">
        <f t="shared" si="353"/>
        <v>281168</v>
      </c>
      <c r="CI265" s="65">
        <f t="shared" si="354"/>
        <v>816077</v>
      </c>
      <c r="CJ265" s="65">
        <f t="shared" si="355"/>
        <v>289253</v>
      </c>
      <c r="CK265" s="65">
        <f t="shared" si="356"/>
        <v>497572</v>
      </c>
      <c r="CL265" s="65">
        <f t="shared" si="357"/>
        <v>281168</v>
      </c>
      <c r="CM265" s="65">
        <f t="shared" si="358"/>
        <v>322781</v>
      </c>
      <c r="CN265" s="65">
        <f t="shared" si="359"/>
        <v>536201</v>
      </c>
      <c r="CO265" s="65">
        <f t="shared" si="360"/>
        <v>281168</v>
      </c>
      <c r="CP265" s="65">
        <f t="shared" si="361"/>
        <v>505648</v>
      </c>
      <c r="CQ265" s="40" t="s">
        <v>538</v>
      </c>
    </row>
    <row r="266" spans="1:95" ht="3" customHeight="1" x14ac:dyDescent="0.25">
      <c r="A266" s="39">
        <v>1</v>
      </c>
      <c r="B266" s="28">
        <v>13103</v>
      </c>
      <c r="C266" s="28" t="s">
        <v>290</v>
      </c>
      <c r="D266" s="48">
        <f>+DATA!Q264</f>
        <v>16752401.706</v>
      </c>
      <c r="E266" s="48">
        <f t="shared" si="347"/>
        <v>1102866</v>
      </c>
      <c r="F266" s="48">
        <f t="shared" si="348"/>
        <v>1675240</v>
      </c>
      <c r="G266" s="49">
        <f>VLOOKUP(B266,'CALC MEC ESTAB Y ESTIM M FINAL'!$B$7:$F$352,5,0)</f>
        <v>7.8037155569000002E-3</v>
      </c>
      <c r="H266" s="49">
        <f>VLOOKUP(B266,'CALC MEC ESTAB Y ESTIM M FINAL'!$B$7:$R$352,17,0)</f>
        <v>2.0562217129999999E-4</v>
      </c>
      <c r="I266" s="46">
        <f t="shared" si="304"/>
        <v>660387</v>
      </c>
      <c r="J266" s="46">
        <f t="shared" si="305"/>
        <v>0</v>
      </c>
      <c r="K266" s="46">
        <f t="shared" si="306"/>
        <v>442479</v>
      </c>
      <c r="L266" s="46">
        <v>0</v>
      </c>
      <c r="M266" s="46">
        <f t="shared" si="307"/>
        <v>1102866</v>
      </c>
      <c r="N266" s="46">
        <f t="shared" si="362"/>
        <v>442479</v>
      </c>
      <c r="O266" s="46">
        <f t="shared" si="308"/>
        <v>351172</v>
      </c>
      <c r="P266" s="46">
        <f t="shared" si="309"/>
        <v>0</v>
      </c>
      <c r="Q266" s="46">
        <f t="shared" si="310"/>
        <v>751694</v>
      </c>
      <c r="R266" s="46">
        <v>0</v>
      </c>
      <c r="S266" s="46">
        <f t="shared" si="311"/>
        <v>1102866</v>
      </c>
      <c r="T266" s="46">
        <f t="shared" si="363"/>
        <v>1194173</v>
      </c>
      <c r="U266" s="46">
        <f t="shared" si="312"/>
        <v>1001814</v>
      </c>
      <c r="V266" s="46">
        <f t="shared" si="313"/>
        <v>0</v>
      </c>
      <c r="W266" s="46">
        <f t="shared" si="364"/>
        <v>0</v>
      </c>
      <c r="X266" s="46">
        <v>0</v>
      </c>
      <c r="Y266" s="46">
        <f t="shared" si="314"/>
        <v>1001814</v>
      </c>
      <c r="Z266" s="46">
        <f t="shared" si="365"/>
        <v>1194173</v>
      </c>
      <c r="AA266" s="46">
        <f t="shared" si="315"/>
        <v>531947</v>
      </c>
      <c r="AB266" s="46">
        <f t="shared" si="316"/>
        <v>0</v>
      </c>
      <c r="AC266" s="46">
        <f t="shared" si="317"/>
        <v>570919</v>
      </c>
      <c r="AD266" s="46">
        <v>0</v>
      </c>
      <c r="AE266" s="46">
        <f t="shared" si="318"/>
        <v>1102866</v>
      </c>
      <c r="AF266" s="46">
        <f t="shared" si="366"/>
        <v>1765092</v>
      </c>
      <c r="AG266" s="46">
        <f t="shared" si="319"/>
        <v>4628938</v>
      </c>
      <c r="AH266" s="46">
        <f t="shared" si="320"/>
        <v>42724</v>
      </c>
      <c r="AI266" s="46">
        <f t="shared" si="367"/>
        <v>-1765092</v>
      </c>
      <c r="AJ266" s="46">
        <v>0</v>
      </c>
      <c r="AK266" s="46">
        <f t="shared" si="321"/>
        <v>2906570</v>
      </c>
      <c r="AL266" s="46">
        <f t="shared" si="368"/>
        <v>0</v>
      </c>
      <c r="AM266" s="46">
        <f t="shared" si="322"/>
        <v>916874</v>
      </c>
      <c r="AN266" s="46">
        <f t="shared" si="323"/>
        <v>30279</v>
      </c>
      <c r="AO266" s="46">
        <f t="shared" si="324"/>
        <v>185992</v>
      </c>
      <c r="AP266" s="46">
        <v>0</v>
      </c>
      <c r="AQ266" s="46">
        <f t="shared" si="325"/>
        <v>1133145</v>
      </c>
      <c r="AR266" s="46">
        <f t="shared" si="369"/>
        <v>185992</v>
      </c>
      <c r="AS266" s="46">
        <f t="shared" si="326"/>
        <v>1822583</v>
      </c>
      <c r="AT266" s="46">
        <f t="shared" si="327"/>
        <v>176940</v>
      </c>
      <c r="AU266" s="46">
        <f t="shared" si="370"/>
        <v>-147343</v>
      </c>
      <c r="AV266" s="46">
        <v>0</v>
      </c>
      <c r="AW266" s="46">
        <f t="shared" si="328"/>
        <v>1852180</v>
      </c>
      <c r="AX266" s="46">
        <f t="shared" si="371"/>
        <v>38649</v>
      </c>
      <c r="AY266" s="46">
        <f t="shared" si="329"/>
        <v>602027</v>
      </c>
      <c r="AZ266" s="46">
        <f t="shared" si="330"/>
        <v>0</v>
      </c>
      <c r="BA266" s="46">
        <f t="shared" si="331"/>
        <v>500839</v>
      </c>
      <c r="BB266" s="46"/>
      <c r="BC266" s="46">
        <f t="shared" si="332"/>
        <v>1102866</v>
      </c>
      <c r="BD266" s="46">
        <f t="shared" si="372"/>
        <v>539488</v>
      </c>
      <c r="BE266" s="46">
        <f t="shared" si="333"/>
        <v>1165444</v>
      </c>
      <c r="BF266" s="46">
        <f t="shared" si="334"/>
        <v>43377</v>
      </c>
      <c r="BG266" s="46">
        <f t="shared" si="373"/>
        <v>0</v>
      </c>
      <c r="BH266" s="46">
        <v>0</v>
      </c>
      <c r="BI266" s="46">
        <f t="shared" si="335"/>
        <v>1208821</v>
      </c>
      <c r="BJ266" s="46">
        <f t="shared" si="374"/>
        <v>539488</v>
      </c>
      <c r="BK266" s="46">
        <f t="shared" si="336"/>
        <v>2459037</v>
      </c>
      <c r="BL266" s="46">
        <f t="shared" si="337"/>
        <v>0</v>
      </c>
      <c r="BM266" s="46">
        <f t="shared" si="375"/>
        <v>-539488</v>
      </c>
      <c r="BN266" s="46">
        <v>0</v>
      </c>
      <c r="BO266" s="46">
        <f t="shared" si="338"/>
        <v>1919549</v>
      </c>
      <c r="BP266" s="46">
        <f t="shared" si="376"/>
        <v>0</v>
      </c>
      <c r="BQ266" s="46">
        <f t="shared" si="339"/>
        <v>912654</v>
      </c>
      <c r="BR266" s="46">
        <f t="shared" si="340"/>
        <v>0</v>
      </c>
      <c r="BS266" s="46">
        <f t="shared" si="341"/>
        <v>190212</v>
      </c>
      <c r="BT266" s="46">
        <v>0</v>
      </c>
      <c r="BU266" s="46">
        <f t="shared" si="342"/>
        <v>1102866</v>
      </c>
      <c r="BV266" s="46">
        <f t="shared" si="377"/>
        <v>190212</v>
      </c>
      <c r="BW266" s="46">
        <f t="shared" si="343"/>
        <v>1748897</v>
      </c>
      <c r="BX266" s="46">
        <f t="shared" si="344"/>
        <v>285088</v>
      </c>
      <c r="BY266" s="46">
        <f t="shared" si="345"/>
        <v>-190212</v>
      </c>
      <c r="BZ266" s="46">
        <v>0</v>
      </c>
      <c r="CA266" s="46">
        <f t="shared" si="346"/>
        <v>1843773</v>
      </c>
      <c r="CB266" s="46">
        <f t="shared" si="378"/>
        <v>0</v>
      </c>
      <c r="CC266" s="155">
        <f t="shared" si="349"/>
        <v>0</v>
      </c>
      <c r="CD266" s="79" t="s">
        <v>538</v>
      </c>
      <c r="CE266" s="65">
        <f t="shared" si="350"/>
        <v>1102866</v>
      </c>
      <c r="CF266" s="65">
        <f t="shared" si="351"/>
        <v>1102866</v>
      </c>
      <c r="CG266" s="65">
        <f t="shared" si="352"/>
        <v>1001814</v>
      </c>
      <c r="CH266" s="65">
        <f t="shared" si="353"/>
        <v>1102866</v>
      </c>
      <c r="CI266" s="65">
        <f t="shared" si="354"/>
        <v>2906570</v>
      </c>
      <c r="CJ266" s="65">
        <f t="shared" si="355"/>
        <v>1133145</v>
      </c>
      <c r="CK266" s="65">
        <f t="shared" si="356"/>
        <v>1852180</v>
      </c>
      <c r="CL266" s="65">
        <f t="shared" si="357"/>
        <v>1102866</v>
      </c>
      <c r="CM266" s="65">
        <f t="shared" si="358"/>
        <v>1208821</v>
      </c>
      <c r="CN266" s="65">
        <f t="shared" si="359"/>
        <v>1919549</v>
      </c>
      <c r="CO266" s="65">
        <f t="shared" si="360"/>
        <v>1102866</v>
      </c>
      <c r="CP266" s="65">
        <f t="shared" si="361"/>
        <v>1843773</v>
      </c>
      <c r="CQ266" s="40" t="s">
        <v>538</v>
      </c>
    </row>
    <row r="267" spans="1:95" ht="3" customHeight="1" x14ac:dyDescent="0.25">
      <c r="A267" s="39">
        <v>1</v>
      </c>
      <c r="B267" s="28">
        <v>13104</v>
      </c>
      <c r="C267" s="28" t="s">
        <v>425</v>
      </c>
      <c r="D267" s="48">
        <f>+DATA!Q265</f>
        <v>10845784.286</v>
      </c>
      <c r="E267" s="48">
        <f t="shared" si="347"/>
        <v>714014</v>
      </c>
      <c r="F267" s="48">
        <f t="shared" si="348"/>
        <v>1084578</v>
      </c>
      <c r="G267" s="49">
        <f>VLOOKUP(B267,'CALC MEC ESTAB Y ESTIM M FINAL'!$B$7:$F$352,5,0)</f>
        <v>5.2409914477999997E-3</v>
      </c>
      <c r="H267" s="49">
        <f>VLOOKUP(B267,'CALC MEC ESTAB Y ESTIM M FINAL'!$B$7:$R$352,17,0)</f>
        <v>-3.0322074200000001E-5</v>
      </c>
      <c r="I267" s="46">
        <f t="shared" si="304"/>
        <v>429631</v>
      </c>
      <c r="J267" s="46">
        <f t="shared" si="305"/>
        <v>0</v>
      </c>
      <c r="K267" s="46">
        <f t="shared" si="306"/>
        <v>284383</v>
      </c>
      <c r="L267" s="46">
        <v>0</v>
      </c>
      <c r="M267" s="46">
        <f t="shared" si="307"/>
        <v>714014</v>
      </c>
      <c r="N267" s="46">
        <f t="shared" si="362"/>
        <v>284383</v>
      </c>
      <c r="O267" s="46">
        <f t="shared" si="308"/>
        <v>228463</v>
      </c>
      <c r="P267" s="46">
        <f t="shared" si="309"/>
        <v>0</v>
      </c>
      <c r="Q267" s="46">
        <f t="shared" si="310"/>
        <v>485551</v>
      </c>
      <c r="R267" s="46">
        <v>0</v>
      </c>
      <c r="S267" s="46">
        <f t="shared" si="311"/>
        <v>714014</v>
      </c>
      <c r="T267" s="46">
        <f t="shared" si="363"/>
        <v>769934</v>
      </c>
      <c r="U267" s="46">
        <f t="shared" si="312"/>
        <v>651754</v>
      </c>
      <c r="V267" s="46">
        <f t="shared" si="313"/>
        <v>0</v>
      </c>
      <c r="W267" s="46">
        <f t="shared" si="364"/>
        <v>0</v>
      </c>
      <c r="X267" s="46">
        <v>0</v>
      </c>
      <c r="Y267" s="46">
        <f t="shared" si="314"/>
        <v>651754</v>
      </c>
      <c r="Z267" s="46">
        <f t="shared" si="365"/>
        <v>769934</v>
      </c>
      <c r="AA267" s="46">
        <f t="shared" si="315"/>
        <v>346071</v>
      </c>
      <c r="AB267" s="46">
        <f t="shared" si="316"/>
        <v>0</v>
      </c>
      <c r="AC267" s="46">
        <f t="shared" si="317"/>
        <v>367943</v>
      </c>
      <c r="AD267" s="46">
        <v>0</v>
      </c>
      <c r="AE267" s="46">
        <f t="shared" si="318"/>
        <v>714014</v>
      </c>
      <c r="AF267" s="46">
        <f t="shared" si="366"/>
        <v>1137877</v>
      </c>
      <c r="AG267" s="46">
        <f t="shared" si="319"/>
        <v>3011468</v>
      </c>
      <c r="AH267" s="46">
        <f t="shared" si="320"/>
        <v>27795</v>
      </c>
      <c r="AI267" s="46">
        <f t="shared" si="367"/>
        <v>-1137877</v>
      </c>
      <c r="AJ267" s="46">
        <v>0</v>
      </c>
      <c r="AK267" s="46">
        <f t="shared" si="321"/>
        <v>1901386</v>
      </c>
      <c r="AL267" s="46">
        <f t="shared" si="368"/>
        <v>0</v>
      </c>
      <c r="AM267" s="46">
        <f t="shared" si="322"/>
        <v>596495</v>
      </c>
      <c r="AN267" s="46">
        <f t="shared" si="323"/>
        <v>19699</v>
      </c>
      <c r="AO267" s="46">
        <f t="shared" si="324"/>
        <v>117519</v>
      </c>
      <c r="AP267" s="46">
        <v>0</v>
      </c>
      <c r="AQ267" s="46">
        <f t="shared" si="325"/>
        <v>733713</v>
      </c>
      <c r="AR267" s="46">
        <f t="shared" si="369"/>
        <v>117519</v>
      </c>
      <c r="AS267" s="46">
        <f t="shared" si="326"/>
        <v>1185726</v>
      </c>
      <c r="AT267" s="46">
        <f t="shared" si="327"/>
        <v>115112</v>
      </c>
      <c r="AU267" s="46">
        <f t="shared" si="370"/>
        <v>-101148</v>
      </c>
      <c r="AV267" s="46">
        <v>0</v>
      </c>
      <c r="AW267" s="46">
        <f t="shared" si="328"/>
        <v>1199690</v>
      </c>
      <c r="AX267" s="46">
        <f t="shared" si="371"/>
        <v>16371</v>
      </c>
      <c r="AY267" s="46">
        <f t="shared" si="329"/>
        <v>391663</v>
      </c>
      <c r="AZ267" s="46">
        <f t="shared" si="330"/>
        <v>0</v>
      </c>
      <c r="BA267" s="46">
        <f t="shared" si="331"/>
        <v>322351</v>
      </c>
      <c r="BB267" s="46"/>
      <c r="BC267" s="46">
        <f t="shared" si="332"/>
        <v>714014</v>
      </c>
      <c r="BD267" s="46">
        <f t="shared" si="372"/>
        <v>338722</v>
      </c>
      <c r="BE267" s="46">
        <f t="shared" si="333"/>
        <v>758208</v>
      </c>
      <c r="BF267" s="46">
        <f t="shared" si="334"/>
        <v>28220</v>
      </c>
      <c r="BG267" s="46">
        <f t="shared" si="373"/>
        <v>0</v>
      </c>
      <c r="BH267" s="46">
        <v>0</v>
      </c>
      <c r="BI267" s="46">
        <f t="shared" si="335"/>
        <v>786428</v>
      </c>
      <c r="BJ267" s="46">
        <f t="shared" si="374"/>
        <v>338722</v>
      </c>
      <c r="BK267" s="46">
        <f t="shared" si="336"/>
        <v>1599787</v>
      </c>
      <c r="BL267" s="46">
        <f t="shared" si="337"/>
        <v>0</v>
      </c>
      <c r="BM267" s="46">
        <f t="shared" si="375"/>
        <v>-338722</v>
      </c>
      <c r="BN267" s="46">
        <v>0</v>
      </c>
      <c r="BO267" s="46">
        <f t="shared" si="338"/>
        <v>1261065</v>
      </c>
      <c r="BP267" s="46">
        <f t="shared" si="376"/>
        <v>0</v>
      </c>
      <c r="BQ267" s="46">
        <f t="shared" si="339"/>
        <v>593749</v>
      </c>
      <c r="BR267" s="46">
        <f t="shared" si="340"/>
        <v>0</v>
      </c>
      <c r="BS267" s="46">
        <f t="shared" si="341"/>
        <v>120265</v>
      </c>
      <c r="BT267" s="46">
        <v>0</v>
      </c>
      <c r="BU267" s="46">
        <f t="shared" si="342"/>
        <v>714014</v>
      </c>
      <c r="BV267" s="46">
        <f t="shared" si="377"/>
        <v>120265</v>
      </c>
      <c r="BW267" s="46">
        <f t="shared" si="343"/>
        <v>1137788</v>
      </c>
      <c r="BX267" s="46">
        <f t="shared" si="344"/>
        <v>185471</v>
      </c>
      <c r="BY267" s="46">
        <f t="shared" si="345"/>
        <v>-120265</v>
      </c>
      <c r="BZ267" s="46">
        <v>0</v>
      </c>
      <c r="CA267" s="46">
        <f t="shared" si="346"/>
        <v>1202994</v>
      </c>
      <c r="CB267" s="46">
        <f t="shared" si="378"/>
        <v>0</v>
      </c>
      <c r="CC267" s="155">
        <f t="shared" si="349"/>
        <v>0</v>
      </c>
      <c r="CD267" s="79" t="s">
        <v>538</v>
      </c>
      <c r="CE267" s="65">
        <f t="shared" si="350"/>
        <v>714014</v>
      </c>
      <c r="CF267" s="65">
        <f t="shared" si="351"/>
        <v>714014</v>
      </c>
      <c r="CG267" s="65">
        <f t="shared" si="352"/>
        <v>651754</v>
      </c>
      <c r="CH267" s="65">
        <f t="shared" si="353"/>
        <v>714014</v>
      </c>
      <c r="CI267" s="65">
        <f t="shared" si="354"/>
        <v>1901386</v>
      </c>
      <c r="CJ267" s="65">
        <f t="shared" si="355"/>
        <v>733713</v>
      </c>
      <c r="CK267" s="65">
        <f t="shared" si="356"/>
        <v>1199690</v>
      </c>
      <c r="CL267" s="65">
        <f t="shared" si="357"/>
        <v>714014</v>
      </c>
      <c r="CM267" s="65">
        <f t="shared" si="358"/>
        <v>786428</v>
      </c>
      <c r="CN267" s="65">
        <f t="shared" si="359"/>
        <v>1261065</v>
      </c>
      <c r="CO267" s="65">
        <f t="shared" si="360"/>
        <v>714014</v>
      </c>
      <c r="CP267" s="65">
        <f t="shared" si="361"/>
        <v>1202994</v>
      </c>
      <c r="CQ267" s="40" t="s">
        <v>538</v>
      </c>
    </row>
    <row r="268" spans="1:95" ht="3" customHeight="1" x14ac:dyDescent="0.25">
      <c r="A268" s="39">
        <v>1</v>
      </c>
      <c r="B268" s="28">
        <v>13105</v>
      </c>
      <c r="C268" s="28" t="s">
        <v>297</v>
      </c>
      <c r="D268" s="48">
        <f>+DATA!Q266</f>
        <v>18674867.416000001</v>
      </c>
      <c r="E268" s="48">
        <f t="shared" si="347"/>
        <v>1229429</v>
      </c>
      <c r="F268" s="48">
        <f t="shared" si="348"/>
        <v>1867487</v>
      </c>
      <c r="G268" s="49">
        <f>VLOOKUP(B268,'CALC MEC ESTAB Y ESTIM M FINAL'!$B$7:$F$352,5,0)</f>
        <v>8.6819180847000008E-3</v>
      </c>
      <c r="H268" s="49">
        <f>VLOOKUP(B268,'CALC MEC ESTAB Y ESTIM M FINAL'!$B$7:$R$352,17,0)</f>
        <v>2.4655212709999999E-4</v>
      </c>
      <c r="I268" s="46">
        <f t="shared" si="304"/>
        <v>736172</v>
      </c>
      <c r="J268" s="46">
        <f t="shared" si="305"/>
        <v>0</v>
      </c>
      <c r="K268" s="46">
        <f t="shared" si="306"/>
        <v>493257</v>
      </c>
      <c r="L268" s="46">
        <v>0</v>
      </c>
      <c r="M268" s="46">
        <f t="shared" si="307"/>
        <v>1229429</v>
      </c>
      <c r="N268" s="46">
        <f t="shared" si="362"/>
        <v>493257</v>
      </c>
      <c r="O268" s="46">
        <f t="shared" si="308"/>
        <v>391471</v>
      </c>
      <c r="P268" s="46">
        <f t="shared" si="309"/>
        <v>0</v>
      </c>
      <c r="Q268" s="46">
        <f t="shared" si="310"/>
        <v>837958</v>
      </c>
      <c r="R268" s="46">
        <v>0</v>
      </c>
      <c r="S268" s="46">
        <f t="shared" si="311"/>
        <v>1229429</v>
      </c>
      <c r="T268" s="46">
        <f t="shared" si="363"/>
        <v>1331215</v>
      </c>
      <c r="U268" s="46">
        <f t="shared" si="312"/>
        <v>1116779</v>
      </c>
      <c r="V268" s="46">
        <f t="shared" si="313"/>
        <v>0</v>
      </c>
      <c r="W268" s="46">
        <f t="shared" si="364"/>
        <v>0</v>
      </c>
      <c r="X268" s="46">
        <v>0</v>
      </c>
      <c r="Y268" s="46">
        <f t="shared" si="314"/>
        <v>1116779</v>
      </c>
      <c r="Z268" s="46">
        <f t="shared" si="365"/>
        <v>1331215</v>
      </c>
      <c r="AA268" s="46">
        <f t="shared" si="315"/>
        <v>592992</v>
      </c>
      <c r="AB268" s="46">
        <f t="shared" si="316"/>
        <v>0</v>
      </c>
      <c r="AC268" s="46">
        <f t="shared" si="317"/>
        <v>636437</v>
      </c>
      <c r="AD268" s="46">
        <v>0</v>
      </c>
      <c r="AE268" s="46">
        <f t="shared" si="318"/>
        <v>1229429</v>
      </c>
      <c r="AF268" s="46">
        <f t="shared" si="366"/>
        <v>1967652</v>
      </c>
      <c r="AG268" s="46">
        <f t="shared" si="319"/>
        <v>5160144</v>
      </c>
      <c r="AH268" s="46">
        <f t="shared" si="320"/>
        <v>47627</v>
      </c>
      <c r="AI268" s="46">
        <f t="shared" si="367"/>
        <v>-1967652</v>
      </c>
      <c r="AJ268" s="46">
        <v>0</v>
      </c>
      <c r="AK268" s="46">
        <f t="shared" si="321"/>
        <v>3240119</v>
      </c>
      <c r="AL268" s="46">
        <f t="shared" si="368"/>
        <v>0</v>
      </c>
      <c r="AM268" s="46">
        <f t="shared" si="322"/>
        <v>1022093</v>
      </c>
      <c r="AN268" s="46">
        <f t="shared" si="323"/>
        <v>33753</v>
      </c>
      <c r="AO268" s="46">
        <f t="shared" si="324"/>
        <v>207336</v>
      </c>
      <c r="AP268" s="46">
        <v>0</v>
      </c>
      <c r="AQ268" s="46">
        <f t="shared" si="325"/>
        <v>1263182</v>
      </c>
      <c r="AR268" s="46">
        <f t="shared" si="369"/>
        <v>207336</v>
      </c>
      <c r="AS268" s="46">
        <f t="shared" si="326"/>
        <v>2031738</v>
      </c>
      <c r="AT268" s="46">
        <f t="shared" si="327"/>
        <v>197245</v>
      </c>
      <c r="AU268" s="46">
        <f t="shared" si="370"/>
        <v>-164251</v>
      </c>
      <c r="AV268" s="46">
        <v>0</v>
      </c>
      <c r="AW268" s="46">
        <f t="shared" si="328"/>
        <v>2064732</v>
      </c>
      <c r="AX268" s="46">
        <f t="shared" si="371"/>
        <v>43085</v>
      </c>
      <c r="AY268" s="46">
        <f t="shared" si="329"/>
        <v>671114</v>
      </c>
      <c r="AZ268" s="46">
        <f t="shared" si="330"/>
        <v>0</v>
      </c>
      <c r="BA268" s="46">
        <f t="shared" si="331"/>
        <v>558315</v>
      </c>
      <c r="BB268" s="46"/>
      <c r="BC268" s="46">
        <f t="shared" si="332"/>
        <v>1229429</v>
      </c>
      <c r="BD268" s="46">
        <f t="shared" si="372"/>
        <v>601400</v>
      </c>
      <c r="BE268" s="46">
        <f t="shared" si="333"/>
        <v>1299188</v>
      </c>
      <c r="BF268" s="46">
        <f t="shared" si="334"/>
        <v>48355</v>
      </c>
      <c r="BG268" s="46">
        <f t="shared" si="373"/>
        <v>0</v>
      </c>
      <c r="BH268" s="46">
        <v>0</v>
      </c>
      <c r="BI268" s="46">
        <f t="shared" si="335"/>
        <v>1347543</v>
      </c>
      <c r="BJ268" s="46">
        <f t="shared" si="374"/>
        <v>601400</v>
      </c>
      <c r="BK268" s="46">
        <f t="shared" si="336"/>
        <v>2741231</v>
      </c>
      <c r="BL268" s="46">
        <f t="shared" si="337"/>
        <v>0</v>
      </c>
      <c r="BM268" s="46">
        <f t="shared" si="375"/>
        <v>-601400</v>
      </c>
      <c r="BN268" s="46">
        <v>0</v>
      </c>
      <c r="BO268" s="46">
        <f t="shared" si="338"/>
        <v>2139831</v>
      </c>
      <c r="BP268" s="46">
        <f t="shared" si="376"/>
        <v>0</v>
      </c>
      <c r="BQ268" s="46">
        <f t="shared" si="339"/>
        <v>1017388</v>
      </c>
      <c r="BR268" s="46">
        <f t="shared" si="340"/>
        <v>0</v>
      </c>
      <c r="BS268" s="46">
        <f t="shared" si="341"/>
        <v>212041</v>
      </c>
      <c r="BT268" s="46">
        <v>0</v>
      </c>
      <c r="BU268" s="46">
        <f t="shared" si="342"/>
        <v>1229429</v>
      </c>
      <c r="BV268" s="46">
        <f t="shared" si="377"/>
        <v>212041</v>
      </c>
      <c r="BW268" s="46">
        <f t="shared" si="343"/>
        <v>1949597</v>
      </c>
      <c r="BX268" s="46">
        <f t="shared" si="344"/>
        <v>317804</v>
      </c>
      <c r="BY268" s="46">
        <f t="shared" si="345"/>
        <v>-212041</v>
      </c>
      <c r="BZ268" s="46">
        <v>0</v>
      </c>
      <c r="CA268" s="46">
        <f t="shared" si="346"/>
        <v>2055360</v>
      </c>
      <c r="CB268" s="46">
        <f t="shared" si="378"/>
        <v>0</v>
      </c>
      <c r="CC268" s="155">
        <f t="shared" si="349"/>
        <v>0</v>
      </c>
      <c r="CD268" s="79" t="s">
        <v>538</v>
      </c>
      <c r="CE268" s="65">
        <f t="shared" si="350"/>
        <v>1229429</v>
      </c>
      <c r="CF268" s="65">
        <f t="shared" si="351"/>
        <v>1229429</v>
      </c>
      <c r="CG268" s="65">
        <f t="shared" si="352"/>
        <v>1116779</v>
      </c>
      <c r="CH268" s="65">
        <f t="shared" si="353"/>
        <v>1229429</v>
      </c>
      <c r="CI268" s="65">
        <f t="shared" si="354"/>
        <v>3240119</v>
      </c>
      <c r="CJ268" s="65">
        <f t="shared" si="355"/>
        <v>1263182</v>
      </c>
      <c r="CK268" s="65">
        <f t="shared" si="356"/>
        <v>2064732</v>
      </c>
      <c r="CL268" s="65">
        <f t="shared" si="357"/>
        <v>1229429</v>
      </c>
      <c r="CM268" s="65">
        <f t="shared" si="358"/>
        <v>1347543</v>
      </c>
      <c r="CN268" s="65">
        <f t="shared" si="359"/>
        <v>2139831</v>
      </c>
      <c r="CO268" s="65">
        <f t="shared" si="360"/>
        <v>1229429</v>
      </c>
      <c r="CP268" s="65">
        <f t="shared" si="361"/>
        <v>2055360</v>
      </c>
      <c r="CQ268" s="40" t="s">
        <v>538</v>
      </c>
    </row>
    <row r="269" spans="1:95" ht="3" customHeight="1" x14ac:dyDescent="0.25">
      <c r="A269" s="39">
        <v>1</v>
      </c>
      <c r="B269" s="28">
        <v>13106</v>
      </c>
      <c r="C269" s="28" t="s">
        <v>426</v>
      </c>
      <c r="D269" s="48">
        <f>+DATA!Q267</f>
        <v>10124929.027000001</v>
      </c>
      <c r="E269" s="48">
        <f t="shared" si="347"/>
        <v>666558</v>
      </c>
      <c r="F269" s="48">
        <f t="shared" si="348"/>
        <v>1012493</v>
      </c>
      <c r="G269" s="49">
        <f>VLOOKUP(B269,'CALC MEC ESTAB Y ESTIM M FINAL'!$B$7:$F$352,5,0)</f>
        <v>5.5679945729999996E-3</v>
      </c>
      <c r="H269" s="49">
        <f>VLOOKUP(B269,'CALC MEC ESTAB Y ESTIM M FINAL'!$B$7:$R$352,17,0)</f>
        <v>-4.0131607840000001E-4</v>
      </c>
      <c r="I269" s="46">
        <f t="shared" si="304"/>
        <v>426004</v>
      </c>
      <c r="J269" s="46">
        <f t="shared" si="305"/>
        <v>0</v>
      </c>
      <c r="K269" s="46">
        <f t="shared" si="306"/>
        <v>240554</v>
      </c>
      <c r="L269" s="46">
        <v>0</v>
      </c>
      <c r="M269" s="46">
        <f t="shared" si="307"/>
        <v>666558</v>
      </c>
      <c r="N269" s="46">
        <f t="shared" si="362"/>
        <v>240554</v>
      </c>
      <c r="O269" s="46">
        <f t="shared" si="308"/>
        <v>226534</v>
      </c>
      <c r="P269" s="46">
        <f t="shared" si="309"/>
        <v>0</v>
      </c>
      <c r="Q269" s="46">
        <f t="shared" si="310"/>
        <v>440024</v>
      </c>
      <c r="R269" s="46">
        <v>0</v>
      </c>
      <c r="S269" s="46">
        <f t="shared" si="311"/>
        <v>666558</v>
      </c>
      <c r="T269" s="46">
        <f t="shared" si="363"/>
        <v>680578</v>
      </c>
      <c r="U269" s="46">
        <f t="shared" si="312"/>
        <v>646252</v>
      </c>
      <c r="V269" s="46">
        <f t="shared" si="313"/>
        <v>0</v>
      </c>
      <c r="W269" s="46">
        <f t="shared" si="364"/>
        <v>0</v>
      </c>
      <c r="X269" s="46">
        <v>0</v>
      </c>
      <c r="Y269" s="46">
        <f t="shared" si="314"/>
        <v>646252</v>
      </c>
      <c r="Z269" s="46">
        <f t="shared" si="365"/>
        <v>680578</v>
      </c>
      <c r="AA269" s="46">
        <f t="shared" si="315"/>
        <v>343150</v>
      </c>
      <c r="AB269" s="46">
        <f t="shared" si="316"/>
        <v>0</v>
      </c>
      <c r="AC269" s="46">
        <f t="shared" si="317"/>
        <v>323408</v>
      </c>
      <c r="AD269" s="46">
        <v>0</v>
      </c>
      <c r="AE269" s="46">
        <f t="shared" si="318"/>
        <v>666558</v>
      </c>
      <c r="AF269" s="46">
        <f t="shared" si="366"/>
        <v>1003986</v>
      </c>
      <c r="AG269" s="46">
        <f t="shared" si="319"/>
        <v>2986044</v>
      </c>
      <c r="AH269" s="46">
        <f t="shared" si="320"/>
        <v>27560</v>
      </c>
      <c r="AI269" s="46">
        <f t="shared" si="367"/>
        <v>-1003986</v>
      </c>
      <c r="AJ269" s="46">
        <v>0</v>
      </c>
      <c r="AK269" s="46">
        <f t="shared" si="321"/>
        <v>2009618</v>
      </c>
      <c r="AL269" s="46">
        <f t="shared" si="368"/>
        <v>0</v>
      </c>
      <c r="AM269" s="46">
        <f t="shared" si="322"/>
        <v>591459</v>
      </c>
      <c r="AN269" s="46">
        <f t="shared" si="323"/>
        <v>19532</v>
      </c>
      <c r="AO269" s="46">
        <f t="shared" si="324"/>
        <v>75099</v>
      </c>
      <c r="AP269" s="46">
        <v>0</v>
      </c>
      <c r="AQ269" s="46">
        <f t="shared" si="325"/>
        <v>686090</v>
      </c>
      <c r="AR269" s="46">
        <f t="shared" si="369"/>
        <v>75099</v>
      </c>
      <c r="AS269" s="46">
        <f t="shared" si="326"/>
        <v>1175715</v>
      </c>
      <c r="AT269" s="46">
        <f t="shared" si="327"/>
        <v>114141</v>
      </c>
      <c r="AU269" s="46">
        <f t="shared" si="370"/>
        <v>-75099</v>
      </c>
      <c r="AV269" s="46">
        <v>0</v>
      </c>
      <c r="AW269" s="46">
        <f t="shared" si="328"/>
        <v>1214757</v>
      </c>
      <c r="AX269" s="46">
        <f t="shared" si="371"/>
        <v>0</v>
      </c>
      <c r="AY269" s="46">
        <f t="shared" si="329"/>
        <v>388357</v>
      </c>
      <c r="AZ269" s="46">
        <f t="shared" si="330"/>
        <v>0</v>
      </c>
      <c r="BA269" s="46">
        <f t="shared" si="331"/>
        <v>278201</v>
      </c>
      <c r="BB269" s="46"/>
      <c r="BC269" s="46">
        <f t="shared" si="332"/>
        <v>666558</v>
      </c>
      <c r="BD269" s="46">
        <f t="shared" si="372"/>
        <v>278201</v>
      </c>
      <c r="BE269" s="46">
        <f t="shared" si="333"/>
        <v>751807</v>
      </c>
      <c r="BF269" s="46">
        <f t="shared" si="334"/>
        <v>27982</v>
      </c>
      <c r="BG269" s="46">
        <f t="shared" si="373"/>
        <v>0</v>
      </c>
      <c r="BH269" s="46">
        <v>0</v>
      </c>
      <c r="BI269" s="46">
        <f t="shared" si="335"/>
        <v>779789</v>
      </c>
      <c r="BJ269" s="46">
        <f t="shared" si="374"/>
        <v>278201</v>
      </c>
      <c r="BK269" s="46">
        <f t="shared" si="336"/>
        <v>1586280</v>
      </c>
      <c r="BL269" s="46">
        <f t="shared" si="337"/>
        <v>0</v>
      </c>
      <c r="BM269" s="46">
        <f t="shared" si="375"/>
        <v>-278201</v>
      </c>
      <c r="BN269" s="46">
        <v>0</v>
      </c>
      <c r="BO269" s="46">
        <f t="shared" si="338"/>
        <v>1308079</v>
      </c>
      <c r="BP269" s="46">
        <f t="shared" si="376"/>
        <v>0</v>
      </c>
      <c r="BQ269" s="46">
        <f t="shared" si="339"/>
        <v>588736</v>
      </c>
      <c r="BR269" s="46">
        <f t="shared" si="340"/>
        <v>0</v>
      </c>
      <c r="BS269" s="46">
        <f t="shared" si="341"/>
        <v>77822</v>
      </c>
      <c r="BT269" s="46">
        <v>0</v>
      </c>
      <c r="BU269" s="46">
        <f t="shared" si="342"/>
        <v>666558</v>
      </c>
      <c r="BV269" s="46">
        <f t="shared" si="377"/>
        <v>77822</v>
      </c>
      <c r="BW269" s="46">
        <f t="shared" si="343"/>
        <v>1128182</v>
      </c>
      <c r="BX269" s="46">
        <f t="shared" si="344"/>
        <v>183905</v>
      </c>
      <c r="BY269" s="46">
        <f t="shared" si="345"/>
        <v>-77822</v>
      </c>
      <c r="BZ269" s="46">
        <v>0</v>
      </c>
      <c r="CA269" s="46">
        <f t="shared" si="346"/>
        <v>1234265</v>
      </c>
      <c r="CB269" s="46">
        <f t="shared" si="378"/>
        <v>0</v>
      </c>
      <c r="CC269" s="155">
        <f t="shared" si="349"/>
        <v>0</v>
      </c>
      <c r="CD269" s="79" t="s">
        <v>538</v>
      </c>
      <c r="CE269" s="65">
        <f t="shared" si="350"/>
        <v>666558</v>
      </c>
      <c r="CF269" s="65">
        <f t="shared" si="351"/>
        <v>666558</v>
      </c>
      <c r="CG269" s="65">
        <f t="shared" si="352"/>
        <v>646252</v>
      </c>
      <c r="CH269" s="65">
        <f t="shared" si="353"/>
        <v>666558</v>
      </c>
      <c r="CI269" s="65">
        <f t="shared" si="354"/>
        <v>2009618</v>
      </c>
      <c r="CJ269" s="65">
        <f t="shared" si="355"/>
        <v>686090</v>
      </c>
      <c r="CK269" s="65">
        <f t="shared" si="356"/>
        <v>1214757</v>
      </c>
      <c r="CL269" s="65">
        <f t="shared" si="357"/>
        <v>666558</v>
      </c>
      <c r="CM269" s="65">
        <f t="shared" si="358"/>
        <v>779789</v>
      </c>
      <c r="CN269" s="65">
        <f t="shared" si="359"/>
        <v>1308079</v>
      </c>
      <c r="CO269" s="65">
        <f t="shared" si="360"/>
        <v>666558</v>
      </c>
      <c r="CP269" s="65">
        <f t="shared" si="361"/>
        <v>1234265</v>
      </c>
      <c r="CQ269" s="40" t="s">
        <v>538</v>
      </c>
    </row>
    <row r="270" spans="1:95" ht="3" customHeight="1" x14ac:dyDescent="0.25">
      <c r="A270" s="39">
        <v>1</v>
      </c>
      <c r="B270" s="28">
        <v>13107</v>
      </c>
      <c r="C270" s="28" t="s">
        <v>291</v>
      </c>
      <c r="D270" s="48">
        <f>+DATA!Q268</f>
        <v>3093208.6379999998</v>
      </c>
      <c r="E270" s="48">
        <f t="shared" si="347"/>
        <v>203636</v>
      </c>
      <c r="F270" s="48">
        <f t="shared" si="348"/>
        <v>309321</v>
      </c>
      <c r="G270" s="49">
        <f>VLOOKUP(B270,'CALC MEC ESTAB Y ESTIM M FINAL'!$B$7:$F$352,5,0)</f>
        <v>1.4619562086999999E-3</v>
      </c>
      <c r="H270" s="49">
        <f>VLOOKUP(B270,'CALC MEC ESTAB Y ESTIM M FINAL'!$B$7:$R$352,17,0)</f>
        <v>1.69094051E-5</v>
      </c>
      <c r="I270" s="46">
        <f t="shared" si="304"/>
        <v>121936</v>
      </c>
      <c r="J270" s="46">
        <f t="shared" si="305"/>
        <v>0</v>
      </c>
      <c r="K270" s="46">
        <f t="shared" si="306"/>
        <v>81700</v>
      </c>
      <c r="L270" s="46">
        <v>0</v>
      </c>
      <c r="M270" s="46">
        <f t="shared" si="307"/>
        <v>203636</v>
      </c>
      <c r="N270" s="46">
        <f t="shared" si="362"/>
        <v>81700</v>
      </c>
      <c r="O270" s="46">
        <f t="shared" si="308"/>
        <v>64841</v>
      </c>
      <c r="P270" s="46">
        <f t="shared" si="309"/>
        <v>0</v>
      </c>
      <c r="Q270" s="46">
        <f t="shared" si="310"/>
        <v>138795</v>
      </c>
      <c r="R270" s="46">
        <v>0</v>
      </c>
      <c r="S270" s="46">
        <f t="shared" si="311"/>
        <v>203636</v>
      </c>
      <c r="T270" s="46">
        <f t="shared" si="363"/>
        <v>220495</v>
      </c>
      <c r="U270" s="46">
        <f t="shared" si="312"/>
        <v>184978</v>
      </c>
      <c r="V270" s="46">
        <f t="shared" si="313"/>
        <v>0</v>
      </c>
      <c r="W270" s="46">
        <f t="shared" si="364"/>
        <v>0</v>
      </c>
      <c r="X270" s="46">
        <v>0</v>
      </c>
      <c r="Y270" s="46">
        <f t="shared" si="314"/>
        <v>184978</v>
      </c>
      <c r="Z270" s="46">
        <f t="shared" si="365"/>
        <v>220495</v>
      </c>
      <c r="AA270" s="46">
        <f t="shared" si="315"/>
        <v>98220</v>
      </c>
      <c r="AB270" s="46">
        <f t="shared" si="316"/>
        <v>0</v>
      </c>
      <c r="AC270" s="46">
        <f t="shared" si="317"/>
        <v>105416</v>
      </c>
      <c r="AD270" s="46">
        <v>0</v>
      </c>
      <c r="AE270" s="46">
        <f t="shared" si="318"/>
        <v>203636</v>
      </c>
      <c r="AF270" s="46">
        <f t="shared" si="366"/>
        <v>325911</v>
      </c>
      <c r="AG270" s="46">
        <f t="shared" si="319"/>
        <v>854699</v>
      </c>
      <c r="AH270" s="46">
        <f t="shared" si="320"/>
        <v>7889</v>
      </c>
      <c r="AI270" s="46">
        <f t="shared" si="367"/>
        <v>-325911</v>
      </c>
      <c r="AJ270" s="46">
        <v>0</v>
      </c>
      <c r="AK270" s="46">
        <f t="shared" si="321"/>
        <v>536677</v>
      </c>
      <c r="AL270" s="46">
        <f t="shared" si="368"/>
        <v>0</v>
      </c>
      <c r="AM270" s="46">
        <f t="shared" si="322"/>
        <v>169294</v>
      </c>
      <c r="AN270" s="46">
        <f t="shared" si="323"/>
        <v>5591</v>
      </c>
      <c r="AO270" s="46">
        <f t="shared" si="324"/>
        <v>34342</v>
      </c>
      <c r="AP270" s="46">
        <v>0</v>
      </c>
      <c r="AQ270" s="46">
        <f t="shared" si="325"/>
        <v>209227</v>
      </c>
      <c r="AR270" s="46">
        <f t="shared" si="369"/>
        <v>34342</v>
      </c>
      <c r="AS270" s="46">
        <f t="shared" si="326"/>
        <v>336527</v>
      </c>
      <c r="AT270" s="46">
        <f t="shared" si="327"/>
        <v>32671</v>
      </c>
      <c r="AU270" s="46">
        <f t="shared" si="370"/>
        <v>-27206</v>
      </c>
      <c r="AV270" s="46">
        <v>0</v>
      </c>
      <c r="AW270" s="46">
        <f t="shared" si="328"/>
        <v>341992</v>
      </c>
      <c r="AX270" s="46">
        <f t="shared" si="371"/>
        <v>7136</v>
      </c>
      <c r="AY270" s="46">
        <f t="shared" si="329"/>
        <v>111160</v>
      </c>
      <c r="AZ270" s="46">
        <f t="shared" si="330"/>
        <v>0</v>
      </c>
      <c r="BA270" s="46">
        <f t="shared" si="331"/>
        <v>92476</v>
      </c>
      <c r="BB270" s="46"/>
      <c r="BC270" s="46">
        <f t="shared" si="332"/>
        <v>203636</v>
      </c>
      <c r="BD270" s="46">
        <f t="shared" si="372"/>
        <v>99612</v>
      </c>
      <c r="BE270" s="46">
        <f t="shared" si="333"/>
        <v>215191</v>
      </c>
      <c r="BF270" s="46">
        <f t="shared" si="334"/>
        <v>8009</v>
      </c>
      <c r="BG270" s="46">
        <f t="shared" si="373"/>
        <v>0</v>
      </c>
      <c r="BH270" s="46">
        <v>0</v>
      </c>
      <c r="BI270" s="46">
        <f t="shared" si="335"/>
        <v>223200</v>
      </c>
      <c r="BJ270" s="46">
        <f t="shared" si="374"/>
        <v>99612</v>
      </c>
      <c r="BK270" s="46">
        <f t="shared" si="336"/>
        <v>454043</v>
      </c>
      <c r="BL270" s="46">
        <f t="shared" si="337"/>
        <v>0</v>
      </c>
      <c r="BM270" s="46">
        <f t="shared" si="375"/>
        <v>-99612</v>
      </c>
      <c r="BN270" s="46">
        <v>0</v>
      </c>
      <c r="BO270" s="46">
        <f t="shared" si="338"/>
        <v>354431</v>
      </c>
      <c r="BP270" s="46">
        <f t="shared" si="376"/>
        <v>0</v>
      </c>
      <c r="BQ270" s="46">
        <f t="shared" si="339"/>
        <v>168515</v>
      </c>
      <c r="BR270" s="46">
        <f t="shared" si="340"/>
        <v>0</v>
      </c>
      <c r="BS270" s="46">
        <f t="shared" si="341"/>
        <v>35121</v>
      </c>
      <c r="BT270" s="46">
        <v>0</v>
      </c>
      <c r="BU270" s="46">
        <f t="shared" si="342"/>
        <v>203636</v>
      </c>
      <c r="BV270" s="46">
        <f t="shared" si="377"/>
        <v>35121</v>
      </c>
      <c r="BW270" s="46">
        <f t="shared" si="343"/>
        <v>322921</v>
      </c>
      <c r="BX270" s="46">
        <f t="shared" si="344"/>
        <v>52639</v>
      </c>
      <c r="BY270" s="46">
        <f t="shared" si="345"/>
        <v>-35121</v>
      </c>
      <c r="BZ270" s="46">
        <v>0</v>
      </c>
      <c r="CA270" s="46">
        <f t="shared" si="346"/>
        <v>340439</v>
      </c>
      <c r="CB270" s="46">
        <f t="shared" si="378"/>
        <v>0</v>
      </c>
      <c r="CC270" s="155">
        <f t="shared" si="349"/>
        <v>0</v>
      </c>
      <c r="CD270" s="79" t="s">
        <v>538</v>
      </c>
      <c r="CE270" s="65">
        <f t="shared" si="350"/>
        <v>203636</v>
      </c>
      <c r="CF270" s="65">
        <f t="shared" si="351"/>
        <v>203636</v>
      </c>
      <c r="CG270" s="65">
        <f t="shared" si="352"/>
        <v>184978</v>
      </c>
      <c r="CH270" s="65">
        <f t="shared" si="353"/>
        <v>203636</v>
      </c>
      <c r="CI270" s="65">
        <f t="shared" si="354"/>
        <v>536677</v>
      </c>
      <c r="CJ270" s="65">
        <f t="shared" si="355"/>
        <v>209227</v>
      </c>
      <c r="CK270" s="65">
        <f t="shared" si="356"/>
        <v>341992</v>
      </c>
      <c r="CL270" s="65">
        <f t="shared" si="357"/>
        <v>203636</v>
      </c>
      <c r="CM270" s="65">
        <f t="shared" si="358"/>
        <v>223200</v>
      </c>
      <c r="CN270" s="65">
        <f t="shared" si="359"/>
        <v>354431</v>
      </c>
      <c r="CO270" s="65">
        <f t="shared" si="360"/>
        <v>203636</v>
      </c>
      <c r="CP270" s="65">
        <f t="shared" si="361"/>
        <v>340439</v>
      </c>
      <c r="CQ270" s="40" t="s">
        <v>538</v>
      </c>
    </row>
    <row r="271" spans="1:95" ht="3" customHeight="1" x14ac:dyDescent="0.25">
      <c r="A271" s="39">
        <v>1</v>
      </c>
      <c r="B271" s="28">
        <v>13108</v>
      </c>
      <c r="C271" s="28" t="s">
        <v>299</v>
      </c>
      <c r="D271" s="48">
        <f>+DATA!Q269</f>
        <v>8548357.2390000001</v>
      </c>
      <c r="E271" s="48">
        <f t="shared" si="347"/>
        <v>562767</v>
      </c>
      <c r="F271" s="48">
        <f t="shared" si="348"/>
        <v>854836</v>
      </c>
      <c r="G271" s="49">
        <f>VLOOKUP(B271,'CALC MEC ESTAB Y ESTIM M FINAL'!$B$7:$F$352,5,0)</f>
        <v>4.5409776342000005E-3</v>
      </c>
      <c r="H271" s="49">
        <f>VLOOKUP(B271,'CALC MEC ESTAB Y ESTIM M FINAL'!$B$7:$R$352,17,0)</f>
        <v>-2.5013377129999998E-4</v>
      </c>
      <c r="I271" s="46">
        <f t="shared" si="304"/>
        <v>353789</v>
      </c>
      <c r="J271" s="46">
        <f t="shared" si="305"/>
        <v>0</v>
      </c>
      <c r="K271" s="46">
        <f t="shared" si="306"/>
        <v>208978</v>
      </c>
      <c r="L271" s="46">
        <v>0</v>
      </c>
      <c r="M271" s="46">
        <f t="shared" si="307"/>
        <v>562767</v>
      </c>
      <c r="N271" s="46">
        <f t="shared" si="362"/>
        <v>208978</v>
      </c>
      <c r="O271" s="46">
        <f t="shared" si="308"/>
        <v>188133</v>
      </c>
      <c r="P271" s="46">
        <f t="shared" si="309"/>
        <v>0</v>
      </c>
      <c r="Q271" s="46">
        <f t="shared" si="310"/>
        <v>374634</v>
      </c>
      <c r="R271" s="46">
        <v>0</v>
      </c>
      <c r="S271" s="46">
        <f t="shared" si="311"/>
        <v>562767</v>
      </c>
      <c r="T271" s="46">
        <f t="shared" si="363"/>
        <v>583612</v>
      </c>
      <c r="U271" s="46">
        <f t="shared" si="312"/>
        <v>536702</v>
      </c>
      <c r="V271" s="46">
        <f t="shared" si="313"/>
        <v>0</v>
      </c>
      <c r="W271" s="46">
        <f t="shared" si="364"/>
        <v>0</v>
      </c>
      <c r="X271" s="46">
        <v>0</v>
      </c>
      <c r="Y271" s="46">
        <f t="shared" si="314"/>
        <v>536702</v>
      </c>
      <c r="Z271" s="46">
        <f t="shared" si="365"/>
        <v>583612</v>
      </c>
      <c r="AA271" s="46">
        <f t="shared" si="315"/>
        <v>284980</v>
      </c>
      <c r="AB271" s="46">
        <f t="shared" si="316"/>
        <v>0</v>
      </c>
      <c r="AC271" s="46">
        <f t="shared" si="317"/>
        <v>277787</v>
      </c>
      <c r="AD271" s="46">
        <v>0</v>
      </c>
      <c r="AE271" s="46">
        <f t="shared" si="318"/>
        <v>562767</v>
      </c>
      <c r="AF271" s="46">
        <f t="shared" si="366"/>
        <v>861399</v>
      </c>
      <c r="AG271" s="46">
        <f t="shared" si="319"/>
        <v>2479862</v>
      </c>
      <c r="AH271" s="46">
        <f t="shared" si="320"/>
        <v>22888</v>
      </c>
      <c r="AI271" s="46">
        <f t="shared" si="367"/>
        <v>-861399</v>
      </c>
      <c r="AJ271" s="46">
        <v>0</v>
      </c>
      <c r="AK271" s="46">
        <f t="shared" si="321"/>
        <v>1641351</v>
      </c>
      <c r="AL271" s="46">
        <f t="shared" si="368"/>
        <v>0</v>
      </c>
      <c r="AM271" s="46">
        <f t="shared" si="322"/>
        <v>491197</v>
      </c>
      <c r="AN271" s="46">
        <f t="shared" si="323"/>
        <v>16221</v>
      </c>
      <c r="AO271" s="46">
        <f t="shared" si="324"/>
        <v>71570</v>
      </c>
      <c r="AP271" s="46">
        <v>0</v>
      </c>
      <c r="AQ271" s="46">
        <f t="shared" si="325"/>
        <v>578988</v>
      </c>
      <c r="AR271" s="46">
        <f t="shared" si="369"/>
        <v>71570</v>
      </c>
      <c r="AS271" s="46">
        <f t="shared" si="326"/>
        <v>976413</v>
      </c>
      <c r="AT271" s="46">
        <f t="shared" si="327"/>
        <v>94792</v>
      </c>
      <c r="AU271" s="46">
        <f t="shared" si="370"/>
        <v>-71570</v>
      </c>
      <c r="AV271" s="46">
        <v>0</v>
      </c>
      <c r="AW271" s="46">
        <f t="shared" si="328"/>
        <v>999635</v>
      </c>
      <c r="AX271" s="46">
        <f t="shared" si="371"/>
        <v>0</v>
      </c>
      <c r="AY271" s="46">
        <f t="shared" si="329"/>
        <v>322524</v>
      </c>
      <c r="AZ271" s="46">
        <f t="shared" si="330"/>
        <v>0</v>
      </c>
      <c r="BA271" s="46">
        <f t="shared" si="331"/>
        <v>240243</v>
      </c>
      <c r="BB271" s="46"/>
      <c r="BC271" s="46">
        <f t="shared" si="332"/>
        <v>562767</v>
      </c>
      <c r="BD271" s="46">
        <f t="shared" si="372"/>
        <v>240243</v>
      </c>
      <c r="BE271" s="46">
        <f t="shared" si="333"/>
        <v>624364</v>
      </c>
      <c r="BF271" s="46">
        <f t="shared" si="334"/>
        <v>23238</v>
      </c>
      <c r="BG271" s="46">
        <f t="shared" si="373"/>
        <v>0</v>
      </c>
      <c r="BH271" s="46">
        <v>0</v>
      </c>
      <c r="BI271" s="46">
        <f t="shared" si="335"/>
        <v>647602</v>
      </c>
      <c r="BJ271" s="46">
        <f t="shared" si="374"/>
        <v>240243</v>
      </c>
      <c r="BK271" s="46">
        <f t="shared" si="336"/>
        <v>1317381</v>
      </c>
      <c r="BL271" s="46">
        <f t="shared" si="337"/>
        <v>0</v>
      </c>
      <c r="BM271" s="46">
        <f t="shared" si="375"/>
        <v>-240243</v>
      </c>
      <c r="BN271" s="46">
        <v>0</v>
      </c>
      <c r="BO271" s="46">
        <f t="shared" si="338"/>
        <v>1077138</v>
      </c>
      <c r="BP271" s="46">
        <f t="shared" si="376"/>
        <v>0</v>
      </c>
      <c r="BQ271" s="46">
        <f t="shared" si="339"/>
        <v>488936</v>
      </c>
      <c r="BR271" s="46">
        <f t="shared" si="340"/>
        <v>0</v>
      </c>
      <c r="BS271" s="46">
        <f t="shared" si="341"/>
        <v>73831</v>
      </c>
      <c r="BT271" s="46">
        <v>0</v>
      </c>
      <c r="BU271" s="46">
        <f t="shared" si="342"/>
        <v>562767</v>
      </c>
      <c r="BV271" s="46">
        <f t="shared" si="377"/>
        <v>73831</v>
      </c>
      <c r="BW271" s="46">
        <f t="shared" si="343"/>
        <v>936937</v>
      </c>
      <c r="BX271" s="46">
        <f t="shared" si="344"/>
        <v>152730</v>
      </c>
      <c r="BY271" s="46">
        <f t="shared" si="345"/>
        <v>-73831</v>
      </c>
      <c r="BZ271" s="46">
        <v>0</v>
      </c>
      <c r="CA271" s="46">
        <f t="shared" si="346"/>
        <v>1015836</v>
      </c>
      <c r="CB271" s="46">
        <f t="shared" si="378"/>
        <v>0</v>
      </c>
      <c r="CC271" s="155">
        <f t="shared" si="349"/>
        <v>0</v>
      </c>
      <c r="CD271" s="79" t="s">
        <v>538</v>
      </c>
      <c r="CE271" s="65">
        <f t="shared" si="350"/>
        <v>562767</v>
      </c>
      <c r="CF271" s="65">
        <f t="shared" si="351"/>
        <v>562767</v>
      </c>
      <c r="CG271" s="65">
        <f t="shared" si="352"/>
        <v>536702</v>
      </c>
      <c r="CH271" s="65">
        <f t="shared" si="353"/>
        <v>562767</v>
      </c>
      <c r="CI271" s="65">
        <f t="shared" si="354"/>
        <v>1641351</v>
      </c>
      <c r="CJ271" s="65">
        <f t="shared" si="355"/>
        <v>578988</v>
      </c>
      <c r="CK271" s="65">
        <f t="shared" si="356"/>
        <v>999635</v>
      </c>
      <c r="CL271" s="65">
        <f t="shared" si="357"/>
        <v>562767</v>
      </c>
      <c r="CM271" s="65">
        <f t="shared" si="358"/>
        <v>647602</v>
      </c>
      <c r="CN271" s="65">
        <f t="shared" si="359"/>
        <v>1077138</v>
      </c>
      <c r="CO271" s="65">
        <f t="shared" si="360"/>
        <v>562767</v>
      </c>
      <c r="CP271" s="65">
        <f t="shared" si="361"/>
        <v>1015836</v>
      </c>
      <c r="CQ271" s="40" t="s">
        <v>538</v>
      </c>
    </row>
    <row r="272" spans="1:95" ht="3" customHeight="1" x14ac:dyDescent="0.25">
      <c r="A272" s="39">
        <v>1</v>
      </c>
      <c r="B272" s="28">
        <v>13109</v>
      </c>
      <c r="C272" s="28" t="s">
        <v>280</v>
      </c>
      <c r="D272" s="48">
        <f>+DATA!Q270</f>
        <v>5263504.3439999996</v>
      </c>
      <c r="E272" s="48">
        <f t="shared" si="347"/>
        <v>346514</v>
      </c>
      <c r="F272" s="48">
        <f t="shared" si="348"/>
        <v>526350</v>
      </c>
      <c r="G272" s="49">
        <f>VLOOKUP(B272,'CALC MEC ESTAB Y ESTIM M FINAL'!$B$7:$F$352,5,0)</f>
        <v>2.828941381E-3</v>
      </c>
      <c r="H272" s="49">
        <f>VLOOKUP(B272,'CALC MEC ESTAB Y ESTIM M FINAL'!$B$7:$R$352,17,0)</f>
        <v>-1.7036274100000001E-4</v>
      </c>
      <c r="I272" s="46">
        <f t="shared" si="304"/>
        <v>219206</v>
      </c>
      <c r="J272" s="46">
        <f t="shared" si="305"/>
        <v>0</v>
      </c>
      <c r="K272" s="46">
        <f t="shared" si="306"/>
        <v>127308</v>
      </c>
      <c r="L272" s="46">
        <v>0</v>
      </c>
      <c r="M272" s="46">
        <f t="shared" si="307"/>
        <v>346514</v>
      </c>
      <c r="N272" s="46">
        <f t="shared" si="362"/>
        <v>127308</v>
      </c>
      <c r="O272" s="46">
        <f t="shared" si="308"/>
        <v>116566</v>
      </c>
      <c r="P272" s="46">
        <f t="shared" si="309"/>
        <v>0</v>
      </c>
      <c r="Q272" s="46">
        <f t="shared" si="310"/>
        <v>229948</v>
      </c>
      <c r="R272" s="46">
        <v>0</v>
      </c>
      <c r="S272" s="46">
        <f t="shared" si="311"/>
        <v>346514</v>
      </c>
      <c r="T272" s="46">
        <f t="shared" si="363"/>
        <v>357256</v>
      </c>
      <c r="U272" s="46">
        <f t="shared" si="312"/>
        <v>332537</v>
      </c>
      <c r="V272" s="46">
        <f t="shared" si="313"/>
        <v>0</v>
      </c>
      <c r="W272" s="46">
        <f t="shared" si="364"/>
        <v>0</v>
      </c>
      <c r="X272" s="46">
        <v>0</v>
      </c>
      <c r="Y272" s="46">
        <f t="shared" si="314"/>
        <v>332537</v>
      </c>
      <c r="Z272" s="46">
        <f t="shared" si="365"/>
        <v>357256</v>
      </c>
      <c r="AA272" s="46">
        <f t="shared" si="315"/>
        <v>176572</v>
      </c>
      <c r="AB272" s="46">
        <f t="shared" si="316"/>
        <v>0</v>
      </c>
      <c r="AC272" s="46">
        <f t="shared" si="317"/>
        <v>169942</v>
      </c>
      <c r="AD272" s="46">
        <v>0</v>
      </c>
      <c r="AE272" s="46">
        <f t="shared" si="318"/>
        <v>346514</v>
      </c>
      <c r="AF272" s="46">
        <f t="shared" si="366"/>
        <v>527198</v>
      </c>
      <c r="AG272" s="46">
        <f t="shared" si="319"/>
        <v>1536506</v>
      </c>
      <c r="AH272" s="46">
        <f t="shared" si="320"/>
        <v>14182</v>
      </c>
      <c r="AI272" s="46">
        <f t="shared" si="367"/>
        <v>-527198</v>
      </c>
      <c r="AJ272" s="46">
        <v>0</v>
      </c>
      <c r="AK272" s="46">
        <f t="shared" si="321"/>
        <v>1023490</v>
      </c>
      <c r="AL272" s="46">
        <f t="shared" si="368"/>
        <v>0</v>
      </c>
      <c r="AM272" s="46">
        <f t="shared" si="322"/>
        <v>304343</v>
      </c>
      <c r="AN272" s="46">
        <f t="shared" si="323"/>
        <v>10051</v>
      </c>
      <c r="AO272" s="46">
        <f t="shared" si="324"/>
        <v>42171</v>
      </c>
      <c r="AP272" s="46">
        <v>0</v>
      </c>
      <c r="AQ272" s="46">
        <f t="shared" si="325"/>
        <v>356565</v>
      </c>
      <c r="AR272" s="46">
        <f t="shared" si="369"/>
        <v>42171</v>
      </c>
      <c r="AS272" s="46">
        <f t="shared" si="326"/>
        <v>604979</v>
      </c>
      <c r="AT272" s="46">
        <f t="shared" si="327"/>
        <v>58732</v>
      </c>
      <c r="AU272" s="46">
        <f t="shared" si="370"/>
        <v>-42171</v>
      </c>
      <c r="AV272" s="46">
        <v>0</v>
      </c>
      <c r="AW272" s="46">
        <f t="shared" si="328"/>
        <v>621540</v>
      </c>
      <c r="AX272" s="46">
        <f t="shared" si="371"/>
        <v>0</v>
      </c>
      <c r="AY272" s="46">
        <f t="shared" si="329"/>
        <v>199834</v>
      </c>
      <c r="AZ272" s="46">
        <f t="shared" si="330"/>
        <v>0</v>
      </c>
      <c r="BA272" s="46">
        <f t="shared" si="331"/>
        <v>146680</v>
      </c>
      <c r="BB272" s="46"/>
      <c r="BC272" s="46">
        <f t="shared" si="332"/>
        <v>346514</v>
      </c>
      <c r="BD272" s="46">
        <f t="shared" si="372"/>
        <v>146680</v>
      </c>
      <c r="BE272" s="46">
        <f t="shared" si="333"/>
        <v>386852</v>
      </c>
      <c r="BF272" s="46">
        <f t="shared" si="334"/>
        <v>14398</v>
      </c>
      <c r="BG272" s="46">
        <f t="shared" si="373"/>
        <v>0</v>
      </c>
      <c r="BH272" s="46">
        <v>0</v>
      </c>
      <c r="BI272" s="46">
        <f t="shared" si="335"/>
        <v>401250</v>
      </c>
      <c r="BJ272" s="46">
        <f t="shared" si="374"/>
        <v>146680</v>
      </c>
      <c r="BK272" s="46">
        <f t="shared" si="336"/>
        <v>816240</v>
      </c>
      <c r="BL272" s="46">
        <f t="shared" si="337"/>
        <v>0</v>
      </c>
      <c r="BM272" s="46">
        <f t="shared" si="375"/>
        <v>-146680</v>
      </c>
      <c r="BN272" s="46">
        <v>0</v>
      </c>
      <c r="BO272" s="46">
        <f t="shared" si="338"/>
        <v>669560</v>
      </c>
      <c r="BP272" s="46">
        <f t="shared" si="376"/>
        <v>0</v>
      </c>
      <c r="BQ272" s="46">
        <f t="shared" si="339"/>
        <v>302942</v>
      </c>
      <c r="BR272" s="46">
        <f t="shared" si="340"/>
        <v>0</v>
      </c>
      <c r="BS272" s="46">
        <f t="shared" si="341"/>
        <v>43572</v>
      </c>
      <c r="BT272" s="46">
        <v>0</v>
      </c>
      <c r="BU272" s="46">
        <f t="shared" si="342"/>
        <v>346514</v>
      </c>
      <c r="BV272" s="46">
        <f t="shared" si="377"/>
        <v>43572</v>
      </c>
      <c r="BW272" s="46">
        <f t="shared" si="343"/>
        <v>580520</v>
      </c>
      <c r="BX272" s="46">
        <f t="shared" si="344"/>
        <v>94631</v>
      </c>
      <c r="BY272" s="46">
        <f t="shared" si="345"/>
        <v>-43572</v>
      </c>
      <c r="BZ272" s="46">
        <v>0</v>
      </c>
      <c r="CA272" s="46">
        <f t="shared" si="346"/>
        <v>631579</v>
      </c>
      <c r="CB272" s="46">
        <f t="shared" si="378"/>
        <v>0</v>
      </c>
      <c r="CC272" s="155">
        <f t="shared" si="349"/>
        <v>0</v>
      </c>
      <c r="CD272" s="79" t="s">
        <v>538</v>
      </c>
      <c r="CE272" s="65">
        <f t="shared" si="350"/>
        <v>346514</v>
      </c>
      <c r="CF272" s="65">
        <f t="shared" si="351"/>
        <v>346514</v>
      </c>
      <c r="CG272" s="65">
        <f t="shared" si="352"/>
        <v>332537</v>
      </c>
      <c r="CH272" s="65">
        <f t="shared" si="353"/>
        <v>346514</v>
      </c>
      <c r="CI272" s="65">
        <f t="shared" si="354"/>
        <v>1023490</v>
      </c>
      <c r="CJ272" s="65">
        <f t="shared" si="355"/>
        <v>356565</v>
      </c>
      <c r="CK272" s="65">
        <f t="shared" si="356"/>
        <v>621540</v>
      </c>
      <c r="CL272" s="65">
        <f t="shared" si="357"/>
        <v>346514</v>
      </c>
      <c r="CM272" s="65">
        <f t="shared" si="358"/>
        <v>401250</v>
      </c>
      <c r="CN272" s="65">
        <f t="shared" si="359"/>
        <v>669560</v>
      </c>
      <c r="CO272" s="65">
        <f t="shared" si="360"/>
        <v>346514</v>
      </c>
      <c r="CP272" s="65">
        <f t="shared" si="361"/>
        <v>631579</v>
      </c>
      <c r="CQ272" s="40" t="s">
        <v>538</v>
      </c>
    </row>
    <row r="273" spans="1:95" ht="3" customHeight="1" x14ac:dyDescent="0.25">
      <c r="A273" s="39">
        <v>1</v>
      </c>
      <c r="B273" s="28">
        <v>13110</v>
      </c>
      <c r="C273" s="28" t="s">
        <v>284</v>
      </c>
      <c r="D273" s="48">
        <f>+DATA!Q271</f>
        <v>29215569.118000001</v>
      </c>
      <c r="E273" s="48">
        <f t="shared" si="347"/>
        <v>1923358</v>
      </c>
      <c r="F273" s="48">
        <f t="shared" si="348"/>
        <v>2921557</v>
      </c>
      <c r="G273" s="49">
        <f>VLOOKUP(B273,'CALC MEC ESTAB Y ESTIM M FINAL'!$B$7:$F$352,5,0)</f>
        <v>5.1752227164000002E-3</v>
      </c>
      <c r="H273" s="49">
        <f>VLOOKUP(B273,'CALC MEC ESTAB Y ESTIM M FINAL'!$B$7:$R$352,17,0)</f>
        <v>8.7927659426000008E-3</v>
      </c>
      <c r="I273" s="46">
        <f t="shared" si="304"/>
        <v>1151691</v>
      </c>
      <c r="J273" s="46">
        <f t="shared" si="305"/>
        <v>0</v>
      </c>
      <c r="K273" s="46">
        <f t="shared" si="306"/>
        <v>771667</v>
      </c>
      <c r="L273" s="46">
        <v>0</v>
      </c>
      <c r="M273" s="46">
        <f t="shared" si="307"/>
        <v>1923358</v>
      </c>
      <c r="N273" s="46">
        <f t="shared" si="362"/>
        <v>771667</v>
      </c>
      <c r="O273" s="46">
        <f t="shared" si="308"/>
        <v>612430</v>
      </c>
      <c r="P273" s="46">
        <f t="shared" si="309"/>
        <v>0</v>
      </c>
      <c r="Q273" s="46">
        <f t="shared" si="310"/>
        <v>1310928</v>
      </c>
      <c r="R273" s="46">
        <v>0</v>
      </c>
      <c r="S273" s="46">
        <f t="shared" si="311"/>
        <v>1923358</v>
      </c>
      <c r="T273" s="46">
        <f t="shared" si="363"/>
        <v>2082595</v>
      </c>
      <c r="U273" s="46">
        <f t="shared" si="312"/>
        <v>1747126</v>
      </c>
      <c r="V273" s="46">
        <f t="shared" si="313"/>
        <v>0</v>
      </c>
      <c r="W273" s="46">
        <f t="shared" si="364"/>
        <v>0</v>
      </c>
      <c r="X273" s="46">
        <v>0</v>
      </c>
      <c r="Y273" s="46">
        <f t="shared" si="314"/>
        <v>1747126</v>
      </c>
      <c r="Z273" s="46">
        <f t="shared" si="365"/>
        <v>2082595</v>
      </c>
      <c r="AA273" s="46">
        <f t="shared" si="315"/>
        <v>927697</v>
      </c>
      <c r="AB273" s="46">
        <f t="shared" si="316"/>
        <v>0</v>
      </c>
      <c r="AC273" s="46">
        <f t="shared" si="317"/>
        <v>995661</v>
      </c>
      <c r="AD273" s="46">
        <v>0</v>
      </c>
      <c r="AE273" s="46">
        <f t="shared" si="318"/>
        <v>1923358</v>
      </c>
      <c r="AF273" s="46">
        <f t="shared" si="366"/>
        <v>3078256</v>
      </c>
      <c r="AG273" s="46">
        <f t="shared" si="319"/>
        <v>8072696</v>
      </c>
      <c r="AH273" s="46">
        <f t="shared" si="320"/>
        <v>74509</v>
      </c>
      <c r="AI273" s="46">
        <f t="shared" si="367"/>
        <v>-3078256</v>
      </c>
      <c r="AJ273" s="46">
        <v>0</v>
      </c>
      <c r="AK273" s="46">
        <f t="shared" si="321"/>
        <v>5068949</v>
      </c>
      <c r="AL273" s="46">
        <f t="shared" si="368"/>
        <v>0</v>
      </c>
      <c r="AM273" s="46">
        <f t="shared" si="322"/>
        <v>1598995</v>
      </c>
      <c r="AN273" s="46">
        <f t="shared" si="323"/>
        <v>52805</v>
      </c>
      <c r="AO273" s="46">
        <f t="shared" si="324"/>
        <v>324363</v>
      </c>
      <c r="AP273" s="46">
        <v>0</v>
      </c>
      <c r="AQ273" s="46">
        <f t="shared" si="325"/>
        <v>1976163</v>
      </c>
      <c r="AR273" s="46">
        <f t="shared" si="369"/>
        <v>324363</v>
      </c>
      <c r="AS273" s="46">
        <f t="shared" si="326"/>
        <v>3178517</v>
      </c>
      <c r="AT273" s="46">
        <f t="shared" si="327"/>
        <v>308576</v>
      </c>
      <c r="AU273" s="46">
        <f t="shared" si="370"/>
        <v>-256960</v>
      </c>
      <c r="AV273" s="46">
        <v>0</v>
      </c>
      <c r="AW273" s="46">
        <f t="shared" si="328"/>
        <v>3230133</v>
      </c>
      <c r="AX273" s="46">
        <f t="shared" si="371"/>
        <v>67403</v>
      </c>
      <c r="AY273" s="46">
        <f t="shared" si="329"/>
        <v>1049913</v>
      </c>
      <c r="AZ273" s="46">
        <f t="shared" si="330"/>
        <v>0</v>
      </c>
      <c r="BA273" s="46">
        <f t="shared" si="331"/>
        <v>873445</v>
      </c>
      <c r="BB273" s="46"/>
      <c r="BC273" s="46">
        <f t="shared" si="332"/>
        <v>1923358</v>
      </c>
      <c r="BD273" s="46">
        <f t="shared" si="372"/>
        <v>940848</v>
      </c>
      <c r="BE273" s="46">
        <f t="shared" si="333"/>
        <v>2032492</v>
      </c>
      <c r="BF273" s="46">
        <f t="shared" si="334"/>
        <v>75647</v>
      </c>
      <c r="BG273" s="46">
        <f t="shared" si="373"/>
        <v>0</v>
      </c>
      <c r="BH273" s="46">
        <v>0</v>
      </c>
      <c r="BI273" s="46">
        <f t="shared" si="335"/>
        <v>2108139</v>
      </c>
      <c r="BJ273" s="46">
        <f t="shared" si="374"/>
        <v>940848</v>
      </c>
      <c r="BK273" s="46">
        <f t="shared" si="336"/>
        <v>4288470</v>
      </c>
      <c r="BL273" s="46">
        <f t="shared" si="337"/>
        <v>0</v>
      </c>
      <c r="BM273" s="46">
        <f t="shared" si="375"/>
        <v>-940848</v>
      </c>
      <c r="BN273" s="46">
        <v>0</v>
      </c>
      <c r="BO273" s="46">
        <f t="shared" si="338"/>
        <v>3347622</v>
      </c>
      <c r="BP273" s="46">
        <f t="shared" si="376"/>
        <v>0</v>
      </c>
      <c r="BQ273" s="46">
        <f t="shared" si="339"/>
        <v>1591635</v>
      </c>
      <c r="BR273" s="46">
        <f t="shared" si="340"/>
        <v>0</v>
      </c>
      <c r="BS273" s="46">
        <f t="shared" si="341"/>
        <v>331723</v>
      </c>
      <c r="BT273" s="46">
        <v>0</v>
      </c>
      <c r="BU273" s="46">
        <f t="shared" si="342"/>
        <v>1923358</v>
      </c>
      <c r="BV273" s="46">
        <f t="shared" si="377"/>
        <v>331723</v>
      </c>
      <c r="BW273" s="46">
        <f t="shared" si="343"/>
        <v>3050012</v>
      </c>
      <c r="BX273" s="46">
        <f t="shared" si="344"/>
        <v>497183</v>
      </c>
      <c r="BY273" s="46">
        <f t="shared" si="345"/>
        <v>-331723</v>
      </c>
      <c r="BZ273" s="46">
        <v>0</v>
      </c>
      <c r="CA273" s="46">
        <f t="shared" si="346"/>
        <v>3215472</v>
      </c>
      <c r="CB273" s="46">
        <f t="shared" si="378"/>
        <v>0</v>
      </c>
      <c r="CC273" s="155">
        <f t="shared" si="349"/>
        <v>0</v>
      </c>
      <c r="CD273" s="79" t="s">
        <v>538</v>
      </c>
      <c r="CE273" s="65">
        <f t="shared" si="350"/>
        <v>1923358</v>
      </c>
      <c r="CF273" s="65">
        <f t="shared" si="351"/>
        <v>1923358</v>
      </c>
      <c r="CG273" s="65">
        <f t="shared" si="352"/>
        <v>1747126</v>
      </c>
      <c r="CH273" s="65">
        <f t="shared" si="353"/>
        <v>1923358</v>
      </c>
      <c r="CI273" s="65">
        <f t="shared" si="354"/>
        <v>5068949</v>
      </c>
      <c r="CJ273" s="65">
        <f t="shared" si="355"/>
        <v>1976163</v>
      </c>
      <c r="CK273" s="65">
        <f t="shared" si="356"/>
        <v>3230133</v>
      </c>
      <c r="CL273" s="65">
        <f t="shared" si="357"/>
        <v>1923358</v>
      </c>
      <c r="CM273" s="65">
        <f t="shared" si="358"/>
        <v>2108139</v>
      </c>
      <c r="CN273" s="65">
        <f t="shared" si="359"/>
        <v>3347622</v>
      </c>
      <c r="CO273" s="65">
        <f t="shared" si="360"/>
        <v>1923358</v>
      </c>
      <c r="CP273" s="65">
        <f t="shared" si="361"/>
        <v>3215472</v>
      </c>
      <c r="CQ273" s="40" t="s">
        <v>538</v>
      </c>
    </row>
    <row r="274" spans="1:95" ht="3" customHeight="1" x14ac:dyDescent="0.25">
      <c r="A274" s="39">
        <v>1</v>
      </c>
      <c r="B274" s="28">
        <v>13111</v>
      </c>
      <c r="C274" s="28" t="s">
        <v>285</v>
      </c>
      <c r="D274" s="48">
        <f>+DATA!Q272</f>
        <v>13690819.438999999</v>
      </c>
      <c r="E274" s="48">
        <f t="shared" si="347"/>
        <v>901312</v>
      </c>
      <c r="F274" s="48">
        <f t="shared" si="348"/>
        <v>1369082</v>
      </c>
      <c r="G274" s="49">
        <f>VLOOKUP(B274,'CALC MEC ESTAB Y ESTIM M FINAL'!$B$7:$F$352,5,0)</f>
        <v>6.2003696313000008E-3</v>
      </c>
      <c r="H274" s="49">
        <f>VLOOKUP(B274,'CALC MEC ESTAB Y ESTIM M FINAL'!$B$7:$R$352,17,0)</f>
        <v>3.452227954E-4</v>
      </c>
      <c r="I274" s="46">
        <f t="shared" si="304"/>
        <v>539698</v>
      </c>
      <c r="J274" s="46">
        <f t="shared" si="305"/>
        <v>0</v>
      </c>
      <c r="K274" s="46">
        <f t="shared" si="306"/>
        <v>361614</v>
      </c>
      <c r="L274" s="46">
        <v>0</v>
      </c>
      <c r="M274" s="46">
        <f t="shared" si="307"/>
        <v>901312</v>
      </c>
      <c r="N274" s="46">
        <f t="shared" si="362"/>
        <v>361614</v>
      </c>
      <c r="O274" s="46">
        <f t="shared" si="308"/>
        <v>286993</v>
      </c>
      <c r="P274" s="46">
        <f t="shared" si="309"/>
        <v>0</v>
      </c>
      <c r="Q274" s="46">
        <f t="shared" si="310"/>
        <v>614319</v>
      </c>
      <c r="R274" s="46">
        <v>0</v>
      </c>
      <c r="S274" s="46">
        <f t="shared" si="311"/>
        <v>901312</v>
      </c>
      <c r="T274" s="46">
        <f t="shared" si="363"/>
        <v>975933</v>
      </c>
      <c r="U274" s="46">
        <f t="shared" si="312"/>
        <v>818727</v>
      </c>
      <c r="V274" s="46">
        <f t="shared" si="313"/>
        <v>0</v>
      </c>
      <c r="W274" s="46">
        <f t="shared" si="364"/>
        <v>0</v>
      </c>
      <c r="X274" s="46">
        <v>0</v>
      </c>
      <c r="Y274" s="46">
        <f t="shared" si="314"/>
        <v>818727</v>
      </c>
      <c r="Z274" s="46">
        <f t="shared" si="365"/>
        <v>975933</v>
      </c>
      <c r="AA274" s="46">
        <f t="shared" si="315"/>
        <v>434731</v>
      </c>
      <c r="AB274" s="46">
        <f t="shared" si="316"/>
        <v>0</v>
      </c>
      <c r="AC274" s="46">
        <f t="shared" si="317"/>
        <v>466581</v>
      </c>
      <c r="AD274" s="46">
        <v>0</v>
      </c>
      <c r="AE274" s="46">
        <f t="shared" si="318"/>
        <v>901312</v>
      </c>
      <c r="AF274" s="46">
        <f t="shared" si="366"/>
        <v>1442514</v>
      </c>
      <c r="AG274" s="46">
        <f t="shared" si="319"/>
        <v>3782977</v>
      </c>
      <c r="AH274" s="46">
        <f t="shared" si="320"/>
        <v>34916</v>
      </c>
      <c r="AI274" s="46">
        <f t="shared" si="367"/>
        <v>-1442514</v>
      </c>
      <c r="AJ274" s="46">
        <v>0</v>
      </c>
      <c r="AK274" s="46">
        <f t="shared" si="321"/>
        <v>2375379</v>
      </c>
      <c r="AL274" s="46">
        <f t="shared" si="368"/>
        <v>0</v>
      </c>
      <c r="AM274" s="46">
        <f t="shared" si="322"/>
        <v>749311</v>
      </c>
      <c r="AN274" s="46">
        <f t="shared" si="323"/>
        <v>24745</v>
      </c>
      <c r="AO274" s="46">
        <f t="shared" si="324"/>
        <v>152001</v>
      </c>
      <c r="AP274" s="46">
        <v>0</v>
      </c>
      <c r="AQ274" s="46">
        <f t="shared" si="325"/>
        <v>926057</v>
      </c>
      <c r="AR274" s="46">
        <f t="shared" si="369"/>
        <v>152001</v>
      </c>
      <c r="AS274" s="46">
        <f t="shared" si="326"/>
        <v>1489497</v>
      </c>
      <c r="AT274" s="46">
        <f t="shared" si="327"/>
        <v>144603</v>
      </c>
      <c r="AU274" s="46">
        <f t="shared" si="370"/>
        <v>-120415</v>
      </c>
      <c r="AV274" s="46">
        <v>0</v>
      </c>
      <c r="AW274" s="46">
        <f t="shared" si="328"/>
        <v>1513685</v>
      </c>
      <c r="AX274" s="46">
        <f t="shared" si="371"/>
        <v>31586</v>
      </c>
      <c r="AY274" s="46">
        <f t="shared" si="329"/>
        <v>492004</v>
      </c>
      <c r="AZ274" s="46">
        <f t="shared" si="330"/>
        <v>0</v>
      </c>
      <c r="BA274" s="46">
        <f t="shared" si="331"/>
        <v>409308</v>
      </c>
      <c r="BB274" s="46"/>
      <c r="BC274" s="46">
        <f t="shared" si="332"/>
        <v>901312</v>
      </c>
      <c r="BD274" s="46">
        <f t="shared" si="372"/>
        <v>440894</v>
      </c>
      <c r="BE274" s="46">
        <f t="shared" si="333"/>
        <v>952454</v>
      </c>
      <c r="BF274" s="46">
        <f t="shared" si="334"/>
        <v>35449</v>
      </c>
      <c r="BG274" s="46">
        <f t="shared" si="373"/>
        <v>0</v>
      </c>
      <c r="BH274" s="46">
        <v>0</v>
      </c>
      <c r="BI274" s="46">
        <f t="shared" si="335"/>
        <v>987903</v>
      </c>
      <c r="BJ274" s="46">
        <f t="shared" si="374"/>
        <v>440894</v>
      </c>
      <c r="BK274" s="46">
        <f t="shared" si="336"/>
        <v>2009636</v>
      </c>
      <c r="BL274" s="46">
        <f t="shared" si="337"/>
        <v>0</v>
      </c>
      <c r="BM274" s="46">
        <f t="shared" si="375"/>
        <v>-440894</v>
      </c>
      <c r="BN274" s="46">
        <v>0</v>
      </c>
      <c r="BO274" s="46">
        <f t="shared" si="338"/>
        <v>1568742</v>
      </c>
      <c r="BP274" s="46">
        <f t="shared" si="376"/>
        <v>0</v>
      </c>
      <c r="BQ274" s="46">
        <f t="shared" si="339"/>
        <v>745862</v>
      </c>
      <c r="BR274" s="46">
        <f t="shared" si="340"/>
        <v>0</v>
      </c>
      <c r="BS274" s="46">
        <f t="shared" si="341"/>
        <v>155450</v>
      </c>
      <c r="BT274" s="46">
        <v>0</v>
      </c>
      <c r="BU274" s="46">
        <f t="shared" si="342"/>
        <v>901312</v>
      </c>
      <c r="BV274" s="46">
        <f t="shared" si="377"/>
        <v>155450</v>
      </c>
      <c r="BW274" s="46">
        <f t="shared" si="343"/>
        <v>1429278</v>
      </c>
      <c r="BX274" s="46">
        <f t="shared" si="344"/>
        <v>232987</v>
      </c>
      <c r="BY274" s="46">
        <f t="shared" si="345"/>
        <v>-155450</v>
      </c>
      <c r="BZ274" s="46">
        <v>0</v>
      </c>
      <c r="CA274" s="46">
        <f t="shared" si="346"/>
        <v>1506815</v>
      </c>
      <c r="CB274" s="46">
        <f t="shared" si="378"/>
        <v>0</v>
      </c>
      <c r="CC274" s="155">
        <f t="shared" si="349"/>
        <v>0</v>
      </c>
      <c r="CD274" s="79" t="s">
        <v>538</v>
      </c>
      <c r="CE274" s="65">
        <f t="shared" si="350"/>
        <v>901312</v>
      </c>
      <c r="CF274" s="65">
        <f t="shared" si="351"/>
        <v>901312</v>
      </c>
      <c r="CG274" s="65">
        <f t="shared" si="352"/>
        <v>818727</v>
      </c>
      <c r="CH274" s="65">
        <f t="shared" si="353"/>
        <v>901312</v>
      </c>
      <c r="CI274" s="65">
        <f t="shared" si="354"/>
        <v>2375379</v>
      </c>
      <c r="CJ274" s="65">
        <f t="shared" si="355"/>
        <v>926057</v>
      </c>
      <c r="CK274" s="65">
        <f t="shared" si="356"/>
        <v>1513685</v>
      </c>
      <c r="CL274" s="65">
        <f t="shared" si="357"/>
        <v>901312</v>
      </c>
      <c r="CM274" s="65">
        <f t="shared" si="358"/>
        <v>987903</v>
      </c>
      <c r="CN274" s="65">
        <f t="shared" si="359"/>
        <v>1568742</v>
      </c>
      <c r="CO274" s="65">
        <f t="shared" si="360"/>
        <v>901312</v>
      </c>
      <c r="CP274" s="65">
        <f t="shared" si="361"/>
        <v>1506815</v>
      </c>
      <c r="CQ274" s="40" t="s">
        <v>538</v>
      </c>
    </row>
    <row r="275" spans="1:95" ht="3" customHeight="1" x14ac:dyDescent="0.25">
      <c r="A275" s="39">
        <v>1</v>
      </c>
      <c r="B275" s="28">
        <v>13112</v>
      </c>
      <c r="C275" s="28" t="s">
        <v>288</v>
      </c>
      <c r="D275" s="48">
        <f>+DATA!Q273</f>
        <v>23354009.528999999</v>
      </c>
      <c r="E275" s="48">
        <f t="shared" si="347"/>
        <v>1537472</v>
      </c>
      <c r="F275" s="48">
        <f t="shared" si="348"/>
        <v>2335401</v>
      </c>
      <c r="G275" s="49">
        <f>VLOOKUP(B275,'CALC MEC ESTAB Y ESTIM M FINAL'!$B$7:$F$352,5,0)</f>
        <v>1.07406571199E-2</v>
      </c>
      <c r="H275" s="49">
        <f>VLOOKUP(B275,'CALC MEC ESTAB Y ESTIM M FINAL'!$B$7:$R$352,17,0)</f>
        <v>4.2491490690000001E-4</v>
      </c>
      <c r="I275" s="46">
        <f t="shared" si="304"/>
        <v>920626</v>
      </c>
      <c r="J275" s="46">
        <f t="shared" si="305"/>
        <v>0</v>
      </c>
      <c r="K275" s="46">
        <f t="shared" si="306"/>
        <v>616846</v>
      </c>
      <c r="L275" s="46">
        <v>0</v>
      </c>
      <c r="M275" s="46">
        <f t="shared" si="307"/>
        <v>1537472</v>
      </c>
      <c r="N275" s="46">
        <f t="shared" si="362"/>
        <v>616846</v>
      </c>
      <c r="O275" s="46">
        <f t="shared" si="308"/>
        <v>489558</v>
      </c>
      <c r="P275" s="46">
        <f t="shared" si="309"/>
        <v>0</v>
      </c>
      <c r="Q275" s="46">
        <f t="shared" si="310"/>
        <v>1047914</v>
      </c>
      <c r="R275" s="46">
        <v>0</v>
      </c>
      <c r="S275" s="46">
        <f t="shared" si="311"/>
        <v>1537472</v>
      </c>
      <c r="T275" s="46">
        <f t="shared" si="363"/>
        <v>1664760</v>
      </c>
      <c r="U275" s="46">
        <f t="shared" si="312"/>
        <v>1396598</v>
      </c>
      <c r="V275" s="46">
        <f t="shared" si="313"/>
        <v>0</v>
      </c>
      <c r="W275" s="46">
        <f t="shared" si="364"/>
        <v>0</v>
      </c>
      <c r="X275" s="46">
        <v>0</v>
      </c>
      <c r="Y275" s="46">
        <f t="shared" si="314"/>
        <v>1396598</v>
      </c>
      <c r="Z275" s="46">
        <f t="shared" si="365"/>
        <v>1664760</v>
      </c>
      <c r="AA275" s="46">
        <f t="shared" si="315"/>
        <v>741572</v>
      </c>
      <c r="AB275" s="46">
        <f t="shared" si="316"/>
        <v>0</v>
      </c>
      <c r="AC275" s="46">
        <f t="shared" si="317"/>
        <v>795900</v>
      </c>
      <c r="AD275" s="46">
        <v>0</v>
      </c>
      <c r="AE275" s="46">
        <f t="shared" si="318"/>
        <v>1537472</v>
      </c>
      <c r="AF275" s="46">
        <f t="shared" si="366"/>
        <v>2460660</v>
      </c>
      <c r="AG275" s="46">
        <f t="shared" si="319"/>
        <v>6453060</v>
      </c>
      <c r="AH275" s="46">
        <f t="shared" si="320"/>
        <v>59560</v>
      </c>
      <c r="AI275" s="46">
        <f t="shared" si="367"/>
        <v>-2460660</v>
      </c>
      <c r="AJ275" s="46">
        <v>0</v>
      </c>
      <c r="AK275" s="46">
        <f t="shared" si="321"/>
        <v>4051960</v>
      </c>
      <c r="AL275" s="46">
        <f t="shared" si="368"/>
        <v>0</v>
      </c>
      <c r="AM275" s="46">
        <f t="shared" si="322"/>
        <v>1278186</v>
      </c>
      <c r="AN275" s="46">
        <f t="shared" si="323"/>
        <v>42211</v>
      </c>
      <c r="AO275" s="46">
        <f t="shared" si="324"/>
        <v>259286</v>
      </c>
      <c r="AP275" s="46">
        <v>0</v>
      </c>
      <c r="AQ275" s="46">
        <f t="shared" si="325"/>
        <v>1579683</v>
      </c>
      <c r="AR275" s="46">
        <f t="shared" si="369"/>
        <v>259286</v>
      </c>
      <c r="AS275" s="46">
        <f t="shared" si="326"/>
        <v>2540807</v>
      </c>
      <c r="AT275" s="46">
        <f t="shared" si="327"/>
        <v>246666</v>
      </c>
      <c r="AU275" s="46">
        <f t="shared" si="370"/>
        <v>-205406</v>
      </c>
      <c r="AV275" s="46">
        <v>0</v>
      </c>
      <c r="AW275" s="46">
        <f t="shared" si="328"/>
        <v>2582067</v>
      </c>
      <c r="AX275" s="46">
        <f t="shared" si="371"/>
        <v>53880</v>
      </c>
      <c r="AY275" s="46">
        <f t="shared" si="329"/>
        <v>839267</v>
      </c>
      <c r="AZ275" s="46">
        <f t="shared" si="330"/>
        <v>0</v>
      </c>
      <c r="BA275" s="46">
        <f t="shared" si="331"/>
        <v>698205</v>
      </c>
      <c r="BB275" s="46"/>
      <c r="BC275" s="46">
        <f t="shared" si="332"/>
        <v>1537472</v>
      </c>
      <c r="BD275" s="46">
        <f t="shared" si="372"/>
        <v>752085</v>
      </c>
      <c r="BE275" s="46">
        <f t="shared" si="333"/>
        <v>1624710</v>
      </c>
      <c r="BF275" s="46">
        <f t="shared" si="334"/>
        <v>60470</v>
      </c>
      <c r="BG275" s="46">
        <f t="shared" si="373"/>
        <v>0</v>
      </c>
      <c r="BH275" s="46">
        <v>0</v>
      </c>
      <c r="BI275" s="46">
        <f t="shared" si="335"/>
        <v>1685180</v>
      </c>
      <c r="BJ275" s="46">
        <f t="shared" si="374"/>
        <v>752085</v>
      </c>
      <c r="BK275" s="46">
        <f t="shared" si="336"/>
        <v>3428069</v>
      </c>
      <c r="BL275" s="46">
        <f t="shared" si="337"/>
        <v>0</v>
      </c>
      <c r="BM275" s="46">
        <f t="shared" si="375"/>
        <v>-752085</v>
      </c>
      <c r="BN275" s="46">
        <v>0</v>
      </c>
      <c r="BO275" s="46">
        <f t="shared" si="338"/>
        <v>2675984</v>
      </c>
      <c r="BP275" s="46">
        <f t="shared" si="376"/>
        <v>0</v>
      </c>
      <c r="BQ275" s="46">
        <f t="shared" si="339"/>
        <v>1272303</v>
      </c>
      <c r="BR275" s="46">
        <f t="shared" si="340"/>
        <v>0</v>
      </c>
      <c r="BS275" s="46">
        <f t="shared" si="341"/>
        <v>265169</v>
      </c>
      <c r="BT275" s="46">
        <v>0</v>
      </c>
      <c r="BU275" s="46">
        <f t="shared" si="342"/>
        <v>1537472</v>
      </c>
      <c r="BV275" s="46">
        <f t="shared" si="377"/>
        <v>265169</v>
      </c>
      <c r="BW275" s="46">
        <f t="shared" si="343"/>
        <v>2438084</v>
      </c>
      <c r="BX275" s="46">
        <f t="shared" si="344"/>
        <v>397433</v>
      </c>
      <c r="BY275" s="46">
        <f t="shared" si="345"/>
        <v>-265169</v>
      </c>
      <c r="BZ275" s="46">
        <v>0</v>
      </c>
      <c r="CA275" s="46">
        <f t="shared" si="346"/>
        <v>2570348</v>
      </c>
      <c r="CB275" s="46">
        <f t="shared" si="378"/>
        <v>0</v>
      </c>
      <c r="CC275" s="155">
        <f t="shared" si="349"/>
        <v>0</v>
      </c>
      <c r="CD275" s="79" t="s">
        <v>538</v>
      </c>
      <c r="CE275" s="65">
        <f t="shared" si="350"/>
        <v>1537472</v>
      </c>
      <c r="CF275" s="65">
        <f t="shared" si="351"/>
        <v>1537472</v>
      </c>
      <c r="CG275" s="65">
        <f t="shared" si="352"/>
        <v>1396598</v>
      </c>
      <c r="CH275" s="65">
        <f t="shared" si="353"/>
        <v>1537472</v>
      </c>
      <c r="CI275" s="65">
        <f t="shared" si="354"/>
        <v>4051960</v>
      </c>
      <c r="CJ275" s="65">
        <f t="shared" si="355"/>
        <v>1579683</v>
      </c>
      <c r="CK275" s="65">
        <f t="shared" si="356"/>
        <v>2582067</v>
      </c>
      <c r="CL275" s="65">
        <f t="shared" si="357"/>
        <v>1537472</v>
      </c>
      <c r="CM275" s="65">
        <f t="shared" si="358"/>
        <v>1685180</v>
      </c>
      <c r="CN275" s="65">
        <f t="shared" si="359"/>
        <v>2675984</v>
      </c>
      <c r="CO275" s="65">
        <f t="shared" si="360"/>
        <v>1537472</v>
      </c>
      <c r="CP275" s="65">
        <f t="shared" si="361"/>
        <v>2570348</v>
      </c>
      <c r="CQ275" s="40" t="s">
        <v>538</v>
      </c>
    </row>
    <row r="276" spans="1:95" ht="3" customHeight="1" x14ac:dyDescent="0.25">
      <c r="A276" s="39">
        <v>1</v>
      </c>
      <c r="B276" s="28">
        <v>13113</v>
      </c>
      <c r="C276" s="28" t="s">
        <v>286</v>
      </c>
      <c r="D276" s="48">
        <f>+DATA!Q274</f>
        <v>1966875.8840000001</v>
      </c>
      <c r="E276" s="48">
        <f t="shared" si="347"/>
        <v>129486</v>
      </c>
      <c r="F276" s="48">
        <f t="shared" si="348"/>
        <v>196688</v>
      </c>
      <c r="G276" s="49">
        <f>VLOOKUP(B276,'CALC MEC ESTAB Y ESTIM M FINAL'!$B$7:$F$352,5,0)</f>
        <v>9.6982910549999997E-4</v>
      </c>
      <c r="H276" s="49">
        <f>VLOOKUP(B276,'CALC MEC ESTAB Y ESTIM M FINAL'!$B$7:$R$352,17,0)</f>
        <v>-1.7301885099999998E-5</v>
      </c>
      <c r="I276" s="46">
        <f t="shared" si="304"/>
        <v>78538</v>
      </c>
      <c r="J276" s="46">
        <f t="shared" si="305"/>
        <v>0</v>
      </c>
      <c r="K276" s="46">
        <f t="shared" si="306"/>
        <v>50948</v>
      </c>
      <c r="L276" s="46">
        <v>0</v>
      </c>
      <c r="M276" s="46">
        <f t="shared" si="307"/>
        <v>129486</v>
      </c>
      <c r="N276" s="46">
        <f t="shared" si="362"/>
        <v>50948</v>
      </c>
      <c r="O276" s="46">
        <f t="shared" si="308"/>
        <v>41764</v>
      </c>
      <c r="P276" s="46">
        <f t="shared" si="309"/>
        <v>0</v>
      </c>
      <c r="Q276" s="46">
        <f t="shared" si="310"/>
        <v>87722</v>
      </c>
      <c r="R276" s="46">
        <v>0</v>
      </c>
      <c r="S276" s="46">
        <f t="shared" si="311"/>
        <v>129486</v>
      </c>
      <c r="T276" s="46">
        <f t="shared" si="363"/>
        <v>138670</v>
      </c>
      <c r="U276" s="46">
        <f t="shared" si="312"/>
        <v>119143</v>
      </c>
      <c r="V276" s="46">
        <f t="shared" si="313"/>
        <v>0</v>
      </c>
      <c r="W276" s="46">
        <f t="shared" si="364"/>
        <v>0</v>
      </c>
      <c r="X276" s="46">
        <v>0</v>
      </c>
      <c r="Y276" s="46">
        <f t="shared" si="314"/>
        <v>119143</v>
      </c>
      <c r="Z276" s="46">
        <f t="shared" si="365"/>
        <v>138670</v>
      </c>
      <c r="AA276" s="46">
        <f t="shared" si="315"/>
        <v>63263</v>
      </c>
      <c r="AB276" s="46">
        <f t="shared" si="316"/>
        <v>0</v>
      </c>
      <c r="AC276" s="46">
        <f t="shared" si="317"/>
        <v>66223</v>
      </c>
      <c r="AD276" s="46">
        <v>0</v>
      </c>
      <c r="AE276" s="46">
        <f t="shared" si="318"/>
        <v>129486</v>
      </c>
      <c r="AF276" s="46">
        <f t="shared" si="366"/>
        <v>204893</v>
      </c>
      <c r="AG276" s="46">
        <f t="shared" si="319"/>
        <v>550506</v>
      </c>
      <c r="AH276" s="46">
        <f t="shared" si="320"/>
        <v>5081</v>
      </c>
      <c r="AI276" s="46">
        <f t="shared" si="367"/>
        <v>-204893</v>
      </c>
      <c r="AJ276" s="46">
        <v>0</v>
      </c>
      <c r="AK276" s="46">
        <f t="shared" si="321"/>
        <v>350694</v>
      </c>
      <c r="AL276" s="46">
        <f t="shared" si="368"/>
        <v>0</v>
      </c>
      <c r="AM276" s="46">
        <f t="shared" si="322"/>
        <v>109041</v>
      </c>
      <c r="AN276" s="46">
        <f t="shared" si="323"/>
        <v>3601</v>
      </c>
      <c r="AO276" s="46">
        <f t="shared" si="324"/>
        <v>20445</v>
      </c>
      <c r="AP276" s="46">
        <v>0</v>
      </c>
      <c r="AQ276" s="46">
        <f t="shared" si="325"/>
        <v>133087</v>
      </c>
      <c r="AR276" s="46">
        <f t="shared" si="369"/>
        <v>20445</v>
      </c>
      <c r="AS276" s="46">
        <f t="shared" si="326"/>
        <v>216754</v>
      </c>
      <c r="AT276" s="46">
        <f t="shared" si="327"/>
        <v>21043</v>
      </c>
      <c r="AU276" s="46">
        <f t="shared" si="370"/>
        <v>-20066</v>
      </c>
      <c r="AV276" s="46">
        <v>0</v>
      </c>
      <c r="AW276" s="46">
        <f t="shared" si="328"/>
        <v>217731</v>
      </c>
      <c r="AX276" s="46">
        <f t="shared" si="371"/>
        <v>379</v>
      </c>
      <c r="AY276" s="46">
        <f t="shared" si="329"/>
        <v>71597</v>
      </c>
      <c r="AZ276" s="46">
        <f t="shared" si="330"/>
        <v>0</v>
      </c>
      <c r="BA276" s="46">
        <f t="shared" si="331"/>
        <v>57889</v>
      </c>
      <c r="BB276" s="46"/>
      <c r="BC276" s="46">
        <f t="shared" si="332"/>
        <v>129486</v>
      </c>
      <c r="BD276" s="46">
        <f t="shared" si="372"/>
        <v>58268</v>
      </c>
      <c r="BE276" s="46">
        <f t="shared" si="333"/>
        <v>138603</v>
      </c>
      <c r="BF276" s="46">
        <f t="shared" si="334"/>
        <v>5159</v>
      </c>
      <c r="BG276" s="46">
        <f t="shared" si="373"/>
        <v>0</v>
      </c>
      <c r="BH276" s="46">
        <v>0</v>
      </c>
      <c r="BI276" s="46">
        <f t="shared" si="335"/>
        <v>143762</v>
      </c>
      <c r="BJ276" s="46">
        <f t="shared" si="374"/>
        <v>58268</v>
      </c>
      <c r="BK276" s="46">
        <f t="shared" si="336"/>
        <v>292446</v>
      </c>
      <c r="BL276" s="46">
        <f t="shared" si="337"/>
        <v>0</v>
      </c>
      <c r="BM276" s="46">
        <f t="shared" si="375"/>
        <v>-58268</v>
      </c>
      <c r="BN276" s="46">
        <v>0</v>
      </c>
      <c r="BO276" s="46">
        <f t="shared" si="338"/>
        <v>234178</v>
      </c>
      <c r="BP276" s="46">
        <f t="shared" si="376"/>
        <v>0</v>
      </c>
      <c r="BQ276" s="46">
        <f t="shared" si="339"/>
        <v>108539</v>
      </c>
      <c r="BR276" s="46">
        <f t="shared" si="340"/>
        <v>0</v>
      </c>
      <c r="BS276" s="46">
        <f t="shared" si="341"/>
        <v>20947</v>
      </c>
      <c r="BT276" s="46">
        <v>0</v>
      </c>
      <c r="BU276" s="46">
        <f t="shared" si="342"/>
        <v>129486</v>
      </c>
      <c r="BV276" s="46">
        <f t="shared" si="377"/>
        <v>20947</v>
      </c>
      <c r="BW276" s="46">
        <f t="shared" si="343"/>
        <v>207991</v>
      </c>
      <c r="BX276" s="46">
        <f t="shared" si="344"/>
        <v>33905</v>
      </c>
      <c r="BY276" s="46">
        <f t="shared" si="345"/>
        <v>-20947</v>
      </c>
      <c r="BZ276" s="46">
        <v>0</v>
      </c>
      <c r="CA276" s="46">
        <f t="shared" si="346"/>
        <v>220949</v>
      </c>
      <c r="CB276" s="46">
        <f t="shared" si="378"/>
        <v>0</v>
      </c>
      <c r="CC276" s="155">
        <f t="shared" si="349"/>
        <v>0</v>
      </c>
      <c r="CD276" s="79" t="s">
        <v>538</v>
      </c>
      <c r="CE276" s="65">
        <f t="shared" si="350"/>
        <v>129486</v>
      </c>
      <c r="CF276" s="65">
        <f t="shared" si="351"/>
        <v>129486</v>
      </c>
      <c r="CG276" s="65">
        <f t="shared" si="352"/>
        <v>119143</v>
      </c>
      <c r="CH276" s="65">
        <f t="shared" si="353"/>
        <v>129486</v>
      </c>
      <c r="CI276" s="65">
        <f t="shared" si="354"/>
        <v>350694</v>
      </c>
      <c r="CJ276" s="65">
        <f t="shared" si="355"/>
        <v>133087</v>
      </c>
      <c r="CK276" s="65">
        <f t="shared" si="356"/>
        <v>217731</v>
      </c>
      <c r="CL276" s="65">
        <f t="shared" si="357"/>
        <v>129486</v>
      </c>
      <c r="CM276" s="65">
        <f t="shared" si="358"/>
        <v>143762</v>
      </c>
      <c r="CN276" s="65">
        <f t="shared" si="359"/>
        <v>234178</v>
      </c>
      <c r="CO276" s="65">
        <f t="shared" si="360"/>
        <v>129486</v>
      </c>
      <c r="CP276" s="65">
        <f t="shared" si="361"/>
        <v>220949</v>
      </c>
      <c r="CQ276" s="40" t="s">
        <v>538</v>
      </c>
    </row>
    <row r="277" spans="1:95" ht="3" customHeight="1" x14ac:dyDescent="0.25">
      <c r="A277" s="39">
        <v>0</v>
      </c>
      <c r="B277" s="28">
        <v>13114</v>
      </c>
      <c r="C277" s="28" t="s">
        <v>279</v>
      </c>
      <c r="D277" s="48">
        <f>+DATA!Q275</f>
        <v>3929998.727</v>
      </c>
      <c r="E277" s="48">
        <f t="shared" si="347"/>
        <v>0</v>
      </c>
      <c r="F277" s="48">
        <f t="shared" si="348"/>
        <v>0</v>
      </c>
      <c r="G277" s="49">
        <f>VLOOKUP(B277,'CALC MEC ESTAB Y ESTIM M FINAL'!$B$7:$F$352,5,0)</f>
        <v>1.0351035371E-3</v>
      </c>
      <c r="H277" s="49">
        <f>VLOOKUP(B277,'CALC MEC ESTAB Y ESTIM M FINAL'!$B$7:$R$352,17,0)</f>
        <v>8.4383233910000001E-4</v>
      </c>
      <c r="I277" s="46">
        <f t="shared" si="304"/>
        <v>154922</v>
      </c>
      <c r="J277" s="46">
        <f t="shared" si="305"/>
        <v>0</v>
      </c>
      <c r="K277" s="46">
        <f t="shared" si="306"/>
        <v>0</v>
      </c>
      <c r="L277" s="46">
        <v>0</v>
      </c>
      <c r="M277" s="46">
        <f t="shared" si="307"/>
        <v>154922</v>
      </c>
      <c r="N277" s="46">
        <v>0</v>
      </c>
      <c r="O277" s="46">
        <f t="shared" si="308"/>
        <v>82382</v>
      </c>
      <c r="P277" s="46">
        <f t="shared" si="309"/>
        <v>0</v>
      </c>
      <c r="Q277" s="46">
        <f t="shared" si="310"/>
        <v>0</v>
      </c>
      <c r="R277" s="46">
        <v>0</v>
      </c>
      <c r="S277" s="46">
        <f t="shared" si="311"/>
        <v>82382</v>
      </c>
      <c r="T277" s="46">
        <v>0</v>
      </c>
      <c r="U277" s="46">
        <f t="shared" si="312"/>
        <v>235019</v>
      </c>
      <c r="V277" s="46">
        <f t="shared" si="313"/>
        <v>0</v>
      </c>
      <c r="W277" s="46">
        <v>0</v>
      </c>
      <c r="X277" s="46">
        <v>0</v>
      </c>
      <c r="Y277" s="46">
        <f t="shared" si="314"/>
        <v>235019</v>
      </c>
      <c r="Z277" s="46">
        <v>0</v>
      </c>
      <c r="AA277" s="46">
        <f t="shared" si="315"/>
        <v>124791</v>
      </c>
      <c r="AB277" s="46">
        <f t="shared" si="316"/>
        <v>0</v>
      </c>
      <c r="AC277" s="46">
        <f t="shared" si="317"/>
        <v>0</v>
      </c>
      <c r="AD277" s="46">
        <v>0</v>
      </c>
      <c r="AE277" s="46">
        <f t="shared" si="318"/>
        <v>124791</v>
      </c>
      <c r="AF277" s="46">
        <v>0</v>
      </c>
      <c r="AG277" s="46">
        <f t="shared" si="319"/>
        <v>1085917</v>
      </c>
      <c r="AH277" s="46">
        <f t="shared" si="320"/>
        <v>10023</v>
      </c>
      <c r="AI277" s="46">
        <v>0</v>
      </c>
      <c r="AJ277" s="46">
        <v>0</v>
      </c>
      <c r="AK277" s="46">
        <f t="shared" si="321"/>
        <v>1095940</v>
      </c>
      <c r="AL277" s="46">
        <v>0</v>
      </c>
      <c r="AM277" s="46">
        <f t="shared" si="322"/>
        <v>215092</v>
      </c>
      <c r="AN277" s="46">
        <f t="shared" si="323"/>
        <v>7103</v>
      </c>
      <c r="AO277" s="46">
        <f t="shared" si="324"/>
        <v>0</v>
      </c>
      <c r="AP277" s="46">
        <v>0</v>
      </c>
      <c r="AQ277" s="46">
        <f t="shared" si="325"/>
        <v>222195</v>
      </c>
      <c r="AR277" s="46">
        <v>0</v>
      </c>
      <c r="AS277" s="46">
        <f t="shared" si="326"/>
        <v>427565</v>
      </c>
      <c r="AT277" s="46">
        <f t="shared" si="327"/>
        <v>41509</v>
      </c>
      <c r="AU277" s="46">
        <v>0</v>
      </c>
      <c r="AV277" s="46">
        <v>0</v>
      </c>
      <c r="AW277" s="46">
        <f t="shared" si="328"/>
        <v>469074</v>
      </c>
      <c r="AX277" s="46">
        <v>0</v>
      </c>
      <c r="AY277" s="46">
        <f t="shared" si="329"/>
        <v>141231</v>
      </c>
      <c r="AZ277" s="46">
        <f t="shared" si="330"/>
        <v>0</v>
      </c>
      <c r="BA277" s="46">
        <f t="shared" si="331"/>
        <v>0</v>
      </c>
      <c r="BB277" s="46">
        <v>0</v>
      </c>
      <c r="BC277" s="46">
        <f t="shared" si="332"/>
        <v>141231</v>
      </c>
      <c r="BD277" s="46">
        <v>0</v>
      </c>
      <c r="BE277" s="46">
        <f t="shared" si="333"/>
        <v>273405</v>
      </c>
      <c r="BF277" s="46">
        <f t="shared" si="334"/>
        <v>10176</v>
      </c>
      <c r="BG277" s="46">
        <v>0</v>
      </c>
      <c r="BH277" s="46">
        <v>0</v>
      </c>
      <c r="BI277" s="46">
        <f t="shared" si="335"/>
        <v>283581</v>
      </c>
      <c r="BJ277" s="46">
        <v>0</v>
      </c>
      <c r="BK277" s="46">
        <f t="shared" si="336"/>
        <v>576873</v>
      </c>
      <c r="BL277" s="46">
        <f t="shared" si="337"/>
        <v>0</v>
      </c>
      <c r="BM277" s="46">
        <v>0</v>
      </c>
      <c r="BN277" s="46">
        <v>0</v>
      </c>
      <c r="BO277" s="46">
        <f t="shared" si="338"/>
        <v>576873</v>
      </c>
      <c r="BP277" s="46">
        <v>0</v>
      </c>
      <c r="BQ277" s="46">
        <f t="shared" si="339"/>
        <v>214102</v>
      </c>
      <c r="BR277" s="46">
        <f t="shared" si="340"/>
        <v>0</v>
      </c>
      <c r="BS277" s="46">
        <f t="shared" si="341"/>
        <v>0</v>
      </c>
      <c r="BT277" s="46">
        <v>0</v>
      </c>
      <c r="BU277" s="46">
        <f t="shared" si="342"/>
        <v>214102</v>
      </c>
      <c r="BV277" s="46">
        <v>0</v>
      </c>
      <c r="BW277" s="46">
        <f t="shared" si="343"/>
        <v>410279</v>
      </c>
      <c r="BX277" s="46">
        <f t="shared" si="344"/>
        <v>66880</v>
      </c>
      <c r="BY277" s="46">
        <f t="shared" si="345"/>
        <v>0</v>
      </c>
      <c r="BZ277" s="46">
        <v>0</v>
      </c>
      <c r="CA277" s="46">
        <f t="shared" si="346"/>
        <v>477159</v>
      </c>
      <c r="CB277" s="46">
        <v>0</v>
      </c>
      <c r="CC277" s="155">
        <f t="shared" si="349"/>
        <v>0</v>
      </c>
      <c r="CD277" s="79" t="s">
        <v>538</v>
      </c>
      <c r="CE277" s="65">
        <f t="shared" si="350"/>
        <v>154922</v>
      </c>
      <c r="CF277" s="65">
        <f t="shared" si="351"/>
        <v>82382</v>
      </c>
      <c r="CG277" s="65">
        <f t="shared" si="352"/>
        <v>235019</v>
      </c>
      <c r="CH277" s="65">
        <f t="shared" si="353"/>
        <v>124791</v>
      </c>
      <c r="CI277" s="65">
        <f t="shared" si="354"/>
        <v>1095940</v>
      </c>
      <c r="CJ277" s="65">
        <f t="shared" si="355"/>
        <v>222195</v>
      </c>
      <c r="CK277" s="65">
        <f t="shared" si="356"/>
        <v>469074</v>
      </c>
      <c r="CL277" s="65">
        <f t="shared" si="357"/>
        <v>141231</v>
      </c>
      <c r="CM277" s="65">
        <f t="shared" si="358"/>
        <v>283581</v>
      </c>
      <c r="CN277" s="65">
        <f t="shared" si="359"/>
        <v>576873</v>
      </c>
      <c r="CO277" s="65">
        <f t="shared" si="360"/>
        <v>214102</v>
      </c>
      <c r="CP277" s="65">
        <f t="shared" si="361"/>
        <v>477159</v>
      </c>
      <c r="CQ277" s="40" t="s">
        <v>538</v>
      </c>
    </row>
    <row r="278" spans="1:95" ht="3" customHeight="1" x14ac:dyDescent="0.25">
      <c r="A278" s="39">
        <v>1</v>
      </c>
      <c r="B278" s="28">
        <v>13115</v>
      </c>
      <c r="C278" s="28" t="s">
        <v>294</v>
      </c>
      <c r="D278" s="48">
        <f>+DATA!Q276</f>
        <v>2015859.291</v>
      </c>
      <c r="E278" s="48">
        <f t="shared" si="347"/>
        <v>132711</v>
      </c>
      <c r="F278" s="48">
        <f t="shared" si="348"/>
        <v>201586</v>
      </c>
      <c r="G278" s="49">
        <f>VLOOKUP(B278,'CALC MEC ESTAB Y ESTIM M FINAL'!$B$7:$F$352,5,0)</f>
        <v>8.5706227579999993E-4</v>
      </c>
      <c r="H278" s="49">
        <f>VLOOKUP(B278,'CALC MEC ESTAB Y ESTIM M FINAL'!$B$7:$R$352,17,0)</f>
        <v>1.045483557E-4</v>
      </c>
      <c r="I278" s="46">
        <f t="shared" si="304"/>
        <v>79287</v>
      </c>
      <c r="J278" s="46">
        <f t="shared" si="305"/>
        <v>0</v>
      </c>
      <c r="K278" s="46">
        <f t="shared" si="306"/>
        <v>53424</v>
      </c>
      <c r="L278" s="46">
        <v>0</v>
      </c>
      <c r="M278" s="46">
        <f t="shared" si="307"/>
        <v>132711</v>
      </c>
      <c r="N278" s="46">
        <f t="shared" ref="N278:N285" si="379">K278</f>
        <v>53424</v>
      </c>
      <c r="O278" s="46">
        <f t="shared" si="308"/>
        <v>42162</v>
      </c>
      <c r="P278" s="46">
        <f t="shared" si="309"/>
        <v>0</v>
      </c>
      <c r="Q278" s="46">
        <f t="shared" si="310"/>
        <v>90549</v>
      </c>
      <c r="R278" s="46">
        <v>0</v>
      </c>
      <c r="S278" s="46">
        <f t="shared" si="311"/>
        <v>132711</v>
      </c>
      <c r="T278" s="46">
        <f t="shared" ref="T278:T285" si="380">N278+Q278</f>
        <v>143973</v>
      </c>
      <c r="U278" s="46">
        <f t="shared" si="312"/>
        <v>120279</v>
      </c>
      <c r="V278" s="46">
        <f t="shared" si="313"/>
        <v>0</v>
      </c>
      <c r="W278" s="46">
        <f t="shared" ref="W278:W285" si="381">IF(U278&lt;$F278,0,IF(U278-$F278&gt;T278,-T278,-(U278-$F278)))</f>
        <v>0</v>
      </c>
      <c r="X278" s="46">
        <v>0</v>
      </c>
      <c r="Y278" s="46">
        <f t="shared" si="314"/>
        <v>120279</v>
      </c>
      <c r="Z278" s="46">
        <f t="shared" ref="Z278:Z285" si="382">T278+W278</f>
        <v>143973</v>
      </c>
      <c r="AA278" s="46">
        <f t="shared" si="315"/>
        <v>63866</v>
      </c>
      <c r="AB278" s="46">
        <f t="shared" si="316"/>
        <v>0</v>
      </c>
      <c r="AC278" s="46">
        <f t="shared" si="317"/>
        <v>68845</v>
      </c>
      <c r="AD278" s="46">
        <v>0</v>
      </c>
      <c r="AE278" s="46">
        <f t="shared" si="318"/>
        <v>132711</v>
      </c>
      <c r="AF278" s="46">
        <f t="shared" ref="AF278:AF285" si="383">Z278+AC278</f>
        <v>212818</v>
      </c>
      <c r="AG278" s="46">
        <f t="shared" si="319"/>
        <v>555756</v>
      </c>
      <c r="AH278" s="46">
        <f t="shared" si="320"/>
        <v>5129</v>
      </c>
      <c r="AI278" s="46">
        <f t="shared" ref="AI278:AI285" si="384">IF(AG278&lt;$F278,0,IF(AG278-$F278&gt;AF278,-AF278,-(AG278-$F278)))</f>
        <v>-212818</v>
      </c>
      <c r="AJ278" s="46">
        <v>0</v>
      </c>
      <c r="AK278" s="46">
        <f t="shared" si="321"/>
        <v>348067</v>
      </c>
      <c r="AL278" s="46">
        <f t="shared" ref="AL278:AL285" si="385">AF278+AI278</f>
        <v>0</v>
      </c>
      <c r="AM278" s="46">
        <f t="shared" si="322"/>
        <v>110081</v>
      </c>
      <c r="AN278" s="46">
        <f t="shared" si="323"/>
        <v>3635</v>
      </c>
      <c r="AO278" s="46">
        <f t="shared" si="324"/>
        <v>22630</v>
      </c>
      <c r="AP278" s="46">
        <v>0</v>
      </c>
      <c r="AQ278" s="46">
        <f t="shared" si="325"/>
        <v>136346</v>
      </c>
      <c r="AR278" s="46">
        <f t="shared" ref="AR278:AR285" si="386">AL278+AO278</f>
        <v>22630</v>
      </c>
      <c r="AS278" s="46">
        <f t="shared" si="326"/>
        <v>218821</v>
      </c>
      <c r="AT278" s="46">
        <f t="shared" si="327"/>
        <v>21244</v>
      </c>
      <c r="AU278" s="46">
        <f t="shared" ref="AU278:AU285" si="387">IF(AS278&lt;$F278,0,IF(AS278-$F278&gt;AR278,-AR278,-(AS278-$F278)))</f>
        <v>-17235</v>
      </c>
      <c r="AV278" s="46">
        <v>0</v>
      </c>
      <c r="AW278" s="46">
        <f t="shared" si="328"/>
        <v>222830</v>
      </c>
      <c r="AX278" s="46">
        <f t="shared" ref="AX278:AX285" si="388">AR278+AU278</f>
        <v>5395</v>
      </c>
      <c r="AY278" s="46">
        <f t="shared" si="329"/>
        <v>72280</v>
      </c>
      <c r="AZ278" s="46">
        <f t="shared" si="330"/>
        <v>0</v>
      </c>
      <c r="BA278" s="46">
        <f t="shared" si="331"/>
        <v>60431</v>
      </c>
      <c r="BB278" s="46"/>
      <c r="BC278" s="46">
        <f t="shared" si="332"/>
        <v>132711</v>
      </c>
      <c r="BD278" s="46">
        <f t="shared" ref="BD278:BD285" si="389">AX278+BA278</f>
        <v>65826</v>
      </c>
      <c r="BE278" s="46">
        <f t="shared" si="333"/>
        <v>139925</v>
      </c>
      <c r="BF278" s="46">
        <f t="shared" si="334"/>
        <v>5208</v>
      </c>
      <c r="BG278" s="46">
        <f t="shared" ref="BG278:BG285" si="390">IF(BE278&lt;$F278,0,IF(BE278-$F278&gt;BD278,-BD278,-(BE278-$F278)))</f>
        <v>0</v>
      </c>
      <c r="BH278" s="46">
        <v>0</v>
      </c>
      <c r="BI278" s="46">
        <f t="shared" si="335"/>
        <v>145133</v>
      </c>
      <c r="BJ278" s="46">
        <f t="shared" ref="BJ278:BJ285" si="391">BD278+BG278</f>
        <v>65826</v>
      </c>
      <c r="BK278" s="46">
        <f t="shared" si="336"/>
        <v>295235</v>
      </c>
      <c r="BL278" s="46">
        <f t="shared" si="337"/>
        <v>0</v>
      </c>
      <c r="BM278" s="46">
        <f t="shared" ref="BM278:BM285" si="392">IF(BK278&lt;$F278,0,IF(BK278-$F278&gt;BJ278,-BJ278,-(BK278-$F278)))</f>
        <v>-65826</v>
      </c>
      <c r="BN278" s="46">
        <v>0</v>
      </c>
      <c r="BO278" s="46">
        <f t="shared" si="338"/>
        <v>229409</v>
      </c>
      <c r="BP278" s="46">
        <f t="shared" ref="BP278:BP285" si="393">BJ278+BM278</f>
        <v>0</v>
      </c>
      <c r="BQ278" s="46">
        <f t="shared" si="339"/>
        <v>109574</v>
      </c>
      <c r="BR278" s="46">
        <f t="shared" si="340"/>
        <v>0</v>
      </c>
      <c r="BS278" s="46">
        <f t="shared" si="341"/>
        <v>23137</v>
      </c>
      <c r="BT278" s="46">
        <v>0</v>
      </c>
      <c r="BU278" s="46">
        <f t="shared" si="342"/>
        <v>132711</v>
      </c>
      <c r="BV278" s="46">
        <f t="shared" ref="BV278:BV285" si="394">BP278+BS278</f>
        <v>23137</v>
      </c>
      <c r="BW278" s="46">
        <f t="shared" si="343"/>
        <v>209975</v>
      </c>
      <c r="BX278" s="46">
        <f t="shared" si="344"/>
        <v>34228</v>
      </c>
      <c r="BY278" s="46">
        <f t="shared" si="345"/>
        <v>-23137</v>
      </c>
      <c r="BZ278" s="46">
        <v>0</v>
      </c>
      <c r="CA278" s="46">
        <f t="shared" si="346"/>
        <v>221066</v>
      </c>
      <c r="CB278" s="46">
        <f t="shared" ref="CB278:CB285" si="395">BV278+BY278</f>
        <v>0</v>
      </c>
      <c r="CC278" s="155">
        <f t="shared" si="349"/>
        <v>0</v>
      </c>
      <c r="CD278" s="79" t="s">
        <v>538</v>
      </c>
      <c r="CE278" s="65">
        <f t="shared" si="350"/>
        <v>132711</v>
      </c>
      <c r="CF278" s="65">
        <f t="shared" si="351"/>
        <v>132711</v>
      </c>
      <c r="CG278" s="65">
        <f t="shared" si="352"/>
        <v>120279</v>
      </c>
      <c r="CH278" s="65">
        <f t="shared" si="353"/>
        <v>132711</v>
      </c>
      <c r="CI278" s="65">
        <f t="shared" si="354"/>
        <v>348067</v>
      </c>
      <c r="CJ278" s="65">
        <f t="shared" si="355"/>
        <v>136346</v>
      </c>
      <c r="CK278" s="65">
        <f t="shared" si="356"/>
        <v>222830</v>
      </c>
      <c r="CL278" s="65">
        <f t="shared" si="357"/>
        <v>132711</v>
      </c>
      <c r="CM278" s="65">
        <f t="shared" si="358"/>
        <v>145133</v>
      </c>
      <c r="CN278" s="65">
        <f t="shared" si="359"/>
        <v>229409</v>
      </c>
      <c r="CO278" s="65">
        <f t="shared" si="360"/>
        <v>132711</v>
      </c>
      <c r="CP278" s="65">
        <f t="shared" si="361"/>
        <v>221066</v>
      </c>
      <c r="CQ278" s="40" t="s">
        <v>538</v>
      </c>
    </row>
    <row r="279" spans="1:95" ht="3" customHeight="1" x14ac:dyDescent="0.25">
      <c r="A279" s="39">
        <v>1</v>
      </c>
      <c r="B279" s="28">
        <v>13116</v>
      </c>
      <c r="C279" s="28" t="s">
        <v>296</v>
      </c>
      <c r="D279" s="48">
        <f>+DATA!Q277</f>
        <v>11332794.096999999</v>
      </c>
      <c r="E279" s="48">
        <f t="shared" si="347"/>
        <v>746076</v>
      </c>
      <c r="F279" s="48">
        <f t="shared" si="348"/>
        <v>1133279</v>
      </c>
      <c r="G279" s="49">
        <f>VLOOKUP(B279,'CALC MEC ESTAB Y ESTIM M FINAL'!$B$7:$F$352,5,0)</f>
        <v>5.4402377590000005E-3</v>
      </c>
      <c r="H279" s="49">
        <f>VLOOKUP(B279,'CALC MEC ESTAB Y ESTIM M FINAL'!$B$7:$R$352,17,0)</f>
        <v>-1.2005519100000001E-5</v>
      </c>
      <c r="I279" s="46">
        <f t="shared" si="304"/>
        <v>447569</v>
      </c>
      <c r="J279" s="46">
        <f t="shared" si="305"/>
        <v>0</v>
      </c>
      <c r="K279" s="46">
        <f t="shared" si="306"/>
        <v>298507</v>
      </c>
      <c r="L279" s="46">
        <v>0</v>
      </c>
      <c r="M279" s="46">
        <f t="shared" si="307"/>
        <v>746076</v>
      </c>
      <c r="N279" s="46">
        <f t="shared" si="379"/>
        <v>298507</v>
      </c>
      <c r="O279" s="46">
        <f t="shared" si="308"/>
        <v>238002</v>
      </c>
      <c r="P279" s="46">
        <f t="shared" si="309"/>
        <v>0</v>
      </c>
      <c r="Q279" s="46">
        <f t="shared" si="310"/>
        <v>508074</v>
      </c>
      <c r="R279" s="46">
        <v>0</v>
      </c>
      <c r="S279" s="46">
        <f t="shared" si="311"/>
        <v>746076</v>
      </c>
      <c r="T279" s="46">
        <f t="shared" si="380"/>
        <v>806581</v>
      </c>
      <c r="U279" s="46">
        <f t="shared" si="312"/>
        <v>678967</v>
      </c>
      <c r="V279" s="46">
        <f t="shared" si="313"/>
        <v>0</v>
      </c>
      <c r="W279" s="46">
        <f t="shared" si="381"/>
        <v>0</v>
      </c>
      <c r="X279" s="46">
        <v>0</v>
      </c>
      <c r="Y279" s="46">
        <f t="shared" si="314"/>
        <v>678967</v>
      </c>
      <c r="Z279" s="46">
        <f t="shared" si="382"/>
        <v>806581</v>
      </c>
      <c r="AA279" s="46">
        <f t="shared" si="315"/>
        <v>360521</v>
      </c>
      <c r="AB279" s="46">
        <f t="shared" si="316"/>
        <v>0</v>
      </c>
      <c r="AC279" s="46">
        <f t="shared" si="317"/>
        <v>385555</v>
      </c>
      <c r="AD279" s="46">
        <v>0</v>
      </c>
      <c r="AE279" s="46">
        <f t="shared" si="318"/>
        <v>746076</v>
      </c>
      <c r="AF279" s="46">
        <f t="shared" si="383"/>
        <v>1192136</v>
      </c>
      <c r="AG279" s="46">
        <f t="shared" si="319"/>
        <v>3137207</v>
      </c>
      <c r="AH279" s="46">
        <f t="shared" si="320"/>
        <v>28956</v>
      </c>
      <c r="AI279" s="46">
        <f t="shared" si="384"/>
        <v>-1192136</v>
      </c>
      <c r="AJ279" s="46">
        <v>0</v>
      </c>
      <c r="AK279" s="46">
        <f t="shared" si="321"/>
        <v>1974027</v>
      </c>
      <c r="AL279" s="46">
        <f t="shared" si="385"/>
        <v>0</v>
      </c>
      <c r="AM279" s="46">
        <f t="shared" si="322"/>
        <v>621401</v>
      </c>
      <c r="AN279" s="46">
        <f t="shared" si="323"/>
        <v>20521</v>
      </c>
      <c r="AO279" s="46">
        <f t="shared" si="324"/>
        <v>124675</v>
      </c>
      <c r="AP279" s="46">
        <v>0</v>
      </c>
      <c r="AQ279" s="46">
        <f t="shared" si="325"/>
        <v>766597</v>
      </c>
      <c r="AR279" s="46">
        <f t="shared" si="386"/>
        <v>124675</v>
      </c>
      <c r="AS279" s="46">
        <f t="shared" si="326"/>
        <v>1235234</v>
      </c>
      <c r="AT279" s="46">
        <f t="shared" si="327"/>
        <v>119919</v>
      </c>
      <c r="AU279" s="46">
        <f t="shared" si="387"/>
        <v>-101955</v>
      </c>
      <c r="AV279" s="46">
        <v>0</v>
      </c>
      <c r="AW279" s="46">
        <f t="shared" si="328"/>
        <v>1253198</v>
      </c>
      <c r="AX279" s="46">
        <f t="shared" si="388"/>
        <v>22720</v>
      </c>
      <c r="AY279" s="46">
        <f t="shared" si="329"/>
        <v>408017</v>
      </c>
      <c r="AZ279" s="46">
        <f t="shared" si="330"/>
        <v>0</v>
      </c>
      <c r="BA279" s="46">
        <f t="shared" si="331"/>
        <v>338059</v>
      </c>
      <c r="BB279" s="46"/>
      <c r="BC279" s="46">
        <f t="shared" si="332"/>
        <v>746076</v>
      </c>
      <c r="BD279" s="46">
        <f t="shared" si="389"/>
        <v>360779</v>
      </c>
      <c r="BE279" s="46">
        <f t="shared" si="333"/>
        <v>789866</v>
      </c>
      <c r="BF279" s="46">
        <f t="shared" si="334"/>
        <v>29398</v>
      </c>
      <c r="BG279" s="46">
        <f t="shared" si="390"/>
        <v>0</v>
      </c>
      <c r="BH279" s="46">
        <v>0</v>
      </c>
      <c r="BI279" s="46">
        <f t="shared" si="335"/>
        <v>819264</v>
      </c>
      <c r="BJ279" s="46">
        <f t="shared" si="391"/>
        <v>360779</v>
      </c>
      <c r="BK279" s="46">
        <f t="shared" si="336"/>
        <v>1666583</v>
      </c>
      <c r="BL279" s="46">
        <f t="shared" si="337"/>
        <v>0</v>
      </c>
      <c r="BM279" s="46">
        <f t="shared" si="392"/>
        <v>-360779</v>
      </c>
      <c r="BN279" s="46">
        <v>0</v>
      </c>
      <c r="BO279" s="46">
        <f t="shared" si="338"/>
        <v>1305804</v>
      </c>
      <c r="BP279" s="46">
        <f t="shared" si="393"/>
        <v>0</v>
      </c>
      <c r="BQ279" s="46">
        <f t="shared" si="339"/>
        <v>618540</v>
      </c>
      <c r="BR279" s="46">
        <f t="shared" si="340"/>
        <v>0</v>
      </c>
      <c r="BS279" s="46">
        <f t="shared" si="341"/>
        <v>127536</v>
      </c>
      <c r="BT279" s="46">
        <v>0</v>
      </c>
      <c r="BU279" s="46">
        <f t="shared" si="342"/>
        <v>746076</v>
      </c>
      <c r="BV279" s="46">
        <f t="shared" si="394"/>
        <v>127536</v>
      </c>
      <c r="BW279" s="46">
        <f t="shared" si="343"/>
        <v>1185294</v>
      </c>
      <c r="BX279" s="46">
        <f t="shared" si="344"/>
        <v>193215</v>
      </c>
      <c r="BY279" s="46">
        <f t="shared" si="345"/>
        <v>-127536</v>
      </c>
      <c r="BZ279" s="46">
        <v>0</v>
      </c>
      <c r="CA279" s="46">
        <f t="shared" si="346"/>
        <v>1250973</v>
      </c>
      <c r="CB279" s="46">
        <f t="shared" si="395"/>
        <v>0</v>
      </c>
      <c r="CC279" s="155">
        <f t="shared" si="349"/>
        <v>0</v>
      </c>
      <c r="CD279" s="79" t="s">
        <v>538</v>
      </c>
      <c r="CE279" s="65">
        <f t="shared" si="350"/>
        <v>746076</v>
      </c>
      <c r="CF279" s="65">
        <f t="shared" si="351"/>
        <v>746076</v>
      </c>
      <c r="CG279" s="65">
        <f t="shared" si="352"/>
        <v>678967</v>
      </c>
      <c r="CH279" s="65">
        <f t="shared" si="353"/>
        <v>746076</v>
      </c>
      <c r="CI279" s="65">
        <f t="shared" si="354"/>
        <v>1974027</v>
      </c>
      <c r="CJ279" s="65">
        <f t="shared" si="355"/>
        <v>766597</v>
      </c>
      <c r="CK279" s="65">
        <f t="shared" si="356"/>
        <v>1253198</v>
      </c>
      <c r="CL279" s="65">
        <f t="shared" si="357"/>
        <v>746076</v>
      </c>
      <c r="CM279" s="65">
        <f t="shared" si="358"/>
        <v>819264</v>
      </c>
      <c r="CN279" s="65">
        <f t="shared" si="359"/>
        <v>1305804</v>
      </c>
      <c r="CO279" s="65">
        <f t="shared" si="360"/>
        <v>746076</v>
      </c>
      <c r="CP279" s="65">
        <f t="shared" si="361"/>
        <v>1250973</v>
      </c>
      <c r="CQ279" s="40" t="s">
        <v>538</v>
      </c>
    </row>
    <row r="280" spans="1:95" ht="3" customHeight="1" x14ac:dyDescent="0.25">
      <c r="A280" s="39">
        <v>1</v>
      </c>
      <c r="B280" s="28">
        <v>13117</v>
      </c>
      <c r="C280" s="28" t="s">
        <v>289</v>
      </c>
      <c r="D280" s="48">
        <f>+DATA!Q278</f>
        <v>12383637.376</v>
      </c>
      <c r="E280" s="48">
        <f t="shared" si="347"/>
        <v>815256</v>
      </c>
      <c r="F280" s="48">
        <f t="shared" si="348"/>
        <v>1238364</v>
      </c>
      <c r="G280" s="49">
        <f>VLOOKUP(B280,'CALC MEC ESTAB Y ESTIM M FINAL'!$B$7:$F$352,5,0)</f>
        <v>5.6278162098000002E-3</v>
      </c>
      <c r="H280" s="49">
        <f>VLOOKUP(B280,'CALC MEC ESTAB Y ESTIM M FINAL'!$B$7:$R$352,17,0)</f>
        <v>2.928115667E-4</v>
      </c>
      <c r="I280" s="46">
        <f t="shared" si="304"/>
        <v>488169</v>
      </c>
      <c r="J280" s="46">
        <f t="shared" si="305"/>
        <v>0</v>
      </c>
      <c r="K280" s="46">
        <f t="shared" si="306"/>
        <v>327087</v>
      </c>
      <c r="L280" s="46">
        <v>0</v>
      </c>
      <c r="M280" s="46">
        <f t="shared" si="307"/>
        <v>815256</v>
      </c>
      <c r="N280" s="46">
        <f t="shared" si="379"/>
        <v>327087</v>
      </c>
      <c r="O280" s="46">
        <f t="shared" si="308"/>
        <v>259592</v>
      </c>
      <c r="P280" s="46">
        <f t="shared" si="309"/>
        <v>0</v>
      </c>
      <c r="Q280" s="46">
        <f t="shared" si="310"/>
        <v>555664</v>
      </c>
      <c r="R280" s="46">
        <v>0</v>
      </c>
      <c r="S280" s="46">
        <f t="shared" si="311"/>
        <v>815256</v>
      </c>
      <c r="T280" s="46">
        <f t="shared" si="380"/>
        <v>882751</v>
      </c>
      <c r="U280" s="46">
        <f t="shared" si="312"/>
        <v>740556</v>
      </c>
      <c r="V280" s="46">
        <f t="shared" si="313"/>
        <v>0</v>
      </c>
      <c r="W280" s="46">
        <f t="shared" si="381"/>
        <v>0</v>
      </c>
      <c r="X280" s="46">
        <v>0</v>
      </c>
      <c r="Y280" s="46">
        <f t="shared" si="314"/>
        <v>740556</v>
      </c>
      <c r="Z280" s="46">
        <f t="shared" si="382"/>
        <v>882751</v>
      </c>
      <c r="AA280" s="46">
        <f t="shared" si="315"/>
        <v>393224</v>
      </c>
      <c r="AB280" s="46">
        <f t="shared" si="316"/>
        <v>0</v>
      </c>
      <c r="AC280" s="46">
        <f t="shared" si="317"/>
        <v>422032</v>
      </c>
      <c r="AD280" s="46">
        <v>0</v>
      </c>
      <c r="AE280" s="46">
        <f t="shared" si="318"/>
        <v>815256</v>
      </c>
      <c r="AF280" s="46">
        <f t="shared" si="383"/>
        <v>1304783</v>
      </c>
      <c r="AG280" s="46">
        <f t="shared" si="319"/>
        <v>3421783</v>
      </c>
      <c r="AH280" s="46">
        <f t="shared" si="320"/>
        <v>31582</v>
      </c>
      <c r="AI280" s="46">
        <f t="shared" si="384"/>
        <v>-1304783</v>
      </c>
      <c r="AJ280" s="46">
        <v>0</v>
      </c>
      <c r="AK280" s="46">
        <f t="shared" si="321"/>
        <v>2148582</v>
      </c>
      <c r="AL280" s="46">
        <f t="shared" si="385"/>
        <v>0</v>
      </c>
      <c r="AM280" s="46">
        <f t="shared" si="322"/>
        <v>677768</v>
      </c>
      <c r="AN280" s="46">
        <f t="shared" si="323"/>
        <v>22383</v>
      </c>
      <c r="AO280" s="46">
        <f t="shared" si="324"/>
        <v>137488</v>
      </c>
      <c r="AP280" s="46">
        <v>0</v>
      </c>
      <c r="AQ280" s="46">
        <f t="shared" si="325"/>
        <v>837639</v>
      </c>
      <c r="AR280" s="46">
        <f t="shared" si="386"/>
        <v>137488</v>
      </c>
      <c r="AS280" s="46">
        <f t="shared" si="326"/>
        <v>1347282</v>
      </c>
      <c r="AT280" s="46">
        <f t="shared" si="327"/>
        <v>130797</v>
      </c>
      <c r="AU280" s="46">
        <f t="shared" si="387"/>
        <v>-108918</v>
      </c>
      <c r="AV280" s="46">
        <v>0</v>
      </c>
      <c r="AW280" s="46">
        <f t="shared" si="328"/>
        <v>1369161</v>
      </c>
      <c r="AX280" s="46">
        <f t="shared" si="388"/>
        <v>28570</v>
      </c>
      <c r="AY280" s="46">
        <f t="shared" si="329"/>
        <v>445028</v>
      </c>
      <c r="AZ280" s="46">
        <f t="shared" si="330"/>
        <v>0</v>
      </c>
      <c r="BA280" s="46">
        <f t="shared" si="331"/>
        <v>370228</v>
      </c>
      <c r="BB280" s="46"/>
      <c r="BC280" s="46">
        <f t="shared" si="332"/>
        <v>815256</v>
      </c>
      <c r="BD280" s="46">
        <f t="shared" si="389"/>
        <v>398798</v>
      </c>
      <c r="BE280" s="46">
        <f t="shared" si="333"/>
        <v>861515</v>
      </c>
      <c r="BF280" s="46">
        <f t="shared" si="334"/>
        <v>32065</v>
      </c>
      <c r="BG280" s="46">
        <f t="shared" si="390"/>
        <v>0</v>
      </c>
      <c r="BH280" s="46">
        <v>0</v>
      </c>
      <c r="BI280" s="46">
        <f t="shared" si="335"/>
        <v>893580</v>
      </c>
      <c r="BJ280" s="46">
        <f t="shared" si="391"/>
        <v>398798</v>
      </c>
      <c r="BK280" s="46">
        <f t="shared" si="336"/>
        <v>1817759</v>
      </c>
      <c r="BL280" s="46">
        <f t="shared" si="337"/>
        <v>0</v>
      </c>
      <c r="BM280" s="46">
        <f t="shared" si="392"/>
        <v>-398798</v>
      </c>
      <c r="BN280" s="46">
        <v>0</v>
      </c>
      <c r="BO280" s="46">
        <f t="shared" si="338"/>
        <v>1418961</v>
      </c>
      <c r="BP280" s="46">
        <f t="shared" si="393"/>
        <v>0</v>
      </c>
      <c r="BQ280" s="46">
        <f t="shared" si="339"/>
        <v>674648</v>
      </c>
      <c r="BR280" s="46">
        <f t="shared" si="340"/>
        <v>0</v>
      </c>
      <c r="BS280" s="46">
        <f t="shared" si="341"/>
        <v>140608</v>
      </c>
      <c r="BT280" s="46">
        <v>0</v>
      </c>
      <c r="BU280" s="46">
        <f t="shared" si="342"/>
        <v>815256</v>
      </c>
      <c r="BV280" s="46">
        <f t="shared" si="394"/>
        <v>140608</v>
      </c>
      <c r="BW280" s="46">
        <f t="shared" si="343"/>
        <v>1292812</v>
      </c>
      <c r="BX280" s="46">
        <f t="shared" si="344"/>
        <v>210742</v>
      </c>
      <c r="BY280" s="46">
        <f t="shared" si="345"/>
        <v>-140608</v>
      </c>
      <c r="BZ280" s="46">
        <v>0</v>
      </c>
      <c r="CA280" s="46">
        <f t="shared" si="346"/>
        <v>1362946</v>
      </c>
      <c r="CB280" s="46">
        <f t="shared" si="395"/>
        <v>0</v>
      </c>
      <c r="CC280" s="155">
        <f t="shared" si="349"/>
        <v>0</v>
      </c>
      <c r="CD280" s="79" t="s">
        <v>538</v>
      </c>
      <c r="CE280" s="65">
        <f t="shared" si="350"/>
        <v>815256</v>
      </c>
      <c r="CF280" s="65">
        <f t="shared" si="351"/>
        <v>815256</v>
      </c>
      <c r="CG280" s="65">
        <f t="shared" si="352"/>
        <v>740556</v>
      </c>
      <c r="CH280" s="65">
        <f t="shared" si="353"/>
        <v>815256</v>
      </c>
      <c r="CI280" s="65">
        <f t="shared" si="354"/>
        <v>2148582</v>
      </c>
      <c r="CJ280" s="65">
        <f t="shared" si="355"/>
        <v>837639</v>
      </c>
      <c r="CK280" s="65">
        <f t="shared" si="356"/>
        <v>1369161</v>
      </c>
      <c r="CL280" s="65">
        <f t="shared" si="357"/>
        <v>815256</v>
      </c>
      <c r="CM280" s="65">
        <f t="shared" si="358"/>
        <v>893580</v>
      </c>
      <c r="CN280" s="65">
        <f t="shared" si="359"/>
        <v>1418961</v>
      </c>
      <c r="CO280" s="65">
        <f t="shared" si="360"/>
        <v>815256</v>
      </c>
      <c r="CP280" s="65">
        <f t="shared" si="361"/>
        <v>1362946</v>
      </c>
      <c r="CQ280" s="40" t="s">
        <v>538</v>
      </c>
    </row>
    <row r="281" spans="1:95" ht="3" customHeight="1" x14ac:dyDescent="0.25">
      <c r="A281" s="39">
        <v>1</v>
      </c>
      <c r="B281" s="28">
        <v>13118</v>
      </c>
      <c r="C281" s="28" t="s">
        <v>287</v>
      </c>
      <c r="D281" s="48">
        <f>+DATA!Q279</f>
        <v>4400092.233</v>
      </c>
      <c r="E281" s="48">
        <f t="shared" si="347"/>
        <v>289673</v>
      </c>
      <c r="F281" s="48">
        <f t="shared" si="348"/>
        <v>440009</v>
      </c>
      <c r="G281" s="49">
        <f>VLOOKUP(B281,'CALC MEC ESTAB Y ESTIM M FINAL'!$B$7:$F$352,5,0)</f>
        <v>2.2530258258999999E-3</v>
      </c>
      <c r="H281" s="49">
        <f>VLOOKUP(B281,'CALC MEC ESTAB Y ESTIM M FINAL'!$B$7:$R$352,17,0)</f>
        <v>-8.2484215600000003E-5</v>
      </c>
      <c r="I281" s="46">
        <f t="shared" si="304"/>
        <v>178966</v>
      </c>
      <c r="J281" s="46">
        <f t="shared" si="305"/>
        <v>0</v>
      </c>
      <c r="K281" s="46">
        <f t="shared" si="306"/>
        <v>110707</v>
      </c>
      <c r="L281" s="46">
        <v>0</v>
      </c>
      <c r="M281" s="46">
        <f t="shared" si="307"/>
        <v>289673</v>
      </c>
      <c r="N281" s="46">
        <f t="shared" si="379"/>
        <v>110707</v>
      </c>
      <c r="O281" s="46">
        <f t="shared" si="308"/>
        <v>95168</v>
      </c>
      <c r="P281" s="46">
        <f t="shared" si="309"/>
        <v>0</v>
      </c>
      <c r="Q281" s="46">
        <f t="shared" si="310"/>
        <v>194505</v>
      </c>
      <c r="R281" s="46">
        <v>0</v>
      </c>
      <c r="S281" s="46">
        <f t="shared" si="311"/>
        <v>289673</v>
      </c>
      <c r="T281" s="46">
        <f t="shared" si="380"/>
        <v>305212</v>
      </c>
      <c r="U281" s="46">
        <f t="shared" si="312"/>
        <v>271493</v>
      </c>
      <c r="V281" s="46">
        <f t="shared" si="313"/>
        <v>0</v>
      </c>
      <c r="W281" s="46">
        <f t="shared" si="381"/>
        <v>0</v>
      </c>
      <c r="X281" s="46">
        <v>0</v>
      </c>
      <c r="Y281" s="46">
        <f t="shared" si="314"/>
        <v>271493</v>
      </c>
      <c r="Z281" s="46">
        <f t="shared" si="382"/>
        <v>305212</v>
      </c>
      <c r="AA281" s="46">
        <f t="shared" si="315"/>
        <v>144158</v>
      </c>
      <c r="AB281" s="46">
        <f t="shared" si="316"/>
        <v>0</v>
      </c>
      <c r="AC281" s="46">
        <f t="shared" si="317"/>
        <v>145515</v>
      </c>
      <c r="AD281" s="46">
        <v>0</v>
      </c>
      <c r="AE281" s="46">
        <f t="shared" si="318"/>
        <v>289673</v>
      </c>
      <c r="AF281" s="46">
        <f t="shared" si="383"/>
        <v>450727</v>
      </c>
      <c r="AG281" s="46">
        <f t="shared" si="319"/>
        <v>1254449</v>
      </c>
      <c r="AH281" s="46">
        <f t="shared" si="320"/>
        <v>11578</v>
      </c>
      <c r="AI281" s="46">
        <f t="shared" si="384"/>
        <v>-450727</v>
      </c>
      <c r="AJ281" s="46">
        <v>0</v>
      </c>
      <c r="AK281" s="46">
        <f t="shared" si="321"/>
        <v>815300</v>
      </c>
      <c r="AL281" s="46">
        <f t="shared" si="385"/>
        <v>0</v>
      </c>
      <c r="AM281" s="46">
        <f t="shared" si="322"/>
        <v>248474</v>
      </c>
      <c r="AN281" s="46">
        <f t="shared" si="323"/>
        <v>8206</v>
      </c>
      <c r="AO281" s="46">
        <f t="shared" si="324"/>
        <v>41199</v>
      </c>
      <c r="AP281" s="46">
        <v>0</v>
      </c>
      <c r="AQ281" s="46">
        <f t="shared" si="325"/>
        <v>297879</v>
      </c>
      <c r="AR281" s="46">
        <f t="shared" si="386"/>
        <v>41199</v>
      </c>
      <c r="AS281" s="46">
        <f t="shared" si="326"/>
        <v>493922</v>
      </c>
      <c r="AT281" s="46">
        <f t="shared" si="327"/>
        <v>47951</v>
      </c>
      <c r="AU281" s="46">
        <f t="shared" si="387"/>
        <v>-41199</v>
      </c>
      <c r="AV281" s="46">
        <v>0</v>
      </c>
      <c r="AW281" s="46">
        <f t="shared" si="328"/>
        <v>500674</v>
      </c>
      <c r="AX281" s="46">
        <f t="shared" si="388"/>
        <v>0</v>
      </c>
      <c r="AY281" s="46">
        <f t="shared" si="329"/>
        <v>163150</v>
      </c>
      <c r="AZ281" s="46">
        <f t="shared" si="330"/>
        <v>0</v>
      </c>
      <c r="BA281" s="46">
        <f t="shared" si="331"/>
        <v>126523</v>
      </c>
      <c r="BB281" s="46"/>
      <c r="BC281" s="46">
        <f t="shared" si="332"/>
        <v>289673</v>
      </c>
      <c r="BD281" s="46">
        <f t="shared" si="389"/>
        <v>126523</v>
      </c>
      <c r="BE281" s="46">
        <f t="shared" si="333"/>
        <v>315837</v>
      </c>
      <c r="BF281" s="46">
        <f t="shared" si="334"/>
        <v>11755</v>
      </c>
      <c r="BG281" s="46">
        <f t="shared" si="390"/>
        <v>0</v>
      </c>
      <c r="BH281" s="46">
        <v>0</v>
      </c>
      <c r="BI281" s="46">
        <f t="shared" si="335"/>
        <v>327592</v>
      </c>
      <c r="BJ281" s="46">
        <f t="shared" si="391"/>
        <v>126523</v>
      </c>
      <c r="BK281" s="46">
        <f t="shared" si="336"/>
        <v>666403</v>
      </c>
      <c r="BL281" s="46">
        <f t="shared" si="337"/>
        <v>0</v>
      </c>
      <c r="BM281" s="46">
        <f t="shared" si="392"/>
        <v>-126523</v>
      </c>
      <c r="BN281" s="46">
        <v>0</v>
      </c>
      <c r="BO281" s="46">
        <f t="shared" si="338"/>
        <v>539880</v>
      </c>
      <c r="BP281" s="46">
        <f t="shared" si="393"/>
        <v>0</v>
      </c>
      <c r="BQ281" s="46">
        <f t="shared" si="339"/>
        <v>247330</v>
      </c>
      <c r="BR281" s="46">
        <f t="shared" si="340"/>
        <v>0</v>
      </c>
      <c r="BS281" s="46">
        <f t="shared" si="341"/>
        <v>42343</v>
      </c>
      <c r="BT281" s="46">
        <v>0</v>
      </c>
      <c r="BU281" s="46">
        <f t="shared" si="342"/>
        <v>289673</v>
      </c>
      <c r="BV281" s="46">
        <f t="shared" si="394"/>
        <v>42343</v>
      </c>
      <c r="BW281" s="46">
        <f t="shared" si="343"/>
        <v>473954</v>
      </c>
      <c r="BX281" s="46">
        <f t="shared" si="344"/>
        <v>77259</v>
      </c>
      <c r="BY281" s="46">
        <f t="shared" si="345"/>
        <v>-42343</v>
      </c>
      <c r="BZ281" s="46">
        <v>0</v>
      </c>
      <c r="CA281" s="46">
        <f t="shared" si="346"/>
        <v>508870</v>
      </c>
      <c r="CB281" s="46">
        <f t="shared" si="395"/>
        <v>0</v>
      </c>
      <c r="CC281" s="155">
        <f t="shared" si="349"/>
        <v>0</v>
      </c>
      <c r="CD281" s="79" t="s">
        <v>538</v>
      </c>
      <c r="CE281" s="65">
        <f t="shared" si="350"/>
        <v>289673</v>
      </c>
      <c r="CF281" s="65">
        <f t="shared" si="351"/>
        <v>289673</v>
      </c>
      <c r="CG281" s="65">
        <f t="shared" si="352"/>
        <v>271493</v>
      </c>
      <c r="CH281" s="65">
        <f t="shared" si="353"/>
        <v>289673</v>
      </c>
      <c r="CI281" s="65">
        <f t="shared" si="354"/>
        <v>815300</v>
      </c>
      <c r="CJ281" s="65">
        <f t="shared" si="355"/>
        <v>297879</v>
      </c>
      <c r="CK281" s="65">
        <f t="shared" si="356"/>
        <v>500674</v>
      </c>
      <c r="CL281" s="65">
        <f t="shared" si="357"/>
        <v>289673</v>
      </c>
      <c r="CM281" s="65">
        <f t="shared" si="358"/>
        <v>327592</v>
      </c>
      <c r="CN281" s="65">
        <f t="shared" si="359"/>
        <v>539880</v>
      </c>
      <c r="CO281" s="65">
        <f t="shared" si="360"/>
        <v>289673</v>
      </c>
      <c r="CP281" s="65">
        <f t="shared" si="361"/>
        <v>508870</v>
      </c>
      <c r="CQ281" s="40" t="s">
        <v>538</v>
      </c>
    </row>
    <row r="282" spans="1:95" ht="3" customHeight="1" x14ac:dyDescent="0.25">
      <c r="A282" s="39">
        <v>1</v>
      </c>
      <c r="B282" s="28">
        <v>13119</v>
      </c>
      <c r="C282" s="28" t="s">
        <v>427</v>
      </c>
      <c r="D282" s="48">
        <f>+DATA!Q280</f>
        <v>52136810.980999999</v>
      </c>
      <c r="E282" s="48">
        <f t="shared" si="347"/>
        <v>3432340</v>
      </c>
      <c r="F282" s="48">
        <f t="shared" si="348"/>
        <v>5213681</v>
      </c>
      <c r="G282" s="49">
        <f>VLOOKUP(B282,'CALC MEC ESTAB Y ESTIM M FINAL'!$B$7:$F$352,5,0)</f>
        <v>1.6760194407199999E-2</v>
      </c>
      <c r="H282" s="49">
        <f>VLOOKUP(B282,'CALC MEC ESTAB Y ESTIM M FINAL'!$B$7:$R$352,17,0)</f>
        <v>8.1664601793000006E-3</v>
      </c>
      <c r="I282" s="46">
        <f t="shared" si="304"/>
        <v>2055256</v>
      </c>
      <c r="J282" s="46">
        <f t="shared" si="305"/>
        <v>0</v>
      </c>
      <c r="K282" s="46">
        <f t="shared" si="306"/>
        <v>1377084</v>
      </c>
      <c r="L282" s="46">
        <v>0</v>
      </c>
      <c r="M282" s="46">
        <f t="shared" si="307"/>
        <v>3432340</v>
      </c>
      <c r="N282" s="46">
        <f t="shared" si="379"/>
        <v>1377084</v>
      </c>
      <c r="O282" s="46">
        <f t="shared" si="308"/>
        <v>1092916</v>
      </c>
      <c r="P282" s="46">
        <f t="shared" si="309"/>
        <v>0</v>
      </c>
      <c r="Q282" s="46">
        <f t="shared" si="310"/>
        <v>2339424</v>
      </c>
      <c r="R282" s="46">
        <v>0</v>
      </c>
      <c r="S282" s="46">
        <f t="shared" si="311"/>
        <v>3432340</v>
      </c>
      <c r="T282" s="46">
        <f t="shared" si="380"/>
        <v>3716508</v>
      </c>
      <c r="U282" s="46">
        <f t="shared" si="312"/>
        <v>3117843</v>
      </c>
      <c r="V282" s="46">
        <f t="shared" si="313"/>
        <v>0</v>
      </c>
      <c r="W282" s="46">
        <f t="shared" si="381"/>
        <v>0</v>
      </c>
      <c r="X282" s="46">
        <v>0</v>
      </c>
      <c r="Y282" s="46">
        <f t="shared" si="314"/>
        <v>3117843</v>
      </c>
      <c r="Z282" s="46">
        <f t="shared" si="382"/>
        <v>3716508</v>
      </c>
      <c r="AA282" s="46">
        <f t="shared" si="315"/>
        <v>1655526</v>
      </c>
      <c r="AB282" s="46">
        <f t="shared" si="316"/>
        <v>0</v>
      </c>
      <c r="AC282" s="46">
        <f t="shared" si="317"/>
        <v>1776814</v>
      </c>
      <c r="AD282" s="46">
        <v>0</v>
      </c>
      <c r="AE282" s="46">
        <f t="shared" si="318"/>
        <v>3432340</v>
      </c>
      <c r="AF282" s="46">
        <f t="shared" si="383"/>
        <v>5493322</v>
      </c>
      <c r="AG282" s="46">
        <f t="shared" si="319"/>
        <v>14406176</v>
      </c>
      <c r="AH282" s="46">
        <f t="shared" si="320"/>
        <v>132965</v>
      </c>
      <c r="AI282" s="46">
        <f t="shared" si="384"/>
        <v>-5493322</v>
      </c>
      <c r="AJ282" s="46">
        <v>0</v>
      </c>
      <c r="AK282" s="46">
        <f t="shared" si="321"/>
        <v>9045819</v>
      </c>
      <c r="AL282" s="46">
        <f t="shared" si="385"/>
        <v>0</v>
      </c>
      <c r="AM282" s="46">
        <f t="shared" si="322"/>
        <v>2853495</v>
      </c>
      <c r="AN282" s="46">
        <f t="shared" si="323"/>
        <v>94234</v>
      </c>
      <c r="AO282" s="46">
        <f t="shared" si="324"/>
        <v>578845</v>
      </c>
      <c r="AP282" s="46">
        <v>0</v>
      </c>
      <c r="AQ282" s="46">
        <f t="shared" si="325"/>
        <v>3526574</v>
      </c>
      <c r="AR282" s="46">
        <f t="shared" si="386"/>
        <v>578845</v>
      </c>
      <c r="AS282" s="46">
        <f t="shared" si="326"/>
        <v>5672241</v>
      </c>
      <c r="AT282" s="46">
        <f t="shared" si="327"/>
        <v>550672</v>
      </c>
      <c r="AU282" s="46">
        <f t="shared" si="387"/>
        <v>-458560</v>
      </c>
      <c r="AV282" s="46">
        <v>0</v>
      </c>
      <c r="AW282" s="46">
        <f t="shared" si="328"/>
        <v>5764353</v>
      </c>
      <c r="AX282" s="46">
        <f t="shared" si="388"/>
        <v>120285</v>
      </c>
      <c r="AY282" s="46">
        <f t="shared" si="329"/>
        <v>1873628</v>
      </c>
      <c r="AZ282" s="46">
        <f t="shared" si="330"/>
        <v>0</v>
      </c>
      <c r="BA282" s="46">
        <f t="shared" si="331"/>
        <v>1558712</v>
      </c>
      <c r="BB282" s="46"/>
      <c r="BC282" s="46">
        <f t="shared" si="332"/>
        <v>3432340</v>
      </c>
      <c r="BD282" s="46">
        <f t="shared" si="389"/>
        <v>1678997</v>
      </c>
      <c r="BE282" s="46">
        <f t="shared" si="333"/>
        <v>3627095</v>
      </c>
      <c r="BF282" s="46">
        <f t="shared" si="334"/>
        <v>134997</v>
      </c>
      <c r="BG282" s="46">
        <f t="shared" si="390"/>
        <v>0</v>
      </c>
      <c r="BH282" s="46">
        <v>0</v>
      </c>
      <c r="BI282" s="46">
        <f t="shared" si="335"/>
        <v>3762092</v>
      </c>
      <c r="BJ282" s="46">
        <f t="shared" si="391"/>
        <v>1678997</v>
      </c>
      <c r="BK282" s="46">
        <f t="shared" si="336"/>
        <v>7653014</v>
      </c>
      <c r="BL282" s="46">
        <f t="shared" si="337"/>
        <v>0</v>
      </c>
      <c r="BM282" s="46">
        <f t="shared" si="392"/>
        <v>-1678997</v>
      </c>
      <c r="BN282" s="46">
        <v>0</v>
      </c>
      <c r="BO282" s="46">
        <f t="shared" si="338"/>
        <v>5974017</v>
      </c>
      <c r="BP282" s="46">
        <f t="shared" si="393"/>
        <v>0</v>
      </c>
      <c r="BQ282" s="46">
        <f t="shared" si="339"/>
        <v>2840361</v>
      </c>
      <c r="BR282" s="46">
        <f t="shared" si="340"/>
        <v>0</v>
      </c>
      <c r="BS282" s="46">
        <f t="shared" si="341"/>
        <v>591979</v>
      </c>
      <c r="BT282" s="46">
        <v>0</v>
      </c>
      <c r="BU282" s="46">
        <f t="shared" si="342"/>
        <v>3432340</v>
      </c>
      <c r="BV282" s="46">
        <f t="shared" si="394"/>
        <v>591979</v>
      </c>
      <c r="BW282" s="46">
        <f t="shared" si="343"/>
        <v>5442917</v>
      </c>
      <c r="BX282" s="46">
        <f t="shared" si="344"/>
        <v>887252</v>
      </c>
      <c r="BY282" s="46">
        <f t="shared" si="345"/>
        <v>-591979</v>
      </c>
      <c r="BZ282" s="46">
        <v>0</v>
      </c>
      <c r="CA282" s="46">
        <f t="shared" si="346"/>
        <v>5738190</v>
      </c>
      <c r="CB282" s="46">
        <f t="shared" si="395"/>
        <v>0</v>
      </c>
      <c r="CC282" s="155">
        <f t="shared" si="349"/>
        <v>0</v>
      </c>
      <c r="CD282" s="79" t="s">
        <v>538</v>
      </c>
      <c r="CE282" s="65">
        <f t="shared" si="350"/>
        <v>3432340</v>
      </c>
      <c r="CF282" s="65">
        <f t="shared" si="351"/>
        <v>3432340</v>
      </c>
      <c r="CG282" s="65">
        <f t="shared" si="352"/>
        <v>3117843</v>
      </c>
      <c r="CH282" s="65">
        <f t="shared" si="353"/>
        <v>3432340</v>
      </c>
      <c r="CI282" s="65">
        <f t="shared" si="354"/>
        <v>9045819</v>
      </c>
      <c r="CJ282" s="65">
        <f t="shared" si="355"/>
        <v>3526574</v>
      </c>
      <c r="CK282" s="65">
        <f t="shared" si="356"/>
        <v>5764353</v>
      </c>
      <c r="CL282" s="65">
        <f t="shared" si="357"/>
        <v>3432340</v>
      </c>
      <c r="CM282" s="65">
        <f t="shared" si="358"/>
        <v>3762092</v>
      </c>
      <c r="CN282" s="65">
        <f t="shared" si="359"/>
        <v>5974017</v>
      </c>
      <c r="CO282" s="65">
        <f t="shared" si="360"/>
        <v>3432340</v>
      </c>
      <c r="CP282" s="65">
        <f t="shared" si="361"/>
        <v>5738190</v>
      </c>
      <c r="CQ282" s="40" t="s">
        <v>538</v>
      </c>
    </row>
    <row r="283" spans="1:95" ht="3" customHeight="1" x14ac:dyDescent="0.25">
      <c r="A283" s="39">
        <v>1</v>
      </c>
      <c r="B283" s="28">
        <v>13120</v>
      </c>
      <c r="C283" s="28" t="s">
        <v>276</v>
      </c>
      <c r="D283" s="48">
        <f>+DATA!Q281</f>
        <v>3338158.3339999998</v>
      </c>
      <c r="E283" s="48">
        <f t="shared" si="347"/>
        <v>219762</v>
      </c>
      <c r="F283" s="48">
        <f t="shared" si="348"/>
        <v>333816</v>
      </c>
      <c r="G283" s="49">
        <f>VLOOKUP(B283,'CALC MEC ESTAB Y ESTIM M FINAL'!$B$7:$F$352,5,0)</f>
        <v>1.5173743622999998E-3</v>
      </c>
      <c r="H283" s="49">
        <f>VLOOKUP(B283,'CALC MEC ESTAB Y ESTIM M FINAL'!$B$7:$R$352,17,0)</f>
        <v>7.7666647000000001E-5</v>
      </c>
      <c r="I283" s="46">
        <f t="shared" si="304"/>
        <v>131515</v>
      </c>
      <c r="J283" s="46">
        <f t="shared" si="305"/>
        <v>0</v>
      </c>
      <c r="K283" s="46">
        <f t="shared" si="306"/>
        <v>88247</v>
      </c>
      <c r="L283" s="46">
        <v>0</v>
      </c>
      <c r="M283" s="46">
        <f t="shared" si="307"/>
        <v>219762</v>
      </c>
      <c r="N283" s="46">
        <f t="shared" si="379"/>
        <v>88247</v>
      </c>
      <c r="O283" s="46">
        <f t="shared" si="308"/>
        <v>69935</v>
      </c>
      <c r="P283" s="46">
        <f t="shared" si="309"/>
        <v>0</v>
      </c>
      <c r="Q283" s="46">
        <f t="shared" si="310"/>
        <v>149827</v>
      </c>
      <c r="R283" s="46">
        <v>0</v>
      </c>
      <c r="S283" s="46">
        <f t="shared" si="311"/>
        <v>219762</v>
      </c>
      <c r="T283" s="46">
        <f t="shared" si="380"/>
        <v>238074</v>
      </c>
      <c r="U283" s="46">
        <f t="shared" si="312"/>
        <v>199509</v>
      </c>
      <c r="V283" s="46">
        <f t="shared" si="313"/>
        <v>0</v>
      </c>
      <c r="W283" s="46">
        <f t="shared" si="381"/>
        <v>0</v>
      </c>
      <c r="X283" s="46">
        <v>0</v>
      </c>
      <c r="Y283" s="46">
        <f t="shared" si="314"/>
        <v>199509</v>
      </c>
      <c r="Z283" s="46">
        <f t="shared" si="382"/>
        <v>238074</v>
      </c>
      <c r="AA283" s="46">
        <f t="shared" si="315"/>
        <v>105936</v>
      </c>
      <c r="AB283" s="46">
        <f t="shared" si="316"/>
        <v>0</v>
      </c>
      <c r="AC283" s="46">
        <f t="shared" si="317"/>
        <v>113826</v>
      </c>
      <c r="AD283" s="46">
        <v>0</v>
      </c>
      <c r="AE283" s="46">
        <f t="shared" si="318"/>
        <v>219762</v>
      </c>
      <c r="AF283" s="46">
        <f t="shared" si="383"/>
        <v>351900</v>
      </c>
      <c r="AG283" s="46">
        <f t="shared" si="319"/>
        <v>921842</v>
      </c>
      <c r="AH283" s="46">
        <f t="shared" si="320"/>
        <v>8508</v>
      </c>
      <c r="AI283" s="46">
        <f t="shared" si="384"/>
        <v>-351900</v>
      </c>
      <c r="AJ283" s="46">
        <v>0</v>
      </c>
      <c r="AK283" s="46">
        <f t="shared" si="321"/>
        <v>578450</v>
      </c>
      <c r="AL283" s="46">
        <f t="shared" si="385"/>
        <v>0</v>
      </c>
      <c r="AM283" s="46">
        <f t="shared" si="322"/>
        <v>182593</v>
      </c>
      <c r="AN283" s="46">
        <f t="shared" si="323"/>
        <v>6030</v>
      </c>
      <c r="AO283" s="46">
        <f t="shared" si="324"/>
        <v>37169</v>
      </c>
      <c r="AP283" s="46">
        <v>0</v>
      </c>
      <c r="AQ283" s="46">
        <f t="shared" si="325"/>
        <v>225792</v>
      </c>
      <c r="AR283" s="46">
        <f t="shared" si="386"/>
        <v>37169</v>
      </c>
      <c r="AS283" s="46">
        <f t="shared" si="326"/>
        <v>362963</v>
      </c>
      <c r="AT283" s="46">
        <f t="shared" si="327"/>
        <v>35237</v>
      </c>
      <c r="AU283" s="46">
        <f t="shared" si="387"/>
        <v>-29147</v>
      </c>
      <c r="AV283" s="46">
        <v>0</v>
      </c>
      <c r="AW283" s="46">
        <f t="shared" si="328"/>
        <v>369053</v>
      </c>
      <c r="AX283" s="46">
        <f t="shared" si="388"/>
        <v>8022</v>
      </c>
      <c r="AY283" s="46">
        <f t="shared" si="329"/>
        <v>119892</v>
      </c>
      <c r="AZ283" s="46">
        <f t="shared" si="330"/>
        <v>0</v>
      </c>
      <c r="BA283" s="46">
        <f t="shared" si="331"/>
        <v>99870</v>
      </c>
      <c r="BB283" s="46"/>
      <c r="BC283" s="46">
        <f t="shared" si="332"/>
        <v>219762</v>
      </c>
      <c r="BD283" s="46">
        <f t="shared" si="389"/>
        <v>107892</v>
      </c>
      <c r="BE283" s="46">
        <f t="shared" si="333"/>
        <v>232096</v>
      </c>
      <c r="BF283" s="46">
        <f t="shared" si="334"/>
        <v>8638</v>
      </c>
      <c r="BG283" s="46">
        <f t="shared" si="390"/>
        <v>0</v>
      </c>
      <c r="BH283" s="46">
        <v>0</v>
      </c>
      <c r="BI283" s="46">
        <f t="shared" si="335"/>
        <v>240734</v>
      </c>
      <c r="BJ283" s="46">
        <f t="shared" si="391"/>
        <v>107892</v>
      </c>
      <c r="BK283" s="46">
        <f t="shared" si="336"/>
        <v>489712</v>
      </c>
      <c r="BL283" s="46">
        <f t="shared" si="337"/>
        <v>0</v>
      </c>
      <c r="BM283" s="46">
        <f t="shared" si="392"/>
        <v>-107892</v>
      </c>
      <c r="BN283" s="46">
        <v>0</v>
      </c>
      <c r="BO283" s="46">
        <f t="shared" si="338"/>
        <v>381820</v>
      </c>
      <c r="BP283" s="46">
        <f t="shared" si="393"/>
        <v>0</v>
      </c>
      <c r="BQ283" s="46">
        <f t="shared" si="339"/>
        <v>181753</v>
      </c>
      <c r="BR283" s="46">
        <f t="shared" si="340"/>
        <v>0</v>
      </c>
      <c r="BS283" s="46">
        <f t="shared" si="341"/>
        <v>38009</v>
      </c>
      <c r="BT283" s="46">
        <v>0</v>
      </c>
      <c r="BU283" s="46">
        <f t="shared" si="342"/>
        <v>219762</v>
      </c>
      <c r="BV283" s="46">
        <f t="shared" si="394"/>
        <v>38009</v>
      </c>
      <c r="BW283" s="46">
        <f t="shared" si="343"/>
        <v>348289</v>
      </c>
      <c r="BX283" s="46">
        <f t="shared" si="344"/>
        <v>56775</v>
      </c>
      <c r="BY283" s="46">
        <f t="shared" si="345"/>
        <v>-38009</v>
      </c>
      <c r="BZ283" s="46">
        <v>0</v>
      </c>
      <c r="CA283" s="46">
        <f t="shared" si="346"/>
        <v>367055</v>
      </c>
      <c r="CB283" s="46">
        <f t="shared" si="395"/>
        <v>0</v>
      </c>
      <c r="CC283" s="155">
        <f t="shared" si="349"/>
        <v>0</v>
      </c>
      <c r="CD283" s="79" t="s">
        <v>538</v>
      </c>
      <c r="CE283" s="65">
        <f t="shared" si="350"/>
        <v>219762</v>
      </c>
      <c r="CF283" s="65">
        <f t="shared" si="351"/>
        <v>219762</v>
      </c>
      <c r="CG283" s="65">
        <f t="shared" si="352"/>
        <v>199509</v>
      </c>
      <c r="CH283" s="65">
        <f t="shared" si="353"/>
        <v>219762</v>
      </c>
      <c r="CI283" s="65">
        <f t="shared" si="354"/>
        <v>578450</v>
      </c>
      <c r="CJ283" s="65">
        <f t="shared" si="355"/>
        <v>225792</v>
      </c>
      <c r="CK283" s="65">
        <f t="shared" si="356"/>
        <v>369053</v>
      </c>
      <c r="CL283" s="65">
        <f t="shared" si="357"/>
        <v>219762</v>
      </c>
      <c r="CM283" s="65">
        <f t="shared" si="358"/>
        <v>240734</v>
      </c>
      <c r="CN283" s="65">
        <f t="shared" si="359"/>
        <v>381820</v>
      </c>
      <c r="CO283" s="65">
        <f t="shared" si="360"/>
        <v>219762</v>
      </c>
      <c r="CP283" s="65">
        <f t="shared" si="361"/>
        <v>367055</v>
      </c>
      <c r="CQ283" s="40" t="s">
        <v>538</v>
      </c>
    </row>
    <row r="284" spans="1:95" ht="3" customHeight="1" x14ac:dyDescent="0.25">
      <c r="A284" s="39">
        <v>1</v>
      </c>
      <c r="B284" s="28">
        <v>13121</v>
      </c>
      <c r="C284" s="28" t="s">
        <v>295</v>
      </c>
      <c r="D284" s="48">
        <f>+DATA!Q282</f>
        <v>10403210.784</v>
      </c>
      <c r="E284" s="48">
        <f t="shared" si="347"/>
        <v>684878</v>
      </c>
      <c r="F284" s="48">
        <f t="shared" si="348"/>
        <v>1040321</v>
      </c>
      <c r="G284" s="49">
        <f>VLOOKUP(B284,'CALC MEC ESTAB Y ESTIM M FINAL'!$B$7:$F$352,5,0)</f>
        <v>5.0197417253999999E-3</v>
      </c>
      <c r="H284" s="49">
        <f>VLOOKUP(B284,'CALC MEC ESTAB Y ESTIM M FINAL'!$B$7:$R$352,17,0)</f>
        <v>-2.5057768899999999E-5</v>
      </c>
      <c r="I284" s="46">
        <f t="shared" si="304"/>
        <v>411822</v>
      </c>
      <c r="J284" s="46">
        <f t="shared" si="305"/>
        <v>0</v>
      </c>
      <c r="K284" s="46">
        <f t="shared" si="306"/>
        <v>273056</v>
      </c>
      <c r="L284" s="46">
        <v>0</v>
      </c>
      <c r="M284" s="46">
        <f t="shared" si="307"/>
        <v>684878</v>
      </c>
      <c r="N284" s="46">
        <f t="shared" si="379"/>
        <v>273056</v>
      </c>
      <c r="O284" s="46">
        <f t="shared" si="308"/>
        <v>218993</v>
      </c>
      <c r="P284" s="46">
        <f t="shared" si="309"/>
        <v>0</v>
      </c>
      <c r="Q284" s="46">
        <f t="shared" si="310"/>
        <v>465885</v>
      </c>
      <c r="R284" s="46">
        <v>0</v>
      </c>
      <c r="S284" s="46">
        <f t="shared" si="311"/>
        <v>684878</v>
      </c>
      <c r="T284" s="46">
        <f t="shared" si="380"/>
        <v>738941</v>
      </c>
      <c r="U284" s="46">
        <f t="shared" si="312"/>
        <v>624739</v>
      </c>
      <c r="V284" s="46">
        <f t="shared" si="313"/>
        <v>0</v>
      </c>
      <c r="W284" s="46">
        <f t="shared" si="381"/>
        <v>0</v>
      </c>
      <c r="X284" s="46">
        <v>0</v>
      </c>
      <c r="Y284" s="46">
        <f t="shared" si="314"/>
        <v>624739</v>
      </c>
      <c r="Z284" s="46">
        <f t="shared" si="382"/>
        <v>738941</v>
      </c>
      <c r="AA284" s="46">
        <f t="shared" si="315"/>
        <v>331726</v>
      </c>
      <c r="AB284" s="46">
        <f t="shared" si="316"/>
        <v>0</v>
      </c>
      <c r="AC284" s="46">
        <f t="shared" si="317"/>
        <v>353152</v>
      </c>
      <c r="AD284" s="46">
        <v>0</v>
      </c>
      <c r="AE284" s="46">
        <f t="shared" si="318"/>
        <v>684878</v>
      </c>
      <c r="AF284" s="46">
        <f t="shared" si="383"/>
        <v>1092093</v>
      </c>
      <c r="AG284" s="46">
        <f t="shared" si="319"/>
        <v>2886641</v>
      </c>
      <c r="AH284" s="46">
        <f t="shared" si="320"/>
        <v>26643</v>
      </c>
      <c r="AI284" s="46">
        <f t="shared" si="384"/>
        <v>-1092093</v>
      </c>
      <c r="AJ284" s="46">
        <v>0</v>
      </c>
      <c r="AK284" s="46">
        <f t="shared" si="321"/>
        <v>1821191</v>
      </c>
      <c r="AL284" s="46">
        <f t="shared" si="385"/>
        <v>0</v>
      </c>
      <c r="AM284" s="46">
        <f t="shared" si="322"/>
        <v>571770</v>
      </c>
      <c r="AN284" s="46">
        <f t="shared" si="323"/>
        <v>18882</v>
      </c>
      <c r="AO284" s="46">
        <f t="shared" si="324"/>
        <v>113108</v>
      </c>
      <c r="AP284" s="46">
        <v>0</v>
      </c>
      <c r="AQ284" s="46">
        <f t="shared" si="325"/>
        <v>703760</v>
      </c>
      <c r="AR284" s="46">
        <f t="shared" si="386"/>
        <v>113108</v>
      </c>
      <c r="AS284" s="46">
        <f t="shared" si="326"/>
        <v>1136577</v>
      </c>
      <c r="AT284" s="46">
        <f t="shared" si="327"/>
        <v>110341</v>
      </c>
      <c r="AU284" s="46">
        <f t="shared" si="387"/>
        <v>-96256</v>
      </c>
      <c r="AV284" s="46">
        <v>0</v>
      </c>
      <c r="AW284" s="46">
        <f t="shared" si="328"/>
        <v>1150662</v>
      </c>
      <c r="AX284" s="46">
        <f t="shared" si="388"/>
        <v>16852</v>
      </c>
      <c r="AY284" s="46">
        <f t="shared" si="329"/>
        <v>375429</v>
      </c>
      <c r="AZ284" s="46">
        <f t="shared" si="330"/>
        <v>0</v>
      </c>
      <c r="BA284" s="46">
        <f t="shared" si="331"/>
        <v>309449</v>
      </c>
      <c r="BB284" s="46"/>
      <c r="BC284" s="46">
        <f t="shared" si="332"/>
        <v>684878</v>
      </c>
      <c r="BD284" s="46">
        <f t="shared" si="389"/>
        <v>326301</v>
      </c>
      <c r="BE284" s="46">
        <f t="shared" si="333"/>
        <v>726780</v>
      </c>
      <c r="BF284" s="46">
        <f t="shared" si="334"/>
        <v>27050</v>
      </c>
      <c r="BG284" s="46">
        <f t="shared" si="390"/>
        <v>0</v>
      </c>
      <c r="BH284" s="46">
        <v>0</v>
      </c>
      <c r="BI284" s="46">
        <f t="shared" si="335"/>
        <v>753830</v>
      </c>
      <c r="BJ284" s="46">
        <f t="shared" si="391"/>
        <v>326301</v>
      </c>
      <c r="BK284" s="46">
        <f t="shared" si="336"/>
        <v>1533474</v>
      </c>
      <c r="BL284" s="46">
        <f t="shared" si="337"/>
        <v>0</v>
      </c>
      <c r="BM284" s="46">
        <f t="shared" si="392"/>
        <v>-326301</v>
      </c>
      <c r="BN284" s="46">
        <v>0</v>
      </c>
      <c r="BO284" s="46">
        <f t="shared" si="338"/>
        <v>1207173</v>
      </c>
      <c r="BP284" s="46">
        <f t="shared" si="393"/>
        <v>0</v>
      </c>
      <c r="BQ284" s="46">
        <f t="shared" si="339"/>
        <v>569138</v>
      </c>
      <c r="BR284" s="46">
        <f t="shared" si="340"/>
        <v>0</v>
      </c>
      <c r="BS284" s="46">
        <f t="shared" si="341"/>
        <v>115740</v>
      </c>
      <c r="BT284" s="46">
        <v>0</v>
      </c>
      <c r="BU284" s="46">
        <f t="shared" si="342"/>
        <v>684878</v>
      </c>
      <c r="BV284" s="46">
        <f t="shared" si="394"/>
        <v>115740</v>
      </c>
      <c r="BW284" s="46">
        <f t="shared" si="343"/>
        <v>1090626</v>
      </c>
      <c r="BX284" s="46">
        <f t="shared" si="344"/>
        <v>177783</v>
      </c>
      <c r="BY284" s="46">
        <f t="shared" si="345"/>
        <v>-115740</v>
      </c>
      <c r="BZ284" s="46">
        <v>0</v>
      </c>
      <c r="CA284" s="46">
        <f t="shared" si="346"/>
        <v>1152669</v>
      </c>
      <c r="CB284" s="46">
        <f t="shared" si="395"/>
        <v>0</v>
      </c>
      <c r="CC284" s="155">
        <f t="shared" si="349"/>
        <v>0</v>
      </c>
      <c r="CD284" s="79" t="s">
        <v>538</v>
      </c>
      <c r="CE284" s="65">
        <f t="shared" si="350"/>
        <v>684878</v>
      </c>
      <c r="CF284" s="65">
        <f t="shared" si="351"/>
        <v>684878</v>
      </c>
      <c r="CG284" s="65">
        <f t="shared" si="352"/>
        <v>624739</v>
      </c>
      <c r="CH284" s="65">
        <f t="shared" si="353"/>
        <v>684878</v>
      </c>
      <c r="CI284" s="65">
        <f t="shared" si="354"/>
        <v>1821191</v>
      </c>
      <c r="CJ284" s="65">
        <f t="shared" si="355"/>
        <v>703760</v>
      </c>
      <c r="CK284" s="65">
        <f t="shared" si="356"/>
        <v>1150662</v>
      </c>
      <c r="CL284" s="65">
        <f t="shared" si="357"/>
        <v>684878</v>
      </c>
      <c r="CM284" s="65">
        <f t="shared" si="358"/>
        <v>753830</v>
      </c>
      <c r="CN284" s="65">
        <f t="shared" si="359"/>
        <v>1207173</v>
      </c>
      <c r="CO284" s="65">
        <f t="shared" si="360"/>
        <v>684878</v>
      </c>
      <c r="CP284" s="65">
        <f t="shared" si="361"/>
        <v>1152669</v>
      </c>
      <c r="CQ284" s="40" t="s">
        <v>538</v>
      </c>
    </row>
    <row r="285" spans="1:95" ht="3" customHeight="1" x14ac:dyDescent="0.25">
      <c r="A285" s="39">
        <v>1</v>
      </c>
      <c r="B285" s="28">
        <v>13122</v>
      </c>
      <c r="C285" s="28" t="s">
        <v>428</v>
      </c>
      <c r="D285" s="48">
        <f>+DATA!Q283</f>
        <v>14643036.629000001</v>
      </c>
      <c r="E285" s="48">
        <f t="shared" si="347"/>
        <v>964000</v>
      </c>
      <c r="F285" s="48">
        <f t="shared" si="348"/>
        <v>1464304</v>
      </c>
      <c r="G285" s="49">
        <f>VLOOKUP(B285,'CALC MEC ESTAB Y ESTIM M FINAL'!$B$7:$F$352,5,0)</f>
        <v>3.3747732455999997E-3</v>
      </c>
      <c r="H285" s="49">
        <f>VLOOKUP(B285,'CALC MEC ESTAB Y ESTIM M FINAL'!$B$7:$R$352,17,0)</f>
        <v>3.6260751002999999E-3</v>
      </c>
      <c r="I285" s="46">
        <f t="shared" si="304"/>
        <v>577235</v>
      </c>
      <c r="J285" s="46">
        <f t="shared" si="305"/>
        <v>0</v>
      </c>
      <c r="K285" s="46">
        <f t="shared" si="306"/>
        <v>386765</v>
      </c>
      <c r="L285" s="46">
        <v>0</v>
      </c>
      <c r="M285" s="46">
        <f t="shared" si="307"/>
        <v>964000</v>
      </c>
      <c r="N285" s="46">
        <f t="shared" si="379"/>
        <v>386765</v>
      </c>
      <c r="O285" s="46">
        <f t="shared" si="308"/>
        <v>306954</v>
      </c>
      <c r="P285" s="46">
        <f t="shared" si="309"/>
        <v>0</v>
      </c>
      <c r="Q285" s="46">
        <f t="shared" si="310"/>
        <v>657046</v>
      </c>
      <c r="R285" s="46">
        <v>0</v>
      </c>
      <c r="S285" s="46">
        <f t="shared" si="311"/>
        <v>964000</v>
      </c>
      <c r="T285" s="46">
        <f t="shared" si="380"/>
        <v>1043811</v>
      </c>
      <c r="U285" s="46">
        <f t="shared" si="312"/>
        <v>875671</v>
      </c>
      <c r="V285" s="46">
        <f t="shared" si="313"/>
        <v>0</v>
      </c>
      <c r="W285" s="46">
        <f t="shared" si="381"/>
        <v>0</v>
      </c>
      <c r="X285" s="46">
        <v>0</v>
      </c>
      <c r="Y285" s="46">
        <f t="shared" si="314"/>
        <v>875671</v>
      </c>
      <c r="Z285" s="46">
        <f t="shared" si="382"/>
        <v>1043811</v>
      </c>
      <c r="AA285" s="46">
        <f t="shared" si="315"/>
        <v>464968</v>
      </c>
      <c r="AB285" s="46">
        <f t="shared" si="316"/>
        <v>0</v>
      </c>
      <c r="AC285" s="46">
        <f t="shared" si="317"/>
        <v>499032</v>
      </c>
      <c r="AD285" s="46">
        <v>0</v>
      </c>
      <c r="AE285" s="46">
        <f t="shared" si="318"/>
        <v>964000</v>
      </c>
      <c r="AF285" s="46">
        <f t="shared" si="383"/>
        <v>1542843</v>
      </c>
      <c r="AG285" s="46">
        <f t="shared" si="319"/>
        <v>4046089</v>
      </c>
      <c r="AH285" s="46">
        <f t="shared" si="320"/>
        <v>37344</v>
      </c>
      <c r="AI285" s="46">
        <f t="shared" si="384"/>
        <v>-1542843</v>
      </c>
      <c r="AJ285" s="46">
        <v>0</v>
      </c>
      <c r="AK285" s="46">
        <f t="shared" si="321"/>
        <v>2540590</v>
      </c>
      <c r="AL285" s="46">
        <f t="shared" si="385"/>
        <v>0</v>
      </c>
      <c r="AM285" s="46">
        <f t="shared" si="322"/>
        <v>801427</v>
      </c>
      <c r="AN285" s="46">
        <f t="shared" si="323"/>
        <v>26466</v>
      </c>
      <c r="AO285" s="46">
        <f t="shared" si="324"/>
        <v>162573</v>
      </c>
      <c r="AP285" s="46">
        <v>0</v>
      </c>
      <c r="AQ285" s="46">
        <f t="shared" si="325"/>
        <v>990466</v>
      </c>
      <c r="AR285" s="46">
        <f t="shared" si="386"/>
        <v>162573</v>
      </c>
      <c r="AS285" s="46">
        <f t="shared" si="326"/>
        <v>1593094</v>
      </c>
      <c r="AT285" s="46">
        <f t="shared" si="327"/>
        <v>154661</v>
      </c>
      <c r="AU285" s="46">
        <f t="shared" si="387"/>
        <v>-128790</v>
      </c>
      <c r="AV285" s="46">
        <v>0</v>
      </c>
      <c r="AW285" s="46">
        <f t="shared" si="328"/>
        <v>1618965</v>
      </c>
      <c r="AX285" s="46">
        <f t="shared" si="388"/>
        <v>33783</v>
      </c>
      <c r="AY285" s="46">
        <f t="shared" si="329"/>
        <v>526223</v>
      </c>
      <c r="AZ285" s="46">
        <f t="shared" si="330"/>
        <v>0</v>
      </c>
      <c r="BA285" s="46">
        <f t="shared" si="331"/>
        <v>437777</v>
      </c>
      <c r="BB285" s="46"/>
      <c r="BC285" s="46">
        <f t="shared" si="332"/>
        <v>964000</v>
      </c>
      <c r="BD285" s="46">
        <f t="shared" si="389"/>
        <v>471560</v>
      </c>
      <c r="BE285" s="46">
        <f t="shared" si="333"/>
        <v>1018698</v>
      </c>
      <c r="BF285" s="46">
        <f t="shared" si="334"/>
        <v>37915</v>
      </c>
      <c r="BG285" s="46">
        <f t="shared" si="390"/>
        <v>0</v>
      </c>
      <c r="BH285" s="46">
        <v>0</v>
      </c>
      <c r="BI285" s="46">
        <f t="shared" si="335"/>
        <v>1056613</v>
      </c>
      <c r="BJ285" s="46">
        <f t="shared" si="391"/>
        <v>471560</v>
      </c>
      <c r="BK285" s="46">
        <f t="shared" si="336"/>
        <v>2149410</v>
      </c>
      <c r="BL285" s="46">
        <f t="shared" si="337"/>
        <v>0</v>
      </c>
      <c r="BM285" s="46">
        <f t="shared" si="392"/>
        <v>-471560</v>
      </c>
      <c r="BN285" s="46">
        <v>0</v>
      </c>
      <c r="BO285" s="46">
        <f t="shared" si="338"/>
        <v>1677850</v>
      </c>
      <c r="BP285" s="46">
        <f t="shared" si="393"/>
        <v>0</v>
      </c>
      <c r="BQ285" s="46">
        <f t="shared" si="339"/>
        <v>797738</v>
      </c>
      <c r="BR285" s="46">
        <f t="shared" si="340"/>
        <v>0</v>
      </c>
      <c r="BS285" s="46">
        <f t="shared" si="341"/>
        <v>166262</v>
      </c>
      <c r="BT285" s="46">
        <v>0</v>
      </c>
      <c r="BU285" s="46">
        <f t="shared" si="342"/>
        <v>964000</v>
      </c>
      <c r="BV285" s="46">
        <f t="shared" si="394"/>
        <v>166262</v>
      </c>
      <c r="BW285" s="46">
        <f t="shared" si="343"/>
        <v>1528686</v>
      </c>
      <c r="BX285" s="46">
        <f t="shared" si="344"/>
        <v>249192</v>
      </c>
      <c r="BY285" s="46">
        <f t="shared" si="345"/>
        <v>-166262</v>
      </c>
      <c r="BZ285" s="46">
        <v>0</v>
      </c>
      <c r="CA285" s="46">
        <f t="shared" si="346"/>
        <v>1611616</v>
      </c>
      <c r="CB285" s="46">
        <f t="shared" si="395"/>
        <v>0</v>
      </c>
      <c r="CC285" s="155">
        <f t="shared" si="349"/>
        <v>0</v>
      </c>
      <c r="CD285" s="79" t="s">
        <v>538</v>
      </c>
      <c r="CE285" s="65">
        <f t="shared" si="350"/>
        <v>964000</v>
      </c>
      <c r="CF285" s="65">
        <f t="shared" si="351"/>
        <v>964000</v>
      </c>
      <c r="CG285" s="65">
        <f t="shared" si="352"/>
        <v>875671</v>
      </c>
      <c r="CH285" s="65">
        <f t="shared" si="353"/>
        <v>964000</v>
      </c>
      <c r="CI285" s="65">
        <f t="shared" si="354"/>
        <v>2540590</v>
      </c>
      <c r="CJ285" s="65">
        <f t="shared" si="355"/>
        <v>990466</v>
      </c>
      <c r="CK285" s="65">
        <f t="shared" si="356"/>
        <v>1618965</v>
      </c>
      <c r="CL285" s="65">
        <f t="shared" si="357"/>
        <v>964000</v>
      </c>
      <c r="CM285" s="65">
        <f t="shared" si="358"/>
        <v>1056613</v>
      </c>
      <c r="CN285" s="65">
        <f t="shared" si="359"/>
        <v>1677850</v>
      </c>
      <c r="CO285" s="65">
        <f t="shared" si="360"/>
        <v>964000</v>
      </c>
      <c r="CP285" s="65">
        <f t="shared" si="361"/>
        <v>1611616</v>
      </c>
      <c r="CQ285" s="40" t="s">
        <v>538</v>
      </c>
    </row>
    <row r="286" spans="1:95" ht="3" customHeight="1" x14ac:dyDescent="0.25">
      <c r="A286" s="39">
        <v>0</v>
      </c>
      <c r="B286" s="28">
        <v>13123</v>
      </c>
      <c r="C286" s="28" t="s">
        <v>275</v>
      </c>
      <c r="D286" s="48">
        <f>+DATA!Q284</f>
        <v>2610167.8650000002</v>
      </c>
      <c r="E286" s="48">
        <f t="shared" si="347"/>
        <v>0</v>
      </c>
      <c r="F286" s="48">
        <f t="shared" si="348"/>
        <v>0</v>
      </c>
      <c r="G286" s="49">
        <f>VLOOKUP(B286,'CALC MEC ESTAB Y ESTIM M FINAL'!$B$7:$F$352,5,0)</f>
        <v>1.0155509107000001E-3</v>
      </c>
      <c r="H286" s="49">
        <f>VLOOKUP(B286,'CALC MEC ESTAB Y ESTIM M FINAL'!$B$7:$R$352,17,0)</f>
        <v>2.3237281850000001E-4</v>
      </c>
      <c r="I286" s="46">
        <f t="shared" si="304"/>
        <v>102894</v>
      </c>
      <c r="J286" s="46">
        <f t="shared" si="305"/>
        <v>0</v>
      </c>
      <c r="K286" s="46">
        <f t="shared" si="306"/>
        <v>0</v>
      </c>
      <c r="L286" s="46">
        <v>0</v>
      </c>
      <c r="M286" s="46">
        <f t="shared" si="307"/>
        <v>102894</v>
      </c>
      <c r="N286" s="46">
        <v>0</v>
      </c>
      <c r="O286" s="46">
        <f t="shared" si="308"/>
        <v>54716</v>
      </c>
      <c r="P286" s="46">
        <f t="shared" si="309"/>
        <v>0</v>
      </c>
      <c r="Q286" s="46">
        <f t="shared" si="310"/>
        <v>0</v>
      </c>
      <c r="R286" s="46">
        <v>0</v>
      </c>
      <c r="S286" s="46">
        <f t="shared" si="311"/>
        <v>54716</v>
      </c>
      <c r="T286" s="46">
        <v>0</v>
      </c>
      <c r="U286" s="46">
        <f t="shared" si="312"/>
        <v>156091</v>
      </c>
      <c r="V286" s="46">
        <f t="shared" si="313"/>
        <v>0</v>
      </c>
      <c r="W286" s="46">
        <v>0</v>
      </c>
      <c r="X286" s="46">
        <v>0</v>
      </c>
      <c r="Y286" s="46">
        <f t="shared" si="314"/>
        <v>156091</v>
      </c>
      <c r="Z286" s="46">
        <v>0</v>
      </c>
      <c r="AA286" s="46">
        <f t="shared" si="315"/>
        <v>82882</v>
      </c>
      <c r="AB286" s="46">
        <f t="shared" si="316"/>
        <v>0</v>
      </c>
      <c r="AC286" s="46">
        <f t="shared" si="317"/>
        <v>0</v>
      </c>
      <c r="AD286" s="46">
        <v>0</v>
      </c>
      <c r="AE286" s="46">
        <f t="shared" si="318"/>
        <v>82882</v>
      </c>
      <c r="AF286" s="46">
        <v>0</v>
      </c>
      <c r="AG286" s="46">
        <f t="shared" si="319"/>
        <v>721228</v>
      </c>
      <c r="AH286" s="46">
        <f t="shared" si="320"/>
        <v>6657</v>
      </c>
      <c r="AI286" s="46">
        <v>0</v>
      </c>
      <c r="AJ286" s="46">
        <v>0</v>
      </c>
      <c r="AK286" s="46">
        <f t="shared" si="321"/>
        <v>727885</v>
      </c>
      <c r="AL286" s="46">
        <v>0</v>
      </c>
      <c r="AM286" s="46">
        <f t="shared" si="322"/>
        <v>142857</v>
      </c>
      <c r="AN286" s="46">
        <f t="shared" si="323"/>
        <v>4718</v>
      </c>
      <c r="AO286" s="46">
        <f t="shared" si="324"/>
        <v>0</v>
      </c>
      <c r="AP286" s="46">
        <v>0</v>
      </c>
      <c r="AQ286" s="46">
        <f t="shared" si="325"/>
        <v>147575</v>
      </c>
      <c r="AR286" s="46">
        <v>0</v>
      </c>
      <c r="AS286" s="46">
        <f t="shared" si="326"/>
        <v>283974</v>
      </c>
      <c r="AT286" s="46">
        <f t="shared" si="327"/>
        <v>27569</v>
      </c>
      <c r="AU286" s="46">
        <v>0</v>
      </c>
      <c r="AV286" s="46">
        <v>0</v>
      </c>
      <c r="AW286" s="46">
        <f t="shared" si="328"/>
        <v>311543</v>
      </c>
      <c r="AX286" s="46">
        <v>0</v>
      </c>
      <c r="AY286" s="46">
        <f t="shared" si="329"/>
        <v>93801</v>
      </c>
      <c r="AZ286" s="46">
        <f t="shared" si="330"/>
        <v>0</v>
      </c>
      <c r="BA286" s="46">
        <f t="shared" si="331"/>
        <v>0</v>
      </c>
      <c r="BB286" s="46">
        <v>0</v>
      </c>
      <c r="BC286" s="46">
        <f t="shared" si="332"/>
        <v>93801</v>
      </c>
      <c r="BD286" s="46">
        <v>0</v>
      </c>
      <c r="BE286" s="46">
        <f t="shared" si="333"/>
        <v>181586</v>
      </c>
      <c r="BF286" s="46">
        <f t="shared" si="334"/>
        <v>6758</v>
      </c>
      <c r="BG286" s="46">
        <v>0</v>
      </c>
      <c r="BH286" s="46">
        <v>0</v>
      </c>
      <c r="BI286" s="46">
        <f t="shared" si="335"/>
        <v>188344</v>
      </c>
      <c r="BJ286" s="46">
        <v>0</v>
      </c>
      <c r="BK286" s="46">
        <f t="shared" si="336"/>
        <v>383139</v>
      </c>
      <c r="BL286" s="46">
        <f t="shared" si="337"/>
        <v>0</v>
      </c>
      <c r="BM286" s="46">
        <v>0</v>
      </c>
      <c r="BN286" s="46">
        <v>0</v>
      </c>
      <c r="BO286" s="46">
        <f t="shared" si="338"/>
        <v>383139</v>
      </c>
      <c r="BP286" s="46">
        <v>0</v>
      </c>
      <c r="BQ286" s="46">
        <f t="shared" si="339"/>
        <v>142199</v>
      </c>
      <c r="BR286" s="46">
        <f t="shared" si="340"/>
        <v>0</v>
      </c>
      <c r="BS286" s="46">
        <f t="shared" si="341"/>
        <v>0</v>
      </c>
      <c r="BT286" s="46">
        <v>0</v>
      </c>
      <c r="BU286" s="46">
        <f t="shared" si="342"/>
        <v>142199</v>
      </c>
      <c r="BV286" s="46">
        <v>0</v>
      </c>
      <c r="BW286" s="46">
        <f t="shared" si="343"/>
        <v>272493</v>
      </c>
      <c r="BX286" s="46">
        <f t="shared" si="344"/>
        <v>44419</v>
      </c>
      <c r="BY286" s="46">
        <f t="shared" si="345"/>
        <v>0</v>
      </c>
      <c r="BZ286" s="46">
        <v>0</v>
      </c>
      <c r="CA286" s="46">
        <f t="shared" si="346"/>
        <v>316912</v>
      </c>
      <c r="CB286" s="46">
        <v>0</v>
      </c>
      <c r="CC286" s="155">
        <f t="shared" si="349"/>
        <v>0</v>
      </c>
      <c r="CD286" s="79" t="s">
        <v>538</v>
      </c>
      <c r="CE286" s="65">
        <f t="shared" si="350"/>
        <v>102894</v>
      </c>
      <c r="CF286" s="65">
        <f t="shared" si="351"/>
        <v>54716</v>
      </c>
      <c r="CG286" s="65">
        <f t="shared" si="352"/>
        <v>156091</v>
      </c>
      <c r="CH286" s="65">
        <f t="shared" si="353"/>
        <v>82882</v>
      </c>
      <c r="CI286" s="65">
        <f t="shared" si="354"/>
        <v>727885</v>
      </c>
      <c r="CJ286" s="65">
        <f t="shared" si="355"/>
        <v>147575</v>
      </c>
      <c r="CK286" s="65">
        <f t="shared" si="356"/>
        <v>311543</v>
      </c>
      <c r="CL286" s="65">
        <f t="shared" si="357"/>
        <v>93801</v>
      </c>
      <c r="CM286" s="65">
        <f t="shared" si="358"/>
        <v>188344</v>
      </c>
      <c r="CN286" s="65">
        <f t="shared" si="359"/>
        <v>383139</v>
      </c>
      <c r="CO286" s="65">
        <f t="shared" si="360"/>
        <v>142199</v>
      </c>
      <c r="CP286" s="65">
        <f t="shared" si="361"/>
        <v>316912</v>
      </c>
      <c r="CQ286" s="40" t="s">
        <v>538</v>
      </c>
    </row>
    <row r="287" spans="1:95" ht="3" customHeight="1" x14ac:dyDescent="0.25">
      <c r="A287" s="39">
        <v>1</v>
      </c>
      <c r="B287" s="28">
        <v>13124</v>
      </c>
      <c r="C287" s="28" t="s">
        <v>281</v>
      </c>
      <c r="D287" s="48">
        <f>+DATA!Q285</f>
        <v>15710483.975</v>
      </c>
      <c r="E287" s="48">
        <f t="shared" si="347"/>
        <v>1034274</v>
      </c>
      <c r="F287" s="48">
        <f t="shared" si="348"/>
        <v>1571048</v>
      </c>
      <c r="G287" s="49">
        <f>VLOOKUP(B287,'CALC MEC ESTAB Y ESTIM M FINAL'!$B$7:$F$352,5,0)</f>
        <v>4.7466246455000003E-3</v>
      </c>
      <c r="H287" s="49">
        <f>VLOOKUP(B287,'CALC MEC ESTAB Y ESTIM M FINAL'!$B$7:$R$352,17,0)</f>
        <v>2.764571649E-3</v>
      </c>
      <c r="I287" s="46">
        <f t="shared" si="304"/>
        <v>619314</v>
      </c>
      <c r="J287" s="46">
        <f t="shared" si="305"/>
        <v>0</v>
      </c>
      <c r="K287" s="46">
        <f t="shared" si="306"/>
        <v>414960</v>
      </c>
      <c r="L287" s="46">
        <v>0</v>
      </c>
      <c r="M287" s="46">
        <f t="shared" si="307"/>
        <v>1034274</v>
      </c>
      <c r="N287" s="46">
        <f t="shared" ref="N287:N294" si="396">K287</f>
        <v>414960</v>
      </c>
      <c r="O287" s="46">
        <f t="shared" si="308"/>
        <v>329331</v>
      </c>
      <c r="P287" s="46">
        <f t="shared" si="309"/>
        <v>0</v>
      </c>
      <c r="Q287" s="46">
        <f t="shared" si="310"/>
        <v>704943</v>
      </c>
      <c r="R287" s="46">
        <v>0</v>
      </c>
      <c r="S287" s="46">
        <f t="shared" si="311"/>
        <v>1034274</v>
      </c>
      <c r="T287" s="46">
        <f t="shared" ref="T287:T294" si="397">N287+Q287</f>
        <v>1119903</v>
      </c>
      <c r="U287" s="46">
        <f t="shared" si="312"/>
        <v>939506</v>
      </c>
      <c r="V287" s="46">
        <f t="shared" si="313"/>
        <v>0</v>
      </c>
      <c r="W287" s="46">
        <f t="shared" ref="W287:W294" si="398">IF(U287&lt;$F287,0,IF(U287-$F287&gt;T287,-T287,-(U287-$F287)))</f>
        <v>0</v>
      </c>
      <c r="X287" s="46">
        <v>0</v>
      </c>
      <c r="Y287" s="46">
        <f t="shared" si="314"/>
        <v>939506</v>
      </c>
      <c r="Z287" s="46">
        <f t="shared" ref="Z287:Z294" si="399">T287+W287</f>
        <v>1119903</v>
      </c>
      <c r="AA287" s="46">
        <f t="shared" si="315"/>
        <v>498863</v>
      </c>
      <c r="AB287" s="46">
        <f t="shared" si="316"/>
        <v>0</v>
      </c>
      <c r="AC287" s="46">
        <f t="shared" si="317"/>
        <v>535411</v>
      </c>
      <c r="AD287" s="46">
        <v>0</v>
      </c>
      <c r="AE287" s="46">
        <f t="shared" si="318"/>
        <v>1034274</v>
      </c>
      <c r="AF287" s="46">
        <f t="shared" ref="AF287:AF294" si="400">Z287+AC287</f>
        <v>1655314</v>
      </c>
      <c r="AG287" s="46">
        <f t="shared" si="319"/>
        <v>4341041</v>
      </c>
      <c r="AH287" s="46">
        <f t="shared" si="320"/>
        <v>40067</v>
      </c>
      <c r="AI287" s="46">
        <f t="shared" ref="AI287:AI294" si="401">IF(AG287&lt;$F287,0,IF(AG287-$F287&gt;AF287,-AF287,-(AG287-$F287)))</f>
        <v>-1655314</v>
      </c>
      <c r="AJ287" s="46">
        <v>0</v>
      </c>
      <c r="AK287" s="46">
        <f t="shared" si="321"/>
        <v>2725794</v>
      </c>
      <c r="AL287" s="46">
        <f t="shared" ref="AL287:AL294" si="402">AF287+AI287</f>
        <v>0</v>
      </c>
      <c r="AM287" s="46">
        <f t="shared" si="322"/>
        <v>859849</v>
      </c>
      <c r="AN287" s="46">
        <f t="shared" si="323"/>
        <v>28396</v>
      </c>
      <c r="AO287" s="46">
        <f t="shared" si="324"/>
        <v>174425</v>
      </c>
      <c r="AP287" s="46">
        <v>0</v>
      </c>
      <c r="AQ287" s="46">
        <f t="shared" si="325"/>
        <v>1062670</v>
      </c>
      <c r="AR287" s="46">
        <f t="shared" ref="AR287:AR294" si="403">AL287+AO287</f>
        <v>174425</v>
      </c>
      <c r="AS287" s="46">
        <f t="shared" si="326"/>
        <v>1709227</v>
      </c>
      <c r="AT287" s="46">
        <f t="shared" si="327"/>
        <v>165935</v>
      </c>
      <c r="AU287" s="46">
        <f t="shared" ref="AU287:AU294" si="404">IF(AS287&lt;$F287,0,IF(AS287-$F287&gt;AR287,-AR287,-(AS287-$F287)))</f>
        <v>-138179</v>
      </c>
      <c r="AV287" s="46">
        <v>0</v>
      </c>
      <c r="AW287" s="46">
        <f t="shared" si="328"/>
        <v>1736983</v>
      </c>
      <c r="AX287" s="46">
        <f t="shared" ref="AX287:AX294" si="405">AR287+AU287</f>
        <v>36246</v>
      </c>
      <c r="AY287" s="46">
        <f t="shared" si="329"/>
        <v>564584</v>
      </c>
      <c r="AZ287" s="46">
        <f t="shared" si="330"/>
        <v>0</v>
      </c>
      <c r="BA287" s="46">
        <f t="shared" si="331"/>
        <v>469690</v>
      </c>
      <c r="BB287" s="46"/>
      <c r="BC287" s="46">
        <f t="shared" si="332"/>
        <v>1034274</v>
      </c>
      <c r="BD287" s="46">
        <f t="shared" ref="BD287:BD294" si="406">AX287+BA287</f>
        <v>505936</v>
      </c>
      <c r="BE287" s="46">
        <f t="shared" si="333"/>
        <v>1092959</v>
      </c>
      <c r="BF287" s="46">
        <f t="shared" si="334"/>
        <v>40679</v>
      </c>
      <c r="BG287" s="46">
        <f t="shared" ref="BG287:BG294" si="407">IF(BE287&lt;$F287,0,IF(BE287-$F287&gt;BD287,-BD287,-(BE287-$F287)))</f>
        <v>0</v>
      </c>
      <c r="BH287" s="46">
        <v>0</v>
      </c>
      <c r="BI287" s="46">
        <f t="shared" si="335"/>
        <v>1133638</v>
      </c>
      <c r="BJ287" s="46">
        <f t="shared" ref="BJ287:BJ294" si="408">BD287+BG287</f>
        <v>505936</v>
      </c>
      <c r="BK287" s="46">
        <f t="shared" si="336"/>
        <v>2306097</v>
      </c>
      <c r="BL287" s="46">
        <f t="shared" si="337"/>
        <v>0</v>
      </c>
      <c r="BM287" s="46">
        <f t="shared" ref="BM287:BM294" si="409">IF(BK287&lt;$F287,0,IF(BK287-$F287&gt;BJ287,-BJ287,-(BK287-$F287)))</f>
        <v>-505936</v>
      </c>
      <c r="BN287" s="46">
        <v>0</v>
      </c>
      <c r="BO287" s="46">
        <f t="shared" si="338"/>
        <v>1800161</v>
      </c>
      <c r="BP287" s="46">
        <f t="shared" ref="BP287:BP294" si="410">BJ287+BM287</f>
        <v>0</v>
      </c>
      <c r="BQ287" s="46">
        <f t="shared" si="339"/>
        <v>855891</v>
      </c>
      <c r="BR287" s="46">
        <f t="shared" si="340"/>
        <v>0</v>
      </c>
      <c r="BS287" s="46">
        <f t="shared" si="341"/>
        <v>178383</v>
      </c>
      <c r="BT287" s="46">
        <v>0</v>
      </c>
      <c r="BU287" s="46">
        <f t="shared" si="342"/>
        <v>1034274</v>
      </c>
      <c r="BV287" s="46">
        <f t="shared" ref="BV287:BV294" si="411">BP287+BS287</f>
        <v>178383</v>
      </c>
      <c r="BW287" s="46">
        <f t="shared" si="343"/>
        <v>1640125</v>
      </c>
      <c r="BX287" s="46">
        <f t="shared" si="344"/>
        <v>267357</v>
      </c>
      <c r="BY287" s="46">
        <f t="shared" si="345"/>
        <v>-178383</v>
      </c>
      <c r="BZ287" s="46">
        <v>0</v>
      </c>
      <c r="CA287" s="46">
        <f t="shared" si="346"/>
        <v>1729099</v>
      </c>
      <c r="CB287" s="46">
        <f t="shared" ref="CB287:CB294" si="412">BV287+BY287</f>
        <v>0</v>
      </c>
      <c r="CC287" s="155">
        <f t="shared" si="349"/>
        <v>0</v>
      </c>
      <c r="CD287" s="79" t="s">
        <v>538</v>
      </c>
      <c r="CE287" s="65">
        <f t="shared" si="350"/>
        <v>1034274</v>
      </c>
      <c r="CF287" s="65">
        <f t="shared" si="351"/>
        <v>1034274</v>
      </c>
      <c r="CG287" s="65">
        <f t="shared" si="352"/>
        <v>939506</v>
      </c>
      <c r="CH287" s="65">
        <f t="shared" si="353"/>
        <v>1034274</v>
      </c>
      <c r="CI287" s="65">
        <f t="shared" si="354"/>
        <v>2725794</v>
      </c>
      <c r="CJ287" s="65">
        <f t="shared" si="355"/>
        <v>1062670</v>
      </c>
      <c r="CK287" s="65">
        <f t="shared" si="356"/>
        <v>1736983</v>
      </c>
      <c r="CL287" s="65">
        <f t="shared" si="357"/>
        <v>1034274</v>
      </c>
      <c r="CM287" s="65">
        <f t="shared" si="358"/>
        <v>1133638</v>
      </c>
      <c r="CN287" s="65">
        <f t="shared" si="359"/>
        <v>1800161</v>
      </c>
      <c r="CO287" s="65">
        <f t="shared" si="360"/>
        <v>1034274</v>
      </c>
      <c r="CP287" s="65">
        <f t="shared" si="361"/>
        <v>1729099</v>
      </c>
      <c r="CQ287" s="40" t="s">
        <v>538</v>
      </c>
    </row>
    <row r="288" spans="1:95" ht="3" customHeight="1" x14ac:dyDescent="0.25">
      <c r="A288" s="39">
        <v>1</v>
      </c>
      <c r="B288" s="28">
        <v>13125</v>
      </c>
      <c r="C288" s="28" t="s">
        <v>283</v>
      </c>
      <c r="D288" s="48">
        <f>+DATA!Q286</f>
        <v>9773641.6940000001</v>
      </c>
      <c r="E288" s="48">
        <f t="shared" si="347"/>
        <v>643431</v>
      </c>
      <c r="F288" s="48">
        <f t="shared" si="348"/>
        <v>977364</v>
      </c>
      <c r="G288" s="49">
        <f>VLOOKUP(B288,'CALC MEC ESTAB Y ESTIM M FINAL'!$B$7:$F$352,5,0)</f>
        <v>5.2495699364999999E-3</v>
      </c>
      <c r="H288" s="49">
        <f>VLOOKUP(B288,'CALC MEC ESTAB Y ESTIM M FINAL'!$B$7:$R$352,17,0)</f>
        <v>-3.1450718430000001E-4</v>
      </c>
      <c r="I288" s="46">
        <f t="shared" si="304"/>
        <v>406907</v>
      </c>
      <c r="J288" s="46">
        <f t="shared" si="305"/>
        <v>0</v>
      </c>
      <c r="K288" s="46">
        <f t="shared" si="306"/>
        <v>236524</v>
      </c>
      <c r="L288" s="46">
        <v>0</v>
      </c>
      <c r="M288" s="46">
        <f t="shared" si="307"/>
        <v>643431</v>
      </c>
      <c r="N288" s="46">
        <f t="shared" si="396"/>
        <v>236524</v>
      </c>
      <c r="O288" s="46">
        <f t="shared" si="308"/>
        <v>216379</v>
      </c>
      <c r="P288" s="46">
        <f t="shared" si="309"/>
        <v>0</v>
      </c>
      <c r="Q288" s="46">
        <f t="shared" si="310"/>
        <v>427052</v>
      </c>
      <c r="R288" s="46">
        <v>0</v>
      </c>
      <c r="S288" s="46">
        <f t="shared" si="311"/>
        <v>643431</v>
      </c>
      <c r="T288" s="46">
        <f t="shared" si="397"/>
        <v>663576</v>
      </c>
      <c r="U288" s="46">
        <f t="shared" si="312"/>
        <v>617281</v>
      </c>
      <c r="V288" s="46">
        <f t="shared" si="313"/>
        <v>0</v>
      </c>
      <c r="W288" s="46">
        <f t="shared" si="398"/>
        <v>0</v>
      </c>
      <c r="X288" s="46">
        <v>0</v>
      </c>
      <c r="Y288" s="46">
        <f t="shared" si="314"/>
        <v>617281</v>
      </c>
      <c r="Z288" s="46">
        <f t="shared" si="399"/>
        <v>663576</v>
      </c>
      <c r="AA288" s="46">
        <f t="shared" si="315"/>
        <v>327767</v>
      </c>
      <c r="AB288" s="46">
        <f t="shared" si="316"/>
        <v>0</v>
      </c>
      <c r="AC288" s="46">
        <f t="shared" si="317"/>
        <v>315664</v>
      </c>
      <c r="AD288" s="46">
        <v>0</v>
      </c>
      <c r="AE288" s="46">
        <f t="shared" si="318"/>
        <v>643431</v>
      </c>
      <c r="AF288" s="46">
        <f t="shared" si="400"/>
        <v>979240</v>
      </c>
      <c r="AG288" s="46">
        <f t="shared" si="319"/>
        <v>2852183</v>
      </c>
      <c r="AH288" s="46">
        <f t="shared" si="320"/>
        <v>26325</v>
      </c>
      <c r="AI288" s="46">
        <f t="shared" si="401"/>
        <v>-979240</v>
      </c>
      <c r="AJ288" s="46">
        <v>0</v>
      </c>
      <c r="AK288" s="46">
        <f t="shared" si="321"/>
        <v>1899268</v>
      </c>
      <c r="AL288" s="46">
        <f t="shared" si="402"/>
        <v>0</v>
      </c>
      <c r="AM288" s="46">
        <f t="shared" si="322"/>
        <v>564945</v>
      </c>
      <c r="AN288" s="46">
        <f t="shared" si="323"/>
        <v>18657</v>
      </c>
      <c r="AO288" s="46">
        <f t="shared" si="324"/>
        <v>78486</v>
      </c>
      <c r="AP288" s="46">
        <v>0</v>
      </c>
      <c r="AQ288" s="46">
        <f t="shared" si="325"/>
        <v>662088</v>
      </c>
      <c r="AR288" s="46">
        <f t="shared" si="403"/>
        <v>78486</v>
      </c>
      <c r="AS288" s="46">
        <f t="shared" si="326"/>
        <v>1123009</v>
      </c>
      <c r="AT288" s="46">
        <f t="shared" si="327"/>
        <v>109024</v>
      </c>
      <c r="AU288" s="46">
        <f t="shared" si="404"/>
        <v>-78486</v>
      </c>
      <c r="AV288" s="46">
        <v>0</v>
      </c>
      <c r="AW288" s="46">
        <f t="shared" si="328"/>
        <v>1153547</v>
      </c>
      <c r="AX288" s="46">
        <f t="shared" si="405"/>
        <v>0</v>
      </c>
      <c r="AY288" s="46">
        <f t="shared" si="329"/>
        <v>370947</v>
      </c>
      <c r="AZ288" s="46">
        <f t="shared" si="330"/>
        <v>0</v>
      </c>
      <c r="BA288" s="46">
        <f t="shared" si="331"/>
        <v>272484</v>
      </c>
      <c r="BB288" s="46"/>
      <c r="BC288" s="46">
        <f t="shared" si="332"/>
        <v>643431</v>
      </c>
      <c r="BD288" s="46">
        <f t="shared" si="406"/>
        <v>272484</v>
      </c>
      <c r="BE288" s="46">
        <f t="shared" si="333"/>
        <v>718104</v>
      </c>
      <c r="BF288" s="46">
        <f t="shared" si="334"/>
        <v>26727</v>
      </c>
      <c r="BG288" s="46">
        <f t="shared" si="407"/>
        <v>0</v>
      </c>
      <c r="BH288" s="46">
        <v>0</v>
      </c>
      <c r="BI288" s="46">
        <f t="shared" si="335"/>
        <v>744831</v>
      </c>
      <c r="BJ288" s="46">
        <f t="shared" si="408"/>
        <v>272484</v>
      </c>
      <c r="BK288" s="46">
        <f t="shared" si="336"/>
        <v>1515169</v>
      </c>
      <c r="BL288" s="46">
        <f t="shared" si="337"/>
        <v>0</v>
      </c>
      <c r="BM288" s="46">
        <f t="shared" si="409"/>
        <v>-272484</v>
      </c>
      <c r="BN288" s="46">
        <v>0</v>
      </c>
      <c r="BO288" s="46">
        <f t="shared" si="338"/>
        <v>1242685</v>
      </c>
      <c r="BP288" s="46">
        <f t="shared" si="410"/>
        <v>0</v>
      </c>
      <c r="BQ288" s="46">
        <f t="shared" si="339"/>
        <v>562344</v>
      </c>
      <c r="BR288" s="46">
        <f t="shared" si="340"/>
        <v>0</v>
      </c>
      <c r="BS288" s="46">
        <f t="shared" si="341"/>
        <v>81087</v>
      </c>
      <c r="BT288" s="46">
        <v>0</v>
      </c>
      <c r="BU288" s="46">
        <f t="shared" si="342"/>
        <v>643431</v>
      </c>
      <c r="BV288" s="46">
        <f t="shared" si="411"/>
        <v>81087</v>
      </c>
      <c r="BW288" s="46">
        <f t="shared" si="343"/>
        <v>1077607</v>
      </c>
      <c r="BX288" s="46">
        <f t="shared" si="344"/>
        <v>175661</v>
      </c>
      <c r="BY288" s="46">
        <f t="shared" si="345"/>
        <v>-81087</v>
      </c>
      <c r="BZ288" s="46">
        <v>0</v>
      </c>
      <c r="CA288" s="46">
        <f t="shared" si="346"/>
        <v>1172181</v>
      </c>
      <c r="CB288" s="46">
        <f t="shared" si="412"/>
        <v>0</v>
      </c>
      <c r="CC288" s="155">
        <f t="shared" si="349"/>
        <v>0</v>
      </c>
      <c r="CD288" s="79" t="s">
        <v>538</v>
      </c>
      <c r="CE288" s="65">
        <f t="shared" si="350"/>
        <v>643431</v>
      </c>
      <c r="CF288" s="65">
        <f t="shared" si="351"/>
        <v>643431</v>
      </c>
      <c r="CG288" s="65">
        <f t="shared" si="352"/>
        <v>617281</v>
      </c>
      <c r="CH288" s="65">
        <f t="shared" si="353"/>
        <v>643431</v>
      </c>
      <c r="CI288" s="65">
        <f t="shared" si="354"/>
        <v>1899268</v>
      </c>
      <c r="CJ288" s="65">
        <f t="shared" si="355"/>
        <v>662088</v>
      </c>
      <c r="CK288" s="65">
        <f t="shared" si="356"/>
        <v>1153547</v>
      </c>
      <c r="CL288" s="65">
        <f t="shared" si="357"/>
        <v>643431</v>
      </c>
      <c r="CM288" s="65">
        <f t="shared" si="358"/>
        <v>744831</v>
      </c>
      <c r="CN288" s="65">
        <f t="shared" si="359"/>
        <v>1242685</v>
      </c>
      <c r="CO288" s="65">
        <f t="shared" si="360"/>
        <v>643431</v>
      </c>
      <c r="CP288" s="65">
        <f t="shared" si="361"/>
        <v>1172181</v>
      </c>
      <c r="CQ288" s="40" t="s">
        <v>538</v>
      </c>
    </row>
    <row r="289" spans="1:95" ht="3" customHeight="1" x14ac:dyDescent="0.25">
      <c r="A289" s="39">
        <v>1</v>
      </c>
      <c r="B289" s="28">
        <v>13126</v>
      </c>
      <c r="C289" s="28" t="s">
        <v>278</v>
      </c>
      <c r="D289" s="48">
        <f>+DATA!Q287</f>
        <v>9004208.6319999993</v>
      </c>
      <c r="E289" s="48">
        <f t="shared" si="347"/>
        <v>592777</v>
      </c>
      <c r="F289" s="48">
        <f t="shared" si="348"/>
        <v>900421</v>
      </c>
      <c r="G289" s="49">
        <f>VLOOKUP(B289,'CALC MEC ESTAB Y ESTIM M FINAL'!$B$7:$F$352,5,0)</f>
        <v>4.2818432396E-3</v>
      </c>
      <c r="H289" s="49">
        <f>VLOOKUP(B289,'CALC MEC ESTAB Y ESTIM M FINAL'!$B$7:$R$352,17,0)</f>
        <v>2.3076696200000001E-5</v>
      </c>
      <c r="I289" s="46">
        <f t="shared" si="304"/>
        <v>354950</v>
      </c>
      <c r="J289" s="46">
        <f t="shared" si="305"/>
        <v>0</v>
      </c>
      <c r="K289" s="46">
        <f t="shared" si="306"/>
        <v>237827</v>
      </c>
      <c r="L289" s="46">
        <v>0</v>
      </c>
      <c r="M289" s="46">
        <f t="shared" si="307"/>
        <v>592777</v>
      </c>
      <c r="N289" s="46">
        <f t="shared" si="396"/>
        <v>237827</v>
      </c>
      <c r="O289" s="46">
        <f t="shared" si="308"/>
        <v>188750</v>
      </c>
      <c r="P289" s="46">
        <f t="shared" si="309"/>
        <v>0</v>
      </c>
      <c r="Q289" s="46">
        <f t="shared" si="310"/>
        <v>404027</v>
      </c>
      <c r="R289" s="46">
        <v>0</v>
      </c>
      <c r="S289" s="46">
        <f t="shared" si="311"/>
        <v>592777</v>
      </c>
      <c r="T289" s="46">
        <f t="shared" si="397"/>
        <v>641854</v>
      </c>
      <c r="U289" s="46">
        <f t="shared" si="312"/>
        <v>538462</v>
      </c>
      <c r="V289" s="46">
        <f t="shared" si="313"/>
        <v>0</v>
      </c>
      <c r="W289" s="46">
        <f t="shared" si="398"/>
        <v>0</v>
      </c>
      <c r="X289" s="46">
        <v>0</v>
      </c>
      <c r="Y289" s="46">
        <f t="shared" si="314"/>
        <v>538462</v>
      </c>
      <c r="Z289" s="46">
        <f t="shared" si="399"/>
        <v>641854</v>
      </c>
      <c r="AA289" s="46">
        <f t="shared" si="315"/>
        <v>285915</v>
      </c>
      <c r="AB289" s="46">
        <f t="shared" si="316"/>
        <v>0</v>
      </c>
      <c r="AC289" s="46">
        <f t="shared" si="317"/>
        <v>306862</v>
      </c>
      <c r="AD289" s="46">
        <v>0</v>
      </c>
      <c r="AE289" s="46">
        <f t="shared" si="318"/>
        <v>592777</v>
      </c>
      <c r="AF289" s="46">
        <f t="shared" si="400"/>
        <v>948716</v>
      </c>
      <c r="AG289" s="46">
        <f t="shared" si="319"/>
        <v>2487997</v>
      </c>
      <c r="AH289" s="46">
        <f t="shared" si="320"/>
        <v>22964</v>
      </c>
      <c r="AI289" s="46">
        <f t="shared" si="401"/>
        <v>-948716</v>
      </c>
      <c r="AJ289" s="46">
        <v>0</v>
      </c>
      <c r="AK289" s="46">
        <f t="shared" si="321"/>
        <v>1562245</v>
      </c>
      <c r="AL289" s="46">
        <f t="shared" si="402"/>
        <v>0</v>
      </c>
      <c r="AM289" s="46">
        <f t="shared" si="322"/>
        <v>492809</v>
      </c>
      <c r="AN289" s="46">
        <f t="shared" si="323"/>
        <v>16274</v>
      </c>
      <c r="AO289" s="46">
        <f t="shared" si="324"/>
        <v>99968</v>
      </c>
      <c r="AP289" s="46">
        <v>0</v>
      </c>
      <c r="AQ289" s="46">
        <f t="shared" si="325"/>
        <v>609051</v>
      </c>
      <c r="AR289" s="46">
        <f t="shared" si="403"/>
        <v>99968</v>
      </c>
      <c r="AS289" s="46">
        <f t="shared" si="326"/>
        <v>979616</v>
      </c>
      <c r="AT289" s="46">
        <f t="shared" si="327"/>
        <v>95103</v>
      </c>
      <c r="AU289" s="46">
        <f t="shared" si="404"/>
        <v>-79195</v>
      </c>
      <c r="AV289" s="46">
        <v>0</v>
      </c>
      <c r="AW289" s="46">
        <f t="shared" si="328"/>
        <v>995524</v>
      </c>
      <c r="AX289" s="46">
        <f t="shared" si="405"/>
        <v>20773</v>
      </c>
      <c r="AY289" s="46">
        <f t="shared" si="329"/>
        <v>323582</v>
      </c>
      <c r="AZ289" s="46">
        <f t="shared" si="330"/>
        <v>0</v>
      </c>
      <c r="BA289" s="46">
        <f t="shared" si="331"/>
        <v>269195</v>
      </c>
      <c r="BB289" s="46"/>
      <c r="BC289" s="46">
        <f t="shared" si="332"/>
        <v>592777</v>
      </c>
      <c r="BD289" s="46">
        <f t="shared" si="406"/>
        <v>289968</v>
      </c>
      <c r="BE289" s="46">
        <f t="shared" si="333"/>
        <v>626412</v>
      </c>
      <c r="BF289" s="46">
        <f t="shared" si="334"/>
        <v>23314</v>
      </c>
      <c r="BG289" s="46">
        <f t="shared" si="407"/>
        <v>0</v>
      </c>
      <c r="BH289" s="46">
        <v>0</v>
      </c>
      <c r="BI289" s="46">
        <f t="shared" si="335"/>
        <v>649726</v>
      </c>
      <c r="BJ289" s="46">
        <f t="shared" si="408"/>
        <v>289968</v>
      </c>
      <c r="BK289" s="46">
        <f t="shared" si="336"/>
        <v>1321702</v>
      </c>
      <c r="BL289" s="46">
        <f t="shared" si="337"/>
        <v>0</v>
      </c>
      <c r="BM289" s="46">
        <f t="shared" si="409"/>
        <v>-289968</v>
      </c>
      <c r="BN289" s="46">
        <v>0</v>
      </c>
      <c r="BO289" s="46">
        <f t="shared" si="338"/>
        <v>1031734</v>
      </c>
      <c r="BP289" s="46">
        <f t="shared" si="410"/>
        <v>0</v>
      </c>
      <c r="BQ289" s="46">
        <f t="shared" si="339"/>
        <v>490540</v>
      </c>
      <c r="BR289" s="46">
        <f t="shared" si="340"/>
        <v>0</v>
      </c>
      <c r="BS289" s="46">
        <f t="shared" si="341"/>
        <v>102237</v>
      </c>
      <c r="BT289" s="46">
        <v>0</v>
      </c>
      <c r="BU289" s="46">
        <f t="shared" si="342"/>
        <v>592777</v>
      </c>
      <c r="BV289" s="46">
        <f t="shared" si="411"/>
        <v>102237</v>
      </c>
      <c r="BW289" s="46">
        <f t="shared" si="343"/>
        <v>940011</v>
      </c>
      <c r="BX289" s="46">
        <f t="shared" si="344"/>
        <v>153231</v>
      </c>
      <c r="BY289" s="46">
        <f t="shared" si="345"/>
        <v>-102237</v>
      </c>
      <c r="BZ289" s="46">
        <v>0</v>
      </c>
      <c r="CA289" s="46">
        <f t="shared" si="346"/>
        <v>991005</v>
      </c>
      <c r="CB289" s="46">
        <f t="shared" si="412"/>
        <v>0</v>
      </c>
      <c r="CC289" s="155">
        <f t="shared" si="349"/>
        <v>0</v>
      </c>
      <c r="CD289" s="79" t="s">
        <v>538</v>
      </c>
      <c r="CE289" s="65">
        <f t="shared" si="350"/>
        <v>592777</v>
      </c>
      <c r="CF289" s="65">
        <f t="shared" si="351"/>
        <v>592777</v>
      </c>
      <c r="CG289" s="65">
        <f t="shared" si="352"/>
        <v>538462</v>
      </c>
      <c r="CH289" s="65">
        <f t="shared" si="353"/>
        <v>592777</v>
      </c>
      <c r="CI289" s="65">
        <f t="shared" si="354"/>
        <v>1562245</v>
      </c>
      <c r="CJ289" s="65">
        <f t="shared" si="355"/>
        <v>609051</v>
      </c>
      <c r="CK289" s="65">
        <f t="shared" si="356"/>
        <v>995524</v>
      </c>
      <c r="CL289" s="65">
        <f t="shared" si="357"/>
        <v>592777</v>
      </c>
      <c r="CM289" s="65">
        <f t="shared" si="358"/>
        <v>649726</v>
      </c>
      <c r="CN289" s="65">
        <f t="shared" si="359"/>
        <v>1031734</v>
      </c>
      <c r="CO289" s="65">
        <f t="shared" si="360"/>
        <v>592777</v>
      </c>
      <c r="CP289" s="65">
        <f t="shared" si="361"/>
        <v>991005</v>
      </c>
      <c r="CQ289" s="40" t="s">
        <v>538</v>
      </c>
    </row>
    <row r="290" spans="1:95" ht="3" customHeight="1" x14ac:dyDescent="0.25">
      <c r="A290" s="39">
        <v>1</v>
      </c>
      <c r="B290" s="28">
        <v>13127</v>
      </c>
      <c r="C290" s="28" t="s">
        <v>292</v>
      </c>
      <c r="D290" s="48">
        <f>+DATA!Q288</f>
        <v>6485313.6830000002</v>
      </c>
      <c r="E290" s="48">
        <f t="shared" si="347"/>
        <v>426950</v>
      </c>
      <c r="F290" s="48">
        <f t="shared" si="348"/>
        <v>648531</v>
      </c>
      <c r="G290" s="49">
        <f>VLOOKUP(B290,'CALC MEC ESTAB Y ESTIM M FINAL'!$B$7:$F$352,5,0)</f>
        <v>3.0714296154999996E-3</v>
      </c>
      <c r="H290" s="49">
        <f>VLOOKUP(B290,'CALC MEC ESTAB Y ESTIM M FINAL'!$B$7:$R$352,17,0)</f>
        <v>2.2506296699999999E-5</v>
      </c>
      <c r="I290" s="46">
        <f t="shared" si="304"/>
        <v>255102</v>
      </c>
      <c r="J290" s="46">
        <f t="shared" si="305"/>
        <v>0</v>
      </c>
      <c r="K290" s="46">
        <f t="shared" si="306"/>
        <v>171848</v>
      </c>
      <c r="L290" s="46">
        <v>0</v>
      </c>
      <c r="M290" s="46">
        <f t="shared" si="307"/>
        <v>426950</v>
      </c>
      <c r="N290" s="46">
        <f t="shared" si="396"/>
        <v>171848</v>
      </c>
      <c r="O290" s="46">
        <f t="shared" si="308"/>
        <v>135654</v>
      </c>
      <c r="P290" s="46">
        <f t="shared" si="309"/>
        <v>0</v>
      </c>
      <c r="Q290" s="46">
        <f t="shared" si="310"/>
        <v>291296</v>
      </c>
      <c r="R290" s="46">
        <v>0</v>
      </c>
      <c r="S290" s="46">
        <f t="shared" si="311"/>
        <v>426950</v>
      </c>
      <c r="T290" s="46">
        <f t="shared" si="397"/>
        <v>463144</v>
      </c>
      <c r="U290" s="46">
        <f t="shared" si="312"/>
        <v>386992</v>
      </c>
      <c r="V290" s="46">
        <f t="shared" si="313"/>
        <v>0</v>
      </c>
      <c r="W290" s="46">
        <f t="shared" si="398"/>
        <v>0</v>
      </c>
      <c r="X290" s="46">
        <v>0</v>
      </c>
      <c r="Y290" s="46">
        <f t="shared" si="314"/>
        <v>386992</v>
      </c>
      <c r="Z290" s="46">
        <f t="shared" si="399"/>
        <v>463144</v>
      </c>
      <c r="AA290" s="46">
        <f t="shared" si="315"/>
        <v>205487</v>
      </c>
      <c r="AB290" s="46">
        <f t="shared" si="316"/>
        <v>0</v>
      </c>
      <c r="AC290" s="46">
        <f t="shared" si="317"/>
        <v>221463</v>
      </c>
      <c r="AD290" s="46">
        <v>0</v>
      </c>
      <c r="AE290" s="46">
        <f t="shared" si="318"/>
        <v>426950</v>
      </c>
      <c r="AF290" s="46">
        <f t="shared" si="400"/>
        <v>684607</v>
      </c>
      <c r="AG290" s="46">
        <f t="shared" si="319"/>
        <v>1788117</v>
      </c>
      <c r="AH290" s="46">
        <f t="shared" si="320"/>
        <v>16504</v>
      </c>
      <c r="AI290" s="46">
        <f t="shared" si="401"/>
        <v>-684607</v>
      </c>
      <c r="AJ290" s="46">
        <v>0</v>
      </c>
      <c r="AK290" s="46">
        <f t="shared" si="321"/>
        <v>1120014</v>
      </c>
      <c r="AL290" s="46">
        <f t="shared" si="402"/>
        <v>0</v>
      </c>
      <c r="AM290" s="46">
        <f t="shared" si="322"/>
        <v>354180</v>
      </c>
      <c r="AN290" s="46">
        <f t="shared" si="323"/>
        <v>11696</v>
      </c>
      <c r="AO290" s="46">
        <f t="shared" si="324"/>
        <v>72770</v>
      </c>
      <c r="AP290" s="46">
        <v>0</v>
      </c>
      <c r="AQ290" s="46">
        <f t="shared" si="325"/>
        <v>438646</v>
      </c>
      <c r="AR290" s="46">
        <f t="shared" si="403"/>
        <v>72770</v>
      </c>
      <c r="AS290" s="46">
        <f t="shared" si="326"/>
        <v>704048</v>
      </c>
      <c r="AT290" s="46">
        <f t="shared" si="327"/>
        <v>68350</v>
      </c>
      <c r="AU290" s="46">
        <f t="shared" si="404"/>
        <v>-55517</v>
      </c>
      <c r="AV290" s="46">
        <v>0</v>
      </c>
      <c r="AW290" s="46">
        <f t="shared" si="328"/>
        <v>716881</v>
      </c>
      <c r="AX290" s="46">
        <f t="shared" si="405"/>
        <v>17253</v>
      </c>
      <c r="AY290" s="46">
        <f t="shared" si="329"/>
        <v>232558</v>
      </c>
      <c r="AZ290" s="46">
        <f t="shared" si="330"/>
        <v>0</v>
      </c>
      <c r="BA290" s="46">
        <f t="shared" si="331"/>
        <v>194392</v>
      </c>
      <c r="BB290" s="46"/>
      <c r="BC290" s="46">
        <f t="shared" si="332"/>
        <v>426950</v>
      </c>
      <c r="BD290" s="46">
        <f t="shared" si="406"/>
        <v>211645</v>
      </c>
      <c r="BE290" s="46">
        <f t="shared" si="333"/>
        <v>450201</v>
      </c>
      <c r="BF290" s="46">
        <f t="shared" si="334"/>
        <v>16756</v>
      </c>
      <c r="BG290" s="46">
        <f t="shared" si="407"/>
        <v>0</v>
      </c>
      <c r="BH290" s="46">
        <v>0</v>
      </c>
      <c r="BI290" s="46">
        <f t="shared" si="335"/>
        <v>466957</v>
      </c>
      <c r="BJ290" s="46">
        <f t="shared" si="408"/>
        <v>211645</v>
      </c>
      <c r="BK290" s="46">
        <f t="shared" si="336"/>
        <v>949904</v>
      </c>
      <c r="BL290" s="46">
        <f t="shared" si="337"/>
        <v>0</v>
      </c>
      <c r="BM290" s="46">
        <f t="shared" si="409"/>
        <v>-211645</v>
      </c>
      <c r="BN290" s="46">
        <v>0</v>
      </c>
      <c r="BO290" s="46">
        <f t="shared" si="338"/>
        <v>738259</v>
      </c>
      <c r="BP290" s="46">
        <f t="shared" si="410"/>
        <v>0</v>
      </c>
      <c r="BQ290" s="46">
        <f t="shared" si="339"/>
        <v>352550</v>
      </c>
      <c r="BR290" s="46">
        <f t="shared" si="340"/>
        <v>0</v>
      </c>
      <c r="BS290" s="46">
        <f t="shared" si="341"/>
        <v>74400</v>
      </c>
      <c r="BT290" s="46">
        <v>0</v>
      </c>
      <c r="BU290" s="46">
        <f t="shared" si="342"/>
        <v>426950</v>
      </c>
      <c r="BV290" s="46">
        <f t="shared" si="411"/>
        <v>74400</v>
      </c>
      <c r="BW290" s="46">
        <f t="shared" si="343"/>
        <v>675583</v>
      </c>
      <c r="BX290" s="46">
        <f t="shared" si="344"/>
        <v>110127</v>
      </c>
      <c r="BY290" s="46">
        <f t="shared" si="345"/>
        <v>-74400</v>
      </c>
      <c r="BZ290" s="46">
        <v>0</v>
      </c>
      <c r="CA290" s="46">
        <f t="shared" si="346"/>
        <v>711310</v>
      </c>
      <c r="CB290" s="46">
        <f t="shared" si="412"/>
        <v>0</v>
      </c>
      <c r="CC290" s="155">
        <f t="shared" si="349"/>
        <v>0</v>
      </c>
      <c r="CD290" s="79" t="s">
        <v>538</v>
      </c>
      <c r="CE290" s="65">
        <f t="shared" si="350"/>
        <v>426950</v>
      </c>
      <c r="CF290" s="65">
        <f t="shared" si="351"/>
        <v>426950</v>
      </c>
      <c r="CG290" s="65">
        <f t="shared" si="352"/>
        <v>386992</v>
      </c>
      <c r="CH290" s="65">
        <f t="shared" si="353"/>
        <v>426950</v>
      </c>
      <c r="CI290" s="65">
        <f t="shared" si="354"/>
        <v>1120014</v>
      </c>
      <c r="CJ290" s="65">
        <f t="shared" si="355"/>
        <v>438646</v>
      </c>
      <c r="CK290" s="65">
        <f t="shared" si="356"/>
        <v>716881</v>
      </c>
      <c r="CL290" s="65">
        <f t="shared" si="357"/>
        <v>426950</v>
      </c>
      <c r="CM290" s="65">
        <f t="shared" si="358"/>
        <v>466957</v>
      </c>
      <c r="CN290" s="65">
        <f t="shared" si="359"/>
        <v>738259</v>
      </c>
      <c r="CO290" s="65">
        <f t="shared" si="360"/>
        <v>426950</v>
      </c>
      <c r="CP290" s="65">
        <f t="shared" si="361"/>
        <v>711310</v>
      </c>
      <c r="CQ290" s="40" t="s">
        <v>538</v>
      </c>
    </row>
    <row r="291" spans="1:95" ht="3" customHeight="1" x14ac:dyDescent="0.25">
      <c r="A291" s="39">
        <v>1</v>
      </c>
      <c r="B291" s="28">
        <v>13128</v>
      </c>
      <c r="C291" s="28" t="s">
        <v>282</v>
      </c>
      <c r="D291" s="48">
        <f>+DATA!Q289</f>
        <v>8271025.6339999996</v>
      </c>
      <c r="E291" s="48">
        <f t="shared" si="347"/>
        <v>544509</v>
      </c>
      <c r="F291" s="48">
        <f t="shared" si="348"/>
        <v>827103</v>
      </c>
      <c r="G291" s="49">
        <f>VLOOKUP(B291,'CALC MEC ESTAB Y ESTIM M FINAL'!$B$7:$F$352,5,0)</f>
        <v>4.2843710514999999E-3</v>
      </c>
      <c r="H291" s="49">
        <f>VLOOKUP(B291,'CALC MEC ESTAB Y ESTIM M FINAL'!$B$7:$R$352,17,0)</f>
        <v>-1.815512394E-4</v>
      </c>
      <c r="I291" s="46">
        <f t="shared" si="304"/>
        <v>338286</v>
      </c>
      <c r="J291" s="46">
        <f t="shared" si="305"/>
        <v>0</v>
      </c>
      <c r="K291" s="46">
        <f t="shared" si="306"/>
        <v>206223</v>
      </c>
      <c r="L291" s="46">
        <v>0</v>
      </c>
      <c r="M291" s="46">
        <f t="shared" si="307"/>
        <v>544509</v>
      </c>
      <c r="N291" s="46">
        <f t="shared" si="396"/>
        <v>206223</v>
      </c>
      <c r="O291" s="46">
        <f t="shared" si="308"/>
        <v>179889</v>
      </c>
      <c r="P291" s="46">
        <f t="shared" si="309"/>
        <v>0</v>
      </c>
      <c r="Q291" s="46">
        <f t="shared" si="310"/>
        <v>364620</v>
      </c>
      <c r="R291" s="46">
        <v>0</v>
      </c>
      <c r="S291" s="46">
        <f t="shared" si="311"/>
        <v>544509</v>
      </c>
      <c r="T291" s="46">
        <f t="shared" si="397"/>
        <v>570843</v>
      </c>
      <c r="U291" s="46">
        <f t="shared" si="312"/>
        <v>513184</v>
      </c>
      <c r="V291" s="46">
        <f t="shared" si="313"/>
        <v>0</v>
      </c>
      <c r="W291" s="46">
        <f t="shared" si="398"/>
        <v>0</v>
      </c>
      <c r="X291" s="46">
        <v>0</v>
      </c>
      <c r="Y291" s="46">
        <f t="shared" si="314"/>
        <v>513184</v>
      </c>
      <c r="Z291" s="46">
        <f t="shared" si="399"/>
        <v>570843</v>
      </c>
      <c r="AA291" s="46">
        <f t="shared" si="315"/>
        <v>272492</v>
      </c>
      <c r="AB291" s="46">
        <f t="shared" si="316"/>
        <v>0</v>
      </c>
      <c r="AC291" s="46">
        <f t="shared" si="317"/>
        <v>272017</v>
      </c>
      <c r="AD291" s="46">
        <v>0</v>
      </c>
      <c r="AE291" s="46">
        <f t="shared" si="318"/>
        <v>544509</v>
      </c>
      <c r="AF291" s="46">
        <f t="shared" si="400"/>
        <v>842860</v>
      </c>
      <c r="AG291" s="46">
        <f t="shared" si="319"/>
        <v>2371194</v>
      </c>
      <c r="AH291" s="46">
        <f t="shared" si="320"/>
        <v>21886</v>
      </c>
      <c r="AI291" s="46">
        <f t="shared" si="401"/>
        <v>-842860</v>
      </c>
      <c r="AJ291" s="46">
        <v>0</v>
      </c>
      <c r="AK291" s="46">
        <f t="shared" si="321"/>
        <v>1550220</v>
      </c>
      <c r="AL291" s="46">
        <f t="shared" si="402"/>
        <v>0</v>
      </c>
      <c r="AM291" s="46">
        <f t="shared" si="322"/>
        <v>469673</v>
      </c>
      <c r="AN291" s="46">
        <f t="shared" si="323"/>
        <v>15510</v>
      </c>
      <c r="AO291" s="46">
        <f t="shared" si="324"/>
        <v>74836</v>
      </c>
      <c r="AP291" s="46">
        <v>0</v>
      </c>
      <c r="AQ291" s="46">
        <f t="shared" si="325"/>
        <v>560019</v>
      </c>
      <c r="AR291" s="46">
        <f t="shared" si="403"/>
        <v>74836</v>
      </c>
      <c r="AS291" s="46">
        <f t="shared" si="326"/>
        <v>933626</v>
      </c>
      <c r="AT291" s="46">
        <f t="shared" si="327"/>
        <v>90638</v>
      </c>
      <c r="AU291" s="46">
        <f t="shared" si="404"/>
        <v>-74836</v>
      </c>
      <c r="AV291" s="46">
        <v>0</v>
      </c>
      <c r="AW291" s="46">
        <f t="shared" si="328"/>
        <v>949428</v>
      </c>
      <c r="AX291" s="46">
        <f t="shared" si="405"/>
        <v>0</v>
      </c>
      <c r="AY291" s="46">
        <f t="shared" si="329"/>
        <v>308391</v>
      </c>
      <c r="AZ291" s="46">
        <f t="shared" si="330"/>
        <v>0</v>
      </c>
      <c r="BA291" s="46">
        <f t="shared" si="331"/>
        <v>236118</v>
      </c>
      <c r="BB291" s="46"/>
      <c r="BC291" s="46">
        <f t="shared" si="332"/>
        <v>544509</v>
      </c>
      <c r="BD291" s="46">
        <f t="shared" si="406"/>
        <v>236118</v>
      </c>
      <c r="BE291" s="46">
        <f t="shared" si="333"/>
        <v>597004</v>
      </c>
      <c r="BF291" s="46">
        <f t="shared" si="334"/>
        <v>22220</v>
      </c>
      <c r="BG291" s="46">
        <f t="shared" si="407"/>
        <v>0</v>
      </c>
      <c r="BH291" s="46">
        <v>0</v>
      </c>
      <c r="BI291" s="46">
        <f t="shared" si="335"/>
        <v>619224</v>
      </c>
      <c r="BJ291" s="46">
        <f t="shared" si="408"/>
        <v>236118</v>
      </c>
      <c r="BK291" s="46">
        <f t="shared" si="336"/>
        <v>1259653</v>
      </c>
      <c r="BL291" s="46">
        <f t="shared" si="337"/>
        <v>0</v>
      </c>
      <c r="BM291" s="46">
        <f t="shared" si="409"/>
        <v>-236118</v>
      </c>
      <c r="BN291" s="46">
        <v>0</v>
      </c>
      <c r="BO291" s="46">
        <f t="shared" si="338"/>
        <v>1023535</v>
      </c>
      <c r="BP291" s="46">
        <f t="shared" si="410"/>
        <v>0</v>
      </c>
      <c r="BQ291" s="46">
        <f t="shared" si="339"/>
        <v>467511</v>
      </c>
      <c r="BR291" s="46">
        <f t="shared" si="340"/>
        <v>0</v>
      </c>
      <c r="BS291" s="46">
        <f t="shared" si="341"/>
        <v>76998</v>
      </c>
      <c r="BT291" s="46">
        <v>0</v>
      </c>
      <c r="BU291" s="46">
        <f t="shared" si="342"/>
        <v>544509</v>
      </c>
      <c r="BV291" s="46">
        <f t="shared" si="411"/>
        <v>76998</v>
      </c>
      <c r="BW291" s="46">
        <f t="shared" si="343"/>
        <v>895881</v>
      </c>
      <c r="BX291" s="46">
        <f t="shared" si="344"/>
        <v>146038</v>
      </c>
      <c r="BY291" s="46">
        <f t="shared" si="345"/>
        <v>-76998</v>
      </c>
      <c r="BZ291" s="46">
        <v>0</v>
      </c>
      <c r="CA291" s="46">
        <f t="shared" si="346"/>
        <v>964921</v>
      </c>
      <c r="CB291" s="46">
        <f t="shared" si="412"/>
        <v>0</v>
      </c>
      <c r="CC291" s="155">
        <f t="shared" si="349"/>
        <v>0</v>
      </c>
      <c r="CD291" s="79" t="s">
        <v>538</v>
      </c>
      <c r="CE291" s="65">
        <f t="shared" si="350"/>
        <v>544509</v>
      </c>
      <c r="CF291" s="65">
        <f t="shared" si="351"/>
        <v>544509</v>
      </c>
      <c r="CG291" s="65">
        <f t="shared" si="352"/>
        <v>513184</v>
      </c>
      <c r="CH291" s="65">
        <f t="shared" si="353"/>
        <v>544509</v>
      </c>
      <c r="CI291" s="65">
        <f t="shared" si="354"/>
        <v>1550220</v>
      </c>
      <c r="CJ291" s="65">
        <f t="shared" si="355"/>
        <v>560019</v>
      </c>
      <c r="CK291" s="65">
        <f t="shared" si="356"/>
        <v>949428</v>
      </c>
      <c r="CL291" s="65">
        <f t="shared" si="357"/>
        <v>544509</v>
      </c>
      <c r="CM291" s="65">
        <f t="shared" si="358"/>
        <v>619224</v>
      </c>
      <c r="CN291" s="65">
        <f t="shared" si="359"/>
        <v>1023535</v>
      </c>
      <c r="CO291" s="65">
        <f t="shared" si="360"/>
        <v>544509</v>
      </c>
      <c r="CP291" s="65">
        <f t="shared" si="361"/>
        <v>964921</v>
      </c>
      <c r="CQ291" s="40" t="s">
        <v>538</v>
      </c>
    </row>
    <row r="292" spans="1:95" ht="3" customHeight="1" x14ac:dyDescent="0.25">
      <c r="A292" s="39">
        <v>1</v>
      </c>
      <c r="B292" s="28">
        <v>13129</v>
      </c>
      <c r="C292" s="28" t="s">
        <v>429</v>
      </c>
      <c r="D292" s="48">
        <f>+DATA!Q290</f>
        <v>4797315.2120000003</v>
      </c>
      <c r="E292" s="48">
        <f t="shared" si="347"/>
        <v>315823</v>
      </c>
      <c r="F292" s="48">
        <f t="shared" si="348"/>
        <v>479732</v>
      </c>
      <c r="G292" s="49">
        <f>VLOOKUP(B292,'CALC MEC ESTAB Y ESTIM M FINAL'!$B$7:$F$352,5,0)</f>
        <v>2.4094108474999997E-3</v>
      </c>
      <c r="H292" s="49">
        <f>VLOOKUP(B292,'CALC MEC ESTAB Y ESTIM M FINAL'!$B$7:$R$352,17,0)</f>
        <v>-6.5574458099999997E-5</v>
      </c>
      <c r="I292" s="46">
        <f t="shared" si="304"/>
        <v>193254</v>
      </c>
      <c r="J292" s="46">
        <f t="shared" si="305"/>
        <v>0</v>
      </c>
      <c r="K292" s="46">
        <f t="shared" si="306"/>
        <v>122569</v>
      </c>
      <c r="L292" s="46">
        <v>0</v>
      </c>
      <c r="M292" s="46">
        <f t="shared" si="307"/>
        <v>315823</v>
      </c>
      <c r="N292" s="46">
        <f t="shared" si="396"/>
        <v>122569</v>
      </c>
      <c r="O292" s="46">
        <f t="shared" si="308"/>
        <v>102766</v>
      </c>
      <c r="P292" s="46">
        <f t="shared" si="309"/>
        <v>0</v>
      </c>
      <c r="Q292" s="46">
        <f t="shared" si="310"/>
        <v>213057</v>
      </c>
      <c r="R292" s="46">
        <v>0</v>
      </c>
      <c r="S292" s="46">
        <f t="shared" si="311"/>
        <v>315823</v>
      </c>
      <c r="T292" s="46">
        <f t="shared" si="397"/>
        <v>335626</v>
      </c>
      <c r="U292" s="46">
        <f t="shared" si="312"/>
        <v>293169</v>
      </c>
      <c r="V292" s="46">
        <f t="shared" si="313"/>
        <v>0</v>
      </c>
      <c r="W292" s="46">
        <f t="shared" si="398"/>
        <v>0</v>
      </c>
      <c r="X292" s="46">
        <v>0</v>
      </c>
      <c r="Y292" s="46">
        <f t="shared" si="314"/>
        <v>293169</v>
      </c>
      <c r="Z292" s="46">
        <f t="shared" si="399"/>
        <v>335626</v>
      </c>
      <c r="AA292" s="46">
        <f t="shared" si="315"/>
        <v>155668</v>
      </c>
      <c r="AB292" s="46">
        <f t="shared" si="316"/>
        <v>0</v>
      </c>
      <c r="AC292" s="46">
        <f t="shared" si="317"/>
        <v>160155</v>
      </c>
      <c r="AD292" s="46">
        <v>0</v>
      </c>
      <c r="AE292" s="46">
        <f t="shared" si="318"/>
        <v>315823</v>
      </c>
      <c r="AF292" s="46">
        <f t="shared" si="400"/>
        <v>495781</v>
      </c>
      <c r="AG292" s="46">
        <f t="shared" si="319"/>
        <v>1354603</v>
      </c>
      <c r="AH292" s="46">
        <f t="shared" si="320"/>
        <v>12503</v>
      </c>
      <c r="AI292" s="46">
        <f t="shared" si="401"/>
        <v>-495781</v>
      </c>
      <c r="AJ292" s="46">
        <v>0</v>
      </c>
      <c r="AK292" s="46">
        <f t="shared" si="321"/>
        <v>871325</v>
      </c>
      <c r="AL292" s="46">
        <f t="shared" si="402"/>
        <v>0</v>
      </c>
      <c r="AM292" s="46">
        <f t="shared" si="322"/>
        <v>268312</v>
      </c>
      <c r="AN292" s="46">
        <f t="shared" si="323"/>
        <v>8861</v>
      </c>
      <c r="AO292" s="46">
        <f t="shared" si="324"/>
        <v>47511</v>
      </c>
      <c r="AP292" s="46">
        <v>0</v>
      </c>
      <c r="AQ292" s="46">
        <f t="shared" si="325"/>
        <v>324684</v>
      </c>
      <c r="AR292" s="46">
        <f t="shared" si="403"/>
        <v>47511</v>
      </c>
      <c r="AS292" s="46">
        <f t="shared" si="326"/>
        <v>533357</v>
      </c>
      <c r="AT292" s="46">
        <f t="shared" si="327"/>
        <v>51779</v>
      </c>
      <c r="AU292" s="46">
        <f t="shared" si="404"/>
        <v>-47511</v>
      </c>
      <c r="AV292" s="46">
        <v>0</v>
      </c>
      <c r="AW292" s="46">
        <f t="shared" si="328"/>
        <v>537625</v>
      </c>
      <c r="AX292" s="46">
        <f t="shared" si="405"/>
        <v>0</v>
      </c>
      <c r="AY292" s="46">
        <f t="shared" si="329"/>
        <v>176176</v>
      </c>
      <c r="AZ292" s="46">
        <f t="shared" si="330"/>
        <v>0</v>
      </c>
      <c r="BA292" s="46">
        <f t="shared" si="331"/>
        <v>139647</v>
      </c>
      <c r="BB292" s="46"/>
      <c r="BC292" s="46">
        <f t="shared" si="332"/>
        <v>315823</v>
      </c>
      <c r="BD292" s="46">
        <f t="shared" si="406"/>
        <v>139647</v>
      </c>
      <c r="BE292" s="46">
        <f t="shared" si="333"/>
        <v>341053</v>
      </c>
      <c r="BF292" s="46">
        <f t="shared" si="334"/>
        <v>12694</v>
      </c>
      <c r="BG292" s="46">
        <f t="shared" si="407"/>
        <v>0</v>
      </c>
      <c r="BH292" s="46">
        <v>0</v>
      </c>
      <c r="BI292" s="46">
        <f t="shared" si="335"/>
        <v>353747</v>
      </c>
      <c r="BJ292" s="46">
        <f t="shared" si="408"/>
        <v>139647</v>
      </c>
      <c r="BK292" s="46">
        <f t="shared" si="336"/>
        <v>719608</v>
      </c>
      <c r="BL292" s="46">
        <f t="shared" si="337"/>
        <v>0</v>
      </c>
      <c r="BM292" s="46">
        <f t="shared" si="409"/>
        <v>-139647</v>
      </c>
      <c r="BN292" s="46">
        <v>0</v>
      </c>
      <c r="BO292" s="46">
        <f t="shared" si="338"/>
        <v>579961</v>
      </c>
      <c r="BP292" s="46">
        <f t="shared" si="410"/>
        <v>0</v>
      </c>
      <c r="BQ292" s="46">
        <f t="shared" si="339"/>
        <v>267077</v>
      </c>
      <c r="BR292" s="46">
        <f t="shared" si="340"/>
        <v>0</v>
      </c>
      <c r="BS292" s="46">
        <f t="shared" si="341"/>
        <v>48746</v>
      </c>
      <c r="BT292" s="46">
        <v>0</v>
      </c>
      <c r="BU292" s="46">
        <f t="shared" si="342"/>
        <v>315823</v>
      </c>
      <c r="BV292" s="46">
        <f t="shared" si="411"/>
        <v>48746</v>
      </c>
      <c r="BW292" s="46">
        <f t="shared" si="343"/>
        <v>511794</v>
      </c>
      <c r="BX292" s="46">
        <f t="shared" si="344"/>
        <v>83428</v>
      </c>
      <c r="BY292" s="46">
        <f t="shared" si="345"/>
        <v>-48746</v>
      </c>
      <c r="BZ292" s="46">
        <v>0</v>
      </c>
      <c r="CA292" s="46">
        <f t="shared" si="346"/>
        <v>546476</v>
      </c>
      <c r="CB292" s="46">
        <f t="shared" si="412"/>
        <v>0</v>
      </c>
      <c r="CC292" s="155">
        <f t="shared" si="349"/>
        <v>0</v>
      </c>
      <c r="CD292" s="79" t="s">
        <v>538</v>
      </c>
      <c r="CE292" s="65">
        <f t="shared" si="350"/>
        <v>315823</v>
      </c>
      <c r="CF292" s="65">
        <f t="shared" si="351"/>
        <v>315823</v>
      </c>
      <c r="CG292" s="65">
        <f t="shared" si="352"/>
        <v>293169</v>
      </c>
      <c r="CH292" s="65">
        <f t="shared" si="353"/>
        <v>315823</v>
      </c>
      <c r="CI292" s="65">
        <f t="shared" si="354"/>
        <v>871325</v>
      </c>
      <c r="CJ292" s="65">
        <f t="shared" si="355"/>
        <v>324684</v>
      </c>
      <c r="CK292" s="65">
        <f t="shared" si="356"/>
        <v>537625</v>
      </c>
      <c r="CL292" s="65">
        <f t="shared" si="357"/>
        <v>315823</v>
      </c>
      <c r="CM292" s="65">
        <f t="shared" si="358"/>
        <v>353747</v>
      </c>
      <c r="CN292" s="65">
        <f t="shared" si="359"/>
        <v>579961</v>
      </c>
      <c r="CO292" s="65">
        <f t="shared" si="360"/>
        <v>315823</v>
      </c>
      <c r="CP292" s="65">
        <f t="shared" si="361"/>
        <v>546476</v>
      </c>
      <c r="CQ292" s="40" t="s">
        <v>538</v>
      </c>
    </row>
    <row r="293" spans="1:95" ht="3" customHeight="1" x14ac:dyDescent="0.25">
      <c r="A293" s="39">
        <v>1</v>
      </c>
      <c r="B293" s="28">
        <v>13130</v>
      </c>
      <c r="C293" s="28" t="s">
        <v>277</v>
      </c>
      <c r="D293" s="48">
        <f>+DATA!Q291</f>
        <v>3144076.9509999999</v>
      </c>
      <c r="E293" s="48">
        <f t="shared" si="347"/>
        <v>206985</v>
      </c>
      <c r="F293" s="48">
        <f t="shared" si="348"/>
        <v>314408</v>
      </c>
      <c r="G293" s="49">
        <f>VLOOKUP(B293,'CALC MEC ESTAB Y ESTIM M FINAL'!$B$7:$F$352,5,0)</f>
        <v>1.6700364763000001E-3</v>
      </c>
      <c r="H293" s="49">
        <f>VLOOKUP(B293,'CALC MEC ESTAB Y ESTIM M FINAL'!$B$7:$R$352,17,0)</f>
        <v>-9.2564327900000002E-5</v>
      </c>
      <c r="I293" s="46">
        <f t="shared" si="304"/>
        <v>130066</v>
      </c>
      <c r="J293" s="46">
        <f t="shared" si="305"/>
        <v>0</v>
      </c>
      <c r="K293" s="46">
        <f t="shared" si="306"/>
        <v>76919</v>
      </c>
      <c r="L293" s="46">
        <v>0</v>
      </c>
      <c r="M293" s="46">
        <f t="shared" si="307"/>
        <v>206985</v>
      </c>
      <c r="N293" s="46">
        <f t="shared" si="396"/>
        <v>76919</v>
      </c>
      <c r="O293" s="46">
        <f t="shared" si="308"/>
        <v>69165</v>
      </c>
      <c r="P293" s="46">
        <f t="shared" si="309"/>
        <v>0</v>
      </c>
      <c r="Q293" s="46">
        <f t="shared" si="310"/>
        <v>137820</v>
      </c>
      <c r="R293" s="46">
        <v>0</v>
      </c>
      <c r="S293" s="46">
        <f t="shared" si="311"/>
        <v>206985</v>
      </c>
      <c r="T293" s="46">
        <f t="shared" si="397"/>
        <v>214739</v>
      </c>
      <c r="U293" s="46">
        <f t="shared" si="312"/>
        <v>197311</v>
      </c>
      <c r="V293" s="46">
        <f t="shared" si="313"/>
        <v>0</v>
      </c>
      <c r="W293" s="46">
        <f t="shared" si="398"/>
        <v>0</v>
      </c>
      <c r="X293" s="46">
        <v>0</v>
      </c>
      <c r="Y293" s="46">
        <f t="shared" si="314"/>
        <v>197311</v>
      </c>
      <c r="Z293" s="46">
        <f t="shared" si="399"/>
        <v>214739</v>
      </c>
      <c r="AA293" s="46">
        <f t="shared" si="315"/>
        <v>104769</v>
      </c>
      <c r="AB293" s="46">
        <f t="shared" si="316"/>
        <v>0</v>
      </c>
      <c r="AC293" s="46">
        <f t="shared" si="317"/>
        <v>102216</v>
      </c>
      <c r="AD293" s="46">
        <v>0</v>
      </c>
      <c r="AE293" s="46">
        <f t="shared" si="318"/>
        <v>206985</v>
      </c>
      <c r="AF293" s="46">
        <f t="shared" si="400"/>
        <v>316955</v>
      </c>
      <c r="AG293" s="46">
        <f t="shared" si="319"/>
        <v>911688</v>
      </c>
      <c r="AH293" s="46">
        <f t="shared" si="320"/>
        <v>8415</v>
      </c>
      <c r="AI293" s="46">
        <f t="shared" si="401"/>
        <v>-316955</v>
      </c>
      <c r="AJ293" s="46">
        <v>0</v>
      </c>
      <c r="AK293" s="46">
        <f t="shared" si="321"/>
        <v>603148</v>
      </c>
      <c r="AL293" s="46">
        <f t="shared" si="402"/>
        <v>0</v>
      </c>
      <c r="AM293" s="46">
        <f t="shared" si="322"/>
        <v>180582</v>
      </c>
      <c r="AN293" s="46">
        <f t="shared" si="323"/>
        <v>5964</v>
      </c>
      <c r="AO293" s="46">
        <f t="shared" si="324"/>
        <v>26403</v>
      </c>
      <c r="AP293" s="46">
        <v>0</v>
      </c>
      <c r="AQ293" s="46">
        <f t="shared" si="325"/>
        <v>212949</v>
      </c>
      <c r="AR293" s="46">
        <f t="shared" si="403"/>
        <v>26403</v>
      </c>
      <c r="AS293" s="46">
        <f t="shared" si="326"/>
        <v>358965</v>
      </c>
      <c r="AT293" s="46">
        <f t="shared" si="327"/>
        <v>34849</v>
      </c>
      <c r="AU293" s="46">
        <f t="shared" si="404"/>
        <v>-26403</v>
      </c>
      <c r="AV293" s="46">
        <v>0</v>
      </c>
      <c r="AW293" s="46">
        <f t="shared" si="328"/>
        <v>367411</v>
      </c>
      <c r="AX293" s="46">
        <f t="shared" si="405"/>
        <v>0</v>
      </c>
      <c r="AY293" s="46">
        <f t="shared" si="329"/>
        <v>118572</v>
      </c>
      <c r="AZ293" s="46">
        <f t="shared" si="330"/>
        <v>0</v>
      </c>
      <c r="BA293" s="46">
        <f t="shared" si="331"/>
        <v>88413</v>
      </c>
      <c r="BB293" s="46"/>
      <c r="BC293" s="46">
        <f t="shared" si="332"/>
        <v>206985</v>
      </c>
      <c r="BD293" s="46">
        <f t="shared" si="406"/>
        <v>88413</v>
      </c>
      <c r="BE293" s="46">
        <f t="shared" si="333"/>
        <v>229539</v>
      </c>
      <c r="BF293" s="46">
        <f t="shared" si="334"/>
        <v>8543</v>
      </c>
      <c r="BG293" s="46">
        <f t="shared" si="407"/>
        <v>0</v>
      </c>
      <c r="BH293" s="46">
        <v>0</v>
      </c>
      <c r="BI293" s="46">
        <f t="shared" si="335"/>
        <v>238082</v>
      </c>
      <c r="BJ293" s="46">
        <f t="shared" si="408"/>
        <v>88413</v>
      </c>
      <c r="BK293" s="46">
        <f t="shared" si="336"/>
        <v>484318</v>
      </c>
      <c r="BL293" s="46">
        <f t="shared" si="337"/>
        <v>0</v>
      </c>
      <c r="BM293" s="46">
        <f t="shared" si="409"/>
        <v>-88413</v>
      </c>
      <c r="BN293" s="46">
        <v>0</v>
      </c>
      <c r="BO293" s="46">
        <f t="shared" si="338"/>
        <v>395905</v>
      </c>
      <c r="BP293" s="46">
        <f t="shared" si="410"/>
        <v>0</v>
      </c>
      <c r="BQ293" s="46">
        <f t="shared" si="339"/>
        <v>179751</v>
      </c>
      <c r="BR293" s="46">
        <f t="shared" si="340"/>
        <v>0</v>
      </c>
      <c r="BS293" s="46">
        <f t="shared" si="341"/>
        <v>27234</v>
      </c>
      <c r="BT293" s="46">
        <v>0</v>
      </c>
      <c r="BU293" s="46">
        <f t="shared" si="342"/>
        <v>206985</v>
      </c>
      <c r="BV293" s="46">
        <f t="shared" si="411"/>
        <v>27234</v>
      </c>
      <c r="BW293" s="46">
        <f t="shared" si="343"/>
        <v>344453</v>
      </c>
      <c r="BX293" s="46">
        <f t="shared" si="344"/>
        <v>56149</v>
      </c>
      <c r="BY293" s="46">
        <f t="shared" si="345"/>
        <v>-27234</v>
      </c>
      <c r="BZ293" s="46">
        <v>0</v>
      </c>
      <c r="CA293" s="46">
        <f t="shared" si="346"/>
        <v>373368</v>
      </c>
      <c r="CB293" s="46">
        <f t="shared" si="412"/>
        <v>0</v>
      </c>
      <c r="CC293" s="155">
        <f t="shared" si="349"/>
        <v>0</v>
      </c>
      <c r="CD293" s="79" t="s">
        <v>538</v>
      </c>
      <c r="CE293" s="65">
        <f t="shared" si="350"/>
        <v>206985</v>
      </c>
      <c r="CF293" s="65">
        <f t="shared" si="351"/>
        <v>206985</v>
      </c>
      <c r="CG293" s="65">
        <f t="shared" si="352"/>
        <v>197311</v>
      </c>
      <c r="CH293" s="65">
        <f t="shared" si="353"/>
        <v>206985</v>
      </c>
      <c r="CI293" s="65">
        <f t="shared" si="354"/>
        <v>603148</v>
      </c>
      <c r="CJ293" s="65">
        <f t="shared" si="355"/>
        <v>212949</v>
      </c>
      <c r="CK293" s="65">
        <f t="shared" si="356"/>
        <v>367411</v>
      </c>
      <c r="CL293" s="65">
        <f t="shared" si="357"/>
        <v>206985</v>
      </c>
      <c r="CM293" s="65">
        <f t="shared" si="358"/>
        <v>238082</v>
      </c>
      <c r="CN293" s="65">
        <f t="shared" si="359"/>
        <v>395905</v>
      </c>
      <c r="CO293" s="65">
        <f t="shared" si="360"/>
        <v>206985</v>
      </c>
      <c r="CP293" s="65">
        <f t="shared" si="361"/>
        <v>373368</v>
      </c>
      <c r="CQ293" s="40" t="s">
        <v>538</v>
      </c>
    </row>
    <row r="294" spans="1:95" ht="3" customHeight="1" x14ac:dyDescent="0.25">
      <c r="A294" s="39">
        <v>1</v>
      </c>
      <c r="B294" s="28">
        <v>13131</v>
      </c>
      <c r="C294" s="28" t="s">
        <v>430</v>
      </c>
      <c r="D294" s="48">
        <f>+DATA!Q292</f>
        <v>9947800.6359999999</v>
      </c>
      <c r="E294" s="48">
        <f t="shared" si="347"/>
        <v>654897</v>
      </c>
      <c r="F294" s="48">
        <f t="shared" si="348"/>
        <v>994780</v>
      </c>
      <c r="G294" s="49">
        <f>VLOOKUP(B294,'CALC MEC ESTAB Y ESTIM M FINAL'!$B$7:$F$352,5,0)</f>
        <v>4.5430761303E-3</v>
      </c>
      <c r="H294" s="49">
        <f>VLOOKUP(B294,'CALC MEC ESTAB Y ESTIM M FINAL'!$B$7:$R$352,17,0)</f>
        <v>2.129760626E-4</v>
      </c>
      <c r="I294" s="46">
        <f t="shared" si="304"/>
        <v>392147</v>
      </c>
      <c r="J294" s="46">
        <f t="shared" si="305"/>
        <v>0</v>
      </c>
      <c r="K294" s="46">
        <f t="shared" si="306"/>
        <v>262750</v>
      </c>
      <c r="L294" s="46">
        <v>0</v>
      </c>
      <c r="M294" s="46">
        <f t="shared" si="307"/>
        <v>654897</v>
      </c>
      <c r="N294" s="46">
        <f t="shared" si="396"/>
        <v>262750</v>
      </c>
      <c r="O294" s="46">
        <f t="shared" si="308"/>
        <v>208530</v>
      </c>
      <c r="P294" s="46">
        <f t="shared" si="309"/>
        <v>0</v>
      </c>
      <c r="Q294" s="46">
        <f t="shared" si="310"/>
        <v>446367</v>
      </c>
      <c r="R294" s="46">
        <v>0</v>
      </c>
      <c r="S294" s="46">
        <f t="shared" si="311"/>
        <v>654897</v>
      </c>
      <c r="T294" s="46">
        <f t="shared" si="397"/>
        <v>709117</v>
      </c>
      <c r="U294" s="46">
        <f t="shared" si="312"/>
        <v>594890</v>
      </c>
      <c r="V294" s="46">
        <f t="shared" si="313"/>
        <v>0</v>
      </c>
      <c r="W294" s="46">
        <f t="shared" si="398"/>
        <v>0</v>
      </c>
      <c r="X294" s="46">
        <v>0</v>
      </c>
      <c r="Y294" s="46">
        <f t="shared" si="314"/>
        <v>594890</v>
      </c>
      <c r="Z294" s="46">
        <f t="shared" si="399"/>
        <v>709117</v>
      </c>
      <c r="AA294" s="46">
        <f t="shared" si="315"/>
        <v>315878</v>
      </c>
      <c r="AB294" s="46">
        <f t="shared" si="316"/>
        <v>0</v>
      </c>
      <c r="AC294" s="46">
        <f t="shared" si="317"/>
        <v>339019</v>
      </c>
      <c r="AD294" s="46">
        <v>0</v>
      </c>
      <c r="AE294" s="46">
        <f t="shared" si="318"/>
        <v>654897</v>
      </c>
      <c r="AF294" s="46">
        <f t="shared" si="400"/>
        <v>1048136</v>
      </c>
      <c r="AG294" s="46">
        <f t="shared" si="319"/>
        <v>2748725</v>
      </c>
      <c r="AH294" s="46">
        <f t="shared" si="320"/>
        <v>25370</v>
      </c>
      <c r="AI294" s="46">
        <f t="shared" si="401"/>
        <v>-1048136</v>
      </c>
      <c r="AJ294" s="46">
        <v>0</v>
      </c>
      <c r="AK294" s="46">
        <f t="shared" si="321"/>
        <v>1725959</v>
      </c>
      <c r="AL294" s="46">
        <f t="shared" si="402"/>
        <v>0</v>
      </c>
      <c r="AM294" s="46">
        <f t="shared" si="322"/>
        <v>544452</v>
      </c>
      <c r="AN294" s="46">
        <f t="shared" si="323"/>
        <v>17980</v>
      </c>
      <c r="AO294" s="46">
        <f t="shared" si="324"/>
        <v>110445</v>
      </c>
      <c r="AP294" s="46">
        <v>0</v>
      </c>
      <c r="AQ294" s="46">
        <f t="shared" si="325"/>
        <v>672877</v>
      </c>
      <c r="AR294" s="46">
        <f t="shared" si="403"/>
        <v>110445</v>
      </c>
      <c r="AS294" s="46">
        <f t="shared" si="326"/>
        <v>1082274</v>
      </c>
      <c r="AT294" s="46">
        <f t="shared" si="327"/>
        <v>105069</v>
      </c>
      <c r="AU294" s="46">
        <f t="shared" si="404"/>
        <v>-87494</v>
      </c>
      <c r="AV294" s="46">
        <v>0</v>
      </c>
      <c r="AW294" s="46">
        <f t="shared" si="328"/>
        <v>1099849</v>
      </c>
      <c r="AX294" s="46">
        <f t="shared" si="405"/>
        <v>22951</v>
      </c>
      <c r="AY294" s="46">
        <f t="shared" si="329"/>
        <v>357492</v>
      </c>
      <c r="AZ294" s="46">
        <f t="shared" si="330"/>
        <v>0</v>
      </c>
      <c r="BA294" s="46">
        <f t="shared" si="331"/>
        <v>297405</v>
      </c>
      <c r="BB294" s="46"/>
      <c r="BC294" s="46">
        <f t="shared" si="332"/>
        <v>654897</v>
      </c>
      <c r="BD294" s="46">
        <f t="shared" si="406"/>
        <v>320356</v>
      </c>
      <c r="BE294" s="46">
        <f t="shared" si="333"/>
        <v>692057</v>
      </c>
      <c r="BF294" s="46">
        <f t="shared" si="334"/>
        <v>25758</v>
      </c>
      <c r="BG294" s="46">
        <f t="shared" si="407"/>
        <v>0</v>
      </c>
      <c r="BH294" s="46">
        <v>0</v>
      </c>
      <c r="BI294" s="46">
        <f t="shared" si="335"/>
        <v>717815</v>
      </c>
      <c r="BJ294" s="46">
        <f t="shared" si="408"/>
        <v>320356</v>
      </c>
      <c r="BK294" s="46">
        <f t="shared" si="336"/>
        <v>1460209</v>
      </c>
      <c r="BL294" s="46">
        <f t="shared" si="337"/>
        <v>0</v>
      </c>
      <c r="BM294" s="46">
        <f t="shared" si="409"/>
        <v>-320356</v>
      </c>
      <c r="BN294" s="46">
        <v>0</v>
      </c>
      <c r="BO294" s="46">
        <f t="shared" si="338"/>
        <v>1139853</v>
      </c>
      <c r="BP294" s="46">
        <f t="shared" si="410"/>
        <v>0</v>
      </c>
      <c r="BQ294" s="46">
        <f t="shared" si="339"/>
        <v>541946</v>
      </c>
      <c r="BR294" s="46">
        <f t="shared" si="340"/>
        <v>0</v>
      </c>
      <c r="BS294" s="46">
        <f t="shared" si="341"/>
        <v>112951</v>
      </c>
      <c r="BT294" s="46">
        <v>0</v>
      </c>
      <c r="BU294" s="46">
        <f t="shared" si="342"/>
        <v>654897</v>
      </c>
      <c r="BV294" s="46">
        <f t="shared" si="411"/>
        <v>112951</v>
      </c>
      <c r="BW294" s="46">
        <f t="shared" si="343"/>
        <v>1038519</v>
      </c>
      <c r="BX294" s="46">
        <f t="shared" si="344"/>
        <v>169289</v>
      </c>
      <c r="BY294" s="46">
        <f t="shared" si="345"/>
        <v>-112951</v>
      </c>
      <c r="BZ294" s="46">
        <v>0</v>
      </c>
      <c r="CA294" s="46">
        <f t="shared" si="346"/>
        <v>1094857</v>
      </c>
      <c r="CB294" s="46">
        <f t="shared" si="412"/>
        <v>0</v>
      </c>
      <c r="CC294" s="155">
        <f t="shared" si="349"/>
        <v>0</v>
      </c>
      <c r="CD294" s="79" t="s">
        <v>538</v>
      </c>
      <c r="CE294" s="65">
        <f t="shared" si="350"/>
        <v>654897</v>
      </c>
      <c r="CF294" s="65">
        <f t="shared" si="351"/>
        <v>654897</v>
      </c>
      <c r="CG294" s="65">
        <f t="shared" si="352"/>
        <v>594890</v>
      </c>
      <c r="CH294" s="65">
        <f t="shared" si="353"/>
        <v>654897</v>
      </c>
      <c r="CI294" s="65">
        <f t="shared" si="354"/>
        <v>1725959</v>
      </c>
      <c r="CJ294" s="65">
        <f t="shared" si="355"/>
        <v>672877</v>
      </c>
      <c r="CK294" s="65">
        <f t="shared" si="356"/>
        <v>1099849</v>
      </c>
      <c r="CL294" s="65">
        <f t="shared" si="357"/>
        <v>654897</v>
      </c>
      <c r="CM294" s="65">
        <f t="shared" si="358"/>
        <v>717815</v>
      </c>
      <c r="CN294" s="65">
        <f t="shared" si="359"/>
        <v>1139853</v>
      </c>
      <c r="CO294" s="65">
        <f t="shared" si="360"/>
        <v>654897</v>
      </c>
      <c r="CP294" s="65">
        <f t="shared" si="361"/>
        <v>1094857</v>
      </c>
      <c r="CQ294" s="40" t="s">
        <v>538</v>
      </c>
    </row>
    <row r="295" spans="1:95" ht="3" customHeight="1" x14ac:dyDescent="0.25">
      <c r="A295" s="39">
        <v>0</v>
      </c>
      <c r="B295" s="28">
        <v>13132</v>
      </c>
      <c r="C295" s="28" t="s">
        <v>293</v>
      </c>
      <c r="D295" s="48">
        <f>+DATA!Q293</f>
        <v>1864338.3940000001</v>
      </c>
      <c r="E295" s="48">
        <f t="shared" si="347"/>
        <v>0</v>
      </c>
      <c r="F295" s="48">
        <f t="shared" si="348"/>
        <v>0</v>
      </c>
      <c r="G295" s="49">
        <f>VLOOKUP(B295,'CALC MEC ESTAB Y ESTIM M FINAL'!$B$7:$F$352,5,0)</f>
        <v>7.9058330120000003E-4</v>
      </c>
      <c r="H295" s="49">
        <f>VLOOKUP(B295,'CALC MEC ESTAB Y ESTIM M FINAL'!$B$7:$R$352,17,0)</f>
        <v>1.007584928E-4</v>
      </c>
      <c r="I295" s="46">
        <f t="shared" si="304"/>
        <v>73493</v>
      </c>
      <c r="J295" s="46">
        <f t="shared" si="305"/>
        <v>0</v>
      </c>
      <c r="K295" s="46">
        <f t="shared" si="306"/>
        <v>0</v>
      </c>
      <c r="L295" s="46">
        <v>0</v>
      </c>
      <c r="M295" s="46">
        <f t="shared" si="307"/>
        <v>73493</v>
      </c>
      <c r="N295" s="46">
        <v>0</v>
      </c>
      <c r="O295" s="46">
        <f t="shared" si="308"/>
        <v>39081</v>
      </c>
      <c r="P295" s="46">
        <f t="shared" si="309"/>
        <v>0</v>
      </c>
      <c r="Q295" s="46">
        <f t="shared" si="310"/>
        <v>0</v>
      </c>
      <c r="R295" s="46">
        <v>0</v>
      </c>
      <c r="S295" s="46">
        <f t="shared" si="311"/>
        <v>39081</v>
      </c>
      <c r="T295" s="46">
        <v>0</v>
      </c>
      <c r="U295" s="46">
        <f t="shared" si="312"/>
        <v>111490</v>
      </c>
      <c r="V295" s="46">
        <f t="shared" si="313"/>
        <v>0</v>
      </c>
      <c r="W295" s="46">
        <v>0</v>
      </c>
      <c r="X295" s="46">
        <v>0</v>
      </c>
      <c r="Y295" s="46">
        <f t="shared" si="314"/>
        <v>111490</v>
      </c>
      <c r="Z295" s="46">
        <v>0</v>
      </c>
      <c r="AA295" s="46">
        <f t="shared" si="315"/>
        <v>59199</v>
      </c>
      <c r="AB295" s="46">
        <f t="shared" si="316"/>
        <v>0</v>
      </c>
      <c r="AC295" s="46">
        <f t="shared" si="317"/>
        <v>0</v>
      </c>
      <c r="AD295" s="46">
        <v>0</v>
      </c>
      <c r="AE295" s="46">
        <f t="shared" si="318"/>
        <v>59199</v>
      </c>
      <c r="AF295" s="46">
        <v>0</v>
      </c>
      <c r="AG295" s="46">
        <f t="shared" si="319"/>
        <v>515144</v>
      </c>
      <c r="AH295" s="46">
        <f t="shared" si="320"/>
        <v>4755</v>
      </c>
      <c r="AI295" s="46">
        <v>0</v>
      </c>
      <c r="AJ295" s="46">
        <v>0</v>
      </c>
      <c r="AK295" s="46">
        <f t="shared" si="321"/>
        <v>519899</v>
      </c>
      <c r="AL295" s="46">
        <v>0</v>
      </c>
      <c r="AM295" s="46">
        <f t="shared" si="322"/>
        <v>102037</v>
      </c>
      <c r="AN295" s="46">
        <f t="shared" si="323"/>
        <v>3370</v>
      </c>
      <c r="AO295" s="46">
        <f t="shared" si="324"/>
        <v>0</v>
      </c>
      <c r="AP295" s="46">
        <v>0</v>
      </c>
      <c r="AQ295" s="46">
        <f t="shared" si="325"/>
        <v>105407</v>
      </c>
      <c r="AR295" s="46">
        <v>0</v>
      </c>
      <c r="AS295" s="46">
        <f t="shared" si="326"/>
        <v>202831</v>
      </c>
      <c r="AT295" s="46">
        <f t="shared" si="327"/>
        <v>19691</v>
      </c>
      <c r="AU295" s="46">
        <v>0</v>
      </c>
      <c r="AV295" s="46">
        <v>0</v>
      </c>
      <c r="AW295" s="46">
        <f t="shared" si="328"/>
        <v>222522</v>
      </c>
      <c r="AX295" s="46">
        <v>0</v>
      </c>
      <c r="AY295" s="46">
        <f t="shared" si="329"/>
        <v>66998</v>
      </c>
      <c r="AZ295" s="46">
        <f t="shared" si="330"/>
        <v>0</v>
      </c>
      <c r="BA295" s="46">
        <f t="shared" si="331"/>
        <v>0</v>
      </c>
      <c r="BB295" s="46">
        <v>0</v>
      </c>
      <c r="BC295" s="46">
        <f t="shared" si="332"/>
        <v>66998</v>
      </c>
      <c r="BD295" s="46">
        <v>0</v>
      </c>
      <c r="BE295" s="46">
        <f t="shared" si="333"/>
        <v>129700</v>
      </c>
      <c r="BF295" s="46">
        <f t="shared" si="334"/>
        <v>4827</v>
      </c>
      <c r="BG295" s="46">
        <v>0</v>
      </c>
      <c r="BH295" s="46">
        <v>0</v>
      </c>
      <c r="BI295" s="46">
        <f t="shared" si="335"/>
        <v>134527</v>
      </c>
      <c r="BJ295" s="46">
        <v>0</v>
      </c>
      <c r="BK295" s="46">
        <f t="shared" si="336"/>
        <v>273661</v>
      </c>
      <c r="BL295" s="46">
        <f t="shared" si="337"/>
        <v>0</v>
      </c>
      <c r="BM295" s="46">
        <v>0</v>
      </c>
      <c r="BN295" s="46">
        <v>0</v>
      </c>
      <c r="BO295" s="46">
        <f t="shared" si="338"/>
        <v>273661</v>
      </c>
      <c r="BP295" s="46">
        <v>0</v>
      </c>
      <c r="BQ295" s="46">
        <f t="shared" si="339"/>
        <v>101567</v>
      </c>
      <c r="BR295" s="46">
        <f t="shared" si="340"/>
        <v>0</v>
      </c>
      <c r="BS295" s="46">
        <f t="shared" si="341"/>
        <v>0</v>
      </c>
      <c r="BT295" s="46">
        <v>0</v>
      </c>
      <c r="BU295" s="46">
        <f t="shared" si="342"/>
        <v>101567</v>
      </c>
      <c r="BV295" s="46">
        <v>0</v>
      </c>
      <c r="BW295" s="46">
        <f t="shared" si="343"/>
        <v>194631</v>
      </c>
      <c r="BX295" s="46">
        <f t="shared" si="344"/>
        <v>31727</v>
      </c>
      <c r="BY295" s="46">
        <f t="shared" si="345"/>
        <v>0</v>
      </c>
      <c r="BZ295" s="46">
        <v>0</v>
      </c>
      <c r="CA295" s="46">
        <f t="shared" si="346"/>
        <v>226358</v>
      </c>
      <c r="CB295" s="46">
        <v>0</v>
      </c>
      <c r="CC295" s="155">
        <f t="shared" si="349"/>
        <v>0</v>
      </c>
      <c r="CD295" s="79" t="s">
        <v>538</v>
      </c>
      <c r="CE295" s="65">
        <f t="shared" si="350"/>
        <v>73493</v>
      </c>
      <c r="CF295" s="65">
        <f t="shared" si="351"/>
        <v>39081</v>
      </c>
      <c r="CG295" s="65">
        <f t="shared" si="352"/>
        <v>111490</v>
      </c>
      <c r="CH295" s="65">
        <f t="shared" si="353"/>
        <v>59199</v>
      </c>
      <c r="CI295" s="65">
        <f t="shared" si="354"/>
        <v>519899</v>
      </c>
      <c r="CJ295" s="65">
        <f t="shared" si="355"/>
        <v>105407</v>
      </c>
      <c r="CK295" s="65">
        <f t="shared" si="356"/>
        <v>222522</v>
      </c>
      <c r="CL295" s="65">
        <f t="shared" si="357"/>
        <v>66998</v>
      </c>
      <c r="CM295" s="65">
        <f t="shared" si="358"/>
        <v>134527</v>
      </c>
      <c r="CN295" s="65">
        <f t="shared" si="359"/>
        <v>273661</v>
      </c>
      <c r="CO295" s="65">
        <f t="shared" si="360"/>
        <v>101567</v>
      </c>
      <c r="CP295" s="65">
        <f t="shared" si="361"/>
        <v>226358</v>
      </c>
      <c r="CQ295" s="40" t="s">
        <v>538</v>
      </c>
    </row>
    <row r="296" spans="1:95" ht="3" customHeight="1" x14ac:dyDescent="0.25">
      <c r="A296" s="39">
        <v>1</v>
      </c>
      <c r="B296" s="28">
        <v>13201</v>
      </c>
      <c r="C296" s="28" t="s">
        <v>303</v>
      </c>
      <c r="D296" s="48">
        <f>+DATA!Q294</f>
        <v>63424345.839000002</v>
      </c>
      <c r="E296" s="48">
        <f t="shared" si="347"/>
        <v>4175436</v>
      </c>
      <c r="F296" s="48">
        <f t="shared" si="348"/>
        <v>6342435</v>
      </c>
      <c r="G296" s="49">
        <f>VLOOKUP(B296,'CALC MEC ESTAB Y ESTIM M FINAL'!$B$7:$F$352,5,0)</f>
        <v>2.74720472358E-2</v>
      </c>
      <c r="H296" s="49">
        <f>VLOOKUP(B296,'CALC MEC ESTAB Y ESTIM M FINAL'!$B$7:$R$352,17,0)</f>
        <v>2.8511874740000001E-3</v>
      </c>
      <c r="I296" s="46">
        <f t="shared" si="304"/>
        <v>2500216</v>
      </c>
      <c r="J296" s="46">
        <f t="shared" si="305"/>
        <v>0</v>
      </c>
      <c r="K296" s="46">
        <f t="shared" si="306"/>
        <v>1675220</v>
      </c>
      <c r="L296" s="46">
        <v>0</v>
      </c>
      <c r="M296" s="46">
        <f t="shared" si="307"/>
        <v>4175436</v>
      </c>
      <c r="N296" s="46">
        <f t="shared" ref="N296:N327" si="413">K296</f>
        <v>1675220</v>
      </c>
      <c r="O296" s="46">
        <f t="shared" si="308"/>
        <v>1329531</v>
      </c>
      <c r="P296" s="46">
        <f t="shared" si="309"/>
        <v>0</v>
      </c>
      <c r="Q296" s="46">
        <f t="shared" si="310"/>
        <v>2845905</v>
      </c>
      <c r="R296" s="46">
        <v>0</v>
      </c>
      <c r="S296" s="46">
        <f t="shared" si="311"/>
        <v>4175436</v>
      </c>
      <c r="T296" s="46">
        <f t="shared" ref="T296:T327" si="414">N296+Q296</f>
        <v>4521125</v>
      </c>
      <c r="U296" s="46">
        <f t="shared" si="312"/>
        <v>3792851</v>
      </c>
      <c r="V296" s="46">
        <f t="shared" si="313"/>
        <v>0</v>
      </c>
      <c r="W296" s="46">
        <f t="shared" ref="W296:W327" si="415">IF(U296&lt;$F296,0,IF(U296-$F296&gt;T296,-T296,-(U296-$F296)))</f>
        <v>0</v>
      </c>
      <c r="X296" s="46">
        <v>0</v>
      </c>
      <c r="Y296" s="46">
        <f t="shared" si="314"/>
        <v>3792851</v>
      </c>
      <c r="Z296" s="46">
        <f t="shared" ref="Z296:Z327" si="416">T296+W296</f>
        <v>4521125</v>
      </c>
      <c r="AA296" s="46">
        <f t="shared" si="315"/>
        <v>2013945</v>
      </c>
      <c r="AB296" s="46">
        <f t="shared" si="316"/>
        <v>0</v>
      </c>
      <c r="AC296" s="46">
        <f t="shared" si="317"/>
        <v>2161491</v>
      </c>
      <c r="AD296" s="46">
        <v>0</v>
      </c>
      <c r="AE296" s="46">
        <f t="shared" si="318"/>
        <v>4175436</v>
      </c>
      <c r="AF296" s="46">
        <f t="shared" ref="AF296:AF327" si="417">Z296+AC296</f>
        <v>6682616</v>
      </c>
      <c r="AG296" s="46">
        <f t="shared" si="319"/>
        <v>17525090</v>
      </c>
      <c r="AH296" s="46">
        <f t="shared" si="320"/>
        <v>161752</v>
      </c>
      <c r="AI296" s="46">
        <f t="shared" ref="AI296:AI327" si="418">IF(AG296&lt;$F296,0,IF(AG296-$F296&gt;AF296,-AF296,-(AG296-$F296)))</f>
        <v>-6682616</v>
      </c>
      <c r="AJ296" s="46">
        <v>0</v>
      </c>
      <c r="AK296" s="46">
        <f t="shared" si="321"/>
        <v>11004226</v>
      </c>
      <c r="AL296" s="46">
        <f t="shared" ref="AL296:AL327" si="419">AF296+AI296</f>
        <v>0</v>
      </c>
      <c r="AM296" s="46">
        <f t="shared" si="322"/>
        <v>3471273</v>
      </c>
      <c r="AN296" s="46">
        <f t="shared" si="323"/>
        <v>114635</v>
      </c>
      <c r="AO296" s="46">
        <f t="shared" si="324"/>
        <v>704163</v>
      </c>
      <c r="AP296" s="46">
        <v>0</v>
      </c>
      <c r="AQ296" s="46">
        <f t="shared" si="325"/>
        <v>4290071</v>
      </c>
      <c r="AR296" s="46">
        <f t="shared" ref="AR296:AR327" si="420">AL296+AO296</f>
        <v>704163</v>
      </c>
      <c r="AS296" s="46">
        <f t="shared" si="326"/>
        <v>6900272</v>
      </c>
      <c r="AT296" s="46">
        <f t="shared" si="327"/>
        <v>669891</v>
      </c>
      <c r="AU296" s="46">
        <f t="shared" ref="AU296:AU327" si="421">IF(AS296&lt;$F296,0,IF(AS296-$F296&gt;AR296,-AR296,-(AS296-$F296)))</f>
        <v>-557837</v>
      </c>
      <c r="AV296" s="46">
        <v>0</v>
      </c>
      <c r="AW296" s="46">
        <f t="shared" si="328"/>
        <v>7012326</v>
      </c>
      <c r="AX296" s="46">
        <f t="shared" ref="AX296:AX327" si="422">AR296+AU296</f>
        <v>146326</v>
      </c>
      <c r="AY296" s="46">
        <f t="shared" si="329"/>
        <v>2279265</v>
      </c>
      <c r="AZ296" s="46">
        <f t="shared" si="330"/>
        <v>0</v>
      </c>
      <c r="BA296" s="46">
        <f t="shared" si="331"/>
        <v>1896171</v>
      </c>
      <c r="BB296" s="46"/>
      <c r="BC296" s="46">
        <f t="shared" si="332"/>
        <v>4175436</v>
      </c>
      <c r="BD296" s="46">
        <f t="shared" ref="BD296:BD327" si="423">AX296+BA296</f>
        <v>2042497</v>
      </c>
      <c r="BE296" s="46">
        <f t="shared" si="333"/>
        <v>4412355</v>
      </c>
      <c r="BF296" s="46">
        <f t="shared" si="334"/>
        <v>164224</v>
      </c>
      <c r="BG296" s="46">
        <f t="shared" ref="BG296:BG327" si="424">IF(BE296&lt;$F296,0,IF(BE296-$F296&gt;BD296,-BD296,-(BE296-$F296)))</f>
        <v>0</v>
      </c>
      <c r="BH296" s="46">
        <v>0</v>
      </c>
      <c r="BI296" s="46">
        <f t="shared" si="335"/>
        <v>4576579</v>
      </c>
      <c r="BJ296" s="46">
        <f t="shared" ref="BJ296:BJ327" si="425">BD296+BG296</f>
        <v>2042497</v>
      </c>
      <c r="BK296" s="46">
        <f t="shared" si="336"/>
        <v>9309879</v>
      </c>
      <c r="BL296" s="46">
        <f t="shared" si="337"/>
        <v>0</v>
      </c>
      <c r="BM296" s="46">
        <f t="shared" ref="BM296:BM327" si="426">IF(BK296&lt;$F296,0,IF(BK296-$F296&gt;BJ296,-BJ296,-(BK296-$F296)))</f>
        <v>-2042497</v>
      </c>
      <c r="BN296" s="46">
        <v>0</v>
      </c>
      <c r="BO296" s="46">
        <f t="shared" si="338"/>
        <v>7267382</v>
      </c>
      <c r="BP296" s="46">
        <f t="shared" ref="BP296:BP327" si="427">BJ296+BM296</f>
        <v>0</v>
      </c>
      <c r="BQ296" s="46">
        <f t="shared" si="339"/>
        <v>3455294</v>
      </c>
      <c r="BR296" s="46">
        <f t="shared" si="340"/>
        <v>0</v>
      </c>
      <c r="BS296" s="46">
        <f t="shared" si="341"/>
        <v>720142</v>
      </c>
      <c r="BT296" s="46">
        <v>0</v>
      </c>
      <c r="BU296" s="46">
        <f t="shared" si="342"/>
        <v>4175436</v>
      </c>
      <c r="BV296" s="46">
        <f t="shared" ref="BV296:BV327" si="428">BP296+BS296</f>
        <v>720142</v>
      </c>
      <c r="BW296" s="46">
        <f t="shared" si="343"/>
        <v>6621300</v>
      </c>
      <c r="BX296" s="46">
        <f t="shared" si="344"/>
        <v>1079340</v>
      </c>
      <c r="BY296" s="46">
        <f t="shared" si="345"/>
        <v>-720142</v>
      </c>
      <c r="BZ296" s="46">
        <v>0</v>
      </c>
      <c r="CA296" s="46">
        <f t="shared" si="346"/>
        <v>6980498</v>
      </c>
      <c r="CB296" s="46">
        <f t="shared" ref="CB296:CB327" si="429">BV296+BY296</f>
        <v>0</v>
      </c>
      <c r="CC296" s="155">
        <f t="shared" si="349"/>
        <v>0</v>
      </c>
      <c r="CD296" s="79" t="s">
        <v>538</v>
      </c>
      <c r="CE296" s="65">
        <f t="shared" si="350"/>
        <v>4175436</v>
      </c>
      <c r="CF296" s="65">
        <f t="shared" si="351"/>
        <v>4175436</v>
      </c>
      <c r="CG296" s="65">
        <f t="shared" si="352"/>
        <v>3792851</v>
      </c>
      <c r="CH296" s="65">
        <f t="shared" si="353"/>
        <v>4175436</v>
      </c>
      <c r="CI296" s="65">
        <f t="shared" si="354"/>
        <v>11004226</v>
      </c>
      <c r="CJ296" s="65">
        <f t="shared" si="355"/>
        <v>4290071</v>
      </c>
      <c r="CK296" s="65">
        <f t="shared" si="356"/>
        <v>7012326</v>
      </c>
      <c r="CL296" s="65">
        <f t="shared" si="357"/>
        <v>4175436</v>
      </c>
      <c r="CM296" s="65">
        <f t="shared" si="358"/>
        <v>4576579</v>
      </c>
      <c r="CN296" s="65">
        <f t="shared" si="359"/>
        <v>7267382</v>
      </c>
      <c r="CO296" s="65">
        <f t="shared" si="360"/>
        <v>4175436</v>
      </c>
      <c r="CP296" s="65">
        <f t="shared" si="361"/>
        <v>6980498</v>
      </c>
      <c r="CQ296" s="40" t="s">
        <v>538</v>
      </c>
    </row>
    <row r="297" spans="1:95" ht="3" customHeight="1" x14ac:dyDescent="0.25">
      <c r="A297" s="39">
        <v>1</v>
      </c>
      <c r="B297" s="28">
        <v>13202</v>
      </c>
      <c r="C297" s="28" t="s">
        <v>304</v>
      </c>
      <c r="D297" s="48">
        <f>+DATA!Q295</f>
        <v>1766819.6240000001</v>
      </c>
      <c r="E297" s="48">
        <f t="shared" si="347"/>
        <v>116316</v>
      </c>
      <c r="F297" s="48">
        <f t="shared" si="348"/>
        <v>176682</v>
      </c>
      <c r="G297" s="49">
        <f>VLOOKUP(B297,'CALC MEC ESTAB Y ESTIM M FINAL'!$B$7:$F$352,5,0)</f>
        <v>9.0535010859999995E-4</v>
      </c>
      <c r="H297" s="49">
        <f>VLOOKUP(B297,'CALC MEC ESTAB Y ESTIM M FINAL'!$B$7:$R$352,17,0)</f>
        <v>-3.4021391899999999E-5</v>
      </c>
      <c r="I297" s="46">
        <f t="shared" si="304"/>
        <v>71843</v>
      </c>
      <c r="J297" s="46">
        <f t="shared" si="305"/>
        <v>0</v>
      </c>
      <c r="K297" s="46">
        <f t="shared" si="306"/>
        <v>44473</v>
      </c>
      <c r="L297" s="46">
        <v>0</v>
      </c>
      <c r="M297" s="46">
        <f t="shared" si="307"/>
        <v>116316</v>
      </c>
      <c r="N297" s="46">
        <f t="shared" si="413"/>
        <v>44473</v>
      </c>
      <c r="O297" s="46">
        <f t="shared" si="308"/>
        <v>38204</v>
      </c>
      <c r="P297" s="46">
        <f t="shared" si="309"/>
        <v>0</v>
      </c>
      <c r="Q297" s="46">
        <f t="shared" si="310"/>
        <v>78112</v>
      </c>
      <c r="R297" s="46">
        <v>0</v>
      </c>
      <c r="S297" s="46">
        <f t="shared" si="311"/>
        <v>116316</v>
      </c>
      <c r="T297" s="46">
        <f t="shared" si="414"/>
        <v>122585</v>
      </c>
      <c r="U297" s="46">
        <f t="shared" si="312"/>
        <v>108986</v>
      </c>
      <c r="V297" s="46">
        <f t="shared" si="313"/>
        <v>0</v>
      </c>
      <c r="W297" s="46">
        <f t="shared" si="415"/>
        <v>0</v>
      </c>
      <c r="X297" s="46">
        <v>0</v>
      </c>
      <c r="Y297" s="46">
        <f t="shared" si="314"/>
        <v>108986</v>
      </c>
      <c r="Z297" s="46">
        <f t="shared" si="416"/>
        <v>122585</v>
      </c>
      <c r="AA297" s="46">
        <f t="shared" si="315"/>
        <v>57870</v>
      </c>
      <c r="AB297" s="46">
        <f t="shared" si="316"/>
        <v>0</v>
      </c>
      <c r="AC297" s="46">
        <f t="shared" si="317"/>
        <v>58446</v>
      </c>
      <c r="AD297" s="46">
        <v>0</v>
      </c>
      <c r="AE297" s="46">
        <f t="shared" si="318"/>
        <v>116316</v>
      </c>
      <c r="AF297" s="46">
        <f t="shared" si="417"/>
        <v>181031</v>
      </c>
      <c r="AG297" s="46">
        <f t="shared" si="319"/>
        <v>503578</v>
      </c>
      <c r="AH297" s="46">
        <f t="shared" si="320"/>
        <v>4648</v>
      </c>
      <c r="AI297" s="46">
        <f t="shared" si="418"/>
        <v>-181031</v>
      </c>
      <c r="AJ297" s="46">
        <v>0</v>
      </c>
      <c r="AK297" s="46">
        <f t="shared" si="321"/>
        <v>327195</v>
      </c>
      <c r="AL297" s="46">
        <f t="shared" si="419"/>
        <v>0</v>
      </c>
      <c r="AM297" s="46">
        <f t="shared" si="322"/>
        <v>99746</v>
      </c>
      <c r="AN297" s="46">
        <f t="shared" si="323"/>
        <v>3294</v>
      </c>
      <c r="AO297" s="46">
        <f t="shared" si="324"/>
        <v>16570</v>
      </c>
      <c r="AP297" s="46">
        <v>0</v>
      </c>
      <c r="AQ297" s="46">
        <f t="shared" si="325"/>
        <v>119610</v>
      </c>
      <c r="AR297" s="46">
        <f t="shared" si="420"/>
        <v>16570</v>
      </c>
      <c r="AS297" s="46">
        <f t="shared" si="326"/>
        <v>198277</v>
      </c>
      <c r="AT297" s="46">
        <f t="shared" si="327"/>
        <v>19249</v>
      </c>
      <c r="AU297" s="46">
        <f t="shared" si="421"/>
        <v>-16570</v>
      </c>
      <c r="AV297" s="46">
        <v>0</v>
      </c>
      <c r="AW297" s="46">
        <f t="shared" si="328"/>
        <v>200956</v>
      </c>
      <c r="AX297" s="46">
        <f t="shared" si="422"/>
        <v>0</v>
      </c>
      <c r="AY297" s="46">
        <f t="shared" si="329"/>
        <v>65494</v>
      </c>
      <c r="AZ297" s="46">
        <f t="shared" si="330"/>
        <v>0</v>
      </c>
      <c r="BA297" s="46">
        <f t="shared" si="331"/>
        <v>50822</v>
      </c>
      <c r="BB297" s="46"/>
      <c r="BC297" s="46">
        <f t="shared" si="332"/>
        <v>116316</v>
      </c>
      <c r="BD297" s="46">
        <f t="shared" si="423"/>
        <v>50822</v>
      </c>
      <c r="BE297" s="46">
        <f t="shared" si="333"/>
        <v>126788</v>
      </c>
      <c r="BF297" s="46">
        <f t="shared" si="334"/>
        <v>4719</v>
      </c>
      <c r="BG297" s="46">
        <f t="shared" si="424"/>
        <v>0</v>
      </c>
      <c r="BH297" s="46">
        <v>0</v>
      </c>
      <c r="BI297" s="46">
        <f t="shared" si="335"/>
        <v>131507</v>
      </c>
      <c r="BJ297" s="46">
        <f t="shared" si="425"/>
        <v>50822</v>
      </c>
      <c r="BK297" s="46">
        <f t="shared" si="336"/>
        <v>267516</v>
      </c>
      <c r="BL297" s="46">
        <f t="shared" si="337"/>
        <v>0</v>
      </c>
      <c r="BM297" s="46">
        <f t="shared" si="426"/>
        <v>-50822</v>
      </c>
      <c r="BN297" s="46">
        <v>0</v>
      </c>
      <c r="BO297" s="46">
        <f t="shared" si="338"/>
        <v>216694</v>
      </c>
      <c r="BP297" s="46">
        <f t="shared" si="427"/>
        <v>0</v>
      </c>
      <c r="BQ297" s="46">
        <f t="shared" si="339"/>
        <v>99287</v>
      </c>
      <c r="BR297" s="46">
        <f t="shared" si="340"/>
        <v>0</v>
      </c>
      <c r="BS297" s="46">
        <f t="shared" si="341"/>
        <v>17029</v>
      </c>
      <c r="BT297" s="46">
        <v>0</v>
      </c>
      <c r="BU297" s="46">
        <f t="shared" si="342"/>
        <v>116316</v>
      </c>
      <c r="BV297" s="46">
        <f t="shared" si="428"/>
        <v>17029</v>
      </c>
      <c r="BW297" s="46">
        <f t="shared" si="343"/>
        <v>190261</v>
      </c>
      <c r="BX297" s="46">
        <f t="shared" si="344"/>
        <v>31015</v>
      </c>
      <c r="BY297" s="46">
        <f t="shared" si="345"/>
        <v>-17029</v>
      </c>
      <c r="BZ297" s="46">
        <v>0</v>
      </c>
      <c r="CA297" s="46">
        <f t="shared" si="346"/>
        <v>204247</v>
      </c>
      <c r="CB297" s="46">
        <f t="shared" si="429"/>
        <v>0</v>
      </c>
      <c r="CC297" s="155">
        <f t="shared" si="349"/>
        <v>0</v>
      </c>
      <c r="CD297" s="79" t="s">
        <v>538</v>
      </c>
      <c r="CE297" s="65">
        <f t="shared" si="350"/>
        <v>116316</v>
      </c>
      <c r="CF297" s="65">
        <f t="shared" si="351"/>
        <v>116316</v>
      </c>
      <c r="CG297" s="65">
        <f t="shared" si="352"/>
        <v>108986</v>
      </c>
      <c r="CH297" s="65">
        <f t="shared" si="353"/>
        <v>116316</v>
      </c>
      <c r="CI297" s="65">
        <f t="shared" si="354"/>
        <v>327195</v>
      </c>
      <c r="CJ297" s="65">
        <f t="shared" si="355"/>
        <v>119610</v>
      </c>
      <c r="CK297" s="65">
        <f t="shared" si="356"/>
        <v>200956</v>
      </c>
      <c r="CL297" s="65">
        <f t="shared" si="357"/>
        <v>116316</v>
      </c>
      <c r="CM297" s="65">
        <f t="shared" si="358"/>
        <v>131507</v>
      </c>
      <c r="CN297" s="65">
        <f t="shared" si="359"/>
        <v>216694</v>
      </c>
      <c r="CO297" s="65">
        <f t="shared" si="360"/>
        <v>116316</v>
      </c>
      <c r="CP297" s="65">
        <f t="shared" si="361"/>
        <v>204247</v>
      </c>
      <c r="CQ297" s="40" t="s">
        <v>538</v>
      </c>
    </row>
    <row r="298" spans="1:95" ht="3" customHeight="1" x14ac:dyDescent="0.25">
      <c r="A298" s="39">
        <v>1</v>
      </c>
      <c r="B298" s="28">
        <v>13203</v>
      </c>
      <c r="C298" s="28" t="s">
        <v>431</v>
      </c>
      <c r="D298" s="48">
        <f>+DATA!Q296</f>
        <v>1760464.794</v>
      </c>
      <c r="E298" s="48">
        <f t="shared" si="347"/>
        <v>115897</v>
      </c>
      <c r="F298" s="48">
        <f t="shared" si="348"/>
        <v>176046</v>
      </c>
      <c r="G298" s="49">
        <f>VLOOKUP(B298,'CALC MEC ESTAB Y ESTIM M FINAL'!$B$7:$F$352,5,0)</f>
        <v>8.9743750479999993E-4</v>
      </c>
      <c r="H298" s="49">
        <f>VLOOKUP(B298,'CALC MEC ESTAB Y ESTIM M FINAL'!$B$7:$R$352,17,0)</f>
        <v>-3.0595119099999998E-5</v>
      </c>
      <c r="I298" s="46">
        <f t="shared" si="304"/>
        <v>71473</v>
      </c>
      <c r="J298" s="46">
        <f t="shared" si="305"/>
        <v>0</v>
      </c>
      <c r="K298" s="46">
        <f t="shared" si="306"/>
        <v>44424</v>
      </c>
      <c r="L298" s="46">
        <v>0</v>
      </c>
      <c r="M298" s="46">
        <f t="shared" si="307"/>
        <v>115897</v>
      </c>
      <c r="N298" s="46">
        <f t="shared" si="413"/>
        <v>44424</v>
      </c>
      <c r="O298" s="46">
        <f t="shared" si="308"/>
        <v>38007</v>
      </c>
      <c r="P298" s="46">
        <f t="shared" si="309"/>
        <v>0</v>
      </c>
      <c r="Q298" s="46">
        <f t="shared" si="310"/>
        <v>77890</v>
      </c>
      <c r="R298" s="46">
        <v>0</v>
      </c>
      <c r="S298" s="46">
        <f t="shared" si="311"/>
        <v>115897</v>
      </c>
      <c r="T298" s="46">
        <f t="shared" si="414"/>
        <v>122314</v>
      </c>
      <c r="U298" s="46">
        <f t="shared" si="312"/>
        <v>108425</v>
      </c>
      <c r="V298" s="46">
        <f t="shared" si="313"/>
        <v>0</v>
      </c>
      <c r="W298" s="46">
        <f t="shared" si="415"/>
        <v>0</v>
      </c>
      <c r="X298" s="46">
        <v>0</v>
      </c>
      <c r="Y298" s="46">
        <f t="shared" si="314"/>
        <v>108425</v>
      </c>
      <c r="Z298" s="46">
        <f t="shared" si="416"/>
        <v>122314</v>
      </c>
      <c r="AA298" s="46">
        <f t="shared" si="315"/>
        <v>57572</v>
      </c>
      <c r="AB298" s="46">
        <f t="shared" si="316"/>
        <v>0</v>
      </c>
      <c r="AC298" s="46">
        <f t="shared" si="317"/>
        <v>58325</v>
      </c>
      <c r="AD298" s="46">
        <v>0</v>
      </c>
      <c r="AE298" s="46">
        <f t="shared" si="318"/>
        <v>115897</v>
      </c>
      <c r="AF298" s="46">
        <f t="shared" si="417"/>
        <v>180639</v>
      </c>
      <c r="AG298" s="46">
        <f t="shared" si="319"/>
        <v>500985</v>
      </c>
      <c r="AH298" s="46">
        <f t="shared" si="320"/>
        <v>4624</v>
      </c>
      <c r="AI298" s="46">
        <f t="shared" si="418"/>
        <v>-180639</v>
      </c>
      <c r="AJ298" s="46">
        <v>0</v>
      </c>
      <c r="AK298" s="46">
        <f t="shared" si="321"/>
        <v>324970</v>
      </c>
      <c r="AL298" s="46">
        <f t="shared" si="419"/>
        <v>0</v>
      </c>
      <c r="AM298" s="46">
        <f t="shared" si="322"/>
        <v>99232</v>
      </c>
      <c r="AN298" s="46">
        <f t="shared" si="323"/>
        <v>3277</v>
      </c>
      <c r="AO298" s="46">
        <f t="shared" si="324"/>
        <v>16665</v>
      </c>
      <c r="AP298" s="46">
        <v>0</v>
      </c>
      <c r="AQ298" s="46">
        <f t="shared" si="325"/>
        <v>119174</v>
      </c>
      <c r="AR298" s="46">
        <f t="shared" si="420"/>
        <v>16665</v>
      </c>
      <c r="AS298" s="46">
        <f t="shared" si="326"/>
        <v>197256</v>
      </c>
      <c r="AT298" s="46">
        <f t="shared" si="327"/>
        <v>19150</v>
      </c>
      <c r="AU298" s="46">
        <f t="shared" si="421"/>
        <v>-16665</v>
      </c>
      <c r="AV298" s="46">
        <v>0</v>
      </c>
      <c r="AW298" s="46">
        <f t="shared" si="328"/>
        <v>199741</v>
      </c>
      <c r="AX298" s="46">
        <f t="shared" si="422"/>
        <v>0</v>
      </c>
      <c r="AY298" s="46">
        <f t="shared" si="329"/>
        <v>65157</v>
      </c>
      <c r="AZ298" s="46">
        <f t="shared" si="330"/>
        <v>0</v>
      </c>
      <c r="BA298" s="46">
        <f t="shared" si="331"/>
        <v>50740</v>
      </c>
      <c r="BB298" s="46"/>
      <c r="BC298" s="46">
        <f t="shared" si="332"/>
        <v>115897</v>
      </c>
      <c r="BD298" s="46">
        <f t="shared" si="423"/>
        <v>50740</v>
      </c>
      <c r="BE298" s="46">
        <f t="shared" si="333"/>
        <v>126135</v>
      </c>
      <c r="BF298" s="46">
        <f t="shared" si="334"/>
        <v>4695</v>
      </c>
      <c r="BG298" s="46">
        <f t="shared" si="424"/>
        <v>0</v>
      </c>
      <c r="BH298" s="46">
        <v>0</v>
      </c>
      <c r="BI298" s="46">
        <f t="shared" si="335"/>
        <v>130830</v>
      </c>
      <c r="BJ298" s="46">
        <f t="shared" si="425"/>
        <v>50740</v>
      </c>
      <c r="BK298" s="46">
        <f t="shared" si="336"/>
        <v>266139</v>
      </c>
      <c r="BL298" s="46">
        <f t="shared" si="337"/>
        <v>0</v>
      </c>
      <c r="BM298" s="46">
        <f t="shared" si="426"/>
        <v>-50740</v>
      </c>
      <c r="BN298" s="46">
        <v>0</v>
      </c>
      <c r="BO298" s="46">
        <f t="shared" si="338"/>
        <v>215399</v>
      </c>
      <c r="BP298" s="46">
        <f t="shared" si="427"/>
        <v>0</v>
      </c>
      <c r="BQ298" s="46">
        <f t="shared" si="339"/>
        <v>98776</v>
      </c>
      <c r="BR298" s="46">
        <f t="shared" si="340"/>
        <v>0</v>
      </c>
      <c r="BS298" s="46">
        <f t="shared" si="341"/>
        <v>17121</v>
      </c>
      <c r="BT298" s="46">
        <v>0</v>
      </c>
      <c r="BU298" s="46">
        <f t="shared" si="342"/>
        <v>115897</v>
      </c>
      <c r="BV298" s="46">
        <f t="shared" si="428"/>
        <v>17121</v>
      </c>
      <c r="BW298" s="46">
        <f t="shared" si="343"/>
        <v>189281</v>
      </c>
      <c r="BX298" s="46">
        <f t="shared" si="344"/>
        <v>30855</v>
      </c>
      <c r="BY298" s="46">
        <f t="shared" si="345"/>
        <v>-17121</v>
      </c>
      <c r="BZ298" s="46">
        <v>0</v>
      </c>
      <c r="CA298" s="46">
        <f t="shared" si="346"/>
        <v>203015</v>
      </c>
      <c r="CB298" s="46">
        <f t="shared" si="429"/>
        <v>0</v>
      </c>
      <c r="CC298" s="155">
        <f t="shared" si="349"/>
        <v>0</v>
      </c>
      <c r="CD298" s="79" t="s">
        <v>538</v>
      </c>
      <c r="CE298" s="65">
        <f t="shared" si="350"/>
        <v>115897</v>
      </c>
      <c r="CF298" s="65">
        <f t="shared" si="351"/>
        <v>115897</v>
      </c>
      <c r="CG298" s="65">
        <f t="shared" si="352"/>
        <v>108425</v>
      </c>
      <c r="CH298" s="65">
        <f t="shared" si="353"/>
        <v>115897</v>
      </c>
      <c r="CI298" s="65">
        <f t="shared" si="354"/>
        <v>324970</v>
      </c>
      <c r="CJ298" s="65">
        <f t="shared" si="355"/>
        <v>119174</v>
      </c>
      <c r="CK298" s="65">
        <f t="shared" si="356"/>
        <v>199741</v>
      </c>
      <c r="CL298" s="65">
        <f t="shared" si="357"/>
        <v>115897</v>
      </c>
      <c r="CM298" s="65">
        <f t="shared" si="358"/>
        <v>130830</v>
      </c>
      <c r="CN298" s="65">
        <f t="shared" si="359"/>
        <v>215399</v>
      </c>
      <c r="CO298" s="65">
        <f t="shared" si="360"/>
        <v>115897</v>
      </c>
      <c r="CP298" s="65">
        <f t="shared" si="361"/>
        <v>203015</v>
      </c>
      <c r="CQ298" s="40" t="s">
        <v>538</v>
      </c>
    </row>
    <row r="299" spans="1:95" ht="3" customHeight="1" x14ac:dyDescent="0.25">
      <c r="A299" s="39">
        <v>1</v>
      </c>
      <c r="B299" s="28">
        <v>13301</v>
      </c>
      <c r="C299" s="28" t="s">
        <v>300</v>
      </c>
      <c r="D299" s="48">
        <f>+DATA!Q297</f>
        <v>5193285.9809999997</v>
      </c>
      <c r="E299" s="48">
        <f t="shared" si="347"/>
        <v>341891</v>
      </c>
      <c r="F299" s="48">
        <f t="shared" si="348"/>
        <v>519329</v>
      </c>
      <c r="G299" s="49">
        <f>VLOOKUP(B299,'CALC MEC ESTAB Y ESTIM M FINAL'!$B$7:$F$352,5,0)</f>
        <v>2.7130212060999998E-3</v>
      </c>
      <c r="H299" s="49">
        <f>VLOOKUP(B299,'CALC MEC ESTAB Y ESTIM M FINAL'!$B$7:$R$352,17,0)</f>
        <v>-1.2573276280000001E-4</v>
      </c>
      <c r="I299" s="46">
        <f t="shared" si="304"/>
        <v>213328</v>
      </c>
      <c r="J299" s="46">
        <f t="shared" si="305"/>
        <v>0</v>
      </c>
      <c r="K299" s="46">
        <f t="shared" si="306"/>
        <v>128563</v>
      </c>
      <c r="L299" s="46">
        <v>0</v>
      </c>
      <c r="M299" s="46">
        <f t="shared" si="307"/>
        <v>341891</v>
      </c>
      <c r="N299" s="46">
        <f t="shared" si="413"/>
        <v>128563</v>
      </c>
      <c r="O299" s="46">
        <f t="shared" si="308"/>
        <v>113440</v>
      </c>
      <c r="P299" s="46">
        <f t="shared" si="309"/>
        <v>0</v>
      </c>
      <c r="Q299" s="46">
        <f t="shared" si="310"/>
        <v>228451</v>
      </c>
      <c r="R299" s="46">
        <v>0</v>
      </c>
      <c r="S299" s="46">
        <f t="shared" si="311"/>
        <v>341891</v>
      </c>
      <c r="T299" s="46">
        <f t="shared" si="414"/>
        <v>357014</v>
      </c>
      <c r="U299" s="46">
        <f t="shared" si="312"/>
        <v>323620</v>
      </c>
      <c r="V299" s="46">
        <f t="shared" si="313"/>
        <v>0</v>
      </c>
      <c r="W299" s="46">
        <f t="shared" si="415"/>
        <v>0</v>
      </c>
      <c r="X299" s="46">
        <v>0</v>
      </c>
      <c r="Y299" s="46">
        <f t="shared" si="314"/>
        <v>323620</v>
      </c>
      <c r="Z299" s="46">
        <f t="shared" si="416"/>
        <v>357014</v>
      </c>
      <c r="AA299" s="46">
        <f t="shared" si="315"/>
        <v>171837</v>
      </c>
      <c r="AB299" s="46">
        <f t="shared" si="316"/>
        <v>0</v>
      </c>
      <c r="AC299" s="46">
        <f t="shared" si="317"/>
        <v>170054</v>
      </c>
      <c r="AD299" s="46">
        <v>0</v>
      </c>
      <c r="AE299" s="46">
        <f t="shared" si="318"/>
        <v>341891</v>
      </c>
      <c r="AF299" s="46">
        <f t="shared" si="417"/>
        <v>527068</v>
      </c>
      <c r="AG299" s="46">
        <f t="shared" si="319"/>
        <v>1495304</v>
      </c>
      <c r="AH299" s="46">
        <f t="shared" si="320"/>
        <v>13801</v>
      </c>
      <c r="AI299" s="46">
        <f t="shared" si="418"/>
        <v>-527068</v>
      </c>
      <c r="AJ299" s="46">
        <v>0</v>
      </c>
      <c r="AK299" s="46">
        <f t="shared" si="321"/>
        <v>982037</v>
      </c>
      <c r="AL299" s="46">
        <f t="shared" si="419"/>
        <v>0</v>
      </c>
      <c r="AM299" s="46">
        <f t="shared" si="322"/>
        <v>296182</v>
      </c>
      <c r="AN299" s="46">
        <f t="shared" si="323"/>
        <v>9781</v>
      </c>
      <c r="AO299" s="46">
        <f t="shared" si="324"/>
        <v>45709</v>
      </c>
      <c r="AP299" s="46">
        <v>0</v>
      </c>
      <c r="AQ299" s="46">
        <f t="shared" si="325"/>
        <v>351672</v>
      </c>
      <c r="AR299" s="46">
        <f t="shared" si="420"/>
        <v>45709</v>
      </c>
      <c r="AS299" s="46">
        <f t="shared" si="326"/>
        <v>588756</v>
      </c>
      <c r="AT299" s="46">
        <f t="shared" si="327"/>
        <v>57158</v>
      </c>
      <c r="AU299" s="46">
        <f t="shared" si="421"/>
        <v>-45709</v>
      </c>
      <c r="AV299" s="46">
        <v>0</v>
      </c>
      <c r="AW299" s="46">
        <f t="shared" si="328"/>
        <v>600205</v>
      </c>
      <c r="AX299" s="46">
        <f t="shared" si="422"/>
        <v>0</v>
      </c>
      <c r="AY299" s="46">
        <f t="shared" si="329"/>
        <v>194475</v>
      </c>
      <c r="AZ299" s="46">
        <f t="shared" si="330"/>
        <v>0</v>
      </c>
      <c r="BA299" s="46">
        <f t="shared" si="331"/>
        <v>147416</v>
      </c>
      <c r="BB299" s="46"/>
      <c r="BC299" s="46">
        <f t="shared" si="332"/>
        <v>341891</v>
      </c>
      <c r="BD299" s="46">
        <f t="shared" si="423"/>
        <v>147416</v>
      </c>
      <c r="BE299" s="46">
        <f t="shared" si="333"/>
        <v>376478</v>
      </c>
      <c r="BF299" s="46">
        <f t="shared" si="334"/>
        <v>14012</v>
      </c>
      <c r="BG299" s="46">
        <f t="shared" si="424"/>
        <v>0</v>
      </c>
      <c r="BH299" s="46">
        <v>0</v>
      </c>
      <c r="BI299" s="46">
        <f t="shared" si="335"/>
        <v>390490</v>
      </c>
      <c r="BJ299" s="46">
        <f t="shared" si="425"/>
        <v>147416</v>
      </c>
      <c r="BK299" s="46">
        <f t="shared" si="336"/>
        <v>794353</v>
      </c>
      <c r="BL299" s="46">
        <f t="shared" si="337"/>
        <v>0</v>
      </c>
      <c r="BM299" s="46">
        <f t="shared" si="426"/>
        <v>-147416</v>
      </c>
      <c r="BN299" s="46">
        <v>0</v>
      </c>
      <c r="BO299" s="46">
        <f t="shared" si="338"/>
        <v>646937</v>
      </c>
      <c r="BP299" s="46">
        <f t="shared" si="427"/>
        <v>0</v>
      </c>
      <c r="BQ299" s="46">
        <f t="shared" si="339"/>
        <v>294818</v>
      </c>
      <c r="BR299" s="46">
        <f t="shared" si="340"/>
        <v>0</v>
      </c>
      <c r="BS299" s="46">
        <f t="shared" si="341"/>
        <v>47073</v>
      </c>
      <c r="BT299" s="46">
        <v>0</v>
      </c>
      <c r="BU299" s="46">
        <f t="shared" si="342"/>
        <v>341891</v>
      </c>
      <c r="BV299" s="46">
        <f t="shared" si="428"/>
        <v>47073</v>
      </c>
      <c r="BW299" s="46">
        <f t="shared" si="343"/>
        <v>564953</v>
      </c>
      <c r="BX299" s="46">
        <f t="shared" si="344"/>
        <v>92093</v>
      </c>
      <c r="BY299" s="46">
        <f t="shared" si="345"/>
        <v>-47073</v>
      </c>
      <c r="BZ299" s="46">
        <v>0</v>
      </c>
      <c r="CA299" s="46">
        <f t="shared" si="346"/>
        <v>609973</v>
      </c>
      <c r="CB299" s="46">
        <f t="shared" si="429"/>
        <v>0</v>
      </c>
      <c r="CC299" s="155">
        <f t="shared" si="349"/>
        <v>0</v>
      </c>
      <c r="CD299" s="79" t="s">
        <v>538</v>
      </c>
      <c r="CE299" s="65">
        <f t="shared" si="350"/>
        <v>341891</v>
      </c>
      <c r="CF299" s="65">
        <f t="shared" si="351"/>
        <v>341891</v>
      </c>
      <c r="CG299" s="65">
        <f t="shared" si="352"/>
        <v>323620</v>
      </c>
      <c r="CH299" s="65">
        <f t="shared" si="353"/>
        <v>341891</v>
      </c>
      <c r="CI299" s="65">
        <f t="shared" si="354"/>
        <v>982037</v>
      </c>
      <c r="CJ299" s="65">
        <f t="shared" si="355"/>
        <v>351672</v>
      </c>
      <c r="CK299" s="65">
        <f t="shared" si="356"/>
        <v>600205</v>
      </c>
      <c r="CL299" s="65">
        <f t="shared" si="357"/>
        <v>341891</v>
      </c>
      <c r="CM299" s="65">
        <f t="shared" si="358"/>
        <v>390490</v>
      </c>
      <c r="CN299" s="65">
        <f t="shared" si="359"/>
        <v>646937</v>
      </c>
      <c r="CO299" s="65">
        <f t="shared" si="360"/>
        <v>341891</v>
      </c>
      <c r="CP299" s="65">
        <f t="shared" si="361"/>
        <v>609973</v>
      </c>
      <c r="CQ299" s="40" t="s">
        <v>538</v>
      </c>
    </row>
    <row r="300" spans="1:95" ht="3" customHeight="1" x14ac:dyDescent="0.25">
      <c r="A300" s="39">
        <v>1</v>
      </c>
      <c r="B300" s="28">
        <v>13302</v>
      </c>
      <c r="C300" s="28" t="s">
        <v>301</v>
      </c>
      <c r="D300" s="48">
        <f>+DATA!Q298</f>
        <v>4583257.9630000005</v>
      </c>
      <c r="E300" s="48">
        <f t="shared" si="347"/>
        <v>301731</v>
      </c>
      <c r="F300" s="48">
        <f t="shared" si="348"/>
        <v>458326</v>
      </c>
      <c r="G300" s="49">
        <f>VLOOKUP(B300,'CALC MEC ESTAB Y ESTIM M FINAL'!$B$7:$F$352,5,0)</f>
        <v>2.3651290875E-3</v>
      </c>
      <c r="H300" s="49">
        <f>VLOOKUP(B300,'CALC MEC ESTAB Y ESTIM M FINAL'!$B$7:$R$352,17,0)</f>
        <v>-9.6625826400000003E-5</v>
      </c>
      <c r="I300" s="46">
        <f t="shared" si="304"/>
        <v>187043</v>
      </c>
      <c r="J300" s="46">
        <f t="shared" si="305"/>
        <v>0</v>
      </c>
      <c r="K300" s="46">
        <f t="shared" si="306"/>
        <v>114688</v>
      </c>
      <c r="L300" s="46">
        <v>0</v>
      </c>
      <c r="M300" s="46">
        <f t="shared" si="307"/>
        <v>301731</v>
      </c>
      <c r="N300" s="46">
        <f t="shared" si="413"/>
        <v>114688</v>
      </c>
      <c r="O300" s="46">
        <f t="shared" si="308"/>
        <v>99463</v>
      </c>
      <c r="P300" s="46">
        <f t="shared" si="309"/>
        <v>0</v>
      </c>
      <c r="Q300" s="46">
        <f t="shared" si="310"/>
        <v>202268</v>
      </c>
      <c r="R300" s="46">
        <v>0</v>
      </c>
      <c r="S300" s="46">
        <f t="shared" si="311"/>
        <v>301731</v>
      </c>
      <c r="T300" s="46">
        <f t="shared" si="414"/>
        <v>316956</v>
      </c>
      <c r="U300" s="46">
        <f t="shared" si="312"/>
        <v>283746</v>
      </c>
      <c r="V300" s="46">
        <f t="shared" si="313"/>
        <v>0</v>
      </c>
      <c r="W300" s="46">
        <f t="shared" si="415"/>
        <v>0</v>
      </c>
      <c r="X300" s="46">
        <v>0</v>
      </c>
      <c r="Y300" s="46">
        <f t="shared" si="314"/>
        <v>283746</v>
      </c>
      <c r="Z300" s="46">
        <f t="shared" si="416"/>
        <v>316956</v>
      </c>
      <c r="AA300" s="46">
        <f t="shared" si="315"/>
        <v>150665</v>
      </c>
      <c r="AB300" s="46">
        <f t="shared" si="316"/>
        <v>0</v>
      </c>
      <c r="AC300" s="46">
        <f t="shared" si="317"/>
        <v>151066</v>
      </c>
      <c r="AD300" s="46">
        <v>0</v>
      </c>
      <c r="AE300" s="46">
        <f t="shared" si="318"/>
        <v>301731</v>
      </c>
      <c r="AF300" s="46">
        <f t="shared" si="417"/>
        <v>468022</v>
      </c>
      <c r="AG300" s="46">
        <f t="shared" si="319"/>
        <v>1311065</v>
      </c>
      <c r="AH300" s="46">
        <f t="shared" si="320"/>
        <v>12101</v>
      </c>
      <c r="AI300" s="46">
        <f t="shared" si="418"/>
        <v>-468022</v>
      </c>
      <c r="AJ300" s="46">
        <v>0</v>
      </c>
      <c r="AK300" s="46">
        <f t="shared" si="321"/>
        <v>855144</v>
      </c>
      <c r="AL300" s="46">
        <f t="shared" si="419"/>
        <v>0</v>
      </c>
      <c r="AM300" s="46">
        <f t="shared" si="322"/>
        <v>259688</v>
      </c>
      <c r="AN300" s="46">
        <f t="shared" si="323"/>
        <v>8576</v>
      </c>
      <c r="AO300" s="46">
        <f t="shared" si="324"/>
        <v>42043</v>
      </c>
      <c r="AP300" s="46">
        <v>0</v>
      </c>
      <c r="AQ300" s="46">
        <f t="shared" si="325"/>
        <v>310307</v>
      </c>
      <c r="AR300" s="46">
        <f t="shared" si="420"/>
        <v>42043</v>
      </c>
      <c r="AS300" s="46">
        <f t="shared" si="326"/>
        <v>516214</v>
      </c>
      <c r="AT300" s="46">
        <f t="shared" si="327"/>
        <v>50115</v>
      </c>
      <c r="AU300" s="46">
        <f t="shared" si="421"/>
        <v>-42043</v>
      </c>
      <c r="AV300" s="46">
        <v>0</v>
      </c>
      <c r="AW300" s="46">
        <f t="shared" si="328"/>
        <v>524286</v>
      </c>
      <c r="AX300" s="46">
        <f t="shared" si="422"/>
        <v>0</v>
      </c>
      <c r="AY300" s="46">
        <f t="shared" si="329"/>
        <v>170513</v>
      </c>
      <c r="AZ300" s="46">
        <f t="shared" si="330"/>
        <v>0</v>
      </c>
      <c r="BA300" s="46">
        <f t="shared" si="331"/>
        <v>131218</v>
      </c>
      <c r="BB300" s="46"/>
      <c r="BC300" s="46">
        <f t="shared" si="332"/>
        <v>301731</v>
      </c>
      <c r="BD300" s="46">
        <f t="shared" si="423"/>
        <v>131218</v>
      </c>
      <c r="BE300" s="46">
        <f t="shared" si="333"/>
        <v>330092</v>
      </c>
      <c r="BF300" s="46">
        <f t="shared" si="334"/>
        <v>12286</v>
      </c>
      <c r="BG300" s="46">
        <f t="shared" si="424"/>
        <v>0</v>
      </c>
      <c r="BH300" s="46">
        <v>0</v>
      </c>
      <c r="BI300" s="46">
        <f t="shared" si="335"/>
        <v>342378</v>
      </c>
      <c r="BJ300" s="46">
        <f t="shared" si="425"/>
        <v>131218</v>
      </c>
      <c r="BK300" s="46">
        <f t="shared" si="336"/>
        <v>696479</v>
      </c>
      <c r="BL300" s="46">
        <f t="shared" si="337"/>
        <v>0</v>
      </c>
      <c r="BM300" s="46">
        <f t="shared" si="426"/>
        <v>-131218</v>
      </c>
      <c r="BN300" s="46">
        <v>0</v>
      </c>
      <c r="BO300" s="46">
        <f t="shared" si="338"/>
        <v>565261</v>
      </c>
      <c r="BP300" s="46">
        <f t="shared" si="427"/>
        <v>0</v>
      </c>
      <c r="BQ300" s="46">
        <f t="shared" si="339"/>
        <v>258493</v>
      </c>
      <c r="BR300" s="46">
        <f t="shared" si="340"/>
        <v>0</v>
      </c>
      <c r="BS300" s="46">
        <f t="shared" si="341"/>
        <v>43238</v>
      </c>
      <c r="BT300" s="46">
        <v>0</v>
      </c>
      <c r="BU300" s="46">
        <f t="shared" si="342"/>
        <v>301731</v>
      </c>
      <c r="BV300" s="46">
        <f t="shared" si="428"/>
        <v>43238</v>
      </c>
      <c r="BW300" s="46">
        <f t="shared" si="343"/>
        <v>495344</v>
      </c>
      <c r="BX300" s="46">
        <f t="shared" si="344"/>
        <v>80746</v>
      </c>
      <c r="BY300" s="46">
        <f t="shared" si="345"/>
        <v>-43238</v>
      </c>
      <c r="BZ300" s="46">
        <v>0</v>
      </c>
      <c r="CA300" s="46">
        <f t="shared" si="346"/>
        <v>532852</v>
      </c>
      <c r="CB300" s="46">
        <f t="shared" si="429"/>
        <v>0</v>
      </c>
      <c r="CC300" s="155">
        <f t="shared" si="349"/>
        <v>0</v>
      </c>
      <c r="CD300" s="79" t="s">
        <v>538</v>
      </c>
      <c r="CE300" s="65">
        <f t="shared" si="350"/>
        <v>301731</v>
      </c>
      <c r="CF300" s="65">
        <f t="shared" si="351"/>
        <v>301731</v>
      </c>
      <c r="CG300" s="65">
        <f t="shared" si="352"/>
        <v>283746</v>
      </c>
      <c r="CH300" s="65">
        <f t="shared" si="353"/>
        <v>301731</v>
      </c>
      <c r="CI300" s="65">
        <f t="shared" si="354"/>
        <v>855144</v>
      </c>
      <c r="CJ300" s="65">
        <f t="shared" si="355"/>
        <v>310307</v>
      </c>
      <c r="CK300" s="65">
        <f t="shared" si="356"/>
        <v>524286</v>
      </c>
      <c r="CL300" s="65">
        <f t="shared" si="357"/>
        <v>301731</v>
      </c>
      <c r="CM300" s="65">
        <f t="shared" si="358"/>
        <v>342378</v>
      </c>
      <c r="CN300" s="65">
        <f t="shared" si="359"/>
        <v>565261</v>
      </c>
      <c r="CO300" s="65">
        <f t="shared" si="360"/>
        <v>301731</v>
      </c>
      <c r="CP300" s="65">
        <f t="shared" si="361"/>
        <v>532852</v>
      </c>
      <c r="CQ300" s="40" t="s">
        <v>538</v>
      </c>
    </row>
    <row r="301" spans="1:95" ht="3" customHeight="1" x14ac:dyDescent="0.25">
      <c r="A301" s="39">
        <v>1</v>
      </c>
      <c r="B301" s="28">
        <v>13303</v>
      </c>
      <c r="C301" s="28" t="s">
        <v>302</v>
      </c>
      <c r="D301" s="48">
        <f>+DATA!Q299</f>
        <v>1948504.06</v>
      </c>
      <c r="E301" s="48">
        <f t="shared" si="347"/>
        <v>128277</v>
      </c>
      <c r="F301" s="48">
        <f t="shared" si="348"/>
        <v>194850</v>
      </c>
      <c r="G301" s="49">
        <f>VLOOKUP(B301,'CALC MEC ESTAB Y ESTIM M FINAL'!$B$7:$F$352,5,0)</f>
        <v>1.0366466442999999E-3</v>
      </c>
      <c r="H301" s="49">
        <f>VLOOKUP(B301,'CALC MEC ESTAB Y ESTIM M FINAL'!$B$7:$R$352,17,0)</f>
        <v>-5.7341538500000002E-5</v>
      </c>
      <c r="I301" s="46">
        <f t="shared" si="304"/>
        <v>80746</v>
      </c>
      <c r="J301" s="46">
        <f t="shared" si="305"/>
        <v>0</v>
      </c>
      <c r="K301" s="46">
        <f t="shared" si="306"/>
        <v>47531</v>
      </c>
      <c r="L301" s="46">
        <v>0</v>
      </c>
      <c r="M301" s="46">
        <f t="shared" si="307"/>
        <v>128277</v>
      </c>
      <c r="N301" s="46">
        <f t="shared" si="413"/>
        <v>47531</v>
      </c>
      <c r="O301" s="46">
        <f t="shared" si="308"/>
        <v>42938</v>
      </c>
      <c r="P301" s="46">
        <f t="shared" si="309"/>
        <v>0</v>
      </c>
      <c r="Q301" s="46">
        <f t="shared" si="310"/>
        <v>85339</v>
      </c>
      <c r="R301" s="46">
        <v>0</v>
      </c>
      <c r="S301" s="46">
        <f t="shared" si="311"/>
        <v>128277</v>
      </c>
      <c r="T301" s="46">
        <f t="shared" si="414"/>
        <v>132870</v>
      </c>
      <c r="U301" s="46">
        <f t="shared" si="312"/>
        <v>122492</v>
      </c>
      <c r="V301" s="46">
        <f t="shared" si="313"/>
        <v>0</v>
      </c>
      <c r="W301" s="46">
        <f t="shared" si="415"/>
        <v>0</v>
      </c>
      <c r="X301" s="46">
        <v>0</v>
      </c>
      <c r="Y301" s="46">
        <f t="shared" si="314"/>
        <v>122492</v>
      </c>
      <c r="Z301" s="46">
        <f t="shared" si="416"/>
        <v>132870</v>
      </c>
      <c r="AA301" s="46">
        <f t="shared" si="315"/>
        <v>65041</v>
      </c>
      <c r="AB301" s="46">
        <f t="shared" si="316"/>
        <v>0</v>
      </c>
      <c r="AC301" s="46">
        <f t="shared" si="317"/>
        <v>63236</v>
      </c>
      <c r="AD301" s="46">
        <v>0</v>
      </c>
      <c r="AE301" s="46">
        <f t="shared" si="318"/>
        <v>128277</v>
      </c>
      <c r="AF301" s="46">
        <f t="shared" si="417"/>
        <v>196106</v>
      </c>
      <c r="AG301" s="46">
        <f t="shared" si="319"/>
        <v>565982</v>
      </c>
      <c r="AH301" s="46">
        <f t="shared" si="320"/>
        <v>5224</v>
      </c>
      <c r="AI301" s="46">
        <f t="shared" si="418"/>
        <v>-196106</v>
      </c>
      <c r="AJ301" s="46">
        <v>0</v>
      </c>
      <c r="AK301" s="46">
        <f t="shared" si="321"/>
        <v>375100</v>
      </c>
      <c r="AL301" s="46">
        <f t="shared" si="419"/>
        <v>0</v>
      </c>
      <c r="AM301" s="46">
        <f t="shared" si="322"/>
        <v>112107</v>
      </c>
      <c r="AN301" s="46">
        <f t="shared" si="323"/>
        <v>3702</v>
      </c>
      <c r="AO301" s="46">
        <f t="shared" si="324"/>
        <v>16170</v>
      </c>
      <c r="AP301" s="46">
        <v>0</v>
      </c>
      <c r="AQ301" s="46">
        <f t="shared" si="325"/>
        <v>131979</v>
      </c>
      <c r="AR301" s="46">
        <f t="shared" si="420"/>
        <v>16170</v>
      </c>
      <c r="AS301" s="46">
        <f t="shared" si="326"/>
        <v>222848</v>
      </c>
      <c r="AT301" s="46">
        <f t="shared" si="327"/>
        <v>21634</v>
      </c>
      <c r="AU301" s="46">
        <f t="shared" si="421"/>
        <v>-16170</v>
      </c>
      <c r="AV301" s="46">
        <v>0</v>
      </c>
      <c r="AW301" s="46">
        <f t="shared" si="328"/>
        <v>228312</v>
      </c>
      <c r="AX301" s="46">
        <f t="shared" si="422"/>
        <v>0</v>
      </c>
      <c r="AY301" s="46">
        <f t="shared" si="329"/>
        <v>73610</v>
      </c>
      <c r="AZ301" s="46">
        <f t="shared" si="330"/>
        <v>0</v>
      </c>
      <c r="BA301" s="46">
        <f t="shared" si="331"/>
        <v>54667</v>
      </c>
      <c r="BB301" s="46"/>
      <c r="BC301" s="46">
        <f t="shared" si="332"/>
        <v>128277</v>
      </c>
      <c r="BD301" s="46">
        <f t="shared" si="423"/>
        <v>54667</v>
      </c>
      <c r="BE301" s="46">
        <f t="shared" si="333"/>
        <v>142499</v>
      </c>
      <c r="BF301" s="46">
        <f t="shared" si="334"/>
        <v>5304</v>
      </c>
      <c r="BG301" s="46">
        <f t="shared" si="424"/>
        <v>0</v>
      </c>
      <c r="BH301" s="46">
        <v>0</v>
      </c>
      <c r="BI301" s="46">
        <f t="shared" si="335"/>
        <v>147803</v>
      </c>
      <c r="BJ301" s="46">
        <f t="shared" si="425"/>
        <v>54667</v>
      </c>
      <c r="BK301" s="46">
        <f t="shared" si="336"/>
        <v>300668</v>
      </c>
      <c r="BL301" s="46">
        <f t="shared" si="337"/>
        <v>0</v>
      </c>
      <c r="BM301" s="46">
        <f t="shared" si="426"/>
        <v>-54667</v>
      </c>
      <c r="BN301" s="46">
        <v>0</v>
      </c>
      <c r="BO301" s="46">
        <f t="shared" si="338"/>
        <v>246001</v>
      </c>
      <c r="BP301" s="46">
        <f t="shared" si="427"/>
        <v>0</v>
      </c>
      <c r="BQ301" s="46">
        <f t="shared" si="339"/>
        <v>111591</v>
      </c>
      <c r="BR301" s="46">
        <f t="shared" si="340"/>
        <v>0</v>
      </c>
      <c r="BS301" s="46">
        <f t="shared" si="341"/>
        <v>16686</v>
      </c>
      <c r="BT301" s="46">
        <v>0</v>
      </c>
      <c r="BU301" s="46">
        <f t="shared" si="342"/>
        <v>128277</v>
      </c>
      <c r="BV301" s="46">
        <f t="shared" si="428"/>
        <v>16686</v>
      </c>
      <c r="BW301" s="46">
        <f t="shared" si="343"/>
        <v>213838</v>
      </c>
      <c r="BX301" s="46">
        <f t="shared" si="344"/>
        <v>34858</v>
      </c>
      <c r="BY301" s="46">
        <f t="shared" si="345"/>
        <v>-16686</v>
      </c>
      <c r="BZ301" s="46">
        <v>0</v>
      </c>
      <c r="CA301" s="46">
        <f t="shared" si="346"/>
        <v>232010</v>
      </c>
      <c r="CB301" s="46">
        <f t="shared" si="429"/>
        <v>0</v>
      </c>
      <c r="CC301" s="155">
        <f t="shared" si="349"/>
        <v>0</v>
      </c>
      <c r="CD301" s="79" t="s">
        <v>538</v>
      </c>
      <c r="CE301" s="65">
        <f t="shared" si="350"/>
        <v>128277</v>
      </c>
      <c r="CF301" s="65">
        <f t="shared" si="351"/>
        <v>128277</v>
      </c>
      <c r="CG301" s="65">
        <f t="shared" si="352"/>
        <v>122492</v>
      </c>
      <c r="CH301" s="65">
        <f t="shared" si="353"/>
        <v>128277</v>
      </c>
      <c r="CI301" s="65">
        <f t="shared" si="354"/>
        <v>375100</v>
      </c>
      <c r="CJ301" s="65">
        <f t="shared" si="355"/>
        <v>131979</v>
      </c>
      <c r="CK301" s="65">
        <f t="shared" si="356"/>
        <v>228312</v>
      </c>
      <c r="CL301" s="65">
        <f t="shared" si="357"/>
        <v>128277</v>
      </c>
      <c r="CM301" s="65">
        <f t="shared" si="358"/>
        <v>147803</v>
      </c>
      <c r="CN301" s="65">
        <f t="shared" si="359"/>
        <v>246001</v>
      </c>
      <c r="CO301" s="65">
        <f t="shared" si="360"/>
        <v>128277</v>
      </c>
      <c r="CP301" s="65">
        <f t="shared" si="361"/>
        <v>232010</v>
      </c>
      <c r="CQ301" s="40" t="s">
        <v>538</v>
      </c>
    </row>
    <row r="302" spans="1:95" ht="3" customHeight="1" x14ac:dyDescent="0.25">
      <c r="A302" s="39">
        <v>1</v>
      </c>
      <c r="B302" s="28">
        <v>13401</v>
      </c>
      <c r="C302" s="28" t="s">
        <v>305</v>
      </c>
      <c r="D302" s="48">
        <f>+DATA!Q300</f>
        <v>19053814.919</v>
      </c>
      <c r="E302" s="48">
        <f t="shared" si="347"/>
        <v>1254376</v>
      </c>
      <c r="F302" s="48">
        <f t="shared" si="348"/>
        <v>1905381</v>
      </c>
      <c r="G302" s="49">
        <f>VLOOKUP(B302,'CALC MEC ESTAB Y ESTIM M FINAL'!$B$7:$F$352,5,0)</f>
        <v>7.3298234407999999E-3</v>
      </c>
      <c r="H302" s="49">
        <f>VLOOKUP(B302,'CALC MEC ESTAB Y ESTIM M FINAL'!$B$7:$R$352,17,0)</f>
        <v>1.7798217287000001E-3</v>
      </c>
      <c r="I302" s="46">
        <f t="shared" si="304"/>
        <v>751110</v>
      </c>
      <c r="J302" s="46">
        <f t="shared" si="305"/>
        <v>0</v>
      </c>
      <c r="K302" s="46">
        <f t="shared" si="306"/>
        <v>503266</v>
      </c>
      <c r="L302" s="46">
        <v>0</v>
      </c>
      <c r="M302" s="46">
        <f t="shared" si="307"/>
        <v>1254376</v>
      </c>
      <c r="N302" s="46">
        <f t="shared" si="413"/>
        <v>503266</v>
      </c>
      <c r="O302" s="46">
        <f t="shared" si="308"/>
        <v>399415</v>
      </c>
      <c r="P302" s="46">
        <f t="shared" si="309"/>
        <v>0</v>
      </c>
      <c r="Q302" s="46">
        <f t="shared" si="310"/>
        <v>854961</v>
      </c>
      <c r="R302" s="46">
        <v>0</v>
      </c>
      <c r="S302" s="46">
        <f t="shared" si="311"/>
        <v>1254376</v>
      </c>
      <c r="T302" s="46">
        <f t="shared" si="414"/>
        <v>1358227</v>
      </c>
      <c r="U302" s="46">
        <f t="shared" si="312"/>
        <v>1139441</v>
      </c>
      <c r="V302" s="46">
        <f t="shared" si="313"/>
        <v>0</v>
      </c>
      <c r="W302" s="46">
        <f t="shared" si="415"/>
        <v>0</v>
      </c>
      <c r="X302" s="46">
        <v>0</v>
      </c>
      <c r="Y302" s="46">
        <f t="shared" si="314"/>
        <v>1139441</v>
      </c>
      <c r="Z302" s="46">
        <f t="shared" si="416"/>
        <v>1358227</v>
      </c>
      <c r="AA302" s="46">
        <f t="shared" si="315"/>
        <v>605025</v>
      </c>
      <c r="AB302" s="46">
        <f t="shared" si="316"/>
        <v>0</v>
      </c>
      <c r="AC302" s="46">
        <f t="shared" si="317"/>
        <v>649351</v>
      </c>
      <c r="AD302" s="46">
        <v>0</v>
      </c>
      <c r="AE302" s="46">
        <f t="shared" si="318"/>
        <v>1254376</v>
      </c>
      <c r="AF302" s="46">
        <f t="shared" si="417"/>
        <v>2007578</v>
      </c>
      <c r="AG302" s="46">
        <f t="shared" si="319"/>
        <v>5264852</v>
      </c>
      <c r="AH302" s="46">
        <f t="shared" si="320"/>
        <v>48593</v>
      </c>
      <c r="AI302" s="46">
        <f t="shared" si="418"/>
        <v>-2007578</v>
      </c>
      <c r="AJ302" s="46">
        <v>0</v>
      </c>
      <c r="AK302" s="46">
        <f t="shared" si="321"/>
        <v>3305867</v>
      </c>
      <c r="AL302" s="46">
        <f t="shared" si="419"/>
        <v>0</v>
      </c>
      <c r="AM302" s="46">
        <f t="shared" si="322"/>
        <v>1042833</v>
      </c>
      <c r="AN302" s="46">
        <f t="shared" si="323"/>
        <v>34438</v>
      </c>
      <c r="AO302" s="46">
        <f t="shared" si="324"/>
        <v>211543</v>
      </c>
      <c r="AP302" s="46">
        <v>0</v>
      </c>
      <c r="AQ302" s="46">
        <f t="shared" si="325"/>
        <v>1288814</v>
      </c>
      <c r="AR302" s="46">
        <f t="shared" si="420"/>
        <v>211543</v>
      </c>
      <c r="AS302" s="46">
        <f t="shared" si="326"/>
        <v>2072966</v>
      </c>
      <c r="AT302" s="46">
        <f t="shared" si="327"/>
        <v>201247</v>
      </c>
      <c r="AU302" s="46">
        <f t="shared" si="421"/>
        <v>-167585</v>
      </c>
      <c r="AV302" s="46">
        <v>0</v>
      </c>
      <c r="AW302" s="46">
        <f t="shared" si="328"/>
        <v>2106628</v>
      </c>
      <c r="AX302" s="46">
        <f t="shared" si="422"/>
        <v>43958</v>
      </c>
      <c r="AY302" s="46">
        <f t="shared" si="329"/>
        <v>684732</v>
      </c>
      <c r="AZ302" s="46">
        <f t="shared" si="330"/>
        <v>0</v>
      </c>
      <c r="BA302" s="46">
        <f t="shared" si="331"/>
        <v>569644</v>
      </c>
      <c r="BB302" s="46"/>
      <c r="BC302" s="46">
        <f t="shared" si="332"/>
        <v>1254376</v>
      </c>
      <c r="BD302" s="46">
        <f t="shared" si="423"/>
        <v>613602</v>
      </c>
      <c r="BE302" s="46">
        <f t="shared" si="333"/>
        <v>1325551</v>
      </c>
      <c r="BF302" s="46">
        <f t="shared" si="334"/>
        <v>49336</v>
      </c>
      <c r="BG302" s="46">
        <f t="shared" si="424"/>
        <v>0</v>
      </c>
      <c r="BH302" s="46">
        <v>0</v>
      </c>
      <c r="BI302" s="46">
        <f t="shared" si="335"/>
        <v>1374887</v>
      </c>
      <c r="BJ302" s="46">
        <f t="shared" si="425"/>
        <v>613602</v>
      </c>
      <c r="BK302" s="46">
        <f t="shared" si="336"/>
        <v>2796855</v>
      </c>
      <c r="BL302" s="46">
        <f t="shared" si="337"/>
        <v>0</v>
      </c>
      <c r="BM302" s="46">
        <f t="shared" si="426"/>
        <v>-613602</v>
      </c>
      <c r="BN302" s="46">
        <v>0</v>
      </c>
      <c r="BO302" s="46">
        <f t="shared" si="338"/>
        <v>2183253</v>
      </c>
      <c r="BP302" s="46">
        <f t="shared" si="427"/>
        <v>0</v>
      </c>
      <c r="BQ302" s="46">
        <f t="shared" si="339"/>
        <v>1038033</v>
      </c>
      <c r="BR302" s="46">
        <f t="shared" si="340"/>
        <v>0</v>
      </c>
      <c r="BS302" s="46">
        <f t="shared" si="341"/>
        <v>216343</v>
      </c>
      <c r="BT302" s="46">
        <v>0</v>
      </c>
      <c r="BU302" s="46">
        <f t="shared" si="342"/>
        <v>1254376</v>
      </c>
      <c r="BV302" s="46">
        <f t="shared" si="428"/>
        <v>216343</v>
      </c>
      <c r="BW302" s="46">
        <f t="shared" si="343"/>
        <v>1989157</v>
      </c>
      <c r="BX302" s="46">
        <f t="shared" si="344"/>
        <v>324253</v>
      </c>
      <c r="BY302" s="46">
        <f t="shared" si="345"/>
        <v>-216343</v>
      </c>
      <c r="BZ302" s="46">
        <v>0</v>
      </c>
      <c r="CA302" s="46">
        <f t="shared" si="346"/>
        <v>2097067</v>
      </c>
      <c r="CB302" s="46">
        <f t="shared" si="429"/>
        <v>0</v>
      </c>
      <c r="CC302" s="155">
        <f t="shared" si="349"/>
        <v>0</v>
      </c>
      <c r="CD302" s="79" t="s">
        <v>538</v>
      </c>
      <c r="CE302" s="65">
        <f t="shared" si="350"/>
        <v>1254376</v>
      </c>
      <c r="CF302" s="65">
        <f t="shared" si="351"/>
        <v>1254376</v>
      </c>
      <c r="CG302" s="65">
        <f t="shared" si="352"/>
        <v>1139441</v>
      </c>
      <c r="CH302" s="65">
        <f t="shared" si="353"/>
        <v>1254376</v>
      </c>
      <c r="CI302" s="65">
        <f t="shared" si="354"/>
        <v>3305867</v>
      </c>
      <c r="CJ302" s="65">
        <f t="shared" si="355"/>
        <v>1288814</v>
      </c>
      <c r="CK302" s="65">
        <f t="shared" si="356"/>
        <v>2106628</v>
      </c>
      <c r="CL302" s="65">
        <f t="shared" si="357"/>
        <v>1254376</v>
      </c>
      <c r="CM302" s="65">
        <f t="shared" si="358"/>
        <v>1374887</v>
      </c>
      <c r="CN302" s="65">
        <f t="shared" si="359"/>
        <v>2183253</v>
      </c>
      <c r="CO302" s="65">
        <f t="shared" si="360"/>
        <v>1254376</v>
      </c>
      <c r="CP302" s="65">
        <f t="shared" si="361"/>
        <v>2097067</v>
      </c>
      <c r="CQ302" s="40" t="s">
        <v>538</v>
      </c>
    </row>
    <row r="303" spans="1:95" ht="3" customHeight="1" x14ac:dyDescent="0.25">
      <c r="A303" s="39">
        <v>1</v>
      </c>
      <c r="B303" s="28">
        <v>13402</v>
      </c>
      <c r="C303" s="28" t="s">
        <v>307</v>
      </c>
      <c r="D303" s="48">
        <f>+DATA!Q301</f>
        <v>4487416.3279999997</v>
      </c>
      <c r="E303" s="48">
        <f t="shared" si="347"/>
        <v>295422</v>
      </c>
      <c r="F303" s="48">
        <f t="shared" si="348"/>
        <v>448742</v>
      </c>
      <c r="G303" s="49">
        <f>VLOOKUP(B303,'CALC MEC ESTAB Y ESTIM M FINAL'!$B$7:$F$352,5,0)</f>
        <v>2.3225458963999999E-3</v>
      </c>
      <c r="H303" s="49">
        <f>VLOOKUP(B303,'CALC MEC ESTAB Y ESTIM M FINAL'!$B$7:$R$352,17,0)</f>
        <v>-9.7414661900000005E-5</v>
      </c>
      <c r="I303" s="46">
        <f t="shared" si="304"/>
        <v>183467</v>
      </c>
      <c r="J303" s="46">
        <f t="shared" si="305"/>
        <v>0</v>
      </c>
      <c r="K303" s="46">
        <f t="shared" si="306"/>
        <v>111955</v>
      </c>
      <c r="L303" s="46">
        <v>0</v>
      </c>
      <c r="M303" s="46">
        <f t="shared" si="307"/>
        <v>295422</v>
      </c>
      <c r="N303" s="46">
        <f t="shared" si="413"/>
        <v>111955</v>
      </c>
      <c r="O303" s="46">
        <f t="shared" si="308"/>
        <v>97562</v>
      </c>
      <c r="P303" s="46">
        <f t="shared" si="309"/>
        <v>0</v>
      </c>
      <c r="Q303" s="46">
        <f t="shared" si="310"/>
        <v>197860</v>
      </c>
      <c r="R303" s="46">
        <v>0</v>
      </c>
      <c r="S303" s="46">
        <f t="shared" si="311"/>
        <v>295422</v>
      </c>
      <c r="T303" s="46">
        <f t="shared" si="414"/>
        <v>309815</v>
      </c>
      <c r="U303" s="46">
        <f t="shared" si="312"/>
        <v>278321</v>
      </c>
      <c r="V303" s="46">
        <f t="shared" si="313"/>
        <v>0</v>
      </c>
      <c r="W303" s="46">
        <f t="shared" si="415"/>
        <v>0</v>
      </c>
      <c r="X303" s="46">
        <v>0</v>
      </c>
      <c r="Y303" s="46">
        <f t="shared" si="314"/>
        <v>278321</v>
      </c>
      <c r="Z303" s="46">
        <f t="shared" si="416"/>
        <v>309815</v>
      </c>
      <c r="AA303" s="46">
        <f t="shared" si="315"/>
        <v>147784</v>
      </c>
      <c r="AB303" s="46">
        <f t="shared" si="316"/>
        <v>0</v>
      </c>
      <c r="AC303" s="46">
        <f t="shared" si="317"/>
        <v>147638</v>
      </c>
      <c r="AD303" s="46">
        <v>0</v>
      </c>
      <c r="AE303" s="46">
        <f t="shared" si="318"/>
        <v>295422</v>
      </c>
      <c r="AF303" s="46">
        <f t="shared" si="417"/>
        <v>457453</v>
      </c>
      <c r="AG303" s="46">
        <f t="shared" si="319"/>
        <v>1285998</v>
      </c>
      <c r="AH303" s="46">
        <f t="shared" si="320"/>
        <v>11869</v>
      </c>
      <c r="AI303" s="46">
        <f t="shared" si="418"/>
        <v>-457453</v>
      </c>
      <c r="AJ303" s="46">
        <v>0</v>
      </c>
      <c r="AK303" s="46">
        <f t="shared" si="321"/>
        <v>840414</v>
      </c>
      <c r="AL303" s="46">
        <f t="shared" si="419"/>
        <v>0</v>
      </c>
      <c r="AM303" s="46">
        <f t="shared" si="322"/>
        <v>254723</v>
      </c>
      <c r="AN303" s="46">
        <f t="shared" si="323"/>
        <v>8412</v>
      </c>
      <c r="AO303" s="46">
        <f t="shared" si="324"/>
        <v>40699</v>
      </c>
      <c r="AP303" s="46">
        <v>0</v>
      </c>
      <c r="AQ303" s="46">
        <f t="shared" si="325"/>
        <v>303834</v>
      </c>
      <c r="AR303" s="46">
        <f t="shared" si="420"/>
        <v>40699</v>
      </c>
      <c r="AS303" s="46">
        <f t="shared" si="326"/>
        <v>506345</v>
      </c>
      <c r="AT303" s="46">
        <f t="shared" si="327"/>
        <v>49157</v>
      </c>
      <c r="AU303" s="46">
        <f t="shared" si="421"/>
        <v>-40699</v>
      </c>
      <c r="AV303" s="46">
        <v>0</v>
      </c>
      <c r="AW303" s="46">
        <f t="shared" si="328"/>
        <v>514803</v>
      </c>
      <c r="AX303" s="46">
        <f t="shared" si="422"/>
        <v>0</v>
      </c>
      <c r="AY303" s="46">
        <f t="shared" si="329"/>
        <v>167253</v>
      </c>
      <c r="AZ303" s="46">
        <f t="shared" si="330"/>
        <v>0</v>
      </c>
      <c r="BA303" s="46">
        <f t="shared" si="331"/>
        <v>128169</v>
      </c>
      <c r="BB303" s="46"/>
      <c r="BC303" s="46">
        <f t="shared" si="332"/>
        <v>295422</v>
      </c>
      <c r="BD303" s="46">
        <f t="shared" si="423"/>
        <v>128169</v>
      </c>
      <c r="BE303" s="46">
        <f t="shared" si="333"/>
        <v>323780</v>
      </c>
      <c r="BF303" s="46">
        <f t="shared" si="334"/>
        <v>12051</v>
      </c>
      <c r="BG303" s="46">
        <f t="shared" si="424"/>
        <v>0</v>
      </c>
      <c r="BH303" s="46">
        <v>0</v>
      </c>
      <c r="BI303" s="46">
        <f t="shared" si="335"/>
        <v>335831</v>
      </c>
      <c r="BJ303" s="46">
        <f t="shared" si="425"/>
        <v>128169</v>
      </c>
      <c r="BK303" s="46">
        <f t="shared" si="336"/>
        <v>683163</v>
      </c>
      <c r="BL303" s="46">
        <f t="shared" si="337"/>
        <v>0</v>
      </c>
      <c r="BM303" s="46">
        <f t="shared" si="426"/>
        <v>-128169</v>
      </c>
      <c r="BN303" s="46">
        <v>0</v>
      </c>
      <c r="BO303" s="46">
        <f t="shared" si="338"/>
        <v>554994</v>
      </c>
      <c r="BP303" s="46">
        <f t="shared" si="427"/>
        <v>0</v>
      </c>
      <c r="BQ303" s="46">
        <f t="shared" si="339"/>
        <v>253551</v>
      </c>
      <c r="BR303" s="46">
        <f t="shared" si="340"/>
        <v>0</v>
      </c>
      <c r="BS303" s="46">
        <f t="shared" si="341"/>
        <v>41871</v>
      </c>
      <c r="BT303" s="46">
        <v>0</v>
      </c>
      <c r="BU303" s="46">
        <f t="shared" si="342"/>
        <v>295422</v>
      </c>
      <c r="BV303" s="46">
        <f t="shared" si="428"/>
        <v>41871</v>
      </c>
      <c r="BW303" s="46">
        <f t="shared" si="343"/>
        <v>485874</v>
      </c>
      <c r="BX303" s="46">
        <f t="shared" si="344"/>
        <v>79202</v>
      </c>
      <c r="BY303" s="46">
        <f t="shared" si="345"/>
        <v>-41871</v>
      </c>
      <c r="BZ303" s="46">
        <v>0</v>
      </c>
      <c r="CA303" s="46">
        <f t="shared" si="346"/>
        <v>523205</v>
      </c>
      <c r="CB303" s="46">
        <f t="shared" si="429"/>
        <v>0</v>
      </c>
      <c r="CC303" s="155">
        <f t="shared" si="349"/>
        <v>0</v>
      </c>
      <c r="CD303" s="79" t="s">
        <v>538</v>
      </c>
      <c r="CE303" s="65">
        <f t="shared" si="350"/>
        <v>295422</v>
      </c>
      <c r="CF303" s="65">
        <f t="shared" si="351"/>
        <v>295422</v>
      </c>
      <c r="CG303" s="65">
        <f t="shared" si="352"/>
        <v>278321</v>
      </c>
      <c r="CH303" s="65">
        <f t="shared" si="353"/>
        <v>295422</v>
      </c>
      <c r="CI303" s="65">
        <f t="shared" si="354"/>
        <v>840414</v>
      </c>
      <c r="CJ303" s="65">
        <f t="shared" si="355"/>
        <v>303834</v>
      </c>
      <c r="CK303" s="65">
        <f t="shared" si="356"/>
        <v>514803</v>
      </c>
      <c r="CL303" s="65">
        <f t="shared" si="357"/>
        <v>295422</v>
      </c>
      <c r="CM303" s="65">
        <f t="shared" si="358"/>
        <v>335831</v>
      </c>
      <c r="CN303" s="65">
        <f t="shared" si="359"/>
        <v>554994</v>
      </c>
      <c r="CO303" s="65">
        <f t="shared" si="360"/>
        <v>295422</v>
      </c>
      <c r="CP303" s="65">
        <f t="shared" si="361"/>
        <v>523205</v>
      </c>
      <c r="CQ303" s="40" t="s">
        <v>538</v>
      </c>
    </row>
    <row r="304" spans="1:95" ht="3" customHeight="1" x14ac:dyDescent="0.25">
      <c r="A304" s="39">
        <v>1</v>
      </c>
      <c r="B304" s="28">
        <v>13403</v>
      </c>
      <c r="C304" s="28" t="s">
        <v>306</v>
      </c>
      <c r="D304" s="48">
        <f>+DATA!Q302</f>
        <v>1770198.675</v>
      </c>
      <c r="E304" s="48">
        <f t="shared" si="347"/>
        <v>116538</v>
      </c>
      <c r="F304" s="48">
        <f t="shared" si="348"/>
        <v>177020</v>
      </c>
      <c r="G304" s="49">
        <f>VLOOKUP(B304,'CALC MEC ESTAB Y ESTIM M FINAL'!$B$7:$F$352,5,0)</f>
        <v>9.3255851319999996E-4</v>
      </c>
      <c r="H304" s="49">
        <f>VLOOKUP(B304,'CALC MEC ESTAB Y ESTIM M FINAL'!$B$7:$R$352,17,0)</f>
        <v>-4.76842054E-5</v>
      </c>
      <c r="I304" s="46">
        <f t="shared" si="304"/>
        <v>72960</v>
      </c>
      <c r="J304" s="46">
        <f t="shared" si="305"/>
        <v>0</v>
      </c>
      <c r="K304" s="46">
        <f t="shared" si="306"/>
        <v>43578</v>
      </c>
      <c r="L304" s="46">
        <v>0</v>
      </c>
      <c r="M304" s="46">
        <f t="shared" si="307"/>
        <v>116538</v>
      </c>
      <c r="N304" s="46">
        <f t="shared" si="413"/>
        <v>43578</v>
      </c>
      <c r="O304" s="46">
        <f t="shared" si="308"/>
        <v>38798</v>
      </c>
      <c r="P304" s="46">
        <f t="shared" si="309"/>
        <v>0</v>
      </c>
      <c r="Q304" s="46">
        <f t="shared" si="310"/>
        <v>77740</v>
      </c>
      <c r="R304" s="46">
        <v>0</v>
      </c>
      <c r="S304" s="46">
        <f t="shared" si="311"/>
        <v>116538</v>
      </c>
      <c r="T304" s="46">
        <f t="shared" si="414"/>
        <v>121318</v>
      </c>
      <c r="U304" s="46">
        <f t="shared" si="312"/>
        <v>110681</v>
      </c>
      <c r="V304" s="46">
        <f t="shared" si="313"/>
        <v>0</v>
      </c>
      <c r="W304" s="46">
        <f t="shared" si="415"/>
        <v>0</v>
      </c>
      <c r="X304" s="46">
        <v>0</v>
      </c>
      <c r="Y304" s="46">
        <f t="shared" si="314"/>
        <v>110681</v>
      </c>
      <c r="Z304" s="46">
        <f t="shared" si="416"/>
        <v>121318</v>
      </c>
      <c r="AA304" s="46">
        <f t="shared" si="315"/>
        <v>58770</v>
      </c>
      <c r="AB304" s="46">
        <f t="shared" si="316"/>
        <v>0</v>
      </c>
      <c r="AC304" s="46">
        <f t="shared" si="317"/>
        <v>57768</v>
      </c>
      <c r="AD304" s="46">
        <v>0</v>
      </c>
      <c r="AE304" s="46">
        <f t="shared" si="318"/>
        <v>116538</v>
      </c>
      <c r="AF304" s="46">
        <f t="shared" si="417"/>
        <v>179086</v>
      </c>
      <c r="AG304" s="46">
        <f t="shared" si="319"/>
        <v>511407</v>
      </c>
      <c r="AH304" s="46">
        <f t="shared" si="320"/>
        <v>4720</v>
      </c>
      <c r="AI304" s="46">
        <f t="shared" si="418"/>
        <v>-179086</v>
      </c>
      <c r="AJ304" s="46">
        <v>0</v>
      </c>
      <c r="AK304" s="46">
        <f t="shared" si="321"/>
        <v>337041</v>
      </c>
      <c r="AL304" s="46">
        <f t="shared" si="419"/>
        <v>0</v>
      </c>
      <c r="AM304" s="46">
        <f t="shared" si="322"/>
        <v>101297</v>
      </c>
      <c r="AN304" s="46">
        <f t="shared" si="323"/>
        <v>3345</v>
      </c>
      <c r="AO304" s="46">
        <f t="shared" si="324"/>
        <v>15241</v>
      </c>
      <c r="AP304" s="46">
        <v>0</v>
      </c>
      <c r="AQ304" s="46">
        <f t="shared" si="325"/>
        <v>119883</v>
      </c>
      <c r="AR304" s="46">
        <f t="shared" si="420"/>
        <v>15241</v>
      </c>
      <c r="AS304" s="46">
        <f t="shared" si="326"/>
        <v>201360</v>
      </c>
      <c r="AT304" s="46">
        <f t="shared" si="327"/>
        <v>19548</v>
      </c>
      <c r="AU304" s="46">
        <f t="shared" si="421"/>
        <v>-15241</v>
      </c>
      <c r="AV304" s="46">
        <v>0</v>
      </c>
      <c r="AW304" s="46">
        <f t="shared" si="328"/>
        <v>205667</v>
      </c>
      <c r="AX304" s="46">
        <f t="shared" si="422"/>
        <v>0</v>
      </c>
      <c r="AY304" s="46">
        <f t="shared" si="329"/>
        <v>66512</v>
      </c>
      <c r="AZ304" s="46">
        <f t="shared" si="330"/>
        <v>0</v>
      </c>
      <c r="BA304" s="46">
        <f t="shared" si="331"/>
        <v>50026</v>
      </c>
      <c r="BB304" s="46"/>
      <c r="BC304" s="46">
        <f t="shared" si="332"/>
        <v>116538</v>
      </c>
      <c r="BD304" s="46">
        <f t="shared" si="423"/>
        <v>50026</v>
      </c>
      <c r="BE304" s="46">
        <f t="shared" si="333"/>
        <v>128759</v>
      </c>
      <c r="BF304" s="46">
        <f t="shared" si="334"/>
        <v>4792</v>
      </c>
      <c r="BG304" s="46">
        <f t="shared" si="424"/>
        <v>0</v>
      </c>
      <c r="BH304" s="46">
        <v>0</v>
      </c>
      <c r="BI304" s="46">
        <f t="shared" si="335"/>
        <v>133551</v>
      </c>
      <c r="BJ304" s="46">
        <f t="shared" si="425"/>
        <v>50026</v>
      </c>
      <c r="BK304" s="46">
        <f t="shared" si="336"/>
        <v>271675</v>
      </c>
      <c r="BL304" s="46">
        <f t="shared" si="337"/>
        <v>0</v>
      </c>
      <c r="BM304" s="46">
        <f t="shared" si="426"/>
        <v>-50026</v>
      </c>
      <c r="BN304" s="46">
        <v>0</v>
      </c>
      <c r="BO304" s="46">
        <f t="shared" si="338"/>
        <v>221649</v>
      </c>
      <c r="BP304" s="46">
        <f t="shared" si="427"/>
        <v>0</v>
      </c>
      <c r="BQ304" s="46">
        <f t="shared" si="339"/>
        <v>100830</v>
      </c>
      <c r="BR304" s="46">
        <f t="shared" si="340"/>
        <v>0</v>
      </c>
      <c r="BS304" s="46">
        <f t="shared" si="341"/>
        <v>15708</v>
      </c>
      <c r="BT304" s="46">
        <v>0</v>
      </c>
      <c r="BU304" s="46">
        <f t="shared" si="342"/>
        <v>116538</v>
      </c>
      <c r="BV304" s="46">
        <f t="shared" si="428"/>
        <v>15708</v>
      </c>
      <c r="BW304" s="46">
        <f t="shared" si="343"/>
        <v>193219</v>
      </c>
      <c r="BX304" s="46">
        <f t="shared" si="344"/>
        <v>31497</v>
      </c>
      <c r="BY304" s="46">
        <f t="shared" si="345"/>
        <v>-15708</v>
      </c>
      <c r="BZ304" s="46">
        <v>0</v>
      </c>
      <c r="CA304" s="46">
        <f t="shared" si="346"/>
        <v>209008</v>
      </c>
      <c r="CB304" s="46">
        <f t="shared" si="429"/>
        <v>0</v>
      </c>
      <c r="CC304" s="155">
        <f t="shared" si="349"/>
        <v>0</v>
      </c>
      <c r="CD304" s="79" t="s">
        <v>538</v>
      </c>
      <c r="CE304" s="65">
        <f t="shared" si="350"/>
        <v>116538</v>
      </c>
      <c r="CF304" s="65">
        <f t="shared" si="351"/>
        <v>116538</v>
      </c>
      <c r="CG304" s="65">
        <f t="shared" si="352"/>
        <v>110681</v>
      </c>
      <c r="CH304" s="65">
        <f t="shared" si="353"/>
        <v>116538</v>
      </c>
      <c r="CI304" s="65">
        <f t="shared" si="354"/>
        <v>337041</v>
      </c>
      <c r="CJ304" s="65">
        <f t="shared" si="355"/>
        <v>119883</v>
      </c>
      <c r="CK304" s="65">
        <f t="shared" si="356"/>
        <v>205667</v>
      </c>
      <c r="CL304" s="65">
        <f t="shared" si="357"/>
        <v>116538</v>
      </c>
      <c r="CM304" s="65">
        <f t="shared" si="358"/>
        <v>133551</v>
      </c>
      <c r="CN304" s="65">
        <f t="shared" si="359"/>
        <v>221649</v>
      </c>
      <c r="CO304" s="65">
        <f t="shared" si="360"/>
        <v>116538</v>
      </c>
      <c r="CP304" s="65">
        <f t="shared" si="361"/>
        <v>209008</v>
      </c>
      <c r="CQ304" s="40" t="s">
        <v>538</v>
      </c>
    </row>
    <row r="305" spans="1:95" ht="3" customHeight="1" x14ac:dyDescent="0.25">
      <c r="A305" s="39">
        <v>1</v>
      </c>
      <c r="B305" s="28">
        <v>13404</v>
      </c>
      <c r="C305" s="28" t="s">
        <v>308</v>
      </c>
      <c r="D305" s="48">
        <f>+DATA!Q303</f>
        <v>4056483.287</v>
      </c>
      <c r="E305" s="48">
        <f t="shared" si="347"/>
        <v>267052</v>
      </c>
      <c r="F305" s="48">
        <f t="shared" si="348"/>
        <v>405648</v>
      </c>
      <c r="G305" s="49">
        <f>VLOOKUP(B305,'CALC MEC ESTAB Y ESTIM M FINAL'!$B$7:$F$352,5,0)</f>
        <v>1.9200648464999998E-3</v>
      </c>
      <c r="H305" s="49">
        <f>VLOOKUP(B305,'CALC MEC ESTAB Y ESTIM M FINAL'!$B$7:$R$352,17,0)</f>
        <v>1.9343203900000001E-5</v>
      </c>
      <c r="I305" s="46">
        <f t="shared" si="304"/>
        <v>159908</v>
      </c>
      <c r="J305" s="46">
        <f t="shared" si="305"/>
        <v>0</v>
      </c>
      <c r="K305" s="46">
        <f t="shared" si="306"/>
        <v>107144</v>
      </c>
      <c r="L305" s="46">
        <v>0</v>
      </c>
      <c r="M305" s="46">
        <f t="shared" si="307"/>
        <v>267052</v>
      </c>
      <c r="N305" s="46">
        <f t="shared" si="413"/>
        <v>107144</v>
      </c>
      <c r="O305" s="46">
        <f t="shared" si="308"/>
        <v>85034</v>
      </c>
      <c r="P305" s="46">
        <f t="shared" si="309"/>
        <v>0</v>
      </c>
      <c r="Q305" s="46">
        <f t="shared" si="310"/>
        <v>182018</v>
      </c>
      <c r="R305" s="46">
        <v>0</v>
      </c>
      <c r="S305" s="46">
        <f t="shared" si="311"/>
        <v>267052</v>
      </c>
      <c r="T305" s="46">
        <f t="shared" si="414"/>
        <v>289162</v>
      </c>
      <c r="U305" s="46">
        <f t="shared" si="312"/>
        <v>242583</v>
      </c>
      <c r="V305" s="46">
        <f t="shared" si="313"/>
        <v>0</v>
      </c>
      <c r="W305" s="46">
        <f t="shared" si="415"/>
        <v>0</v>
      </c>
      <c r="X305" s="46">
        <v>0</v>
      </c>
      <c r="Y305" s="46">
        <f t="shared" si="314"/>
        <v>242583</v>
      </c>
      <c r="Z305" s="46">
        <f t="shared" si="416"/>
        <v>289162</v>
      </c>
      <c r="AA305" s="46">
        <f t="shared" si="315"/>
        <v>128808</v>
      </c>
      <c r="AB305" s="46">
        <f t="shared" si="316"/>
        <v>0</v>
      </c>
      <c r="AC305" s="46">
        <f t="shared" si="317"/>
        <v>138244</v>
      </c>
      <c r="AD305" s="46">
        <v>0</v>
      </c>
      <c r="AE305" s="46">
        <f t="shared" si="318"/>
        <v>267052</v>
      </c>
      <c r="AF305" s="46">
        <f t="shared" si="417"/>
        <v>427406</v>
      </c>
      <c r="AG305" s="46">
        <f t="shared" si="319"/>
        <v>1120867</v>
      </c>
      <c r="AH305" s="46">
        <f t="shared" si="320"/>
        <v>10345</v>
      </c>
      <c r="AI305" s="46">
        <f t="shared" si="418"/>
        <v>-427406</v>
      </c>
      <c r="AJ305" s="46">
        <v>0</v>
      </c>
      <c r="AK305" s="46">
        <f t="shared" si="321"/>
        <v>703806</v>
      </c>
      <c r="AL305" s="46">
        <f t="shared" si="419"/>
        <v>0</v>
      </c>
      <c r="AM305" s="46">
        <f t="shared" si="322"/>
        <v>222015</v>
      </c>
      <c r="AN305" s="46">
        <f t="shared" si="323"/>
        <v>7332</v>
      </c>
      <c r="AO305" s="46">
        <f t="shared" si="324"/>
        <v>45037</v>
      </c>
      <c r="AP305" s="46">
        <v>0</v>
      </c>
      <c r="AQ305" s="46">
        <f t="shared" si="325"/>
        <v>274384</v>
      </c>
      <c r="AR305" s="46">
        <f t="shared" si="420"/>
        <v>45037</v>
      </c>
      <c r="AS305" s="46">
        <f t="shared" si="326"/>
        <v>441326</v>
      </c>
      <c r="AT305" s="46">
        <f t="shared" si="327"/>
        <v>42845</v>
      </c>
      <c r="AU305" s="46">
        <f t="shared" si="421"/>
        <v>-35678</v>
      </c>
      <c r="AV305" s="46">
        <v>0</v>
      </c>
      <c r="AW305" s="46">
        <f t="shared" si="328"/>
        <v>448493</v>
      </c>
      <c r="AX305" s="46">
        <f t="shared" si="422"/>
        <v>9359</v>
      </c>
      <c r="AY305" s="46">
        <f t="shared" si="329"/>
        <v>145777</v>
      </c>
      <c r="AZ305" s="46">
        <f t="shared" si="330"/>
        <v>0</v>
      </c>
      <c r="BA305" s="46">
        <f t="shared" si="331"/>
        <v>121275</v>
      </c>
      <c r="BB305" s="46"/>
      <c r="BC305" s="46">
        <f t="shared" si="332"/>
        <v>267052</v>
      </c>
      <c r="BD305" s="46">
        <f t="shared" si="423"/>
        <v>130634</v>
      </c>
      <c r="BE305" s="46">
        <f t="shared" si="333"/>
        <v>282205</v>
      </c>
      <c r="BF305" s="46">
        <f t="shared" si="334"/>
        <v>10503</v>
      </c>
      <c r="BG305" s="46">
        <f t="shared" si="424"/>
        <v>0</v>
      </c>
      <c r="BH305" s="46">
        <v>0</v>
      </c>
      <c r="BI305" s="46">
        <f t="shared" si="335"/>
        <v>292708</v>
      </c>
      <c r="BJ305" s="46">
        <f t="shared" si="425"/>
        <v>130634</v>
      </c>
      <c r="BK305" s="46">
        <f t="shared" si="336"/>
        <v>595440</v>
      </c>
      <c r="BL305" s="46">
        <f t="shared" si="337"/>
        <v>0</v>
      </c>
      <c r="BM305" s="46">
        <f t="shared" si="426"/>
        <v>-130634</v>
      </c>
      <c r="BN305" s="46">
        <v>0</v>
      </c>
      <c r="BO305" s="46">
        <f t="shared" si="338"/>
        <v>464806</v>
      </c>
      <c r="BP305" s="46">
        <f t="shared" si="427"/>
        <v>0</v>
      </c>
      <c r="BQ305" s="46">
        <f t="shared" si="339"/>
        <v>220993</v>
      </c>
      <c r="BR305" s="46">
        <f t="shared" si="340"/>
        <v>0</v>
      </c>
      <c r="BS305" s="46">
        <f t="shared" si="341"/>
        <v>46059</v>
      </c>
      <c r="BT305" s="46">
        <v>0</v>
      </c>
      <c r="BU305" s="46">
        <f t="shared" si="342"/>
        <v>267052</v>
      </c>
      <c r="BV305" s="46">
        <f t="shared" si="428"/>
        <v>46059</v>
      </c>
      <c r="BW305" s="46">
        <f t="shared" si="343"/>
        <v>423484</v>
      </c>
      <c r="BX305" s="46">
        <f t="shared" si="344"/>
        <v>69032</v>
      </c>
      <c r="BY305" s="46">
        <f t="shared" si="345"/>
        <v>-46059</v>
      </c>
      <c r="BZ305" s="46">
        <v>0</v>
      </c>
      <c r="CA305" s="46">
        <f t="shared" si="346"/>
        <v>446457</v>
      </c>
      <c r="CB305" s="46">
        <f t="shared" si="429"/>
        <v>0</v>
      </c>
      <c r="CC305" s="155">
        <f t="shared" si="349"/>
        <v>0</v>
      </c>
      <c r="CD305" s="79" t="s">
        <v>538</v>
      </c>
      <c r="CE305" s="65">
        <f t="shared" si="350"/>
        <v>267052</v>
      </c>
      <c r="CF305" s="65">
        <f t="shared" si="351"/>
        <v>267052</v>
      </c>
      <c r="CG305" s="65">
        <f t="shared" si="352"/>
        <v>242583</v>
      </c>
      <c r="CH305" s="65">
        <f t="shared" si="353"/>
        <v>267052</v>
      </c>
      <c r="CI305" s="65">
        <f t="shared" si="354"/>
        <v>703806</v>
      </c>
      <c r="CJ305" s="65">
        <f t="shared" si="355"/>
        <v>274384</v>
      </c>
      <c r="CK305" s="65">
        <f t="shared" si="356"/>
        <v>448493</v>
      </c>
      <c r="CL305" s="65">
        <f t="shared" si="357"/>
        <v>267052</v>
      </c>
      <c r="CM305" s="65">
        <f t="shared" si="358"/>
        <v>292708</v>
      </c>
      <c r="CN305" s="65">
        <f t="shared" si="359"/>
        <v>464806</v>
      </c>
      <c r="CO305" s="65">
        <f t="shared" si="360"/>
        <v>267052</v>
      </c>
      <c r="CP305" s="65">
        <f t="shared" si="361"/>
        <v>446457</v>
      </c>
      <c r="CQ305" s="40" t="s">
        <v>538</v>
      </c>
    </row>
    <row r="306" spans="1:95" ht="3" customHeight="1" x14ac:dyDescent="0.25">
      <c r="A306" s="39">
        <v>1</v>
      </c>
      <c r="B306" s="28">
        <v>13501</v>
      </c>
      <c r="C306" s="28" t="s">
        <v>314</v>
      </c>
      <c r="D306" s="48">
        <f>+DATA!Q304</f>
        <v>16601326.274</v>
      </c>
      <c r="E306" s="48">
        <f t="shared" si="347"/>
        <v>1092921</v>
      </c>
      <c r="F306" s="48">
        <f t="shared" si="348"/>
        <v>1660133</v>
      </c>
      <c r="G306" s="49">
        <f>VLOOKUP(B306,'CALC MEC ESTAB Y ESTIM M FINAL'!$B$7:$F$352,5,0)</f>
        <v>1.07352913384E-2</v>
      </c>
      <c r="H306" s="49">
        <f>VLOOKUP(B306,'CALC MEC ESTAB Y ESTIM M FINAL'!$B$7:$R$352,17,0)</f>
        <v>-1.5240184888000001E-3</v>
      </c>
      <c r="I306" s="46">
        <f t="shared" si="304"/>
        <v>759489</v>
      </c>
      <c r="J306" s="46">
        <f t="shared" si="305"/>
        <v>0</v>
      </c>
      <c r="K306" s="46">
        <f t="shared" si="306"/>
        <v>333432</v>
      </c>
      <c r="L306" s="46">
        <v>0</v>
      </c>
      <c r="M306" s="46">
        <f t="shared" si="307"/>
        <v>1092921</v>
      </c>
      <c r="N306" s="46">
        <f t="shared" si="413"/>
        <v>333432</v>
      </c>
      <c r="O306" s="46">
        <f t="shared" si="308"/>
        <v>403871</v>
      </c>
      <c r="P306" s="46">
        <f t="shared" si="309"/>
        <v>0</v>
      </c>
      <c r="Q306" s="46">
        <f t="shared" si="310"/>
        <v>689050</v>
      </c>
      <c r="R306" s="46">
        <v>0</v>
      </c>
      <c r="S306" s="46">
        <f t="shared" si="311"/>
        <v>1092921</v>
      </c>
      <c r="T306" s="46">
        <f t="shared" si="414"/>
        <v>1022482</v>
      </c>
      <c r="U306" s="46">
        <f t="shared" si="312"/>
        <v>1152152</v>
      </c>
      <c r="V306" s="46">
        <f t="shared" si="313"/>
        <v>0</v>
      </c>
      <c r="W306" s="46">
        <f t="shared" si="415"/>
        <v>0</v>
      </c>
      <c r="X306" s="46">
        <v>0</v>
      </c>
      <c r="Y306" s="46">
        <f t="shared" si="314"/>
        <v>1152152</v>
      </c>
      <c r="Z306" s="46">
        <f t="shared" si="416"/>
        <v>1022482</v>
      </c>
      <c r="AA306" s="46">
        <f t="shared" si="315"/>
        <v>611775</v>
      </c>
      <c r="AB306" s="46">
        <f t="shared" si="316"/>
        <v>0</v>
      </c>
      <c r="AC306" s="46">
        <f t="shared" si="317"/>
        <v>481146</v>
      </c>
      <c r="AD306" s="46">
        <v>0</v>
      </c>
      <c r="AE306" s="46">
        <f t="shared" si="318"/>
        <v>1092921</v>
      </c>
      <c r="AF306" s="46">
        <f t="shared" si="417"/>
        <v>1503628</v>
      </c>
      <c r="AG306" s="46">
        <f t="shared" si="319"/>
        <v>5323587</v>
      </c>
      <c r="AH306" s="46">
        <f t="shared" si="320"/>
        <v>49135</v>
      </c>
      <c r="AI306" s="46">
        <f t="shared" si="418"/>
        <v>-1503628</v>
      </c>
      <c r="AJ306" s="46">
        <v>0</v>
      </c>
      <c r="AK306" s="46">
        <f t="shared" si="321"/>
        <v>3869094</v>
      </c>
      <c r="AL306" s="46">
        <f t="shared" si="419"/>
        <v>0</v>
      </c>
      <c r="AM306" s="46">
        <f t="shared" si="322"/>
        <v>1054467</v>
      </c>
      <c r="AN306" s="46">
        <f t="shared" si="323"/>
        <v>34823</v>
      </c>
      <c r="AO306" s="46">
        <f t="shared" si="324"/>
        <v>38454</v>
      </c>
      <c r="AP306" s="46">
        <v>0</v>
      </c>
      <c r="AQ306" s="46">
        <f t="shared" si="325"/>
        <v>1127744</v>
      </c>
      <c r="AR306" s="46">
        <f t="shared" si="420"/>
        <v>38454</v>
      </c>
      <c r="AS306" s="46">
        <f t="shared" si="326"/>
        <v>2096092</v>
      </c>
      <c r="AT306" s="46">
        <f t="shared" si="327"/>
        <v>203493</v>
      </c>
      <c r="AU306" s="46">
        <f t="shared" si="421"/>
        <v>-38454</v>
      </c>
      <c r="AV306" s="46">
        <v>0</v>
      </c>
      <c r="AW306" s="46">
        <f t="shared" si="328"/>
        <v>2261131</v>
      </c>
      <c r="AX306" s="46">
        <f t="shared" si="422"/>
        <v>0</v>
      </c>
      <c r="AY306" s="46">
        <f t="shared" si="329"/>
        <v>692371</v>
      </c>
      <c r="AZ306" s="46">
        <f t="shared" si="330"/>
        <v>0</v>
      </c>
      <c r="BA306" s="46">
        <f t="shared" si="331"/>
        <v>400550</v>
      </c>
      <c r="BB306" s="46"/>
      <c r="BC306" s="46">
        <f t="shared" si="332"/>
        <v>1092921</v>
      </c>
      <c r="BD306" s="46">
        <f t="shared" si="423"/>
        <v>400550</v>
      </c>
      <c r="BE306" s="46">
        <f t="shared" si="333"/>
        <v>1340339</v>
      </c>
      <c r="BF306" s="46">
        <f t="shared" si="334"/>
        <v>49886</v>
      </c>
      <c r="BG306" s="46">
        <f t="shared" si="424"/>
        <v>0</v>
      </c>
      <c r="BH306" s="46">
        <v>0</v>
      </c>
      <c r="BI306" s="46">
        <f t="shared" si="335"/>
        <v>1390225</v>
      </c>
      <c r="BJ306" s="46">
        <f t="shared" si="425"/>
        <v>400550</v>
      </c>
      <c r="BK306" s="46">
        <f t="shared" si="336"/>
        <v>2828057</v>
      </c>
      <c r="BL306" s="46">
        <f t="shared" si="337"/>
        <v>0</v>
      </c>
      <c r="BM306" s="46">
        <f t="shared" si="426"/>
        <v>-400550</v>
      </c>
      <c r="BN306" s="46">
        <v>0</v>
      </c>
      <c r="BO306" s="46">
        <f t="shared" si="338"/>
        <v>2427507</v>
      </c>
      <c r="BP306" s="46">
        <f t="shared" si="427"/>
        <v>0</v>
      </c>
      <c r="BQ306" s="46">
        <f t="shared" si="339"/>
        <v>1049613</v>
      </c>
      <c r="BR306" s="46">
        <f t="shared" si="340"/>
        <v>0</v>
      </c>
      <c r="BS306" s="46">
        <f t="shared" si="341"/>
        <v>43308</v>
      </c>
      <c r="BT306" s="46">
        <v>0</v>
      </c>
      <c r="BU306" s="46">
        <f t="shared" si="342"/>
        <v>1092921</v>
      </c>
      <c r="BV306" s="46">
        <f t="shared" si="428"/>
        <v>43308</v>
      </c>
      <c r="BW306" s="46">
        <f t="shared" si="343"/>
        <v>2011349</v>
      </c>
      <c r="BX306" s="46">
        <f t="shared" si="344"/>
        <v>327871</v>
      </c>
      <c r="BY306" s="46">
        <f t="shared" si="345"/>
        <v>-43308</v>
      </c>
      <c r="BZ306" s="46">
        <v>0</v>
      </c>
      <c r="CA306" s="46">
        <f t="shared" si="346"/>
        <v>2295912</v>
      </c>
      <c r="CB306" s="46">
        <f t="shared" si="429"/>
        <v>0</v>
      </c>
      <c r="CC306" s="155">
        <f t="shared" si="349"/>
        <v>0</v>
      </c>
      <c r="CD306" s="79" t="s">
        <v>538</v>
      </c>
      <c r="CE306" s="65">
        <f t="shared" si="350"/>
        <v>1092921</v>
      </c>
      <c r="CF306" s="65">
        <f t="shared" si="351"/>
        <v>1092921</v>
      </c>
      <c r="CG306" s="65">
        <f t="shared" si="352"/>
        <v>1152152</v>
      </c>
      <c r="CH306" s="65">
        <f t="shared" si="353"/>
        <v>1092921</v>
      </c>
      <c r="CI306" s="65">
        <f t="shared" si="354"/>
        <v>3869094</v>
      </c>
      <c r="CJ306" s="65">
        <f t="shared" si="355"/>
        <v>1127744</v>
      </c>
      <c r="CK306" s="65">
        <f t="shared" si="356"/>
        <v>2261131</v>
      </c>
      <c r="CL306" s="65">
        <f t="shared" si="357"/>
        <v>1092921</v>
      </c>
      <c r="CM306" s="65">
        <f t="shared" si="358"/>
        <v>1390225</v>
      </c>
      <c r="CN306" s="65">
        <f t="shared" si="359"/>
        <v>2427507</v>
      </c>
      <c r="CO306" s="65">
        <f t="shared" si="360"/>
        <v>1092921</v>
      </c>
      <c r="CP306" s="65">
        <f t="shared" si="361"/>
        <v>2295912</v>
      </c>
      <c r="CQ306" s="40" t="s">
        <v>538</v>
      </c>
    </row>
    <row r="307" spans="1:95" ht="3" customHeight="1" x14ac:dyDescent="0.25">
      <c r="A307" s="39">
        <v>1</v>
      </c>
      <c r="B307" s="28">
        <v>13502</v>
      </c>
      <c r="C307" s="28" t="s">
        <v>432</v>
      </c>
      <c r="D307" s="48">
        <f>+DATA!Q305</f>
        <v>1665706.0859999999</v>
      </c>
      <c r="E307" s="48">
        <f t="shared" si="347"/>
        <v>109659</v>
      </c>
      <c r="F307" s="48">
        <f t="shared" si="348"/>
        <v>166571</v>
      </c>
      <c r="G307" s="49">
        <f>VLOOKUP(B307,'CALC MEC ESTAB Y ESTIM M FINAL'!$B$7:$F$352,5,0)</f>
        <v>9.005805090999999E-4</v>
      </c>
      <c r="H307" s="49">
        <f>VLOOKUP(B307,'CALC MEC ESTAB Y ESTIM M FINAL'!$B$7:$R$352,17,0)</f>
        <v>-5.6456520799999998E-5</v>
      </c>
      <c r="I307" s="46">
        <f t="shared" si="304"/>
        <v>69600</v>
      </c>
      <c r="J307" s="46">
        <f t="shared" si="305"/>
        <v>0</v>
      </c>
      <c r="K307" s="46">
        <f t="shared" si="306"/>
        <v>40059</v>
      </c>
      <c r="L307" s="46">
        <v>0</v>
      </c>
      <c r="M307" s="46">
        <f t="shared" si="307"/>
        <v>109659</v>
      </c>
      <c r="N307" s="46">
        <f t="shared" si="413"/>
        <v>40059</v>
      </c>
      <c r="O307" s="46">
        <f t="shared" si="308"/>
        <v>37011</v>
      </c>
      <c r="P307" s="46">
        <f t="shared" si="309"/>
        <v>0</v>
      </c>
      <c r="Q307" s="46">
        <f t="shared" si="310"/>
        <v>72648</v>
      </c>
      <c r="R307" s="46">
        <v>0</v>
      </c>
      <c r="S307" s="46">
        <f t="shared" si="311"/>
        <v>109659</v>
      </c>
      <c r="T307" s="46">
        <f t="shared" si="414"/>
        <v>112707</v>
      </c>
      <c r="U307" s="46">
        <f t="shared" si="312"/>
        <v>105584</v>
      </c>
      <c r="V307" s="46">
        <f t="shared" si="313"/>
        <v>0</v>
      </c>
      <c r="W307" s="46">
        <f t="shared" si="415"/>
        <v>0</v>
      </c>
      <c r="X307" s="46">
        <v>0</v>
      </c>
      <c r="Y307" s="46">
        <f t="shared" si="314"/>
        <v>105584</v>
      </c>
      <c r="Z307" s="46">
        <f t="shared" si="416"/>
        <v>112707</v>
      </c>
      <c r="AA307" s="46">
        <f t="shared" si="315"/>
        <v>56063</v>
      </c>
      <c r="AB307" s="46">
        <f t="shared" si="316"/>
        <v>0</v>
      </c>
      <c r="AC307" s="46">
        <f t="shared" si="317"/>
        <v>53596</v>
      </c>
      <c r="AD307" s="46">
        <v>0</v>
      </c>
      <c r="AE307" s="46">
        <f t="shared" si="318"/>
        <v>109659</v>
      </c>
      <c r="AF307" s="46">
        <f t="shared" si="417"/>
        <v>166303</v>
      </c>
      <c r="AG307" s="46">
        <f t="shared" si="319"/>
        <v>487855</v>
      </c>
      <c r="AH307" s="46">
        <f t="shared" si="320"/>
        <v>4503</v>
      </c>
      <c r="AI307" s="46">
        <f t="shared" si="418"/>
        <v>-166303</v>
      </c>
      <c r="AJ307" s="46">
        <v>0</v>
      </c>
      <c r="AK307" s="46">
        <f t="shared" si="321"/>
        <v>326055</v>
      </c>
      <c r="AL307" s="46">
        <f t="shared" si="419"/>
        <v>0</v>
      </c>
      <c r="AM307" s="46">
        <f t="shared" si="322"/>
        <v>96632</v>
      </c>
      <c r="AN307" s="46">
        <f t="shared" si="323"/>
        <v>3191</v>
      </c>
      <c r="AO307" s="46">
        <f t="shared" si="324"/>
        <v>13027</v>
      </c>
      <c r="AP307" s="46">
        <v>0</v>
      </c>
      <c r="AQ307" s="46">
        <f t="shared" si="325"/>
        <v>112850</v>
      </c>
      <c r="AR307" s="46">
        <f t="shared" si="420"/>
        <v>13027</v>
      </c>
      <c r="AS307" s="46">
        <f t="shared" si="326"/>
        <v>192087</v>
      </c>
      <c r="AT307" s="46">
        <f t="shared" si="327"/>
        <v>18648</v>
      </c>
      <c r="AU307" s="46">
        <f t="shared" si="421"/>
        <v>-13027</v>
      </c>
      <c r="AV307" s="46">
        <v>0</v>
      </c>
      <c r="AW307" s="46">
        <f t="shared" si="328"/>
        <v>197708</v>
      </c>
      <c r="AX307" s="46">
        <f t="shared" si="422"/>
        <v>0</v>
      </c>
      <c r="AY307" s="46">
        <f t="shared" si="329"/>
        <v>63449</v>
      </c>
      <c r="AZ307" s="46">
        <f t="shared" si="330"/>
        <v>0</v>
      </c>
      <c r="BA307" s="46">
        <f t="shared" si="331"/>
        <v>46210</v>
      </c>
      <c r="BB307" s="46"/>
      <c r="BC307" s="46">
        <f t="shared" si="332"/>
        <v>109659</v>
      </c>
      <c r="BD307" s="46">
        <f t="shared" si="423"/>
        <v>46210</v>
      </c>
      <c r="BE307" s="46">
        <f t="shared" si="333"/>
        <v>122829</v>
      </c>
      <c r="BF307" s="46">
        <f t="shared" si="334"/>
        <v>4572</v>
      </c>
      <c r="BG307" s="46">
        <f t="shared" si="424"/>
        <v>0</v>
      </c>
      <c r="BH307" s="46">
        <v>0</v>
      </c>
      <c r="BI307" s="46">
        <f t="shared" si="335"/>
        <v>127401</v>
      </c>
      <c r="BJ307" s="46">
        <f t="shared" si="425"/>
        <v>46210</v>
      </c>
      <c r="BK307" s="46">
        <f t="shared" si="336"/>
        <v>259164</v>
      </c>
      <c r="BL307" s="46">
        <f t="shared" si="337"/>
        <v>0</v>
      </c>
      <c r="BM307" s="46">
        <f t="shared" si="426"/>
        <v>-46210</v>
      </c>
      <c r="BN307" s="46">
        <v>0</v>
      </c>
      <c r="BO307" s="46">
        <f t="shared" si="338"/>
        <v>212954</v>
      </c>
      <c r="BP307" s="46">
        <f t="shared" si="427"/>
        <v>0</v>
      </c>
      <c r="BQ307" s="46">
        <f t="shared" si="339"/>
        <v>96187</v>
      </c>
      <c r="BR307" s="46">
        <f t="shared" si="340"/>
        <v>0</v>
      </c>
      <c r="BS307" s="46">
        <f t="shared" si="341"/>
        <v>13472</v>
      </c>
      <c r="BT307" s="46">
        <v>0</v>
      </c>
      <c r="BU307" s="46">
        <f t="shared" si="342"/>
        <v>109659</v>
      </c>
      <c r="BV307" s="46">
        <f t="shared" si="428"/>
        <v>13472</v>
      </c>
      <c r="BW307" s="46">
        <f t="shared" si="343"/>
        <v>184321</v>
      </c>
      <c r="BX307" s="46">
        <f t="shared" si="344"/>
        <v>30046</v>
      </c>
      <c r="BY307" s="46">
        <f t="shared" si="345"/>
        <v>-13472</v>
      </c>
      <c r="BZ307" s="46">
        <v>0</v>
      </c>
      <c r="CA307" s="46">
        <f t="shared" si="346"/>
        <v>200895</v>
      </c>
      <c r="CB307" s="46">
        <f t="shared" si="429"/>
        <v>0</v>
      </c>
      <c r="CC307" s="155">
        <f t="shared" si="349"/>
        <v>0</v>
      </c>
      <c r="CD307" s="79" t="s">
        <v>538</v>
      </c>
      <c r="CE307" s="65">
        <f t="shared" si="350"/>
        <v>109659</v>
      </c>
      <c r="CF307" s="65">
        <f t="shared" si="351"/>
        <v>109659</v>
      </c>
      <c r="CG307" s="65">
        <f t="shared" si="352"/>
        <v>105584</v>
      </c>
      <c r="CH307" s="65">
        <f t="shared" si="353"/>
        <v>109659</v>
      </c>
      <c r="CI307" s="65">
        <f t="shared" si="354"/>
        <v>326055</v>
      </c>
      <c r="CJ307" s="65">
        <f t="shared" si="355"/>
        <v>112850</v>
      </c>
      <c r="CK307" s="65">
        <f t="shared" si="356"/>
        <v>197708</v>
      </c>
      <c r="CL307" s="65">
        <f t="shared" si="357"/>
        <v>109659</v>
      </c>
      <c r="CM307" s="65">
        <f t="shared" si="358"/>
        <v>127401</v>
      </c>
      <c r="CN307" s="65">
        <f t="shared" si="359"/>
        <v>212954</v>
      </c>
      <c r="CO307" s="65">
        <f t="shared" si="360"/>
        <v>109659</v>
      </c>
      <c r="CP307" s="65">
        <f t="shared" si="361"/>
        <v>200895</v>
      </c>
      <c r="CQ307" s="40" t="s">
        <v>538</v>
      </c>
    </row>
    <row r="308" spans="1:95" ht="3" customHeight="1" x14ac:dyDescent="0.25">
      <c r="A308" s="39">
        <v>1</v>
      </c>
      <c r="B308" s="28">
        <v>13503</v>
      </c>
      <c r="C308" s="28" t="s">
        <v>433</v>
      </c>
      <c r="D308" s="48">
        <f>+DATA!Q306</f>
        <v>2765195.4449999998</v>
      </c>
      <c r="E308" s="48">
        <f t="shared" si="347"/>
        <v>182042</v>
      </c>
      <c r="F308" s="48">
        <f t="shared" si="348"/>
        <v>276520</v>
      </c>
      <c r="G308" s="49">
        <f>VLOOKUP(B308,'CALC MEC ESTAB Y ESTIM M FINAL'!$B$7:$F$352,5,0)</f>
        <v>1.3305783451E-3</v>
      </c>
      <c r="H308" s="49">
        <f>VLOOKUP(B308,'CALC MEC ESTAB Y ESTIM M FINAL'!$B$7:$R$352,17,0)</f>
        <v>-4.6540940000000003E-6</v>
      </c>
      <c r="I308" s="46">
        <f t="shared" si="304"/>
        <v>109325</v>
      </c>
      <c r="J308" s="46">
        <f t="shared" si="305"/>
        <v>0</v>
      </c>
      <c r="K308" s="46">
        <f t="shared" si="306"/>
        <v>72717</v>
      </c>
      <c r="L308" s="46">
        <v>0</v>
      </c>
      <c r="M308" s="46">
        <f t="shared" si="307"/>
        <v>182042</v>
      </c>
      <c r="N308" s="46">
        <f t="shared" si="413"/>
        <v>72717</v>
      </c>
      <c r="O308" s="46">
        <f t="shared" si="308"/>
        <v>58136</v>
      </c>
      <c r="P308" s="46">
        <f t="shared" si="309"/>
        <v>0</v>
      </c>
      <c r="Q308" s="46">
        <f t="shared" si="310"/>
        <v>123906</v>
      </c>
      <c r="R308" s="46">
        <v>0</v>
      </c>
      <c r="S308" s="46">
        <f t="shared" si="311"/>
        <v>182042</v>
      </c>
      <c r="T308" s="46">
        <f t="shared" si="414"/>
        <v>196623</v>
      </c>
      <c r="U308" s="46">
        <f t="shared" si="312"/>
        <v>165848</v>
      </c>
      <c r="V308" s="46">
        <f t="shared" si="313"/>
        <v>0</v>
      </c>
      <c r="W308" s="46">
        <f t="shared" si="415"/>
        <v>0</v>
      </c>
      <c r="X308" s="46">
        <v>0</v>
      </c>
      <c r="Y308" s="46">
        <f t="shared" si="314"/>
        <v>165848</v>
      </c>
      <c r="Z308" s="46">
        <f t="shared" si="416"/>
        <v>196623</v>
      </c>
      <c r="AA308" s="46">
        <f t="shared" si="315"/>
        <v>88062</v>
      </c>
      <c r="AB308" s="46">
        <f t="shared" si="316"/>
        <v>0</v>
      </c>
      <c r="AC308" s="46">
        <f t="shared" si="317"/>
        <v>93980</v>
      </c>
      <c r="AD308" s="46">
        <v>0</v>
      </c>
      <c r="AE308" s="46">
        <f t="shared" si="318"/>
        <v>182042</v>
      </c>
      <c r="AF308" s="46">
        <f t="shared" si="417"/>
        <v>290603</v>
      </c>
      <c r="AG308" s="46">
        <f t="shared" si="319"/>
        <v>766308</v>
      </c>
      <c r="AH308" s="46">
        <f t="shared" si="320"/>
        <v>7073</v>
      </c>
      <c r="AI308" s="46">
        <f t="shared" si="418"/>
        <v>-290603</v>
      </c>
      <c r="AJ308" s="46">
        <v>0</v>
      </c>
      <c r="AK308" s="46">
        <f t="shared" si="321"/>
        <v>482778</v>
      </c>
      <c r="AL308" s="46">
        <f t="shared" si="419"/>
        <v>0</v>
      </c>
      <c r="AM308" s="46">
        <f t="shared" si="322"/>
        <v>151786</v>
      </c>
      <c r="AN308" s="46">
        <f t="shared" si="323"/>
        <v>5013</v>
      </c>
      <c r="AO308" s="46">
        <f t="shared" si="324"/>
        <v>30256</v>
      </c>
      <c r="AP308" s="46">
        <v>0</v>
      </c>
      <c r="AQ308" s="46">
        <f t="shared" si="325"/>
        <v>187055</v>
      </c>
      <c r="AR308" s="46">
        <f t="shared" si="420"/>
        <v>30256</v>
      </c>
      <c r="AS308" s="46">
        <f t="shared" si="326"/>
        <v>301724</v>
      </c>
      <c r="AT308" s="46">
        <f t="shared" si="327"/>
        <v>29292</v>
      </c>
      <c r="AU308" s="46">
        <f t="shared" si="421"/>
        <v>-25204</v>
      </c>
      <c r="AV308" s="46">
        <v>0</v>
      </c>
      <c r="AW308" s="46">
        <f t="shared" si="328"/>
        <v>305812</v>
      </c>
      <c r="AX308" s="46">
        <f t="shared" si="422"/>
        <v>5052</v>
      </c>
      <c r="AY308" s="46">
        <f t="shared" si="329"/>
        <v>99664</v>
      </c>
      <c r="AZ308" s="46">
        <f t="shared" si="330"/>
        <v>0</v>
      </c>
      <c r="BA308" s="46">
        <f t="shared" si="331"/>
        <v>82378</v>
      </c>
      <c r="BB308" s="46"/>
      <c r="BC308" s="46">
        <f t="shared" si="332"/>
        <v>182042</v>
      </c>
      <c r="BD308" s="46">
        <f t="shared" si="423"/>
        <v>87430</v>
      </c>
      <c r="BE308" s="46">
        <f t="shared" si="333"/>
        <v>192936</v>
      </c>
      <c r="BF308" s="46">
        <f t="shared" si="334"/>
        <v>7181</v>
      </c>
      <c r="BG308" s="46">
        <f t="shared" si="424"/>
        <v>0</v>
      </c>
      <c r="BH308" s="46">
        <v>0</v>
      </c>
      <c r="BI308" s="46">
        <f t="shared" si="335"/>
        <v>200117</v>
      </c>
      <c r="BJ308" s="46">
        <f t="shared" si="425"/>
        <v>87430</v>
      </c>
      <c r="BK308" s="46">
        <f t="shared" si="336"/>
        <v>407087</v>
      </c>
      <c r="BL308" s="46">
        <f t="shared" si="337"/>
        <v>0</v>
      </c>
      <c r="BM308" s="46">
        <f t="shared" si="426"/>
        <v>-87430</v>
      </c>
      <c r="BN308" s="46">
        <v>0</v>
      </c>
      <c r="BO308" s="46">
        <f t="shared" si="338"/>
        <v>319657</v>
      </c>
      <c r="BP308" s="46">
        <f t="shared" si="427"/>
        <v>0</v>
      </c>
      <c r="BQ308" s="46">
        <f t="shared" si="339"/>
        <v>151087</v>
      </c>
      <c r="BR308" s="46">
        <f t="shared" si="340"/>
        <v>0</v>
      </c>
      <c r="BS308" s="46">
        <f t="shared" si="341"/>
        <v>30955</v>
      </c>
      <c r="BT308" s="46">
        <v>0</v>
      </c>
      <c r="BU308" s="46">
        <f t="shared" si="342"/>
        <v>182042</v>
      </c>
      <c r="BV308" s="46">
        <f t="shared" si="428"/>
        <v>30955</v>
      </c>
      <c r="BW308" s="46">
        <f t="shared" si="343"/>
        <v>289525</v>
      </c>
      <c r="BX308" s="46">
        <f t="shared" si="344"/>
        <v>47196</v>
      </c>
      <c r="BY308" s="46">
        <f t="shared" si="345"/>
        <v>-30955</v>
      </c>
      <c r="BZ308" s="46">
        <v>0</v>
      </c>
      <c r="CA308" s="46">
        <f t="shared" si="346"/>
        <v>305766</v>
      </c>
      <c r="CB308" s="46">
        <f t="shared" si="429"/>
        <v>0</v>
      </c>
      <c r="CC308" s="155">
        <f t="shared" si="349"/>
        <v>0</v>
      </c>
      <c r="CD308" s="79" t="s">
        <v>538</v>
      </c>
      <c r="CE308" s="65">
        <f t="shared" si="350"/>
        <v>182042</v>
      </c>
      <c r="CF308" s="65">
        <f t="shared" si="351"/>
        <v>182042</v>
      </c>
      <c r="CG308" s="65">
        <f t="shared" si="352"/>
        <v>165848</v>
      </c>
      <c r="CH308" s="65">
        <f t="shared" si="353"/>
        <v>182042</v>
      </c>
      <c r="CI308" s="65">
        <f t="shared" si="354"/>
        <v>482778</v>
      </c>
      <c r="CJ308" s="65">
        <f t="shared" si="355"/>
        <v>187055</v>
      </c>
      <c r="CK308" s="65">
        <f t="shared" si="356"/>
        <v>305812</v>
      </c>
      <c r="CL308" s="65">
        <f t="shared" si="357"/>
        <v>182042</v>
      </c>
      <c r="CM308" s="65">
        <f t="shared" si="358"/>
        <v>200117</v>
      </c>
      <c r="CN308" s="65">
        <f t="shared" si="359"/>
        <v>319657</v>
      </c>
      <c r="CO308" s="65">
        <f t="shared" si="360"/>
        <v>182042</v>
      </c>
      <c r="CP308" s="65">
        <f t="shared" si="361"/>
        <v>305766</v>
      </c>
      <c r="CQ308" s="40" t="s">
        <v>538</v>
      </c>
    </row>
    <row r="309" spans="1:95" ht="3" customHeight="1" x14ac:dyDescent="0.25">
      <c r="A309" s="39">
        <v>1</v>
      </c>
      <c r="B309" s="28">
        <v>13504</v>
      </c>
      <c r="C309" s="28" t="s">
        <v>434</v>
      </c>
      <c r="D309" s="48">
        <f>+DATA!Q307</f>
        <v>1893169.247</v>
      </c>
      <c r="E309" s="48">
        <f t="shared" si="347"/>
        <v>124634</v>
      </c>
      <c r="F309" s="48">
        <f t="shared" si="348"/>
        <v>189317</v>
      </c>
      <c r="G309" s="49">
        <f>VLOOKUP(B309,'CALC MEC ESTAB Y ESTIM M FINAL'!$B$7:$F$352,5,0)</f>
        <v>1.0061531288999999E-3</v>
      </c>
      <c r="H309" s="49">
        <f>VLOOKUP(B309,'CALC MEC ESTAB Y ESTIM M FINAL'!$B$7:$R$352,17,0)</f>
        <v>-5.4957063999999998E-5</v>
      </c>
      <c r="I309" s="46">
        <f t="shared" si="304"/>
        <v>78428</v>
      </c>
      <c r="J309" s="46">
        <f t="shared" si="305"/>
        <v>0</v>
      </c>
      <c r="K309" s="46">
        <f t="shared" si="306"/>
        <v>46206</v>
      </c>
      <c r="L309" s="46">
        <v>0</v>
      </c>
      <c r="M309" s="46">
        <f t="shared" si="307"/>
        <v>124634</v>
      </c>
      <c r="N309" s="46">
        <f t="shared" si="413"/>
        <v>46206</v>
      </c>
      <c r="O309" s="46">
        <f t="shared" si="308"/>
        <v>41705</v>
      </c>
      <c r="P309" s="46">
        <f t="shared" si="309"/>
        <v>0</v>
      </c>
      <c r="Q309" s="46">
        <f t="shared" si="310"/>
        <v>82929</v>
      </c>
      <c r="R309" s="46">
        <v>0</v>
      </c>
      <c r="S309" s="46">
        <f t="shared" si="311"/>
        <v>124634</v>
      </c>
      <c r="T309" s="46">
        <f t="shared" si="414"/>
        <v>129135</v>
      </c>
      <c r="U309" s="46">
        <f t="shared" si="312"/>
        <v>118976</v>
      </c>
      <c r="V309" s="46">
        <f t="shared" si="313"/>
        <v>0</v>
      </c>
      <c r="W309" s="46">
        <f t="shared" si="415"/>
        <v>0</v>
      </c>
      <c r="X309" s="46">
        <v>0</v>
      </c>
      <c r="Y309" s="46">
        <f t="shared" si="314"/>
        <v>118976</v>
      </c>
      <c r="Z309" s="46">
        <f t="shared" si="416"/>
        <v>129135</v>
      </c>
      <c r="AA309" s="46">
        <f t="shared" si="315"/>
        <v>63175</v>
      </c>
      <c r="AB309" s="46">
        <f t="shared" si="316"/>
        <v>0</v>
      </c>
      <c r="AC309" s="46">
        <f t="shared" si="317"/>
        <v>61459</v>
      </c>
      <c r="AD309" s="46">
        <v>0</v>
      </c>
      <c r="AE309" s="46">
        <f t="shared" si="318"/>
        <v>124634</v>
      </c>
      <c r="AF309" s="46">
        <f t="shared" si="417"/>
        <v>190594</v>
      </c>
      <c r="AG309" s="46">
        <f t="shared" si="319"/>
        <v>549737</v>
      </c>
      <c r="AH309" s="46">
        <f t="shared" si="320"/>
        <v>5074</v>
      </c>
      <c r="AI309" s="46">
        <f t="shared" si="418"/>
        <v>-190594</v>
      </c>
      <c r="AJ309" s="46">
        <v>0</v>
      </c>
      <c r="AK309" s="46">
        <f t="shared" si="321"/>
        <v>364217</v>
      </c>
      <c r="AL309" s="46">
        <f t="shared" si="419"/>
        <v>0</v>
      </c>
      <c r="AM309" s="46">
        <f t="shared" si="322"/>
        <v>108889</v>
      </c>
      <c r="AN309" s="46">
        <f t="shared" si="323"/>
        <v>3596</v>
      </c>
      <c r="AO309" s="46">
        <f t="shared" si="324"/>
        <v>15745</v>
      </c>
      <c r="AP309" s="46">
        <v>0</v>
      </c>
      <c r="AQ309" s="46">
        <f t="shared" si="325"/>
        <v>128230</v>
      </c>
      <c r="AR309" s="46">
        <f t="shared" si="420"/>
        <v>15745</v>
      </c>
      <c r="AS309" s="46">
        <f t="shared" si="326"/>
        <v>216452</v>
      </c>
      <c r="AT309" s="46">
        <f t="shared" si="327"/>
        <v>21014</v>
      </c>
      <c r="AU309" s="46">
        <f t="shared" si="421"/>
        <v>-15745</v>
      </c>
      <c r="AV309" s="46">
        <v>0</v>
      </c>
      <c r="AW309" s="46">
        <f t="shared" si="328"/>
        <v>221721</v>
      </c>
      <c r="AX309" s="46">
        <f t="shared" si="422"/>
        <v>0</v>
      </c>
      <c r="AY309" s="46">
        <f t="shared" si="329"/>
        <v>71497</v>
      </c>
      <c r="AZ309" s="46">
        <f t="shared" si="330"/>
        <v>0</v>
      </c>
      <c r="BA309" s="46">
        <f t="shared" si="331"/>
        <v>53137</v>
      </c>
      <c r="BB309" s="46"/>
      <c r="BC309" s="46">
        <f t="shared" si="332"/>
        <v>124634</v>
      </c>
      <c r="BD309" s="46">
        <f t="shared" si="423"/>
        <v>53137</v>
      </c>
      <c r="BE309" s="46">
        <f t="shared" si="333"/>
        <v>138409</v>
      </c>
      <c r="BF309" s="46">
        <f t="shared" si="334"/>
        <v>5151</v>
      </c>
      <c r="BG309" s="46">
        <f t="shared" si="424"/>
        <v>0</v>
      </c>
      <c r="BH309" s="46">
        <v>0</v>
      </c>
      <c r="BI309" s="46">
        <f t="shared" si="335"/>
        <v>143560</v>
      </c>
      <c r="BJ309" s="46">
        <f t="shared" si="425"/>
        <v>53137</v>
      </c>
      <c r="BK309" s="46">
        <f t="shared" si="336"/>
        <v>292037</v>
      </c>
      <c r="BL309" s="46">
        <f t="shared" si="337"/>
        <v>0</v>
      </c>
      <c r="BM309" s="46">
        <f t="shared" si="426"/>
        <v>-53137</v>
      </c>
      <c r="BN309" s="46">
        <v>0</v>
      </c>
      <c r="BO309" s="46">
        <f t="shared" si="338"/>
        <v>238900</v>
      </c>
      <c r="BP309" s="46">
        <f t="shared" si="427"/>
        <v>0</v>
      </c>
      <c r="BQ309" s="46">
        <f t="shared" si="339"/>
        <v>108388</v>
      </c>
      <c r="BR309" s="46">
        <f t="shared" si="340"/>
        <v>0</v>
      </c>
      <c r="BS309" s="46">
        <f t="shared" si="341"/>
        <v>16246</v>
      </c>
      <c r="BT309" s="46">
        <v>0</v>
      </c>
      <c r="BU309" s="46">
        <f t="shared" si="342"/>
        <v>124634</v>
      </c>
      <c r="BV309" s="46">
        <f t="shared" si="428"/>
        <v>16246</v>
      </c>
      <c r="BW309" s="46">
        <f t="shared" si="343"/>
        <v>207701</v>
      </c>
      <c r="BX309" s="46">
        <f t="shared" si="344"/>
        <v>33857</v>
      </c>
      <c r="BY309" s="46">
        <f t="shared" si="345"/>
        <v>-16246</v>
      </c>
      <c r="BZ309" s="46">
        <v>0</v>
      </c>
      <c r="CA309" s="46">
        <f t="shared" si="346"/>
        <v>225312</v>
      </c>
      <c r="CB309" s="46">
        <f t="shared" si="429"/>
        <v>0</v>
      </c>
      <c r="CC309" s="155">
        <f t="shared" si="349"/>
        <v>0</v>
      </c>
      <c r="CD309" s="79" t="s">
        <v>538</v>
      </c>
      <c r="CE309" s="65">
        <f t="shared" si="350"/>
        <v>124634</v>
      </c>
      <c r="CF309" s="65">
        <f t="shared" si="351"/>
        <v>124634</v>
      </c>
      <c r="CG309" s="65">
        <f t="shared" si="352"/>
        <v>118976</v>
      </c>
      <c r="CH309" s="65">
        <f t="shared" si="353"/>
        <v>124634</v>
      </c>
      <c r="CI309" s="65">
        <f t="shared" si="354"/>
        <v>364217</v>
      </c>
      <c r="CJ309" s="65">
        <f t="shared" si="355"/>
        <v>128230</v>
      </c>
      <c r="CK309" s="65">
        <f t="shared" si="356"/>
        <v>221721</v>
      </c>
      <c r="CL309" s="65">
        <f t="shared" si="357"/>
        <v>124634</v>
      </c>
      <c r="CM309" s="65">
        <f t="shared" si="358"/>
        <v>143560</v>
      </c>
      <c r="CN309" s="65">
        <f t="shared" si="359"/>
        <v>238900</v>
      </c>
      <c r="CO309" s="65">
        <f t="shared" si="360"/>
        <v>124634</v>
      </c>
      <c r="CP309" s="65">
        <f t="shared" si="361"/>
        <v>225312</v>
      </c>
      <c r="CQ309" s="40" t="s">
        <v>538</v>
      </c>
    </row>
    <row r="310" spans="1:95" ht="3" customHeight="1" x14ac:dyDescent="0.25">
      <c r="A310" s="39">
        <v>1</v>
      </c>
      <c r="B310" s="28">
        <v>13505</v>
      </c>
      <c r="C310" s="28" t="s">
        <v>315</v>
      </c>
      <c r="D310" s="48">
        <f>+DATA!Q308</f>
        <v>2133769.6830000002</v>
      </c>
      <c r="E310" s="48">
        <f t="shared" si="347"/>
        <v>140473</v>
      </c>
      <c r="F310" s="48">
        <f t="shared" si="348"/>
        <v>213377</v>
      </c>
      <c r="G310" s="49">
        <f>VLOOKUP(B310,'CALC MEC ESTAB Y ESTIM M FINAL'!$B$7:$F$352,5,0)</f>
        <v>1.0687676505E-3</v>
      </c>
      <c r="H310" s="49">
        <f>VLOOKUP(B310,'CALC MEC ESTAB Y ESTIM M FINAL'!$B$7:$R$352,17,0)</f>
        <v>-2.6017125299999998E-5</v>
      </c>
      <c r="I310" s="46">
        <f t="shared" si="304"/>
        <v>85977</v>
      </c>
      <c r="J310" s="46">
        <f t="shared" si="305"/>
        <v>0</v>
      </c>
      <c r="K310" s="46">
        <f t="shared" si="306"/>
        <v>54496</v>
      </c>
      <c r="L310" s="46">
        <v>0</v>
      </c>
      <c r="M310" s="46">
        <f t="shared" si="307"/>
        <v>140473</v>
      </c>
      <c r="N310" s="46">
        <f t="shared" si="413"/>
        <v>54496</v>
      </c>
      <c r="O310" s="46">
        <f t="shared" si="308"/>
        <v>45720</v>
      </c>
      <c r="P310" s="46">
        <f t="shared" si="309"/>
        <v>0</v>
      </c>
      <c r="Q310" s="46">
        <f t="shared" si="310"/>
        <v>94753</v>
      </c>
      <c r="R310" s="46">
        <v>0</v>
      </c>
      <c r="S310" s="46">
        <f t="shared" si="311"/>
        <v>140473</v>
      </c>
      <c r="T310" s="46">
        <f t="shared" si="414"/>
        <v>149249</v>
      </c>
      <c r="U310" s="46">
        <f t="shared" si="312"/>
        <v>130428</v>
      </c>
      <c r="V310" s="46">
        <f t="shared" si="313"/>
        <v>0</v>
      </c>
      <c r="W310" s="46">
        <f t="shared" si="415"/>
        <v>0</v>
      </c>
      <c r="X310" s="46">
        <v>0</v>
      </c>
      <c r="Y310" s="46">
        <f t="shared" si="314"/>
        <v>130428</v>
      </c>
      <c r="Z310" s="46">
        <f t="shared" si="416"/>
        <v>149249</v>
      </c>
      <c r="AA310" s="46">
        <f t="shared" si="315"/>
        <v>69255</v>
      </c>
      <c r="AB310" s="46">
        <f t="shared" si="316"/>
        <v>0</v>
      </c>
      <c r="AC310" s="46">
        <f t="shared" si="317"/>
        <v>71218</v>
      </c>
      <c r="AD310" s="46">
        <v>0</v>
      </c>
      <c r="AE310" s="46">
        <f t="shared" si="318"/>
        <v>140473</v>
      </c>
      <c r="AF310" s="46">
        <f t="shared" si="417"/>
        <v>220467</v>
      </c>
      <c r="AG310" s="46">
        <f t="shared" si="319"/>
        <v>602650</v>
      </c>
      <c r="AH310" s="46">
        <f t="shared" si="320"/>
        <v>5562</v>
      </c>
      <c r="AI310" s="46">
        <f t="shared" si="418"/>
        <v>-220467</v>
      </c>
      <c r="AJ310" s="46">
        <v>0</v>
      </c>
      <c r="AK310" s="46">
        <f t="shared" si="321"/>
        <v>387745</v>
      </c>
      <c r="AL310" s="46">
        <f t="shared" si="419"/>
        <v>0</v>
      </c>
      <c r="AM310" s="46">
        <f t="shared" si="322"/>
        <v>119370</v>
      </c>
      <c r="AN310" s="46">
        <f t="shared" si="323"/>
        <v>3942</v>
      </c>
      <c r="AO310" s="46">
        <f t="shared" si="324"/>
        <v>21103</v>
      </c>
      <c r="AP310" s="46">
        <v>0</v>
      </c>
      <c r="AQ310" s="46">
        <f t="shared" si="325"/>
        <v>144415</v>
      </c>
      <c r="AR310" s="46">
        <f t="shared" si="420"/>
        <v>21103</v>
      </c>
      <c r="AS310" s="46">
        <f t="shared" si="326"/>
        <v>237285</v>
      </c>
      <c r="AT310" s="46">
        <f t="shared" si="327"/>
        <v>23036</v>
      </c>
      <c r="AU310" s="46">
        <f t="shared" si="421"/>
        <v>-21103</v>
      </c>
      <c r="AV310" s="46">
        <v>0</v>
      </c>
      <c r="AW310" s="46">
        <f t="shared" si="328"/>
        <v>239218</v>
      </c>
      <c r="AX310" s="46">
        <f t="shared" si="422"/>
        <v>0</v>
      </c>
      <c r="AY310" s="46">
        <f t="shared" si="329"/>
        <v>78379</v>
      </c>
      <c r="AZ310" s="46">
        <f t="shared" si="330"/>
        <v>0</v>
      </c>
      <c r="BA310" s="46">
        <f t="shared" si="331"/>
        <v>62094</v>
      </c>
      <c r="BB310" s="46"/>
      <c r="BC310" s="46">
        <f t="shared" si="332"/>
        <v>140473</v>
      </c>
      <c r="BD310" s="46">
        <f t="shared" si="423"/>
        <v>62094</v>
      </c>
      <c r="BE310" s="46">
        <f t="shared" si="333"/>
        <v>151731</v>
      </c>
      <c r="BF310" s="46">
        <f t="shared" si="334"/>
        <v>5647</v>
      </c>
      <c r="BG310" s="46">
        <f t="shared" si="424"/>
        <v>0</v>
      </c>
      <c r="BH310" s="46">
        <v>0</v>
      </c>
      <c r="BI310" s="46">
        <f t="shared" si="335"/>
        <v>157378</v>
      </c>
      <c r="BJ310" s="46">
        <f t="shared" si="425"/>
        <v>62094</v>
      </c>
      <c r="BK310" s="46">
        <f t="shared" si="336"/>
        <v>320147</v>
      </c>
      <c r="BL310" s="46">
        <f t="shared" si="337"/>
        <v>0</v>
      </c>
      <c r="BM310" s="46">
        <f t="shared" si="426"/>
        <v>-62094</v>
      </c>
      <c r="BN310" s="46">
        <v>0</v>
      </c>
      <c r="BO310" s="46">
        <f t="shared" si="338"/>
        <v>258053</v>
      </c>
      <c r="BP310" s="46">
        <f t="shared" si="427"/>
        <v>0</v>
      </c>
      <c r="BQ310" s="46">
        <f t="shared" si="339"/>
        <v>118820</v>
      </c>
      <c r="BR310" s="46">
        <f t="shared" si="340"/>
        <v>0</v>
      </c>
      <c r="BS310" s="46">
        <f t="shared" si="341"/>
        <v>21653</v>
      </c>
      <c r="BT310" s="46">
        <v>0</v>
      </c>
      <c r="BU310" s="46">
        <f t="shared" si="342"/>
        <v>140473</v>
      </c>
      <c r="BV310" s="46">
        <f t="shared" si="428"/>
        <v>21653</v>
      </c>
      <c r="BW310" s="46">
        <f t="shared" si="343"/>
        <v>227692</v>
      </c>
      <c r="BX310" s="46">
        <f t="shared" si="344"/>
        <v>37116</v>
      </c>
      <c r="BY310" s="46">
        <f t="shared" si="345"/>
        <v>-21653</v>
      </c>
      <c r="BZ310" s="46">
        <v>0</v>
      </c>
      <c r="CA310" s="46">
        <f t="shared" si="346"/>
        <v>243155</v>
      </c>
      <c r="CB310" s="46">
        <f t="shared" si="429"/>
        <v>0</v>
      </c>
      <c r="CC310" s="155">
        <f t="shared" si="349"/>
        <v>0</v>
      </c>
      <c r="CD310" s="79" t="s">
        <v>538</v>
      </c>
      <c r="CE310" s="65">
        <f t="shared" si="350"/>
        <v>140473</v>
      </c>
      <c r="CF310" s="65">
        <f t="shared" si="351"/>
        <v>140473</v>
      </c>
      <c r="CG310" s="65">
        <f t="shared" si="352"/>
        <v>130428</v>
      </c>
      <c r="CH310" s="65">
        <f t="shared" si="353"/>
        <v>140473</v>
      </c>
      <c r="CI310" s="65">
        <f t="shared" si="354"/>
        <v>387745</v>
      </c>
      <c r="CJ310" s="65">
        <f t="shared" si="355"/>
        <v>144415</v>
      </c>
      <c r="CK310" s="65">
        <f t="shared" si="356"/>
        <v>239218</v>
      </c>
      <c r="CL310" s="65">
        <f t="shared" si="357"/>
        <v>140473</v>
      </c>
      <c r="CM310" s="65">
        <f t="shared" si="358"/>
        <v>157378</v>
      </c>
      <c r="CN310" s="65">
        <f t="shared" si="359"/>
        <v>258053</v>
      </c>
      <c r="CO310" s="65">
        <f t="shared" si="360"/>
        <v>140473</v>
      </c>
      <c r="CP310" s="65">
        <f t="shared" si="361"/>
        <v>243155</v>
      </c>
      <c r="CQ310" s="40" t="s">
        <v>538</v>
      </c>
    </row>
    <row r="311" spans="1:95" ht="3" customHeight="1" x14ac:dyDescent="0.25">
      <c r="A311" s="39">
        <v>1</v>
      </c>
      <c r="B311" s="28">
        <v>13601</v>
      </c>
      <c r="C311" s="28" t="s">
        <v>309</v>
      </c>
      <c r="D311" s="48">
        <f>+DATA!Q309</f>
        <v>6429903.1509999996</v>
      </c>
      <c r="E311" s="48">
        <f t="shared" si="347"/>
        <v>423302</v>
      </c>
      <c r="F311" s="48">
        <f t="shared" si="348"/>
        <v>642990</v>
      </c>
      <c r="G311" s="49">
        <f>VLOOKUP(B311,'CALC MEC ESTAB Y ESTIM M FINAL'!$B$7:$F$352,5,0)</f>
        <v>3.0887948815000003E-3</v>
      </c>
      <c r="H311" s="49">
        <f>VLOOKUP(B311,'CALC MEC ESTAB Y ESTIM M FINAL'!$B$7:$R$352,17,0)</f>
        <v>-7.9891169999999993E-6</v>
      </c>
      <c r="I311" s="46">
        <f t="shared" si="304"/>
        <v>254019</v>
      </c>
      <c r="J311" s="46">
        <f t="shared" si="305"/>
        <v>0</v>
      </c>
      <c r="K311" s="46">
        <f t="shared" si="306"/>
        <v>169283</v>
      </c>
      <c r="L311" s="46">
        <v>0</v>
      </c>
      <c r="M311" s="46">
        <f t="shared" si="307"/>
        <v>423302</v>
      </c>
      <c r="N311" s="46">
        <f t="shared" si="413"/>
        <v>169283</v>
      </c>
      <c r="O311" s="46">
        <f t="shared" si="308"/>
        <v>135079</v>
      </c>
      <c r="P311" s="46">
        <f t="shared" si="309"/>
        <v>0</v>
      </c>
      <c r="Q311" s="46">
        <f t="shared" si="310"/>
        <v>288223</v>
      </c>
      <c r="R311" s="46">
        <v>0</v>
      </c>
      <c r="S311" s="46">
        <f t="shared" si="311"/>
        <v>423302</v>
      </c>
      <c r="T311" s="46">
        <f t="shared" si="414"/>
        <v>457506</v>
      </c>
      <c r="U311" s="46">
        <f t="shared" si="312"/>
        <v>385349</v>
      </c>
      <c r="V311" s="46">
        <f t="shared" si="313"/>
        <v>0</v>
      </c>
      <c r="W311" s="46">
        <f t="shared" si="415"/>
        <v>0</v>
      </c>
      <c r="X311" s="46">
        <v>0</v>
      </c>
      <c r="Y311" s="46">
        <f t="shared" si="314"/>
        <v>385349</v>
      </c>
      <c r="Z311" s="46">
        <f t="shared" si="416"/>
        <v>457506</v>
      </c>
      <c r="AA311" s="46">
        <f t="shared" si="315"/>
        <v>204615</v>
      </c>
      <c r="AB311" s="46">
        <f t="shared" si="316"/>
        <v>0</v>
      </c>
      <c r="AC311" s="46">
        <f t="shared" si="317"/>
        <v>218687</v>
      </c>
      <c r="AD311" s="46">
        <v>0</v>
      </c>
      <c r="AE311" s="46">
        <f t="shared" si="318"/>
        <v>423302</v>
      </c>
      <c r="AF311" s="46">
        <f t="shared" si="417"/>
        <v>676193</v>
      </c>
      <c r="AG311" s="46">
        <f t="shared" si="319"/>
        <v>1780529</v>
      </c>
      <c r="AH311" s="46">
        <f t="shared" si="320"/>
        <v>16434</v>
      </c>
      <c r="AI311" s="46">
        <f t="shared" si="418"/>
        <v>-676193</v>
      </c>
      <c r="AJ311" s="46">
        <v>0</v>
      </c>
      <c r="AK311" s="46">
        <f t="shared" si="321"/>
        <v>1120770</v>
      </c>
      <c r="AL311" s="46">
        <f t="shared" si="419"/>
        <v>0</v>
      </c>
      <c r="AM311" s="46">
        <f t="shared" si="322"/>
        <v>352677</v>
      </c>
      <c r="AN311" s="46">
        <f t="shared" si="323"/>
        <v>11647</v>
      </c>
      <c r="AO311" s="46">
        <f t="shared" si="324"/>
        <v>70625</v>
      </c>
      <c r="AP311" s="46">
        <v>0</v>
      </c>
      <c r="AQ311" s="46">
        <f t="shared" si="325"/>
        <v>434949</v>
      </c>
      <c r="AR311" s="46">
        <f t="shared" si="420"/>
        <v>70625</v>
      </c>
      <c r="AS311" s="46">
        <f t="shared" si="326"/>
        <v>701060</v>
      </c>
      <c r="AT311" s="46">
        <f t="shared" si="327"/>
        <v>68060</v>
      </c>
      <c r="AU311" s="46">
        <f t="shared" si="421"/>
        <v>-58070</v>
      </c>
      <c r="AV311" s="46">
        <v>0</v>
      </c>
      <c r="AW311" s="46">
        <f t="shared" si="328"/>
        <v>711050</v>
      </c>
      <c r="AX311" s="46">
        <f t="shared" si="422"/>
        <v>12555</v>
      </c>
      <c r="AY311" s="46">
        <f t="shared" si="329"/>
        <v>231571</v>
      </c>
      <c r="AZ311" s="46">
        <f t="shared" si="330"/>
        <v>0</v>
      </c>
      <c r="BA311" s="46">
        <f t="shared" si="331"/>
        <v>191731</v>
      </c>
      <c r="BB311" s="46"/>
      <c r="BC311" s="46">
        <f t="shared" si="332"/>
        <v>423302</v>
      </c>
      <c r="BD311" s="46">
        <f t="shared" si="423"/>
        <v>204286</v>
      </c>
      <c r="BE311" s="46">
        <f t="shared" si="333"/>
        <v>448290</v>
      </c>
      <c r="BF311" s="46">
        <f t="shared" si="334"/>
        <v>16685</v>
      </c>
      <c r="BG311" s="46">
        <f t="shared" si="424"/>
        <v>0</v>
      </c>
      <c r="BH311" s="46">
        <v>0</v>
      </c>
      <c r="BI311" s="46">
        <f t="shared" si="335"/>
        <v>464975</v>
      </c>
      <c r="BJ311" s="46">
        <f t="shared" si="425"/>
        <v>204286</v>
      </c>
      <c r="BK311" s="46">
        <f t="shared" si="336"/>
        <v>945873</v>
      </c>
      <c r="BL311" s="46">
        <f t="shared" si="337"/>
        <v>0</v>
      </c>
      <c r="BM311" s="46">
        <f t="shared" si="426"/>
        <v>-204286</v>
      </c>
      <c r="BN311" s="46">
        <v>0</v>
      </c>
      <c r="BO311" s="46">
        <f t="shared" si="338"/>
        <v>741587</v>
      </c>
      <c r="BP311" s="46">
        <f t="shared" si="427"/>
        <v>0</v>
      </c>
      <c r="BQ311" s="46">
        <f t="shared" si="339"/>
        <v>351054</v>
      </c>
      <c r="BR311" s="46">
        <f t="shared" si="340"/>
        <v>0</v>
      </c>
      <c r="BS311" s="46">
        <f t="shared" si="341"/>
        <v>72248</v>
      </c>
      <c r="BT311" s="46">
        <v>0</v>
      </c>
      <c r="BU311" s="46">
        <f t="shared" si="342"/>
        <v>423302</v>
      </c>
      <c r="BV311" s="46">
        <f t="shared" si="428"/>
        <v>72248</v>
      </c>
      <c r="BW311" s="46">
        <f t="shared" si="343"/>
        <v>672716</v>
      </c>
      <c r="BX311" s="46">
        <f t="shared" si="344"/>
        <v>109660</v>
      </c>
      <c r="BY311" s="46">
        <f t="shared" si="345"/>
        <v>-72248</v>
      </c>
      <c r="BZ311" s="46">
        <v>0</v>
      </c>
      <c r="CA311" s="46">
        <f t="shared" si="346"/>
        <v>710128</v>
      </c>
      <c r="CB311" s="46">
        <f t="shared" si="429"/>
        <v>0</v>
      </c>
      <c r="CC311" s="155">
        <f t="shared" si="349"/>
        <v>0</v>
      </c>
      <c r="CD311" s="79" t="s">
        <v>538</v>
      </c>
      <c r="CE311" s="65">
        <f t="shared" si="350"/>
        <v>423302</v>
      </c>
      <c r="CF311" s="65">
        <f t="shared" si="351"/>
        <v>423302</v>
      </c>
      <c r="CG311" s="65">
        <f t="shared" si="352"/>
        <v>385349</v>
      </c>
      <c r="CH311" s="65">
        <f t="shared" si="353"/>
        <v>423302</v>
      </c>
      <c r="CI311" s="65">
        <f t="shared" si="354"/>
        <v>1120770</v>
      </c>
      <c r="CJ311" s="65">
        <f t="shared" si="355"/>
        <v>434949</v>
      </c>
      <c r="CK311" s="65">
        <f t="shared" si="356"/>
        <v>711050</v>
      </c>
      <c r="CL311" s="65">
        <f t="shared" si="357"/>
        <v>423302</v>
      </c>
      <c r="CM311" s="65">
        <f t="shared" si="358"/>
        <v>464975</v>
      </c>
      <c r="CN311" s="65">
        <f t="shared" si="359"/>
        <v>741587</v>
      </c>
      <c r="CO311" s="65">
        <f t="shared" si="360"/>
        <v>423302</v>
      </c>
      <c r="CP311" s="65">
        <f t="shared" si="361"/>
        <v>710128</v>
      </c>
      <c r="CQ311" s="40" t="s">
        <v>538</v>
      </c>
    </row>
    <row r="312" spans="1:95" ht="3" customHeight="1" x14ac:dyDescent="0.25">
      <c r="A312" s="39">
        <v>1</v>
      </c>
      <c r="B312" s="28">
        <v>13602</v>
      </c>
      <c r="C312" s="28" t="s">
        <v>311</v>
      </c>
      <c r="D312" s="48">
        <f>+DATA!Q310</f>
        <v>4045497.8530000001</v>
      </c>
      <c r="E312" s="48">
        <f t="shared" si="347"/>
        <v>266329</v>
      </c>
      <c r="F312" s="48">
        <f t="shared" si="348"/>
        <v>404550</v>
      </c>
      <c r="G312" s="49">
        <f>VLOOKUP(B312,'CALC MEC ESTAB Y ESTIM M FINAL'!$B$7:$F$352,5,0)</f>
        <v>2.5187524303E-3</v>
      </c>
      <c r="H312" s="49">
        <f>VLOOKUP(B312,'CALC MEC ESTAB Y ESTIM M FINAL'!$B$7:$R$352,17,0)</f>
        <v>-3.189738462E-4</v>
      </c>
      <c r="I312" s="46">
        <f t="shared" si="304"/>
        <v>181376</v>
      </c>
      <c r="J312" s="46">
        <f t="shared" si="305"/>
        <v>0</v>
      </c>
      <c r="K312" s="46">
        <f t="shared" si="306"/>
        <v>84953</v>
      </c>
      <c r="L312" s="46">
        <v>0</v>
      </c>
      <c r="M312" s="46">
        <f t="shared" si="307"/>
        <v>266329</v>
      </c>
      <c r="N312" s="46">
        <f t="shared" si="413"/>
        <v>84953</v>
      </c>
      <c r="O312" s="46">
        <f t="shared" si="308"/>
        <v>96450</v>
      </c>
      <c r="P312" s="46">
        <f t="shared" si="309"/>
        <v>0</v>
      </c>
      <c r="Q312" s="46">
        <f t="shared" si="310"/>
        <v>169879</v>
      </c>
      <c r="R312" s="46">
        <v>0</v>
      </c>
      <c r="S312" s="46">
        <f t="shared" si="311"/>
        <v>266329</v>
      </c>
      <c r="T312" s="46">
        <f t="shared" si="414"/>
        <v>254832</v>
      </c>
      <c r="U312" s="46">
        <f t="shared" si="312"/>
        <v>275150</v>
      </c>
      <c r="V312" s="46">
        <f t="shared" si="313"/>
        <v>0</v>
      </c>
      <c r="W312" s="46">
        <f t="shared" si="415"/>
        <v>0</v>
      </c>
      <c r="X312" s="46">
        <v>0</v>
      </c>
      <c r="Y312" s="46">
        <f t="shared" si="314"/>
        <v>275150</v>
      </c>
      <c r="Z312" s="46">
        <f t="shared" si="416"/>
        <v>254832</v>
      </c>
      <c r="AA312" s="46">
        <f t="shared" si="315"/>
        <v>146100</v>
      </c>
      <c r="AB312" s="46">
        <f t="shared" si="316"/>
        <v>0</v>
      </c>
      <c r="AC312" s="46">
        <f t="shared" si="317"/>
        <v>120229</v>
      </c>
      <c r="AD312" s="46">
        <v>0</v>
      </c>
      <c r="AE312" s="46">
        <f t="shared" si="318"/>
        <v>266329</v>
      </c>
      <c r="AF312" s="46">
        <f t="shared" si="417"/>
        <v>375061</v>
      </c>
      <c r="AG312" s="46">
        <f t="shared" si="319"/>
        <v>1271346</v>
      </c>
      <c r="AH312" s="46">
        <f t="shared" si="320"/>
        <v>11734</v>
      </c>
      <c r="AI312" s="46">
        <f t="shared" si="418"/>
        <v>-375061</v>
      </c>
      <c r="AJ312" s="46">
        <v>0</v>
      </c>
      <c r="AK312" s="46">
        <f t="shared" si="321"/>
        <v>908019</v>
      </c>
      <c r="AL312" s="46">
        <f t="shared" si="419"/>
        <v>0</v>
      </c>
      <c r="AM312" s="46">
        <f t="shared" si="322"/>
        <v>251821</v>
      </c>
      <c r="AN312" s="46">
        <f t="shared" si="323"/>
        <v>8316</v>
      </c>
      <c r="AO312" s="46">
        <f t="shared" si="324"/>
        <v>14508</v>
      </c>
      <c r="AP312" s="46">
        <v>0</v>
      </c>
      <c r="AQ312" s="46">
        <f t="shared" si="325"/>
        <v>274645</v>
      </c>
      <c r="AR312" s="46">
        <f t="shared" si="420"/>
        <v>14508</v>
      </c>
      <c r="AS312" s="46">
        <f t="shared" si="326"/>
        <v>500576</v>
      </c>
      <c r="AT312" s="46">
        <f t="shared" si="327"/>
        <v>48597</v>
      </c>
      <c r="AU312" s="46">
        <f t="shared" si="421"/>
        <v>-14508</v>
      </c>
      <c r="AV312" s="46">
        <v>0</v>
      </c>
      <c r="AW312" s="46">
        <f t="shared" si="328"/>
        <v>534665</v>
      </c>
      <c r="AX312" s="46">
        <f t="shared" si="422"/>
        <v>0</v>
      </c>
      <c r="AY312" s="46">
        <f t="shared" si="329"/>
        <v>165348</v>
      </c>
      <c r="AZ312" s="46">
        <f t="shared" si="330"/>
        <v>0</v>
      </c>
      <c r="BA312" s="46">
        <f t="shared" si="331"/>
        <v>100981</v>
      </c>
      <c r="BB312" s="46"/>
      <c r="BC312" s="46">
        <f t="shared" si="332"/>
        <v>266329</v>
      </c>
      <c r="BD312" s="46">
        <f t="shared" si="423"/>
        <v>100981</v>
      </c>
      <c r="BE312" s="46">
        <f t="shared" si="333"/>
        <v>320091</v>
      </c>
      <c r="BF312" s="46">
        <f t="shared" si="334"/>
        <v>11914</v>
      </c>
      <c r="BG312" s="46">
        <f t="shared" si="424"/>
        <v>0</v>
      </c>
      <c r="BH312" s="46">
        <v>0</v>
      </c>
      <c r="BI312" s="46">
        <f t="shared" si="335"/>
        <v>332005</v>
      </c>
      <c r="BJ312" s="46">
        <f t="shared" si="425"/>
        <v>100981</v>
      </c>
      <c r="BK312" s="46">
        <f t="shared" si="336"/>
        <v>675379</v>
      </c>
      <c r="BL312" s="46">
        <f t="shared" si="337"/>
        <v>0</v>
      </c>
      <c r="BM312" s="46">
        <f t="shared" si="426"/>
        <v>-100981</v>
      </c>
      <c r="BN312" s="46">
        <v>0</v>
      </c>
      <c r="BO312" s="46">
        <f t="shared" si="338"/>
        <v>574398</v>
      </c>
      <c r="BP312" s="46">
        <f t="shared" si="427"/>
        <v>0</v>
      </c>
      <c r="BQ312" s="46">
        <f t="shared" si="339"/>
        <v>250662</v>
      </c>
      <c r="BR312" s="46">
        <f t="shared" si="340"/>
        <v>0</v>
      </c>
      <c r="BS312" s="46">
        <f t="shared" si="341"/>
        <v>15667</v>
      </c>
      <c r="BT312" s="46">
        <v>0</v>
      </c>
      <c r="BU312" s="46">
        <f t="shared" si="342"/>
        <v>266329</v>
      </c>
      <c r="BV312" s="46">
        <f t="shared" si="428"/>
        <v>15667</v>
      </c>
      <c r="BW312" s="46">
        <f t="shared" si="343"/>
        <v>480338</v>
      </c>
      <c r="BX312" s="46">
        <f t="shared" si="344"/>
        <v>78300</v>
      </c>
      <c r="BY312" s="46">
        <f t="shared" si="345"/>
        <v>-15667</v>
      </c>
      <c r="BZ312" s="46">
        <v>0</v>
      </c>
      <c r="CA312" s="46">
        <f t="shared" si="346"/>
        <v>542971</v>
      </c>
      <c r="CB312" s="46">
        <f t="shared" si="429"/>
        <v>0</v>
      </c>
      <c r="CC312" s="155">
        <f t="shared" si="349"/>
        <v>0</v>
      </c>
      <c r="CD312" s="79" t="s">
        <v>538</v>
      </c>
      <c r="CE312" s="65">
        <f t="shared" si="350"/>
        <v>266329</v>
      </c>
      <c r="CF312" s="65">
        <f t="shared" si="351"/>
        <v>266329</v>
      </c>
      <c r="CG312" s="65">
        <f t="shared" si="352"/>
        <v>275150</v>
      </c>
      <c r="CH312" s="65">
        <f t="shared" si="353"/>
        <v>266329</v>
      </c>
      <c r="CI312" s="65">
        <f t="shared" si="354"/>
        <v>908019</v>
      </c>
      <c r="CJ312" s="65">
        <f t="shared" si="355"/>
        <v>274645</v>
      </c>
      <c r="CK312" s="65">
        <f t="shared" si="356"/>
        <v>534665</v>
      </c>
      <c r="CL312" s="65">
        <f t="shared" si="357"/>
        <v>266329</v>
      </c>
      <c r="CM312" s="65">
        <f t="shared" si="358"/>
        <v>332005</v>
      </c>
      <c r="CN312" s="65">
        <f t="shared" si="359"/>
        <v>574398</v>
      </c>
      <c r="CO312" s="65">
        <f t="shared" si="360"/>
        <v>266329</v>
      </c>
      <c r="CP312" s="65">
        <f t="shared" si="361"/>
        <v>542971</v>
      </c>
      <c r="CQ312" s="40" t="s">
        <v>538</v>
      </c>
    </row>
    <row r="313" spans="1:95" ht="3" customHeight="1" x14ac:dyDescent="0.25">
      <c r="A313" s="39">
        <v>1</v>
      </c>
      <c r="B313" s="28">
        <v>13603</v>
      </c>
      <c r="C313" s="28" t="s">
        <v>310</v>
      </c>
      <c r="D313" s="48">
        <f>+DATA!Q311</f>
        <v>3099049.15</v>
      </c>
      <c r="E313" s="48">
        <f t="shared" si="347"/>
        <v>204021</v>
      </c>
      <c r="F313" s="48">
        <f t="shared" si="348"/>
        <v>309905</v>
      </c>
      <c r="G313" s="49">
        <f>VLOOKUP(B313,'CALC MEC ESTAB Y ESTIM M FINAL'!$B$7:$F$352,5,0)</f>
        <v>1.3822283539000001E-3</v>
      </c>
      <c r="H313" s="49">
        <f>VLOOKUP(B313,'CALC MEC ESTAB Y ESTIM M FINAL'!$B$7:$R$352,17,0)</f>
        <v>9.9429909199999996E-5</v>
      </c>
      <c r="I313" s="46">
        <f t="shared" si="304"/>
        <v>122166</v>
      </c>
      <c r="J313" s="46">
        <f t="shared" si="305"/>
        <v>0</v>
      </c>
      <c r="K313" s="46">
        <f t="shared" si="306"/>
        <v>81855</v>
      </c>
      <c r="L313" s="46">
        <v>0</v>
      </c>
      <c r="M313" s="46">
        <f t="shared" si="307"/>
        <v>204021</v>
      </c>
      <c r="N313" s="46">
        <f t="shared" si="413"/>
        <v>81855</v>
      </c>
      <c r="O313" s="46">
        <f t="shared" si="308"/>
        <v>64964</v>
      </c>
      <c r="P313" s="46">
        <f t="shared" si="309"/>
        <v>0</v>
      </c>
      <c r="Q313" s="46">
        <f t="shared" si="310"/>
        <v>139057</v>
      </c>
      <c r="R313" s="46">
        <v>0</v>
      </c>
      <c r="S313" s="46">
        <f t="shared" si="311"/>
        <v>204021</v>
      </c>
      <c r="T313" s="46">
        <f t="shared" si="414"/>
        <v>220912</v>
      </c>
      <c r="U313" s="46">
        <f t="shared" si="312"/>
        <v>185327</v>
      </c>
      <c r="V313" s="46">
        <f t="shared" si="313"/>
        <v>0</v>
      </c>
      <c r="W313" s="46">
        <f t="shared" si="415"/>
        <v>0</v>
      </c>
      <c r="X313" s="46">
        <v>0</v>
      </c>
      <c r="Y313" s="46">
        <f t="shared" si="314"/>
        <v>185327</v>
      </c>
      <c r="Z313" s="46">
        <f t="shared" si="416"/>
        <v>220912</v>
      </c>
      <c r="AA313" s="46">
        <f t="shared" si="315"/>
        <v>98406</v>
      </c>
      <c r="AB313" s="46">
        <f t="shared" si="316"/>
        <v>0</v>
      </c>
      <c r="AC313" s="46">
        <f t="shared" si="317"/>
        <v>105615</v>
      </c>
      <c r="AD313" s="46">
        <v>0</v>
      </c>
      <c r="AE313" s="46">
        <f t="shared" si="318"/>
        <v>204021</v>
      </c>
      <c r="AF313" s="46">
        <f t="shared" si="417"/>
        <v>326527</v>
      </c>
      <c r="AG313" s="46">
        <f t="shared" si="319"/>
        <v>856313</v>
      </c>
      <c r="AH313" s="46">
        <f t="shared" si="320"/>
        <v>7904</v>
      </c>
      <c r="AI313" s="46">
        <f t="shared" si="418"/>
        <v>-326527</v>
      </c>
      <c r="AJ313" s="46">
        <v>0</v>
      </c>
      <c r="AK313" s="46">
        <f t="shared" si="321"/>
        <v>537690</v>
      </c>
      <c r="AL313" s="46">
        <f t="shared" si="419"/>
        <v>0</v>
      </c>
      <c r="AM313" s="46">
        <f t="shared" si="322"/>
        <v>169614</v>
      </c>
      <c r="AN313" s="46">
        <f t="shared" si="323"/>
        <v>5601</v>
      </c>
      <c r="AO313" s="46">
        <f t="shared" si="324"/>
        <v>34407</v>
      </c>
      <c r="AP313" s="46">
        <v>0</v>
      </c>
      <c r="AQ313" s="46">
        <f t="shared" si="325"/>
        <v>209622</v>
      </c>
      <c r="AR313" s="46">
        <f t="shared" si="420"/>
        <v>34407</v>
      </c>
      <c r="AS313" s="46">
        <f t="shared" si="326"/>
        <v>337162</v>
      </c>
      <c r="AT313" s="46">
        <f t="shared" si="327"/>
        <v>32732</v>
      </c>
      <c r="AU313" s="46">
        <f t="shared" si="421"/>
        <v>-27257</v>
      </c>
      <c r="AV313" s="46">
        <v>0</v>
      </c>
      <c r="AW313" s="46">
        <f t="shared" si="328"/>
        <v>342637</v>
      </c>
      <c r="AX313" s="46">
        <f t="shared" si="422"/>
        <v>7150</v>
      </c>
      <c r="AY313" s="46">
        <f t="shared" si="329"/>
        <v>111370</v>
      </c>
      <c r="AZ313" s="46">
        <f t="shared" si="330"/>
        <v>0</v>
      </c>
      <c r="BA313" s="46">
        <f t="shared" si="331"/>
        <v>92651</v>
      </c>
      <c r="BB313" s="46"/>
      <c r="BC313" s="46">
        <f t="shared" si="332"/>
        <v>204021</v>
      </c>
      <c r="BD313" s="46">
        <f t="shared" si="423"/>
        <v>99801</v>
      </c>
      <c r="BE313" s="46">
        <f t="shared" si="333"/>
        <v>215597</v>
      </c>
      <c r="BF313" s="46">
        <f t="shared" si="334"/>
        <v>8024</v>
      </c>
      <c r="BG313" s="46">
        <f t="shared" si="424"/>
        <v>0</v>
      </c>
      <c r="BH313" s="46">
        <v>0</v>
      </c>
      <c r="BI313" s="46">
        <f t="shared" si="335"/>
        <v>223621</v>
      </c>
      <c r="BJ313" s="46">
        <f t="shared" si="425"/>
        <v>99801</v>
      </c>
      <c r="BK313" s="46">
        <f t="shared" si="336"/>
        <v>454901</v>
      </c>
      <c r="BL313" s="46">
        <f t="shared" si="337"/>
        <v>0</v>
      </c>
      <c r="BM313" s="46">
        <f t="shared" si="426"/>
        <v>-99801</v>
      </c>
      <c r="BN313" s="46">
        <v>0</v>
      </c>
      <c r="BO313" s="46">
        <f t="shared" si="338"/>
        <v>355100</v>
      </c>
      <c r="BP313" s="46">
        <f t="shared" si="427"/>
        <v>0</v>
      </c>
      <c r="BQ313" s="46">
        <f t="shared" si="339"/>
        <v>168833</v>
      </c>
      <c r="BR313" s="46">
        <f t="shared" si="340"/>
        <v>0</v>
      </c>
      <c r="BS313" s="46">
        <f t="shared" si="341"/>
        <v>35188</v>
      </c>
      <c r="BT313" s="46">
        <v>0</v>
      </c>
      <c r="BU313" s="46">
        <f t="shared" si="342"/>
        <v>204021</v>
      </c>
      <c r="BV313" s="46">
        <f t="shared" si="428"/>
        <v>35188</v>
      </c>
      <c r="BW313" s="46">
        <f t="shared" si="343"/>
        <v>323531</v>
      </c>
      <c r="BX313" s="46">
        <f t="shared" si="344"/>
        <v>52739</v>
      </c>
      <c r="BY313" s="46">
        <f t="shared" si="345"/>
        <v>-35188</v>
      </c>
      <c r="BZ313" s="46">
        <v>0</v>
      </c>
      <c r="CA313" s="46">
        <f t="shared" si="346"/>
        <v>341082</v>
      </c>
      <c r="CB313" s="46">
        <f t="shared" si="429"/>
        <v>0</v>
      </c>
      <c r="CC313" s="155">
        <f t="shared" si="349"/>
        <v>0</v>
      </c>
      <c r="CD313" s="79" t="s">
        <v>538</v>
      </c>
      <c r="CE313" s="65">
        <f t="shared" si="350"/>
        <v>204021</v>
      </c>
      <c r="CF313" s="65">
        <f t="shared" si="351"/>
        <v>204021</v>
      </c>
      <c r="CG313" s="65">
        <f t="shared" si="352"/>
        <v>185327</v>
      </c>
      <c r="CH313" s="65">
        <f t="shared" si="353"/>
        <v>204021</v>
      </c>
      <c r="CI313" s="65">
        <f t="shared" si="354"/>
        <v>537690</v>
      </c>
      <c r="CJ313" s="65">
        <f t="shared" si="355"/>
        <v>209622</v>
      </c>
      <c r="CK313" s="65">
        <f t="shared" si="356"/>
        <v>342637</v>
      </c>
      <c r="CL313" s="65">
        <f t="shared" si="357"/>
        <v>204021</v>
      </c>
      <c r="CM313" s="65">
        <f t="shared" si="358"/>
        <v>223621</v>
      </c>
      <c r="CN313" s="65">
        <f t="shared" si="359"/>
        <v>355100</v>
      </c>
      <c r="CO313" s="65">
        <f t="shared" si="360"/>
        <v>204021</v>
      </c>
      <c r="CP313" s="65">
        <f t="shared" si="361"/>
        <v>341082</v>
      </c>
      <c r="CQ313" s="40" t="s">
        <v>538</v>
      </c>
    </row>
    <row r="314" spans="1:95" ht="3" customHeight="1" x14ac:dyDescent="0.25">
      <c r="A314" s="39">
        <v>1</v>
      </c>
      <c r="B314" s="28">
        <v>13604</v>
      </c>
      <c r="C314" s="28" t="s">
        <v>313</v>
      </c>
      <c r="D314" s="48">
        <f>+DATA!Q312</f>
        <v>5466779.5789999999</v>
      </c>
      <c r="E314" s="48">
        <f t="shared" si="347"/>
        <v>359896</v>
      </c>
      <c r="F314" s="48">
        <f t="shared" si="348"/>
        <v>546678</v>
      </c>
      <c r="G314" s="49">
        <f>VLOOKUP(B314,'CALC MEC ESTAB Y ESTIM M FINAL'!$B$7:$F$352,5,0)</f>
        <v>1.9339943335999999E-3</v>
      </c>
      <c r="H314" s="49">
        <f>VLOOKUP(B314,'CALC MEC ESTAB Y ESTIM M FINAL'!$B$7:$R$352,17,0)</f>
        <v>6.7967740549999996E-4</v>
      </c>
      <c r="I314" s="46">
        <f t="shared" si="304"/>
        <v>215503</v>
      </c>
      <c r="J314" s="46">
        <f t="shared" si="305"/>
        <v>0</v>
      </c>
      <c r="K314" s="46">
        <f t="shared" si="306"/>
        <v>144393</v>
      </c>
      <c r="L314" s="46">
        <v>0</v>
      </c>
      <c r="M314" s="46">
        <f t="shared" si="307"/>
        <v>359896</v>
      </c>
      <c r="N314" s="46">
        <f t="shared" si="413"/>
        <v>144393</v>
      </c>
      <c r="O314" s="46">
        <f t="shared" si="308"/>
        <v>114597</v>
      </c>
      <c r="P314" s="46">
        <f t="shared" si="309"/>
        <v>0</v>
      </c>
      <c r="Q314" s="46">
        <f t="shared" si="310"/>
        <v>245299</v>
      </c>
      <c r="R314" s="46">
        <v>0</v>
      </c>
      <c r="S314" s="46">
        <f t="shared" si="311"/>
        <v>359896</v>
      </c>
      <c r="T314" s="46">
        <f t="shared" si="414"/>
        <v>389692</v>
      </c>
      <c r="U314" s="46">
        <f t="shared" si="312"/>
        <v>326920</v>
      </c>
      <c r="V314" s="46">
        <f t="shared" si="313"/>
        <v>0</v>
      </c>
      <c r="W314" s="46">
        <f t="shared" si="415"/>
        <v>0</v>
      </c>
      <c r="X314" s="46">
        <v>0</v>
      </c>
      <c r="Y314" s="46">
        <f t="shared" si="314"/>
        <v>326920</v>
      </c>
      <c r="Z314" s="46">
        <f t="shared" si="416"/>
        <v>389692</v>
      </c>
      <c r="AA314" s="46">
        <f t="shared" si="315"/>
        <v>173589</v>
      </c>
      <c r="AB314" s="46">
        <f t="shared" si="316"/>
        <v>0</v>
      </c>
      <c r="AC314" s="46">
        <f t="shared" si="317"/>
        <v>186307</v>
      </c>
      <c r="AD314" s="46">
        <v>0</v>
      </c>
      <c r="AE314" s="46">
        <f t="shared" si="318"/>
        <v>359896</v>
      </c>
      <c r="AF314" s="46">
        <f t="shared" si="417"/>
        <v>575999</v>
      </c>
      <c r="AG314" s="46">
        <f t="shared" si="319"/>
        <v>1510552</v>
      </c>
      <c r="AH314" s="46">
        <f t="shared" si="320"/>
        <v>13942</v>
      </c>
      <c r="AI314" s="46">
        <f t="shared" si="418"/>
        <v>-575999</v>
      </c>
      <c r="AJ314" s="46">
        <v>0</v>
      </c>
      <c r="AK314" s="46">
        <f t="shared" si="321"/>
        <v>948495</v>
      </c>
      <c r="AL314" s="46">
        <f t="shared" si="419"/>
        <v>0</v>
      </c>
      <c r="AM314" s="46">
        <f t="shared" si="322"/>
        <v>299202</v>
      </c>
      <c r="AN314" s="46">
        <f t="shared" si="323"/>
        <v>9881</v>
      </c>
      <c r="AO314" s="46">
        <f t="shared" si="324"/>
        <v>60694</v>
      </c>
      <c r="AP314" s="46">
        <v>0</v>
      </c>
      <c r="AQ314" s="46">
        <f t="shared" si="325"/>
        <v>369777</v>
      </c>
      <c r="AR314" s="46">
        <f t="shared" si="420"/>
        <v>60694</v>
      </c>
      <c r="AS314" s="46">
        <f t="shared" si="326"/>
        <v>594760</v>
      </c>
      <c r="AT314" s="46">
        <f t="shared" si="327"/>
        <v>57740</v>
      </c>
      <c r="AU314" s="46">
        <f t="shared" si="421"/>
        <v>-48082</v>
      </c>
      <c r="AV314" s="46">
        <v>0</v>
      </c>
      <c r="AW314" s="46">
        <f t="shared" si="328"/>
        <v>604418</v>
      </c>
      <c r="AX314" s="46">
        <f t="shared" si="422"/>
        <v>12612</v>
      </c>
      <c r="AY314" s="46">
        <f t="shared" si="329"/>
        <v>196458</v>
      </c>
      <c r="AZ314" s="46">
        <f t="shared" si="330"/>
        <v>0</v>
      </c>
      <c r="BA314" s="46">
        <f t="shared" si="331"/>
        <v>163438</v>
      </c>
      <c r="BB314" s="46"/>
      <c r="BC314" s="46">
        <f t="shared" si="332"/>
        <v>359896</v>
      </c>
      <c r="BD314" s="46">
        <f t="shared" si="423"/>
        <v>176050</v>
      </c>
      <c r="BE314" s="46">
        <f t="shared" si="333"/>
        <v>380317</v>
      </c>
      <c r="BF314" s="46">
        <f t="shared" si="334"/>
        <v>14155</v>
      </c>
      <c r="BG314" s="46">
        <f t="shared" si="424"/>
        <v>0</v>
      </c>
      <c r="BH314" s="46">
        <v>0</v>
      </c>
      <c r="BI314" s="46">
        <f t="shared" si="335"/>
        <v>394472</v>
      </c>
      <c r="BJ314" s="46">
        <f t="shared" si="425"/>
        <v>176050</v>
      </c>
      <c r="BK314" s="46">
        <f t="shared" si="336"/>
        <v>802453</v>
      </c>
      <c r="BL314" s="46">
        <f t="shared" si="337"/>
        <v>0</v>
      </c>
      <c r="BM314" s="46">
        <f t="shared" si="426"/>
        <v>-176050</v>
      </c>
      <c r="BN314" s="46">
        <v>0</v>
      </c>
      <c r="BO314" s="46">
        <f t="shared" si="338"/>
        <v>626403</v>
      </c>
      <c r="BP314" s="46">
        <f t="shared" si="427"/>
        <v>0</v>
      </c>
      <c r="BQ314" s="46">
        <f t="shared" si="339"/>
        <v>297825</v>
      </c>
      <c r="BR314" s="46">
        <f t="shared" si="340"/>
        <v>0</v>
      </c>
      <c r="BS314" s="46">
        <f t="shared" si="341"/>
        <v>62071</v>
      </c>
      <c r="BT314" s="46">
        <v>0</v>
      </c>
      <c r="BU314" s="46">
        <f t="shared" si="342"/>
        <v>359896</v>
      </c>
      <c r="BV314" s="46">
        <f t="shared" si="428"/>
        <v>62071</v>
      </c>
      <c r="BW314" s="46">
        <f t="shared" si="343"/>
        <v>570714</v>
      </c>
      <c r="BX314" s="46">
        <f t="shared" si="344"/>
        <v>93032</v>
      </c>
      <c r="BY314" s="46">
        <f t="shared" si="345"/>
        <v>-62071</v>
      </c>
      <c r="BZ314" s="46">
        <v>0</v>
      </c>
      <c r="CA314" s="46">
        <f t="shared" si="346"/>
        <v>601675</v>
      </c>
      <c r="CB314" s="46">
        <f t="shared" si="429"/>
        <v>0</v>
      </c>
      <c r="CC314" s="155">
        <f t="shared" si="349"/>
        <v>0</v>
      </c>
      <c r="CD314" s="79" t="s">
        <v>538</v>
      </c>
      <c r="CE314" s="65">
        <f t="shared" si="350"/>
        <v>359896</v>
      </c>
      <c r="CF314" s="65">
        <f t="shared" si="351"/>
        <v>359896</v>
      </c>
      <c r="CG314" s="65">
        <f t="shared" si="352"/>
        <v>326920</v>
      </c>
      <c r="CH314" s="65">
        <f t="shared" si="353"/>
        <v>359896</v>
      </c>
      <c r="CI314" s="65">
        <f t="shared" si="354"/>
        <v>948495</v>
      </c>
      <c r="CJ314" s="65">
        <f t="shared" si="355"/>
        <v>369777</v>
      </c>
      <c r="CK314" s="65">
        <f t="shared" si="356"/>
        <v>604418</v>
      </c>
      <c r="CL314" s="65">
        <f t="shared" si="357"/>
        <v>359896</v>
      </c>
      <c r="CM314" s="65">
        <f t="shared" si="358"/>
        <v>394472</v>
      </c>
      <c r="CN314" s="65">
        <f t="shared" si="359"/>
        <v>626403</v>
      </c>
      <c r="CO314" s="65">
        <f t="shared" si="360"/>
        <v>359896</v>
      </c>
      <c r="CP314" s="65">
        <f t="shared" si="361"/>
        <v>601675</v>
      </c>
      <c r="CQ314" s="40" t="s">
        <v>538</v>
      </c>
    </row>
    <row r="315" spans="1:95" ht="3" customHeight="1" x14ac:dyDescent="0.25">
      <c r="A315" s="39">
        <v>1</v>
      </c>
      <c r="B315" s="28">
        <v>13605</v>
      </c>
      <c r="C315" s="28" t="s">
        <v>312</v>
      </c>
      <c r="D315" s="48">
        <f>+DATA!Q313</f>
        <v>8337973.9610000001</v>
      </c>
      <c r="E315" s="48">
        <f t="shared" si="347"/>
        <v>548917</v>
      </c>
      <c r="F315" s="48">
        <f t="shared" si="348"/>
        <v>833797</v>
      </c>
      <c r="G315" s="49">
        <f>VLOOKUP(B315,'CALC MEC ESTAB Y ESTIM M FINAL'!$B$7:$F$352,5,0)</f>
        <v>4.0787773932000008E-3</v>
      </c>
      <c r="H315" s="49">
        <f>VLOOKUP(B315,'CALC MEC ESTAB Y ESTIM M FINAL'!$B$7:$R$352,17,0)</f>
        <v>-5.0371671600000001E-5</v>
      </c>
      <c r="I315" s="46">
        <f t="shared" si="304"/>
        <v>332151</v>
      </c>
      <c r="J315" s="46">
        <f t="shared" si="305"/>
        <v>0</v>
      </c>
      <c r="K315" s="46">
        <f t="shared" si="306"/>
        <v>216766</v>
      </c>
      <c r="L315" s="46">
        <v>0</v>
      </c>
      <c r="M315" s="46">
        <f t="shared" si="307"/>
        <v>548917</v>
      </c>
      <c r="N315" s="46">
        <f t="shared" si="413"/>
        <v>216766</v>
      </c>
      <c r="O315" s="46">
        <f t="shared" si="308"/>
        <v>176627</v>
      </c>
      <c r="P315" s="46">
        <f t="shared" si="309"/>
        <v>0</v>
      </c>
      <c r="Q315" s="46">
        <f t="shared" si="310"/>
        <v>372290</v>
      </c>
      <c r="R315" s="46">
        <v>0</v>
      </c>
      <c r="S315" s="46">
        <f t="shared" si="311"/>
        <v>548917</v>
      </c>
      <c r="T315" s="46">
        <f t="shared" si="414"/>
        <v>589056</v>
      </c>
      <c r="U315" s="46">
        <f t="shared" si="312"/>
        <v>503876</v>
      </c>
      <c r="V315" s="46">
        <f t="shared" si="313"/>
        <v>0</v>
      </c>
      <c r="W315" s="46">
        <f t="shared" si="415"/>
        <v>0</v>
      </c>
      <c r="X315" s="46">
        <v>0</v>
      </c>
      <c r="Y315" s="46">
        <f t="shared" si="314"/>
        <v>503876</v>
      </c>
      <c r="Z315" s="46">
        <f t="shared" si="416"/>
        <v>589056</v>
      </c>
      <c r="AA315" s="46">
        <f t="shared" si="315"/>
        <v>267550</v>
      </c>
      <c r="AB315" s="46">
        <f t="shared" si="316"/>
        <v>0</v>
      </c>
      <c r="AC315" s="46">
        <f t="shared" si="317"/>
        <v>281367</v>
      </c>
      <c r="AD315" s="46">
        <v>0</v>
      </c>
      <c r="AE315" s="46">
        <f t="shared" si="318"/>
        <v>548917</v>
      </c>
      <c r="AF315" s="46">
        <f t="shared" si="417"/>
        <v>870423</v>
      </c>
      <c r="AG315" s="46">
        <f t="shared" si="319"/>
        <v>2328187</v>
      </c>
      <c r="AH315" s="46">
        <f t="shared" si="320"/>
        <v>21489</v>
      </c>
      <c r="AI315" s="46">
        <f t="shared" si="418"/>
        <v>-870423</v>
      </c>
      <c r="AJ315" s="46">
        <v>0</v>
      </c>
      <c r="AK315" s="46">
        <f t="shared" si="321"/>
        <v>1479253</v>
      </c>
      <c r="AL315" s="46">
        <f t="shared" si="419"/>
        <v>0</v>
      </c>
      <c r="AM315" s="46">
        <f t="shared" si="322"/>
        <v>461154</v>
      </c>
      <c r="AN315" s="46">
        <f t="shared" si="323"/>
        <v>15229</v>
      </c>
      <c r="AO315" s="46">
        <f t="shared" si="324"/>
        <v>87763</v>
      </c>
      <c r="AP315" s="46">
        <v>0</v>
      </c>
      <c r="AQ315" s="46">
        <f t="shared" si="325"/>
        <v>564146</v>
      </c>
      <c r="AR315" s="46">
        <f t="shared" si="420"/>
        <v>87763</v>
      </c>
      <c r="AS315" s="46">
        <f t="shared" si="326"/>
        <v>916693</v>
      </c>
      <c r="AT315" s="46">
        <f t="shared" si="327"/>
        <v>88994</v>
      </c>
      <c r="AU315" s="46">
        <f t="shared" si="421"/>
        <v>-82896</v>
      </c>
      <c r="AV315" s="46">
        <v>0</v>
      </c>
      <c r="AW315" s="46">
        <f t="shared" si="328"/>
        <v>922791</v>
      </c>
      <c r="AX315" s="46">
        <f t="shared" si="422"/>
        <v>4867</v>
      </c>
      <c r="AY315" s="46">
        <f t="shared" si="329"/>
        <v>302798</v>
      </c>
      <c r="AZ315" s="46">
        <f t="shared" si="330"/>
        <v>0</v>
      </c>
      <c r="BA315" s="46">
        <f t="shared" si="331"/>
        <v>246119</v>
      </c>
      <c r="BB315" s="46"/>
      <c r="BC315" s="46">
        <f t="shared" si="332"/>
        <v>548917</v>
      </c>
      <c r="BD315" s="46">
        <f t="shared" si="423"/>
        <v>250986</v>
      </c>
      <c r="BE315" s="46">
        <f t="shared" si="333"/>
        <v>586176</v>
      </c>
      <c r="BF315" s="46">
        <f t="shared" si="334"/>
        <v>21817</v>
      </c>
      <c r="BG315" s="46">
        <f t="shared" si="424"/>
        <v>0</v>
      </c>
      <c r="BH315" s="46">
        <v>0</v>
      </c>
      <c r="BI315" s="46">
        <f t="shared" si="335"/>
        <v>607993</v>
      </c>
      <c r="BJ315" s="46">
        <f t="shared" si="425"/>
        <v>250986</v>
      </c>
      <c r="BK315" s="46">
        <f t="shared" si="336"/>
        <v>1236806</v>
      </c>
      <c r="BL315" s="46">
        <f t="shared" si="337"/>
        <v>0</v>
      </c>
      <c r="BM315" s="46">
        <f t="shared" si="426"/>
        <v>-250986</v>
      </c>
      <c r="BN315" s="46">
        <v>0</v>
      </c>
      <c r="BO315" s="46">
        <f t="shared" si="338"/>
        <v>985820</v>
      </c>
      <c r="BP315" s="46">
        <f t="shared" si="427"/>
        <v>0</v>
      </c>
      <c r="BQ315" s="46">
        <f t="shared" si="339"/>
        <v>459032</v>
      </c>
      <c r="BR315" s="46">
        <f t="shared" si="340"/>
        <v>0</v>
      </c>
      <c r="BS315" s="46">
        <f t="shared" si="341"/>
        <v>89885</v>
      </c>
      <c r="BT315" s="46">
        <v>0</v>
      </c>
      <c r="BU315" s="46">
        <f t="shared" si="342"/>
        <v>548917</v>
      </c>
      <c r="BV315" s="46">
        <f t="shared" si="428"/>
        <v>89885</v>
      </c>
      <c r="BW315" s="46">
        <f t="shared" si="343"/>
        <v>879632</v>
      </c>
      <c r="BX315" s="46">
        <f t="shared" si="344"/>
        <v>143389</v>
      </c>
      <c r="BY315" s="46">
        <f t="shared" si="345"/>
        <v>-89885</v>
      </c>
      <c r="BZ315" s="46">
        <v>0</v>
      </c>
      <c r="CA315" s="46">
        <f t="shared" si="346"/>
        <v>933136</v>
      </c>
      <c r="CB315" s="46">
        <f t="shared" si="429"/>
        <v>0</v>
      </c>
      <c r="CC315" s="155">
        <f t="shared" si="349"/>
        <v>0</v>
      </c>
      <c r="CD315" s="79" t="s">
        <v>538</v>
      </c>
      <c r="CE315" s="65">
        <f t="shared" si="350"/>
        <v>548917</v>
      </c>
      <c r="CF315" s="65">
        <f t="shared" si="351"/>
        <v>548917</v>
      </c>
      <c r="CG315" s="65">
        <f t="shared" si="352"/>
        <v>503876</v>
      </c>
      <c r="CH315" s="65">
        <f t="shared" si="353"/>
        <v>548917</v>
      </c>
      <c r="CI315" s="65">
        <f t="shared" si="354"/>
        <v>1479253</v>
      </c>
      <c r="CJ315" s="65">
        <f t="shared" si="355"/>
        <v>564146</v>
      </c>
      <c r="CK315" s="65">
        <f t="shared" si="356"/>
        <v>922791</v>
      </c>
      <c r="CL315" s="65">
        <f t="shared" si="357"/>
        <v>548917</v>
      </c>
      <c r="CM315" s="65">
        <f t="shared" si="358"/>
        <v>607993</v>
      </c>
      <c r="CN315" s="65">
        <f t="shared" si="359"/>
        <v>985820</v>
      </c>
      <c r="CO315" s="65">
        <f t="shared" si="360"/>
        <v>548917</v>
      </c>
      <c r="CP315" s="65">
        <f t="shared" si="361"/>
        <v>933136</v>
      </c>
      <c r="CQ315" s="40" t="s">
        <v>538</v>
      </c>
    </row>
    <row r="316" spans="1:95" ht="3" customHeight="1" x14ac:dyDescent="0.25">
      <c r="A316" s="39">
        <v>1</v>
      </c>
      <c r="B316" s="28">
        <v>14101</v>
      </c>
      <c r="C316" s="28" t="s">
        <v>232</v>
      </c>
      <c r="D316" s="48">
        <f>+DATA!Q314</f>
        <v>21710072.956999999</v>
      </c>
      <c r="E316" s="48">
        <f t="shared" si="347"/>
        <v>1429246</v>
      </c>
      <c r="F316" s="48">
        <f t="shared" si="348"/>
        <v>2171007</v>
      </c>
      <c r="G316" s="49">
        <f>VLOOKUP(B316,'CALC MEC ESTAB Y ESTIM M FINAL'!$B$7:$F$352,5,0)</f>
        <v>9.3678667763999988E-3</v>
      </c>
      <c r="H316" s="49">
        <f>VLOOKUP(B316,'CALC MEC ESTAB Y ESTIM M FINAL'!$B$7:$R$352,17,0)</f>
        <v>1.0117380285E-3</v>
      </c>
      <c r="I316" s="46">
        <f t="shared" si="304"/>
        <v>855821</v>
      </c>
      <c r="J316" s="46">
        <f t="shared" si="305"/>
        <v>0</v>
      </c>
      <c r="K316" s="46">
        <f t="shared" si="306"/>
        <v>573425</v>
      </c>
      <c r="L316" s="46">
        <v>0</v>
      </c>
      <c r="M316" s="46">
        <f t="shared" si="307"/>
        <v>1429246</v>
      </c>
      <c r="N316" s="46">
        <f t="shared" si="413"/>
        <v>573425</v>
      </c>
      <c r="O316" s="46">
        <f t="shared" si="308"/>
        <v>455097</v>
      </c>
      <c r="P316" s="46">
        <f t="shared" si="309"/>
        <v>0</v>
      </c>
      <c r="Q316" s="46">
        <f t="shared" si="310"/>
        <v>974149</v>
      </c>
      <c r="R316" s="46">
        <v>0</v>
      </c>
      <c r="S316" s="46">
        <f t="shared" si="311"/>
        <v>1429246</v>
      </c>
      <c r="T316" s="46">
        <f t="shared" si="414"/>
        <v>1547574</v>
      </c>
      <c r="U316" s="46">
        <f t="shared" si="312"/>
        <v>1298288</v>
      </c>
      <c r="V316" s="46">
        <f t="shared" si="313"/>
        <v>0</v>
      </c>
      <c r="W316" s="46">
        <f t="shared" si="415"/>
        <v>0</v>
      </c>
      <c r="X316" s="46">
        <v>0</v>
      </c>
      <c r="Y316" s="46">
        <f t="shared" si="314"/>
        <v>1298288</v>
      </c>
      <c r="Z316" s="46">
        <f t="shared" si="416"/>
        <v>1547574</v>
      </c>
      <c r="AA316" s="46">
        <f t="shared" si="315"/>
        <v>689371</v>
      </c>
      <c r="AB316" s="46">
        <f t="shared" si="316"/>
        <v>0</v>
      </c>
      <c r="AC316" s="46">
        <f t="shared" si="317"/>
        <v>739875</v>
      </c>
      <c r="AD316" s="46">
        <v>0</v>
      </c>
      <c r="AE316" s="46">
        <f t="shared" si="318"/>
        <v>1429246</v>
      </c>
      <c r="AF316" s="46">
        <f t="shared" si="417"/>
        <v>2287449</v>
      </c>
      <c r="AG316" s="46">
        <f t="shared" si="319"/>
        <v>5998816</v>
      </c>
      <c r="AH316" s="46">
        <f t="shared" si="320"/>
        <v>55368</v>
      </c>
      <c r="AI316" s="46">
        <f t="shared" si="418"/>
        <v>-2287449</v>
      </c>
      <c r="AJ316" s="46">
        <v>0</v>
      </c>
      <c r="AK316" s="46">
        <f t="shared" si="321"/>
        <v>3766735</v>
      </c>
      <c r="AL316" s="46">
        <f t="shared" si="419"/>
        <v>0</v>
      </c>
      <c r="AM316" s="46">
        <f t="shared" si="322"/>
        <v>1188212</v>
      </c>
      <c r="AN316" s="46">
        <f t="shared" si="323"/>
        <v>39239</v>
      </c>
      <c r="AO316" s="46">
        <f t="shared" si="324"/>
        <v>241034</v>
      </c>
      <c r="AP316" s="46">
        <v>0</v>
      </c>
      <c r="AQ316" s="46">
        <f t="shared" si="325"/>
        <v>1468485</v>
      </c>
      <c r="AR316" s="46">
        <f t="shared" si="420"/>
        <v>241034</v>
      </c>
      <c r="AS316" s="46">
        <f t="shared" si="326"/>
        <v>2361954</v>
      </c>
      <c r="AT316" s="46">
        <f t="shared" si="327"/>
        <v>229303</v>
      </c>
      <c r="AU316" s="46">
        <f t="shared" si="421"/>
        <v>-190947</v>
      </c>
      <c r="AV316" s="46">
        <v>0</v>
      </c>
      <c r="AW316" s="46">
        <f t="shared" si="328"/>
        <v>2400310</v>
      </c>
      <c r="AX316" s="46">
        <f t="shared" si="422"/>
        <v>50087</v>
      </c>
      <c r="AY316" s="46">
        <f t="shared" si="329"/>
        <v>780190</v>
      </c>
      <c r="AZ316" s="46">
        <f t="shared" si="330"/>
        <v>0</v>
      </c>
      <c r="BA316" s="46">
        <f t="shared" si="331"/>
        <v>649056</v>
      </c>
      <c r="BB316" s="46"/>
      <c r="BC316" s="46">
        <f t="shared" si="332"/>
        <v>1429246</v>
      </c>
      <c r="BD316" s="46">
        <f t="shared" si="423"/>
        <v>699143</v>
      </c>
      <c r="BE316" s="46">
        <f t="shared" si="333"/>
        <v>1510344</v>
      </c>
      <c r="BF316" s="46">
        <f t="shared" si="334"/>
        <v>56214</v>
      </c>
      <c r="BG316" s="46">
        <f t="shared" si="424"/>
        <v>0</v>
      </c>
      <c r="BH316" s="46">
        <v>0</v>
      </c>
      <c r="BI316" s="46">
        <f t="shared" si="335"/>
        <v>1566558</v>
      </c>
      <c r="BJ316" s="46">
        <f t="shared" si="425"/>
        <v>699143</v>
      </c>
      <c r="BK316" s="46">
        <f t="shared" si="336"/>
        <v>3186760</v>
      </c>
      <c r="BL316" s="46">
        <f t="shared" si="337"/>
        <v>0</v>
      </c>
      <c r="BM316" s="46">
        <f t="shared" si="426"/>
        <v>-699143</v>
      </c>
      <c r="BN316" s="46">
        <v>0</v>
      </c>
      <c r="BO316" s="46">
        <f t="shared" si="338"/>
        <v>2487617</v>
      </c>
      <c r="BP316" s="46">
        <f t="shared" si="427"/>
        <v>0</v>
      </c>
      <c r="BQ316" s="46">
        <f t="shared" si="339"/>
        <v>1182743</v>
      </c>
      <c r="BR316" s="46">
        <f t="shared" si="340"/>
        <v>0</v>
      </c>
      <c r="BS316" s="46">
        <f t="shared" si="341"/>
        <v>246503</v>
      </c>
      <c r="BT316" s="46">
        <v>0</v>
      </c>
      <c r="BU316" s="46">
        <f t="shared" si="342"/>
        <v>1429246</v>
      </c>
      <c r="BV316" s="46">
        <f t="shared" si="428"/>
        <v>246503</v>
      </c>
      <c r="BW316" s="46">
        <f t="shared" si="343"/>
        <v>2266462</v>
      </c>
      <c r="BX316" s="46">
        <f t="shared" si="344"/>
        <v>369457</v>
      </c>
      <c r="BY316" s="46">
        <f t="shared" si="345"/>
        <v>-246503</v>
      </c>
      <c r="BZ316" s="46">
        <v>0</v>
      </c>
      <c r="CA316" s="46">
        <f t="shared" si="346"/>
        <v>2389416</v>
      </c>
      <c r="CB316" s="46">
        <f t="shared" si="429"/>
        <v>0</v>
      </c>
      <c r="CC316" s="155">
        <f t="shared" si="349"/>
        <v>0</v>
      </c>
      <c r="CD316" s="79" t="s">
        <v>538</v>
      </c>
      <c r="CE316" s="65">
        <f t="shared" si="350"/>
        <v>1429246</v>
      </c>
      <c r="CF316" s="65">
        <f t="shared" si="351"/>
        <v>1429246</v>
      </c>
      <c r="CG316" s="65">
        <f t="shared" si="352"/>
        <v>1298288</v>
      </c>
      <c r="CH316" s="65">
        <f t="shared" si="353"/>
        <v>1429246</v>
      </c>
      <c r="CI316" s="65">
        <f t="shared" si="354"/>
        <v>3766735</v>
      </c>
      <c r="CJ316" s="65">
        <f t="shared" si="355"/>
        <v>1468485</v>
      </c>
      <c r="CK316" s="65">
        <f t="shared" si="356"/>
        <v>2400310</v>
      </c>
      <c r="CL316" s="65">
        <f t="shared" si="357"/>
        <v>1429246</v>
      </c>
      <c r="CM316" s="65">
        <f t="shared" si="358"/>
        <v>1566558</v>
      </c>
      <c r="CN316" s="65">
        <f t="shared" si="359"/>
        <v>2487617</v>
      </c>
      <c r="CO316" s="65">
        <f t="shared" si="360"/>
        <v>1429246</v>
      </c>
      <c r="CP316" s="65">
        <f t="shared" si="361"/>
        <v>2389416</v>
      </c>
      <c r="CQ316" s="40" t="s">
        <v>538</v>
      </c>
    </row>
    <row r="317" spans="1:95" ht="3" customHeight="1" x14ac:dyDescent="0.25">
      <c r="A317" s="39">
        <v>1</v>
      </c>
      <c r="B317" s="28">
        <v>14102</v>
      </c>
      <c r="C317" s="28" t="s">
        <v>236</v>
      </c>
      <c r="D317" s="48">
        <f>+DATA!Q315</f>
        <v>2331233.6609999998</v>
      </c>
      <c r="E317" s="48">
        <f t="shared" si="347"/>
        <v>153473</v>
      </c>
      <c r="F317" s="48">
        <f t="shared" si="348"/>
        <v>233123</v>
      </c>
      <c r="G317" s="49">
        <f>VLOOKUP(B317,'CALC MEC ESTAB Y ESTIM M FINAL'!$B$7:$F$352,5,0)</f>
        <v>1.2277326753E-3</v>
      </c>
      <c r="H317" s="49">
        <f>VLOOKUP(B317,'CALC MEC ESTAB Y ESTIM M FINAL'!$B$7:$R$352,17,0)</f>
        <v>-6.1941023499999996E-5</v>
      </c>
      <c r="I317" s="46">
        <f t="shared" si="304"/>
        <v>96122</v>
      </c>
      <c r="J317" s="46">
        <f t="shared" si="305"/>
        <v>0</v>
      </c>
      <c r="K317" s="46">
        <f t="shared" si="306"/>
        <v>57351</v>
      </c>
      <c r="L317" s="46">
        <v>0</v>
      </c>
      <c r="M317" s="46">
        <f t="shared" si="307"/>
        <v>153473</v>
      </c>
      <c r="N317" s="46">
        <f t="shared" si="413"/>
        <v>57351</v>
      </c>
      <c r="O317" s="46">
        <f t="shared" si="308"/>
        <v>51114</v>
      </c>
      <c r="P317" s="46">
        <f t="shared" si="309"/>
        <v>0</v>
      </c>
      <c r="Q317" s="46">
        <f t="shared" si="310"/>
        <v>102359</v>
      </c>
      <c r="R317" s="46">
        <v>0</v>
      </c>
      <c r="S317" s="46">
        <f t="shared" si="311"/>
        <v>153473</v>
      </c>
      <c r="T317" s="46">
        <f t="shared" si="414"/>
        <v>159710</v>
      </c>
      <c r="U317" s="46">
        <f t="shared" si="312"/>
        <v>145818</v>
      </c>
      <c r="V317" s="46">
        <f t="shared" si="313"/>
        <v>0</v>
      </c>
      <c r="W317" s="46">
        <f t="shared" si="415"/>
        <v>0</v>
      </c>
      <c r="X317" s="46">
        <v>0</v>
      </c>
      <c r="Y317" s="46">
        <f t="shared" si="314"/>
        <v>145818</v>
      </c>
      <c r="Z317" s="46">
        <f t="shared" si="416"/>
        <v>159710</v>
      </c>
      <c r="AA317" s="46">
        <f t="shared" si="315"/>
        <v>77427</v>
      </c>
      <c r="AB317" s="46">
        <f t="shared" si="316"/>
        <v>0</v>
      </c>
      <c r="AC317" s="46">
        <f t="shared" si="317"/>
        <v>76046</v>
      </c>
      <c r="AD317" s="46">
        <v>0</v>
      </c>
      <c r="AE317" s="46">
        <f t="shared" si="318"/>
        <v>153473</v>
      </c>
      <c r="AF317" s="46">
        <f t="shared" si="417"/>
        <v>235756</v>
      </c>
      <c r="AG317" s="46">
        <f t="shared" si="319"/>
        <v>673761</v>
      </c>
      <c r="AH317" s="46">
        <f t="shared" si="320"/>
        <v>6219</v>
      </c>
      <c r="AI317" s="46">
        <f t="shared" si="418"/>
        <v>-235756</v>
      </c>
      <c r="AJ317" s="46">
        <v>0</v>
      </c>
      <c r="AK317" s="46">
        <f t="shared" si="321"/>
        <v>444224</v>
      </c>
      <c r="AL317" s="46">
        <f t="shared" si="419"/>
        <v>0</v>
      </c>
      <c r="AM317" s="46">
        <f t="shared" si="322"/>
        <v>133455</v>
      </c>
      <c r="AN317" s="46">
        <f t="shared" si="323"/>
        <v>4407</v>
      </c>
      <c r="AO317" s="46">
        <f t="shared" si="324"/>
        <v>20018</v>
      </c>
      <c r="AP317" s="46">
        <v>0</v>
      </c>
      <c r="AQ317" s="46">
        <f t="shared" si="325"/>
        <v>157880</v>
      </c>
      <c r="AR317" s="46">
        <f t="shared" si="420"/>
        <v>20018</v>
      </c>
      <c r="AS317" s="46">
        <f t="shared" si="326"/>
        <v>265284</v>
      </c>
      <c r="AT317" s="46">
        <f t="shared" si="327"/>
        <v>25754</v>
      </c>
      <c r="AU317" s="46">
        <f t="shared" si="421"/>
        <v>-20018</v>
      </c>
      <c r="AV317" s="46">
        <v>0</v>
      </c>
      <c r="AW317" s="46">
        <f t="shared" si="328"/>
        <v>271020</v>
      </c>
      <c r="AX317" s="46">
        <f t="shared" si="422"/>
        <v>0</v>
      </c>
      <c r="AY317" s="46">
        <f t="shared" si="329"/>
        <v>87627</v>
      </c>
      <c r="AZ317" s="46">
        <f t="shared" si="330"/>
        <v>0</v>
      </c>
      <c r="BA317" s="46">
        <f t="shared" si="331"/>
        <v>65846</v>
      </c>
      <c r="BB317" s="46"/>
      <c r="BC317" s="46">
        <f t="shared" si="332"/>
        <v>153473</v>
      </c>
      <c r="BD317" s="46">
        <f t="shared" si="423"/>
        <v>65846</v>
      </c>
      <c r="BE317" s="46">
        <f t="shared" si="333"/>
        <v>169635</v>
      </c>
      <c r="BF317" s="46">
        <f t="shared" si="334"/>
        <v>6314</v>
      </c>
      <c r="BG317" s="46">
        <f t="shared" si="424"/>
        <v>0</v>
      </c>
      <c r="BH317" s="46">
        <v>0</v>
      </c>
      <c r="BI317" s="46">
        <f t="shared" si="335"/>
        <v>175949</v>
      </c>
      <c r="BJ317" s="46">
        <f t="shared" si="425"/>
        <v>65846</v>
      </c>
      <c r="BK317" s="46">
        <f t="shared" si="336"/>
        <v>357923</v>
      </c>
      <c r="BL317" s="46">
        <f t="shared" si="337"/>
        <v>0</v>
      </c>
      <c r="BM317" s="46">
        <f t="shared" si="426"/>
        <v>-65846</v>
      </c>
      <c r="BN317" s="46">
        <v>0</v>
      </c>
      <c r="BO317" s="46">
        <f t="shared" si="338"/>
        <v>292077</v>
      </c>
      <c r="BP317" s="46">
        <f t="shared" si="427"/>
        <v>0</v>
      </c>
      <c r="BQ317" s="46">
        <f t="shared" si="339"/>
        <v>132840</v>
      </c>
      <c r="BR317" s="46">
        <f t="shared" si="340"/>
        <v>0</v>
      </c>
      <c r="BS317" s="46">
        <f t="shared" si="341"/>
        <v>20633</v>
      </c>
      <c r="BT317" s="46">
        <v>0</v>
      </c>
      <c r="BU317" s="46">
        <f t="shared" si="342"/>
        <v>153473</v>
      </c>
      <c r="BV317" s="46">
        <f t="shared" si="428"/>
        <v>20633</v>
      </c>
      <c r="BW317" s="46">
        <f t="shared" si="343"/>
        <v>254559</v>
      </c>
      <c r="BX317" s="46">
        <f t="shared" si="344"/>
        <v>41496</v>
      </c>
      <c r="BY317" s="46">
        <f t="shared" si="345"/>
        <v>-20633</v>
      </c>
      <c r="BZ317" s="46">
        <v>0</v>
      </c>
      <c r="CA317" s="46">
        <f t="shared" si="346"/>
        <v>275422</v>
      </c>
      <c r="CB317" s="46">
        <f t="shared" si="429"/>
        <v>0</v>
      </c>
      <c r="CC317" s="155">
        <f t="shared" si="349"/>
        <v>0</v>
      </c>
      <c r="CD317" s="79" t="s">
        <v>538</v>
      </c>
      <c r="CE317" s="65">
        <f t="shared" si="350"/>
        <v>153473</v>
      </c>
      <c r="CF317" s="65">
        <f t="shared" si="351"/>
        <v>153473</v>
      </c>
      <c r="CG317" s="65">
        <f t="shared" si="352"/>
        <v>145818</v>
      </c>
      <c r="CH317" s="65">
        <f t="shared" si="353"/>
        <v>153473</v>
      </c>
      <c r="CI317" s="65">
        <f t="shared" si="354"/>
        <v>444224</v>
      </c>
      <c r="CJ317" s="65">
        <f t="shared" si="355"/>
        <v>157880</v>
      </c>
      <c r="CK317" s="65">
        <f t="shared" si="356"/>
        <v>271020</v>
      </c>
      <c r="CL317" s="65">
        <f t="shared" si="357"/>
        <v>153473</v>
      </c>
      <c r="CM317" s="65">
        <f t="shared" si="358"/>
        <v>175949</v>
      </c>
      <c r="CN317" s="65">
        <f t="shared" si="359"/>
        <v>292077</v>
      </c>
      <c r="CO317" s="65">
        <f t="shared" si="360"/>
        <v>153473</v>
      </c>
      <c r="CP317" s="65">
        <f t="shared" si="361"/>
        <v>275422</v>
      </c>
      <c r="CQ317" s="40" t="s">
        <v>538</v>
      </c>
    </row>
    <row r="318" spans="1:95" ht="3" customHeight="1" x14ac:dyDescent="0.25">
      <c r="A318" s="39">
        <v>1</v>
      </c>
      <c r="B318" s="28">
        <v>14103</v>
      </c>
      <c r="C318" s="28" t="s">
        <v>233</v>
      </c>
      <c r="D318" s="48">
        <f>+DATA!Q316</f>
        <v>3790516.9190000002</v>
      </c>
      <c r="E318" s="48">
        <f t="shared" si="347"/>
        <v>249542</v>
      </c>
      <c r="F318" s="48">
        <f t="shared" si="348"/>
        <v>379052</v>
      </c>
      <c r="G318" s="49">
        <f>VLOOKUP(B318,'CALC MEC ESTAB Y ESTIM M FINAL'!$B$7:$F$352,5,0)</f>
        <v>2.3278833553999996E-3</v>
      </c>
      <c r="H318" s="49">
        <f>VLOOKUP(B318,'CALC MEC ESTAB Y ESTIM M FINAL'!$B$7:$R$352,17,0)</f>
        <v>-2.823738537E-4</v>
      </c>
      <c r="I318" s="46">
        <f t="shared" si="304"/>
        <v>168657</v>
      </c>
      <c r="J318" s="46">
        <f t="shared" si="305"/>
        <v>0</v>
      </c>
      <c r="K318" s="46">
        <f t="shared" si="306"/>
        <v>80885</v>
      </c>
      <c r="L318" s="46">
        <v>0</v>
      </c>
      <c r="M318" s="46">
        <f t="shared" si="307"/>
        <v>249542</v>
      </c>
      <c r="N318" s="46">
        <f t="shared" si="413"/>
        <v>80885</v>
      </c>
      <c r="O318" s="46">
        <f t="shared" si="308"/>
        <v>89686</v>
      </c>
      <c r="P318" s="46">
        <f t="shared" si="309"/>
        <v>0</v>
      </c>
      <c r="Q318" s="46">
        <f t="shared" si="310"/>
        <v>159856</v>
      </c>
      <c r="R318" s="46">
        <v>0</v>
      </c>
      <c r="S318" s="46">
        <f t="shared" si="311"/>
        <v>249542</v>
      </c>
      <c r="T318" s="46">
        <f t="shared" si="414"/>
        <v>240741</v>
      </c>
      <c r="U318" s="46">
        <f t="shared" si="312"/>
        <v>255854</v>
      </c>
      <c r="V318" s="46">
        <f t="shared" si="313"/>
        <v>0</v>
      </c>
      <c r="W318" s="46">
        <f t="shared" si="415"/>
        <v>0</v>
      </c>
      <c r="X318" s="46">
        <v>0</v>
      </c>
      <c r="Y318" s="46">
        <f t="shared" si="314"/>
        <v>255854</v>
      </c>
      <c r="Z318" s="46">
        <f t="shared" si="416"/>
        <v>240741</v>
      </c>
      <c r="AA318" s="46">
        <f t="shared" si="315"/>
        <v>135854</v>
      </c>
      <c r="AB318" s="46">
        <f t="shared" si="316"/>
        <v>0</v>
      </c>
      <c r="AC318" s="46">
        <f t="shared" si="317"/>
        <v>113688</v>
      </c>
      <c r="AD318" s="46">
        <v>0</v>
      </c>
      <c r="AE318" s="46">
        <f t="shared" si="318"/>
        <v>249542</v>
      </c>
      <c r="AF318" s="46">
        <f t="shared" si="417"/>
        <v>354429</v>
      </c>
      <c r="AG318" s="46">
        <f t="shared" si="319"/>
        <v>1182187</v>
      </c>
      <c r="AH318" s="46">
        <f t="shared" si="320"/>
        <v>10911</v>
      </c>
      <c r="AI318" s="46">
        <f t="shared" si="418"/>
        <v>-354429</v>
      </c>
      <c r="AJ318" s="46">
        <v>0</v>
      </c>
      <c r="AK318" s="46">
        <f t="shared" si="321"/>
        <v>838669</v>
      </c>
      <c r="AL318" s="46">
        <f t="shared" si="419"/>
        <v>0</v>
      </c>
      <c r="AM318" s="46">
        <f t="shared" si="322"/>
        <v>234161</v>
      </c>
      <c r="AN318" s="46">
        <f t="shared" si="323"/>
        <v>7733</v>
      </c>
      <c r="AO318" s="46">
        <f t="shared" si="324"/>
        <v>15381</v>
      </c>
      <c r="AP318" s="46">
        <v>0</v>
      </c>
      <c r="AQ318" s="46">
        <f t="shared" si="325"/>
        <v>257275</v>
      </c>
      <c r="AR318" s="46">
        <f t="shared" si="420"/>
        <v>15381</v>
      </c>
      <c r="AS318" s="46">
        <f t="shared" si="326"/>
        <v>465471</v>
      </c>
      <c r="AT318" s="46">
        <f t="shared" si="327"/>
        <v>45189</v>
      </c>
      <c r="AU318" s="46">
        <f t="shared" si="421"/>
        <v>-15381</v>
      </c>
      <c r="AV318" s="46">
        <v>0</v>
      </c>
      <c r="AW318" s="46">
        <f t="shared" si="328"/>
        <v>495279</v>
      </c>
      <c r="AX318" s="46">
        <f t="shared" si="422"/>
        <v>0</v>
      </c>
      <c r="AY318" s="46">
        <f t="shared" si="329"/>
        <v>153752</v>
      </c>
      <c r="AZ318" s="46">
        <f t="shared" si="330"/>
        <v>0</v>
      </c>
      <c r="BA318" s="46">
        <f t="shared" si="331"/>
        <v>95790</v>
      </c>
      <c r="BB318" s="46"/>
      <c r="BC318" s="46">
        <f t="shared" si="332"/>
        <v>249542</v>
      </c>
      <c r="BD318" s="46">
        <f t="shared" si="423"/>
        <v>95790</v>
      </c>
      <c r="BE318" s="46">
        <f t="shared" si="333"/>
        <v>297644</v>
      </c>
      <c r="BF318" s="46">
        <f t="shared" si="334"/>
        <v>11078</v>
      </c>
      <c r="BG318" s="46">
        <f t="shared" si="424"/>
        <v>0</v>
      </c>
      <c r="BH318" s="46">
        <v>0</v>
      </c>
      <c r="BI318" s="46">
        <f t="shared" si="335"/>
        <v>308722</v>
      </c>
      <c r="BJ318" s="46">
        <f t="shared" si="425"/>
        <v>95790</v>
      </c>
      <c r="BK318" s="46">
        <f t="shared" si="336"/>
        <v>628015</v>
      </c>
      <c r="BL318" s="46">
        <f t="shared" si="337"/>
        <v>0</v>
      </c>
      <c r="BM318" s="46">
        <f t="shared" si="426"/>
        <v>-95790</v>
      </c>
      <c r="BN318" s="46">
        <v>0</v>
      </c>
      <c r="BO318" s="46">
        <f t="shared" si="338"/>
        <v>532225</v>
      </c>
      <c r="BP318" s="46">
        <f t="shared" si="427"/>
        <v>0</v>
      </c>
      <c r="BQ318" s="46">
        <f t="shared" si="339"/>
        <v>233083</v>
      </c>
      <c r="BR318" s="46">
        <f t="shared" si="340"/>
        <v>0</v>
      </c>
      <c r="BS318" s="46">
        <f t="shared" si="341"/>
        <v>16459</v>
      </c>
      <c r="BT318" s="46">
        <v>0</v>
      </c>
      <c r="BU318" s="46">
        <f t="shared" si="342"/>
        <v>249542</v>
      </c>
      <c r="BV318" s="46">
        <f t="shared" si="428"/>
        <v>16459</v>
      </c>
      <c r="BW318" s="46">
        <f t="shared" si="343"/>
        <v>446652</v>
      </c>
      <c r="BX318" s="46">
        <f t="shared" si="344"/>
        <v>72809</v>
      </c>
      <c r="BY318" s="46">
        <f t="shared" si="345"/>
        <v>-16459</v>
      </c>
      <c r="BZ318" s="46">
        <v>0</v>
      </c>
      <c r="CA318" s="46">
        <f t="shared" si="346"/>
        <v>503002</v>
      </c>
      <c r="CB318" s="46">
        <f t="shared" si="429"/>
        <v>0</v>
      </c>
      <c r="CC318" s="155">
        <f t="shared" si="349"/>
        <v>0</v>
      </c>
      <c r="CD318" s="79" t="s">
        <v>538</v>
      </c>
      <c r="CE318" s="65">
        <f t="shared" si="350"/>
        <v>249542</v>
      </c>
      <c r="CF318" s="65">
        <f t="shared" si="351"/>
        <v>249542</v>
      </c>
      <c r="CG318" s="65">
        <f t="shared" si="352"/>
        <v>255854</v>
      </c>
      <c r="CH318" s="65">
        <f t="shared" si="353"/>
        <v>249542</v>
      </c>
      <c r="CI318" s="65">
        <f t="shared" si="354"/>
        <v>838669</v>
      </c>
      <c r="CJ318" s="65">
        <f t="shared" si="355"/>
        <v>257275</v>
      </c>
      <c r="CK318" s="65">
        <f t="shared" si="356"/>
        <v>495279</v>
      </c>
      <c r="CL318" s="65">
        <f t="shared" si="357"/>
        <v>249542</v>
      </c>
      <c r="CM318" s="65">
        <f t="shared" si="358"/>
        <v>308722</v>
      </c>
      <c r="CN318" s="65">
        <f t="shared" si="359"/>
        <v>532225</v>
      </c>
      <c r="CO318" s="65">
        <f t="shared" si="360"/>
        <v>249542</v>
      </c>
      <c r="CP318" s="65">
        <f t="shared" si="361"/>
        <v>503002</v>
      </c>
      <c r="CQ318" s="40" t="s">
        <v>538</v>
      </c>
    </row>
    <row r="319" spans="1:95" ht="3" customHeight="1" x14ac:dyDescent="0.25">
      <c r="A319" s="39">
        <v>1</v>
      </c>
      <c r="B319" s="28">
        <v>14104</v>
      </c>
      <c r="C319" s="28" t="s">
        <v>234</v>
      </c>
      <c r="D319" s="48">
        <f>+DATA!Q317</f>
        <v>2718871.915</v>
      </c>
      <c r="E319" s="48">
        <f t="shared" si="347"/>
        <v>178992</v>
      </c>
      <c r="F319" s="48">
        <f t="shared" si="348"/>
        <v>271887</v>
      </c>
      <c r="G319" s="49">
        <f>VLOOKUP(B319,'CALC MEC ESTAB Y ESTIM M FINAL'!$B$7:$F$352,5,0)</f>
        <v>1.2444747864E-3</v>
      </c>
      <c r="H319" s="49">
        <f>VLOOKUP(B319,'CALC MEC ESTAB Y ESTIM M FINAL'!$B$7:$R$352,17,0)</f>
        <v>5.5420359500000001E-5</v>
      </c>
      <c r="I319" s="46">
        <f t="shared" si="304"/>
        <v>107179</v>
      </c>
      <c r="J319" s="46">
        <f t="shared" si="305"/>
        <v>0</v>
      </c>
      <c r="K319" s="46">
        <f t="shared" si="306"/>
        <v>71813</v>
      </c>
      <c r="L319" s="46">
        <v>0</v>
      </c>
      <c r="M319" s="46">
        <f t="shared" si="307"/>
        <v>178992</v>
      </c>
      <c r="N319" s="46">
        <f t="shared" si="413"/>
        <v>71813</v>
      </c>
      <c r="O319" s="46">
        <f t="shared" si="308"/>
        <v>56994</v>
      </c>
      <c r="P319" s="46">
        <f t="shared" si="309"/>
        <v>0</v>
      </c>
      <c r="Q319" s="46">
        <f t="shared" si="310"/>
        <v>121998</v>
      </c>
      <c r="R319" s="46">
        <v>0</v>
      </c>
      <c r="S319" s="46">
        <f t="shared" si="311"/>
        <v>178992</v>
      </c>
      <c r="T319" s="46">
        <f t="shared" si="414"/>
        <v>193811</v>
      </c>
      <c r="U319" s="46">
        <f t="shared" si="312"/>
        <v>162592</v>
      </c>
      <c r="V319" s="46">
        <f t="shared" si="313"/>
        <v>0</v>
      </c>
      <c r="W319" s="46">
        <f t="shared" si="415"/>
        <v>0</v>
      </c>
      <c r="X319" s="46">
        <v>0</v>
      </c>
      <c r="Y319" s="46">
        <f t="shared" si="314"/>
        <v>162592</v>
      </c>
      <c r="Z319" s="46">
        <f t="shared" si="416"/>
        <v>193811</v>
      </c>
      <c r="AA319" s="46">
        <f t="shared" si="315"/>
        <v>86334</v>
      </c>
      <c r="AB319" s="46">
        <f t="shared" si="316"/>
        <v>0</v>
      </c>
      <c r="AC319" s="46">
        <f t="shared" si="317"/>
        <v>92658</v>
      </c>
      <c r="AD319" s="46">
        <v>0</v>
      </c>
      <c r="AE319" s="46">
        <f t="shared" si="318"/>
        <v>178992</v>
      </c>
      <c r="AF319" s="46">
        <f t="shared" si="417"/>
        <v>286469</v>
      </c>
      <c r="AG319" s="46">
        <f t="shared" si="319"/>
        <v>751265</v>
      </c>
      <c r="AH319" s="46">
        <f t="shared" si="320"/>
        <v>6934</v>
      </c>
      <c r="AI319" s="46">
        <f t="shared" si="418"/>
        <v>-286469</v>
      </c>
      <c r="AJ319" s="46">
        <v>0</v>
      </c>
      <c r="AK319" s="46">
        <f t="shared" si="321"/>
        <v>471730</v>
      </c>
      <c r="AL319" s="46">
        <f t="shared" si="419"/>
        <v>0</v>
      </c>
      <c r="AM319" s="46">
        <f t="shared" si="322"/>
        <v>148806</v>
      </c>
      <c r="AN319" s="46">
        <f t="shared" si="323"/>
        <v>4914</v>
      </c>
      <c r="AO319" s="46">
        <f t="shared" si="324"/>
        <v>30186</v>
      </c>
      <c r="AP319" s="46">
        <v>0</v>
      </c>
      <c r="AQ319" s="46">
        <f t="shared" si="325"/>
        <v>183906</v>
      </c>
      <c r="AR319" s="46">
        <f t="shared" si="420"/>
        <v>30186</v>
      </c>
      <c r="AS319" s="46">
        <f t="shared" si="326"/>
        <v>295801</v>
      </c>
      <c r="AT319" s="46">
        <f t="shared" si="327"/>
        <v>28717</v>
      </c>
      <c r="AU319" s="46">
        <f t="shared" si="421"/>
        <v>-23914</v>
      </c>
      <c r="AV319" s="46">
        <v>0</v>
      </c>
      <c r="AW319" s="46">
        <f t="shared" si="328"/>
        <v>300604</v>
      </c>
      <c r="AX319" s="46">
        <f t="shared" si="422"/>
        <v>6272</v>
      </c>
      <c r="AY319" s="46">
        <f t="shared" si="329"/>
        <v>97707</v>
      </c>
      <c r="AZ319" s="46">
        <f t="shared" si="330"/>
        <v>0</v>
      </c>
      <c r="BA319" s="46">
        <f t="shared" si="331"/>
        <v>81285</v>
      </c>
      <c r="BB319" s="46"/>
      <c r="BC319" s="46">
        <f t="shared" si="332"/>
        <v>178992</v>
      </c>
      <c r="BD319" s="46">
        <f t="shared" si="423"/>
        <v>87557</v>
      </c>
      <c r="BE319" s="46">
        <f t="shared" si="333"/>
        <v>189149</v>
      </c>
      <c r="BF319" s="46">
        <f t="shared" si="334"/>
        <v>7040</v>
      </c>
      <c r="BG319" s="46">
        <f t="shared" si="424"/>
        <v>0</v>
      </c>
      <c r="BH319" s="46">
        <v>0</v>
      </c>
      <c r="BI319" s="46">
        <f t="shared" si="335"/>
        <v>196189</v>
      </c>
      <c r="BJ319" s="46">
        <f t="shared" si="425"/>
        <v>87557</v>
      </c>
      <c r="BK319" s="46">
        <f t="shared" si="336"/>
        <v>399096</v>
      </c>
      <c r="BL319" s="46">
        <f t="shared" si="337"/>
        <v>0</v>
      </c>
      <c r="BM319" s="46">
        <f t="shared" si="426"/>
        <v>-87557</v>
      </c>
      <c r="BN319" s="46">
        <v>0</v>
      </c>
      <c r="BO319" s="46">
        <f t="shared" si="338"/>
        <v>311539</v>
      </c>
      <c r="BP319" s="46">
        <f t="shared" si="427"/>
        <v>0</v>
      </c>
      <c r="BQ319" s="46">
        <f t="shared" si="339"/>
        <v>148121</v>
      </c>
      <c r="BR319" s="46">
        <f t="shared" si="340"/>
        <v>0</v>
      </c>
      <c r="BS319" s="46">
        <f t="shared" si="341"/>
        <v>30871</v>
      </c>
      <c r="BT319" s="46">
        <v>0</v>
      </c>
      <c r="BU319" s="46">
        <f t="shared" si="342"/>
        <v>178992</v>
      </c>
      <c r="BV319" s="46">
        <f t="shared" si="428"/>
        <v>30871</v>
      </c>
      <c r="BW319" s="46">
        <f t="shared" si="343"/>
        <v>283842</v>
      </c>
      <c r="BX319" s="46">
        <f t="shared" si="344"/>
        <v>46269</v>
      </c>
      <c r="BY319" s="46">
        <f t="shared" si="345"/>
        <v>-30871</v>
      </c>
      <c r="BZ319" s="46">
        <v>0</v>
      </c>
      <c r="CA319" s="46">
        <f t="shared" si="346"/>
        <v>299240</v>
      </c>
      <c r="CB319" s="46">
        <f t="shared" si="429"/>
        <v>0</v>
      </c>
      <c r="CC319" s="155">
        <f t="shared" si="349"/>
        <v>0</v>
      </c>
      <c r="CD319" s="79" t="s">
        <v>538</v>
      </c>
      <c r="CE319" s="65">
        <f t="shared" si="350"/>
        <v>178992</v>
      </c>
      <c r="CF319" s="65">
        <f t="shared" si="351"/>
        <v>178992</v>
      </c>
      <c r="CG319" s="65">
        <f t="shared" si="352"/>
        <v>162592</v>
      </c>
      <c r="CH319" s="65">
        <f t="shared" si="353"/>
        <v>178992</v>
      </c>
      <c r="CI319" s="65">
        <f t="shared" si="354"/>
        <v>471730</v>
      </c>
      <c r="CJ319" s="65">
        <f t="shared" si="355"/>
        <v>183906</v>
      </c>
      <c r="CK319" s="65">
        <f t="shared" si="356"/>
        <v>300604</v>
      </c>
      <c r="CL319" s="65">
        <f t="shared" si="357"/>
        <v>178992</v>
      </c>
      <c r="CM319" s="65">
        <f t="shared" si="358"/>
        <v>196189</v>
      </c>
      <c r="CN319" s="65">
        <f t="shared" si="359"/>
        <v>311539</v>
      </c>
      <c r="CO319" s="65">
        <f t="shared" si="360"/>
        <v>178992</v>
      </c>
      <c r="CP319" s="65">
        <f t="shared" si="361"/>
        <v>299240</v>
      </c>
      <c r="CQ319" s="40" t="s">
        <v>538</v>
      </c>
    </row>
    <row r="320" spans="1:95" ht="3" customHeight="1" x14ac:dyDescent="0.25">
      <c r="A320" s="39">
        <v>1</v>
      </c>
      <c r="B320" s="28">
        <v>14105</v>
      </c>
      <c r="C320" s="28" t="s">
        <v>435</v>
      </c>
      <c r="D320" s="48">
        <f>+DATA!Q318</f>
        <v>1851335.547</v>
      </c>
      <c r="E320" s="48">
        <f t="shared" si="347"/>
        <v>121880</v>
      </c>
      <c r="F320" s="48">
        <f t="shared" si="348"/>
        <v>185134</v>
      </c>
      <c r="G320" s="49">
        <f>VLOOKUP(B320,'CALC MEC ESTAB Y ESTIM M FINAL'!$B$7:$F$352,5,0)</f>
        <v>8.9469285379999998E-4</v>
      </c>
      <c r="H320" s="49">
        <f>VLOOKUP(B320,'CALC MEC ESTAB Y ESTIM M FINAL'!$B$7:$R$352,17,0)</f>
        <v>-5.3904344000000004E-6</v>
      </c>
      <c r="I320" s="46">
        <f t="shared" si="304"/>
        <v>73325</v>
      </c>
      <c r="J320" s="46">
        <f t="shared" si="305"/>
        <v>0</v>
      </c>
      <c r="K320" s="46">
        <f t="shared" si="306"/>
        <v>48555</v>
      </c>
      <c r="L320" s="46">
        <v>0</v>
      </c>
      <c r="M320" s="46">
        <f t="shared" si="307"/>
        <v>121880</v>
      </c>
      <c r="N320" s="46">
        <f t="shared" si="413"/>
        <v>48555</v>
      </c>
      <c r="O320" s="46">
        <f t="shared" si="308"/>
        <v>38992</v>
      </c>
      <c r="P320" s="46">
        <f t="shared" si="309"/>
        <v>0</v>
      </c>
      <c r="Q320" s="46">
        <f t="shared" si="310"/>
        <v>82888</v>
      </c>
      <c r="R320" s="46">
        <v>0</v>
      </c>
      <c r="S320" s="46">
        <f t="shared" si="311"/>
        <v>121880</v>
      </c>
      <c r="T320" s="46">
        <f t="shared" si="414"/>
        <v>131443</v>
      </c>
      <c r="U320" s="46">
        <f t="shared" si="312"/>
        <v>111235</v>
      </c>
      <c r="V320" s="46">
        <f t="shared" si="313"/>
        <v>0</v>
      </c>
      <c r="W320" s="46">
        <f t="shared" si="415"/>
        <v>0</v>
      </c>
      <c r="X320" s="46">
        <v>0</v>
      </c>
      <c r="Y320" s="46">
        <f t="shared" si="314"/>
        <v>111235</v>
      </c>
      <c r="Z320" s="46">
        <f t="shared" si="416"/>
        <v>131443</v>
      </c>
      <c r="AA320" s="46">
        <f t="shared" si="315"/>
        <v>59064</v>
      </c>
      <c r="AB320" s="46">
        <f t="shared" si="316"/>
        <v>0</v>
      </c>
      <c r="AC320" s="46">
        <f t="shared" si="317"/>
        <v>62816</v>
      </c>
      <c r="AD320" s="46">
        <v>0</v>
      </c>
      <c r="AE320" s="46">
        <f t="shared" si="318"/>
        <v>121880</v>
      </c>
      <c r="AF320" s="46">
        <f t="shared" si="417"/>
        <v>194259</v>
      </c>
      <c r="AG320" s="46">
        <f t="shared" si="319"/>
        <v>513966</v>
      </c>
      <c r="AH320" s="46">
        <f t="shared" si="320"/>
        <v>4744</v>
      </c>
      <c r="AI320" s="46">
        <f t="shared" si="418"/>
        <v>-194259</v>
      </c>
      <c r="AJ320" s="46">
        <v>0</v>
      </c>
      <c r="AK320" s="46">
        <f t="shared" si="321"/>
        <v>324451</v>
      </c>
      <c r="AL320" s="46">
        <f t="shared" si="419"/>
        <v>0</v>
      </c>
      <c r="AM320" s="46">
        <f t="shared" si="322"/>
        <v>101803</v>
      </c>
      <c r="AN320" s="46">
        <f t="shared" si="323"/>
        <v>3362</v>
      </c>
      <c r="AO320" s="46">
        <f t="shared" si="324"/>
        <v>20077</v>
      </c>
      <c r="AP320" s="46">
        <v>0</v>
      </c>
      <c r="AQ320" s="46">
        <f t="shared" si="325"/>
        <v>125242</v>
      </c>
      <c r="AR320" s="46">
        <f t="shared" si="420"/>
        <v>20077</v>
      </c>
      <c r="AS320" s="46">
        <f t="shared" si="326"/>
        <v>202367</v>
      </c>
      <c r="AT320" s="46">
        <f t="shared" si="327"/>
        <v>19646</v>
      </c>
      <c r="AU320" s="46">
        <f t="shared" si="421"/>
        <v>-17233</v>
      </c>
      <c r="AV320" s="46">
        <v>0</v>
      </c>
      <c r="AW320" s="46">
        <f t="shared" si="328"/>
        <v>204780</v>
      </c>
      <c r="AX320" s="46">
        <f t="shared" si="422"/>
        <v>2844</v>
      </c>
      <c r="AY320" s="46">
        <f t="shared" si="329"/>
        <v>66845</v>
      </c>
      <c r="AZ320" s="46">
        <f t="shared" si="330"/>
        <v>0</v>
      </c>
      <c r="BA320" s="46">
        <f t="shared" si="331"/>
        <v>55035</v>
      </c>
      <c r="BB320" s="46"/>
      <c r="BC320" s="46">
        <f t="shared" si="332"/>
        <v>121880</v>
      </c>
      <c r="BD320" s="46">
        <f t="shared" si="423"/>
        <v>57879</v>
      </c>
      <c r="BE320" s="46">
        <f t="shared" si="333"/>
        <v>129403</v>
      </c>
      <c r="BF320" s="46">
        <f t="shared" si="334"/>
        <v>4816</v>
      </c>
      <c r="BG320" s="46">
        <f t="shared" si="424"/>
        <v>0</v>
      </c>
      <c r="BH320" s="46">
        <v>0</v>
      </c>
      <c r="BI320" s="46">
        <f t="shared" si="335"/>
        <v>134219</v>
      </c>
      <c r="BJ320" s="46">
        <f t="shared" si="425"/>
        <v>57879</v>
      </c>
      <c r="BK320" s="46">
        <f t="shared" si="336"/>
        <v>273035</v>
      </c>
      <c r="BL320" s="46">
        <f t="shared" si="337"/>
        <v>0</v>
      </c>
      <c r="BM320" s="46">
        <f t="shared" si="426"/>
        <v>-57879</v>
      </c>
      <c r="BN320" s="46">
        <v>0</v>
      </c>
      <c r="BO320" s="46">
        <f t="shared" si="338"/>
        <v>215156</v>
      </c>
      <c r="BP320" s="46">
        <f t="shared" si="427"/>
        <v>0</v>
      </c>
      <c r="BQ320" s="46">
        <f t="shared" si="339"/>
        <v>101335</v>
      </c>
      <c r="BR320" s="46">
        <f t="shared" si="340"/>
        <v>0</v>
      </c>
      <c r="BS320" s="46">
        <f t="shared" si="341"/>
        <v>20545</v>
      </c>
      <c r="BT320" s="46">
        <v>0</v>
      </c>
      <c r="BU320" s="46">
        <f t="shared" si="342"/>
        <v>121880</v>
      </c>
      <c r="BV320" s="46">
        <f t="shared" si="428"/>
        <v>20545</v>
      </c>
      <c r="BW320" s="46">
        <f t="shared" si="343"/>
        <v>194186</v>
      </c>
      <c r="BX320" s="46">
        <f t="shared" si="344"/>
        <v>31654</v>
      </c>
      <c r="BY320" s="46">
        <f t="shared" si="345"/>
        <v>-20545</v>
      </c>
      <c r="BZ320" s="46">
        <v>0</v>
      </c>
      <c r="CA320" s="46">
        <f t="shared" si="346"/>
        <v>205295</v>
      </c>
      <c r="CB320" s="46">
        <f t="shared" si="429"/>
        <v>0</v>
      </c>
      <c r="CC320" s="155">
        <f t="shared" si="349"/>
        <v>0</v>
      </c>
      <c r="CD320" s="79" t="s">
        <v>538</v>
      </c>
      <c r="CE320" s="65">
        <f t="shared" si="350"/>
        <v>121880</v>
      </c>
      <c r="CF320" s="65">
        <f t="shared" si="351"/>
        <v>121880</v>
      </c>
      <c r="CG320" s="65">
        <f t="shared" si="352"/>
        <v>111235</v>
      </c>
      <c r="CH320" s="65">
        <f t="shared" si="353"/>
        <v>121880</v>
      </c>
      <c r="CI320" s="65">
        <f t="shared" si="354"/>
        <v>324451</v>
      </c>
      <c r="CJ320" s="65">
        <f t="shared" si="355"/>
        <v>125242</v>
      </c>
      <c r="CK320" s="65">
        <f t="shared" si="356"/>
        <v>204780</v>
      </c>
      <c r="CL320" s="65">
        <f t="shared" si="357"/>
        <v>121880</v>
      </c>
      <c r="CM320" s="65">
        <f t="shared" si="358"/>
        <v>134219</v>
      </c>
      <c r="CN320" s="65">
        <f t="shared" si="359"/>
        <v>215156</v>
      </c>
      <c r="CO320" s="65">
        <f t="shared" si="360"/>
        <v>121880</v>
      </c>
      <c r="CP320" s="65">
        <f t="shared" si="361"/>
        <v>205295</v>
      </c>
      <c r="CQ320" s="40" t="s">
        <v>538</v>
      </c>
    </row>
    <row r="321" spans="1:95" ht="3" customHeight="1" x14ac:dyDescent="0.25">
      <c r="A321" s="39">
        <v>1</v>
      </c>
      <c r="B321" s="28">
        <v>14106</v>
      </c>
      <c r="C321" s="28" t="s">
        <v>317</v>
      </c>
      <c r="D321" s="48">
        <f>+DATA!Q319</f>
        <v>4582704.8360000001</v>
      </c>
      <c r="E321" s="48">
        <f t="shared" si="347"/>
        <v>301695</v>
      </c>
      <c r="F321" s="48">
        <f t="shared" si="348"/>
        <v>458270</v>
      </c>
      <c r="G321" s="49">
        <f>VLOOKUP(B321,'CALC MEC ESTAB Y ESTIM M FINAL'!$B$7:$F$352,5,0)</f>
        <v>2.5375035961999999E-3</v>
      </c>
      <c r="H321" s="49">
        <f>VLOOKUP(B321,'CALC MEC ESTAB Y ESTIM M FINAL'!$B$7:$R$352,17,0)</f>
        <v>-1.894681316E-4</v>
      </c>
      <c r="I321" s="46">
        <f t="shared" si="304"/>
        <v>193601</v>
      </c>
      <c r="J321" s="46">
        <f t="shared" si="305"/>
        <v>0</v>
      </c>
      <c r="K321" s="46">
        <f t="shared" si="306"/>
        <v>108094</v>
      </c>
      <c r="L321" s="46">
        <v>0</v>
      </c>
      <c r="M321" s="46">
        <f t="shared" si="307"/>
        <v>301695</v>
      </c>
      <c r="N321" s="46">
        <f t="shared" si="413"/>
        <v>108094</v>
      </c>
      <c r="O321" s="46">
        <f t="shared" si="308"/>
        <v>102950</v>
      </c>
      <c r="P321" s="46">
        <f t="shared" si="309"/>
        <v>0</v>
      </c>
      <c r="Q321" s="46">
        <f t="shared" si="310"/>
        <v>198745</v>
      </c>
      <c r="R321" s="46">
        <v>0</v>
      </c>
      <c r="S321" s="46">
        <f t="shared" si="311"/>
        <v>301695</v>
      </c>
      <c r="T321" s="46">
        <f t="shared" si="414"/>
        <v>306839</v>
      </c>
      <c r="U321" s="46">
        <f t="shared" si="312"/>
        <v>293694</v>
      </c>
      <c r="V321" s="46">
        <f t="shared" si="313"/>
        <v>0</v>
      </c>
      <c r="W321" s="46">
        <f t="shared" si="415"/>
        <v>0</v>
      </c>
      <c r="X321" s="46">
        <v>0</v>
      </c>
      <c r="Y321" s="46">
        <f t="shared" si="314"/>
        <v>293694</v>
      </c>
      <c r="Z321" s="46">
        <f t="shared" si="416"/>
        <v>306839</v>
      </c>
      <c r="AA321" s="46">
        <f t="shared" si="315"/>
        <v>155947</v>
      </c>
      <c r="AB321" s="46">
        <f t="shared" si="316"/>
        <v>0</v>
      </c>
      <c r="AC321" s="46">
        <f t="shared" si="317"/>
        <v>145748</v>
      </c>
      <c r="AD321" s="46">
        <v>0</v>
      </c>
      <c r="AE321" s="46">
        <f t="shared" si="318"/>
        <v>301695</v>
      </c>
      <c r="AF321" s="46">
        <f t="shared" si="417"/>
        <v>452587</v>
      </c>
      <c r="AG321" s="46">
        <f t="shared" si="319"/>
        <v>1357030</v>
      </c>
      <c r="AH321" s="46">
        <f t="shared" si="320"/>
        <v>12525</v>
      </c>
      <c r="AI321" s="46">
        <f t="shared" si="418"/>
        <v>-452587</v>
      </c>
      <c r="AJ321" s="46">
        <v>0</v>
      </c>
      <c r="AK321" s="46">
        <f t="shared" si="321"/>
        <v>916968</v>
      </c>
      <c r="AL321" s="46">
        <f t="shared" si="419"/>
        <v>0</v>
      </c>
      <c r="AM321" s="46">
        <f t="shared" si="322"/>
        <v>268793</v>
      </c>
      <c r="AN321" s="46">
        <f t="shared" si="323"/>
        <v>8877</v>
      </c>
      <c r="AO321" s="46">
        <f t="shared" si="324"/>
        <v>32902</v>
      </c>
      <c r="AP321" s="46">
        <v>0</v>
      </c>
      <c r="AQ321" s="46">
        <f t="shared" si="325"/>
        <v>310572</v>
      </c>
      <c r="AR321" s="46">
        <f t="shared" si="420"/>
        <v>32902</v>
      </c>
      <c r="AS321" s="46">
        <f t="shared" si="326"/>
        <v>534313</v>
      </c>
      <c r="AT321" s="46">
        <f t="shared" si="327"/>
        <v>51872</v>
      </c>
      <c r="AU321" s="46">
        <f t="shared" si="421"/>
        <v>-32902</v>
      </c>
      <c r="AV321" s="46">
        <v>0</v>
      </c>
      <c r="AW321" s="46">
        <f t="shared" si="328"/>
        <v>553283</v>
      </c>
      <c r="AX321" s="46">
        <f t="shared" si="422"/>
        <v>0</v>
      </c>
      <c r="AY321" s="46">
        <f t="shared" si="329"/>
        <v>176492</v>
      </c>
      <c r="AZ321" s="46">
        <f t="shared" si="330"/>
        <v>0</v>
      </c>
      <c r="BA321" s="46">
        <f t="shared" si="331"/>
        <v>125203</v>
      </c>
      <c r="BB321" s="46"/>
      <c r="BC321" s="46">
        <f t="shared" si="332"/>
        <v>301695</v>
      </c>
      <c r="BD321" s="46">
        <f t="shared" si="423"/>
        <v>125203</v>
      </c>
      <c r="BE321" s="46">
        <f t="shared" si="333"/>
        <v>341664</v>
      </c>
      <c r="BF321" s="46">
        <f t="shared" si="334"/>
        <v>12716</v>
      </c>
      <c r="BG321" s="46">
        <f t="shared" si="424"/>
        <v>0</v>
      </c>
      <c r="BH321" s="46">
        <v>0</v>
      </c>
      <c r="BI321" s="46">
        <f t="shared" si="335"/>
        <v>354380</v>
      </c>
      <c r="BJ321" s="46">
        <f t="shared" si="425"/>
        <v>125203</v>
      </c>
      <c r="BK321" s="46">
        <f t="shared" si="336"/>
        <v>720897</v>
      </c>
      <c r="BL321" s="46">
        <f t="shared" si="337"/>
        <v>0</v>
      </c>
      <c r="BM321" s="46">
        <f t="shared" si="426"/>
        <v>-125203</v>
      </c>
      <c r="BN321" s="46">
        <v>0</v>
      </c>
      <c r="BO321" s="46">
        <f t="shared" si="338"/>
        <v>595694</v>
      </c>
      <c r="BP321" s="46">
        <f t="shared" si="427"/>
        <v>0</v>
      </c>
      <c r="BQ321" s="46">
        <f t="shared" si="339"/>
        <v>267556</v>
      </c>
      <c r="BR321" s="46">
        <f t="shared" si="340"/>
        <v>0</v>
      </c>
      <c r="BS321" s="46">
        <f t="shared" si="341"/>
        <v>34139</v>
      </c>
      <c r="BT321" s="46">
        <v>0</v>
      </c>
      <c r="BU321" s="46">
        <f t="shared" si="342"/>
        <v>301695</v>
      </c>
      <c r="BV321" s="46">
        <f t="shared" si="428"/>
        <v>34139</v>
      </c>
      <c r="BW321" s="46">
        <f t="shared" si="343"/>
        <v>512711</v>
      </c>
      <c r="BX321" s="46">
        <f t="shared" si="344"/>
        <v>83577</v>
      </c>
      <c r="BY321" s="46">
        <f t="shared" si="345"/>
        <v>-34139</v>
      </c>
      <c r="BZ321" s="46">
        <v>0</v>
      </c>
      <c r="CA321" s="46">
        <f t="shared" si="346"/>
        <v>562149</v>
      </c>
      <c r="CB321" s="46">
        <f t="shared" si="429"/>
        <v>0</v>
      </c>
      <c r="CC321" s="155">
        <f t="shared" si="349"/>
        <v>0</v>
      </c>
      <c r="CD321" s="79" t="s">
        <v>538</v>
      </c>
      <c r="CE321" s="65">
        <f t="shared" si="350"/>
        <v>301695</v>
      </c>
      <c r="CF321" s="65">
        <f t="shared" si="351"/>
        <v>301695</v>
      </c>
      <c r="CG321" s="65">
        <f t="shared" si="352"/>
        <v>293694</v>
      </c>
      <c r="CH321" s="65">
        <f t="shared" si="353"/>
        <v>301695</v>
      </c>
      <c r="CI321" s="65">
        <f t="shared" si="354"/>
        <v>916968</v>
      </c>
      <c r="CJ321" s="65">
        <f t="shared" si="355"/>
        <v>310572</v>
      </c>
      <c r="CK321" s="65">
        <f t="shared" si="356"/>
        <v>553283</v>
      </c>
      <c r="CL321" s="65">
        <f t="shared" si="357"/>
        <v>301695</v>
      </c>
      <c r="CM321" s="65">
        <f t="shared" si="358"/>
        <v>354380</v>
      </c>
      <c r="CN321" s="65">
        <f t="shared" si="359"/>
        <v>595694</v>
      </c>
      <c r="CO321" s="65">
        <f t="shared" si="360"/>
        <v>301695</v>
      </c>
      <c r="CP321" s="65">
        <f t="shared" si="361"/>
        <v>562149</v>
      </c>
      <c r="CQ321" s="40" t="s">
        <v>538</v>
      </c>
    </row>
    <row r="322" spans="1:95" ht="3" customHeight="1" x14ac:dyDescent="0.25">
      <c r="A322" s="39">
        <v>1</v>
      </c>
      <c r="B322" s="28">
        <v>14107</v>
      </c>
      <c r="C322" s="28" t="s">
        <v>238</v>
      </c>
      <c r="D322" s="48">
        <f>+DATA!Q320</f>
        <v>3365912.0970000001</v>
      </c>
      <c r="E322" s="48">
        <f t="shared" si="347"/>
        <v>221589</v>
      </c>
      <c r="F322" s="48">
        <f t="shared" si="348"/>
        <v>336591</v>
      </c>
      <c r="G322" s="49">
        <f>VLOOKUP(B322,'CALC MEC ESTAB Y ESTIM M FINAL'!$B$7:$F$352,5,0)</f>
        <v>1.2702546632000001E-3</v>
      </c>
      <c r="H322" s="49">
        <f>VLOOKUP(B322,'CALC MEC ESTAB Y ESTIM M FINAL'!$B$7:$R$352,17,0)</f>
        <v>3.3742216750000002E-4</v>
      </c>
      <c r="I322" s="46">
        <f t="shared" si="304"/>
        <v>132556</v>
      </c>
      <c r="J322" s="46">
        <f t="shared" si="305"/>
        <v>0</v>
      </c>
      <c r="K322" s="46">
        <f t="shared" si="306"/>
        <v>89033</v>
      </c>
      <c r="L322" s="46">
        <v>0</v>
      </c>
      <c r="M322" s="46">
        <f t="shared" si="307"/>
        <v>221589</v>
      </c>
      <c r="N322" s="46">
        <f t="shared" si="413"/>
        <v>89033</v>
      </c>
      <c r="O322" s="46">
        <f t="shared" si="308"/>
        <v>70489</v>
      </c>
      <c r="P322" s="46">
        <f t="shared" si="309"/>
        <v>0</v>
      </c>
      <c r="Q322" s="46">
        <f t="shared" si="310"/>
        <v>151100</v>
      </c>
      <c r="R322" s="46">
        <v>0</v>
      </c>
      <c r="S322" s="46">
        <f t="shared" si="311"/>
        <v>221589</v>
      </c>
      <c r="T322" s="46">
        <f t="shared" si="414"/>
        <v>240133</v>
      </c>
      <c r="U322" s="46">
        <f t="shared" si="312"/>
        <v>201089</v>
      </c>
      <c r="V322" s="46">
        <f t="shared" si="313"/>
        <v>0</v>
      </c>
      <c r="W322" s="46">
        <f t="shared" si="415"/>
        <v>0</v>
      </c>
      <c r="X322" s="46">
        <v>0</v>
      </c>
      <c r="Y322" s="46">
        <f t="shared" si="314"/>
        <v>201089</v>
      </c>
      <c r="Z322" s="46">
        <f t="shared" si="416"/>
        <v>240133</v>
      </c>
      <c r="AA322" s="46">
        <f t="shared" si="315"/>
        <v>106775</v>
      </c>
      <c r="AB322" s="46">
        <f t="shared" si="316"/>
        <v>0</v>
      </c>
      <c r="AC322" s="46">
        <f t="shared" si="317"/>
        <v>114814</v>
      </c>
      <c r="AD322" s="46">
        <v>0</v>
      </c>
      <c r="AE322" s="46">
        <f t="shared" si="318"/>
        <v>221589</v>
      </c>
      <c r="AF322" s="46">
        <f t="shared" si="417"/>
        <v>354947</v>
      </c>
      <c r="AG322" s="46">
        <f t="shared" si="319"/>
        <v>929145</v>
      </c>
      <c r="AH322" s="46">
        <f t="shared" si="320"/>
        <v>8576</v>
      </c>
      <c r="AI322" s="46">
        <f t="shared" si="418"/>
        <v>-354947</v>
      </c>
      <c r="AJ322" s="46">
        <v>0</v>
      </c>
      <c r="AK322" s="46">
        <f t="shared" si="321"/>
        <v>582774</v>
      </c>
      <c r="AL322" s="46">
        <f t="shared" si="419"/>
        <v>0</v>
      </c>
      <c r="AM322" s="46">
        <f t="shared" si="322"/>
        <v>184040</v>
      </c>
      <c r="AN322" s="46">
        <f t="shared" si="323"/>
        <v>6078</v>
      </c>
      <c r="AO322" s="46">
        <f t="shared" si="324"/>
        <v>37549</v>
      </c>
      <c r="AP322" s="46">
        <v>0</v>
      </c>
      <c r="AQ322" s="46">
        <f t="shared" si="325"/>
        <v>227667</v>
      </c>
      <c r="AR322" s="46">
        <f t="shared" si="420"/>
        <v>37549</v>
      </c>
      <c r="AS322" s="46">
        <f t="shared" si="326"/>
        <v>365839</v>
      </c>
      <c r="AT322" s="46">
        <f t="shared" si="327"/>
        <v>35516</v>
      </c>
      <c r="AU322" s="46">
        <f t="shared" si="421"/>
        <v>-29248</v>
      </c>
      <c r="AV322" s="46">
        <v>0</v>
      </c>
      <c r="AW322" s="46">
        <f t="shared" si="328"/>
        <v>372107</v>
      </c>
      <c r="AX322" s="46">
        <f t="shared" si="422"/>
        <v>8301</v>
      </c>
      <c r="AY322" s="46">
        <f t="shared" si="329"/>
        <v>120842</v>
      </c>
      <c r="AZ322" s="46">
        <f t="shared" si="330"/>
        <v>0</v>
      </c>
      <c r="BA322" s="46">
        <f t="shared" si="331"/>
        <v>100747</v>
      </c>
      <c r="BB322" s="46"/>
      <c r="BC322" s="46">
        <f t="shared" si="332"/>
        <v>221589</v>
      </c>
      <c r="BD322" s="46">
        <f t="shared" si="423"/>
        <v>109048</v>
      </c>
      <c r="BE322" s="46">
        <f t="shared" si="333"/>
        <v>233934</v>
      </c>
      <c r="BF322" s="46">
        <f t="shared" si="334"/>
        <v>8707</v>
      </c>
      <c r="BG322" s="46">
        <f t="shared" si="424"/>
        <v>0</v>
      </c>
      <c r="BH322" s="46">
        <v>0</v>
      </c>
      <c r="BI322" s="46">
        <f t="shared" si="335"/>
        <v>242641</v>
      </c>
      <c r="BJ322" s="46">
        <f t="shared" si="425"/>
        <v>109048</v>
      </c>
      <c r="BK322" s="46">
        <f t="shared" si="336"/>
        <v>493591</v>
      </c>
      <c r="BL322" s="46">
        <f t="shared" si="337"/>
        <v>0</v>
      </c>
      <c r="BM322" s="46">
        <f t="shared" si="426"/>
        <v>-109048</v>
      </c>
      <c r="BN322" s="46">
        <v>0</v>
      </c>
      <c r="BO322" s="46">
        <f t="shared" si="338"/>
        <v>384543</v>
      </c>
      <c r="BP322" s="46">
        <f t="shared" si="427"/>
        <v>0</v>
      </c>
      <c r="BQ322" s="46">
        <f t="shared" si="339"/>
        <v>183193</v>
      </c>
      <c r="BR322" s="46">
        <f t="shared" si="340"/>
        <v>0</v>
      </c>
      <c r="BS322" s="46">
        <f t="shared" si="341"/>
        <v>38396</v>
      </c>
      <c r="BT322" s="46">
        <v>0</v>
      </c>
      <c r="BU322" s="46">
        <f t="shared" si="342"/>
        <v>221589</v>
      </c>
      <c r="BV322" s="46">
        <f t="shared" si="428"/>
        <v>38396</v>
      </c>
      <c r="BW322" s="46">
        <f t="shared" si="343"/>
        <v>351048</v>
      </c>
      <c r="BX322" s="46">
        <f t="shared" si="344"/>
        <v>57224</v>
      </c>
      <c r="BY322" s="46">
        <f t="shared" si="345"/>
        <v>-38396</v>
      </c>
      <c r="BZ322" s="46">
        <v>0</v>
      </c>
      <c r="CA322" s="46">
        <f t="shared" si="346"/>
        <v>369876</v>
      </c>
      <c r="CB322" s="46">
        <f t="shared" si="429"/>
        <v>0</v>
      </c>
      <c r="CC322" s="155">
        <f t="shared" si="349"/>
        <v>0</v>
      </c>
      <c r="CD322" s="79" t="s">
        <v>538</v>
      </c>
      <c r="CE322" s="65">
        <f t="shared" si="350"/>
        <v>221589</v>
      </c>
      <c r="CF322" s="65">
        <f t="shared" si="351"/>
        <v>221589</v>
      </c>
      <c r="CG322" s="65">
        <f t="shared" si="352"/>
        <v>201089</v>
      </c>
      <c r="CH322" s="65">
        <f t="shared" si="353"/>
        <v>221589</v>
      </c>
      <c r="CI322" s="65">
        <f t="shared" si="354"/>
        <v>582774</v>
      </c>
      <c r="CJ322" s="65">
        <f t="shared" si="355"/>
        <v>227667</v>
      </c>
      <c r="CK322" s="65">
        <f t="shared" si="356"/>
        <v>372107</v>
      </c>
      <c r="CL322" s="65">
        <f t="shared" si="357"/>
        <v>221589</v>
      </c>
      <c r="CM322" s="65">
        <f t="shared" si="358"/>
        <v>242641</v>
      </c>
      <c r="CN322" s="65">
        <f t="shared" si="359"/>
        <v>384543</v>
      </c>
      <c r="CO322" s="65">
        <f t="shared" si="360"/>
        <v>221589</v>
      </c>
      <c r="CP322" s="65">
        <f t="shared" si="361"/>
        <v>369876</v>
      </c>
      <c r="CQ322" s="40" t="s">
        <v>538</v>
      </c>
    </row>
    <row r="323" spans="1:95" ht="3" customHeight="1" x14ac:dyDescent="0.25">
      <c r="A323" s="39">
        <v>1</v>
      </c>
      <c r="B323" s="28">
        <v>14108</v>
      </c>
      <c r="C323" s="28" t="s">
        <v>237</v>
      </c>
      <c r="D323" s="48">
        <f>+DATA!Q321</f>
        <v>7501621.1919999998</v>
      </c>
      <c r="E323" s="48">
        <f t="shared" si="347"/>
        <v>493857</v>
      </c>
      <c r="F323" s="48">
        <f t="shared" si="348"/>
        <v>750162</v>
      </c>
      <c r="G323" s="49">
        <f>VLOOKUP(B323,'CALC MEC ESTAB Y ESTIM M FINAL'!$B$7:$F$352,5,0)</f>
        <v>1.6636412878999998E-3</v>
      </c>
      <c r="H323" s="49">
        <f>VLOOKUP(B323,'CALC MEC ESTAB Y ESTIM M FINAL'!$B$7:$R$352,17,0)</f>
        <v>1.9228901990000001E-3</v>
      </c>
      <c r="I323" s="46">
        <f t="shared" si="304"/>
        <v>295717</v>
      </c>
      <c r="J323" s="46">
        <f t="shared" si="305"/>
        <v>0</v>
      </c>
      <c r="K323" s="46">
        <f t="shared" si="306"/>
        <v>198140</v>
      </c>
      <c r="L323" s="46">
        <v>0</v>
      </c>
      <c r="M323" s="46">
        <f t="shared" si="307"/>
        <v>493857</v>
      </c>
      <c r="N323" s="46">
        <f t="shared" si="413"/>
        <v>198140</v>
      </c>
      <c r="O323" s="46">
        <f t="shared" si="308"/>
        <v>157252</v>
      </c>
      <c r="P323" s="46">
        <f t="shared" si="309"/>
        <v>0</v>
      </c>
      <c r="Q323" s="46">
        <f t="shared" si="310"/>
        <v>336605</v>
      </c>
      <c r="R323" s="46">
        <v>0</v>
      </c>
      <c r="S323" s="46">
        <f t="shared" si="311"/>
        <v>493857</v>
      </c>
      <c r="T323" s="46">
        <f t="shared" si="414"/>
        <v>534745</v>
      </c>
      <c r="U323" s="46">
        <f t="shared" si="312"/>
        <v>448606</v>
      </c>
      <c r="V323" s="46">
        <f t="shared" si="313"/>
        <v>0</v>
      </c>
      <c r="W323" s="46">
        <f t="shared" si="415"/>
        <v>0</v>
      </c>
      <c r="X323" s="46">
        <v>0</v>
      </c>
      <c r="Y323" s="46">
        <f t="shared" si="314"/>
        <v>448606</v>
      </c>
      <c r="Z323" s="46">
        <f t="shared" si="416"/>
        <v>534745</v>
      </c>
      <c r="AA323" s="46">
        <f t="shared" si="315"/>
        <v>238203</v>
      </c>
      <c r="AB323" s="46">
        <f t="shared" si="316"/>
        <v>0</v>
      </c>
      <c r="AC323" s="46">
        <f t="shared" si="317"/>
        <v>255654</v>
      </c>
      <c r="AD323" s="46">
        <v>0</v>
      </c>
      <c r="AE323" s="46">
        <f t="shared" si="318"/>
        <v>493857</v>
      </c>
      <c r="AF323" s="46">
        <f t="shared" si="417"/>
        <v>790399</v>
      </c>
      <c r="AG323" s="46">
        <f t="shared" si="319"/>
        <v>2072809</v>
      </c>
      <c r="AH323" s="46">
        <f t="shared" si="320"/>
        <v>19132</v>
      </c>
      <c r="AI323" s="46">
        <f t="shared" si="418"/>
        <v>-790399</v>
      </c>
      <c r="AJ323" s="46">
        <v>0</v>
      </c>
      <c r="AK323" s="46">
        <f t="shared" si="321"/>
        <v>1301542</v>
      </c>
      <c r="AL323" s="46">
        <f t="shared" si="419"/>
        <v>0</v>
      </c>
      <c r="AM323" s="46">
        <f t="shared" si="322"/>
        <v>410571</v>
      </c>
      <c r="AN323" s="46">
        <f t="shared" si="323"/>
        <v>13559</v>
      </c>
      <c r="AO323" s="46">
        <f t="shared" si="324"/>
        <v>83286</v>
      </c>
      <c r="AP323" s="46">
        <v>0</v>
      </c>
      <c r="AQ323" s="46">
        <f t="shared" si="325"/>
        <v>507416</v>
      </c>
      <c r="AR323" s="46">
        <f t="shared" si="420"/>
        <v>83286</v>
      </c>
      <c r="AS323" s="46">
        <f t="shared" si="326"/>
        <v>816141</v>
      </c>
      <c r="AT323" s="46">
        <f t="shared" si="327"/>
        <v>79233</v>
      </c>
      <c r="AU323" s="46">
        <f t="shared" si="421"/>
        <v>-65979</v>
      </c>
      <c r="AV323" s="46">
        <v>0</v>
      </c>
      <c r="AW323" s="46">
        <f t="shared" si="328"/>
        <v>829395</v>
      </c>
      <c r="AX323" s="46">
        <f t="shared" si="422"/>
        <v>17307</v>
      </c>
      <c r="AY323" s="46">
        <f t="shared" si="329"/>
        <v>269584</v>
      </c>
      <c r="AZ323" s="46">
        <f t="shared" si="330"/>
        <v>0</v>
      </c>
      <c r="BA323" s="46">
        <f t="shared" si="331"/>
        <v>224273</v>
      </c>
      <c r="BB323" s="46"/>
      <c r="BC323" s="46">
        <f t="shared" si="332"/>
        <v>493857</v>
      </c>
      <c r="BD323" s="46">
        <f t="shared" si="423"/>
        <v>241580</v>
      </c>
      <c r="BE323" s="46">
        <f t="shared" si="333"/>
        <v>521879</v>
      </c>
      <c r="BF323" s="46">
        <f t="shared" si="334"/>
        <v>19424</v>
      </c>
      <c r="BG323" s="46">
        <f t="shared" si="424"/>
        <v>0</v>
      </c>
      <c r="BH323" s="46">
        <v>0</v>
      </c>
      <c r="BI323" s="46">
        <f t="shared" si="335"/>
        <v>541303</v>
      </c>
      <c r="BJ323" s="46">
        <f t="shared" si="425"/>
        <v>241580</v>
      </c>
      <c r="BK323" s="46">
        <f t="shared" si="336"/>
        <v>1101142</v>
      </c>
      <c r="BL323" s="46">
        <f t="shared" si="337"/>
        <v>0</v>
      </c>
      <c r="BM323" s="46">
        <f t="shared" si="426"/>
        <v>-241580</v>
      </c>
      <c r="BN323" s="46">
        <v>0</v>
      </c>
      <c r="BO323" s="46">
        <f t="shared" si="338"/>
        <v>859562</v>
      </c>
      <c r="BP323" s="46">
        <f t="shared" si="427"/>
        <v>0</v>
      </c>
      <c r="BQ323" s="46">
        <f t="shared" si="339"/>
        <v>408681</v>
      </c>
      <c r="BR323" s="46">
        <f t="shared" si="340"/>
        <v>0</v>
      </c>
      <c r="BS323" s="46">
        <f t="shared" si="341"/>
        <v>85176</v>
      </c>
      <c r="BT323" s="46">
        <v>0</v>
      </c>
      <c r="BU323" s="46">
        <f t="shared" si="342"/>
        <v>493857</v>
      </c>
      <c r="BV323" s="46">
        <f t="shared" si="428"/>
        <v>85176</v>
      </c>
      <c r="BW323" s="46">
        <f t="shared" si="343"/>
        <v>783145</v>
      </c>
      <c r="BX323" s="46">
        <f t="shared" si="344"/>
        <v>127661</v>
      </c>
      <c r="BY323" s="46">
        <f t="shared" si="345"/>
        <v>-85176</v>
      </c>
      <c r="BZ323" s="46">
        <v>0</v>
      </c>
      <c r="CA323" s="46">
        <f t="shared" si="346"/>
        <v>825630</v>
      </c>
      <c r="CB323" s="46">
        <f t="shared" si="429"/>
        <v>0</v>
      </c>
      <c r="CC323" s="155">
        <f t="shared" si="349"/>
        <v>0</v>
      </c>
      <c r="CD323" s="79" t="s">
        <v>538</v>
      </c>
      <c r="CE323" s="65">
        <f t="shared" si="350"/>
        <v>493857</v>
      </c>
      <c r="CF323" s="65">
        <f t="shared" si="351"/>
        <v>493857</v>
      </c>
      <c r="CG323" s="65">
        <f t="shared" si="352"/>
        <v>448606</v>
      </c>
      <c r="CH323" s="65">
        <f t="shared" si="353"/>
        <v>493857</v>
      </c>
      <c r="CI323" s="65">
        <f t="shared" si="354"/>
        <v>1301542</v>
      </c>
      <c r="CJ323" s="65">
        <f t="shared" si="355"/>
        <v>507416</v>
      </c>
      <c r="CK323" s="65">
        <f t="shared" si="356"/>
        <v>829395</v>
      </c>
      <c r="CL323" s="65">
        <f t="shared" si="357"/>
        <v>493857</v>
      </c>
      <c r="CM323" s="65">
        <f t="shared" si="358"/>
        <v>541303</v>
      </c>
      <c r="CN323" s="65">
        <f t="shared" si="359"/>
        <v>859562</v>
      </c>
      <c r="CO323" s="65">
        <f t="shared" si="360"/>
        <v>493857</v>
      </c>
      <c r="CP323" s="65">
        <f t="shared" si="361"/>
        <v>825630</v>
      </c>
      <c r="CQ323" s="40" t="s">
        <v>538</v>
      </c>
    </row>
    <row r="324" spans="1:95" ht="3" customHeight="1" x14ac:dyDescent="0.25">
      <c r="A324" s="39">
        <v>1</v>
      </c>
      <c r="B324" s="28">
        <v>14201</v>
      </c>
      <c r="C324" s="28" t="s">
        <v>436</v>
      </c>
      <c r="D324" s="48">
        <f>+DATA!Q322</f>
        <v>5532236.5290000001</v>
      </c>
      <c r="E324" s="48">
        <f t="shared" si="347"/>
        <v>364206</v>
      </c>
      <c r="F324" s="48">
        <f t="shared" si="348"/>
        <v>553224</v>
      </c>
      <c r="G324" s="49">
        <f>VLOOKUP(B324,'CALC MEC ESTAB Y ESTIM M FINAL'!$B$7:$F$352,5,0)</f>
        <v>1.796252364E-3</v>
      </c>
      <c r="H324" s="49">
        <f>VLOOKUP(B324,'CALC MEC ESTAB Y ESTIM M FINAL'!$B$7:$R$352,17,0)</f>
        <v>8.488376921E-4</v>
      </c>
      <c r="I324" s="46">
        <f t="shared" si="304"/>
        <v>218093</v>
      </c>
      <c r="J324" s="46">
        <f t="shared" si="305"/>
        <v>0</v>
      </c>
      <c r="K324" s="46">
        <f t="shared" si="306"/>
        <v>146113</v>
      </c>
      <c r="L324" s="46">
        <v>0</v>
      </c>
      <c r="M324" s="46">
        <f t="shared" si="307"/>
        <v>364206</v>
      </c>
      <c r="N324" s="46">
        <f t="shared" si="413"/>
        <v>146113</v>
      </c>
      <c r="O324" s="46">
        <f t="shared" si="308"/>
        <v>115975</v>
      </c>
      <c r="P324" s="46">
        <f t="shared" si="309"/>
        <v>0</v>
      </c>
      <c r="Q324" s="46">
        <f t="shared" si="310"/>
        <v>248231</v>
      </c>
      <c r="R324" s="46">
        <v>0</v>
      </c>
      <c r="S324" s="46">
        <f t="shared" si="311"/>
        <v>364206</v>
      </c>
      <c r="T324" s="46">
        <f t="shared" si="414"/>
        <v>394344</v>
      </c>
      <c r="U324" s="46">
        <f t="shared" si="312"/>
        <v>330850</v>
      </c>
      <c r="V324" s="46">
        <f t="shared" si="313"/>
        <v>0</v>
      </c>
      <c r="W324" s="46">
        <f t="shared" si="415"/>
        <v>0</v>
      </c>
      <c r="X324" s="46">
        <v>0</v>
      </c>
      <c r="Y324" s="46">
        <f t="shared" si="314"/>
        <v>330850</v>
      </c>
      <c r="Z324" s="46">
        <f t="shared" si="416"/>
        <v>394344</v>
      </c>
      <c r="AA324" s="46">
        <f t="shared" si="315"/>
        <v>175676</v>
      </c>
      <c r="AB324" s="46">
        <f t="shared" si="316"/>
        <v>0</v>
      </c>
      <c r="AC324" s="46">
        <f t="shared" si="317"/>
        <v>188530</v>
      </c>
      <c r="AD324" s="46">
        <v>0</v>
      </c>
      <c r="AE324" s="46">
        <f t="shared" si="318"/>
        <v>364206</v>
      </c>
      <c r="AF324" s="46">
        <f t="shared" si="417"/>
        <v>582874</v>
      </c>
      <c r="AG324" s="46">
        <f t="shared" si="319"/>
        <v>1528710</v>
      </c>
      <c r="AH324" s="46">
        <f t="shared" si="320"/>
        <v>14110</v>
      </c>
      <c r="AI324" s="46">
        <f t="shared" si="418"/>
        <v>-582874</v>
      </c>
      <c r="AJ324" s="46">
        <v>0</v>
      </c>
      <c r="AK324" s="46">
        <f t="shared" si="321"/>
        <v>959946</v>
      </c>
      <c r="AL324" s="46">
        <f t="shared" si="419"/>
        <v>0</v>
      </c>
      <c r="AM324" s="46">
        <f t="shared" si="322"/>
        <v>302798</v>
      </c>
      <c r="AN324" s="46">
        <f t="shared" si="323"/>
        <v>10000</v>
      </c>
      <c r="AO324" s="46">
        <f t="shared" si="324"/>
        <v>61408</v>
      </c>
      <c r="AP324" s="46">
        <v>0</v>
      </c>
      <c r="AQ324" s="46">
        <f t="shared" si="325"/>
        <v>374206</v>
      </c>
      <c r="AR324" s="46">
        <f t="shared" si="420"/>
        <v>61408</v>
      </c>
      <c r="AS324" s="46">
        <f t="shared" si="326"/>
        <v>601909</v>
      </c>
      <c r="AT324" s="46">
        <f t="shared" si="327"/>
        <v>58434</v>
      </c>
      <c r="AU324" s="46">
        <f t="shared" si="421"/>
        <v>-48685</v>
      </c>
      <c r="AV324" s="46">
        <v>0</v>
      </c>
      <c r="AW324" s="46">
        <f t="shared" si="328"/>
        <v>611658</v>
      </c>
      <c r="AX324" s="46">
        <f t="shared" si="422"/>
        <v>12723</v>
      </c>
      <c r="AY324" s="46">
        <f t="shared" si="329"/>
        <v>198820</v>
      </c>
      <c r="AZ324" s="46">
        <f t="shared" si="330"/>
        <v>0</v>
      </c>
      <c r="BA324" s="46">
        <f t="shared" si="331"/>
        <v>165386</v>
      </c>
      <c r="BB324" s="46"/>
      <c r="BC324" s="46">
        <f t="shared" si="332"/>
        <v>364206</v>
      </c>
      <c r="BD324" s="46">
        <f t="shared" si="423"/>
        <v>178109</v>
      </c>
      <c r="BE324" s="46">
        <f t="shared" si="333"/>
        <v>384889</v>
      </c>
      <c r="BF324" s="46">
        <f t="shared" si="334"/>
        <v>14325</v>
      </c>
      <c r="BG324" s="46">
        <f t="shared" si="424"/>
        <v>0</v>
      </c>
      <c r="BH324" s="46">
        <v>0</v>
      </c>
      <c r="BI324" s="46">
        <f t="shared" si="335"/>
        <v>399214</v>
      </c>
      <c r="BJ324" s="46">
        <f t="shared" si="425"/>
        <v>178109</v>
      </c>
      <c r="BK324" s="46">
        <f t="shared" si="336"/>
        <v>812099</v>
      </c>
      <c r="BL324" s="46">
        <f t="shared" si="337"/>
        <v>0</v>
      </c>
      <c r="BM324" s="46">
        <f t="shared" si="426"/>
        <v>-178109</v>
      </c>
      <c r="BN324" s="46">
        <v>0</v>
      </c>
      <c r="BO324" s="46">
        <f t="shared" si="338"/>
        <v>633990</v>
      </c>
      <c r="BP324" s="46">
        <f t="shared" si="427"/>
        <v>0</v>
      </c>
      <c r="BQ324" s="46">
        <f t="shared" si="339"/>
        <v>301405</v>
      </c>
      <c r="BR324" s="46">
        <f t="shared" si="340"/>
        <v>0</v>
      </c>
      <c r="BS324" s="46">
        <f t="shared" si="341"/>
        <v>62801</v>
      </c>
      <c r="BT324" s="46">
        <v>0</v>
      </c>
      <c r="BU324" s="46">
        <f t="shared" si="342"/>
        <v>364206</v>
      </c>
      <c r="BV324" s="46">
        <f t="shared" si="428"/>
        <v>62801</v>
      </c>
      <c r="BW324" s="46">
        <f t="shared" si="343"/>
        <v>577575</v>
      </c>
      <c r="BX324" s="46">
        <f t="shared" si="344"/>
        <v>94151</v>
      </c>
      <c r="BY324" s="46">
        <f t="shared" si="345"/>
        <v>-62801</v>
      </c>
      <c r="BZ324" s="46">
        <v>0</v>
      </c>
      <c r="CA324" s="46">
        <f t="shared" si="346"/>
        <v>608925</v>
      </c>
      <c r="CB324" s="46">
        <f t="shared" si="429"/>
        <v>0</v>
      </c>
      <c r="CC324" s="155">
        <f t="shared" si="349"/>
        <v>0</v>
      </c>
      <c r="CD324" s="79" t="s">
        <v>538</v>
      </c>
      <c r="CE324" s="65">
        <f t="shared" si="350"/>
        <v>364206</v>
      </c>
      <c r="CF324" s="65">
        <f t="shared" si="351"/>
        <v>364206</v>
      </c>
      <c r="CG324" s="65">
        <f t="shared" si="352"/>
        <v>330850</v>
      </c>
      <c r="CH324" s="65">
        <f t="shared" si="353"/>
        <v>364206</v>
      </c>
      <c r="CI324" s="65">
        <f t="shared" si="354"/>
        <v>959946</v>
      </c>
      <c r="CJ324" s="65">
        <f t="shared" si="355"/>
        <v>374206</v>
      </c>
      <c r="CK324" s="65">
        <f t="shared" si="356"/>
        <v>611658</v>
      </c>
      <c r="CL324" s="65">
        <f t="shared" si="357"/>
        <v>364206</v>
      </c>
      <c r="CM324" s="65">
        <f t="shared" si="358"/>
        <v>399214</v>
      </c>
      <c r="CN324" s="65">
        <f t="shared" si="359"/>
        <v>633990</v>
      </c>
      <c r="CO324" s="65">
        <f t="shared" si="360"/>
        <v>364206</v>
      </c>
      <c r="CP324" s="65">
        <f t="shared" si="361"/>
        <v>608925</v>
      </c>
      <c r="CQ324" s="40" t="s">
        <v>538</v>
      </c>
    </row>
    <row r="325" spans="1:95" ht="3" customHeight="1" x14ac:dyDescent="0.25">
      <c r="A325" s="39">
        <v>1</v>
      </c>
      <c r="B325" s="28">
        <v>14202</v>
      </c>
      <c r="C325" s="28" t="s">
        <v>235</v>
      </c>
      <c r="D325" s="48">
        <f>+DATA!Q323</f>
        <v>2535723.4160000002</v>
      </c>
      <c r="E325" s="48">
        <f t="shared" si="347"/>
        <v>166935</v>
      </c>
      <c r="F325" s="48">
        <f t="shared" si="348"/>
        <v>253572</v>
      </c>
      <c r="G325" s="49">
        <f>VLOOKUP(B325,'CALC MEC ESTAB Y ESTIM M FINAL'!$B$7:$F$352,5,0)</f>
        <v>1.0789513791E-3</v>
      </c>
      <c r="H325" s="49">
        <f>VLOOKUP(B325,'CALC MEC ESTAB Y ESTIM M FINAL'!$B$7:$R$352,17,0)</f>
        <v>1.333801333E-4</v>
      </c>
      <c r="I325" s="46">
        <f t="shared" si="304"/>
        <v>99959</v>
      </c>
      <c r="J325" s="46">
        <f t="shared" si="305"/>
        <v>0</v>
      </c>
      <c r="K325" s="46">
        <f t="shared" si="306"/>
        <v>66976</v>
      </c>
      <c r="L325" s="46">
        <v>0</v>
      </c>
      <c r="M325" s="46">
        <f t="shared" si="307"/>
        <v>166935</v>
      </c>
      <c r="N325" s="46">
        <f t="shared" si="413"/>
        <v>66976</v>
      </c>
      <c r="O325" s="46">
        <f t="shared" si="308"/>
        <v>53155</v>
      </c>
      <c r="P325" s="46">
        <f t="shared" si="309"/>
        <v>0</v>
      </c>
      <c r="Q325" s="46">
        <f t="shared" si="310"/>
        <v>113780</v>
      </c>
      <c r="R325" s="46">
        <v>0</v>
      </c>
      <c r="S325" s="46">
        <f t="shared" si="311"/>
        <v>166935</v>
      </c>
      <c r="T325" s="46">
        <f t="shared" si="414"/>
        <v>180756</v>
      </c>
      <c r="U325" s="46">
        <f t="shared" si="312"/>
        <v>151639</v>
      </c>
      <c r="V325" s="46">
        <f t="shared" si="313"/>
        <v>0</v>
      </c>
      <c r="W325" s="46">
        <f t="shared" si="415"/>
        <v>0</v>
      </c>
      <c r="X325" s="46">
        <v>0</v>
      </c>
      <c r="Y325" s="46">
        <f t="shared" si="314"/>
        <v>151639</v>
      </c>
      <c r="Z325" s="46">
        <f t="shared" si="416"/>
        <v>180756</v>
      </c>
      <c r="AA325" s="46">
        <f t="shared" si="315"/>
        <v>80518</v>
      </c>
      <c r="AB325" s="46">
        <f t="shared" si="316"/>
        <v>0</v>
      </c>
      <c r="AC325" s="46">
        <f t="shared" si="317"/>
        <v>86417</v>
      </c>
      <c r="AD325" s="46">
        <v>0</v>
      </c>
      <c r="AE325" s="46">
        <f t="shared" si="318"/>
        <v>166935</v>
      </c>
      <c r="AF325" s="46">
        <f t="shared" si="417"/>
        <v>267173</v>
      </c>
      <c r="AG325" s="46">
        <f t="shared" si="319"/>
        <v>700658</v>
      </c>
      <c r="AH325" s="46">
        <f t="shared" si="320"/>
        <v>6467</v>
      </c>
      <c r="AI325" s="46">
        <f t="shared" si="418"/>
        <v>-267173</v>
      </c>
      <c r="AJ325" s="46">
        <v>0</v>
      </c>
      <c r="AK325" s="46">
        <f t="shared" si="321"/>
        <v>439952</v>
      </c>
      <c r="AL325" s="46">
        <f t="shared" si="419"/>
        <v>0</v>
      </c>
      <c r="AM325" s="46">
        <f t="shared" si="322"/>
        <v>138782</v>
      </c>
      <c r="AN325" s="46">
        <f t="shared" si="323"/>
        <v>4583</v>
      </c>
      <c r="AO325" s="46">
        <f t="shared" si="324"/>
        <v>28153</v>
      </c>
      <c r="AP325" s="46">
        <v>0</v>
      </c>
      <c r="AQ325" s="46">
        <f t="shared" si="325"/>
        <v>171518</v>
      </c>
      <c r="AR325" s="46">
        <f t="shared" si="420"/>
        <v>28153</v>
      </c>
      <c r="AS325" s="46">
        <f t="shared" si="326"/>
        <v>275875</v>
      </c>
      <c r="AT325" s="46">
        <f t="shared" si="327"/>
        <v>26782</v>
      </c>
      <c r="AU325" s="46">
        <f t="shared" si="421"/>
        <v>-22303</v>
      </c>
      <c r="AV325" s="46">
        <v>0</v>
      </c>
      <c r="AW325" s="46">
        <f t="shared" si="328"/>
        <v>280354</v>
      </c>
      <c r="AX325" s="46">
        <f t="shared" si="422"/>
        <v>5850</v>
      </c>
      <c r="AY325" s="46">
        <f t="shared" si="329"/>
        <v>91126</v>
      </c>
      <c r="AZ325" s="46">
        <f t="shared" si="330"/>
        <v>0</v>
      </c>
      <c r="BA325" s="46">
        <f t="shared" si="331"/>
        <v>75809</v>
      </c>
      <c r="BB325" s="46"/>
      <c r="BC325" s="46">
        <f t="shared" si="332"/>
        <v>166935</v>
      </c>
      <c r="BD325" s="46">
        <f t="shared" si="423"/>
        <v>81659</v>
      </c>
      <c r="BE325" s="46">
        <f t="shared" si="333"/>
        <v>176407</v>
      </c>
      <c r="BF325" s="46">
        <f t="shared" si="334"/>
        <v>6566</v>
      </c>
      <c r="BG325" s="46">
        <f t="shared" si="424"/>
        <v>0</v>
      </c>
      <c r="BH325" s="46">
        <v>0</v>
      </c>
      <c r="BI325" s="46">
        <f t="shared" si="335"/>
        <v>182973</v>
      </c>
      <c r="BJ325" s="46">
        <f t="shared" si="425"/>
        <v>81659</v>
      </c>
      <c r="BK325" s="46">
        <f t="shared" si="336"/>
        <v>372212</v>
      </c>
      <c r="BL325" s="46">
        <f t="shared" si="337"/>
        <v>0</v>
      </c>
      <c r="BM325" s="46">
        <f t="shared" si="426"/>
        <v>-81659</v>
      </c>
      <c r="BN325" s="46">
        <v>0</v>
      </c>
      <c r="BO325" s="46">
        <f t="shared" si="338"/>
        <v>290553</v>
      </c>
      <c r="BP325" s="46">
        <f t="shared" si="427"/>
        <v>0</v>
      </c>
      <c r="BQ325" s="46">
        <f t="shared" si="339"/>
        <v>138144</v>
      </c>
      <c r="BR325" s="46">
        <f t="shared" si="340"/>
        <v>0</v>
      </c>
      <c r="BS325" s="46">
        <f t="shared" si="341"/>
        <v>28791</v>
      </c>
      <c r="BT325" s="46">
        <v>0</v>
      </c>
      <c r="BU325" s="46">
        <f t="shared" si="342"/>
        <v>166935</v>
      </c>
      <c r="BV325" s="46">
        <f t="shared" si="428"/>
        <v>28791</v>
      </c>
      <c r="BW325" s="46">
        <f t="shared" si="343"/>
        <v>264721</v>
      </c>
      <c r="BX325" s="46">
        <f t="shared" si="344"/>
        <v>43152</v>
      </c>
      <c r="BY325" s="46">
        <f t="shared" si="345"/>
        <v>-28791</v>
      </c>
      <c r="BZ325" s="46">
        <v>0</v>
      </c>
      <c r="CA325" s="46">
        <f t="shared" si="346"/>
        <v>279082</v>
      </c>
      <c r="CB325" s="46">
        <f t="shared" si="429"/>
        <v>0</v>
      </c>
      <c r="CC325" s="155">
        <f t="shared" si="349"/>
        <v>0</v>
      </c>
      <c r="CD325" s="79" t="s">
        <v>538</v>
      </c>
      <c r="CE325" s="65">
        <f t="shared" si="350"/>
        <v>166935</v>
      </c>
      <c r="CF325" s="65">
        <f t="shared" si="351"/>
        <v>166935</v>
      </c>
      <c r="CG325" s="65">
        <f t="shared" si="352"/>
        <v>151639</v>
      </c>
      <c r="CH325" s="65">
        <f t="shared" si="353"/>
        <v>166935</v>
      </c>
      <c r="CI325" s="65">
        <f t="shared" si="354"/>
        <v>439952</v>
      </c>
      <c r="CJ325" s="65">
        <f t="shared" si="355"/>
        <v>171518</v>
      </c>
      <c r="CK325" s="65">
        <f t="shared" si="356"/>
        <v>280354</v>
      </c>
      <c r="CL325" s="65">
        <f t="shared" si="357"/>
        <v>166935</v>
      </c>
      <c r="CM325" s="65">
        <f t="shared" si="358"/>
        <v>182973</v>
      </c>
      <c r="CN325" s="65">
        <f t="shared" si="359"/>
        <v>290553</v>
      </c>
      <c r="CO325" s="65">
        <f t="shared" si="360"/>
        <v>166935</v>
      </c>
      <c r="CP325" s="65">
        <f t="shared" si="361"/>
        <v>279082</v>
      </c>
      <c r="CQ325" s="40" t="s">
        <v>538</v>
      </c>
    </row>
    <row r="326" spans="1:95" ht="3" customHeight="1" x14ac:dyDescent="0.25">
      <c r="A326" s="39">
        <v>1</v>
      </c>
      <c r="B326" s="28">
        <v>14203</v>
      </c>
      <c r="C326" s="28" t="s">
        <v>239</v>
      </c>
      <c r="D326" s="48">
        <f>+DATA!Q324</f>
        <v>2192067.7450000001</v>
      </c>
      <c r="E326" s="48">
        <f t="shared" si="347"/>
        <v>144311</v>
      </c>
      <c r="F326" s="48">
        <f t="shared" si="348"/>
        <v>219207</v>
      </c>
      <c r="G326" s="49">
        <f>VLOOKUP(B326,'CALC MEC ESTAB Y ESTIM M FINAL'!$B$7:$F$352,5,0)</f>
        <v>1.0048300704E-3</v>
      </c>
      <c r="H326" s="49">
        <f>VLOOKUP(B326,'CALC MEC ESTAB Y ESTIM M FINAL'!$B$7:$R$352,17,0)</f>
        <v>4.3199223000000001E-5</v>
      </c>
      <c r="I326" s="46">
        <f t="shared" si="304"/>
        <v>86412</v>
      </c>
      <c r="J326" s="46">
        <f t="shared" si="305"/>
        <v>0</v>
      </c>
      <c r="K326" s="46">
        <f t="shared" si="306"/>
        <v>57899</v>
      </c>
      <c r="L326" s="46">
        <v>0</v>
      </c>
      <c r="M326" s="46">
        <f t="shared" si="307"/>
        <v>144311</v>
      </c>
      <c r="N326" s="46">
        <f t="shared" si="413"/>
        <v>57899</v>
      </c>
      <c r="O326" s="46">
        <f t="shared" si="308"/>
        <v>45951</v>
      </c>
      <c r="P326" s="46">
        <f t="shared" si="309"/>
        <v>0</v>
      </c>
      <c r="Q326" s="46">
        <f t="shared" si="310"/>
        <v>98360</v>
      </c>
      <c r="R326" s="46">
        <v>0</v>
      </c>
      <c r="S326" s="46">
        <f t="shared" si="311"/>
        <v>144311</v>
      </c>
      <c r="T326" s="46">
        <f t="shared" si="414"/>
        <v>156259</v>
      </c>
      <c r="U326" s="46">
        <f t="shared" si="312"/>
        <v>131088</v>
      </c>
      <c r="V326" s="46">
        <f t="shared" si="313"/>
        <v>0</v>
      </c>
      <c r="W326" s="46">
        <f t="shared" si="415"/>
        <v>0</v>
      </c>
      <c r="X326" s="46">
        <v>0</v>
      </c>
      <c r="Y326" s="46">
        <f t="shared" si="314"/>
        <v>131088</v>
      </c>
      <c r="Z326" s="46">
        <f t="shared" si="416"/>
        <v>156259</v>
      </c>
      <c r="AA326" s="46">
        <f t="shared" si="315"/>
        <v>69606</v>
      </c>
      <c r="AB326" s="46">
        <f t="shared" si="316"/>
        <v>0</v>
      </c>
      <c r="AC326" s="46">
        <f t="shared" si="317"/>
        <v>74705</v>
      </c>
      <c r="AD326" s="46">
        <v>0</v>
      </c>
      <c r="AE326" s="46">
        <f t="shared" si="318"/>
        <v>144311</v>
      </c>
      <c r="AF326" s="46">
        <f t="shared" si="417"/>
        <v>230964</v>
      </c>
      <c r="AG326" s="46">
        <f t="shared" si="319"/>
        <v>605701</v>
      </c>
      <c r="AH326" s="46">
        <f t="shared" si="320"/>
        <v>5590</v>
      </c>
      <c r="AI326" s="46">
        <f t="shared" si="418"/>
        <v>-230964</v>
      </c>
      <c r="AJ326" s="46">
        <v>0</v>
      </c>
      <c r="AK326" s="46">
        <f t="shared" si="321"/>
        <v>380327</v>
      </c>
      <c r="AL326" s="46">
        <f t="shared" si="419"/>
        <v>0</v>
      </c>
      <c r="AM326" s="46">
        <f t="shared" si="322"/>
        <v>119974</v>
      </c>
      <c r="AN326" s="46">
        <f t="shared" si="323"/>
        <v>3962</v>
      </c>
      <c r="AO326" s="46">
        <f t="shared" si="324"/>
        <v>24337</v>
      </c>
      <c r="AP326" s="46">
        <v>0</v>
      </c>
      <c r="AQ326" s="46">
        <f t="shared" si="325"/>
        <v>148273</v>
      </c>
      <c r="AR326" s="46">
        <f t="shared" si="420"/>
        <v>24337</v>
      </c>
      <c r="AS326" s="46">
        <f t="shared" si="326"/>
        <v>238487</v>
      </c>
      <c r="AT326" s="46">
        <f t="shared" si="327"/>
        <v>23153</v>
      </c>
      <c r="AU326" s="46">
        <f t="shared" si="421"/>
        <v>-19280</v>
      </c>
      <c r="AV326" s="46">
        <v>0</v>
      </c>
      <c r="AW326" s="46">
        <f t="shared" si="328"/>
        <v>242360</v>
      </c>
      <c r="AX326" s="46">
        <f t="shared" si="422"/>
        <v>5057</v>
      </c>
      <c r="AY326" s="46">
        <f t="shared" si="329"/>
        <v>78776</v>
      </c>
      <c r="AZ326" s="46">
        <f t="shared" si="330"/>
        <v>0</v>
      </c>
      <c r="BA326" s="46">
        <f t="shared" si="331"/>
        <v>65535</v>
      </c>
      <c r="BB326" s="46"/>
      <c r="BC326" s="46">
        <f t="shared" si="332"/>
        <v>144311</v>
      </c>
      <c r="BD326" s="46">
        <f t="shared" si="423"/>
        <v>70592</v>
      </c>
      <c r="BE326" s="46">
        <f t="shared" si="333"/>
        <v>152499</v>
      </c>
      <c r="BF326" s="46">
        <f t="shared" si="334"/>
        <v>5676</v>
      </c>
      <c r="BG326" s="46">
        <f t="shared" si="424"/>
        <v>0</v>
      </c>
      <c r="BH326" s="46">
        <v>0</v>
      </c>
      <c r="BI326" s="46">
        <f t="shared" si="335"/>
        <v>158175</v>
      </c>
      <c r="BJ326" s="46">
        <f t="shared" si="425"/>
        <v>70592</v>
      </c>
      <c r="BK326" s="46">
        <f t="shared" si="336"/>
        <v>321767</v>
      </c>
      <c r="BL326" s="46">
        <f t="shared" si="337"/>
        <v>0</v>
      </c>
      <c r="BM326" s="46">
        <f t="shared" si="426"/>
        <v>-70592</v>
      </c>
      <c r="BN326" s="46">
        <v>0</v>
      </c>
      <c r="BO326" s="46">
        <f t="shared" si="338"/>
        <v>251175</v>
      </c>
      <c r="BP326" s="46">
        <f t="shared" si="427"/>
        <v>0</v>
      </c>
      <c r="BQ326" s="46">
        <f t="shared" si="339"/>
        <v>119422</v>
      </c>
      <c r="BR326" s="46">
        <f t="shared" si="340"/>
        <v>0</v>
      </c>
      <c r="BS326" s="46">
        <f t="shared" si="341"/>
        <v>24889</v>
      </c>
      <c r="BT326" s="46">
        <v>0</v>
      </c>
      <c r="BU326" s="46">
        <f t="shared" si="342"/>
        <v>144311</v>
      </c>
      <c r="BV326" s="46">
        <f t="shared" si="428"/>
        <v>24889</v>
      </c>
      <c r="BW326" s="46">
        <f t="shared" si="343"/>
        <v>228845</v>
      </c>
      <c r="BX326" s="46">
        <f t="shared" si="344"/>
        <v>37304</v>
      </c>
      <c r="BY326" s="46">
        <f t="shared" si="345"/>
        <v>-24889</v>
      </c>
      <c r="BZ326" s="46">
        <v>0</v>
      </c>
      <c r="CA326" s="46">
        <f t="shared" si="346"/>
        <v>241260</v>
      </c>
      <c r="CB326" s="46">
        <f t="shared" si="429"/>
        <v>0</v>
      </c>
      <c r="CC326" s="155">
        <f t="shared" si="349"/>
        <v>0</v>
      </c>
      <c r="CD326" s="79" t="s">
        <v>538</v>
      </c>
      <c r="CE326" s="65">
        <f t="shared" si="350"/>
        <v>144311</v>
      </c>
      <c r="CF326" s="65">
        <f t="shared" si="351"/>
        <v>144311</v>
      </c>
      <c r="CG326" s="65">
        <f t="shared" si="352"/>
        <v>131088</v>
      </c>
      <c r="CH326" s="65">
        <f t="shared" si="353"/>
        <v>144311</v>
      </c>
      <c r="CI326" s="65">
        <f t="shared" si="354"/>
        <v>380327</v>
      </c>
      <c r="CJ326" s="65">
        <f t="shared" si="355"/>
        <v>148273</v>
      </c>
      <c r="CK326" s="65">
        <f t="shared" si="356"/>
        <v>242360</v>
      </c>
      <c r="CL326" s="65">
        <f t="shared" si="357"/>
        <v>144311</v>
      </c>
      <c r="CM326" s="65">
        <f t="shared" si="358"/>
        <v>158175</v>
      </c>
      <c r="CN326" s="65">
        <f t="shared" si="359"/>
        <v>251175</v>
      </c>
      <c r="CO326" s="65">
        <f t="shared" si="360"/>
        <v>144311</v>
      </c>
      <c r="CP326" s="65">
        <f t="shared" si="361"/>
        <v>241260</v>
      </c>
      <c r="CQ326" s="40" t="s">
        <v>538</v>
      </c>
    </row>
    <row r="327" spans="1:95" ht="3" customHeight="1" x14ac:dyDescent="0.25">
      <c r="A327" s="39">
        <v>1</v>
      </c>
      <c r="B327" s="28">
        <v>14204</v>
      </c>
      <c r="C327" s="28" t="s">
        <v>437</v>
      </c>
      <c r="D327" s="48">
        <f>+DATA!Q325</f>
        <v>5198636.8689999999</v>
      </c>
      <c r="E327" s="48">
        <f t="shared" si="347"/>
        <v>342244</v>
      </c>
      <c r="F327" s="48">
        <f t="shared" si="348"/>
        <v>519864</v>
      </c>
      <c r="G327" s="49">
        <f>VLOOKUP(B327,'CALC MEC ESTAB Y ESTIM M FINAL'!$B$7:$F$352,5,0)</f>
        <v>1.6839236741999998E-3</v>
      </c>
      <c r="H327" s="49">
        <f>VLOOKUP(B327,'CALC MEC ESTAB Y ESTIM M FINAL'!$B$7:$R$352,17,0)</f>
        <v>7.9928585980000002E-4</v>
      </c>
      <c r="I327" s="46">
        <f t="shared" ref="I327:I352" si="430">ROUND(($G327+$H327)*$I$4,0)</f>
        <v>204746</v>
      </c>
      <c r="J327" s="46">
        <f t="shared" ref="J327:J352" si="431">ROUND($J$4*($G327+$H327),0)</f>
        <v>0</v>
      </c>
      <c r="K327" s="46">
        <f t="shared" ref="K327:K352" si="432">IF($E327&gt;I327,$E327-I327,0)</f>
        <v>137498</v>
      </c>
      <c r="L327" s="46">
        <v>0</v>
      </c>
      <c r="M327" s="46">
        <f t="shared" ref="M327:M352" si="433">I327+J327+K327+L327</f>
        <v>342244</v>
      </c>
      <c r="N327" s="46">
        <f t="shared" si="413"/>
        <v>137498</v>
      </c>
      <c r="O327" s="46">
        <f t="shared" ref="O327:O352" si="434">ROUND(($G327+$H327)*$O$4,0)</f>
        <v>108877</v>
      </c>
      <c r="P327" s="46">
        <f t="shared" ref="P327:P352" si="435">ROUND($P$4*($G327+$H327),0)</f>
        <v>0</v>
      </c>
      <c r="Q327" s="46">
        <f t="shared" ref="Q327:Q352" si="436">IF($E327&gt;O327,$E327-O327,0)</f>
        <v>233367</v>
      </c>
      <c r="R327" s="46">
        <v>0</v>
      </c>
      <c r="S327" s="46">
        <f t="shared" ref="S327:S352" si="437">O327+P327+Q327+R327</f>
        <v>342244</v>
      </c>
      <c r="T327" s="46">
        <f t="shared" si="414"/>
        <v>370865</v>
      </c>
      <c r="U327" s="46">
        <f t="shared" ref="U327:U352" si="438">ROUND(($G327+$H327)*$U$4,0)</f>
        <v>310602</v>
      </c>
      <c r="V327" s="46">
        <f t="shared" ref="V327:V352" si="439">+ROUND($V$4*($G327+$H327),0)</f>
        <v>0</v>
      </c>
      <c r="W327" s="46">
        <f t="shared" si="415"/>
        <v>0</v>
      </c>
      <c r="X327" s="46">
        <v>0</v>
      </c>
      <c r="Y327" s="46">
        <f t="shared" ref="Y327:Y352" si="440">U327+V327+W327+X327</f>
        <v>310602</v>
      </c>
      <c r="Z327" s="46">
        <f t="shared" si="416"/>
        <v>370865</v>
      </c>
      <c r="AA327" s="46">
        <f t="shared" ref="AA327:AA352" si="441">ROUND(($G327+$H327)*$AA$4,0)</f>
        <v>164925</v>
      </c>
      <c r="AB327" s="46">
        <f t="shared" ref="AB327:AB352" si="442">ROUND($AB$4*($G327*$H327),0)</f>
        <v>0</v>
      </c>
      <c r="AC327" s="46">
        <f t="shared" ref="AC327:AC352" si="443">IF($E327&gt;AA327,$E327-AA327,0)</f>
        <v>177319</v>
      </c>
      <c r="AD327" s="46">
        <v>0</v>
      </c>
      <c r="AE327" s="46">
        <f t="shared" ref="AE327:AE352" si="444">AA327+AB327+AC327+AD327</f>
        <v>342244</v>
      </c>
      <c r="AF327" s="46">
        <f t="shared" si="417"/>
        <v>548184</v>
      </c>
      <c r="AG327" s="46">
        <f t="shared" ref="AG327:AG352" si="445">ROUND(($G327+$H327)*$AG$4,0)</f>
        <v>1435153</v>
      </c>
      <c r="AH327" s="46">
        <f t="shared" ref="AH327:AH352" si="446">+ROUND($AH$4*($G327+$H327),0)</f>
        <v>13246</v>
      </c>
      <c r="AI327" s="46">
        <f t="shared" si="418"/>
        <v>-548184</v>
      </c>
      <c r="AJ327" s="46">
        <v>0</v>
      </c>
      <c r="AK327" s="46">
        <f t="shared" ref="AK327:AK352" si="447">AG327+AH327+AI327+AJ327</f>
        <v>900215</v>
      </c>
      <c r="AL327" s="46">
        <f t="shared" si="419"/>
        <v>0</v>
      </c>
      <c r="AM327" s="46">
        <f t="shared" ref="AM327:AM352" si="448">ROUND(($G327+$H327)*$AM$4,0)</f>
        <v>284267</v>
      </c>
      <c r="AN327" s="46">
        <f t="shared" ref="AN327:AN352" si="449">ROUND($AN$4*($G327+$H327),0)</f>
        <v>9388</v>
      </c>
      <c r="AO327" s="46">
        <f t="shared" ref="AO327:AO352" si="450">IF($E327&gt;AM327,$E327-AM327,0)</f>
        <v>57977</v>
      </c>
      <c r="AP327" s="46">
        <v>0</v>
      </c>
      <c r="AQ327" s="46">
        <f t="shared" ref="AQ327:AQ352" si="451">AM327+AN327+AO327+AP327</f>
        <v>351632</v>
      </c>
      <c r="AR327" s="46">
        <f t="shared" si="420"/>
        <v>57977</v>
      </c>
      <c r="AS327" s="46">
        <f t="shared" ref="AS327:AS352" si="452">ROUND(($G327+$H327)*$AS$4,0)</f>
        <v>565072</v>
      </c>
      <c r="AT327" s="46">
        <f t="shared" ref="AT327:AT352" si="453">+ROUND($AT$4*($G327+$H327),0)</f>
        <v>54858</v>
      </c>
      <c r="AU327" s="46">
        <f t="shared" si="421"/>
        <v>-45208</v>
      </c>
      <c r="AV327" s="46">
        <v>0</v>
      </c>
      <c r="AW327" s="46">
        <f t="shared" ref="AW327:AW352" si="454">AS327+AT327+AU327+AV327</f>
        <v>574722</v>
      </c>
      <c r="AX327" s="46">
        <f t="shared" si="422"/>
        <v>12769</v>
      </c>
      <c r="AY327" s="46">
        <f t="shared" ref="AY327:AY352" si="455">ROUND(($G327+$H327)*$AY$4,0)</f>
        <v>186652</v>
      </c>
      <c r="AZ327" s="46">
        <f t="shared" ref="AZ327:AZ352" si="456">ROUND($AZ$4*($G327+$H327),0)</f>
        <v>0</v>
      </c>
      <c r="BA327" s="46">
        <f t="shared" ref="BA327:BA352" si="457">IF($E327&gt;AY327,$E327-AY327,0)</f>
        <v>155592</v>
      </c>
      <c r="BB327" s="46"/>
      <c r="BC327" s="46">
        <f t="shared" ref="BC327:BC352" si="458">AY327+AZ327+BA327+BB327</f>
        <v>342244</v>
      </c>
      <c r="BD327" s="46">
        <f t="shared" si="423"/>
        <v>168361</v>
      </c>
      <c r="BE327" s="46">
        <f t="shared" ref="BE327:BE352" si="459">ROUND(($G327+$H327)*$BE$4,0)</f>
        <v>361334</v>
      </c>
      <c r="BF327" s="46">
        <f t="shared" ref="BF327:BF352" si="460">ROUND($BF$4*($G327+$H327),0)</f>
        <v>13448</v>
      </c>
      <c r="BG327" s="46">
        <f t="shared" si="424"/>
        <v>0</v>
      </c>
      <c r="BH327" s="46">
        <v>0</v>
      </c>
      <c r="BI327" s="46">
        <f t="shared" ref="BI327:BI352" si="461">BE327+BF327+BG327+BH327</f>
        <v>374782</v>
      </c>
      <c r="BJ327" s="46">
        <f t="shared" si="425"/>
        <v>168361</v>
      </c>
      <c r="BK327" s="46">
        <f t="shared" ref="BK327:BK352" si="462">ROUND(($G327+$H327)*$BK$4,0)</f>
        <v>762398</v>
      </c>
      <c r="BL327" s="46">
        <f t="shared" ref="BL327:BL352" si="463">+ROUND($BL$4*($G327+$H327),0)</f>
        <v>0</v>
      </c>
      <c r="BM327" s="46">
        <f t="shared" si="426"/>
        <v>-168361</v>
      </c>
      <c r="BN327" s="46">
        <v>0</v>
      </c>
      <c r="BO327" s="46">
        <f t="shared" ref="BO327:BO352" si="464">BK327+BL327+BM327+BN327</f>
        <v>594037</v>
      </c>
      <c r="BP327" s="46">
        <f t="shared" si="427"/>
        <v>0</v>
      </c>
      <c r="BQ327" s="46">
        <f t="shared" ref="BQ327:BQ352" si="465">ROUND(($G327+$H327)*$BQ$4,0)</f>
        <v>282959</v>
      </c>
      <c r="BR327" s="46">
        <f t="shared" ref="BR327:BR352" si="466">+ROUND($BR$4*($G327+$H327),0)</f>
        <v>0</v>
      </c>
      <c r="BS327" s="46">
        <f t="shared" ref="BS327:BS352" si="467">IF($E327&gt;BQ327,$E327-BQ327,0)</f>
        <v>59285</v>
      </c>
      <c r="BT327" s="46">
        <v>0</v>
      </c>
      <c r="BU327" s="46">
        <f t="shared" ref="BU327:BU352" si="468">BQ327+BR327+BS327+BT327</f>
        <v>342244</v>
      </c>
      <c r="BV327" s="46">
        <f t="shared" si="428"/>
        <v>59285</v>
      </c>
      <c r="BW327" s="46">
        <f t="shared" ref="BW327:BW352" si="469">ROUND(($G327+$H327)*$BW$4,0)</f>
        <v>542227</v>
      </c>
      <c r="BX327" s="46">
        <f t="shared" ref="BX327:BX352" si="470">+ROUND($BX$4*($G327+$H327),0)</f>
        <v>88389</v>
      </c>
      <c r="BY327" s="46">
        <f t="shared" ref="BY327:BY352" si="471">-BV327</f>
        <v>-59285</v>
      </c>
      <c r="BZ327" s="46">
        <v>0</v>
      </c>
      <c r="CA327" s="46">
        <f t="shared" ref="CA327:CA352" si="472">BW327+BX327+BY327+BZ327</f>
        <v>571331</v>
      </c>
      <c r="CB327" s="46">
        <f t="shared" si="429"/>
        <v>0</v>
      </c>
      <c r="CC327" s="155">
        <f t="shared" si="349"/>
        <v>0</v>
      </c>
      <c r="CD327" s="79" t="s">
        <v>538</v>
      </c>
      <c r="CE327" s="65">
        <f t="shared" si="350"/>
        <v>342244</v>
      </c>
      <c r="CF327" s="65">
        <f t="shared" si="351"/>
        <v>342244</v>
      </c>
      <c r="CG327" s="65">
        <f t="shared" si="352"/>
        <v>310602</v>
      </c>
      <c r="CH327" s="65">
        <f t="shared" si="353"/>
        <v>342244</v>
      </c>
      <c r="CI327" s="65">
        <f t="shared" si="354"/>
        <v>900215</v>
      </c>
      <c r="CJ327" s="65">
        <f t="shared" si="355"/>
        <v>351632</v>
      </c>
      <c r="CK327" s="65">
        <f t="shared" si="356"/>
        <v>574722</v>
      </c>
      <c r="CL327" s="65">
        <f t="shared" si="357"/>
        <v>342244</v>
      </c>
      <c r="CM327" s="65">
        <f t="shared" si="358"/>
        <v>374782</v>
      </c>
      <c r="CN327" s="65">
        <f t="shared" si="359"/>
        <v>594037</v>
      </c>
      <c r="CO327" s="65">
        <f t="shared" si="360"/>
        <v>342244</v>
      </c>
      <c r="CP327" s="65">
        <f t="shared" si="361"/>
        <v>571331</v>
      </c>
      <c r="CQ327" s="40" t="s">
        <v>538</v>
      </c>
    </row>
    <row r="328" spans="1:95" ht="3" customHeight="1" x14ac:dyDescent="0.25">
      <c r="A328" s="39">
        <v>1</v>
      </c>
      <c r="B328" s="28">
        <v>15101</v>
      </c>
      <c r="C328" s="28" t="s">
        <v>52</v>
      </c>
      <c r="D328" s="48">
        <f>+DATA!Q326</f>
        <v>22900096.037</v>
      </c>
      <c r="E328" s="48">
        <f t="shared" ref="E328:E352" si="473">ROUND(D328/12*$E$4,0)*A328</f>
        <v>1507590</v>
      </c>
      <c r="F328" s="48">
        <f t="shared" ref="F328:F352" si="474">ROUND(D328/12*$F$4,0)*A328</f>
        <v>2290010</v>
      </c>
      <c r="G328" s="49">
        <f>VLOOKUP(B328,'CALC MEC ESTAB Y ESTIM M FINAL'!$B$7:$F$352,5,0)</f>
        <v>1.15062117488E-2</v>
      </c>
      <c r="H328" s="49">
        <f>VLOOKUP(B328,'CALC MEC ESTAB Y ESTIM M FINAL'!$B$7:$R$352,17,0)</f>
        <v>-3.0405502630000001E-4</v>
      </c>
      <c r="I328" s="46">
        <f t="shared" si="430"/>
        <v>923642</v>
      </c>
      <c r="J328" s="46">
        <f t="shared" si="431"/>
        <v>0</v>
      </c>
      <c r="K328" s="46">
        <f t="shared" si="432"/>
        <v>583948</v>
      </c>
      <c r="L328" s="46">
        <v>0</v>
      </c>
      <c r="M328" s="46">
        <f t="shared" si="433"/>
        <v>1507590</v>
      </c>
      <c r="N328" s="46">
        <f t="shared" ref="N328:N352" si="475">K328</f>
        <v>583948</v>
      </c>
      <c r="O328" s="46">
        <f t="shared" si="434"/>
        <v>491162</v>
      </c>
      <c r="P328" s="46">
        <f t="shared" si="435"/>
        <v>0</v>
      </c>
      <c r="Q328" s="46">
        <f t="shared" si="436"/>
        <v>1016428</v>
      </c>
      <c r="R328" s="46">
        <v>0</v>
      </c>
      <c r="S328" s="46">
        <f t="shared" si="437"/>
        <v>1507590</v>
      </c>
      <c r="T328" s="46">
        <f t="shared" ref="T328:T352" si="476">N328+Q328</f>
        <v>1600376</v>
      </c>
      <c r="U328" s="46">
        <f t="shared" si="438"/>
        <v>1401174</v>
      </c>
      <c r="V328" s="46">
        <f t="shared" si="439"/>
        <v>0</v>
      </c>
      <c r="W328" s="46">
        <f t="shared" ref="W328:W352" si="477">IF(U328&lt;$F328,0,IF(U328-$F328&gt;T328,-T328,-(U328-$F328)))</f>
        <v>0</v>
      </c>
      <c r="X328" s="46">
        <v>0</v>
      </c>
      <c r="Y328" s="46">
        <f t="shared" si="440"/>
        <v>1401174</v>
      </c>
      <c r="Z328" s="46">
        <f t="shared" ref="Z328:Z352" si="478">T328+W328</f>
        <v>1600376</v>
      </c>
      <c r="AA328" s="46">
        <f t="shared" si="441"/>
        <v>744001</v>
      </c>
      <c r="AB328" s="46">
        <f t="shared" si="442"/>
        <v>0</v>
      </c>
      <c r="AC328" s="46">
        <f t="shared" si="443"/>
        <v>763589</v>
      </c>
      <c r="AD328" s="46">
        <v>0</v>
      </c>
      <c r="AE328" s="46">
        <f t="shared" si="444"/>
        <v>1507590</v>
      </c>
      <c r="AF328" s="46">
        <f t="shared" ref="AF328:AF352" si="479">Z328+AC328</f>
        <v>2363965</v>
      </c>
      <c r="AG328" s="46">
        <f t="shared" si="445"/>
        <v>6474204</v>
      </c>
      <c r="AH328" s="46">
        <f t="shared" si="446"/>
        <v>59755</v>
      </c>
      <c r="AI328" s="46">
        <f t="shared" ref="AI328:AI352" si="480">IF(AG328&lt;$F328,0,IF(AG328-$F328&gt;AF328,-AF328,-(AG328-$F328)))</f>
        <v>-2363965</v>
      </c>
      <c r="AJ328" s="46">
        <v>0</v>
      </c>
      <c r="AK328" s="46">
        <f t="shared" si="447"/>
        <v>4169994</v>
      </c>
      <c r="AL328" s="46">
        <f t="shared" ref="AL328:AL352" si="481">AF328+AI328</f>
        <v>0</v>
      </c>
      <c r="AM328" s="46">
        <f t="shared" si="448"/>
        <v>1282374</v>
      </c>
      <c r="AN328" s="46">
        <f t="shared" si="449"/>
        <v>42349</v>
      </c>
      <c r="AO328" s="46">
        <f t="shared" si="450"/>
        <v>225216</v>
      </c>
      <c r="AP328" s="46">
        <v>0</v>
      </c>
      <c r="AQ328" s="46">
        <f t="shared" si="451"/>
        <v>1549939</v>
      </c>
      <c r="AR328" s="46">
        <f t="shared" ref="AR328:AR352" si="482">AL328+AO328</f>
        <v>225216</v>
      </c>
      <c r="AS328" s="46">
        <f t="shared" si="452"/>
        <v>2549132</v>
      </c>
      <c r="AT328" s="46">
        <f t="shared" si="453"/>
        <v>247474</v>
      </c>
      <c r="AU328" s="46">
        <f t="shared" ref="AU328:AU352" si="483">IF(AS328&lt;$F328,0,IF(AS328-$F328&gt;AR328,-AR328,-(AS328-$F328)))</f>
        <v>-225216</v>
      </c>
      <c r="AV328" s="46">
        <v>0</v>
      </c>
      <c r="AW328" s="46">
        <f t="shared" si="454"/>
        <v>2571390</v>
      </c>
      <c r="AX328" s="46">
        <f t="shared" ref="AX328:AX352" si="484">AR328+AU328</f>
        <v>0</v>
      </c>
      <c r="AY328" s="46">
        <f t="shared" si="455"/>
        <v>842017</v>
      </c>
      <c r="AZ328" s="46">
        <f t="shared" si="456"/>
        <v>0</v>
      </c>
      <c r="BA328" s="46">
        <f t="shared" si="457"/>
        <v>665573</v>
      </c>
      <c r="BB328" s="46"/>
      <c r="BC328" s="46">
        <f t="shared" si="458"/>
        <v>1507590</v>
      </c>
      <c r="BD328" s="46">
        <f t="shared" ref="BD328:BD352" si="485">AX328+BA328</f>
        <v>665573</v>
      </c>
      <c r="BE328" s="46">
        <f t="shared" si="459"/>
        <v>1630034</v>
      </c>
      <c r="BF328" s="46">
        <f t="shared" si="460"/>
        <v>60668</v>
      </c>
      <c r="BG328" s="46">
        <f t="shared" ref="BG328:BG352" si="486">IF(BE328&lt;$F328,0,IF(BE328-$F328&gt;BD328,-BD328,-(BE328-$F328)))</f>
        <v>0</v>
      </c>
      <c r="BH328" s="46">
        <v>0</v>
      </c>
      <c r="BI328" s="46">
        <f t="shared" si="461"/>
        <v>1690702</v>
      </c>
      <c r="BJ328" s="46">
        <f t="shared" ref="BJ328:BJ352" si="487">BD328+BG328</f>
        <v>665573</v>
      </c>
      <c r="BK328" s="46">
        <f t="shared" si="462"/>
        <v>3439301</v>
      </c>
      <c r="BL328" s="46">
        <f t="shared" si="463"/>
        <v>0</v>
      </c>
      <c r="BM328" s="46">
        <f t="shared" ref="BM328:BM352" si="488">IF(BK328&lt;$F328,0,IF(BK328-$F328&gt;BJ328,-BJ328,-(BK328-$F328)))</f>
        <v>-665573</v>
      </c>
      <c r="BN328" s="46">
        <v>0</v>
      </c>
      <c r="BO328" s="46">
        <f t="shared" si="464"/>
        <v>2773728</v>
      </c>
      <c r="BP328" s="46">
        <f t="shared" ref="BP328:BP352" si="489">BJ328+BM328</f>
        <v>0</v>
      </c>
      <c r="BQ328" s="46">
        <f t="shared" si="465"/>
        <v>1276472</v>
      </c>
      <c r="BR328" s="46">
        <f t="shared" si="466"/>
        <v>0</v>
      </c>
      <c r="BS328" s="46">
        <f t="shared" si="467"/>
        <v>231118</v>
      </c>
      <c r="BT328" s="46">
        <v>0</v>
      </c>
      <c r="BU328" s="46">
        <f t="shared" si="468"/>
        <v>1507590</v>
      </c>
      <c r="BV328" s="46">
        <f t="shared" ref="BV328:BV352" si="490">BP328+BS328</f>
        <v>231118</v>
      </c>
      <c r="BW328" s="46">
        <f t="shared" si="469"/>
        <v>2446073</v>
      </c>
      <c r="BX328" s="46">
        <f t="shared" si="470"/>
        <v>398735</v>
      </c>
      <c r="BY328" s="46">
        <f t="shared" si="471"/>
        <v>-231118</v>
      </c>
      <c r="BZ328" s="46">
        <v>0</v>
      </c>
      <c r="CA328" s="46">
        <f t="shared" si="472"/>
        <v>2613690</v>
      </c>
      <c r="CB328" s="46">
        <f t="shared" ref="CB328:CB352" si="491">BV328+BY328</f>
        <v>0</v>
      </c>
      <c r="CC328" s="155">
        <f t="shared" ref="CC328:CC352" si="492">+K328+Q328+W328+AC328+AI328+AO328+AU328+BA328+BG328+BM328+BS328+BY328</f>
        <v>0</v>
      </c>
      <c r="CD328" s="79" t="s">
        <v>538</v>
      </c>
      <c r="CE328" s="65">
        <f t="shared" ref="CE328:CE352" si="493">+M328-L328</f>
        <v>1507590</v>
      </c>
      <c r="CF328" s="65">
        <f t="shared" ref="CF328:CF352" si="494">+S328-R328</f>
        <v>1507590</v>
      </c>
      <c r="CG328" s="65">
        <f t="shared" ref="CG328:CG352" si="495">+Y328-X328</f>
        <v>1401174</v>
      </c>
      <c r="CH328" s="65">
        <f t="shared" ref="CH328:CH352" si="496">+AE328-AD328</f>
        <v>1507590</v>
      </c>
      <c r="CI328" s="65">
        <f t="shared" ref="CI328:CI352" si="497">+AK328-AJ328</f>
        <v>4169994</v>
      </c>
      <c r="CJ328" s="65">
        <f t="shared" ref="CJ328:CJ352" si="498">+AQ328-AP328</f>
        <v>1549939</v>
      </c>
      <c r="CK328" s="65">
        <f t="shared" ref="CK328:CK352" si="499">+AW328-AV328</f>
        <v>2571390</v>
      </c>
      <c r="CL328" s="65">
        <f t="shared" ref="CL328:CL352" si="500">+BC328-BB328</f>
        <v>1507590</v>
      </c>
      <c r="CM328" s="65">
        <f t="shared" ref="CM328:CM352" si="501">+BI328-BH328</f>
        <v>1690702</v>
      </c>
      <c r="CN328" s="65">
        <f t="shared" ref="CN328:CN352" si="502">+BO328-BN328</f>
        <v>2773728</v>
      </c>
      <c r="CO328" s="65">
        <f t="shared" ref="CO328:CO352" si="503">+BU328-BT328</f>
        <v>1507590</v>
      </c>
      <c r="CP328" s="65">
        <f t="shared" ref="CP328:CP352" si="504">+CA328-BZ328</f>
        <v>2613690</v>
      </c>
      <c r="CQ328" s="40" t="s">
        <v>538</v>
      </c>
    </row>
    <row r="329" spans="1:95" ht="3" customHeight="1" x14ac:dyDescent="0.25">
      <c r="A329" s="39">
        <v>1</v>
      </c>
      <c r="B329" s="28">
        <v>15102</v>
      </c>
      <c r="C329" s="28" t="s">
        <v>53</v>
      </c>
      <c r="D329" s="48">
        <f>+DATA!Q327</f>
        <v>1703355.757</v>
      </c>
      <c r="E329" s="48">
        <f t="shared" si="473"/>
        <v>112138</v>
      </c>
      <c r="F329" s="48">
        <f t="shared" si="474"/>
        <v>170336</v>
      </c>
      <c r="G329" s="49">
        <f>VLOOKUP(B329,'CALC MEC ESTAB Y ESTIM M FINAL'!$B$7:$F$352,5,0)</f>
        <v>8.9862967269999994E-4</v>
      </c>
      <c r="H329" s="49">
        <f>VLOOKUP(B329,'CALC MEC ESTAB Y ESTIM M FINAL'!$B$7:$R$352,17,0)</f>
        <v>-4.5995554900000003E-5</v>
      </c>
      <c r="I329" s="46">
        <f t="shared" si="430"/>
        <v>70302</v>
      </c>
      <c r="J329" s="46">
        <f t="shared" si="431"/>
        <v>0</v>
      </c>
      <c r="K329" s="46">
        <f t="shared" si="432"/>
        <v>41836</v>
      </c>
      <c r="L329" s="46">
        <v>0</v>
      </c>
      <c r="M329" s="46">
        <f t="shared" si="433"/>
        <v>112138</v>
      </c>
      <c r="N329" s="46">
        <f t="shared" si="475"/>
        <v>41836</v>
      </c>
      <c r="O329" s="46">
        <f t="shared" si="434"/>
        <v>37384</v>
      </c>
      <c r="P329" s="46">
        <f t="shared" si="435"/>
        <v>0</v>
      </c>
      <c r="Q329" s="46">
        <f t="shared" si="436"/>
        <v>74754</v>
      </c>
      <c r="R329" s="46">
        <v>0</v>
      </c>
      <c r="S329" s="46">
        <f t="shared" si="437"/>
        <v>112138</v>
      </c>
      <c r="T329" s="46">
        <f t="shared" si="476"/>
        <v>116590</v>
      </c>
      <c r="U329" s="46">
        <f t="shared" si="438"/>
        <v>106648</v>
      </c>
      <c r="V329" s="46">
        <f t="shared" si="439"/>
        <v>0</v>
      </c>
      <c r="W329" s="46">
        <f t="shared" si="477"/>
        <v>0</v>
      </c>
      <c r="X329" s="46">
        <v>0</v>
      </c>
      <c r="Y329" s="46">
        <f t="shared" si="440"/>
        <v>106648</v>
      </c>
      <c r="Z329" s="46">
        <f t="shared" si="478"/>
        <v>116590</v>
      </c>
      <c r="AA329" s="46">
        <f t="shared" si="441"/>
        <v>56628</v>
      </c>
      <c r="AB329" s="46">
        <f t="shared" si="442"/>
        <v>0</v>
      </c>
      <c r="AC329" s="46">
        <f t="shared" si="443"/>
        <v>55510</v>
      </c>
      <c r="AD329" s="46">
        <v>0</v>
      </c>
      <c r="AE329" s="46">
        <f t="shared" si="444"/>
        <v>112138</v>
      </c>
      <c r="AF329" s="46">
        <f t="shared" si="479"/>
        <v>172100</v>
      </c>
      <c r="AG329" s="46">
        <f t="shared" si="445"/>
        <v>492774</v>
      </c>
      <c r="AH329" s="46">
        <f t="shared" si="446"/>
        <v>4548</v>
      </c>
      <c r="AI329" s="46">
        <f t="shared" si="480"/>
        <v>-172100</v>
      </c>
      <c r="AJ329" s="46">
        <v>0</v>
      </c>
      <c r="AK329" s="46">
        <f t="shared" si="447"/>
        <v>325222</v>
      </c>
      <c r="AL329" s="46">
        <f t="shared" si="481"/>
        <v>0</v>
      </c>
      <c r="AM329" s="46">
        <f t="shared" si="448"/>
        <v>97606</v>
      </c>
      <c r="AN329" s="46">
        <f t="shared" si="449"/>
        <v>3223</v>
      </c>
      <c r="AO329" s="46">
        <f t="shared" si="450"/>
        <v>14532</v>
      </c>
      <c r="AP329" s="46">
        <v>0</v>
      </c>
      <c r="AQ329" s="46">
        <f t="shared" si="451"/>
        <v>115361</v>
      </c>
      <c r="AR329" s="46">
        <f t="shared" si="482"/>
        <v>14532</v>
      </c>
      <c r="AS329" s="46">
        <f t="shared" si="452"/>
        <v>194023</v>
      </c>
      <c r="AT329" s="46">
        <f t="shared" si="453"/>
        <v>18836</v>
      </c>
      <c r="AU329" s="46">
        <f t="shared" si="483"/>
        <v>-14532</v>
      </c>
      <c r="AV329" s="46">
        <v>0</v>
      </c>
      <c r="AW329" s="46">
        <f t="shared" si="454"/>
        <v>198327</v>
      </c>
      <c r="AX329" s="46">
        <f t="shared" si="484"/>
        <v>0</v>
      </c>
      <c r="AY329" s="46">
        <f t="shared" si="455"/>
        <v>64089</v>
      </c>
      <c r="AZ329" s="46">
        <f t="shared" si="456"/>
        <v>0</v>
      </c>
      <c r="BA329" s="46">
        <f t="shared" si="457"/>
        <v>48049</v>
      </c>
      <c r="BB329" s="46"/>
      <c r="BC329" s="46">
        <f t="shared" si="458"/>
        <v>112138</v>
      </c>
      <c r="BD329" s="46">
        <f t="shared" si="485"/>
        <v>48049</v>
      </c>
      <c r="BE329" s="46">
        <f t="shared" si="459"/>
        <v>124067</v>
      </c>
      <c r="BF329" s="46">
        <f t="shared" si="460"/>
        <v>4618</v>
      </c>
      <c r="BG329" s="46">
        <f t="shared" si="486"/>
        <v>0</v>
      </c>
      <c r="BH329" s="46">
        <v>0</v>
      </c>
      <c r="BI329" s="46">
        <f t="shared" si="461"/>
        <v>128685</v>
      </c>
      <c r="BJ329" s="46">
        <f t="shared" si="487"/>
        <v>48049</v>
      </c>
      <c r="BK329" s="46">
        <f t="shared" si="462"/>
        <v>261777</v>
      </c>
      <c r="BL329" s="46">
        <f t="shared" si="463"/>
        <v>0</v>
      </c>
      <c r="BM329" s="46">
        <f t="shared" si="488"/>
        <v>-48049</v>
      </c>
      <c r="BN329" s="46">
        <v>0</v>
      </c>
      <c r="BO329" s="46">
        <f t="shared" si="464"/>
        <v>213728</v>
      </c>
      <c r="BP329" s="46">
        <f t="shared" si="489"/>
        <v>0</v>
      </c>
      <c r="BQ329" s="46">
        <f t="shared" si="465"/>
        <v>97157</v>
      </c>
      <c r="BR329" s="46">
        <f t="shared" si="466"/>
        <v>0</v>
      </c>
      <c r="BS329" s="46">
        <f t="shared" si="467"/>
        <v>14981</v>
      </c>
      <c r="BT329" s="46">
        <v>0</v>
      </c>
      <c r="BU329" s="46">
        <f t="shared" si="468"/>
        <v>112138</v>
      </c>
      <c r="BV329" s="46">
        <f t="shared" si="490"/>
        <v>14981</v>
      </c>
      <c r="BW329" s="46">
        <f t="shared" si="469"/>
        <v>186179</v>
      </c>
      <c r="BX329" s="46">
        <f t="shared" si="470"/>
        <v>30349</v>
      </c>
      <c r="BY329" s="46">
        <f t="shared" si="471"/>
        <v>-14981</v>
      </c>
      <c r="BZ329" s="46">
        <v>0</v>
      </c>
      <c r="CA329" s="46">
        <f t="shared" si="472"/>
        <v>201547</v>
      </c>
      <c r="CB329" s="46">
        <f t="shared" si="491"/>
        <v>0</v>
      </c>
      <c r="CC329" s="155">
        <f t="shared" si="492"/>
        <v>0</v>
      </c>
      <c r="CD329" s="79" t="s">
        <v>538</v>
      </c>
      <c r="CE329" s="65">
        <f t="shared" si="493"/>
        <v>112138</v>
      </c>
      <c r="CF329" s="65">
        <f t="shared" si="494"/>
        <v>112138</v>
      </c>
      <c r="CG329" s="65">
        <f t="shared" si="495"/>
        <v>106648</v>
      </c>
      <c r="CH329" s="65">
        <f t="shared" si="496"/>
        <v>112138</v>
      </c>
      <c r="CI329" s="65">
        <f t="shared" si="497"/>
        <v>325222</v>
      </c>
      <c r="CJ329" s="65">
        <f t="shared" si="498"/>
        <v>115361</v>
      </c>
      <c r="CK329" s="65">
        <f t="shared" si="499"/>
        <v>198327</v>
      </c>
      <c r="CL329" s="65">
        <f t="shared" si="500"/>
        <v>112138</v>
      </c>
      <c r="CM329" s="65">
        <f t="shared" si="501"/>
        <v>128685</v>
      </c>
      <c r="CN329" s="65">
        <f t="shared" si="502"/>
        <v>213728</v>
      </c>
      <c r="CO329" s="65">
        <f t="shared" si="503"/>
        <v>112138</v>
      </c>
      <c r="CP329" s="65">
        <f t="shared" si="504"/>
        <v>201547</v>
      </c>
      <c r="CQ329" s="40" t="s">
        <v>538</v>
      </c>
    </row>
    <row r="330" spans="1:95" ht="3" customHeight="1" x14ac:dyDescent="0.25">
      <c r="A330" s="39">
        <v>1</v>
      </c>
      <c r="B330" s="28">
        <v>15201</v>
      </c>
      <c r="C330" s="28" t="s">
        <v>61</v>
      </c>
      <c r="D330" s="48">
        <f>+DATA!Q328</f>
        <v>2401263.9939999999</v>
      </c>
      <c r="E330" s="48">
        <f t="shared" si="473"/>
        <v>158083</v>
      </c>
      <c r="F330" s="48">
        <f t="shared" si="474"/>
        <v>240126</v>
      </c>
      <c r="G330" s="49">
        <f>VLOOKUP(B330,'CALC MEC ESTAB Y ESTIM M FINAL'!$B$7:$F$352,5,0)</f>
        <v>1.3335595016E-3</v>
      </c>
      <c r="H330" s="49">
        <f>VLOOKUP(B330,'CALC MEC ESTAB Y ESTIM M FINAL'!$B$7:$R$352,17,0)</f>
        <v>-1.014011171E-4</v>
      </c>
      <c r="I330" s="46">
        <f t="shared" si="430"/>
        <v>101594</v>
      </c>
      <c r="J330" s="46">
        <f t="shared" si="431"/>
        <v>0</v>
      </c>
      <c r="K330" s="46">
        <f t="shared" si="432"/>
        <v>56489</v>
      </c>
      <c r="L330" s="46">
        <v>0</v>
      </c>
      <c r="M330" s="46">
        <f t="shared" si="433"/>
        <v>158083</v>
      </c>
      <c r="N330" s="46">
        <f t="shared" si="475"/>
        <v>56489</v>
      </c>
      <c r="O330" s="46">
        <f t="shared" si="434"/>
        <v>54024</v>
      </c>
      <c r="P330" s="46">
        <f t="shared" si="435"/>
        <v>0</v>
      </c>
      <c r="Q330" s="46">
        <f t="shared" si="436"/>
        <v>104059</v>
      </c>
      <c r="R330" s="46">
        <v>0</v>
      </c>
      <c r="S330" s="46">
        <f t="shared" si="437"/>
        <v>158083</v>
      </c>
      <c r="T330" s="46">
        <f t="shared" si="476"/>
        <v>160548</v>
      </c>
      <c r="U330" s="46">
        <f t="shared" si="438"/>
        <v>154119</v>
      </c>
      <c r="V330" s="46">
        <f t="shared" si="439"/>
        <v>0</v>
      </c>
      <c r="W330" s="46">
        <f t="shared" si="477"/>
        <v>0</v>
      </c>
      <c r="X330" s="46">
        <v>0</v>
      </c>
      <c r="Y330" s="46">
        <f t="shared" si="440"/>
        <v>154119</v>
      </c>
      <c r="Z330" s="46">
        <f t="shared" si="478"/>
        <v>160548</v>
      </c>
      <c r="AA330" s="46">
        <f t="shared" si="441"/>
        <v>81835</v>
      </c>
      <c r="AB330" s="46">
        <f t="shared" si="442"/>
        <v>0</v>
      </c>
      <c r="AC330" s="46">
        <f t="shared" si="443"/>
        <v>76248</v>
      </c>
      <c r="AD330" s="46">
        <v>0</v>
      </c>
      <c r="AE330" s="46">
        <f t="shared" si="444"/>
        <v>158083</v>
      </c>
      <c r="AF330" s="46">
        <f t="shared" si="479"/>
        <v>236796</v>
      </c>
      <c r="AG330" s="46">
        <f t="shared" si="445"/>
        <v>712117</v>
      </c>
      <c r="AH330" s="46">
        <f t="shared" si="446"/>
        <v>6573</v>
      </c>
      <c r="AI330" s="46">
        <f t="shared" si="480"/>
        <v>-236796</v>
      </c>
      <c r="AJ330" s="46">
        <v>0</v>
      </c>
      <c r="AK330" s="46">
        <f t="shared" si="447"/>
        <v>481894</v>
      </c>
      <c r="AL330" s="46">
        <f t="shared" si="481"/>
        <v>0</v>
      </c>
      <c r="AM330" s="46">
        <f t="shared" si="448"/>
        <v>141052</v>
      </c>
      <c r="AN330" s="46">
        <f t="shared" si="449"/>
        <v>4658</v>
      </c>
      <c r="AO330" s="46">
        <f t="shared" si="450"/>
        <v>17031</v>
      </c>
      <c r="AP330" s="46">
        <v>0</v>
      </c>
      <c r="AQ330" s="46">
        <f t="shared" si="451"/>
        <v>162741</v>
      </c>
      <c r="AR330" s="46">
        <f t="shared" si="482"/>
        <v>17031</v>
      </c>
      <c r="AS330" s="46">
        <f t="shared" si="452"/>
        <v>280387</v>
      </c>
      <c r="AT330" s="46">
        <f t="shared" si="453"/>
        <v>27220</v>
      </c>
      <c r="AU330" s="46">
        <f t="shared" si="483"/>
        <v>-17031</v>
      </c>
      <c r="AV330" s="46">
        <v>0</v>
      </c>
      <c r="AW330" s="46">
        <f t="shared" si="454"/>
        <v>290576</v>
      </c>
      <c r="AX330" s="46">
        <f t="shared" si="484"/>
        <v>0</v>
      </c>
      <c r="AY330" s="46">
        <f t="shared" si="455"/>
        <v>92616</v>
      </c>
      <c r="AZ330" s="46">
        <f t="shared" si="456"/>
        <v>0</v>
      </c>
      <c r="BA330" s="46">
        <f t="shared" si="457"/>
        <v>65467</v>
      </c>
      <c r="BB330" s="46"/>
      <c r="BC330" s="46">
        <f t="shared" si="458"/>
        <v>158083</v>
      </c>
      <c r="BD330" s="46">
        <f t="shared" si="485"/>
        <v>65467</v>
      </c>
      <c r="BE330" s="46">
        <f t="shared" si="459"/>
        <v>179292</v>
      </c>
      <c r="BF330" s="46">
        <f t="shared" si="460"/>
        <v>6673</v>
      </c>
      <c r="BG330" s="46">
        <f t="shared" si="486"/>
        <v>0</v>
      </c>
      <c r="BH330" s="46">
        <v>0</v>
      </c>
      <c r="BI330" s="46">
        <f t="shared" si="461"/>
        <v>185965</v>
      </c>
      <c r="BJ330" s="46">
        <f t="shared" si="487"/>
        <v>65467</v>
      </c>
      <c r="BK330" s="46">
        <f t="shared" si="462"/>
        <v>378299</v>
      </c>
      <c r="BL330" s="46">
        <f t="shared" si="463"/>
        <v>0</v>
      </c>
      <c r="BM330" s="46">
        <f t="shared" si="488"/>
        <v>-65467</v>
      </c>
      <c r="BN330" s="46">
        <v>0</v>
      </c>
      <c r="BO330" s="46">
        <f t="shared" si="464"/>
        <v>312832</v>
      </c>
      <c r="BP330" s="46">
        <f t="shared" si="489"/>
        <v>0</v>
      </c>
      <c r="BQ330" s="46">
        <f t="shared" si="465"/>
        <v>140403</v>
      </c>
      <c r="BR330" s="46">
        <f t="shared" si="466"/>
        <v>0</v>
      </c>
      <c r="BS330" s="46">
        <f t="shared" si="467"/>
        <v>17680</v>
      </c>
      <c r="BT330" s="46">
        <v>0</v>
      </c>
      <c r="BU330" s="46">
        <f t="shared" si="468"/>
        <v>158083</v>
      </c>
      <c r="BV330" s="46">
        <f t="shared" si="490"/>
        <v>17680</v>
      </c>
      <c r="BW330" s="46">
        <f t="shared" si="469"/>
        <v>269051</v>
      </c>
      <c r="BX330" s="46">
        <f t="shared" si="470"/>
        <v>43858</v>
      </c>
      <c r="BY330" s="46">
        <f t="shared" si="471"/>
        <v>-17680</v>
      </c>
      <c r="BZ330" s="46">
        <v>0</v>
      </c>
      <c r="CA330" s="46">
        <f t="shared" si="472"/>
        <v>295229</v>
      </c>
      <c r="CB330" s="46">
        <f t="shared" si="491"/>
        <v>0</v>
      </c>
      <c r="CC330" s="155">
        <f t="shared" si="492"/>
        <v>0</v>
      </c>
      <c r="CD330" s="79" t="s">
        <v>538</v>
      </c>
      <c r="CE330" s="65">
        <f t="shared" si="493"/>
        <v>158083</v>
      </c>
      <c r="CF330" s="65">
        <f t="shared" si="494"/>
        <v>158083</v>
      </c>
      <c r="CG330" s="65">
        <f t="shared" si="495"/>
        <v>154119</v>
      </c>
      <c r="CH330" s="65">
        <f t="shared" si="496"/>
        <v>158083</v>
      </c>
      <c r="CI330" s="65">
        <f t="shared" si="497"/>
        <v>481894</v>
      </c>
      <c r="CJ330" s="65">
        <f t="shared" si="498"/>
        <v>162741</v>
      </c>
      <c r="CK330" s="65">
        <f t="shared" si="499"/>
        <v>290576</v>
      </c>
      <c r="CL330" s="65">
        <f t="shared" si="500"/>
        <v>158083</v>
      </c>
      <c r="CM330" s="65">
        <f t="shared" si="501"/>
        <v>185965</v>
      </c>
      <c r="CN330" s="65">
        <f t="shared" si="502"/>
        <v>312832</v>
      </c>
      <c r="CO330" s="65">
        <f t="shared" si="503"/>
        <v>158083</v>
      </c>
      <c r="CP330" s="65">
        <f t="shared" si="504"/>
        <v>295229</v>
      </c>
      <c r="CQ330" s="40" t="s">
        <v>538</v>
      </c>
    </row>
    <row r="331" spans="1:95" ht="3" customHeight="1" x14ac:dyDescent="0.25">
      <c r="A331" s="39">
        <v>1</v>
      </c>
      <c r="B331" s="28">
        <v>15202</v>
      </c>
      <c r="C331" s="28" t="s">
        <v>62</v>
      </c>
      <c r="D331" s="48">
        <f>+DATA!Q329</f>
        <v>1464134.36</v>
      </c>
      <c r="E331" s="48">
        <f t="shared" si="473"/>
        <v>96389</v>
      </c>
      <c r="F331" s="48">
        <f t="shared" si="474"/>
        <v>146413</v>
      </c>
      <c r="G331" s="49">
        <f>VLOOKUP(B331,'CALC MEC ESTAB Y ESTIM M FINAL'!$B$7:$F$352,5,0)</f>
        <v>7.5803710839999995E-4</v>
      </c>
      <c r="H331" s="49">
        <f>VLOOKUP(B331,'CALC MEC ESTAB Y ESTIM M FINAL'!$B$7:$R$352,17,0)</f>
        <v>-3.1649248499999998E-5</v>
      </c>
      <c r="I331" s="46">
        <f t="shared" si="430"/>
        <v>59892</v>
      </c>
      <c r="J331" s="46">
        <f t="shared" si="431"/>
        <v>0</v>
      </c>
      <c r="K331" s="46">
        <f t="shared" si="432"/>
        <v>36497</v>
      </c>
      <c r="L331" s="46">
        <v>0</v>
      </c>
      <c r="M331" s="46">
        <f t="shared" si="433"/>
        <v>96389</v>
      </c>
      <c r="N331" s="46">
        <f t="shared" si="475"/>
        <v>36497</v>
      </c>
      <c r="O331" s="46">
        <f t="shared" si="434"/>
        <v>31849</v>
      </c>
      <c r="P331" s="46">
        <f t="shared" si="435"/>
        <v>0</v>
      </c>
      <c r="Q331" s="46">
        <f t="shared" si="436"/>
        <v>64540</v>
      </c>
      <c r="R331" s="46">
        <v>0</v>
      </c>
      <c r="S331" s="46">
        <f t="shared" si="437"/>
        <v>96389</v>
      </c>
      <c r="T331" s="46">
        <f t="shared" si="476"/>
        <v>101037</v>
      </c>
      <c r="U331" s="46">
        <f t="shared" si="438"/>
        <v>90857</v>
      </c>
      <c r="V331" s="46">
        <f t="shared" si="439"/>
        <v>0</v>
      </c>
      <c r="W331" s="46">
        <f t="shared" si="477"/>
        <v>0</v>
      </c>
      <c r="X331" s="46">
        <v>0</v>
      </c>
      <c r="Y331" s="46">
        <f t="shared" si="440"/>
        <v>90857</v>
      </c>
      <c r="Z331" s="46">
        <f t="shared" si="478"/>
        <v>101037</v>
      </c>
      <c r="AA331" s="46">
        <f t="shared" si="441"/>
        <v>48244</v>
      </c>
      <c r="AB331" s="46">
        <f t="shared" si="442"/>
        <v>0</v>
      </c>
      <c r="AC331" s="46">
        <f t="shared" si="443"/>
        <v>48145</v>
      </c>
      <c r="AD331" s="46">
        <v>0</v>
      </c>
      <c r="AE331" s="46">
        <f t="shared" si="444"/>
        <v>96389</v>
      </c>
      <c r="AF331" s="46">
        <f t="shared" si="479"/>
        <v>149182</v>
      </c>
      <c r="AG331" s="46">
        <f t="shared" si="445"/>
        <v>419811</v>
      </c>
      <c r="AH331" s="46">
        <f t="shared" si="446"/>
        <v>3875</v>
      </c>
      <c r="AI331" s="46">
        <f t="shared" si="480"/>
        <v>-149182</v>
      </c>
      <c r="AJ331" s="46">
        <v>0</v>
      </c>
      <c r="AK331" s="46">
        <f t="shared" si="447"/>
        <v>274504</v>
      </c>
      <c r="AL331" s="46">
        <f t="shared" si="481"/>
        <v>0</v>
      </c>
      <c r="AM331" s="46">
        <f t="shared" si="448"/>
        <v>83154</v>
      </c>
      <c r="AN331" s="46">
        <f t="shared" si="449"/>
        <v>2746</v>
      </c>
      <c r="AO331" s="46">
        <f t="shared" si="450"/>
        <v>13235</v>
      </c>
      <c r="AP331" s="46">
        <v>0</v>
      </c>
      <c r="AQ331" s="46">
        <f t="shared" si="451"/>
        <v>99135</v>
      </c>
      <c r="AR331" s="46">
        <f t="shared" si="482"/>
        <v>13235</v>
      </c>
      <c r="AS331" s="46">
        <f t="shared" si="452"/>
        <v>165295</v>
      </c>
      <c r="AT331" s="46">
        <f t="shared" si="453"/>
        <v>16047</v>
      </c>
      <c r="AU331" s="46">
        <f t="shared" si="483"/>
        <v>-13235</v>
      </c>
      <c r="AV331" s="46">
        <v>0</v>
      </c>
      <c r="AW331" s="46">
        <f t="shared" si="454"/>
        <v>168107</v>
      </c>
      <c r="AX331" s="46">
        <f t="shared" si="484"/>
        <v>0</v>
      </c>
      <c r="AY331" s="46">
        <f t="shared" si="455"/>
        <v>54599</v>
      </c>
      <c r="AZ331" s="46">
        <f t="shared" si="456"/>
        <v>0</v>
      </c>
      <c r="BA331" s="46">
        <f t="shared" si="457"/>
        <v>41790</v>
      </c>
      <c r="BB331" s="46"/>
      <c r="BC331" s="46">
        <f t="shared" si="458"/>
        <v>96389</v>
      </c>
      <c r="BD331" s="46">
        <f t="shared" si="485"/>
        <v>41790</v>
      </c>
      <c r="BE331" s="46">
        <f t="shared" si="459"/>
        <v>105697</v>
      </c>
      <c r="BF331" s="46">
        <f t="shared" si="460"/>
        <v>3934</v>
      </c>
      <c r="BG331" s="46">
        <f t="shared" si="486"/>
        <v>0</v>
      </c>
      <c r="BH331" s="46">
        <v>0</v>
      </c>
      <c r="BI331" s="46">
        <f t="shared" si="461"/>
        <v>109631</v>
      </c>
      <c r="BJ331" s="46">
        <f t="shared" si="487"/>
        <v>41790</v>
      </c>
      <c r="BK331" s="46">
        <f t="shared" si="462"/>
        <v>223017</v>
      </c>
      <c r="BL331" s="46">
        <f t="shared" si="463"/>
        <v>0</v>
      </c>
      <c r="BM331" s="46">
        <f t="shared" si="488"/>
        <v>-41790</v>
      </c>
      <c r="BN331" s="46">
        <v>0</v>
      </c>
      <c r="BO331" s="46">
        <f t="shared" si="464"/>
        <v>181227</v>
      </c>
      <c r="BP331" s="46">
        <f t="shared" si="489"/>
        <v>0</v>
      </c>
      <c r="BQ331" s="46">
        <f t="shared" si="465"/>
        <v>82771</v>
      </c>
      <c r="BR331" s="46">
        <f t="shared" si="466"/>
        <v>0</v>
      </c>
      <c r="BS331" s="46">
        <f t="shared" si="467"/>
        <v>13618</v>
      </c>
      <c r="BT331" s="46">
        <v>0</v>
      </c>
      <c r="BU331" s="46">
        <f t="shared" si="468"/>
        <v>96389</v>
      </c>
      <c r="BV331" s="46">
        <f t="shared" si="490"/>
        <v>13618</v>
      </c>
      <c r="BW331" s="46">
        <f t="shared" si="469"/>
        <v>158612</v>
      </c>
      <c r="BX331" s="46">
        <f t="shared" si="470"/>
        <v>25855</v>
      </c>
      <c r="BY331" s="46">
        <f t="shared" si="471"/>
        <v>-13618</v>
      </c>
      <c r="BZ331" s="46">
        <v>0</v>
      </c>
      <c r="CA331" s="46">
        <f t="shared" si="472"/>
        <v>170849</v>
      </c>
      <c r="CB331" s="46">
        <f t="shared" si="491"/>
        <v>0</v>
      </c>
      <c r="CC331" s="155">
        <f t="shared" si="492"/>
        <v>0</v>
      </c>
      <c r="CD331" s="79" t="s">
        <v>538</v>
      </c>
      <c r="CE331" s="65">
        <f t="shared" si="493"/>
        <v>96389</v>
      </c>
      <c r="CF331" s="65">
        <f t="shared" si="494"/>
        <v>96389</v>
      </c>
      <c r="CG331" s="65">
        <f t="shared" si="495"/>
        <v>90857</v>
      </c>
      <c r="CH331" s="65">
        <f t="shared" si="496"/>
        <v>96389</v>
      </c>
      <c r="CI331" s="65">
        <f t="shared" si="497"/>
        <v>274504</v>
      </c>
      <c r="CJ331" s="65">
        <f t="shared" si="498"/>
        <v>99135</v>
      </c>
      <c r="CK331" s="65">
        <f t="shared" si="499"/>
        <v>168107</v>
      </c>
      <c r="CL331" s="65">
        <f t="shared" si="500"/>
        <v>96389</v>
      </c>
      <c r="CM331" s="65">
        <f t="shared" si="501"/>
        <v>109631</v>
      </c>
      <c r="CN331" s="65">
        <f t="shared" si="502"/>
        <v>181227</v>
      </c>
      <c r="CO331" s="65">
        <f t="shared" si="503"/>
        <v>96389</v>
      </c>
      <c r="CP331" s="65">
        <f t="shared" si="504"/>
        <v>170849</v>
      </c>
      <c r="CQ331" s="40" t="s">
        <v>538</v>
      </c>
    </row>
    <row r="332" spans="1:95" ht="3" customHeight="1" x14ac:dyDescent="0.25">
      <c r="A332" s="39">
        <v>1</v>
      </c>
      <c r="B332" s="28">
        <v>16101</v>
      </c>
      <c r="C332" s="28" t="s">
        <v>401</v>
      </c>
      <c r="D332" s="48">
        <f>+DATA!Q330</f>
        <v>18155597.146000002</v>
      </c>
      <c r="E332" s="48">
        <f t="shared" si="473"/>
        <v>1195243</v>
      </c>
      <c r="F332" s="48">
        <f t="shared" si="474"/>
        <v>1815560</v>
      </c>
      <c r="G332" s="49">
        <f>VLOOKUP(B332,'CALC MEC ESTAB Y ESTIM M FINAL'!$B$7:$F$352,5,0)</f>
        <v>9.8088502143999987E-3</v>
      </c>
      <c r="H332" s="49">
        <f>VLOOKUP(B332,'CALC MEC ESTAB Y ESTIM M FINAL'!$B$7:$R$352,17,0)</f>
        <v>-6.110659836E-4</v>
      </c>
      <c r="I332" s="46">
        <f t="shared" si="430"/>
        <v>758377</v>
      </c>
      <c r="J332" s="46">
        <f t="shared" si="431"/>
        <v>0</v>
      </c>
      <c r="K332" s="46">
        <f t="shared" si="432"/>
        <v>436866</v>
      </c>
      <c r="L332" s="46">
        <v>0</v>
      </c>
      <c r="M332" s="46">
        <f t="shared" si="433"/>
        <v>1195243</v>
      </c>
      <c r="N332" s="46">
        <f t="shared" si="475"/>
        <v>436866</v>
      </c>
      <c r="O332" s="46">
        <f t="shared" si="434"/>
        <v>403279</v>
      </c>
      <c r="P332" s="46">
        <f t="shared" si="435"/>
        <v>0</v>
      </c>
      <c r="Q332" s="46">
        <f t="shared" si="436"/>
        <v>791964</v>
      </c>
      <c r="R332" s="46">
        <v>0</v>
      </c>
      <c r="S332" s="46">
        <f t="shared" si="437"/>
        <v>1195243</v>
      </c>
      <c r="T332" s="46">
        <f t="shared" si="476"/>
        <v>1228830</v>
      </c>
      <c r="U332" s="46">
        <f t="shared" si="438"/>
        <v>1150465</v>
      </c>
      <c r="V332" s="46">
        <f t="shared" si="439"/>
        <v>0</v>
      </c>
      <c r="W332" s="46">
        <f t="shared" si="477"/>
        <v>0</v>
      </c>
      <c r="X332" s="46">
        <v>0</v>
      </c>
      <c r="Y332" s="46">
        <f t="shared" si="440"/>
        <v>1150465</v>
      </c>
      <c r="Z332" s="46">
        <f t="shared" si="478"/>
        <v>1228830</v>
      </c>
      <c r="AA332" s="46">
        <f t="shared" si="441"/>
        <v>610879</v>
      </c>
      <c r="AB332" s="46">
        <f t="shared" si="442"/>
        <v>0</v>
      </c>
      <c r="AC332" s="46">
        <f t="shared" si="443"/>
        <v>584364</v>
      </c>
      <c r="AD332" s="46">
        <v>0</v>
      </c>
      <c r="AE332" s="46">
        <f t="shared" si="444"/>
        <v>1195243</v>
      </c>
      <c r="AF332" s="46">
        <f t="shared" si="479"/>
        <v>1813194</v>
      </c>
      <c r="AG332" s="46">
        <f t="shared" si="445"/>
        <v>5315792</v>
      </c>
      <c r="AH332" s="46">
        <f t="shared" si="446"/>
        <v>49063</v>
      </c>
      <c r="AI332" s="46">
        <f t="shared" si="480"/>
        <v>-1813194</v>
      </c>
      <c r="AJ332" s="46">
        <v>0</v>
      </c>
      <c r="AK332" s="46">
        <f t="shared" si="447"/>
        <v>3551661</v>
      </c>
      <c r="AL332" s="46">
        <f t="shared" si="481"/>
        <v>0</v>
      </c>
      <c r="AM332" s="46">
        <f t="shared" si="448"/>
        <v>1052923</v>
      </c>
      <c r="AN332" s="46">
        <f t="shared" si="449"/>
        <v>34772</v>
      </c>
      <c r="AO332" s="46">
        <f t="shared" si="450"/>
        <v>142320</v>
      </c>
      <c r="AP332" s="46">
        <v>0</v>
      </c>
      <c r="AQ332" s="46">
        <f t="shared" si="451"/>
        <v>1230015</v>
      </c>
      <c r="AR332" s="46">
        <f t="shared" si="482"/>
        <v>142320</v>
      </c>
      <c r="AS332" s="46">
        <f t="shared" si="452"/>
        <v>2093023</v>
      </c>
      <c r="AT332" s="46">
        <f t="shared" si="453"/>
        <v>203195</v>
      </c>
      <c r="AU332" s="46">
        <f t="shared" si="483"/>
        <v>-142320</v>
      </c>
      <c r="AV332" s="46">
        <v>0</v>
      </c>
      <c r="AW332" s="46">
        <f t="shared" si="454"/>
        <v>2153898</v>
      </c>
      <c r="AX332" s="46">
        <f t="shared" si="484"/>
        <v>0</v>
      </c>
      <c r="AY332" s="46">
        <f t="shared" si="455"/>
        <v>691357</v>
      </c>
      <c r="AZ332" s="46">
        <f t="shared" si="456"/>
        <v>0</v>
      </c>
      <c r="BA332" s="46">
        <f t="shared" si="457"/>
        <v>503886</v>
      </c>
      <c r="BB332" s="46"/>
      <c r="BC332" s="46">
        <f t="shared" si="458"/>
        <v>1195243</v>
      </c>
      <c r="BD332" s="46">
        <f t="shared" si="485"/>
        <v>503886</v>
      </c>
      <c r="BE332" s="46">
        <f t="shared" si="459"/>
        <v>1338376</v>
      </c>
      <c r="BF332" s="46">
        <f t="shared" si="460"/>
        <v>49813</v>
      </c>
      <c r="BG332" s="46">
        <f t="shared" si="486"/>
        <v>0</v>
      </c>
      <c r="BH332" s="46">
        <v>0</v>
      </c>
      <c r="BI332" s="46">
        <f t="shared" si="461"/>
        <v>1388189</v>
      </c>
      <c r="BJ332" s="46">
        <f t="shared" si="487"/>
        <v>503886</v>
      </c>
      <c r="BK332" s="46">
        <f t="shared" si="462"/>
        <v>2823916</v>
      </c>
      <c r="BL332" s="46">
        <f t="shared" si="463"/>
        <v>0</v>
      </c>
      <c r="BM332" s="46">
        <f t="shared" si="488"/>
        <v>-503886</v>
      </c>
      <c r="BN332" s="46">
        <v>0</v>
      </c>
      <c r="BO332" s="46">
        <f t="shared" si="464"/>
        <v>2320030</v>
      </c>
      <c r="BP332" s="46">
        <f t="shared" si="489"/>
        <v>0</v>
      </c>
      <c r="BQ332" s="46">
        <f t="shared" si="465"/>
        <v>1048076</v>
      </c>
      <c r="BR332" s="46">
        <f t="shared" si="466"/>
        <v>0</v>
      </c>
      <c r="BS332" s="46">
        <f t="shared" si="467"/>
        <v>147167</v>
      </c>
      <c r="BT332" s="46">
        <v>0</v>
      </c>
      <c r="BU332" s="46">
        <f t="shared" si="468"/>
        <v>1195243</v>
      </c>
      <c r="BV332" s="46">
        <f t="shared" si="490"/>
        <v>147167</v>
      </c>
      <c r="BW332" s="46">
        <f t="shared" si="469"/>
        <v>2008403</v>
      </c>
      <c r="BX332" s="46">
        <f t="shared" si="470"/>
        <v>327390</v>
      </c>
      <c r="BY332" s="46">
        <f t="shared" si="471"/>
        <v>-147167</v>
      </c>
      <c r="BZ332" s="46">
        <v>0</v>
      </c>
      <c r="CA332" s="46">
        <f t="shared" si="472"/>
        <v>2188626</v>
      </c>
      <c r="CB332" s="46">
        <f t="shared" si="491"/>
        <v>0</v>
      </c>
      <c r="CC332" s="155">
        <f t="shared" si="492"/>
        <v>0</v>
      </c>
      <c r="CD332" s="79" t="s">
        <v>538</v>
      </c>
      <c r="CE332" s="65">
        <f t="shared" si="493"/>
        <v>1195243</v>
      </c>
      <c r="CF332" s="65">
        <f t="shared" si="494"/>
        <v>1195243</v>
      </c>
      <c r="CG332" s="65">
        <f t="shared" si="495"/>
        <v>1150465</v>
      </c>
      <c r="CH332" s="65">
        <f t="shared" si="496"/>
        <v>1195243</v>
      </c>
      <c r="CI332" s="65">
        <f t="shared" si="497"/>
        <v>3551661</v>
      </c>
      <c r="CJ332" s="65">
        <f t="shared" si="498"/>
        <v>1230015</v>
      </c>
      <c r="CK332" s="65">
        <f t="shared" si="499"/>
        <v>2153898</v>
      </c>
      <c r="CL332" s="65">
        <f t="shared" si="500"/>
        <v>1195243</v>
      </c>
      <c r="CM332" s="65">
        <f t="shared" si="501"/>
        <v>1388189</v>
      </c>
      <c r="CN332" s="65">
        <f t="shared" si="502"/>
        <v>2320030</v>
      </c>
      <c r="CO332" s="65">
        <f t="shared" si="503"/>
        <v>1195243</v>
      </c>
      <c r="CP332" s="65">
        <f t="shared" si="504"/>
        <v>2188626</v>
      </c>
      <c r="CQ332" s="40" t="s">
        <v>538</v>
      </c>
    </row>
    <row r="333" spans="1:95" ht="3" customHeight="1" x14ac:dyDescent="0.25">
      <c r="A333" s="39">
        <v>1</v>
      </c>
      <c r="B333" s="28">
        <v>16102</v>
      </c>
      <c r="C333" s="28" t="s">
        <v>177</v>
      </c>
      <c r="D333" s="48">
        <f>+DATA!Q331</f>
        <v>4446697.5369999995</v>
      </c>
      <c r="E333" s="48">
        <f t="shared" si="473"/>
        <v>292741</v>
      </c>
      <c r="F333" s="48">
        <f t="shared" si="474"/>
        <v>444670</v>
      </c>
      <c r="G333" s="49">
        <f>VLOOKUP(B333,'CALC MEC ESTAB Y ESTIM M FINAL'!$B$7:$F$352,5,0)</f>
        <v>2.6547600787999994E-3</v>
      </c>
      <c r="H333" s="49">
        <f>VLOOKUP(B333,'CALC MEC ESTAB Y ESTIM M FINAL'!$B$7:$R$352,17,0)</f>
        <v>-2.8804790239999998E-4</v>
      </c>
      <c r="I333" s="46">
        <f t="shared" si="430"/>
        <v>195141</v>
      </c>
      <c r="J333" s="46">
        <f t="shared" si="431"/>
        <v>0</v>
      </c>
      <c r="K333" s="46">
        <f t="shared" si="432"/>
        <v>97600</v>
      </c>
      <c r="L333" s="46">
        <v>0</v>
      </c>
      <c r="M333" s="46">
        <f t="shared" si="433"/>
        <v>292741</v>
      </c>
      <c r="N333" s="46">
        <f t="shared" si="475"/>
        <v>97600</v>
      </c>
      <c r="O333" s="46">
        <f t="shared" si="434"/>
        <v>103769</v>
      </c>
      <c r="P333" s="46">
        <f t="shared" si="435"/>
        <v>0</v>
      </c>
      <c r="Q333" s="46">
        <f t="shared" si="436"/>
        <v>188972</v>
      </c>
      <c r="R333" s="46">
        <v>0</v>
      </c>
      <c r="S333" s="46">
        <f t="shared" si="437"/>
        <v>292741</v>
      </c>
      <c r="T333" s="46">
        <f t="shared" si="476"/>
        <v>286572</v>
      </c>
      <c r="U333" s="46">
        <f t="shared" si="438"/>
        <v>296030</v>
      </c>
      <c r="V333" s="46">
        <f t="shared" si="439"/>
        <v>0</v>
      </c>
      <c r="W333" s="46">
        <f t="shared" si="477"/>
        <v>0</v>
      </c>
      <c r="X333" s="46">
        <v>0</v>
      </c>
      <c r="Y333" s="46">
        <f t="shared" si="440"/>
        <v>296030</v>
      </c>
      <c r="Z333" s="46">
        <f t="shared" si="478"/>
        <v>286572</v>
      </c>
      <c r="AA333" s="46">
        <f t="shared" si="441"/>
        <v>157187</v>
      </c>
      <c r="AB333" s="46">
        <f t="shared" si="442"/>
        <v>0</v>
      </c>
      <c r="AC333" s="46">
        <f t="shared" si="443"/>
        <v>135554</v>
      </c>
      <c r="AD333" s="46">
        <v>0</v>
      </c>
      <c r="AE333" s="46">
        <f t="shared" si="444"/>
        <v>292741</v>
      </c>
      <c r="AF333" s="46">
        <f t="shared" si="479"/>
        <v>422126</v>
      </c>
      <c r="AG333" s="46">
        <f t="shared" si="445"/>
        <v>1367824</v>
      </c>
      <c r="AH333" s="46">
        <f t="shared" si="446"/>
        <v>12625</v>
      </c>
      <c r="AI333" s="46">
        <f t="shared" si="480"/>
        <v>-422126</v>
      </c>
      <c r="AJ333" s="46">
        <v>0</v>
      </c>
      <c r="AK333" s="46">
        <f t="shared" si="447"/>
        <v>958323</v>
      </c>
      <c r="AL333" s="46">
        <f t="shared" si="481"/>
        <v>0</v>
      </c>
      <c r="AM333" s="46">
        <f t="shared" si="448"/>
        <v>270931</v>
      </c>
      <c r="AN333" s="46">
        <f t="shared" si="449"/>
        <v>8947</v>
      </c>
      <c r="AO333" s="46">
        <f t="shared" si="450"/>
        <v>21810</v>
      </c>
      <c r="AP333" s="46">
        <v>0</v>
      </c>
      <c r="AQ333" s="46">
        <f t="shared" si="451"/>
        <v>301688</v>
      </c>
      <c r="AR333" s="46">
        <f t="shared" si="482"/>
        <v>21810</v>
      </c>
      <c r="AS333" s="46">
        <f t="shared" si="452"/>
        <v>538563</v>
      </c>
      <c r="AT333" s="46">
        <f t="shared" si="453"/>
        <v>52285</v>
      </c>
      <c r="AU333" s="46">
        <f t="shared" si="483"/>
        <v>-21810</v>
      </c>
      <c r="AV333" s="46">
        <v>0</v>
      </c>
      <c r="AW333" s="46">
        <f t="shared" si="454"/>
        <v>569038</v>
      </c>
      <c r="AX333" s="46">
        <f t="shared" si="484"/>
        <v>0</v>
      </c>
      <c r="AY333" s="46">
        <f t="shared" si="455"/>
        <v>177895</v>
      </c>
      <c r="AZ333" s="46">
        <f t="shared" si="456"/>
        <v>0</v>
      </c>
      <c r="BA333" s="46">
        <f t="shared" si="457"/>
        <v>114846</v>
      </c>
      <c r="BB333" s="46"/>
      <c r="BC333" s="46">
        <f t="shared" si="458"/>
        <v>292741</v>
      </c>
      <c r="BD333" s="46">
        <f t="shared" si="485"/>
        <v>114846</v>
      </c>
      <c r="BE333" s="46">
        <f t="shared" si="459"/>
        <v>344382</v>
      </c>
      <c r="BF333" s="46">
        <f t="shared" si="460"/>
        <v>12818</v>
      </c>
      <c r="BG333" s="46">
        <f t="shared" si="486"/>
        <v>0</v>
      </c>
      <c r="BH333" s="46">
        <v>0</v>
      </c>
      <c r="BI333" s="46">
        <f t="shared" si="461"/>
        <v>357200</v>
      </c>
      <c r="BJ333" s="46">
        <f t="shared" si="487"/>
        <v>114846</v>
      </c>
      <c r="BK333" s="46">
        <f t="shared" si="462"/>
        <v>726631</v>
      </c>
      <c r="BL333" s="46">
        <f t="shared" si="463"/>
        <v>0</v>
      </c>
      <c r="BM333" s="46">
        <f t="shared" si="488"/>
        <v>-114846</v>
      </c>
      <c r="BN333" s="46">
        <v>0</v>
      </c>
      <c r="BO333" s="46">
        <f t="shared" si="464"/>
        <v>611785</v>
      </c>
      <c r="BP333" s="46">
        <f t="shared" si="489"/>
        <v>0</v>
      </c>
      <c r="BQ333" s="46">
        <f t="shared" si="465"/>
        <v>269684</v>
      </c>
      <c r="BR333" s="46">
        <f t="shared" si="466"/>
        <v>0</v>
      </c>
      <c r="BS333" s="46">
        <f t="shared" si="467"/>
        <v>23057</v>
      </c>
      <c r="BT333" s="46">
        <v>0</v>
      </c>
      <c r="BU333" s="46">
        <f t="shared" si="468"/>
        <v>292741</v>
      </c>
      <c r="BV333" s="46">
        <f t="shared" si="490"/>
        <v>23057</v>
      </c>
      <c r="BW333" s="46">
        <f t="shared" si="469"/>
        <v>516789</v>
      </c>
      <c r="BX333" s="46">
        <f t="shared" si="470"/>
        <v>84242</v>
      </c>
      <c r="BY333" s="46">
        <f t="shared" si="471"/>
        <v>-23057</v>
      </c>
      <c r="BZ333" s="46">
        <v>0</v>
      </c>
      <c r="CA333" s="46">
        <f t="shared" si="472"/>
        <v>577974</v>
      </c>
      <c r="CB333" s="46">
        <f t="shared" si="491"/>
        <v>0</v>
      </c>
      <c r="CC333" s="155">
        <f t="shared" si="492"/>
        <v>0</v>
      </c>
      <c r="CD333" s="79" t="s">
        <v>538</v>
      </c>
      <c r="CE333" s="65">
        <f t="shared" si="493"/>
        <v>292741</v>
      </c>
      <c r="CF333" s="65">
        <f t="shared" si="494"/>
        <v>292741</v>
      </c>
      <c r="CG333" s="65">
        <f t="shared" si="495"/>
        <v>296030</v>
      </c>
      <c r="CH333" s="65">
        <f t="shared" si="496"/>
        <v>292741</v>
      </c>
      <c r="CI333" s="65">
        <f t="shared" si="497"/>
        <v>958323</v>
      </c>
      <c r="CJ333" s="65">
        <f t="shared" si="498"/>
        <v>301688</v>
      </c>
      <c r="CK333" s="65">
        <f t="shared" si="499"/>
        <v>569038</v>
      </c>
      <c r="CL333" s="65">
        <f t="shared" si="500"/>
        <v>292741</v>
      </c>
      <c r="CM333" s="65">
        <f t="shared" si="501"/>
        <v>357200</v>
      </c>
      <c r="CN333" s="65">
        <f t="shared" si="502"/>
        <v>611785</v>
      </c>
      <c r="CO333" s="65">
        <f t="shared" si="503"/>
        <v>292741</v>
      </c>
      <c r="CP333" s="65">
        <f t="shared" si="504"/>
        <v>577974</v>
      </c>
      <c r="CQ333" s="40" t="s">
        <v>538</v>
      </c>
    </row>
    <row r="334" spans="1:95" ht="3" customHeight="1" x14ac:dyDescent="0.25">
      <c r="A334" s="39">
        <v>1</v>
      </c>
      <c r="B334" s="28">
        <v>16103</v>
      </c>
      <c r="C334" s="28" t="s">
        <v>402</v>
      </c>
      <c r="D334" s="48">
        <f>+DATA!Q332</f>
        <v>4711820.7779999999</v>
      </c>
      <c r="E334" s="48">
        <f t="shared" si="473"/>
        <v>310195</v>
      </c>
      <c r="F334" s="48">
        <f t="shared" si="474"/>
        <v>471182</v>
      </c>
      <c r="G334" s="49">
        <f>VLOOKUP(B334,'CALC MEC ESTAB Y ESTIM M FINAL'!$B$7:$F$352,5,0)</f>
        <v>2.7492596458999997E-3</v>
      </c>
      <c r="H334" s="49">
        <f>VLOOKUP(B334,'CALC MEC ESTAB Y ESTIM M FINAL'!$B$7:$R$352,17,0)</f>
        <v>-2.7110150410000002E-4</v>
      </c>
      <c r="I334" s="46">
        <f t="shared" si="430"/>
        <v>204329</v>
      </c>
      <c r="J334" s="46">
        <f t="shared" si="431"/>
        <v>0</v>
      </c>
      <c r="K334" s="46">
        <f t="shared" si="432"/>
        <v>105866</v>
      </c>
      <c r="L334" s="46">
        <v>0</v>
      </c>
      <c r="M334" s="46">
        <f t="shared" si="433"/>
        <v>310195</v>
      </c>
      <c r="N334" s="46">
        <f t="shared" si="475"/>
        <v>105866</v>
      </c>
      <c r="O334" s="46">
        <f t="shared" si="434"/>
        <v>108656</v>
      </c>
      <c r="P334" s="46">
        <f t="shared" si="435"/>
        <v>0</v>
      </c>
      <c r="Q334" s="46">
        <f t="shared" si="436"/>
        <v>201539</v>
      </c>
      <c r="R334" s="46">
        <v>0</v>
      </c>
      <c r="S334" s="46">
        <f t="shared" si="437"/>
        <v>310195</v>
      </c>
      <c r="T334" s="46">
        <f t="shared" si="476"/>
        <v>307405</v>
      </c>
      <c r="U334" s="46">
        <f t="shared" si="438"/>
        <v>309970</v>
      </c>
      <c r="V334" s="46">
        <f t="shared" si="439"/>
        <v>0</v>
      </c>
      <c r="W334" s="46">
        <f t="shared" si="477"/>
        <v>0</v>
      </c>
      <c r="X334" s="46">
        <v>0</v>
      </c>
      <c r="Y334" s="46">
        <f t="shared" si="440"/>
        <v>309970</v>
      </c>
      <c r="Z334" s="46">
        <f t="shared" si="478"/>
        <v>307405</v>
      </c>
      <c r="AA334" s="46">
        <f t="shared" si="441"/>
        <v>164589</v>
      </c>
      <c r="AB334" s="46">
        <f t="shared" si="442"/>
        <v>0</v>
      </c>
      <c r="AC334" s="46">
        <f t="shared" si="443"/>
        <v>145606</v>
      </c>
      <c r="AD334" s="46">
        <v>0</v>
      </c>
      <c r="AE334" s="46">
        <f t="shared" si="444"/>
        <v>310195</v>
      </c>
      <c r="AF334" s="46">
        <f t="shared" si="479"/>
        <v>453011</v>
      </c>
      <c r="AG334" s="46">
        <f t="shared" si="445"/>
        <v>1432233</v>
      </c>
      <c r="AH334" s="46">
        <f t="shared" si="446"/>
        <v>13219</v>
      </c>
      <c r="AI334" s="46">
        <f t="shared" si="480"/>
        <v>-453011</v>
      </c>
      <c r="AJ334" s="46">
        <v>0</v>
      </c>
      <c r="AK334" s="46">
        <f t="shared" si="447"/>
        <v>992441</v>
      </c>
      <c r="AL334" s="46">
        <f t="shared" si="481"/>
        <v>0</v>
      </c>
      <c r="AM334" s="46">
        <f t="shared" si="448"/>
        <v>283689</v>
      </c>
      <c r="AN334" s="46">
        <f t="shared" si="449"/>
        <v>9369</v>
      </c>
      <c r="AO334" s="46">
        <f t="shared" si="450"/>
        <v>26506</v>
      </c>
      <c r="AP334" s="46">
        <v>0</v>
      </c>
      <c r="AQ334" s="46">
        <f t="shared" si="451"/>
        <v>319564</v>
      </c>
      <c r="AR334" s="46">
        <f t="shared" si="482"/>
        <v>26506</v>
      </c>
      <c r="AS334" s="46">
        <f t="shared" si="452"/>
        <v>563923</v>
      </c>
      <c r="AT334" s="46">
        <f t="shared" si="453"/>
        <v>54747</v>
      </c>
      <c r="AU334" s="46">
        <f t="shared" si="483"/>
        <v>-26506</v>
      </c>
      <c r="AV334" s="46">
        <v>0</v>
      </c>
      <c r="AW334" s="46">
        <f t="shared" si="454"/>
        <v>592164</v>
      </c>
      <c r="AX334" s="46">
        <f t="shared" si="484"/>
        <v>0</v>
      </c>
      <c r="AY334" s="46">
        <f t="shared" si="455"/>
        <v>186272</v>
      </c>
      <c r="AZ334" s="46">
        <f t="shared" si="456"/>
        <v>0</v>
      </c>
      <c r="BA334" s="46">
        <f t="shared" si="457"/>
        <v>123923</v>
      </c>
      <c r="BB334" s="46"/>
      <c r="BC334" s="46">
        <f t="shared" si="458"/>
        <v>310195</v>
      </c>
      <c r="BD334" s="46">
        <f t="shared" si="485"/>
        <v>123923</v>
      </c>
      <c r="BE334" s="46">
        <f t="shared" si="459"/>
        <v>360599</v>
      </c>
      <c r="BF334" s="46">
        <f t="shared" si="460"/>
        <v>13421</v>
      </c>
      <c r="BG334" s="46">
        <f t="shared" si="486"/>
        <v>0</v>
      </c>
      <c r="BH334" s="46">
        <v>0</v>
      </c>
      <c r="BI334" s="46">
        <f t="shared" si="461"/>
        <v>374020</v>
      </c>
      <c r="BJ334" s="46">
        <f t="shared" si="487"/>
        <v>123923</v>
      </c>
      <c r="BK334" s="46">
        <f t="shared" si="462"/>
        <v>760847</v>
      </c>
      <c r="BL334" s="46">
        <f t="shared" si="463"/>
        <v>0</v>
      </c>
      <c r="BM334" s="46">
        <f t="shared" si="488"/>
        <v>-123923</v>
      </c>
      <c r="BN334" s="46">
        <v>0</v>
      </c>
      <c r="BO334" s="46">
        <f t="shared" si="464"/>
        <v>636924</v>
      </c>
      <c r="BP334" s="46">
        <f t="shared" si="489"/>
        <v>0</v>
      </c>
      <c r="BQ334" s="46">
        <f t="shared" si="465"/>
        <v>282383</v>
      </c>
      <c r="BR334" s="46">
        <f t="shared" si="466"/>
        <v>0</v>
      </c>
      <c r="BS334" s="46">
        <f t="shared" si="467"/>
        <v>27812</v>
      </c>
      <c r="BT334" s="46">
        <v>0</v>
      </c>
      <c r="BU334" s="46">
        <f t="shared" si="468"/>
        <v>310195</v>
      </c>
      <c r="BV334" s="46">
        <f t="shared" si="490"/>
        <v>27812</v>
      </c>
      <c r="BW334" s="46">
        <f t="shared" si="469"/>
        <v>541124</v>
      </c>
      <c r="BX334" s="46">
        <f t="shared" si="470"/>
        <v>88209</v>
      </c>
      <c r="BY334" s="46">
        <f t="shared" si="471"/>
        <v>-27812</v>
      </c>
      <c r="BZ334" s="46">
        <v>0</v>
      </c>
      <c r="CA334" s="46">
        <f t="shared" si="472"/>
        <v>601521</v>
      </c>
      <c r="CB334" s="46">
        <f t="shared" si="491"/>
        <v>0</v>
      </c>
      <c r="CC334" s="155">
        <f t="shared" si="492"/>
        <v>0</v>
      </c>
      <c r="CD334" s="79" t="s">
        <v>538</v>
      </c>
      <c r="CE334" s="65">
        <f t="shared" si="493"/>
        <v>310195</v>
      </c>
      <c r="CF334" s="65">
        <f t="shared" si="494"/>
        <v>310195</v>
      </c>
      <c r="CG334" s="65">
        <f t="shared" si="495"/>
        <v>309970</v>
      </c>
      <c r="CH334" s="65">
        <f t="shared" si="496"/>
        <v>310195</v>
      </c>
      <c r="CI334" s="65">
        <f t="shared" si="497"/>
        <v>992441</v>
      </c>
      <c r="CJ334" s="65">
        <f t="shared" si="498"/>
        <v>319564</v>
      </c>
      <c r="CK334" s="65">
        <f t="shared" si="499"/>
        <v>592164</v>
      </c>
      <c r="CL334" s="65">
        <f t="shared" si="500"/>
        <v>310195</v>
      </c>
      <c r="CM334" s="65">
        <f t="shared" si="501"/>
        <v>374020</v>
      </c>
      <c r="CN334" s="65">
        <f t="shared" si="502"/>
        <v>636924</v>
      </c>
      <c r="CO334" s="65">
        <f t="shared" si="503"/>
        <v>310195</v>
      </c>
      <c r="CP334" s="65">
        <f t="shared" si="504"/>
        <v>601521</v>
      </c>
      <c r="CQ334" s="40" t="s">
        <v>538</v>
      </c>
    </row>
    <row r="335" spans="1:95" ht="3" customHeight="1" x14ac:dyDescent="0.25">
      <c r="A335" s="39">
        <v>1</v>
      </c>
      <c r="B335" s="28">
        <v>16104</v>
      </c>
      <c r="C335" s="28" t="s">
        <v>181</v>
      </c>
      <c r="D335" s="48">
        <f>+DATA!Q333</f>
        <v>3141625.0210000002</v>
      </c>
      <c r="E335" s="48">
        <f t="shared" si="473"/>
        <v>206824</v>
      </c>
      <c r="F335" s="48">
        <f t="shared" si="474"/>
        <v>314163</v>
      </c>
      <c r="G335" s="49">
        <f>VLOOKUP(B335,'CALC MEC ESTAB Y ESTIM M FINAL'!$B$7:$F$352,5,0)</f>
        <v>1.7611375771E-3</v>
      </c>
      <c r="H335" s="49">
        <f>VLOOKUP(B335,'CALC MEC ESTAB Y ESTIM M FINAL'!$B$7:$R$352,17,0)</f>
        <v>-1.4096091610000001E-4</v>
      </c>
      <c r="I335" s="46">
        <f t="shared" si="430"/>
        <v>133587</v>
      </c>
      <c r="J335" s="46">
        <f t="shared" si="431"/>
        <v>0</v>
      </c>
      <c r="K335" s="46">
        <f t="shared" si="432"/>
        <v>73237</v>
      </c>
      <c r="L335" s="46">
        <v>0</v>
      </c>
      <c r="M335" s="46">
        <f t="shared" si="433"/>
        <v>206824</v>
      </c>
      <c r="N335" s="46">
        <f t="shared" si="475"/>
        <v>73237</v>
      </c>
      <c r="O335" s="46">
        <f t="shared" si="434"/>
        <v>71037</v>
      </c>
      <c r="P335" s="46">
        <f t="shared" si="435"/>
        <v>0</v>
      </c>
      <c r="Q335" s="46">
        <f t="shared" si="436"/>
        <v>135787</v>
      </c>
      <c r="R335" s="46">
        <v>0</v>
      </c>
      <c r="S335" s="46">
        <f t="shared" si="437"/>
        <v>206824</v>
      </c>
      <c r="T335" s="46">
        <f t="shared" si="476"/>
        <v>209024</v>
      </c>
      <c r="U335" s="46">
        <f t="shared" si="438"/>
        <v>202653</v>
      </c>
      <c r="V335" s="46">
        <f t="shared" si="439"/>
        <v>0</v>
      </c>
      <c r="W335" s="46">
        <f t="shared" si="477"/>
        <v>0</v>
      </c>
      <c r="X335" s="46">
        <v>0</v>
      </c>
      <c r="Y335" s="46">
        <f t="shared" si="440"/>
        <v>202653</v>
      </c>
      <c r="Z335" s="46">
        <f t="shared" si="478"/>
        <v>209024</v>
      </c>
      <c r="AA335" s="46">
        <f t="shared" si="441"/>
        <v>107606</v>
      </c>
      <c r="AB335" s="46">
        <f t="shared" si="442"/>
        <v>0</v>
      </c>
      <c r="AC335" s="46">
        <f t="shared" si="443"/>
        <v>99218</v>
      </c>
      <c r="AD335" s="46">
        <v>0</v>
      </c>
      <c r="AE335" s="46">
        <f t="shared" si="444"/>
        <v>206824</v>
      </c>
      <c r="AF335" s="46">
        <f t="shared" si="479"/>
        <v>308242</v>
      </c>
      <c r="AG335" s="46">
        <f t="shared" si="445"/>
        <v>936369</v>
      </c>
      <c r="AH335" s="46">
        <f t="shared" si="446"/>
        <v>8642</v>
      </c>
      <c r="AI335" s="46">
        <f t="shared" si="480"/>
        <v>-308242</v>
      </c>
      <c r="AJ335" s="46">
        <v>0</v>
      </c>
      <c r="AK335" s="46">
        <f t="shared" si="447"/>
        <v>636769</v>
      </c>
      <c r="AL335" s="46">
        <f t="shared" si="481"/>
        <v>0</v>
      </c>
      <c r="AM335" s="46">
        <f t="shared" si="448"/>
        <v>185471</v>
      </c>
      <c r="AN335" s="46">
        <f t="shared" si="449"/>
        <v>6125</v>
      </c>
      <c r="AO335" s="46">
        <f t="shared" si="450"/>
        <v>21353</v>
      </c>
      <c r="AP335" s="46">
        <v>0</v>
      </c>
      <c r="AQ335" s="46">
        <f t="shared" si="451"/>
        <v>212949</v>
      </c>
      <c r="AR335" s="46">
        <f t="shared" si="482"/>
        <v>21353</v>
      </c>
      <c r="AS335" s="46">
        <f t="shared" si="452"/>
        <v>368683</v>
      </c>
      <c r="AT335" s="46">
        <f t="shared" si="453"/>
        <v>35792</v>
      </c>
      <c r="AU335" s="46">
        <f t="shared" si="483"/>
        <v>-21353</v>
      </c>
      <c r="AV335" s="46">
        <v>0</v>
      </c>
      <c r="AW335" s="46">
        <f t="shared" si="454"/>
        <v>383122</v>
      </c>
      <c r="AX335" s="46">
        <f t="shared" si="484"/>
        <v>0</v>
      </c>
      <c r="AY335" s="46">
        <f t="shared" si="455"/>
        <v>121782</v>
      </c>
      <c r="AZ335" s="46">
        <f t="shared" si="456"/>
        <v>0</v>
      </c>
      <c r="BA335" s="46">
        <f t="shared" si="457"/>
        <v>85042</v>
      </c>
      <c r="BB335" s="46"/>
      <c r="BC335" s="46">
        <f t="shared" si="458"/>
        <v>206824</v>
      </c>
      <c r="BD335" s="46">
        <f t="shared" si="485"/>
        <v>85042</v>
      </c>
      <c r="BE335" s="46">
        <f t="shared" si="459"/>
        <v>235753</v>
      </c>
      <c r="BF335" s="46">
        <f t="shared" si="460"/>
        <v>8775</v>
      </c>
      <c r="BG335" s="46">
        <f t="shared" si="486"/>
        <v>0</v>
      </c>
      <c r="BH335" s="46">
        <v>0</v>
      </c>
      <c r="BI335" s="46">
        <f t="shared" si="461"/>
        <v>244528</v>
      </c>
      <c r="BJ335" s="46">
        <f t="shared" si="487"/>
        <v>85042</v>
      </c>
      <c r="BK335" s="46">
        <f t="shared" si="462"/>
        <v>497429</v>
      </c>
      <c r="BL335" s="46">
        <f t="shared" si="463"/>
        <v>0</v>
      </c>
      <c r="BM335" s="46">
        <f t="shared" si="488"/>
        <v>-85042</v>
      </c>
      <c r="BN335" s="46">
        <v>0</v>
      </c>
      <c r="BO335" s="46">
        <f t="shared" si="464"/>
        <v>412387</v>
      </c>
      <c r="BP335" s="46">
        <f t="shared" si="489"/>
        <v>0</v>
      </c>
      <c r="BQ335" s="46">
        <f t="shared" si="465"/>
        <v>184617</v>
      </c>
      <c r="BR335" s="46">
        <f t="shared" si="466"/>
        <v>0</v>
      </c>
      <c r="BS335" s="46">
        <f t="shared" si="467"/>
        <v>22207</v>
      </c>
      <c r="BT335" s="46">
        <v>0</v>
      </c>
      <c r="BU335" s="46">
        <f t="shared" si="468"/>
        <v>206824</v>
      </c>
      <c r="BV335" s="46">
        <f t="shared" si="490"/>
        <v>22207</v>
      </c>
      <c r="BW335" s="46">
        <f t="shared" si="469"/>
        <v>353777</v>
      </c>
      <c r="BX335" s="46">
        <f t="shared" si="470"/>
        <v>57669</v>
      </c>
      <c r="BY335" s="46">
        <f t="shared" si="471"/>
        <v>-22207</v>
      </c>
      <c r="BZ335" s="46">
        <v>0</v>
      </c>
      <c r="CA335" s="46">
        <f t="shared" si="472"/>
        <v>389239</v>
      </c>
      <c r="CB335" s="46">
        <f t="shared" si="491"/>
        <v>0</v>
      </c>
      <c r="CC335" s="155">
        <f t="shared" si="492"/>
        <v>0</v>
      </c>
      <c r="CD335" s="79" t="s">
        <v>538</v>
      </c>
      <c r="CE335" s="65">
        <f t="shared" si="493"/>
        <v>206824</v>
      </c>
      <c r="CF335" s="65">
        <f t="shared" si="494"/>
        <v>206824</v>
      </c>
      <c r="CG335" s="65">
        <f t="shared" si="495"/>
        <v>202653</v>
      </c>
      <c r="CH335" s="65">
        <f t="shared" si="496"/>
        <v>206824</v>
      </c>
      <c r="CI335" s="65">
        <f t="shared" si="497"/>
        <v>636769</v>
      </c>
      <c r="CJ335" s="65">
        <f t="shared" si="498"/>
        <v>212949</v>
      </c>
      <c r="CK335" s="65">
        <f t="shared" si="499"/>
        <v>383122</v>
      </c>
      <c r="CL335" s="65">
        <f t="shared" si="500"/>
        <v>206824</v>
      </c>
      <c r="CM335" s="65">
        <f t="shared" si="501"/>
        <v>244528</v>
      </c>
      <c r="CN335" s="65">
        <f t="shared" si="502"/>
        <v>412387</v>
      </c>
      <c r="CO335" s="65">
        <f t="shared" si="503"/>
        <v>206824</v>
      </c>
      <c r="CP335" s="65">
        <f t="shared" si="504"/>
        <v>389239</v>
      </c>
      <c r="CQ335" s="40" t="s">
        <v>538</v>
      </c>
    </row>
    <row r="336" spans="1:95" ht="3" customHeight="1" x14ac:dyDescent="0.25">
      <c r="A336" s="39">
        <v>1</v>
      </c>
      <c r="B336" s="28">
        <v>16105</v>
      </c>
      <c r="C336" s="28" t="s">
        <v>180</v>
      </c>
      <c r="D336" s="48">
        <f>+DATA!Q334</f>
        <v>2019788.422</v>
      </c>
      <c r="E336" s="48">
        <f t="shared" si="473"/>
        <v>132969</v>
      </c>
      <c r="F336" s="48">
        <f t="shared" si="474"/>
        <v>201979</v>
      </c>
      <c r="G336" s="49">
        <f>VLOOKUP(B336,'CALC MEC ESTAB Y ESTIM M FINAL'!$B$7:$F$352,5,0)</f>
        <v>1.0861307083999999E-3</v>
      </c>
      <c r="H336" s="49">
        <f>VLOOKUP(B336,'CALC MEC ESTAB Y ESTIM M FINAL'!$B$7:$R$352,17,0)</f>
        <v>-6.4958609800000003E-5</v>
      </c>
      <c r="I336" s="46">
        <f t="shared" si="430"/>
        <v>84198</v>
      </c>
      <c r="J336" s="46">
        <f t="shared" si="431"/>
        <v>0</v>
      </c>
      <c r="K336" s="46">
        <f t="shared" si="432"/>
        <v>48771</v>
      </c>
      <c r="L336" s="46">
        <v>0</v>
      </c>
      <c r="M336" s="46">
        <f t="shared" si="433"/>
        <v>132969</v>
      </c>
      <c r="N336" s="46">
        <f t="shared" si="475"/>
        <v>48771</v>
      </c>
      <c r="O336" s="46">
        <f t="shared" si="434"/>
        <v>44774</v>
      </c>
      <c r="P336" s="46">
        <f t="shared" si="435"/>
        <v>0</v>
      </c>
      <c r="Q336" s="46">
        <f t="shared" si="436"/>
        <v>88195</v>
      </c>
      <c r="R336" s="46">
        <v>0</v>
      </c>
      <c r="S336" s="46">
        <f t="shared" si="437"/>
        <v>132969</v>
      </c>
      <c r="T336" s="46">
        <f t="shared" si="476"/>
        <v>136966</v>
      </c>
      <c r="U336" s="46">
        <f t="shared" si="438"/>
        <v>127729</v>
      </c>
      <c r="V336" s="46">
        <f t="shared" si="439"/>
        <v>0</v>
      </c>
      <c r="W336" s="46">
        <f t="shared" si="477"/>
        <v>0</v>
      </c>
      <c r="X336" s="46">
        <v>0</v>
      </c>
      <c r="Y336" s="46">
        <f t="shared" si="440"/>
        <v>127729</v>
      </c>
      <c r="Z336" s="46">
        <f t="shared" si="478"/>
        <v>136966</v>
      </c>
      <c r="AA336" s="46">
        <f t="shared" si="441"/>
        <v>67822</v>
      </c>
      <c r="AB336" s="46">
        <f t="shared" si="442"/>
        <v>0</v>
      </c>
      <c r="AC336" s="46">
        <f t="shared" si="443"/>
        <v>65147</v>
      </c>
      <c r="AD336" s="46">
        <v>0</v>
      </c>
      <c r="AE336" s="46">
        <f t="shared" si="444"/>
        <v>132969</v>
      </c>
      <c r="AF336" s="46">
        <f t="shared" si="479"/>
        <v>202113</v>
      </c>
      <c r="AG336" s="46">
        <f t="shared" si="445"/>
        <v>590179</v>
      </c>
      <c r="AH336" s="46">
        <f t="shared" si="446"/>
        <v>5447</v>
      </c>
      <c r="AI336" s="46">
        <f t="shared" si="480"/>
        <v>-202113</v>
      </c>
      <c r="AJ336" s="46">
        <v>0</v>
      </c>
      <c r="AK336" s="46">
        <f t="shared" si="447"/>
        <v>393513</v>
      </c>
      <c r="AL336" s="46">
        <f t="shared" si="481"/>
        <v>0</v>
      </c>
      <c r="AM336" s="46">
        <f t="shared" si="448"/>
        <v>116899</v>
      </c>
      <c r="AN336" s="46">
        <f t="shared" si="449"/>
        <v>3860</v>
      </c>
      <c r="AO336" s="46">
        <f t="shared" si="450"/>
        <v>16070</v>
      </c>
      <c r="AP336" s="46">
        <v>0</v>
      </c>
      <c r="AQ336" s="46">
        <f t="shared" si="451"/>
        <v>136829</v>
      </c>
      <c r="AR336" s="46">
        <f t="shared" si="482"/>
        <v>16070</v>
      </c>
      <c r="AS336" s="46">
        <f t="shared" si="452"/>
        <v>232375</v>
      </c>
      <c r="AT336" s="46">
        <f t="shared" si="453"/>
        <v>22559</v>
      </c>
      <c r="AU336" s="46">
        <f t="shared" si="483"/>
        <v>-16070</v>
      </c>
      <c r="AV336" s="46">
        <v>0</v>
      </c>
      <c r="AW336" s="46">
        <f t="shared" si="454"/>
        <v>238864</v>
      </c>
      <c r="AX336" s="46">
        <f t="shared" si="484"/>
        <v>0</v>
      </c>
      <c r="AY336" s="46">
        <f t="shared" si="455"/>
        <v>76757</v>
      </c>
      <c r="AZ336" s="46">
        <f t="shared" si="456"/>
        <v>0</v>
      </c>
      <c r="BA336" s="46">
        <f t="shared" si="457"/>
        <v>56212</v>
      </c>
      <c r="BB336" s="46"/>
      <c r="BC336" s="46">
        <f t="shared" si="458"/>
        <v>132969</v>
      </c>
      <c r="BD336" s="46">
        <f t="shared" si="485"/>
        <v>56212</v>
      </c>
      <c r="BE336" s="46">
        <f t="shared" si="459"/>
        <v>148591</v>
      </c>
      <c r="BF336" s="46">
        <f t="shared" si="460"/>
        <v>5530</v>
      </c>
      <c r="BG336" s="46">
        <f t="shared" si="486"/>
        <v>0</v>
      </c>
      <c r="BH336" s="46">
        <v>0</v>
      </c>
      <c r="BI336" s="46">
        <f t="shared" si="461"/>
        <v>154121</v>
      </c>
      <c r="BJ336" s="46">
        <f t="shared" si="487"/>
        <v>56212</v>
      </c>
      <c r="BK336" s="46">
        <f t="shared" si="462"/>
        <v>313522</v>
      </c>
      <c r="BL336" s="46">
        <f t="shared" si="463"/>
        <v>0</v>
      </c>
      <c r="BM336" s="46">
        <f t="shared" si="488"/>
        <v>-56212</v>
      </c>
      <c r="BN336" s="46">
        <v>0</v>
      </c>
      <c r="BO336" s="46">
        <f t="shared" si="464"/>
        <v>257310</v>
      </c>
      <c r="BP336" s="46">
        <f t="shared" si="489"/>
        <v>0</v>
      </c>
      <c r="BQ336" s="46">
        <f t="shared" si="465"/>
        <v>116361</v>
      </c>
      <c r="BR336" s="46">
        <f t="shared" si="466"/>
        <v>0</v>
      </c>
      <c r="BS336" s="46">
        <f t="shared" si="467"/>
        <v>16608</v>
      </c>
      <c r="BT336" s="46">
        <v>0</v>
      </c>
      <c r="BU336" s="46">
        <f t="shared" si="468"/>
        <v>132969</v>
      </c>
      <c r="BV336" s="46">
        <f t="shared" si="490"/>
        <v>16608</v>
      </c>
      <c r="BW336" s="46">
        <f t="shared" si="469"/>
        <v>222980</v>
      </c>
      <c r="BX336" s="46">
        <f t="shared" si="470"/>
        <v>36348</v>
      </c>
      <c r="BY336" s="46">
        <f t="shared" si="471"/>
        <v>-16608</v>
      </c>
      <c r="BZ336" s="46">
        <v>0</v>
      </c>
      <c r="CA336" s="46">
        <f t="shared" si="472"/>
        <v>242720</v>
      </c>
      <c r="CB336" s="46">
        <f t="shared" si="491"/>
        <v>0</v>
      </c>
      <c r="CC336" s="155">
        <f t="shared" si="492"/>
        <v>0</v>
      </c>
      <c r="CD336" s="79" t="s">
        <v>538</v>
      </c>
      <c r="CE336" s="65">
        <f t="shared" si="493"/>
        <v>132969</v>
      </c>
      <c r="CF336" s="65">
        <f t="shared" si="494"/>
        <v>132969</v>
      </c>
      <c r="CG336" s="65">
        <f t="shared" si="495"/>
        <v>127729</v>
      </c>
      <c r="CH336" s="65">
        <f t="shared" si="496"/>
        <v>132969</v>
      </c>
      <c r="CI336" s="65">
        <f t="shared" si="497"/>
        <v>393513</v>
      </c>
      <c r="CJ336" s="65">
        <f t="shared" si="498"/>
        <v>136829</v>
      </c>
      <c r="CK336" s="65">
        <f t="shared" si="499"/>
        <v>238864</v>
      </c>
      <c r="CL336" s="65">
        <f t="shared" si="500"/>
        <v>132969</v>
      </c>
      <c r="CM336" s="65">
        <f t="shared" si="501"/>
        <v>154121</v>
      </c>
      <c r="CN336" s="65">
        <f t="shared" si="502"/>
        <v>257310</v>
      </c>
      <c r="CO336" s="65">
        <f t="shared" si="503"/>
        <v>132969</v>
      </c>
      <c r="CP336" s="65">
        <f t="shared" si="504"/>
        <v>242720</v>
      </c>
      <c r="CQ336" s="40" t="s">
        <v>538</v>
      </c>
    </row>
    <row r="337" spans="1:95" ht="3" customHeight="1" x14ac:dyDescent="0.25">
      <c r="A337" s="39">
        <v>1</v>
      </c>
      <c r="B337" s="28">
        <v>16106</v>
      </c>
      <c r="C337" s="28" t="s">
        <v>169</v>
      </c>
      <c r="D337" s="48">
        <f>+DATA!Q335</f>
        <v>2255040.412</v>
      </c>
      <c r="E337" s="48">
        <f t="shared" si="473"/>
        <v>148457</v>
      </c>
      <c r="F337" s="48">
        <f t="shared" si="474"/>
        <v>225504</v>
      </c>
      <c r="G337" s="49">
        <f>VLOOKUP(B337,'CALC MEC ESTAB Y ESTIM M FINAL'!$B$7:$F$352,5,0)</f>
        <v>1.1436267917999999E-3</v>
      </c>
      <c r="H337" s="49">
        <f>VLOOKUP(B337,'CALC MEC ESTAB Y ESTIM M FINAL'!$B$7:$R$352,17,0)</f>
        <v>-3.5630066699999998E-5</v>
      </c>
      <c r="I337" s="46">
        <f t="shared" si="430"/>
        <v>91357</v>
      </c>
      <c r="J337" s="46">
        <f t="shared" si="431"/>
        <v>0</v>
      </c>
      <c r="K337" s="46">
        <f t="shared" si="432"/>
        <v>57100</v>
      </c>
      <c r="L337" s="46">
        <v>0</v>
      </c>
      <c r="M337" s="46">
        <f t="shared" si="433"/>
        <v>148457</v>
      </c>
      <c r="N337" s="46">
        <f t="shared" si="475"/>
        <v>57100</v>
      </c>
      <c r="O337" s="46">
        <f t="shared" si="434"/>
        <v>48580</v>
      </c>
      <c r="P337" s="46">
        <f t="shared" si="435"/>
        <v>0</v>
      </c>
      <c r="Q337" s="46">
        <f t="shared" si="436"/>
        <v>99877</v>
      </c>
      <c r="R337" s="46">
        <v>0</v>
      </c>
      <c r="S337" s="46">
        <f t="shared" si="437"/>
        <v>148457</v>
      </c>
      <c r="T337" s="46">
        <f t="shared" si="476"/>
        <v>156977</v>
      </c>
      <c r="U337" s="46">
        <f t="shared" si="438"/>
        <v>138589</v>
      </c>
      <c r="V337" s="46">
        <f t="shared" si="439"/>
        <v>0</v>
      </c>
      <c r="W337" s="46">
        <f t="shared" si="477"/>
        <v>0</v>
      </c>
      <c r="X337" s="46">
        <v>0</v>
      </c>
      <c r="Y337" s="46">
        <f t="shared" si="440"/>
        <v>138589</v>
      </c>
      <c r="Z337" s="46">
        <f t="shared" si="478"/>
        <v>156977</v>
      </c>
      <c r="AA337" s="46">
        <f t="shared" si="441"/>
        <v>73589</v>
      </c>
      <c r="AB337" s="46">
        <f t="shared" si="442"/>
        <v>0</v>
      </c>
      <c r="AC337" s="46">
        <f t="shared" si="443"/>
        <v>74868</v>
      </c>
      <c r="AD337" s="46">
        <v>0</v>
      </c>
      <c r="AE337" s="46">
        <f t="shared" si="444"/>
        <v>148457</v>
      </c>
      <c r="AF337" s="46">
        <f t="shared" si="479"/>
        <v>231845</v>
      </c>
      <c r="AG337" s="46">
        <f t="shared" si="445"/>
        <v>640359</v>
      </c>
      <c r="AH337" s="46">
        <f t="shared" si="446"/>
        <v>5910</v>
      </c>
      <c r="AI337" s="46">
        <f t="shared" si="480"/>
        <v>-231845</v>
      </c>
      <c r="AJ337" s="46">
        <v>0</v>
      </c>
      <c r="AK337" s="46">
        <f t="shared" si="447"/>
        <v>414424</v>
      </c>
      <c r="AL337" s="46">
        <f t="shared" si="481"/>
        <v>0</v>
      </c>
      <c r="AM337" s="46">
        <f t="shared" si="448"/>
        <v>126839</v>
      </c>
      <c r="AN337" s="46">
        <f t="shared" si="449"/>
        <v>4189</v>
      </c>
      <c r="AO337" s="46">
        <f t="shared" si="450"/>
        <v>21618</v>
      </c>
      <c r="AP337" s="46">
        <v>0</v>
      </c>
      <c r="AQ337" s="46">
        <f t="shared" si="451"/>
        <v>152646</v>
      </c>
      <c r="AR337" s="46">
        <f t="shared" si="482"/>
        <v>21618</v>
      </c>
      <c r="AS337" s="46">
        <f t="shared" si="452"/>
        <v>252133</v>
      </c>
      <c r="AT337" s="46">
        <f t="shared" si="453"/>
        <v>24478</v>
      </c>
      <c r="AU337" s="46">
        <f t="shared" si="483"/>
        <v>-21618</v>
      </c>
      <c r="AV337" s="46">
        <v>0</v>
      </c>
      <c r="AW337" s="46">
        <f t="shared" si="454"/>
        <v>254993</v>
      </c>
      <c r="AX337" s="46">
        <f t="shared" si="484"/>
        <v>0</v>
      </c>
      <c r="AY337" s="46">
        <f t="shared" si="455"/>
        <v>83283</v>
      </c>
      <c r="AZ337" s="46">
        <f t="shared" si="456"/>
        <v>0</v>
      </c>
      <c r="BA337" s="46">
        <f t="shared" si="457"/>
        <v>65174</v>
      </c>
      <c r="BB337" s="46"/>
      <c r="BC337" s="46">
        <f t="shared" si="458"/>
        <v>148457</v>
      </c>
      <c r="BD337" s="46">
        <f t="shared" si="485"/>
        <v>65174</v>
      </c>
      <c r="BE337" s="46">
        <f t="shared" si="459"/>
        <v>161225</v>
      </c>
      <c r="BF337" s="46">
        <f t="shared" si="460"/>
        <v>6001</v>
      </c>
      <c r="BG337" s="46">
        <f t="shared" si="486"/>
        <v>0</v>
      </c>
      <c r="BH337" s="46">
        <v>0</v>
      </c>
      <c r="BI337" s="46">
        <f t="shared" si="461"/>
        <v>167226</v>
      </c>
      <c r="BJ337" s="46">
        <f t="shared" si="487"/>
        <v>65174</v>
      </c>
      <c r="BK337" s="46">
        <f t="shared" si="462"/>
        <v>340179</v>
      </c>
      <c r="BL337" s="46">
        <f t="shared" si="463"/>
        <v>0</v>
      </c>
      <c r="BM337" s="46">
        <f t="shared" si="488"/>
        <v>-65174</v>
      </c>
      <c r="BN337" s="46">
        <v>0</v>
      </c>
      <c r="BO337" s="46">
        <f t="shared" si="464"/>
        <v>275005</v>
      </c>
      <c r="BP337" s="46">
        <f t="shared" si="489"/>
        <v>0</v>
      </c>
      <c r="BQ337" s="46">
        <f t="shared" si="465"/>
        <v>126255</v>
      </c>
      <c r="BR337" s="46">
        <f t="shared" si="466"/>
        <v>0</v>
      </c>
      <c r="BS337" s="46">
        <f t="shared" si="467"/>
        <v>22202</v>
      </c>
      <c r="BT337" s="46">
        <v>0</v>
      </c>
      <c r="BU337" s="46">
        <f t="shared" si="468"/>
        <v>148457</v>
      </c>
      <c r="BV337" s="46">
        <f t="shared" si="490"/>
        <v>22202</v>
      </c>
      <c r="BW337" s="46">
        <f t="shared" si="469"/>
        <v>241939</v>
      </c>
      <c r="BX337" s="46">
        <f t="shared" si="470"/>
        <v>39439</v>
      </c>
      <c r="BY337" s="46">
        <f t="shared" si="471"/>
        <v>-22202</v>
      </c>
      <c r="BZ337" s="46">
        <v>0</v>
      </c>
      <c r="CA337" s="46">
        <f t="shared" si="472"/>
        <v>259176</v>
      </c>
      <c r="CB337" s="46">
        <f t="shared" si="491"/>
        <v>0</v>
      </c>
      <c r="CC337" s="155">
        <f t="shared" si="492"/>
        <v>0</v>
      </c>
      <c r="CD337" s="79" t="s">
        <v>538</v>
      </c>
      <c r="CE337" s="65">
        <f t="shared" si="493"/>
        <v>148457</v>
      </c>
      <c r="CF337" s="65">
        <f t="shared" si="494"/>
        <v>148457</v>
      </c>
      <c r="CG337" s="65">
        <f t="shared" si="495"/>
        <v>138589</v>
      </c>
      <c r="CH337" s="65">
        <f t="shared" si="496"/>
        <v>148457</v>
      </c>
      <c r="CI337" s="65">
        <f t="shared" si="497"/>
        <v>414424</v>
      </c>
      <c r="CJ337" s="65">
        <f t="shared" si="498"/>
        <v>152646</v>
      </c>
      <c r="CK337" s="65">
        <f t="shared" si="499"/>
        <v>254993</v>
      </c>
      <c r="CL337" s="65">
        <f t="shared" si="500"/>
        <v>148457</v>
      </c>
      <c r="CM337" s="65">
        <f t="shared" si="501"/>
        <v>167226</v>
      </c>
      <c r="CN337" s="65">
        <f t="shared" si="502"/>
        <v>275005</v>
      </c>
      <c r="CO337" s="65">
        <f t="shared" si="503"/>
        <v>148457</v>
      </c>
      <c r="CP337" s="65">
        <f t="shared" si="504"/>
        <v>259176</v>
      </c>
      <c r="CQ337" s="40" t="s">
        <v>538</v>
      </c>
    </row>
    <row r="338" spans="1:95" ht="3" customHeight="1" x14ac:dyDescent="0.25">
      <c r="A338" s="39">
        <v>1</v>
      </c>
      <c r="B338" s="28">
        <v>16107</v>
      </c>
      <c r="C338" s="28" t="s">
        <v>404</v>
      </c>
      <c r="D338" s="48">
        <f>+DATA!Q336</f>
        <v>9036267.0690000001</v>
      </c>
      <c r="E338" s="48">
        <f t="shared" si="473"/>
        <v>594888</v>
      </c>
      <c r="F338" s="48">
        <f t="shared" si="474"/>
        <v>903627</v>
      </c>
      <c r="G338" s="49">
        <f>VLOOKUP(B338,'CALC MEC ESTAB Y ESTIM M FINAL'!$B$7:$F$352,5,0)</f>
        <v>5.4483129061E-3</v>
      </c>
      <c r="H338" s="49">
        <f>VLOOKUP(B338,'CALC MEC ESTAB Y ESTIM M FINAL'!$B$7:$R$352,17,0)</f>
        <v>-6.1424704459999997E-4</v>
      </c>
      <c r="I338" s="46">
        <f t="shared" si="430"/>
        <v>398579</v>
      </c>
      <c r="J338" s="46">
        <f t="shared" si="431"/>
        <v>0</v>
      </c>
      <c r="K338" s="46">
        <f t="shared" si="432"/>
        <v>196309</v>
      </c>
      <c r="L338" s="46">
        <v>0</v>
      </c>
      <c r="M338" s="46">
        <f t="shared" si="433"/>
        <v>594888</v>
      </c>
      <c r="N338" s="46">
        <f t="shared" si="475"/>
        <v>196309</v>
      </c>
      <c r="O338" s="46">
        <f t="shared" si="434"/>
        <v>211951</v>
      </c>
      <c r="P338" s="46">
        <f t="shared" si="435"/>
        <v>0</v>
      </c>
      <c r="Q338" s="46">
        <f t="shared" si="436"/>
        <v>382937</v>
      </c>
      <c r="R338" s="46">
        <v>0</v>
      </c>
      <c r="S338" s="46">
        <f t="shared" si="437"/>
        <v>594888</v>
      </c>
      <c r="T338" s="46">
        <f t="shared" si="476"/>
        <v>579246</v>
      </c>
      <c r="U338" s="46">
        <f t="shared" si="438"/>
        <v>604648</v>
      </c>
      <c r="V338" s="46">
        <f t="shared" si="439"/>
        <v>0</v>
      </c>
      <c r="W338" s="46">
        <f t="shared" si="477"/>
        <v>0</v>
      </c>
      <c r="X338" s="46">
        <v>0</v>
      </c>
      <c r="Y338" s="46">
        <f t="shared" si="440"/>
        <v>604648</v>
      </c>
      <c r="Z338" s="46">
        <f t="shared" si="478"/>
        <v>579246</v>
      </c>
      <c r="AA338" s="46">
        <f t="shared" si="441"/>
        <v>321059</v>
      </c>
      <c r="AB338" s="46">
        <f t="shared" si="442"/>
        <v>0</v>
      </c>
      <c r="AC338" s="46">
        <f t="shared" si="443"/>
        <v>273829</v>
      </c>
      <c r="AD338" s="46">
        <v>0</v>
      </c>
      <c r="AE338" s="46">
        <f t="shared" si="444"/>
        <v>594888</v>
      </c>
      <c r="AF338" s="46">
        <f t="shared" si="479"/>
        <v>853075</v>
      </c>
      <c r="AG338" s="46">
        <f t="shared" si="445"/>
        <v>2793813</v>
      </c>
      <c r="AH338" s="46">
        <f t="shared" si="446"/>
        <v>25786</v>
      </c>
      <c r="AI338" s="46">
        <f t="shared" si="480"/>
        <v>-853075</v>
      </c>
      <c r="AJ338" s="46">
        <v>0</v>
      </c>
      <c r="AK338" s="46">
        <f t="shared" si="447"/>
        <v>1966524</v>
      </c>
      <c r="AL338" s="46">
        <f t="shared" si="481"/>
        <v>0</v>
      </c>
      <c r="AM338" s="46">
        <f t="shared" si="448"/>
        <v>553383</v>
      </c>
      <c r="AN338" s="46">
        <f t="shared" si="449"/>
        <v>18275</v>
      </c>
      <c r="AO338" s="46">
        <f t="shared" si="450"/>
        <v>41505</v>
      </c>
      <c r="AP338" s="46">
        <v>0</v>
      </c>
      <c r="AQ338" s="46">
        <f t="shared" si="451"/>
        <v>613163</v>
      </c>
      <c r="AR338" s="46">
        <f t="shared" si="482"/>
        <v>41505</v>
      </c>
      <c r="AS338" s="46">
        <f t="shared" si="452"/>
        <v>1100027</v>
      </c>
      <c r="AT338" s="46">
        <f t="shared" si="453"/>
        <v>106793</v>
      </c>
      <c r="AU338" s="46">
        <f t="shared" si="483"/>
        <v>-41505</v>
      </c>
      <c r="AV338" s="46">
        <v>0</v>
      </c>
      <c r="AW338" s="46">
        <f t="shared" si="454"/>
        <v>1165315</v>
      </c>
      <c r="AX338" s="46">
        <f t="shared" si="484"/>
        <v>0</v>
      </c>
      <c r="AY338" s="46">
        <f t="shared" si="455"/>
        <v>363356</v>
      </c>
      <c r="AZ338" s="46">
        <f t="shared" si="456"/>
        <v>0</v>
      </c>
      <c r="BA338" s="46">
        <f t="shared" si="457"/>
        <v>231532</v>
      </c>
      <c r="BB338" s="46"/>
      <c r="BC338" s="46">
        <f t="shared" si="458"/>
        <v>594888</v>
      </c>
      <c r="BD338" s="46">
        <f t="shared" si="485"/>
        <v>231532</v>
      </c>
      <c r="BE338" s="46">
        <f t="shared" si="459"/>
        <v>703408</v>
      </c>
      <c r="BF338" s="46">
        <f t="shared" si="460"/>
        <v>26180</v>
      </c>
      <c r="BG338" s="46">
        <f t="shared" si="486"/>
        <v>0</v>
      </c>
      <c r="BH338" s="46">
        <v>0</v>
      </c>
      <c r="BI338" s="46">
        <f t="shared" si="461"/>
        <v>729588</v>
      </c>
      <c r="BJ338" s="46">
        <f t="shared" si="487"/>
        <v>231532</v>
      </c>
      <c r="BK338" s="46">
        <f t="shared" si="462"/>
        <v>1484161</v>
      </c>
      <c r="BL338" s="46">
        <f t="shared" si="463"/>
        <v>0</v>
      </c>
      <c r="BM338" s="46">
        <f t="shared" si="488"/>
        <v>-231532</v>
      </c>
      <c r="BN338" s="46">
        <v>0</v>
      </c>
      <c r="BO338" s="46">
        <f t="shared" si="464"/>
        <v>1252629</v>
      </c>
      <c r="BP338" s="46">
        <f t="shared" si="489"/>
        <v>0</v>
      </c>
      <c r="BQ338" s="46">
        <f t="shared" si="465"/>
        <v>550836</v>
      </c>
      <c r="BR338" s="46">
        <f t="shared" si="466"/>
        <v>0</v>
      </c>
      <c r="BS338" s="46">
        <f t="shared" si="467"/>
        <v>44052</v>
      </c>
      <c r="BT338" s="46">
        <v>0</v>
      </c>
      <c r="BU338" s="46">
        <f t="shared" si="468"/>
        <v>594888</v>
      </c>
      <c r="BV338" s="46">
        <f t="shared" si="490"/>
        <v>44052</v>
      </c>
      <c r="BW338" s="46">
        <f t="shared" si="469"/>
        <v>1055554</v>
      </c>
      <c r="BX338" s="46">
        <f t="shared" si="470"/>
        <v>172066</v>
      </c>
      <c r="BY338" s="46">
        <f t="shared" si="471"/>
        <v>-44052</v>
      </c>
      <c r="BZ338" s="46">
        <v>0</v>
      </c>
      <c r="CA338" s="46">
        <f t="shared" si="472"/>
        <v>1183568</v>
      </c>
      <c r="CB338" s="46">
        <f t="shared" si="491"/>
        <v>0</v>
      </c>
      <c r="CC338" s="155">
        <f t="shared" si="492"/>
        <v>0</v>
      </c>
      <c r="CD338" s="79" t="s">
        <v>538</v>
      </c>
      <c r="CE338" s="65">
        <f t="shared" si="493"/>
        <v>594888</v>
      </c>
      <c r="CF338" s="65">
        <f t="shared" si="494"/>
        <v>594888</v>
      </c>
      <c r="CG338" s="65">
        <f t="shared" si="495"/>
        <v>604648</v>
      </c>
      <c r="CH338" s="65">
        <f t="shared" si="496"/>
        <v>594888</v>
      </c>
      <c r="CI338" s="65">
        <f t="shared" si="497"/>
        <v>1966524</v>
      </c>
      <c r="CJ338" s="65">
        <f t="shared" si="498"/>
        <v>613163</v>
      </c>
      <c r="CK338" s="65">
        <f t="shared" si="499"/>
        <v>1165315</v>
      </c>
      <c r="CL338" s="65">
        <f t="shared" si="500"/>
        <v>594888</v>
      </c>
      <c r="CM338" s="65">
        <f t="shared" si="501"/>
        <v>729588</v>
      </c>
      <c r="CN338" s="65">
        <f t="shared" si="502"/>
        <v>1252629</v>
      </c>
      <c r="CO338" s="65">
        <f t="shared" si="503"/>
        <v>594888</v>
      </c>
      <c r="CP338" s="65">
        <f t="shared" si="504"/>
        <v>1183568</v>
      </c>
      <c r="CQ338" s="40" t="s">
        <v>538</v>
      </c>
    </row>
    <row r="339" spans="1:95" ht="3" customHeight="1" x14ac:dyDescent="0.25">
      <c r="A339" s="39">
        <v>1</v>
      </c>
      <c r="B339" s="28">
        <v>16108</v>
      </c>
      <c r="C339" s="28" t="s">
        <v>178</v>
      </c>
      <c r="D339" s="48">
        <f>+DATA!Q337</f>
        <v>4342692.7130000005</v>
      </c>
      <c r="E339" s="48">
        <f t="shared" si="473"/>
        <v>285894</v>
      </c>
      <c r="F339" s="48">
        <f t="shared" si="474"/>
        <v>434269</v>
      </c>
      <c r="G339" s="49">
        <f>VLOOKUP(B339,'CALC MEC ESTAB Y ESTIM M FINAL'!$B$7:$F$352,5,0)</f>
        <v>2.5607115912999997E-3</v>
      </c>
      <c r="H339" s="49">
        <f>VLOOKUP(B339,'CALC MEC ESTAB Y ESTIM M FINAL'!$B$7:$R$352,17,0)</f>
        <v>-2.6387198030000002E-4</v>
      </c>
      <c r="I339" s="46">
        <f t="shared" si="430"/>
        <v>189379</v>
      </c>
      <c r="J339" s="46">
        <f t="shared" si="431"/>
        <v>0</v>
      </c>
      <c r="K339" s="46">
        <f t="shared" si="432"/>
        <v>96515</v>
      </c>
      <c r="L339" s="46">
        <v>0</v>
      </c>
      <c r="M339" s="46">
        <f t="shared" si="433"/>
        <v>285894</v>
      </c>
      <c r="N339" s="46">
        <f t="shared" si="475"/>
        <v>96515</v>
      </c>
      <c r="O339" s="46">
        <f t="shared" si="434"/>
        <v>100706</v>
      </c>
      <c r="P339" s="46">
        <f t="shared" si="435"/>
        <v>0</v>
      </c>
      <c r="Q339" s="46">
        <f t="shared" si="436"/>
        <v>185188</v>
      </c>
      <c r="R339" s="46">
        <v>0</v>
      </c>
      <c r="S339" s="46">
        <f t="shared" si="437"/>
        <v>285894</v>
      </c>
      <c r="T339" s="46">
        <f t="shared" si="476"/>
        <v>281703</v>
      </c>
      <c r="U339" s="46">
        <f t="shared" si="438"/>
        <v>287290</v>
      </c>
      <c r="V339" s="46">
        <f t="shared" si="439"/>
        <v>0</v>
      </c>
      <c r="W339" s="46">
        <f t="shared" si="477"/>
        <v>0</v>
      </c>
      <c r="X339" s="46">
        <v>0</v>
      </c>
      <c r="Y339" s="46">
        <f t="shared" si="440"/>
        <v>287290</v>
      </c>
      <c r="Z339" s="46">
        <f t="shared" si="478"/>
        <v>281703</v>
      </c>
      <c r="AA339" s="46">
        <f t="shared" si="441"/>
        <v>152547</v>
      </c>
      <c r="AB339" s="46">
        <f t="shared" si="442"/>
        <v>0</v>
      </c>
      <c r="AC339" s="46">
        <f t="shared" si="443"/>
        <v>133347</v>
      </c>
      <c r="AD339" s="46">
        <v>0</v>
      </c>
      <c r="AE339" s="46">
        <f t="shared" si="444"/>
        <v>285894</v>
      </c>
      <c r="AF339" s="46">
        <f t="shared" si="479"/>
        <v>415050</v>
      </c>
      <c r="AG339" s="46">
        <f t="shared" si="445"/>
        <v>1327442</v>
      </c>
      <c r="AH339" s="46">
        <f t="shared" si="446"/>
        <v>12252</v>
      </c>
      <c r="AI339" s="46">
        <f t="shared" si="480"/>
        <v>-415050</v>
      </c>
      <c r="AJ339" s="46">
        <v>0</v>
      </c>
      <c r="AK339" s="46">
        <f t="shared" si="447"/>
        <v>924644</v>
      </c>
      <c r="AL339" s="46">
        <f t="shared" si="481"/>
        <v>0</v>
      </c>
      <c r="AM339" s="46">
        <f t="shared" si="448"/>
        <v>262932</v>
      </c>
      <c r="AN339" s="46">
        <f t="shared" si="449"/>
        <v>8683</v>
      </c>
      <c r="AO339" s="46">
        <f t="shared" si="450"/>
        <v>22962</v>
      </c>
      <c r="AP339" s="46">
        <v>0</v>
      </c>
      <c r="AQ339" s="46">
        <f t="shared" si="451"/>
        <v>294577</v>
      </c>
      <c r="AR339" s="46">
        <f t="shared" si="482"/>
        <v>22962</v>
      </c>
      <c r="AS339" s="46">
        <f t="shared" si="452"/>
        <v>522663</v>
      </c>
      <c r="AT339" s="46">
        <f t="shared" si="453"/>
        <v>50741</v>
      </c>
      <c r="AU339" s="46">
        <f t="shared" si="483"/>
        <v>-22962</v>
      </c>
      <c r="AV339" s="46">
        <v>0</v>
      </c>
      <c r="AW339" s="46">
        <f t="shared" si="454"/>
        <v>550442</v>
      </c>
      <c r="AX339" s="46">
        <f t="shared" si="484"/>
        <v>0</v>
      </c>
      <c r="AY339" s="46">
        <f t="shared" si="455"/>
        <v>172643</v>
      </c>
      <c r="AZ339" s="46">
        <f t="shared" si="456"/>
        <v>0</v>
      </c>
      <c r="BA339" s="46">
        <f t="shared" si="457"/>
        <v>113251</v>
      </c>
      <c r="BB339" s="46"/>
      <c r="BC339" s="46">
        <f t="shared" si="458"/>
        <v>285894</v>
      </c>
      <c r="BD339" s="46">
        <f t="shared" si="485"/>
        <v>113251</v>
      </c>
      <c r="BE339" s="46">
        <f t="shared" si="459"/>
        <v>334215</v>
      </c>
      <c r="BF339" s="46">
        <f t="shared" si="460"/>
        <v>12439</v>
      </c>
      <c r="BG339" s="46">
        <f t="shared" si="486"/>
        <v>0</v>
      </c>
      <c r="BH339" s="46">
        <v>0</v>
      </c>
      <c r="BI339" s="46">
        <f t="shared" si="461"/>
        <v>346654</v>
      </c>
      <c r="BJ339" s="46">
        <f t="shared" si="487"/>
        <v>113251</v>
      </c>
      <c r="BK339" s="46">
        <f t="shared" si="462"/>
        <v>705179</v>
      </c>
      <c r="BL339" s="46">
        <f t="shared" si="463"/>
        <v>0</v>
      </c>
      <c r="BM339" s="46">
        <f t="shared" si="488"/>
        <v>-113251</v>
      </c>
      <c r="BN339" s="46">
        <v>0</v>
      </c>
      <c r="BO339" s="46">
        <f t="shared" si="464"/>
        <v>591928</v>
      </c>
      <c r="BP339" s="46">
        <f t="shared" si="489"/>
        <v>0</v>
      </c>
      <c r="BQ339" s="46">
        <f t="shared" si="465"/>
        <v>261722</v>
      </c>
      <c r="BR339" s="46">
        <f t="shared" si="466"/>
        <v>0</v>
      </c>
      <c r="BS339" s="46">
        <f t="shared" si="467"/>
        <v>24172</v>
      </c>
      <c r="BT339" s="46">
        <v>0</v>
      </c>
      <c r="BU339" s="46">
        <f t="shared" si="468"/>
        <v>285894</v>
      </c>
      <c r="BV339" s="46">
        <f t="shared" si="490"/>
        <v>24172</v>
      </c>
      <c r="BW339" s="46">
        <f t="shared" si="469"/>
        <v>501532</v>
      </c>
      <c r="BX339" s="46">
        <f t="shared" si="470"/>
        <v>81755</v>
      </c>
      <c r="BY339" s="46">
        <f t="shared" si="471"/>
        <v>-24172</v>
      </c>
      <c r="BZ339" s="46">
        <v>0</v>
      </c>
      <c r="CA339" s="46">
        <f t="shared" si="472"/>
        <v>559115</v>
      </c>
      <c r="CB339" s="46">
        <f t="shared" si="491"/>
        <v>0</v>
      </c>
      <c r="CC339" s="155">
        <f t="shared" si="492"/>
        <v>0</v>
      </c>
      <c r="CD339" s="79" t="s">
        <v>538</v>
      </c>
      <c r="CE339" s="65">
        <f t="shared" si="493"/>
        <v>285894</v>
      </c>
      <c r="CF339" s="65">
        <f t="shared" si="494"/>
        <v>285894</v>
      </c>
      <c r="CG339" s="65">
        <f t="shared" si="495"/>
        <v>287290</v>
      </c>
      <c r="CH339" s="65">
        <f t="shared" si="496"/>
        <v>285894</v>
      </c>
      <c r="CI339" s="65">
        <f t="shared" si="497"/>
        <v>924644</v>
      </c>
      <c r="CJ339" s="65">
        <f t="shared" si="498"/>
        <v>294577</v>
      </c>
      <c r="CK339" s="65">
        <f t="shared" si="499"/>
        <v>550442</v>
      </c>
      <c r="CL339" s="65">
        <f t="shared" si="500"/>
        <v>285894</v>
      </c>
      <c r="CM339" s="65">
        <f t="shared" si="501"/>
        <v>346654</v>
      </c>
      <c r="CN339" s="65">
        <f t="shared" si="502"/>
        <v>591928</v>
      </c>
      <c r="CO339" s="65">
        <f t="shared" si="503"/>
        <v>285894</v>
      </c>
      <c r="CP339" s="65">
        <f t="shared" si="504"/>
        <v>559115</v>
      </c>
      <c r="CQ339" s="40" t="s">
        <v>538</v>
      </c>
    </row>
    <row r="340" spans="1:95" ht="3" customHeight="1" x14ac:dyDescent="0.25">
      <c r="A340" s="39">
        <v>1</v>
      </c>
      <c r="B340" s="28">
        <v>16109</v>
      </c>
      <c r="C340" s="28" t="s">
        <v>179</v>
      </c>
      <c r="D340" s="48">
        <f>+DATA!Q338</f>
        <v>5090602.0659999996</v>
      </c>
      <c r="E340" s="48">
        <f t="shared" si="473"/>
        <v>335131</v>
      </c>
      <c r="F340" s="48">
        <f t="shared" si="474"/>
        <v>509060</v>
      </c>
      <c r="G340" s="49">
        <f>VLOOKUP(B340,'CALC MEC ESTAB Y ESTIM M FINAL'!$B$7:$F$352,5,0)</f>
        <v>2.3689711332999996E-3</v>
      </c>
      <c r="H340" s="49">
        <f>VLOOKUP(B340,'CALC MEC ESTAB Y ESTIM M FINAL'!$B$7:$R$352,17,0)</f>
        <v>6.4850096499999998E-5</v>
      </c>
      <c r="I340" s="46">
        <f t="shared" si="430"/>
        <v>200674</v>
      </c>
      <c r="J340" s="46">
        <f t="shared" si="431"/>
        <v>0</v>
      </c>
      <c r="K340" s="46">
        <f t="shared" si="432"/>
        <v>134457</v>
      </c>
      <c r="L340" s="46">
        <v>0</v>
      </c>
      <c r="M340" s="46">
        <f t="shared" si="433"/>
        <v>335131</v>
      </c>
      <c r="N340" s="46">
        <f t="shared" si="475"/>
        <v>134457</v>
      </c>
      <c r="O340" s="46">
        <f t="shared" si="434"/>
        <v>106712</v>
      </c>
      <c r="P340" s="46">
        <f t="shared" si="435"/>
        <v>0</v>
      </c>
      <c r="Q340" s="46">
        <f t="shared" si="436"/>
        <v>228419</v>
      </c>
      <c r="R340" s="46">
        <v>0</v>
      </c>
      <c r="S340" s="46">
        <f t="shared" si="437"/>
        <v>335131</v>
      </c>
      <c r="T340" s="46">
        <f t="shared" si="476"/>
        <v>362876</v>
      </c>
      <c r="U340" s="46">
        <f t="shared" si="438"/>
        <v>304424</v>
      </c>
      <c r="V340" s="46">
        <f t="shared" si="439"/>
        <v>0</v>
      </c>
      <c r="W340" s="46">
        <f t="shared" si="477"/>
        <v>0</v>
      </c>
      <c r="X340" s="46">
        <v>0</v>
      </c>
      <c r="Y340" s="46">
        <f t="shared" si="440"/>
        <v>304424</v>
      </c>
      <c r="Z340" s="46">
        <f t="shared" si="478"/>
        <v>362876</v>
      </c>
      <c r="AA340" s="46">
        <f t="shared" si="441"/>
        <v>161644</v>
      </c>
      <c r="AB340" s="46">
        <f t="shared" si="442"/>
        <v>0</v>
      </c>
      <c r="AC340" s="46">
        <f t="shared" si="443"/>
        <v>173487</v>
      </c>
      <c r="AD340" s="46">
        <v>0</v>
      </c>
      <c r="AE340" s="46">
        <f t="shared" si="444"/>
        <v>335131</v>
      </c>
      <c r="AF340" s="46">
        <f t="shared" si="479"/>
        <v>536363</v>
      </c>
      <c r="AG340" s="46">
        <f t="shared" si="445"/>
        <v>1406609</v>
      </c>
      <c r="AH340" s="46">
        <f t="shared" si="446"/>
        <v>12983</v>
      </c>
      <c r="AI340" s="46">
        <f t="shared" si="480"/>
        <v>-536363</v>
      </c>
      <c r="AJ340" s="46">
        <v>0</v>
      </c>
      <c r="AK340" s="46">
        <f t="shared" si="447"/>
        <v>883229</v>
      </c>
      <c r="AL340" s="46">
        <f t="shared" si="481"/>
        <v>0</v>
      </c>
      <c r="AM340" s="46">
        <f t="shared" si="448"/>
        <v>278613</v>
      </c>
      <c r="AN340" s="46">
        <f t="shared" si="449"/>
        <v>9201</v>
      </c>
      <c r="AO340" s="46">
        <f t="shared" si="450"/>
        <v>56518</v>
      </c>
      <c r="AP340" s="46">
        <v>0</v>
      </c>
      <c r="AQ340" s="46">
        <f t="shared" si="451"/>
        <v>344332</v>
      </c>
      <c r="AR340" s="46">
        <f t="shared" si="482"/>
        <v>56518</v>
      </c>
      <c r="AS340" s="46">
        <f t="shared" si="452"/>
        <v>553834</v>
      </c>
      <c r="AT340" s="46">
        <f t="shared" si="453"/>
        <v>53767</v>
      </c>
      <c r="AU340" s="46">
        <f t="shared" si="483"/>
        <v>-44774</v>
      </c>
      <c r="AV340" s="46">
        <v>0</v>
      </c>
      <c r="AW340" s="46">
        <f t="shared" si="454"/>
        <v>562827</v>
      </c>
      <c r="AX340" s="46">
        <f t="shared" si="484"/>
        <v>11744</v>
      </c>
      <c r="AY340" s="46">
        <f t="shared" si="455"/>
        <v>182940</v>
      </c>
      <c r="AZ340" s="46">
        <f t="shared" si="456"/>
        <v>0</v>
      </c>
      <c r="BA340" s="46">
        <f t="shared" si="457"/>
        <v>152191</v>
      </c>
      <c r="BB340" s="46"/>
      <c r="BC340" s="46">
        <f t="shared" si="458"/>
        <v>335131</v>
      </c>
      <c r="BD340" s="46">
        <f t="shared" si="485"/>
        <v>163935</v>
      </c>
      <c r="BE340" s="46">
        <f t="shared" si="459"/>
        <v>354147</v>
      </c>
      <c r="BF340" s="46">
        <f t="shared" si="460"/>
        <v>13181</v>
      </c>
      <c r="BG340" s="46">
        <f t="shared" si="486"/>
        <v>0</v>
      </c>
      <c r="BH340" s="46">
        <v>0</v>
      </c>
      <c r="BI340" s="46">
        <f t="shared" si="461"/>
        <v>367328</v>
      </c>
      <c r="BJ340" s="46">
        <f t="shared" si="487"/>
        <v>163935</v>
      </c>
      <c r="BK340" s="46">
        <f t="shared" si="462"/>
        <v>747235</v>
      </c>
      <c r="BL340" s="46">
        <f t="shared" si="463"/>
        <v>0</v>
      </c>
      <c r="BM340" s="46">
        <f t="shared" si="488"/>
        <v>-163935</v>
      </c>
      <c r="BN340" s="46">
        <v>0</v>
      </c>
      <c r="BO340" s="46">
        <f t="shared" si="464"/>
        <v>583300</v>
      </c>
      <c r="BP340" s="46">
        <f t="shared" si="489"/>
        <v>0</v>
      </c>
      <c r="BQ340" s="46">
        <f t="shared" si="465"/>
        <v>277331</v>
      </c>
      <c r="BR340" s="46">
        <f t="shared" si="466"/>
        <v>0</v>
      </c>
      <c r="BS340" s="46">
        <f t="shared" si="467"/>
        <v>57800</v>
      </c>
      <c r="BT340" s="46">
        <v>0</v>
      </c>
      <c r="BU340" s="46">
        <f t="shared" si="468"/>
        <v>335131</v>
      </c>
      <c r="BV340" s="46">
        <f t="shared" si="490"/>
        <v>57800</v>
      </c>
      <c r="BW340" s="46">
        <f t="shared" si="469"/>
        <v>531443</v>
      </c>
      <c r="BX340" s="46">
        <f t="shared" si="470"/>
        <v>86631</v>
      </c>
      <c r="BY340" s="46">
        <f t="shared" si="471"/>
        <v>-57800</v>
      </c>
      <c r="BZ340" s="46">
        <v>0</v>
      </c>
      <c r="CA340" s="46">
        <f t="shared" si="472"/>
        <v>560274</v>
      </c>
      <c r="CB340" s="46">
        <f t="shared" si="491"/>
        <v>0</v>
      </c>
      <c r="CC340" s="155">
        <f t="shared" si="492"/>
        <v>0</v>
      </c>
      <c r="CD340" s="79" t="s">
        <v>538</v>
      </c>
      <c r="CE340" s="65">
        <f t="shared" si="493"/>
        <v>335131</v>
      </c>
      <c r="CF340" s="65">
        <f t="shared" si="494"/>
        <v>335131</v>
      </c>
      <c r="CG340" s="65">
        <f t="shared" si="495"/>
        <v>304424</v>
      </c>
      <c r="CH340" s="65">
        <f t="shared" si="496"/>
        <v>335131</v>
      </c>
      <c r="CI340" s="65">
        <f t="shared" si="497"/>
        <v>883229</v>
      </c>
      <c r="CJ340" s="65">
        <f t="shared" si="498"/>
        <v>344332</v>
      </c>
      <c r="CK340" s="65">
        <f t="shared" si="499"/>
        <v>562827</v>
      </c>
      <c r="CL340" s="65">
        <f t="shared" si="500"/>
        <v>335131</v>
      </c>
      <c r="CM340" s="65">
        <f t="shared" si="501"/>
        <v>367328</v>
      </c>
      <c r="CN340" s="65">
        <f t="shared" si="502"/>
        <v>583300</v>
      </c>
      <c r="CO340" s="65">
        <f t="shared" si="503"/>
        <v>335131</v>
      </c>
      <c r="CP340" s="65">
        <f t="shared" si="504"/>
        <v>560274</v>
      </c>
      <c r="CQ340" s="40" t="s">
        <v>538</v>
      </c>
    </row>
    <row r="341" spans="1:95" ht="3" customHeight="1" x14ac:dyDescent="0.25">
      <c r="A341" s="39">
        <v>1</v>
      </c>
      <c r="B341" s="28">
        <v>16201</v>
      </c>
      <c r="C341" s="28" t="s">
        <v>171</v>
      </c>
      <c r="D341" s="48">
        <f>+DATA!Q339</f>
        <v>3444729.5419999999</v>
      </c>
      <c r="E341" s="48">
        <f t="shared" si="473"/>
        <v>226778</v>
      </c>
      <c r="F341" s="48">
        <f t="shared" si="474"/>
        <v>344473</v>
      </c>
      <c r="G341" s="49">
        <f>VLOOKUP(B341,'CALC MEC ESTAB Y ESTIM M FINAL'!$B$7:$F$352,5,0)</f>
        <v>1.8905856840000001E-3</v>
      </c>
      <c r="H341" s="49">
        <f>VLOOKUP(B341,'CALC MEC ESTAB Y ESTIM M FINAL'!$B$7:$R$352,17,0)</f>
        <v>-1.331775517E-4</v>
      </c>
      <c r="I341" s="46">
        <f t="shared" si="430"/>
        <v>144902</v>
      </c>
      <c r="J341" s="46">
        <f t="shared" si="431"/>
        <v>0</v>
      </c>
      <c r="K341" s="46">
        <f t="shared" si="432"/>
        <v>81876</v>
      </c>
      <c r="L341" s="46">
        <v>0</v>
      </c>
      <c r="M341" s="46">
        <f t="shared" si="433"/>
        <v>226778</v>
      </c>
      <c r="N341" s="46">
        <f t="shared" si="475"/>
        <v>81876</v>
      </c>
      <c r="O341" s="46">
        <f t="shared" si="434"/>
        <v>77054</v>
      </c>
      <c r="P341" s="46">
        <f t="shared" si="435"/>
        <v>0</v>
      </c>
      <c r="Q341" s="46">
        <f t="shared" si="436"/>
        <v>149724</v>
      </c>
      <c r="R341" s="46">
        <v>0</v>
      </c>
      <c r="S341" s="46">
        <f t="shared" si="437"/>
        <v>226778</v>
      </c>
      <c r="T341" s="46">
        <f t="shared" si="476"/>
        <v>231600</v>
      </c>
      <c r="U341" s="46">
        <f t="shared" si="438"/>
        <v>219818</v>
      </c>
      <c r="V341" s="46">
        <f t="shared" si="439"/>
        <v>0</v>
      </c>
      <c r="W341" s="46">
        <f t="shared" si="477"/>
        <v>0</v>
      </c>
      <c r="X341" s="46">
        <v>0</v>
      </c>
      <c r="Y341" s="46">
        <f t="shared" si="440"/>
        <v>219818</v>
      </c>
      <c r="Z341" s="46">
        <f t="shared" si="478"/>
        <v>231600</v>
      </c>
      <c r="AA341" s="46">
        <f t="shared" si="441"/>
        <v>116720</v>
      </c>
      <c r="AB341" s="46">
        <f t="shared" si="442"/>
        <v>0</v>
      </c>
      <c r="AC341" s="46">
        <f t="shared" si="443"/>
        <v>110058</v>
      </c>
      <c r="AD341" s="46">
        <v>0</v>
      </c>
      <c r="AE341" s="46">
        <f t="shared" si="444"/>
        <v>226778</v>
      </c>
      <c r="AF341" s="46">
        <f t="shared" si="479"/>
        <v>341658</v>
      </c>
      <c r="AG341" s="46">
        <f t="shared" si="445"/>
        <v>1015681</v>
      </c>
      <c r="AH341" s="46">
        <f t="shared" si="446"/>
        <v>9374</v>
      </c>
      <c r="AI341" s="46">
        <f t="shared" si="480"/>
        <v>-341658</v>
      </c>
      <c r="AJ341" s="46">
        <v>0</v>
      </c>
      <c r="AK341" s="46">
        <f t="shared" si="447"/>
        <v>683397</v>
      </c>
      <c r="AL341" s="46">
        <f t="shared" si="481"/>
        <v>0</v>
      </c>
      <c r="AM341" s="46">
        <f t="shared" si="448"/>
        <v>201180</v>
      </c>
      <c r="AN341" s="46">
        <f t="shared" si="449"/>
        <v>6644</v>
      </c>
      <c r="AO341" s="46">
        <f t="shared" si="450"/>
        <v>25598</v>
      </c>
      <c r="AP341" s="46">
        <v>0</v>
      </c>
      <c r="AQ341" s="46">
        <f t="shared" si="451"/>
        <v>233422</v>
      </c>
      <c r="AR341" s="46">
        <f t="shared" si="482"/>
        <v>25598</v>
      </c>
      <c r="AS341" s="46">
        <f t="shared" si="452"/>
        <v>399911</v>
      </c>
      <c r="AT341" s="46">
        <f t="shared" si="453"/>
        <v>38824</v>
      </c>
      <c r="AU341" s="46">
        <f t="shared" si="483"/>
        <v>-25598</v>
      </c>
      <c r="AV341" s="46">
        <v>0</v>
      </c>
      <c r="AW341" s="46">
        <f t="shared" si="454"/>
        <v>413137</v>
      </c>
      <c r="AX341" s="46">
        <f t="shared" si="484"/>
        <v>0</v>
      </c>
      <c r="AY341" s="46">
        <f t="shared" si="455"/>
        <v>132097</v>
      </c>
      <c r="AZ341" s="46">
        <f t="shared" si="456"/>
        <v>0</v>
      </c>
      <c r="BA341" s="46">
        <f t="shared" si="457"/>
        <v>94681</v>
      </c>
      <c r="BB341" s="46"/>
      <c r="BC341" s="46">
        <f t="shared" si="458"/>
        <v>226778</v>
      </c>
      <c r="BD341" s="46">
        <f t="shared" si="485"/>
        <v>94681</v>
      </c>
      <c r="BE341" s="46">
        <f t="shared" si="459"/>
        <v>255722</v>
      </c>
      <c r="BF341" s="46">
        <f t="shared" si="460"/>
        <v>9518</v>
      </c>
      <c r="BG341" s="46">
        <f t="shared" si="486"/>
        <v>0</v>
      </c>
      <c r="BH341" s="46">
        <v>0</v>
      </c>
      <c r="BI341" s="46">
        <f t="shared" si="461"/>
        <v>265240</v>
      </c>
      <c r="BJ341" s="46">
        <f t="shared" si="487"/>
        <v>94681</v>
      </c>
      <c r="BK341" s="46">
        <f t="shared" si="462"/>
        <v>539562</v>
      </c>
      <c r="BL341" s="46">
        <f t="shared" si="463"/>
        <v>0</v>
      </c>
      <c r="BM341" s="46">
        <f t="shared" si="488"/>
        <v>-94681</v>
      </c>
      <c r="BN341" s="46">
        <v>0</v>
      </c>
      <c r="BO341" s="46">
        <f t="shared" si="464"/>
        <v>444881</v>
      </c>
      <c r="BP341" s="46">
        <f t="shared" si="489"/>
        <v>0</v>
      </c>
      <c r="BQ341" s="46">
        <f t="shared" si="465"/>
        <v>200254</v>
      </c>
      <c r="BR341" s="46">
        <f t="shared" si="466"/>
        <v>0</v>
      </c>
      <c r="BS341" s="46">
        <f t="shared" si="467"/>
        <v>26524</v>
      </c>
      <c r="BT341" s="46">
        <v>0</v>
      </c>
      <c r="BU341" s="46">
        <f t="shared" si="468"/>
        <v>226778</v>
      </c>
      <c r="BV341" s="46">
        <f t="shared" si="490"/>
        <v>26524</v>
      </c>
      <c r="BW341" s="46">
        <f t="shared" si="469"/>
        <v>383743</v>
      </c>
      <c r="BX341" s="46">
        <f t="shared" si="470"/>
        <v>62554</v>
      </c>
      <c r="BY341" s="46">
        <f t="shared" si="471"/>
        <v>-26524</v>
      </c>
      <c r="BZ341" s="46">
        <v>0</v>
      </c>
      <c r="CA341" s="46">
        <f t="shared" si="472"/>
        <v>419773</v>
      </c>
      <c r="CB341" s="46">
        <f t="shared" si="491"/>
        <v>0</v>
      </c>
      <c r="CC341" s="155">
        <f t="shared" si="492"/>
        <v>0</v>
      </c>
      <c r="CD341" s="79" t="s">
        <v>538</v>
      </c>
      <c r="CE341" s="65">
        <f t="shared" si="493"/>
        <v>226778</v>
      </c>
      <c r="CF341" s="65">
        <f t="shared" si="494"/>
        <v>226778</v>
      </c>
      <c r="CG341" s="65">
        <f t="shared" si="495"/>
        <v>219818</v>
      </c>
      <c r="CH341" s="65">
        <f t="shared" si="496"/>
        <v>226778</v>
      </c>
      <c r="CI341" s="65">
        <f t="shared" si="497"/>
        <v>683397</v>
      </c>
      <c r="CJ341" s="65">
        <f t="shared" si="498"/>
        <v>233422</v>
      </c>
      <c r="CK341" s="65">
        <f t="shared" si="499"/>
        <v>413137</v>
      </c>
      <c r="CL341" s="65">
        <f t="shared" si="500"/>
        <v>226778</v>
      </c>
      <c r="CM341" s="65">
        <f t="shared" si="501"/>
        <v>265240</v>
      </c>
      <c r="CN341" s="65">
        <f t="shared" si="502"/>
        <v>444881</v>
      </c>
      <c r="CO341" s="65">
        <f t="shared" si="503"/>
        <v>226778</v>
      </c>
      <c r="CP341" s="65">
        <f t="shared" si="504"/>
        <v>419773</v>
      </c>
      <c r="CQ341" s="40" t="s">
        <v>538</v>
      </c>
    </row>
    <row r="342" spans="1:95" ht="3" customHeight="1" x14ac:dyDescent="0.25">
      <c r="A342" s="39">
        <v>1</v>
      </c>
      <c r="B342" s="28">
        <v>16202</v>
      </c>
      <c r="C342" s="28" t="s">
        <v>174</v>
      </c>
      <c r="D342" s="48">
        <f>+DATA!Q340</f>
        <v>3409575.4180000001</v>
      </c>
      <c r="E342" s="48">
        <f t="shared" si="473"/>
        <v>224464</v>
      </c>
      <c r="F342" s="48">
        <f t="shared" si="474"/>
        <v>340958</v>
      </c>
      <c r="G342" s="49">
        <f>VLOOKUP(B342,'CALC MEC ESTAB Y ESTIM M FINAL'!$B$7:$F$352,5,0)</f>
        <v>2.0679799643999997E-3</v>
      </c>
      <c r="H342" s="49">
        <f>VLOOKUP(B342,'CALC MEC ESTAB Y ESTIM M FINAL'!$B$7:$R$352,17,0)</f>
        <v>-2.3874797600000001E-4</v>
      </c>
      <c r="I342" s="46">
        <f t="shared" si="430"/>
        <v>150824</v>
      </c>
      <c r="J342" s="46">
        <f t="shared" si="431"/>
        <v>0</v>
      </c>
      <c r="K342" s="46">
        <f t="shared" si="432"/>
        <v>73640</v>
      </c>
      <c r="L342" s="46">
        <v>0</v>
      </c>
      <c r="M342" s="46">
        <f t="shared" si="433"/>
        <v>224464</v>
      </c>
      <c r="N342" s="46">
        <f t="shared" si="475"/>
        <v>73640</v>
      </c>
      <c r="O342" s="46">
        <f t="shared" si="434"/>
        <v>80203</v>
      </c>
      <c r="P342" s="46">
        <f t="shared" si="435"/>
        <v>0</v>
      </c>
      <c r="Q342" s="46">
        <f t="shared" si="436"/>
        <v>144261</v>
      </c>
      <c r="R342" s="46">
        <v>0</v>
      </c>
      <c r="S342" s="46">
        <f t="shared" si="437"/>
        <v>224464</v>
      </c>
      <c r="T342" s="46">
        <f t="shared" si="476"/>
        <v>217901</v>
      </c>
      <c r="U342" s="46">
        <f t="shared" si="438"/>
        <v>228802</v>
      </c>
      <c r="V342" s="46">
        <f t="shared" si="439"/>
        <v>0</v>
      </c>
      <c r="W342" s="46">
        <f t="shared" si="477"/>
        <v>0</v>
      </c>
      <c r="X342" s="46">
        <v>0</v>
      </c>
      <c r="Y342" s="46">
        <f t="shared" si="440"/>
        <v>228802</v>
      </c>
      <c r="Z342" s="46">
        <f t="shared" si="478"/>
        <v>217901</v>
      </c>
      <c r="AA342" s="46">
        <f t="shared" si="441"/>
        <v>121490</v>
      </c>
      <c r="AB342" s="46">
        <f t="shared" si="442"/>
        <v>0</v>
      </c>
      <c r="AC342" s="46">
        <f t="shared" si="443"/>
        <v>102974</v>
      </c>
      <c r="AD342" s="46">
        <v>0</v>
      </c>
      <c r="AE342" s="46">
        <f t="shared" si="444"/>
        <v>224464</v>
      </c>
      <c r="AF342" s="46">
        <f t="shared" si="479"/>
        <v>320875</v>
      </c>
      <c r="AG342" s="46">
        <f t="shared" si="445"/>
        <v>1057191</v>
      </c>
      <c r="AH342" s="46">
        <f t="shared" si="446"/>
        <v>9758</v>
      </c>
      <c r="AI342" s="46">
        <f t="shared" si="480"/>
        <v>-320875</v>
      </c>
      <c r="AJ342" s="46">
        <v>0</v>
      </c>
      <c r="AK342" s="46">
        <f t="shared" si="447"/>
        <v>746074</v>
      </c>
      <c r="AL342" s="46">
        <f t="shared" si="481"/>
        <v>0</v>
      </c>
      <c r="AM342" s="46">
        <f t="shared" si="448"/>
        <v>209403</v>
      </c>
      <c r="AN342" s="46">
        <f t="shared" si="449"/>
        <v>6915</v>
      </c>
      <c r="AO342" s="46">
        <f t="shared" si="450"/>
        <v>15061</v>
      </c>
      <c r="AP342" s="46">
        <v>0</v>
      </c>
      <c r="AQ342" s="46">
        <f t="shared" si="451"/>
        <v>231379</v>
      </c>
      <c r="AR342" s="46">
        <f t="shared" si="482"/>
        <v>15061</v>
      </c>
      <c r="AS342" s="46">
        <f t="shared" si="452"/>
        <v>416255</v>
      </c>
      <c r="AT342" s="46">
        <f t="shared" si="453"/>
        <v>40411</v>
      </c>
      <c r="AU342" s="46">
        <f t="shared" si="483"/>
        <v>-15061</v>
      </c>
      <c r="AV342" s="46">
        <v>0</v>
      </c>
      <c r="AW342" s="46">
        <f t="shared" si="454"/>
        <v>441605</v>
      </c>
      <c r="AX342" s="46">
        <f t="shared" si="484"/>
        <v>0</v>
      </c>
      <c r="AY342" s="46">
        <f t="shared" si="455"/>
        <v>137495</v>
      </c>
      <c r="AZ342" s="46">
        <f t="shared" si="456"/>
        <v>0</v>
      </c>
      <c r="BA342" s="46">
        <f t="shared" si="457"/>
        <v>86969</v>
      </c>
      <c r="BB342" s="46"/>
      <c r="BC342" s="46">
        <f t="shared" si="458"/>
        <v>224464</v>
      </c>
      <c r="BD342" s="46">
        <f t="shared" si="485"/>
        <v>86969</v>
      </c>
      <c r="BE342" s="46">
        <f t="shared" si="459"/>
        <v>266173</v>
      </c>
      <c r="BF342" s="46">
        <f t="shared" si="460"/>
        <v>9907</v>
      </c>
      <c r="BG342" s="46">
        <f t="shared" si="486"/>
        <v>0</v>
      </c>
      <c r="BH342" s="46">
        <v>0</v>
      </c>
      <c r="BI342" s="46">
        <f t="shared" si="461"/>
        <v>276080</v>
      </c>
      <c r="BJ342" s="46">
        <f t="shared" si="487"/>
        <v>86969</v>
      </c>
      <c r="BK342" s="46">
        <f t="shared" si="462"/>
        <v>561613</v>
      </c>
      <c r="BL342" s="46">
        <f t="shared" si="463"/>
        <v>0</v>
      </c>
      <c r="BM342" s="46">
        <f t="shared" si="488"/>
        <v>-86969</v>
      </c>
      <c r="BN342" s="46">
        <v>0</v>
      </c>
      <c r="BO342" s="46">
        <f t="shared" si="464"/>
        <v>474644</v>
      </c>
      <c r="BP342" s="46">
        <f t="shared" si="489"/>
        <v>0</v>
      </c>
      <c r="BQ342" s="46">
        <f t="shared" si="465"/>
        <v>208439</v>
      </c>
      <c r="BR342" s="46">
        <f t="shared" si="466"/>
        <v>0</v>
      </c>
      <c r="BS342" s="46">
        <f t="shared" si="467"/>
        <v>16025</v>
      </c>
      <c r="BT342" s="46">
        <v>0</v>
      </c>
      <c r="BU342" s="46">
        <f t="shared" si="468"/>
        <v>224464</v>
      </c>
      <c r="BV342" s="46">
        <f t="shared" si="490"/>
        <v>16025</v>
      </c>
      <c r="BW342" s="46">
        <f t="shared" si="469"/>
        <v>399426</v>
      </c>
      <c r="BX342" s="46">
        <f t="shared" si="470"/>
        <v>65111</v>
      </c>
      <c r="BY342" s="46">
        <f t="shared" si="471"/>
        <v>-16025</v>
      </c>
      <c r="BZ342" s="46">
        <v>0</v>
      </c>
      <c r="CA342" s="46">
        <f t="shared" si="472"/>
        <v>448512</v>
      </c>
      <c r="CB342" s="46">
        <f t="shared" si="491"/>
        <v>0</v>
      </c>
      <c r="CC342" s="155">
        <f t="shared" si="492"/>
        <v>0</v>
      </c>
      <c r="CD342" s="79" t="s">
        <v>538</v>
      </c>
      <c r="CE342" s="65">
        <f t="shared" si="493"/>
        <v>224464</v>
      </c>
      <c r="CF342" s="65">
        <f t="shared" si="494"/>
        <v>224464</v>
      </c>
      <c r="CG342" s="65">
        <f t="shared" si="495"/>
        <v>228802</v>
      </c>
      <c r="CH342" s="65">
        <f t="shared" si="496"/>
        <v>224464</v>
      </c>
      <c r="CI342" s="65">
        <f t="shared" si="497"/>
        <v>746074</v>
      </c>
      <c r="CJ342" s="65">
        <f t="shared" si="498"/>
        <v>231379</v>
      </c>
      <c r="CK342" s="65">
        <f t="shared" si="499"/>
        <v>441605</v>
      </c>
      <c r="CL342" s="65">
        <f t="shared" si="500"/>
        <v>224464</v>
      </c>
      <c r="CM342" s="65">
        <f t="shared" si="501"/>
        <v>276080</v>
      </c>
      <c r="CN342" s="65">
        <f t="shared" si="502"/>
        <v>474644</v>
      </c>
      <c r="CO342" s="65">
        <f t="shared" si="503"/>
        <v>224464</v>
      </c>
      <c r="CP342" s="65">
        <f t="shared" si="504"/>
        <v>448512</v>
      </c>
      <c r="CQ342" s="40" t="s">
        <v>538</v>
      </c>
    </row>
    <row r="343" spans="1:95" ht="3" customHeight="1" x14ac:dyDescent="0.25">
      <c r="A343" s="39">
        <v>1</v>
      </c>
      <c r="B343" s="28">
        <v>16203</v>
      </c>
      <c r="C343" s="28" t="s">
        <v>182</v>
      </c>
      <c r="D343" s="48">
        <f>+DATA!Q341</f>
        <v>3985671.7719999999</v>
      </c>
      <c r="E343" s="48">
        <f t="shared" si="473"/>
        <v>262390</v>
      </c>
      <c r="F343" s="48">
        <f t="shared" si="474"/>
        <v>398567</v>
      </c>
      <c r="G343" s="49">
        <f>VLOOKUP(B343,'CALC MEC ESTAB Y ESTIM M FINAL'!$B$7:$F$352,5,0)</f>
        <v>2.1588216583999999E-3</v>
      </c>
      <c r="H343" s="49">
        <f>VLOOKUP(B343,'CALC MEC ESTAB Y ESTIM M FINAL'!$B$7:$R$352,17,0)</f>
        <v>-1.3727357719999999E-4</v>
      </c>
      <c r="I343" s="46">
        <f t="shared" si="430"/>
        <v>166681</v>
      </c>
      <c r="J343" s="46">
        <f t="shared" si="431"/>
        <v>0</v>
      </c>
      <c r="K343" s="46">
        <f t="shared" si="432"/>
        <v>95709</v>
      </c>
      <c r="L343" s="46">
        <v>0</v>
      </c>
      <c r="M343" s="46">
        <f t="shared" si="433"/>
        <v>262390</v>
      </c>
      <c r="N343" s="46">
        <f t="shared" si="475"/>
        <v>95709</v>
      </c>
      <c r="O343" s="46">
        <f t="shared" si="434"/>
        <v>88635</v>
      </c>
      <c r="P343" s="46">
        <f t="shared" si="435"/>
        <v>0</v>
      </c>
      <c r="Q343" s="46">
        <f t="shared" si="436"/>
        <v>173755</v>
      </c>
      <c r="R343" s="46">
        <v>0</v>
      </c>
      <c r="S343" s="46">
        <f t="shared" si="437"/>
        <v>262390</v>
      </c>
      <c r="T343" s="46">
        <f t="shared" si="476"/>
        <v>269464</v>
      </c>
      <c r="U343" s="46">
        <f t="shared" si="438"/>
        <v>252857</v>
      </c>
      <c r="V343" s="46">
        <f t="shared" si="439"/>
        <v>0</v>
      </c>
      <c r="W343" s="46">
        <f t="shared" si="477"/>
        <v>0</v>
      </c>
      <c r="X343" s="46">
        <v>0</v>
      </c>
      <c r="Y343" s="46">
        <f t="shared" si="440"/>
        <v>252857</v>
      </c>
      <c r="Z343" s="46">
        <f t="shared" si="478"/>
        <v>269464</v>
      </c>
      <c r="AA343" s="46">
        <f t="shared" si="441"/>
        <v>134263</v>
      </c>
      <c r="AB343" s="46">
        <f t="shared" si="442"/>
        <v>0</v>
      </c>
      <c r="AC343" s="46">
        <f t="shared" si="443"/>
        <v>128127</v>
      </c>
      <c r="AD343" s="46">
        <v>0</v>
      </c>
      <c r="AE343" s="46">
        <f t="shared" si="444"/>
        <v>262390</v>
      </c>
      <c r="AF343" s="46">
        <f t="shared" si="479"/>
        <v>397591</v>
      </c>
      <c r="AG343" s="46">
        <f t="shared" si="445"/>
        <v>1168339</v>
      </c>
      <c r="AH343" s="46">
        <f t="shared" si="446"/>
        <v>10783</v>
      </c>
      <c r="AI343" s="46">
        <f t="shared" si="480"/>
        <v>-397591</v>
      </c>
      <c r="AJ343" s="46">
        <v>0</v>
      </c>
      <c r="AK343" s="46">
        <f t="shared" si="447"/>
        <v>781531</v>
      </c>
      <c r="AL343" s="46">
        <f t="shared" si="481"/>
        <v>0</v>
      </c>
      <c r="AM343" s="46">
        <f t="shared" si="448"/>
        <v>231418</v>
      </c>
      <c r="AN343" s="46">
        <f t="shared" si="449"/>
        <v>7642</v>
      </c>
      <c r="AO343" s="46">
        <f t="shared" si="450"/>
        <v>30972</v>
      </c>
      <c r="AP343" s="46">
        <v>0</v>
      </c>
      <c r="AQ343" s="46">
        <f t="shared" si="451"/>
        <v>270032</v>
      </c>
      <c r="AR343" s="46">
        <f t="shared" si="482"/>
        <v>30972</v>
      </c>
      <c r="AS343" s="46">
        <f t="shared" si="452"/>
        <v>460018</v>
      </c>
      <c r="AT343" s="46">
        <f t="shared" si="453"/>
        <v>44659</v>
      </c>
      <c r="AU343" s="46">
        <f t="shared" si="483"/>
        <v>-30972</v>
      </c>
      <c r="AV343" s="46">
        <v>0</v>
      </c>
      <c r="AW343" s="46">
        <f t="shared" si="454"/>
        <v>473705</v>
      </c>
      <c r="AX343" s="46">
        <f t="shared" si="484"/>
        <v>0</v>
      </c>
      <c r="AY343" s="46">
        <f t="shared" si="455"/>
        <v>151951</v>
      </c>
      <c r="AZ343" s="46">
        <f t="shared" si="456"/>
        <v>0</v>
      </c>
      <c r="BA343" s="46">
        <f t="shared" si="457"/>
        <v>110439</v>
      </c>
      <c r="BB343" s="46"/>
      <c r="BC343" s="46">
        <f t="shared" si="458"/>
        <v>262390</v>
      </c>
      <c r="BD343" s="46">
        <f t="shared" si="485"/>
        <v>110439</v>
      </c>
      <c r="BE343" s="46">
        <f t="shared" si="459"/>
        <v>294157</v>
      </c>
      <c r="BF343" s="46">
        <f t="shared" si="460"/>
        <v>10948</v>
      </c>
      <c r="BG343" s="46">
        <f t="shared" si="486"/>
        <v>0</v>
      </c>
      <c r="BH343" s="46">
        <v>0</v>
      </c>
      <c r="BI343" s="46">
        <f t="shared" si="461"/>
        <v>305105</v>
      </c>
      <c r="BJ343" s="46">
        <f t="shared" si="487"/>
        <v>110439</v>
      </c>
      <c r="BK343" s="46">
        <f t="shared" si="462"/>
        <v>620658</v>
      </c>
      <c r="BL343" s="46">
        <f t="shared" si="463"/>
        <v>0</v>
      </c>
      <c r="BM343" s="46">
        <f t="shared" si="488"/>
        <v>-110439</v>
      </c>
      <c r="BN343" s="46">
        <v>0</v>
      </c>
      <c r="BO343" s="46">
        <f t="shared" si="464"/>
        <v>510219</v>
      </c>
      <c r="BP343" s="46">
        <f t="shared" si="489"/>
        <v>0</v>
      </c>
      <c r="BQ343" s="46">
        <f t="shared" si="465"/>
        <v>230353</v>
      </c>
      <c r="BR343" s="46">
        <f t="shared" si="466"/>
        <v>0</v>
      </c>
      <c r="BS343" s="46">
        <f t="shared" si="467"/>
        <v>32037</v>
      </c>
      <c r="BT343" s="46">
        <v>0</v>
      </c>
      <c r="BU343" s="46">
        <f t="shared" si="468"/>
        <v>262390</v>
      </c>
      <c r="BV343" s="46">
        <f t="shared" si="490"/>
        <v>32037</v>
      </c>
      <c r="BW343" s="46">
        <f t="shared" si="469"/>
        <v>441420</v>
      </c>
      <c r="BX343" s="46">
        <f t="shared" si="470"/>
        <v>71956</v>
      </c>
      <c r="BY343" s="46">
        <f t="shared" si="471"/>
        <v>-32037</v>
      </c>
      <c r="BZ343" s="46">
        <v>0</v>
      </c>
      <c r="CA343" s="46">
        <f t="shared" si="472"/>
        <v>481339</v>
      </c>
      <c r="CB343" s="46">
        <f t="shared" si="491"/>
        <v>0</v>
      </c>
      <c r="CC343" s="155">
        <f t="shared" si="492"/>
        <v>0</v>
      </c>
      <c r="CD343" s="79" t="s">
        <v>538</v>
      </c>
      <c r="CE343" s="65">
        <f t="shared" si="493"/>
        <v>262390</v>
      </c>
      <c r="CF343" s="65">
        <f t="shared" si="494"/>
        <v>262390</v>
      </c>
      <c r="CG343" s="65">
        <f t="shared" si="495"/>
        <v>252857</v>
      </c>
      <c r="CH343" s="65">
        <f t="shared" si="496"/>
        <v>262390</v>
      </c>
      <c r="CI343" s="65">
        <f t="shared" si="497"/>
        <v>781531</v>
      </c>
      <c r="CJ343" s="65">
        <f t="shared" si="498"/>
        <v>270032</v>
      </c>
      <c r="CK343" s="65">
        <f t="shared" si="499"/>
        <v>473705</v>
      </c>
      <c r="CL343" s="65">
        <f t="shared" si="500"/>
        <v>262390</v>
      </c>
      <c r="CM343" s="65">
        <f t="shared" si="501"/>
        <v>305105</v>
      </c>
      <c r="CN343" s="65">
        <f t="shared" si="502"/>
        <v>510219</v>
      </c>
      <c r="CO343" s="65">
        <f t="shared" si="503"/>
        <v>262390</v>
      </c>
      <c r="CP343" s="65">
        <f t="shared" si="504"/>
        <v>481339</v>
      </c>
      <c r="CQ343" s="40" t="s">
        <v>538</v>
      </c>
    </row>
    <row r="344" spans="1:95" ht="3" customHeight="1" x14ac:dyDescent="0.25">
      <c r="A344" s="39">
        <v>1</v>
      </c>
      <c r="B344" s="28">
        <v>16204</v>
      </c>
      <c r="C344" s="28" t="s">
        <v>172</v>
      </c>
      <c r="D344" s="48">
        <f>+DATA!Q342</f>
        <v>2550251.6749999998</v>
      </c>
      <c r="E344" s="48">
        <f t="shared" si="473"/>
        <v>167892</v>
      </c>
      <c r="F344" s="48">
        <f t="shared" si="474"/>
        <v>255025</v>
      </c>
      <c r="G344" s="49">
        <f>VLOOKUP(B344,'CALC MEC ESTAB Y ESTIM M FINAL'!$B$7:$F$352,5,0)</f>
        <v>1.4637727702999999E-3</v>
      </c>
      <c r="H344" s="49">
        <f>VLOOKUP(B344,'CALC MEC ESTAB Y ESTIM M FINAL'!$B$7:$R$352,17,0)</f>
        <v>-1.330704476E-4</v>
      </c>
      <c r="I344" s="46">
        <f t="shared" si="430"/>
        <v>109719</v>
      </c>
      <c r="J344" s="46">
        <f t="shared" si="431"/>
        <v>0</v>
      </c>
      <c r="K344" s="46">
        <f t="shared" si="432"/>
        <v>58173</v>
      </c>
      <c r="L344" s="46">
        <v>0</v>
      </c>
      <c r="M344" s="46">
        <f t="shared" si="433"/>
        <v>167892</v>
      </c>
      <c r="N344" s="46">
        <f t="shared" si="475"/>
        <v>58173</v>
      </c>
      <c r="O344" s="46">
        <f t="shared" si="434"/>
        <v>58345</v>
      </c>
      <c r="P344" s="46">
        <f t="shared" si="435"/>
        <v>0</v>
      </c>
      <c r="Q344" s="46">
        <f t="shared" si="436"/>
        <v>109547</v>
      </c>
      <c r="R344" s="46">
        <v>0</v>
      </c>
      <c r="S344" s="46">
        <f t="shared" si="437"/>
        <v>167892</v>
      </c>
      <c r="T344" s="46">
        <f t="shared" si="476"/>
        <v>167720</v>
      </c>
      <c r="U344" s="46">
        <f t="shared" si="438"/>
        <v>166445</v>
      </c>
      <c r="V344" s="46">
        <f t="shared" si="439"/>
        <v>0</v>
      </c>
      <c r="W344" s="46">
        <f t="shared" si="477"/>
        <v>0</v>
      </c>
      <c r="X344" s="46">
        <v>0</v>
      </c>
      <c r="Y344" s="46">
        <f t="shared" si="440"/>
        <v>166445</v>
      </c>
      <c r="Z344" s="46">
        <f t="shared" si="478"/>
        <v>167720</v>
      </c>
      <c r="AA344" s="46">
        <f t="shared" si="441"/>
        <v>88380</v>
      </c>
      <c r="AB344" s="46">
        <f t="shared" si="442"/>
        <v>0</v>
      </c>
      <c r="AC344" s="46">
        <f t="shared" si="443"/>
        <v>79512</v>
      </c>
      <c r="AD344" s="46">
        <v>0</v>
      </c>
      <c r="AE344" s="46">
        <f t="shared" si="444"/>
        <v>167892</v>
      </c>
      <c r="AF344" s="46">
        <f t="shared" si="479"/>
        <v>247232</v>
      </c>
      <c r="AG344" s="46">
        <f t="shared" si="445"/>
        <v>769070</v>
      </c>
      <c r="AH344" s="46">
        <f t="shared" si="446"/>
        <v>7098</v>
      </c>
      <c r="AI344" s="46">
        <f t="shared" si="480"/>
        <v>-247232</v>
      </c>
      <c r="AJ344" s="46">
        <v>0</v>
      </c>
      <c r="AK344" s="46">
        <f t="shared" si="447"/>
        <v>528936</v>
      </c>
      <c r="AL344" s="46">
        <f t="shared" si="481"/>
        <v>0</v>
      </c>
      <c r="AM344" s="46">
        <f t="shared" si="448"/>
        <v>152333</v>
      </c>
      <c r="AN344" s="46">
        <f t="shared" si="449"/>
        <v>5031</v>
      </c>
      <c r="AO344" s="46">
        <f t="shared" si="450"/>
        <v>15559</v>
      </c>
      <c r="AP344" s="46">
        <v>0</v>
      </c>
      <c r="AQ344" s="46">
        <f t="shared" si="451"/>
        <v>172923</v>
      </c>
      <c r="AR344" s="46">
        <f t="shared" si="482"/>
        <v>15559</v>
      </c>
      <c r="AS344" s="46">
        <f t="shared" si="452"/>
        <v>302811</v>
      </c>
      <c r="AT344" s="46">
        <f t="shared" si="453"/>
        <v>29397</v>
      </c>
      <c r="AU344" s="46">
        <f t="shared" si="483"/>
        <v>-15559</v>
      </c>
      <c r="AV344" s="46">
        <v>0</v>
      </c>
      <c r="AW344" s="46">
        <f t="shared" si="454"/>
        <v>316649</v>
      </c>
      <c r="AX344" s="46">
        <f t="shared" si="484"/>
        <v>0</v>
      </c>
      <c r="AY344" s="46">
        <f t="shared" si="455"/>
        <v>100023</v>
      </c>
      <c r="AZ344" s="46">
        <f t="shared" si="456"/>
        <v>0</v>
      </c>
      <c r="BA344" s="46">
        <f t="shared" si="457"/>
        <v>67869</v>
      </c>
      <c r="BB344" s="46"/>
      <c r="BC344" s="46">
        <f t="shared" si="458"/>
        <v>167892</v>
      </c>
      <c r="BD344" s="46">
        <f t="shared" si="485"/>
        <v>67869</v>
      </c>
      <c r="BE344" s="46">
        <f t="shared" si="459"/>
        <v>193631</v>
      </c>
      <c r="BF344" s="46">
        <f t="shared" si="460"/>
        <v>7207</v>
      </c>
      <c r="BG344" s="46">
        <f t="shared" si="486"/>
        <v>0</v>
      </c>
      <c r="BH344" s="46">
        <v>0</v>
      </c>
      <c r="BI344" s="46">
        <f t="shared" si="461"/>
        <v>200838</v>
      </c>
      <c r="BJ344" s="46">
        <f t="shared" si="487"/>
        <v>67869</v>
      </c>
      <c r="BK344" s="46">
        <f t="shared" si="462"/>
        <v>408554</v>
      </c>
      <c r="BL344" s="46">
        <f t="shared" si="463"/>
        <v>0</v>
      </c>
      <c r="BM344" s="46">
        <f t="shared" si="488"/>
        <v>-67869</v>
      </c>
      <c r="BN344" s="46">
        <v>0</v>
      </c>
      <c r="BO344" s="46">
        <f t="shared" si="464"/>
        <v>340685</v>
      </c>
      <c r="BP344" s="46">
        <f t="shared" si="489"/>
        <v>0</v>
      </c>
      <c r="BQ344" s="46">
        <f t="shared" si="465"/>
        <v>151632</v>
      </c>
      <c r="BR344" s="46">
        <f t="shared" si="466"/>
        <v>0</v>
      </c>
      <c r="BS344" s="46">
        <f t="shared" si="467"/>
        <v>16260</v>
      </c>
      <c r="BT344" s="46">
        <v>0</v>
      </c>
      <c r="BU344" s="46">
        <f t="shared" si="468"/>
        <v>167892</v>
      </c>
      <c r="BV344" s="46">
        <f t="shared" si="490"/>
        <v>16260</v>
      </c>
      <c r="BW344" s="46">
        <f t="shared" si="469"/>
        <v>290569</v>
      </c>
      <c r="BX344" s="46">
        <f t="shared" si="470"/>
        <v>47366</v>
      </c>
      <c r="BY344" s="46">
        <f t="shared" si="471"/>
        <v>-16260</v>
      </c>
      <c r="BZ344" s="46">
        <v>0</v>
      </c>
      <c r="CA344" s="46">
        <f t="shared" si="472"/>
        <v>321675</v>
      </c>
      <c r="CB344" s="46">
        <f t="shared" si="491"/>
        <v>0</v>
      </c>
      <c r="CC344" s="155">
        <f t="shared" si="492"/>
        <v>0</v>
      </c>
      <c r="CD344" s="79" t="s">
        <v>538</v>
      </c>
      <c r="CE344" s="65">
        <f t="shared" si="493"/>
        <v>167892</v>
      </c>
      <c r="CF344" s="65">
        <f t="shared" si="494"/>
        <v>167892</v>
      </c>
      <c r="CG344" s="65">
        <f t="shared" si="495"/>
        <v>166445</v>
      </c>
      <c r="CH344" s="65">
        <f t="shared" si="496"/>
        <v>167892</v>
      </c>
      <c r="CI344" s="65">
        <f t="shared" si="497"/>
        <v>528936</v>
      </c>
      <c r="CJ344" s="65">
        <f t="shared" si="498"/>
        <v>172923</v>
      </c>
      <c r="CK344" s="65">
        <f t="shared" si="499"/>
        <v>316649</v>
      </c>
      <c r="CL344" s="65">
        <f t="shared" si="500"/>
        <v>167892</v>
      </c>
      <c r="CM344" s="65">
        <f t="shared" si="501"/>
        <v>200838</v>
      </c>
      <c r="CN344" s="65">
        <f t="shared" si="502"/>
        <v>340685</v>
      </c>
      <c r="CO344" s="65">
        <f t="shared" si="503"/>
        <v>167892</v>
      </c>
      <c r="CP344" s="65">
        <f t="shared" si="504"/>
        <v>321675</v>
      </c>
      <c r="CQ344" s="40" t="s">
        <v>538</v>
      </c>
    </row>
    <row r="345" spans="1:95" ht="3" customHeight="1" x14ac:dyDescent="0.25">
      <c r="A345" s="39">
        <v>1</v>
      </c>
      <c r="B345" s="28">
        <v>16205</v>
      </c>
      <c r="C345" s="28" t="s">
        <v>173</v>
      </c>
      <c r="D345" s="48">
        <f>+DATA!Q343</f>
        <v>2431939.2710000002</v>
      </c>
      <c r="E345" s="48">
        <f t="shared" si="473"/>
        <v>160103</v>
      </c>
      <c r="F345" s="48">
        <f t="shared" si="474"/>
        <v>243194</v>
      </c>
      <c r="G345" s="49">
        <f>VLOOKUP(B345,'CALC MEC ESTAB Y ESTIM M FINAL'!$B$7:$F$352,5,0)</f>
        <v>1.2836998933999999E-3</v>
      </c>
      <c r="H345" s="49">
        <f>VLOOKUP(B345,'CALC MEC ESTAB Y ESTIM M FINAL'!$B$7:$R$352,17,0)</f>
        <v>-6.5902464299999998E-5</v>
      </c>
      <c r="I345" s="46">
        <f t="shared" si="430"/>
        <v>100410</v>
      </c>
      <c r="J345" s="46">
        <f t="shared" si="431"/>
        <v>0</v>
      </c>
      <c r="K345" s="46">
        <f t="shared" si="432"/>
        <v>59693</v>
      </c>
      <c r="L345" s="46">
        <v>0</v>
      </c>
      <c r="M345" s="46">
        <f t="shared" si="433"/>
        <v>160103</v>
      </c>
      <c r="N345" s="46">
        <f t="shared" si="475"/>
        <v>59693</v>
      </c>
      <c r="O345" s="46">
        <f t="shared" si="434"/>
        <v>53395</v>
      </c>
      <c r="P345" s="46">
        <f t="shared" si="435"/>
        <v>0</v>
      </c>
      <c r="Q345" s="46">
        <f t="shared" si="436"/>
        <v>106708</v>
      </c>
      <c r="R345" s="46">
        <v>0</v>
      </c>
      <c r="S345" s="46">
        <f t="shared" si="437"/>
        <v>160103</v>
      </c>
      <c r="T345" s="46">
        <f t="shared" si="476"/>
        <v>166401</v>
      </c>
      <c r="U345" s="46">
        <f t="shared" si="438"/>
        <v>152323</v>
      </c>
      <c r="V345" s="46">
        <f t="shared" si="439"/>
        <v>0</v>
      </c>
      <c r="W345" s="46">
        <f t="shared" si="477"/>
        <v>0</v>
      </c>
      <c r="X345" s="46">
        <v>0</v>
      </c>
      <c r="Y345" s="46">
        <f t="shared" si="440"/>
        <v>152323</v>
      </c>
      <c r="Z345" s="46">
        <f t="shared" si="478"/>
        <v>166401</v>
      </c>
      <c r="AA345" s="46">
        <f t="shared" si="441"/>
        <v>80881</v>
      </c>
      <c r="AB345" s="46">
        <f t="shared" si="442"/>
        <v>0</v>
      </c>
      <c r="AC345" s="46">
        <f t="shared" si="443"/>
        <v>79222</v>
      </c>
      <c r="AD345" s="46">
        <v>0</v>
      </c>
      <c r="AE345" s="46">
        <f t="shared" si="444"/>
        <v>160103</v>
      </c>
      <c r="AF345" s="46">
        <f t="shared" si="479"/>
        <v>245623</v>
      </c>
      <c r="AG345" s="46">
        <f t="shared" si="445"/>
        <v>703817</v>
      </c>
      <c r="AH345" s="46">
        <f t="shared" si="446"/>
        <v>6496</v>
      </c>
      <c r="AI345" s="46">
        <f t="shared" si="480"/>
        <v>-245623</v>
      </c>
      <c r="AJ345" s="46">
        <v>0</v>
      </c>
      <c r="AK345" s="46">
        <f t="shared" si="447"/>
        <v>464690</v>
      </c>
      <c r="AL345" s="46">
        <f t="shared" si="481"/>
        <v>0</v>
      </c>
      <c r="AM345" s="46">
        <f t="shared" si="448"/>
        <v>139408</v>
      </c>
      <c r="AN345" s="46">
        <f t="shared" si="449"/>
        <v>4604</v>
      </c>
      <c r="AO345" s="46">
        <f t="shared" si="450"/>
        <v>20695</v>
      </c>
      <c r="AP345" s="46">
        <v>0</v>
      </c>
      <c r="AQ345" s="46">
        <f t="shared" si="451"/>
        <v>164707</v>
      </c>
      <c r="AR345" s="46">
        <f t="shared" si="482"/>
        <v>20695</v>
      </c>
      <c r="AS345" s="46">
        <f t="shared" si="452"/>
        <v>277119</v>
      </c>
      <c r="AT345" s="46">
        <f t="shared" si="453"/>
        <v>26903</v>
      </c>
      <c r="AU345" s="46">
        <f t="shared" si="483"/>
        <v>-20695</v>
      </c>
      <c r="AV345" s="46">
        <v>0</v>
      </c>
      <c r="AW345" s="46">
        <f t="shared" si="454"/>
        <v>283327</v>
      </c>
      <c r="AX345" s="46">
        <f t="shared" si="484"/>
        <v>0</v>
      </c>
      <c r="AY345" s="46">
        <f t="shared" si="455"/>
        <v>91537</v>
      </c>
      <c r="AZ345" s="46">
        <f t="shared" si="456"/>
        <v>0</v>
      </c>
      <c r="BA345" s="46">
        <f t="shared" si="457"/>
        <v>68566</v>
      </c>
      <c r="BB345" s="46"/>
      <c r="BC345" s="46">
        <f t="shared" si="458"/>
        <v>160103</v>
      </c>
      <c r="BD345" s="46">
        <f t="shared" si="485"/>
        <v>68566</v>
      </c>
      <c r="BE345" s="46">
        <f t="shared" si="459"/>
        <v>177203</v>
      </c>
      <c r="BF345" s="46">
        <f t="shared" si="460"/>
        <v>6595</v>
      </c>
      <c r="BG345" s="46">
        <f t="shared" si="486"/>
        <v>0</v>
      </c>
      <c r="BH345" s="46">
        <v>0</v>
      </c>
      <c r="BI345" s="46">
        <f t="shared" si="461"/>
        <v>183798</v>
      </c>
      <c r="BJ345" s="46">
        <f t="shared" si="487"/>
        <v>68566</v>
      </c>
      <c r="BK345" s="46">
        <f t="shared" si="462"/>
        <v>373890</v>
      </c>
      <c r="BL345" s="46">
        <f t="shared" si="463"/>
        <v>0</v>
      </c>
      <c r="BM345" s="46">
        <f t="shared" si="488"/>
        <v>-68566</v>
      </c>
      <c r="BN345" s="46">
        <v>0</v>
      </c>
      <c r="BO345" s="46">
        <f t="shared" si="464"/>
        <v>305324</v>
      </c>
      <c r="BP345" s="46">
        <f t="shared" si="489"/>
        <v>0</v>
      </c>
      <c r="BQ345" s="46">
        <f t="shared" si="465"/>
        <v>138766</v>
      </c>
      <c r="BR345" s="46">
        <f t="shared" si="466"/>
        <v>0</v>
      </c>
      <c r="BS345" s="46">
        <f t="shared" si="467"/>
        <v>21337</v>
      </c>
      <c r="BT345" s="46">
        <v>0</v>
      </c>
      <c r="BU345" s="46">
        <f t="shared" si="468"/>
        <v>160103</v>
      </c>
      <c r="BV345" s="46">
        <f t="shared" si="490"/>
        <v>21337</v>
      </c>
      <c r="BW345" s="46">
        <f t="shared" si="469"/>
        <v>265915</v>
      </c>
      <c r="BX345" s="46">
        <f t="shared" si="470"/>
        <v>43347</v>
      </c>
      <c r="BY345" s="46">
        <f t="shared" si="471"/>
        <v>-21337</v>
      </c>
      <c r="BZ345" s="46">
        <v>0</v>
      </c>
      <c r="CA345" s="46">
        <f t="shared" si="472"/>
        <v>287925</v>
      </c>
      <c r="CB345" s="46">
        <f t="shared" si="491"/>
        <v>0</v>
      </c>
      <c r="CC345" s="155">
        <f t="shared" si="492"/>
        <v>0</v>
      </c>
      <c r="CD345" s="79" t="s">
        <v>538</v>
      </c>
      <c r="CE345" s="65">
        <f t="shared" si="493"/>
        <v>160103</v>
      </c>
      <c r="CF345" s="65">
        <f t="shared" si="494"/>
        <v>160103</v>
      </c>
      <c r="CG345" s="65">
        <f t="shared" si="495"/>
        <v>152323</v>
      </c>
      <c r="CH345" s="65">
        <f t="shared" si="496"/>
        <v>160103</v>
      </c>
      <c r="CI345" s="65">
        <f t="shared" si="497"/>
        <v>464690</v>
      </c>
      <c r="CJ345" s="65">
        <f t="shared" si="498"/>
        <v>164707</v>
      </c>
      <c r="CK345" s="65">
        <f t="shared" si="499"/>
        <v>283327</v>
      </c>
      <c r="CL345" s="65">
        <f t="shared" si="500"/>
        <v>160103</v>
      </c>
      <c r="CM345" s="65">
        <f t="shared" si="501"/>
        <v>183798</v>
      </c>
      <c r="CN345" s="65">
        <f t="shared" si="502"/>
        <v>305324</v>
      </c>
      <c r="CO345" s="65">
        <f t="shared" si="503"/>
        <v>160103</v>
      </c>
      <c r="CP345" s="65">
        <f t="shared" si="504"/>
        <v>287925</v>
      </c>
      <c r="CQ345" s="40" t="s">
        <v>538</v>
      </c>
    </row>
    <row r="346" spans="1:95" ht="3" customHeight="1" x14ac:dyDescent="0.25">
      <c r="A346" s="39">
        <v>1</v>
      </c>
      <c r="B346" s="28">
        <v>16206</v>
      </c>
      <c r="C346" s="28" t="s">
        <v>33</v>
      </c>
      <c r="D346" s="48">
        <f>+DATA!Q344</f>
        <v>2109448.3360000001</v>
      </c>
      <c r="E346" s="48">
        <f t="shared" si="473"/>
        <v>138872</v>
      </c>
      <c r="F346" s="48">
        <f t="shared" si="474"/>
        <v>210945</v>
      </c>
      <c r="G346" s="49">
        <f>VLOOKUP(B346,'CALC MEC ESTAB Y ESTIM M FINAL'!$B$7:$F$352,5,0)</f>
        <v>1.8949292717E-3</v>
      </c>
      <c r="H346" s="49">
        <f>VLOOKUP(B346,'CALC MEC ESTAB Y ESTIM M FINAL'!$B$7:$R$352,17,0)</f>
        <v>-4.8289061419999998E-4</v>
      </c>
      <c r="I346" s="46">
        <f t="shared" si="430"/>
        <v>116426</v>
      </c>
      <c r="J346" s="46">
        <f t="shared" si="431"/>
        <v>0</v>
      </c>
      <c r="K346" s="46">
        <f t="shared" si="432"/>
        <v>22446</v>
      </c>
      <c r="L346" s="46">
        <v>0</v>
      </c>
      <c r="M346" s="46">
        <f t="shared" si="433"/>
        <v>138872</v>
      </c>
      <c r="N346" s="46">
        <f t="shared" si="475"/>
        <v>22446</v>
      </c>
      <c r="O346" s="46">
        <f t="shared" si="434"/>
        <v>61911</v>
      </c>
      <c r="P346" s="46">
        <f t="shared" si="435"/>
        <v>0</v>
      </c>
      <c r="Q346" s="46">
        <f t="shared" si="436"/>
        <v>76961</v>
      </c>
      <c r="R346" s="46">
        <v>0</v>
      </c>
      <c r="S346" s="46">
        <f t="shared" si="437"/>
        <v>138872</v>
      </c>
      <c r="T346" s="46">
        <f t="shared" si="476"/>
        <v>99407</v>
      </c>
      <c r="U346" s="46">
        <f t="shared" si="438"/>
        <v>176619</v>
      </c>
      <c r="V346" s="46">
        <f t="shared" si="439"/>
        <v>0</v>
      </c>
      <c r="W346" s="46">
        <f t="shared" si="477"/>
        <v>0</v>
      </c>
      <c r="X346" s="46">
        <v>0</v>
      </c>
      <c r="Y346" s="46">
        <f t="shared" si="440"/>
        <v>176619</v>
      </c>
      <c r="Z346" s="46">
        <f t="shared" si="478"/>
        <v>99407</v>
      </c>
      <c r="AA346" s="46">
        <f t="shared" si="441"/>
        <v>93782</v>
      </c>
      <c r="AB346" s="46">
        <f t="shared" si="442"/>
        <v>0</v>
      </c>
      <c r="AC346" s="46">
        <f t="shared" si="443"/>
        <v>45090</v>
      </c>
      <c r="AD346" s="46">
        <v>0</v>
      </c>
      <c r="AE346" s="46">
        <f t="shared" si="444"/>
        <v>138872</v>
      </c>
      <c r="AF346" s="46">
        <f t="shared" si="479"/>
        <v>144497</v>
      </c>
      <c r="AG346" s="46">
        <f t="shared" si="445"/>
        <v>816077</v>
      </c>
      <c r="AH346" s="46">
        <f t="shared" si="446"/>
        <v>7532</v>
      </c>
      <c r="AI346" s="46">
        <f t="shared" si="480"/>
        <v>-144497</v>
      </c>
      <c r="AJ346" s="46">
        <v>0</v>
      </c>
      <c r="AK346" s="46">
        <f t="shared" si="447"/>
        <v>679112</v>
      </c>
      <c r="AL346" s="46">
        <f t="shared" si="481"/>
        <v>0</v>
      </c>
      <c r="AM346" s="46">
        <f t="shared" si="448"/>
        <v>161644</v>
      </c>
      <c r="AN346" s="46">
        <f t="shared" si="449"/>
        <v>5338</v>
      </c>
      <c r="AO346" s="46">
        <f t="shared" si="450"/>
        <v>0</v>
      </c>
      <c r="AP346" s="46">
        <v>0</v>
      </c>
      <c r="AQ346" s="46">
        <f t="shared" si="451"/>
        <v>166982</v>
      </c>
      <c r="AR346" s="46">
        <f t="shared" si="482"/>
        <v>0</v>
      </c>
      <c r="AS346" s="46">
        <f t="shared" si="452"/>
        <v>321320</v>
      </c>
      <c r="AT346" s="46">
        <f t="shared" si="453"/>
        <v>31194</v>
      </c>
      <c r="AU346" s="46">
        <f t="shared" si="483"/>
        <v>0</v>
      </c>
      <c r="AV346" s="46">
        <v>0</v>
      </c>
      <c r="AW346" s="46">
        <f t="shared" si="454"/>
        <v>352514</v>
      </c>
      <c r="AX346" s="46">
        <f t="shared" si="484"/>
        <v>0</v>
      </c>
      <c r="AY346" s="46">
        <f t="shared" si="455"/>
        <v>106137</v>
      </c>
      <c r="AZ346" s="46">
        <f t="shared" si="456"/>
        <v>0</v>
      </c>
      <c r="BA346" s="46">
        <f t="shared" si="457"/>
        <v>32735</v>
      </c>
      <c r="BB346" s="46"/>
      <c r="BC346" s="46">
        <f t="shared" si="458"/>
        <v>138872</v>
      </c>
      <c r="BD346" s="46">
        <f t="shared" si="485"/>
        <v>32735</v>
      </c>
      <c r="BE346" s="46">
        <f t="shared" si="459"/>
        <v>205467</v>
      </c>
      <c r="BF346" s="46">
        <f t="shared" si="460"/>
        <v>7647</v>
      </c>
      <c r="BG346" s="46">
        <f t="shared" si="486"/>
        <v>0</v>
      </c>
      <c r="BH346" s="46">
        <v>0</v>
      </c>
      <c r="BI346" s="46">
        <f t="shared" si="461"/>
        <v>213114</v>
      </c>
      <c r="BJ346" s="46">
        <f t="shared" si="487"/>
        <v>32735</v>
      </c>
      <c r="BK346" s="46">
        <f t="shared" si="462"/>
        <v>433526</v>
      </c>
      <c r="BL346" s="46">
        <f t="shared" si="463"/>
        <v>0</v>
      </c>
      <c r="BM346" s="46">
        <f t="shared" si="488"/>
        <v>-32735</v>
      </c>
      <c r="BN346" s="46">
        <v>0</v>
      </c>
      <c r="BO346" s="46">
        <f t="shared" si="464"/>
        <v>400791</v>
      </c>
      <c r="BP346" s="46">
        <f t="shared" si="489"/>
        <v>0</v>
      </c>
      <c r="BQ346" s="46">
        <f t="shared" si="465"/>
        <v>160900</v>
      </c>
      <c r="BR346" s="46">
        <f t="shared" si="466"/>
        <v>0</v>
      </c>
      <c r="BS346" s="46">
        <f t="shared" si="467"/>
        <v>0</v>
      </c>
      <c r="BT346" s="46">
        <v>0</v>
      </c>
      <c r="BU346" s="46">
        <f t="shared" si="468"/>
        <v>160900</v>
      </c>
      <c r="BV346" s="46">
        <f t="shared" si="490"/>
        <v>0</v>
      </c>
      <c r="BW346" s="46">
        <f t="shared" si="469"/>
        <v>308329</v>
      </c>
      <c r="BX346" s="46">
        <f t="shared" si="470"/>
        <v>50261</v>
      </c>
      <c r="BY346" s="46">
        <f t="shared" si="471"/>
        <v>0</v>
      </c>
      <c r="BZ346" s="46">
        <v>0</v>
      </c>
      <c r="CA346" s="46">
        <f t="shared" si="472"/>
        <v>358590</v>
      </c>
      <c r="CB346" s="46">
        <f t="shared" si="491"/>
        <v>0</v>
      </c>
      <c r="CC346" s="155">
        <f t="shared" si="492"/>
        <v>0</v>
      </c>
      <c r="CD346" s="79" t="s">
        <v>538</v>
      </c>
      <c r="CE346" s="65">
        <f t="shared" si="493"/>
        <v>138872</v>
      </c>
      <c r="CF346" s="65">
        <f t="shared" si="494"/>
        <v>138872</v>
      </c>
      <c r="CG346" s="65">
        <f t="shared" si="495"/>
        <v>176619</v>
      </c>
      <c r="CH346" s="65">
        <f t="shared" si="496"/>
        <v>138872</v>
      </c>
      <c r="CI346" s="65">
        <f t="shared" si="497"/>
        <v>679112</v>
      </c>
      <c r="CJ346" s="65">
        <f t="shared" si="498"/>
        <v>166982</v>
      </c>
      <c r="CK346" s="65">
        <f t="shared" si="499"/>
        <v>352514</v>
      </c>
      <c r="CL346" s="65">
        <f t="shared" si="500"/>
        <v>138872</v>
      </c>
      <c r="CM346" s="65">
        <f t="shared" si="501"/>
        <v>213114</v>
      </c>
      <c r="CN346" s="65">
        <f t="shared" si="502"/>
        <v>400791</v>
      </c>
      <c r="CO346" s="65">
        <f t="shared" si="503"/>
        <v>160900</v>
      </c>
      <c r="CP346" s="65">
        <f t="shared" si="504"/>
        <v>358590</v>
      </c>
      <c r="CQ346" s="40" t="s">
        <v>538</v>
      </c>
    </row>
    <row r="347" spans="1:95" ht="3" customHeight="1" x14ac:dyDescent="0.25">
      <c r="A347" s="39">
        <v>1</v>
      </c>
      <c r="B347" s="28">
        <v>16207</v>
      </c>
      <c r="C347" s="28" t="s">
        <v>34</v>
      </c>
      <c r="D347" s="48">
        <f>+DATA!Q345</f>
        <v>2571404.34</v>
      </c>
      <c r="E347" s="48">
        <f t="shared" si="473"/>
        <v>169284</v>
      </c>
      <c r="F347" s="48">
        <f t="shared" si="474"/>
        <v>257140</v>
      </c>
      <c r="G347" s="49">
        <f>VLOOKUP(B347,'CALC MEC ESTAB Y ESTIM M FINAL'!$B$7:$F$352,5,0)</f>
        <v>1.4530982809000002E-3</v>
      </c>
      <c r="H347" s="49">
        <f>VLOOKUP(B347,'CALC MEC ESTAB Y ESTIM M FINAL'!$B$7:$R$352,17,0)</f>
        <v>-1.217804823E-4</v>
      </c>
      <c r="I347" s="46">
        <f t="shared" si="430"/>
        <v>109770</v>
      </c>
      <c r="J347" s="46">
        <f t="shared" si="431"/>
        <v>0</v>
      </c>
      <c r="K347" s="46">
        <f t="shared" si="432"/>
        <v>59514</v>
      </c>
      <c r="L347" s="46">
        <v>0</v>
      </c>
      <c r="M347" s="46">
        <f t="shared" si="433"/>
        <v>169284</v>
      </c>
      <c r="N347" s="46">
        <f t="shared" si="475"/>
        <v>59514</v>
      </c>
      <c r="O347" s="46">
        <f t="shared" si="434"/>
        <v>58372</v>
      </c>
      <c r="P347" s="46">
        <f t="shared" si="435"/>
        <v>0</v>
      </c>
      <c r="Q347" s="46">
        <f t="shared" si="436"/>
        <v>110912</v>
      </c>
      <c r="R347" s="46">
        <v>0</v>
      </c>
      <c r="S347" s="46">
        <f t="shared" si="437"/>
        <v>169284</v>
      </c>
      <c r="T347" s="46">
        <f t="shared" si="476"/>
        <v>170426</v>
      </c>
      <c r="U347" s="46">
        <f t="shared" si="438"/>
        <v>166522</v>
      </c>
      <c r="V347" s="46">
        <f t="shared" si="439"/>
        <v>0</v>
      </c>
      <c r="W347" s="46">
        <f t="shared" si="477"/>
        <v>0</v>
      </c>
      <c r="X347" s="46">
        <v>0</v>
      </c>
      <c r="Y347" s="46">
        <f t="shared" si="440"/>
        <v>166522</v>
      </c>
      <c r="Z347" s="46">
        <f t="shared" si="478"/>
        <v>170426</v>
      </c>
      <c r="AA347" s="46">
        <f t="shared" si="441"/>
        <v>88421</v>
      </c>
      <c r="AB347" s="46">
        <f t="shared" si="442"/>
        <v>0</v>
      </c>
      <c r="AC347" s="46">
        <f t="shared" si="443"/>
        <v>80863</v>
      </c>
      <c r="AD347" s="46">
        <v>0</v>
      </c>
      <c r="AE347" s="46">
        <f t="shared" si="444"/>
        <v>169284</v>
      </c>
      <c r="AF347" s="46">
        <f t="shared" si="479"/>
        <v>251289</v>
      </c>
      <c r="AG347" s="46">
        <f t="shared" si="445"/>
        <v>769425</v>
      </c>
      <c r="AH347" s="46">
        <f t="shared" si="446"/>
        <v>7102</v>
      </c>
      <c r="AI347" s="46">
        <f t="shared" si="480"/>
        <v>-251289</v>
      </c>
      <c r="AJ347" s="46">
        <v>0</v>
      </c>
      <c r="AK347" s="46">
        <f t="shared" si="447"/>
        <v>525238</v>
      </c>
      <c r="AL347" s="46">
        <f t="shared" si="481"/>
        <v>0</v>
      </c>
      <c r="AM347" s="46">
        <f t="shared" si="448"/>
        <v>152403</v>
      </c>
      <c r="AN347" s="46">
        <f t="shared" si="449"/>
        <v>5033</v>
      </c>
      <c r="AO347" s="46">
        <f t="shared" si="450"/>
        <v>16881</v>
      </c>
      <c r="AP347" s="46">
        <v>0</v>
      </c>
      <c r="AQ347" s="46">
        <f t="shared" si="451"/>
        <v>174317</v>
      </c>
      <c r="AR347" s="46">
        <f t="shared" si="482"/>
        <v>16881</v>
      </c>
      <c r="AS347" s="46">
        <f t="shared" si="452"/>
        <v>302951</v>
      </c>
      <c r="AT347" s="46">
        <f t="shared" si="453"/>
        <v>29411</v>
      </c>
      <c r="AU347" s="46">
        <f t="shared" si="483"/>
        <v>-16881</v>
      </c>
      <c r="AV347" s="46">
        <v>0</v>
      </c>
      <c r="AW347" s="46">
        <f t="shared" si="454"/>
        <v>315481</v>
      </c>
      <c r="AX347" s="46">
        <f t="shared" si="484"/>
        <v>0</v>
      </c>
      <c r="AY347" s="46">
        <f t="shared" si="455"/>
        <v>100069</v>
      </c>
      <c r="AZ347" s="46">
        <f t="shared" si="456"/>
        <v>0</v>
      </c>
      <c r="BA347" s="46">
        <f t="shared" si="457"/>
        <v>69215</v>
      </c>
      <c r="BB347" s="46"/>
      <c r="BC347" s="46">
        <f t="shared" si="458"/>
        <v>169284</v>
      </c>
      <c r="BD347" s="46">
        <f t="shared" si="485"/>
        <v>69215</v>
      </c>
      <c r="BE347" s="46">
        <f t="shared" si="459"/>
        <v>193721</v>
      </c>
      <c r="BF347" s="46">
        <f t="shared" si="460"/>
        <v>7210</v>
      </c>
      <c r="BG347" s="46">
        <f t="shared" si="486"/>
        <v>0</v>
      </c>
      <c r="BH347" s="46">
        <v>0</v>
      </c>
      <c r="BI347" s="46">
        <f t="shared" si="461"/>
        <v>200931</v>
      </c>
      <c r="BJ347" s="46">
        <f t="shared" si="487"/>
        <v>69215</v>
      </c>
      <c r="BK347" s="46">
        <f t="shared" si="462"/>
        <v>408743</v>
      </c>
      <c r="BL347" s="46">
        <f t="shared" si="463"/>
        <v>0</v>
      </c>
      <c r="BM347" s="46">
        <f t="shared" si="488"/>
        <v>-69215</v>
      </c>
      <c r="BN347" s="46">
        <v>0</v>
      </c>
      <c r="BO347" s="46">
        <f t="shared" si="464"/>
        <v>339528</v>
      </c>
      <c r="BP347" s="46">
        <f t="shared" si="489"/>
        <v>0</v>
      </c>
      <c r="BQ347" s="46">
        <f t="shared" si="465"/>
        <v>151702</v>
      </c>
      <c r="BR347" s="46">
        <f t="shared" si="466"/>
        <v>0</v>
      </c>
      <c r="BS347" s="46">
        <f t="shared" si="467"/>
        <v>17582</v>
      </c>
      <c r="BT347" s="46">
        <v>0</v>
      </c>
      <c r="BU347" s="46">
        <f t="shared" si="468"/>
        <v>169284</v>
      </c>
      <c r="BV347" s="46">
        <f t="shared" si="490"/>
        <v>17582</v>
      </c>
      <c r="BW347" s="46">
        <f t="shared" si="469"/>
        <v>290703</v>
      </c>
      <c r="BX347" s="46">
        <f t="shared" si="470"/>
        <v>47388</v>
      </c>
      <c r="BY347" s="46">
        <f t="shared" si="471"/>
        <v>-17582</v>
      </c>
      <c r="BZ347" s="46">
        <v>0</v>
      </c>
      <c r="CA347" s="46">
        <f t="shared" si="472"/>
        <v>320509</v>
      </c>
      <c r="CB347" s="46">
        <f t="shared" si="491"/>
        <v>0</v>
      </c>
      <c r="CC347" s="155">
        <f t="shared" si="492"/>
        <v>0</v>
      </c>
      <c r="CD347" s="79" t="s">
        <v>538</v>
      </c>
      <c r="CE347" s="65">
        <f t="shared" si="493"/>
        <v>169284</v>
      </c>
      <c r="CF347" s="65">
        <f t="shared" si="494"/>
        <v>169284</v>
      </c>
      <c r="CG347" s="65">
        <f t="shared" si="495"/>
        <v>166522</v>
      </c>
      <c r="CH347" s="65">
        <f t="shared" si="496"/>
        <v>169284</v>
      </c>
      <c r="CI347" s="65">
        <f t="shared" si="497"/>
        <v>525238</v>
      </c>
      <c r="CJ347" s="65">
        <f t="shared" si="498"/>
        <v>174317</v>
      </c>
      <c r="CK347" s="65">
        <f t="shared" si="499"/>
        <v>315481</v>
      </c>
      <c r="CL347" s="65">
        <f t="shared" si="500"/>
        <v>169284</v>
      </c>
      <c r="CM347" s="65">
        <f t="shared" si="501"/>
        <v>200931</v>
      </c>
      <c r="CN347" s="65">
        <f t="shared" si="502"/>
        <v>339528</v>
      </c>
      <c r="CO347" s="65">
        <f t="shared" si="503"/>
        <v>169284</v>
      </c>
      <c r="CP347" s="65">
        <f t="shared" si="504"/>
        <v>320509</v>
      </c>
      <c r="CQ347" s="40" t="s">
        <v>538</v>
      </c>
    </row>
    <row r="348" spans="1:95" ht="3" customHeight="1" x14ac:dyDescent="0.25">
      <c r="A348" s="39">
        <v>1</v>
      </c>
      <c r="B348" s="28">
        <v>16301</v>
      </c>
      <c r="C348" s="28" t="s">
        <v>176</v>
      </c>
      <c r="D348" s="48">
        <f>+DATA!Q346</f>
        <v>9669849.0130000003</v>
      </c>
      <c r="E348" s="48">
        <f t="shared" si="473"/>
        <v>636598</v>
      </c>
      <c r="F348" s="48">
        <f t="shared" si="474"/>
        <v>966985</v>
      </c>
      <c r="G348" s="49">
        <f>VLOOKUP(B348,'CALC MEC ESTAB Y ESTIM M FINAL'!$B$7:$F$352,5,0)</f>
        <v>5.3139400355000001E-3</v>
      </c>
      <c r="H348" s="49">
        <f>VLOOKUP(B348,'CALC MEC ESTAB Y ESTIM M FINAL'!$B$7:$R$352,17,0)</f>
        <v>-3.7421699069999998E-4</v>
      </c>
      <c r="I348" s="46">
        <f t="shared" si="430"/>
        <v>407291</v>
      </c>
      <c r="J348" s="46">
        <f t="shared" si="431"/>
        <v>0</v>
      </c>
      <c r="K348" s="46">
        <f t="shared" si="432"/>
        <v>229307</v>
      </c>
      <c r="L348" s="46">
        <v>0</v>
      </c>
      <c r="M348" s="46">
        <f t="shared" si="433"/>
        <v>636598</v>
      </c>
      <c r="N348" s="46">
        <f t="shared" si="475"/>
        <v>229307</v>
      </c>
      <c r="O348" s="46">
        <f t="shared" si="434"/>
        <v>216584</v>
      </c>
      <c r="P348" s="46">
        <f t="shared" si="435"/>
        <v>0</v>
      </c>
      <c r="Q348" s="46">
        <f t="shared" si="436"/>
        <v>420014</v>
      </c>
      <c r="R348" s="46">
        <v>0</v>
      </c>
      <c r="S348" s="46">
        <f t="shared" si="437"/>
        <v>636598</v>
      </c>
      <c r="T348" s="46">
        <f t="shared" si="476"/>
        <v>649321</v>
      </c>
      <c r="U348" s="46">
        <f t="shared" si="438"/>
        <v>617864</v>
      </c>
      <c r="V348" s="46">
        <f t="shared" si="439"/>
        <v>0</v>
      </c>
      <c r="W348" s="46">
        <f t="shared" si="477"/>
        <v>0</v>
      </c>
      <c r="X348" s="46">
        <v>0</v>
      </c>
      <c r="Y348" s="46">
        <f t="shared" si="440"/>
        <v>617864</v>
      </c>
      <c r="Z348" s="46">
        <f t="shared" si="478"/>
        <v>649321</v>
      </c>
      <c r="AA348" s="46">
        <f t="shared" si="441"/>
        <v>328076</v>
      </c>
      <c r="AB348" s="46">
        <f t="shared" si="442"/>
        <v>0</v>
      </c>
      <c r="AC348" s="46">
        <f t="shared" si="443"/>
        <v>308522</v>
      </c>
      <c r="AD348" s="46">
        <v>0</v>
      </c>
      <c r="AE348" s="46">
        <f t="shared" si="444"/>
        <v>636598</v>
      </c>
      <c r="AF348" s="46">
        <f t="shared" si="479"/>
        <v>957843</v>
      </c>
      <c r="AG348" s="46">
        <f t="shared" si="445"/>
        <v>2854877</v>
      </c>
      <c r="AH348" s="46">
        <f t="shared" si="446"/>
        <v>26350</v>
      </c>
      <c r="AI348" s="46">
        <f t="shared" si="480"/>
        <v>-957843</v>
      </c>
      <c r="AJ348" s="46">
        <v>0</v>
      </c>
      <c r="AK348" s="46">
        <f t="shared" si="447"/>
        <v>1923384</v>
      </c>
      <c r="AL348" s="46">
        <f t="shared" si="481"/>
        <v>0</v>
      </c>
      <c r="AM348" s="46">
        <f t="shared" si="448"/>
        <v>565478</v>
      </c>
      <c r="AN348" s="46">
        <f t="shared" si="449"/>
        <v>18674</v>
      </c>
      <c r="AO348" s="46">
        <f t="shared" si="450"/>
        <v>71120</v>
      </c>
      <c r="AP348" s="46">
        <v>0</v>
      </c>
      <c r="AQ348" s="46">
        <f t="shared" si="451"/>
        <v>655272</v>
      </c>
      <c r="AR348" s="46">
        <f t="shared" si="482"/>
        <v>71120</v>
      </c>
      <c r="AS348" s="46">
        <f t="shared" si="452"/>
        <v>1124070</v>
      </c>
      <c r="AT348" s="46">
        <f t="shared" si="453"/>
        <v>109127</v>
      </c>
      <c r="AU348" s="46">
        <f t="shared" si="483"/>
        <v>-71120</v>
      </c>
      <c r="AV348" s="46">
        <v>0</v>
      </c>
      <c r="AW348" s="46">
        <f t="shared" si="454"/>
        <v>1162077</v>
      </c>
      <c r="AX348" s="46">
        <f t="shared" si="484"/>
        <v>0</v>
      </c>
      <c r="AY348" s="46">
        <f t="shared" si="455"/>
        <v>371297</v>
      </c>
      <c r="AZ348" s="46">
        <f t="shared" si="456"/>
        <v>0</v>
      </c>
      <c r="BA348" s="46">
        <f t="shared" si="457"/>
        <v>265301</v>
      </c>
      <c r="BB348" s="46"/>
      <c r="BC348" s="46">
        <f t="shared" si="458"/>
        <v>636598</v>
      </c>
      <c r="BD348" s="46">
        <f t="shared" si="485"/>
        <v>265301</v>
      </c>
      <c r="BE348" s="46">
        <f t="shared" si="459"/>
        <v>718783</v>
      </c>
      <c r="BF348" s="46">
        <f t="shared" si="460"/>
        <v>26752</v>
      </c>
      <c r="BG348" s="46">
        <f t="shared" si="486"/>
        <v>0</v>
      </c>
      <c r="BH348" s="46">
        <v>0</v>
      </c>
      <c r="BI348" s="46">
        <f t="shared" si="461"/>
        <v>745535</v>
      </c>
      <c r="BJ348" s="46">
        <f t="shared" si="487"/>
        <v>265301</v>
      </c>
      <c r="BK348" s="46">
        <f t="shared" si="462"/>
        <v>1516600</v>
      </c>
      <c r="BL348" s="46">
        <f t="shared" si="463"/>
        <v>0</v>
      </c>
      <c r="BM348" s="46">
        <f t="shared" si="488"/>
        <v>-265301</v>
      </c>
      <c r="BN348" s="46">
        <v>0</v>
      </c>
      <c r="BO348" s="46">
        <f t="shared" si="464"/>
        <v>1251299</v>
      </c>
      <c r="BP348" s="46">
        <f t="shared" si="489"/>
        <v>0</v>
      </c>
      <c r="BQ348" s="46">
        <f t="shared" si="465"/>
        <v>562875</v>
      </c>
      <c r="BR348" s="46">
        <f t="shared" si="466"/>
        <v>0</v>
      </c>
      <c r="BS348" s="46">
        <f t="shared" si="467"/>
        <v>73723</v>
      </c>
      <c r="BT348" s="46">
        <v>0</v>
      </c>
      <c r="BU348" s="46">
        <f t="shared" si="468"/>
        <v>636598</v>
      </c>
      <c r="BV348" s="46">
        <f t="shared" si="490"/>
        <v>73723</v>
      </c>
      <c r="BW348" s="46">
        <f t="shared" si="469"/>
        <v>1078625</v>
      </c>
      <c r="BX348" s="46">
        <f t="shared" si="470"/>
        <v>175827</v>
      </c>
      <c r="BY348" s="46">
        <f t="shared" si="471"/>
        <v>-73723</v>
      </c>
      <c r="BZ348" s="46">
        <v>0</v>
      </c>
      <c r="CA348" s="46">
        <f t="shared" si="472"/>
        <v>1180729</v>
      </c>
      <c r="CB348" s="46">
        <f t="shared" si="491"/>
        <v>0</v>
      </c>
      <c r="CC348" s="155">
        <f t="shared" si="492"/>
        <v>0</v>
      </c>
      <c r="CD348" s="79" t="s">
        <v>538</v>
      </c>
      <c r="CE348" s="65">
        <f t="shared" si="493"/>
        <v>636598</v>
      </c>
      <c r="CF348" s="65">
        <f t="shared" si="494"/>
        <v>636598</v>
      </c>
      <c r="CG348" s="65">
        <f t="shared" si="495"/>
        <v>617864</v>
      </c>
      <c r="CH348" s="65">
        <f t="shared" si="496"/>
        <v>636598</v>
      </c>
      <c r="CI348" s="65">
        <f t="shared" si="497"/>
        <v>1923384</v>
      </c>
      <c r="CJ348" s="65">
        <f t="shared" si="498"/>
        <v>655272</v>
      </c>
      <c r="CK348" s="65">
        <f t="shared" si="499"/>
        <v>1162077</v>
      </c>
      <c r="CL348" s="65">
        <f t="shared" si="500"/>
        <v>636598</v>
      </c>
      <c r="CM348" s="65">
        <f t="shared" si="501"/>
        <v>745535</v>
      </c>
      <c r="CN348" s="65">
        <f t="shared" si="502"/>
        <v>1251299</v>
      </c>
      <c r="CO348" s="65">
        <f t="shared" si="503"/>
        <v>636598</v>
      </c>
      <c r="CP348" s="65">
        <f t="shared" si="504"/>
        <v>1180729</v>
      </c>
      <c r="CQ348" s="40" t="s">
        <v>538</v>
      </c>
    </row>
    <row r="349" spans="1:95" ht="3" customHeight="1" x14ac:dyDescent="0.25">
      <c r="A349" s="39">
        <v>1</v>
      </c>
      <c r="B349" s="28">
        <v>16302</v>
      </c>
      <c r="C349" s="28" t="s">
        <v>170</v>
      </c>
      <c r="D349" s="48">
        <f>+DATA!Q347</f>
        <v>6008857.8969999999</v>
      </c>
      <c r="E349" s="48">
        <f t="shared" si="473"/>
        <v>395583</v>
      </c>
      <c r="F349" s="48">
        <f t="shared" si="474"/>
        <v>600886</v>
      </c>
      <c r="G349" s="49">
        <f>VLOOKUP(B349,'CALC MEC ESTAB Y ESTIM M FINAL'!$B$7:$F$352,5,0)</f>
        <v>2.0551373965000002E-3</v>
      </c>
      <c r="H349" s="49">
        <f>VLOOKUP(B349,'CALC MEC ESTAB Y ESTIM M FINAL'!$B$7:$R$352,17,0)</f>
        <v>8.1770282489999999E-4</v>
      </c>
      <c r="I349" s="46">
        <f t="shared" si="430"/>
        <v>236872</v>
      </c>
      <c r="J349" s="46">
        <f t="shared" si="431"/>
        <v>0</v>
      </c>
      <c r="K349" s="46">
        <f t="shared" si="432"/>
        <v>158711</v>
      </c>
      <c r="L349" s="46">
        <v>0</v>
      </c>
      <c r="M349" s="46">
        <f t="shared" si="433"/>
        <v>395583</v>
      </c>
      <c r="N349" s="46">
        <f t="shared" si="475"/>
        <v>158711</v>
      </c>
      <c r="O349" s="46">
        <f t="shared" si="434"/>
        <v>125960</v>
      </c>
      <c r="P349" s="46">
        <f t="shared" si="435"/>
        <v>0</v>
      </c>
      <c r="Q349" s="46">
        <f t="shared" si="436"/>
        <v>269623</v>
      </c>
      <c r="R349" s="46">
        <v>0</v>
      </c>
      <c r="S349" s="46">
        <f t="shared" si="437"/>
        <v>395583</v>
      </c>
      <c r="T349" s="46">
        <f t="shared" si="476"/>
        <v>428334</v>
      </c>
      <c r="U349" s="46">
        <f t="shared" si="438"/>
        <v>359337</v>
      </c>
      <c r="V349" s="46">
        <f t="shared" si="439"/>
        <v>0</v>
      </c>
      <c r="W349" s="46">
        <f t="shared" si="477"/>
        <v>0</v>
      </c>
      <c r="X349" s="46">
        <v>0</v>
      </c>
      <c r="Y349" s="46">
        <f t="shared" si="440"/>
        <v>359337</v>
      </c>
      <c r="Z349" s="46">
        <f t="shared" si="478"/>
        <v>428334</v>
      </c>
      <c r="AA349" s="46">
        <f t="shared" si="441"/>
        <v>190802</v>
      </c>
      <c r="AB349" s="46">
        <f t="shared" si="442"/>
        <v>0</v>
      </c>
      <c r="AC349" s="46">
        <f t="shared" si="443"/>
        <v>204781</v>
      </c>
      <c r="AD349" s="46">
        <v>0</v>
      </c>
      <c r="AE349" s="46">
        <f t="shared" si="444"/>
        <v>395583</v>
      </c>
      <c r="AF349" s="46">
        <f t="shared" si="479"/>
        <v>633115</v>
      </c>
      <c r="AG349" s="46">
        <f t="shared" si="445"/>
        <v>1660337</v>
      </c>
      <c r="AH349" s="46">
        <f t="shared" si="446"/>
        <v>15324</v>
      </c>
      <c r="AI349" s="46">
        <f t="shared" si="480"/>
        <v>-633115</v>
      </c>
      <c r="AJ349" s="46">
        <v>0</v>
      </c>
      <c r="AK349" s="46">
        <f t="shared" si="447"/>
        <v>1042546</v>
      </c>
      <c r="AL349" s="46">
        <f t="shared" si="481"/>
        <v>0</v>
      </c>
      <c r="AM349" s="46">
        <f t="shared" si="448"/>
        <v>328870</v>
      </c>
      <c r="AN349" s="46">
        <f t="shared" si="449"/>
        <v>10861</v>
      </c>
      <c r="AO349" s="46">
        <f t="shared" si="450"/>
        <v>66713</v>
      </c>
      <c r="AP349" s="46">
        <v>0</v>
      </c>
      <c r="AQ349" s="46">
        <f t="shared" si="451"/>
        <v>406444</v>
      </c>
      <c r="AR349" s="46">
        <f t="shared" si="482"/>
        <v>66713</v>
      </c>
      <c r="AS349" s="46">
        <f t="shared" si="452"/>
        <v>653736</v>
      </c>
      <c r="AT349" s="46">
        <f t="shared" si="453"/>
        <v>63466</v>
      </c>
      <c r="AU349" s="46">
        <f t="shared" si="483"/>
        <v>-52850</v>
      </c>
      <c r="AV349" s="46">
        <v>0</v>
      </c>
      <c r="AW349" s="46">
        <f t="shared" si="454"/>
        <v>664352</v>
      </c>
      <c r="AX349" s="46">
        <f t="shared" si="484"/>
        <v>13863</v>
      </c>
      <c r="AY349" s="46">
        <f t="shared" si="455"/>
        <v>215939</v>
      </c>
      <c r="AZ349" s="46">
        <f t="shared" si="456"/>
        <v>0</v>
      </c>
      <c r="BA349" s="46">
        <f t="shared" si="457"/>
        <v>179644</v>
      </c>
      <c r="BB349" s="46"/>
      <c r="BC349" s="46">
        <f t="shared" si="458"/>
        <v>395583</v>
      </c>
      <c r="BD349" s="46">
        <f t="shared" si="485"/>
        <v>193507</v>
      </c>
      <c r="BE349" s="46">
        <f t="shared" si="459"/>
        <v>418029</v>
      </c>
      <c r="BF349" s="46">
        <f t="shared" si="460"/>
        <v>15559</v>
      </c>
      <c r="BG349" s="46">
        <f t="shared" si="486"/>
        <v>0</v>
      </c>
      <c r="BH349" s="46">
        <v>0</v>
      </c>
      <c r="BI349" s="46">
        <f t="shared" si="461"/>
        <v>433588</v>
      </c>
      <c r="BJ349" s="46">
        <f t="shared" si="487"/>
        <v>193507</v>
      </c>
      <c r="BK349" s="46">
        <f t="shared" si="462"/>
        <v>882023</v>
      </c>
      <c r="BL349" s="46">
        <f t="shared" si="463"/>
        <v>0</v>
      </c>
      <c r="BM349" s="46">
        <f t="shared" si="488"/>
        <v>-193507</v>
      </c>
      <c r="BN349" s="46">
        <v>0</v>
      </c>
      <c r="BO349" s="46">
        <f t="shared" si="464"/>
        <v>688516</v>
      </c>
      <c r="BP349" s="46">
        <f t="shared" si="489"/>
        <v>0</v>
      </c>
      <c r="BQ349" s="46">
        <f t="shared" si="465"/>
        <v>327357</v>
      </c>
      <c r="BR349" s="46">
        <f t="shared" si="466"/>
        <v>0</v>
      </c>
      <c r="BS349" s="46">
        <f t="shared" si="467"/>
        <v>68226</v>
      </c>
      <c r="BT349" s="46">
        <v>0</v>
      </c>
      <c r="BU349" s="46">
        <f t="shared" si="468"/>
        <v>395583</v>
      </c>
      <c r="BV349" s="46">
        <f t="shared" si="490"/>
        <v>68226</v>
      </c>
      <c r="BW349" s="46">
        <f t="shared" si="469"/>
        <v>627306</v>
      </c>
      <c r="BX349" s="46">
        <f t="shared" si="470"/>
        <v>102257</v>
      </c>
      <c r="BY349" s="46">
        <f t="shared" si="471"/>
        <v>-68226</v>
      </c>
      <c r="BZ349" s="46">
        <v>0</v>
      </c>
      <c r="CA349" s="46">
        <f t="shared" si="472"/>
        <v>661337</v>
      </c>
      <c r="CB349" s="46">
        <f t="shared" si="491"/>
        <v>0</v>
      </c>
      <c r="CC349" s="155">
        <f t="shared" si="492"/>
        <v>0</v>
      </c>
      <c r="CD349" s="79" t="s">
        <v>538</v>
      </c>
      <c r="CE349" s="65">
        <f t="shared" si="493"/>
        <v>395583</v>
      </c>
      <c r="CF349" s="65">
        <f t="shared" si="494"/>
        <v>395583</v>
      </c>
      <c r="CG349" s="65">
        <f t="shared" si="495"/>
        <v>359337</v>
      </c>
      <c r="CH349" s="65">
        <f t="shared" si="496"/>
        <v>395583</v>
      </c>
      <c r="CI349" s="65">
        <f t="shared" si="497"/>
        <v>1042546</v>
      </c>
      <c r="CJ349" s="65">
        <f t="shared" si="498"/>
        <v>406444</v>
      </c>
      <c r="CK349" s="65">
        <f t="shared" si="499"/>
        <v>664352</v>
      </c>
      <c r="CL349" s="65">
        <f t="shared" si="500"/>
        <v>395583</v>
      </c>
      <c r="CM349" s="65">
        <f t="shared" si="501"/>
        <v>433588</v>
      </c>
      <c r="CN349" s="65">
        <f t="shared" si="502"/>
        <v>688516</v>
      </c>
      <c r="CO349" s="65">
        <f t="shared" si="503"/>
        <v>395583</v>
      </c>
      <c r="CP349" s="65">
        <f t="shared" si="504"/>
        <v>661337</v>
      </c>
      <c r="CQ349" s="40" t="s">
        <v>538</v>
      </c>
    </row>
    <row r="350" spans="1:95" ht="3" customHeight="1" x14ac:dyDescent="0.25">
      <c r="A350" s="39">
        <v>1</v>
      </c>
      <c r="B350" s="28">
        <v>16303</v>
      </c>
      <c r="C350" s="28" t="s">
        <v>403</v>
      </c>
      <c r="D350" s="48">
        <f>+DATA!Q348</f>
        <v>3501207.9249999998</v>
      </c>
      <c r="E350" s="48">
        <f t="shared" si="473"/>
        <v>230496</v>
      </c>
      <c r="F350" s="48">
        <f t="shared" si="474"/>
        <v>350121</v>
      </c>
      <c r="G350" s="49">
        <f>VLOOKUP(B350,'CALC MEC ESTAB Y ESTIM M FINAL'!$B$7:$F$352,5,0)</f>
        <v>2.2139322671000002E-3</v>
      </c>
      <c r="H350" s="49">
        <f>VLOOKUP(B350,'CALC MEC ESTAB Y ESTIM M FINAL'!$B$7:$R$352,17,0)</f>
        <v>-2.94637268E-4</v>
      </c>
      <c r="I350" s="46">
        <f t="shared" si="430"/>
        <v>158250</v>
      </c>
      <c r="J350" s="46">
        <f t="shared" si="431"/>
        <v>0</v>
      </c>
      <c r="K350" s="46">
        <f t="shared" si="432"/>
        <v>72246</v>
      </c>
      <c r="L350" s="46">
        <v>0</v>
      </c>
      <c r="M350" s="46">
        <f t="shared" si="433"/>
        <v>230496</v>
      </c>
      <c r="N350" s="46">
        <f t="shared" si="475"/>
        <v>72246</v>
      </c>
      <c r="O350" s="46">
        <f t="shared" si="434"/>
        <v>84152</v>
      </c>
      <c r="P350" s="46">
        <f t="shared" si="435"/>
        <v>0</v>
      </c>
      <c r="Q350" s="46">
        <f t="shared" si="436"/>
        <v>146344</v>
      </c>
      <c r="R350" s="46">
        <v>0</v>
      </c>
      <c r="S350" s="46">
        <f t="shared" si="437"/>
        <v>230496</v>
      </c>
      <c r="T350" s="46">
        <f t="shared" si="476"/>
        <v>218590</v>
      </c>
      <c r="U350" s="46">
        <f t="shared" si="438"/>
        <v>240067</v>
      </c>
      <c r="V350" s="46">
        <f t="shared" si="439"/>
        <v>0</v>
      </c>
      <c r="W350" s="46">
        <f t="shared" si="477"/>
        <v>0</v>
      </c>
      <c r="X350" s="46">
        <v>0</v>
      </c>
      <c r="Y350" s="46">
        <f t="shared" si="440"/>
        <v>240067</v>
      </c>
      <c r="Z350" s="46">
        <f t="shared" si="478"/>
        <v>218590</v>
      </c>
      <c r="AA350" s="46">
        <f t="shared" si="441"/>
        <v>127472</v>
      </c>
      <c r="AB350" s="46">
        <f t="shared" si="442"/>
        <v>0</v>
      </c>
      <c r="AC350" s="46">
        <f t="shared" si="443"/>
        <v>103024</v>
      </c>
      <c r="AD350" s="46">
        <v>0</v>
      </c>
      <c r="AE350" s="46">
        <f t="shared" si="444"/>
        <v>230496</v>
      </c>
      <c r="AF350" s="46">
        <f t="shared" si="479"/>
        <v>321614</v>
      </c>
      <c r="AG350" s="46">
        <f t="shared" si="445"/>
        <v>1109242</v>
      </c>
      <c r="AH350" s="46">
        <f t="shared" si="446"/>
        <v>10238</v>
      </c>
      <c r="AI350" s="46">
        <f t="shared" si="480"/>
        <v>-321614</v>
      </c>
      <c r="AJ350" s="46">
        <v>0</v>
      </c>
      <c r="AK350" s="46">
        <f t="shared" si="447"/>
        <v>797866</v>
      </c>
      <c r="AL350" s="46">
        <f t="shared" si="481"/>
        <v>0</v>
      </c>
      <c r="AM350" s="46">
        <f t="shared" si="448"/>
        <v>219713</v>
      </c>
      <c r="AN350" s="46">
        <f t="shared" si="449"/>
        <v>7256</v>
      </c>
      <c r="AO350" s="46">
        <f t="shared" si="450"/>
        <v>10783</v>
      </c>
      <c r="AP350" s="46">
        <v>0</v>
      </c>
      <c r="AQ350" s="46">
        <f t="shared" si="451"/>
        <v>237752</v>
      </c>
      <c r="AR350" s="46">
        <f t="shared" si="482"/>
        <v>10783</v>
      </c>
      <c r="AS350" s="46">
        <f t="shared" si="452"/>
        <v>436750</v>
      </c>
      <c r="AT350" s="46">
        <f t="shared" si="453"/>
        <v>42400</v>
      </c>
      <c r="AU350" s="46">
        <f t="shared" si="483"/>
        <v>-10783</v>
      </c>
      <c r="AV350" s="46">
        <v>0</v>
      </c>
      <c r="AW350" s="46">
        <f t="shared" si="454"/>
        <v>468367</v>
      </c>
      <c r="AX350" s="46">
        <f t="shared" si="484"/>
        <v>0</v>
      </c>
      <c r="AY350" s="46">
        <f t="shared" si="455"/>
        <v>144265</v>
      </c>
      <c r="AZ350" s="46">
        <f t="shared" si="456"/>
        <v>0</v>
      </c>
      <c r="BA350" s="46">
        <f t="shared" si="457"/>
        <v>86231</v>
      </c>
      <c r="BB350" s="46"/>
      <c r="BC350" s="46">
        <f t="shared" si="458"/>
        <v>230496</v>
      </c>
      <c r="BD350" s="46">
        <f t="shared" si="485"/>
        <v>86231</v>
      </c>
      <c r="BE350" s="46">
        <f t="shared" si="459"/>
        <v>279278</v>
      </c>
      <c r="BF350" s="46">
        <f t="shared" si="460"/>
        <v>10394</v>
      </c>
      <c r="BG350" s="46">
        <f t="shared" si="486"/>
        <v>0</v>
      </c>
      <c r="BH350" s="46">
        <v>0</v>
      </c>
      <c r="BI350" s="46">
        <f t="shared" si="461"/>
        <v>289672</v>
      </c>
      <c r="BJ350" s="46">
        <f t="shared" si="487"/>
        <v>86231</v>
      </c>
      <c r="BK350" s="46">
        <f t="shared" si="462"/>
        <v>589264</v>
      </c>
      <c r="BL350" s="46">
        <f t="shared" si="463"/>
        <v>0</v>
      </c>
      <c r="BM350" s="46">
        <f t="shared" si="488"/>
        <v>-86231</v>
      </c>
      <c r="BN350" s="46">
        <v>0</v>
      </c>
      <c r="BO350" s="46">
        <f t="shared" si="464"/>
        <v>503033</v>
      </c>
      <c r="BP350" s="46">
        <f t="shared" si="489"/>
        <v>0</v>
      </c>
      <c r="BQ350" s="46">
        <f t="shared" si="465"/>
        <v>218701</v>
      </c>
      <c r="BR350" s="46">
        <f t="shared" si="466"/>
        <v>0</v>
      </c>
      <c r="BS350" s="46">
        <f t="shared" si="467"/>
        <v>11795</v>
      </c>
      <c r="BT350" s="46">
        <v>0</v>
      </c>
      <c r="BU350" s="46">
        <f t="shared" si="468"/>
        <v>230496</v>
      </c>
      <c r="BV350" s="46">
        <f t="shared" si="490"/>
        <v>11795</v>
      </c>
      <c r="BW350" s="46">
        <f t="shared" si="469"/>
        <v>419092</v>
      </c>
      <c r="BX350" s="46">
        <f t="shared" si="470"/>
        <v>68316</v>
      </c>
      <c r="BY350" s="46">
        <f t="shared" si="471"/>
        <v>-11795</v>
      </c>
      <c r="BZ350" s="46">
        <v>0</v>
      </c>
      <c r="CA350" s="46">
        <f t="shared" si="472"/>
        <v>475613</v>
      </c>
      <c r="CB350" s="46">
        <f t="shared" si="491"/>
        <v>0</v>
      </c>
      <c r="CC350" s="155">
        <f t="shared" si="492"/>
        <v>0</v>
      </c>
      <c r="CD350" s="79" t="s">
        <v>538</v>
      </c>
      <c r="CE350" s="65">
        <f t="shared" si="493"/>
        <v>230496</v>
      </c>
      <c r="CF350" s="65">
        <f t="shared" si="494"/>
        <v>230496</v>
      </c>
      <c r="CG350" s="65">
        <f t="shared" si="495"/>
        <v>240067</v>
      </c>
      <c r="CH350" s="65">
        <f t="shared" si="496"/>
        <v>230496</v>
      </c>
      <c r="CI350" s="65">
        <f t="shared" si="497"/>
        <v>797866</v>
      </c>
      <c r="CJ350" s="65">
        <f t="shared" si="498"/>
        <v>237752</v>
      </c>
      <c r="CK350" s="65">
        <f t="shared" si="499"/>
        <v>468367</v>
      </c>
      <c r="CL350" s="65">
        <f t="shared" si="500"/>
        <v>230496</v>
      </c>
      <c r="CM350" s="65">
        <f t="shared" si="501"/>
        <v>289672</v>
      </c>
      <c r="CN350" s="65">
        <f t="shared" si="502"/>
        <v>503033</v>
      </c>
      <c r="CO350" s="65">
        <f t="shared" si="503"/>
        <v>230496</v>
      </c>
      <c r="CP350" s="65">
        <f t="shared" si="504"/>
        <v>475613</v>
      </c>
      <c r="CQ350" s="40" t="s">
        <v>538</v>
      </c>
    </row>
    <row r="351" spans="1:95" ht="3" customHeight="1" x14ac:dyDescent="0.25">
      <c r="A351" s="39">
        <v>1</v>
      </c>
      <c r="B351" s="28">
        <v>16304</v>
      </c>
      <c r="C351" s="28" t="s">
        <v>405</v>
      </c>
      <c r="D351" s="48">
        <f>+DATA!Q349</f>
        <v>1728292.6310000001</v>
      </c>
      <c r="E351" s="48">
        <f t="shared" si="473"/>
        <v>113779</v>
      </c>
      <c r="F351" s="48">
        <f t="shared" si="474"/>
        <v>172829</v>
      </c>
      <c r="G351" s="49">
        <f>VLOOKUP(B351,'CALC MEC ESTAB Y ESTIM M FINAL'!$B$7:$F$352,5,0)</f>
        <v>9.2230896229999993E-4</v>
      </c>
      <c r="H351" s="49">
        <f>VLOOKUP(B351,'CALC MEC ESTAB Y ESTIM M FINAL'!$B$7:$R$352,17,0)</f>
        <v>-5.2218511900000003E-5</v>
      </c>
      <c r="I351" s="46">
        <f t="shared" si="430"/>
        <v>71741</v>
      </c>
      <c r="J351" s="46">
        <f t="shared" si="431"/>
        <v>0</v>
      </c>
      <c r="K351" s="46">
        <f t="shared" si="432"/>
        <v>42038</v>
      </c>
      <c r="L351" s="46">
        <v>0</v>
      </c>
      <c r="M351" s="46">
        <f t="shared" si="433"/>
        <v>113779</v>
      </c>
      <c r="N351" s="46">
        <f t="shared" si="475"/>
        <v>42038</v>
      </c>
      <c r="O351" s="46">
        <f t="shared" si="434"/>
        <v>38149</v>
      </c>
      <c r="P351" s="46">
        <f t="shared" si="435"/>
        <v>0</v>
      </c>
      <c r="Q351" s="46">
        <f t="shared" si="436"/>
        <v>75630</v>
      </c>
      <c r="R351" s="46">
        <v>0</v>
      </c>
      <c r="S351" s="46">
        <f t="shared" si="437"/>
        <v>113779</v>
      </c>
      <c r="T351" s="46">
        <f t="shared" si="476"/>
        <v>117668</v>
      </c>
      <c r="U351" s="46">
        <f t="shared" si="438"/>
        <v>108832</v>
      </c>
      <c r="V351" s="46">
        <f t="shared" si="439"/>
        <v>0</v>
      </c>
      <c r="W351" s="46">
        <f t="shared" si="477"/>
        <v>0</v>
      </c>
      <c r="X351" s="46">
        <v>0</v>
      </c>
      <c r="Y351" s="46">
        <f t="shared" si="440"/>
        <v>108832</v>
      </c>
      <c r="Z351" s="46">
        <f t="shared" si="478"/>
        <v>117668</v>
      </c>
      <c r="AA351" s="46">
        <f t="shared" si="441"/>
        <v>57788</v>
      </c>
      <c r="AB351" s="46">
        <f t="shared" si="442"/>
        <v>0</v>
      </c>
      <c r="AC351" s="46">
        <f t="shared" si="443"/>
        <v>55991</v>
      </c>
      <c r="AD351" s="46">
        <v>0</v>
      </c>
      <c r="AE351" s="46">
        <f t="shared" si="444"/>
        <v>113779</v>
      </c>
      <c r="AF351" s="46">
        <f t="shared" si="479"/>
        <v>173659</v>
      </c>
      <c r="AG351" s="46">
        <f t="shared" si="445"/>
        <v>502862</v>
      </c>
      <c r="AH351" s="46">
        <f t="shared" si="446"/>
        <v>4641</v>
      </c>
      <c r="AI351" s="46">
        <f t="shared" si="480"/>
        <v>-173659</v>
      </c>
      <c r="AJ351" s="46">
        <v>0</v>
      </c>
      <c r="AK351" s="46">
        <f t="shared" si="447"/>
        <v>333844</v>
      </c>
      <c r="AL351" s="46">
        <f t="shared" si="481"/>
        <v>0</v>
      </c>
      <c r="AM351" s="46">
        <f t="shared" si="448"/>
        <v>99604</v>
      </c>
      <c r="AN351" s="46">
        <f t="shared" si="449"/>
        <v>3289</v>
      </c>
      <c r="AO351" s="46">
        <f t="shared" si="450"/>
        <v>14175</v>
      </c>
      <c r="AP351" s="46">
        <v>0</v>
      </c>
      <c r="AQ351" s="46">
        <f t="shared" si="451"/>
        <v>117068</v>
      </c>
      <c r="AR351" s="46">
        <f t="shared" si="482"/>
        <v>14175</v>
      </c>
      <c r="AS351" s="46">
        <f t="shared" si="452"/>
        <v>197995</v>
      </c>
      <c r="AT351" s="46">
        <f t="shared" si="453"/>
        <v>19222</v>
      </c>
      <c r="AU351" s="46">
        <f t="shared" si="483"/>
        <v>-14175</v>
      </c>
      <c r="AV351" s="46">
        <v>0</v>
      </c>
      <c r="AW351" s="46">
        <f t="shared" si="454"/>
        <v>203042</v>
      </c>
      <c r="AX351" s="46">
        <f t="shared" si="484"/>
        <v>0</v>
      </c>
      <c r="AY351" s="46">
        <f t="shared" si="455"/>
        <v>65401</v>
      </c>
      <c r="AZ351" s="46">
        <f t="shared" si="456"/>
        <v>0</v>
      </c>
      <c r="BA351" s="46">
        <f t="shared" si="457"/>
        <v>48378</v>
      </c>
      <c r="BB351" s="46"/>
      <c r="BC351" s="46">
        <f t="shared" si="458"/>
        <v>113779</v>
      </c>
      <c r="BD351" s="46">
        <f t="shared" si="485"/>
        <v>48378</v>
      </c>
      <c r="BE351" s="46">
        <f t="shared" si="459"/>
        <v>126607</v>
      </c>
      <c r="BF351" s="46">
        <f t="shared" si="460"/>
        <v>4712</v>
      </c>
      <c r="BG351" s="46">
        <f t="shared" si="486"/>
        <v>0</v>
      </c>
      <c r="BH351" s="46">
        <v>0</v>
      </c>
      <c r="BI351" s="46">
        <f t="shared" si="461"/>
        <v>131319</v>
      </c>
      <c r="BJ351" s="46">
        <f t="shared" si="487"/>
        <v>48378</v>
      </c>
      <c r="BK351" s="46">
        <f t="shared" si="462"/>
        <v>267136</v>
      </c>
      <c r="BL351" s="46">
        <f t="shared" si="463"/>
        <v>0</v>
      </c>
      <c r="BM351" s="46">
        <f t="shared" si="488"/>
        <v>-48378</v>
      </c>
      <c r="BN351" s="46">
        <v>0</v>
      </c>
      <c r="BO351" s="46">
        <f t="shared" si="464"/>
        <v>218758</v>
      </c>
      <c r="BP351" s="46">
        <f t="shared" si="489"/>
        <v>0</v>
      </c>
      <c r="BQ351" s="46">
        <f t="shared" si="465"/>
        <v>99146</v>
      </c>
      <c r="BR351" s="46">
        <f t="shared" si="466"/>
        <v>0</v>
      </c>
      <c r="BS351" s="46">
        <f t="shared" si="467"/>
        <v>14633</v>
      </c>
      <c r="BT351" s="46">
        <v>0</v>
      </c>
      <c r="BU351" s="46">
        <f t="shared" si="468"/>
        <v>113779</v>
      </c>
      <c r="BV351" s="46">
        <f t="shared" si="490"/>
        <v>14633</v>
      </c>
      <c r="BW351" s="46">
        <f t="shared" si="469"/>
        <v>189991</v>
      </c>
      <c r="BX351" s="46">
        <f t="shared" si="470"/>
        <v>30970</v>
      </c>
      <c r="BY351" s="46">
        <f t="shared" si="471"/>
        <v>-14633</v>
      </c>
      <c r="BZ351" s="46">
        <v>0</v>
      </c>
      <c r="CA351" s="46">
        <f t="shared" si="472"/>
        <v>206328</v>
      </c>
      <c r="CB351" s="46">
        <f t="shared" si="491"/>
        <v>0</v>
      </c>
      <c r="CC351" s="155">
        <f t="shared" si="492"/>
        <v>0</v>
      </c>
      <c r="CD351" s="79" t="s">
        <v>538</v>
      </c>
      <c r="CE351" s="65">
        <f t="shared" si="493"/>
        <v>113779</v>
      </c>
      <c r="CF351" s="65">
        <f t="shared" si="494"/>
        <v>113779</v>
      </c>
      <c r="CG351" s="65">
        <f t="shared" si="495"/>
        <v>108832</v>
      </c>
      <c r="CH351" s="65">
        <f t="shared" si="496"/>
        <v>113779</v>
      </c>
      <c r="CI351" s="65">
        <f t="shared" si="497"/>
        <v>333844</v>
      </c>
      <c r="CJ351" s="65">
        <f t="shared" si="498"/>
        <v>117068</v>
      </c>
      <c r="CK351" s="65">
        <f t="shared" si="499"/>
        <v>203042</v>
      </c>
      <c r="CL351" s="65">
        <f t="shared" si="500"/>
        <v>113779</v>
      </c>
      <c r="CM351" s="65">
        <f t="shared" si="501"/>
        <v>131319</v>
      </c>
      <c r="CN351" s="65">
        <f t="shared" si="502"/>
        <v>218758</v>
      </c>
      <c r="CO351" s="65">
        <f t="shared" si="503"/>
        <v>113779</v>
      </c>
      <c r="CP351" s="65">
        <f t="shared" si="504"/>
        <v>206328</v>
      </c>
      <c r="CQ351" s="40" t="s">
        <v>538</v>
      </c>
    </row>
    <row r="352" spans="1:95" ht="3" customHeight="1" x14ac:dyDescent="0.25">
      <c r="A352" s="39">
        <v>1</v>
      </c>
      <c r="B352" s="28">
        <v>16305</v>
      </c>
      <c r="C352" s="28" t="s">
        <v>406</v>
      </c>
      <c r="D352" s="48">
        <f>+DATA!Q350</f>
        <v>2536253.179</v>
      </c>
      <c r="E352" s="48">
        <f t="shared" si="473"/>
        <v>166970</v>
      </c>
      <c r="F352" s="48">
        <f t="shared" si="474"/>
        <v>253625</v>
      </c>
      <c r="G352" s="49">
        <f>VLOOKUP(B352,'CALC MEC ESTAB Y ESTIM M FINAL'!$B$7:$F$352,5,0)</f>
        <v>1.2471007001999999E-3</v>
      </c>
      <c r="H352" s="49">
        <f>VLOOKUP(B352,'CALC MEC ESTAB Y ESTIM M FINAL'!$B$7:$R$352,17,0)</f>
        <v>-1.8397587799999999E-5</v>
      </c>
      <c r="I352" s="46">
        <f t="shared" si="430"/>
        <v>101309</v>
      </c>
      <c r="J352" s="46">
        <f t="shared" si="431"/>
        <v>0</v>
      </c>
      <c r="K352" s="46">
        <f t="shared" si="432"/>
        <v>65661</v>
      </c>
      <c r="L352" s="46">
        <v>0</v>
      </c>
      <c r="M352" s="46">
        <f t="shared" si="433"/>
        <v>166970</v>
      </c>
      <c r="N352" s="46">
        <f t="shared" si="475"/>
        <v>65661</v>
      </c>
      <c r="O352" s="46">
        <f t="shared" si="434"/>
        <v>53873</v>
      </c>
      <c r="P352" s="46">
        <f t="shared" si="435"/>
        <v>0</v>
      </c>
      <c r="Q352" s="46">
        <f t="shared" si="436"/>
        <v>113097</v>
      </c>
      <c r="R352" s="46">
        <v>0</v>
      </c>
      <c r="S352" s="46">
        <f t="shared" si="437"/>
        <v>166970</v>
      </c>
      <c r="T352" s="46">
        <f t="shared" si="476"/>
        <v>178758</v>
      </c>
      <c r="U352" s="46">
        <f t="shared" si="438"/>
        <v>153687</v>
      </c>
      <c r="V352" s="46">
        <f t="shared" si="439"/>
        <v>0</v>
      </c>
      <c r="W352" s="46">
        <f t="shared" si="477"/>
        <v>0</v>
      </c>
      <c r="X352" s="46">
        <v>0</v>
      </c>
      <c r="Y352" s="46">
        <f t="shared" si="440"/>
        <v>153687</v>
      </c>
      <c r="Z352" s="46">
        <f t="shared" si="478"/>
        <v>178758</v>
      </c>
      <c r="AA352" s="46">
        <f t="shared" si="441"/>
        <v>81605</v>
      </c>
      <c r="AB352" s="46">
        <f t="shared" si="442"/>
        <v>0</v>
      </c>
      <c r="AC352" s="46">
        <f t="shared" si="443"/>
        <v>85365</v>
      </c>
      <c r="AD352" s="46">
        <v>0</v>
      </c>
      <c r="AE352" s="46">
        <f t="shared" si="444"/>
        <v>166970</v>
      </c>
      <c r="AF352" s="46">
        <f t="shared" si="479"/>
        <v>264123</v>
      </c>
      <c r="AG352" s="46">
        <f t="shared" si="445"/>
        <v>710120</v>
      </c>
      <c r="AH352" s="46">
        <f t="shared" si="446"/>
        <v>6554</v>
      </c>
      <c r="AI352" s="46">
        <f t="shared" si="480"/>
        <v>-264123</v>
      </c>
      <c r="AJ352" s="46">
        <v>0</v>
      </c>
      <c r="AK352" s="46">
        <f t="shared" si="447"/>
        <v>452551</v>
      </c>
      <c r="AL352" s="46">
        <f t="shared" si="481"/>
        <v>0</v>
      </c>
      <c r="AM352" s="46">
        <f t="shared" si="448"/>
        <v>140657</v>
      </c>
      <c r="AN352" s="46">
        <f t="shared" si="449"/>
        <v>4645</v>
      </c>
      <c r="AO352" s="46">
        <f t="shared" si="450"/>
        <v>26313</v>
      </c>
      <c r="AP352" s="46">
        <v>0</v>
      </c>
      <c r="AQ352" s="46">
        <f t="shared" si="451"/>
        <v>171615</v>
      </c>
      <c r="AR352" s="46">
        <f t="shared" si="482"/>
        <v>26313</v>
      </c>
      <c r="AS352" s="46">
        <f t="shared" si="452"/>
        <v>279600</v>
      </c>
      <c r="AT352" s="46">
        <f t="shared" si="453"/>
        <v>27144</v>
      </c>
      <c r="AU352" s="46">
        <f t="shared" si="483"/>
        <v>-25975</v>
      </c>
      <c r="AV352" s="46">
        <v>0</v>
      </c>
      <c r="AW352" s="46">
        <f t="shared" si="454"/>
        <v>280769</v>
      </c>
      <c r="AX352" s="46">
        <f t="shared" si="484"/>
        <v>338</v>
      </c>
      <c r="AY352" s="46">
        <f t="shared" si="455"/>
        <v>92356</v>
      </c>
      <c r="AZ352" s="46">
        <f t="shared" si="456"/>
        <v>0</v>
      </c>
      <c r="BA352" s="46">
        <f t="shared" si="457"/>
        <v>74614</v>
      </c>
      <c r="BB352" s="46"/>
      <c r="BC352" s="46">
        <f t="shared" si="458"/>
        <v>166970</v>
      </c>
      <c r="BD352" s="46">
        <f t="shared" si="485"/>
        <v>74952</v>
      </c>
      <c r="BE352" s="46">
        <f t="shared" si="459"/>
        <v>178789</v>
      </c>
      <c r="BF352" s="46">
        <f t="shared" si="460"/>
        <v>6654</v>
      </c>
      <c r="BG352" s="46">
        <f t="shared" si="486"/>
        <v>0</v>
      </c>
      <c r="BH352" s="46">
        <v>0</v>
      </c>
      <c r="BI352" s="46">
        <f t="shared" si="461"/>
        <v>185443</v>
      </c>
      <c r="BJ352" s="46">
        <f t="shared" si="487"/>
        <v>74952</v>
      </c>
      <c r="BK352" s="46">
        <f t="shared" si="462"/>
        <v>377238</v>
      </c>
      <c r="BL352" s="46">
        <f t="shared" si="463"/>
        <v>0</v>
      </c>
      <c r="BM352" s="46">
        <f t="shared" si="488"/>
        <v>-74952</v>
      </c>
      <c r="BN352" s="46">
        <v>0</v>
      </c>
      <c r="BO352" s="46">
        <f t="shared" si="464"/>
        <v>302286</v>
      </c>
      <c r="BP352" s="46">
        <f t="shared" si="489"/>
        <v>0</v>
      </c>
      <c r="BQ352" s="46">
        <f t="shared" si="465"/>
        <v>140009</v>
      </c>
      <c r="BR352" s="46">
        <f t="shared" si="466"/>
        <v>0</v>
      </c>
      <c r="BS352" s="46">
        <f t="shared" si="467"/>
        <v>26961</v>
      </c>
      <c r="BT352" s="46">
        <v>0</v>
      </c>
      <c r="BU352" s="46">
        <f t="shared" si="468"/>
        <v>166970</v>
      </c>
      <c r="BV352" s="46">
        <f t="shared" si="490"/>
        <v>26961</v>
      </c>
      <c r="BW352" s="46">
        <f t="shared" si="469"/>
        <v>268296</v>
      </c>
      <c r="BX352" s="46">
        <f t="shared" si="470"/>
        <v>43735</v>
      </c>
      <c r="BY352" s="46">
        <f t="shared" si="471"/>
        <v>-26961</v>
      </c>
      <c r="BZ352" s="46">
        <v>0</v>
      </c>
      <c r="CA352" s="46">
        <f t="shared" si="472"/>
        <v>285070</v>
      </c>
      <c r="CB352" s="46">
        <f t="shared" si="491"/>
        <v>0</v>
      </c>
      <c r="CC352" s="155">
        <f t="shared" si="492"/>
        <v>0</v>
      </c>
      <c r="CD352" s="79" t="s">
        <v>538</v>
      </c>
      <c r="CE352" s="65">
        <f t="shared" si="493"/>
        <v>166970</v>
      </c>
      <c r="CF352" s="65">
        <f t="shared" si="494"/>
        <v>166970</v>
      </c>
      <c r="CG352" s="65">
        <f t="shared" si="495"/>
        <v>153687</v>
      </c>
      <c r="CH352" s="65">
        <f t="shared" si="496"/>
        <v>166970</v>
      </c>
      <c r="CI352" s="65">
        <f t="shared" si="497"/>
        <v>452551</v>
      </c>
      <c r="CJ352" s="65">
        <f t="shared" si="498"/>
        <v>171615</v>
      </c>
      <c r="CK352" s="65">
        <f t="shared" si="499"/>
        <v>280769</v>
      </c>
      <c r="CL352" s="65">
        <f t="shared" si="500"/>
        <v>166970</v>
      </c>
      <c r="CM352" s="65">
        <f t="shared" si="501"/>
        <v>185443</v>
      </c>
      <c r="CN352" s="65">
        <f t="shared" si="502"/>
        <v>302286</v>
      </c>
      <c r="CO352" s="65">
        <f t="shared" si="503"/>
        <v>166970</v>
      </c>
      <c r="CP352" s="65">
        <f t="shared" si="504"/>
        <v>285070</v>
      </c>
      <c r="CQ352" s="40" t="s">
        <v>538</v>
      </c>
    </row>
    <row r="354" spans="5:79" ht="3" customHeight="1" x14ac:dyDescent="0.25">
      <c r="I354" s="46">
        <f>SUM(I7:I352)</f>
        <v>82452159</v>
      </c>
      <c r="J354" s="46">
        <f>SUM(J7:J352)</f>
        <v>0</v>
      </c>
      <c r="K354" s="46">
        <f>SUM(K7:K352)</f>
        <v>48426835</v>
      </c>
      <c r="L354" s="46">
        <f>SUM(L7:L352)</f>
        <v>2353142</v>
      </c>
      <c r="M354" s="50">
        <f>SUM(M7:M352)-L354-K354-J354-I354</f>
        <v>0</v>
      </c>
      <c r="O354" s="46">
        <f>SUM(O7:O352)</f>
        <v>43845279</v>
      </c>
      <c r="P354" s="46">
        <f>SUM(P7:P352)</f>
        <v>0</v>
      </c>
      <c r="Q354" s="46">
        <f>SUM(Q7:Q352)</f>
        <v>86660453</v>
      </c>
      <c r="R354" s="46">
        <f>SUM(R7:R352)</f>
        <v>2353142</v>
      </c>
      <c r="S354" s="50">
        <f>SUM(S7:S352)-R354-Q354-P354-O354</f>
        <v>0</v>
      </c>
      <c r="U354" s="46">
        <f>SUM(U7:U352)</f>
        <v>125080706</v>
      </c>
      <c r="V354" s="46">
        <f>SUM(V7:V352)</f>
        <v>0</v>
      </c>
      <c r="W354" s="46">
        <f>SUM(W7:W352)</f>
        <v>0</v>
      </c>
      <c r="X354" s="46">
        <f>SUM(X7:X352)</f>
        <v>2353142</v>
      </c>
      <c r="Y354" s="50">
        <f>SUM(Y7:Y352)-X354-W354-V354-U354</f>
        <v>0</v>
      </c>
      <c r="AA354" s="46">
        <f>SUM(AA7:AA352)</f>
        <v>66415901</v>
      </c>
      <c r="AB354" s="46">
        <f>SUM(AB7:AB352)</f>
        <v>0</v>
      </c>
      <c r="AC354" s="46">
        <f>SUM(AC7:AC352)</f>
        <v>64308050</v>
      </c>
      <c r="AD354" s="46">
        <f>SUM(AD7:AD352)</f>
        <v>2353142</v>
      </c>
      <c r="AE354" s="50">
        <f>SUM(AE7:AE352)-AD354-AC354-AB354-AA354</f>
        <v>0</v>
      </c>
      <c r="AG354" s="46">
        <f>SUM(AG7:AG352)</f>
        <v>577942633</v>
      </c>
      <c r="AH354" s="46">
        <f>SUM(AH7:AH352)</f>
        <v>5334262</v>
      </c>
      <c r="AI354" s="46">
        <f>SUM(AI7:AI352)</f>
        <v>-199395338</v>
      </c>
      <c r="AJ354" s="46">
        <f>SUM(AJ7:AJ352)</f>
        <v>2353142</v>
      </c>
      <c r="AK354" s="50">
        <f>SUM(AK7:AK352)-AJ354-AI354-AH354-AG354</f>
        <v>0</v>
      </c>
      <c r="AM354" s="46">
        <f>SUM(AM7:AM352)</f>
        <v>114475673</v>
      </c>
      <c r="AN354" s="46">
        <f>SUM(AN7:AN352)</f>
        <v>3780444</v>
      </c>
      <c r="AO354" s="46">
        <f>SUM(AO7:AO352)</f>
        <v>16752983</v>
      </c>
      <c r="AP354" s="46">
        <f>SUM(AP7:AP352)</f>
        <v>2353142</v>
      </c>
      <c r="AQ354" s="50">
        <f>SUM(AQ7:AQ352)-AP354-AO354-AN354-AM354</f>
        <v>0</v>
      </c>
      <c r="AS354" s="46">
        <f>SUM(AS7:AS352)</f>
        <v>227557250</v>
      </c>
      <c r="AT354" s="46">
        <f>SUM(AT7:AT352)</f>
        <v>22091671</v>
      </c>
      <c r="AU354" s="46">
        <f>SUM(AU7:AU352)</f>
        <v>-15201054</v>
      </c>
      <c r="AV354" s="46">
        <f>SUM(AV7:AV352)</f>
        <v>2353142</v>
      </c>
      <c r="AW354" s="50">
        <f>SUM(AW7:AW352)-AV354-AU354-AT354-AS354</f>
        <v>0</v>
      </c>
      <c r="AY354" s="46">
        <f>SUM(AY7:AY352)</f>
        <v>75165634</v>
      </c>
      <c r="AZ354" s="46">
        <f>SUM(AZ7:AZ352)</f>
        <v>0</v>
      </c>
      <c r="BA354" s="46">
        <f>SUM(BA7:BA352)</f>
        <v>55642912</v>
      </c>
      <c r="BB354" s="46">
        <f>SUM(BB7:BB352)</f>
        <v>2353142</v>
      </c>
      <c r="BC354" s="50">
        <f>SUM(BC7:BC352)-BB354-BA354-AZ354-AY354</f>
        <v>0</v>
      </c>
      <c r="BE354" s="46">
        <f>SUM(BE7:BE352)</f>
        <v>145510706</v>
      </c>
      <c r="BF354" s="46">
        <f>SUM(BF7:BF352)</f>
        <v>5415776</v>
      </c>
      <c r="BG354" s="46">
        <f>SUM(BG7:BG352)</f>
        <v>0</v>
      </c>
      <c r="BH354" s="46">
        <f>SUM(BH7:BH352)</f>
        <v>2353141</v>
      </c>
      <c r="BI354" s="50">
        <f>SUM(BI7:BI352)-BH354-BG354-BF354-BE354</f>
        <v>0</v>
      </c>
      <c r="BK354" s="46">
        <f>SUM(BK7:BK352)</f>
        <v>307021311</v>
      </c>
      <c r="BL354" s="46">
        <f>SUM(BL7:BL352)</f>
        <v>0</v>
      </c>
      <c r="BM354" s="46">
        <f>SUM(BM7:BM352)</f>
        <v>-57194841</v>
      </c>
      <c r="BN354" s="46">
        <f>SUM(BN7:BN352)</f>
        <v>2353141</v>
      </c>
      <c r="BO354" s="50">
        <f>SUM(BO7:BO352)-BN354-BM354-BL354-BK354</f>
        <v>0</v>
      </c>
      <c r="BQ354" s="46">
        <f>SUM(BQ7:BQ352)</f>
        <v>113948745</v>
      </c>
      <c r="BR354" s="46">
        <f>SUM(BR7:BR352)</f>
        <v>0</v>
      </c>
      <c r="BS354" s="46">
        <f>SUM(BS7:BS352)</f>
        <v>17269644</v>
      </c>
      <c r="BT354" s="46">
        <f>SUM(BT7:BT352)</f>
        <v>2353141</v>
      </c>
      <c r="BU354" s="50">
        <f>SUM(BU7:BU352)-BT354-BS354-BR354-BQ354</f>
        <v>0</v>
      </c>
      <c r="BW354" s="46">
        <f>SUM(BW7:BW352)</f>
        <v>218357301</v>
      </c>
      <c r="BX354" s="46">
        <f>SUM(BX7:BX352)</f>
        <v>35594499</v>
      </c>
      <c r="BY354" s="46">
        <f>SUM(BY7:BY352)</f>
        <v>-17269644</v>
      </c>
      <c r="BZ354" s="46">
        <f>SUM(BZ7:BZ352)</f>
        <v>2353141</v>
      </c>
      <c r="CA354" s="50">
        <f>SUM(CA7:CA352)-BZ354-BY354-BX354-BW354</f>
        <v>0</v>
      </c>
    </row>
    <row r="356" spans="5:79" ht="3" customHeight="1" x14ac:dyDescent="0.25">
      <c r="E356" s="51"/>
      <c r="N356" s="46"/>
    </row>
    <row r="357" spans="5:79" ht="3" customHeight="1" x14ac:dyDescent="0.25">
      <c r="M357" s="46"/>
    </row>
    <row r="358" spans="5:79" ht="3" customHeight="1" x14ac:dyDescent="0.25">
      <c r="E358" s="51"/>
    </row>
    <row r="359" spans="5:79" ht="3" customHeight="1" x14ac:dyDescent="0.25">
      <c r="E359" s="51"/>
    </row>
    <row r="360" spans="5:79" ht="3" customHeight="1" x14ac:dyDescent="0.25">
      <c r="E360" s="51"/>
    </row>
    <row r="361" spans="5:79" ht="3" customHeight="1" x14ac:dyDescent="0.25">
      <c r="E361" s="51"/>
    </row>
  </sheetData>
  <sheetProtection algorithmName="SHA-512" hashValue="4zNsvf6YrU25QRRY7TrJhhD7H/YvxTUbJkPFTsBxuFcDOzxx46l0WurQ4eDgVPqER9PLl8ht8NGJooFMSx3b/w==" saltValue="r7xFev5fhHHW+j+lf6m73A==" spinCount="100000" sheet="1" selectLockedCells="1" selectUnlockedCells="1"/>
  <mergeCells count="1">
    <mergeCell ref="E5:F5"/>
  </mergeCells>
  <phoneticPr fontId="36" type="noConversion"/>
  <conditionalFormatting sqref="A7:A352">
    <cfRule type="cellIs" dxfId="15" priority="1" operator="equal">
      <formula>0</formula>
    </cfRule>
  </conditionalFormatting>
  <conditionalFormatting sqref="I2:CB2">
    <cfRule type="cellIs" dxfId="14" priority="19" stopIfTrue="1" operator="notEqual">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0"/>
    <pageSetUpPr fitToPage="1"/>
  </sheetPr>
  <dimension ref="B1:W189"/>
  <sheetViews>
    <sheetView showGridLines="0" tabSelected="1" showOutlineSymbols="0" showWhiteSpace="0" zoomScale="130" zoomScaleNormal="130" workbookViewId="0">
      <selection activeCell="B4" sqref="B4:E4"/>
    </sheetView>
  </sheetViews>
  <sheetFormatPr baseColWidth="10" defaultColWidth="0" defaultRowHeight="11.25" zeroHeight="1" x14ac:dyDescent="0.2"/>
  <cols>
    <col min="1" max="1" width="2.140625" style="152" customWidth="1"/>
    <col min="2" max="2" width="2.140625" style="780" customWidth="1"/>
    <col min="3" max="3" width="18.85546875" style="780" customWidth="1"/>
    <col min="4" max="4" width="17.140625" style="780" customWidth="1"/>
    <col min="5" max="5" width="4" style="780" customWidth="1"/>
    <col min="6" max="6" width="2.85546875" style="152" customWidth="1"/>
    <col min="7" max="7" width="71.5703125" style="781" bestFit="1" customWidth="1"/>
    <col min="8" max="8" width="23.85546875" style="781" customWidth="1"/>
    <col min="9" max="9" width="4" style="152" customWidth="1"/>
    <col min="10" max="10" width="3.140625" style="780" customWidth="1"/>
    <col min="11" max="11" width="46.85546875" style="780" hidden="1"/>
    <col min="12" max="12" width="54.7109375" style="780" hidden="1"/>
    <col min="13" max="13" width="2.5703125" style="780" hidden="1"/>
    <col min="14" max="14" width="11.5703125" style="152" hidden="1"/>
    <col min="15" max="15" width="14.7109375" style="152" hidden="1"/>
    <col min="16" max="16" width="18.28515625" style="152" hidden="1"/>
    <col min="17" max="18" width="22.5703125" style="152" hidden="1"/>
    <col min="19" max="20" width="20.140625" style="152" hidden="1"/>
    <col min="21" max="21" width="19" style="152" hidden="1"/>
    <col min="22" max="22" width="18.28515625" style="152" hidden="1"/>
    <col min="23" max="23" width="21.140625" style="152" hidden="1"/>
    <col min="24" max="16384" width="11.5703125" style="152" hidden="1"/>
  </cols>
  <sheetData>
    <row r="1" spans="2:23" ht="7.35" customHeight="1" x14ac:dyDescent="0.2"/>
    <row r="2" spans="2:23" ht="7.35" customHeight="1" thickBot="1" x14ac:dyDescent="0.25"/>
    <row r="3" spans="2:23" x14ac:dyDescent="0.2">
      <c r="B3" s="782" t="s">
        <v>1034</v>
      </c>
      <c r="C3" s="783"/>
      <c r="D3" s="783"/>
      <c r="E3" s="783"/>
      <c r="F3" s="783"/>
      <c r="G3" s="783"/>
      <c r="H3" s="706" t="s">
        <v>1156</v>
      </c>
      <c r="I3" s="784"/>
      <c r="K3" s="785" t="s">
        <v>703</v>
      </c>
      <c r="L3" s="786"/>
      <c r="M3" s="787"/>
    </row>
    <row r="4" spans="2:23" x14ac:dyDescent="0.2">
      <c r="B4" s="788" t="s">
        <v>38</v>
      </c>
      <c r="C4" s="789"/>
      <c r="D4" s="789"/>
      <c r="E4" s="789"/>
      <c r="F4" s="790"/>
      <c r="G4" s="790"/>
      <c r="H4" s="790"/>
      <c r="I4" s="791"/>
      <c r="K4" s="792"/>
      <c r="L4" s="793"/>
      <c r="M4" s="794"/>
    </row>
    <row r="5" spans="2:23" ht="12" thickBot="1" x14ac:dyDescent="0.25">
      <c r="B5" s="795"/>
      <c r="C5" s="790"/>
      <c r="D5" s="790"/>
      <c r="E5" s="790"/>
      <c r="F5" s="790"/>
      <c r="G5" s="790"/>
      <c r="H5" s="790"/>
      <c r="I5" s="791"/>
      <c r="K5" s="792"/>
      <c r="L5" s="793"/>
      <c r="M5" s="794"/>
    </row>
    <row r="6" spans="2:23" ht="12" thickBot="1" x14ac:dyDescent="0.25">
      <c r="B6" s="795"/>
      <c r="C6" s="796" t="s">
        <v>39</v>
      </c>
      <c r="D6" s="797" t="s">
        <v>40</v>
      </c>
      <c r="E6" s="708" t="s">
        <v>474</v>
      </c>
      <c r="F6" s="790"/>
      <c r="G6" s="796" t="s">
        <v>41</v>
      </c>
      <c r="H6" s="797" t="s">
        <v>42</v>
      </c>
      <c r="I6" s="791"/>
      <c r="J6" s="798">
        <v>2635669847.5532331</v>
      </c>
      <c r="K6" s="148" t="s">
        <v>48</v>
      </c>
      <c r="L6" s="392">
        <v>13</v>
      </c>
      <c r="M6" s="799"/>
      <c r="P6" s="800"/>
    </row>
    <row r="7" spans="2:23" ht="12" thickBot="1" x14ac:dyDescent="0.25">
      <c r="B7" s="795"/>
      <c r="C7" s="801" t="s">
        <v>43</v>
      </c>
      <c r="D7" s="802">
        <v>0.25</v>
      </c>
      <c r="E7" s="708">
        <f>COUNTA(#REF!)</f>
        <v>1</v>
      </c>
      <c r="F7" s="790"/>
      <c r="G7" s="803" t="str">
        <f>"Total Estimado "&amp;RIGHT(B3,4)&amp;" M$ (sin aporte fiscal)"</f>
        <v>Total Estimado 2026 M$ (sin aporte fiscal)</v>
      </c>
      <c r="H7" s="804">
        <v>2794382283.7474108</v>
      </c>
      <c r="I7" s="805" t="s">
        <v>614</v>
      </c>
      <c r="J7" s="798">
        <v>2657970292.4570446</v>
      </c>
      <c r="K7" s="148" t="s">
        <v>49</v>
      </c>
      <c r="L7" s="392">
        <v>1</v>
      </c>
      <c r="M7" s="799"/>
      <c r="P7" s="806"/>
      <c r="Q7" s="807"/>
      <c r="R7" s="807"/>
      <c r="T7" s="807"/>
      <c r="V7" s="808"/>
    </row>
    <row r="8" spans="2:23" ht="15.75" customHeight="1" thickBot="1" x14ac:dyDescent="0.25">
      <c r="B8" s="795"/>
      <c r="C8" s="809" t="s">
        <v>44</v>
      </c>
      <c r="D8" s="802">
        <v>0.1</v>
      </c>
      <c r="E8" s="708">
        <f>COUNTA(#REF!)</f>
        <v>1</v>
      </c>
      <c r="F8" s="790"/>
      <c r="G8" s="803" t="s">
        <v>522</v>
      </c>
      <c r="H8" s="810">
        <f>+'DATA UIM IPASCUA DETCOMP'!$D$12</f>
        <v>28237700</v>
      </c>
      <c r="I8" s="805" t="s">
        <v>615</v>
      </c>
      <c r="K8" s="148" t="s">
        <v>325</v>
      </c>
      <c r="L8" s="392">
        <v>0</v>
      </c>
      <c r="M8" s="799"/>
      <c r="Q8" s="811"/>
      <c r="R8" s="812"/>
      <c r="S8" s="808"/>
      <c r="T8" s="812"/>
      <c r="U8" s="808"/>
      <c r="V8" s="813"/>
    </row>
    <row r="9" spans="2:23" ht="12" thickBot="1" x14ac:dyDescent="0.25">
      <c r="B9" s="795"/>
      <c r="C9" s="809" t="s">
        <v>45</v>
      </c>
      <c r="D9" s="802">
        <v>0.3</v>
      </c>
      <c r="E9" s="708"/>
      <c r="F9" s="790"/>
      <c r="G9" s="803" t="s">
        <v>505</v>
      </c>
      <c r="H9" s="810">
        <f>H16</f>
        <v>72216644</v>
      </c>
      <c r="I9" s="805" t="s">
        <v>614</v>
      </c>
      <c r="J9" s="814"/>
      <c r="K9" s="148" t="s">
        <v>50</v>
      </c>
      <c r="L9" s="392">
        <f>COUNTA(COEF_FCM!A9:A354)</f>
        <v>346</v>
      </c>
      <c r="M9" s="799"/>
      <c r="P9" s="800"/>
      <c r="Q9" s="811"/>
      <c r="R9" s="800"/>
      <c r="S9" s="808"/>
      <c r="T9" s="800"/>
      <c r="U9" s="808"/>
    </row>
    <row r="10" spans="2:23" ht="12" thickBot="1" x14ac:dyDescent="0.25">
      <c r="B10" s="795"/>
      <c r="C10" s="809" t="s">
        <v>46</v>
      </c>
      <c r="D10" s="802">
        <v>0.35</v>
      </c>
      <c r="E10" s="708">
        <f>COUNTA(#REF!)</f>
        <v>1</v>
      </c>
      <c r="F10" s="790"/>
      <c r="G10" s="803" t="str">
        <f>"Total Estimado "&amp;RIGHT(B3,4)&amp;", todas las Comunas M$ (Neto Ley N°19704)"</f>
        <v>Total Estimado 2026, todas las Comunas M$ (Neto Ley N°19704)</v>
      </c>
      <c r="H10" s="810">
        <f>+H7-H8+H9</f>
        <v>2838361227.7474108</v>
      </c>
      <c r="I10" s="791"/>
      <c r="J10" s="814"/>
      <c r="K10" s="148" t="s">
        <v>1092</v>
      </c>
      <c r="L10" s="393">
        <v>0.79</v>
      </c>
      <c r="M10" s="799">
        <v>1</v>
      </c>
      <c r="Q10" s="811"/>
      <c r="R10" s="812"/>
      <c r="S10" s="808"/>
      <c r="T10" s="812"/>
      <c r="U10" s="808"/>
    </row>
    <row r="11" spans="2:23" ht="12" thickBot="1" x14ac:dyDescent="0.25">
      <c r="B11" s="795"/>
      <c r="C11" s="815"/>
      <c r="D11" s="816">
        <f>SUM(D7:D10)</f>
        <v>0.99999999999999989</v>
      </c>
      <c r="E11" s="708">
        <f>COUNTA(#REF!)</f>
        <v>1</v>
      </c>
      <c r="F11" s="790"/>
      <c r="G11" s="790"/>
      <c r="H11" s="817"/>
      <c r="I11" s="791"/>
      <c r="K11" s="148" t="s">
        <v>371</v>
      </c>
      <c r="L11" s="392">
        <v>1.2</v>
      </c>
      <c r="M11" s="799"/>
      <c r="Q11" s="812"/>
      <c r="R11" s="812"/>
      <c r="S11" s="808"/>
      <c r="T11" s="812"/>
      <c r="U11" s="808"/>
      <c r="W11" s="811"/>
    </row>
    <row r="12" spans="2:23" ht="12" thickBot="1" x14ac:dyDescent="0.25">
      <c r="B12" s="818"/>
      <c r="C12" s="279"/>
      <c r="D12" s="279"/>
      <c r="E12" s="279"/>
      <c r="F12" s="790"/>
      <c r="G12" s="790"/>
      <c r="H12" s="819"/>
      <c r="I12" s="791"/>
      <c r="K12" s="149" t="s">
        <v>663</v>
      </c>
      <c r="L12" s="150">
        <v>12</v>
      </c>
      <c r="M12" s="820"/>
      <c r="P12" s="811"/>
      <c r="R12" s="821"/>
      <c r="S12" s="808"/>
      <c r="T12" s="812"/>
    </row>
    <row r="13" spans="2:23" ht="12" thickBot="1" x14ac:dyDescent="0.25">
      <c r="B13" s="818"/>
      <c r="C13" s="279"/>
      <c r="D13" s="279"/>
      <c r="E13" s="279"/>
      <c r="F13" s="790"/>
      <c r="G13" s="822" t="s">
        <v>47</v>
      </c>
      <c r="H13" s="823"/>
      <c r="I13" s="791"/>
      <c r="K13" s="356" t="s">
        <v>1027</v>
      </c>
      <c r="L13" s="357">
        <v>15</v>
      </c>
      <c r="M13" s="824"/>
      <c r="O13" s="812"/>
      <c r="P13" s="825"/>
      <c r="Q13" s="811"/>
      <c r="R13" s="808"/>
      <c r="S13" s="808"/>
    </row>
    <row r="14" spans="2:23" ht="12" thickBot="1" x14ac:dyDescent="0.25">
      <c r="B14" s="818"/>
      <c r="C14" s="279"/>
      <c r="D14" s="279"/>
      <c r="E14" s="279"/>
      <c r="F14" s="826"/>
      <c r="G14" s="711" t="str">
        <f>RIGHT('CALC MEC ESTAB Y ESTIM M FINAL'!$I$4,3)</f>
        <v xml:space="preserve"> 65</v>
      </c>
      <c r="H14" s="712">
        <f>+'CALC MEC ESTAB Y ESTIM M FINAL'!$V$5</f>
        <v>156300246</v>
      </c>
      <c r="I14" s="713">
        <f>+'CALC MEC ESTAB Y ESTIM M FINAL'!L5</f>
        <v>0.45479999999999998</v>
      </c>
      <c r="K14" s="827"/>
      <c r="L14" s="828"/>
      <c r="M14" s="829"/>
      <c r="P14" s="825"/>
      <c r="Q14" s="830"/>
      <c r="S14" s="800"/>
    </row>
    <row r="15" spans="2:23" ht="12" thickBot="1" x14ac:dyDescent="0.25">
      <c r="B15" s="818"/>
      <c r="C15" s="279"/>
      <c r="D15" s="279"/>
      <c r="E15" s="279"/>
      <c r="F15" s="826"/>
      <c r="G15" s="831"/>
      <c r="H15" s="832"/>
      <c r="I15" s="791"/>
      <c r="K15" s="833" t="s">
        <v>1093</v>
      </c>
      <c r="L15" s="834"/>
      <c r="M15" s="835"/>
      <c r="P15" s="800"/>
      <c r="Q15" s="800"/>
      <c r="R15" s="800"/>
      <c r="S15" s="800"/>
    </row>
    <row r="16" spans="2:23" s="844" customFormat="1" ht="12" thickBot="1" x14ac:dyDescent="0.25">
      <c r="B16" s="818"/>
      <c r="C16" s="836"/>
      <c r="D16" s="836"/>
      <c r="E16" s="279"/>
      <c r="F16" s="826"/>
      <c r="G16" s="837" t="s">
        <v>704</v>
      </c>
      <c r="H16" s="838">
        <f>+H17*G18</f>
        <v>72216644</v>
      </c>
      <c r="I16" s="839"/>
      <c r="J16" s="840"/>
      <c r="K16" s="841" t="str">
        <f>"Valor (PESOS) UTM AGOSTO "&amp;RIGHT(B3,4)-1</f>
        <v>Valor (PESOS) UTM AGOSTO 2025</v>
      </c>
      <c r="L16" s="842">
        <v>68647</v>
      </c>
      <c r="M16" s="843"/>
      <c r="P16" s="845"/>
    </row>
    <row r="17" spans="2:20" s="844" customFormat="1" ht="12" thickBot="1" x14ac:dyDescent="0.25">
      <c r="B17" s="818"/>
      <c r="C17" s="836"/>
      <c r="D17" s="836"/>
      <c r="E17" s="279"/>
      <c r="F17" s="826"/>
      <c r="G17" s="846">
        <v>1052000</v>
      </c>
      <c r="H17" s="847">
        <f>+L16</f>
        <v>68647</v>
      </c>
      <c r="I17" s="848"/>
      <c r="J17" s="840"/>
      <c r="K17" s="849">
        <v>298751744000</v>
      </c>
      <c r="L17" s="850" t="s">
        <v>1012</v>
      </c>
      <c r="M17" s="851"/>
      <c r="P17" s="845"/>
      <c r="T17" s="852"/>
    </row>
    <row r="18" spans="2:20" ht="12" thickBot="1" x14ac:dyDescent="0.25">
      <c r="B18" s="818"/>
      <c r="C18" s="279"/>
      <c r="D18" s="279"/>
      <c r="E18" s="279"/>
      <c r="F18" s="826"/>
      <c r="G18" s="853">
        <f>+G17/1000</f>
        <v>1052</v>
      </c>
      <c r="H18" s="854" t="str">
        <f>"mil UTM (Agosto "&amp;RIGHT(PARAMETROS!B3,4)-1&amp;")"</f>
        <v>mil UTM (Agosto 2025)</v>
      </c>
      <c r="I18" s="791"/>
      <c r="K18" s="855">
        <f>+G17*H17</f>
        <v>72216644000</v>
      </c>
      <c r="L18" s="793" t="s">
        <v>1009</v>
      </c>
      <c r="M18" s="794"/>
      <c r="P18" s="811"/>
      <c r="Q18" s="844"/>
      <c r="R18" s="844"/>
      <c r="S18" s="852"/>
      <c r="T18" s="852"/>
    </row>
    <row r="19" spans="2:20" ht="12" thickBot="1" x14ac:dyDescent="0.25">
      <c r="B19" s="856"/>
      <c r="C19" s="857"/>
      <c r="D19" s="857"/>
      <c r="E19" s="857"/>
      <c r="F19" s="858"/>
      <c r="G19" s="858"/>
      <c r="H19" s="858"/>
      <c r="I19" s="859"/>
      <c r="K19" s="855">
        <f>+G25*H25</f>
        <v>171617500000</v>
      </c>
      <c r="L19" s="793" t="s">
        <v>1010</v>
      </c>
      <c r="M19" s="794"/>
      <c r="P19" s="812"/>
      <c r="Q19" s="800"/>
      <c r="R19" s="800"/>
    </row>
    <row r="20" spans="2:20" s="798" customFormat="1" ht="12" thickBot="1" x14ac:dyDescent="0.25">
      <c r="B20" s="780"/>
      <c r="C20" s="780"/>
      <c r="D20" s="780"/>
      <c r="E20" s="780"/>
      <c r="G20" s="780"/>
      <c r="H20" s="780"/>
      <c r="I20" s="860"/>
      <c r="J20" s="780"/>
      <c r="K20" s="861">
        <f>+K17-K18-K19</f>
        <v>54917600000</v>
      </c>
      <c r="L20" s="862" t="s">
        <v>1011</v>
      </c>
      <c r="M20" s="851"/>
      <c r="P20" s="812"/>
    </row>
    <row r="21" spans="2:20" s="798" customFormat="1" hidden="1" x14ac:dyDescent="0.2">
      <c r="B21" s="863" t="str">
        <f>"FET "&amp;RIGHT(B3,4)</f>
        <v>FET 2026</v>
      </c>
      <c r="C21" s="151"/>
      <c r="D21" s="151"/>
      <c r="E21" s="151"/>
      <c r="F21" s="151"/>
      <c r="G21" s="151"/>
      <c r="H21" s="151"/>
      <c r="I21" s="864"/>
      <c r="J21" s="780"/>
      <c r="P21" s="812"/>
    </row>
    <row r="22" spans="2:20" s="798" customFormat="1" ht="12" hidden="1" thickBot="1" x14ac:dyDescent="0.25">
      <c r="B22" s="865" t="s">
        <v>38</v>
      </c>
      <c r="C22" s="866"/>
      <c r="D22" s="866"/>
      <c r="E22" s="866"/>
      <c r="F22" s="152"/>
      <c r="G22" s="152"/>
      <c r="H22" s="152"/>
      <c r="I22" s="867"/>
      <c r="J22" s="780"/>
      <c r="P22" s="868"/>
      <c r="Q22" s="868"/>
      <c r="R22" s="868"/>
    </row>
    <row r="23" spans="2:20" s="798" customFormat="1" ht="12" hidden="1" thickBot="1" x14ac:dyDescent="0.25">
      <c r="B23" s="869"/>
      <c r="C23" s="781"/>
      <c r="D23" s="781"/>
      <c r="E23" s="781"/>
      <c r="F23" s="152"/>
      <c r="H23" s="870" t="s">
        <v>675</v>
      </c>
      <c r="I23" s="867"/>
      <c r="J23" s="780"/>
      <c r="K23" s="781" t="s">
        <v>1094</v>
      </c>
      <c r="R23" s="868"/>
    </row>
    <row r="24" spans="2:20" s="798" customFormat="1" ht="12" hidden="1" thickBot="1" x14ac:dyDescent="0.25">
      <c r="B24" s="869"/>
      <c r="C24" s="871" t="s">
        <v>39</v>
      </c>
      <c r="D24" s="870" t="s">
        <v>40</v>
      </c>
      <c r="E24" s="147" t="s">
        <v>474</v>
      </c>
      <c r="F24" s="152"/>
      <c r="G24" s="872" t="s">
        <v>1157</v>
      </c>
      <c r="H24" s="873">
        <f>+G25*H25</f>
        <v>171617500000</v>
      </c>
      <c r="I24" s="867"/>
      <c r="J24" s="780"/>
    </row>
    <row r="25" spans="2:20" s="798" customFormat="1" ht="12" hidden="1" thickBot="1" x14ac:dyDescent="0.25">
      <c r="B25" s="869"/>
      <c r="C25" s="874" t="s">
        <v>43</v>
      </c>
      <c r="D25" s="875">
        <v>0.5</v>
      </c>
      <c r="E25" s="147">
        <f>COUNTA(#REF!)</f>
        <v>1</v>
      </c>
      <c r="F25" s="152"/>
      <c r="G25" s="876">
        <v>2500000</v>
      </c>
      <c r="H25" s="873">
        <f>+L16</f>
        <v>68647</v>
      </c>
      <c r="I25" s="867"/>
      <c r="J25" s="780"/>
      <c r="L25" s="781"/>
      <c r="M25" s="781"/>
      <c r="N25" s="781"/>
      <c r="O25" s="781"/>
    </row>
    <row r="26" spans="2:20" s="798" customFormat="1" ht="12" hidden="1" thickBot="1" x14ac:dyDescent="0.25">
      <c r="B26" s="869"/>
      <c r="C26" s="877" t="s">
        <v>44</v>
      </c>
      <c r="D26" s="875">
        <v>0.1</v>
      </c>
      <c r="E26" s="147">
        <f>COUNTA(#REF!)</f>
        <v>1</v>
      </c>
      <c r="F26" s="152"/>
      <c r="G26" s="152"/>
      <c r="H26" s="152"/>
      <c r="I26" s="867"/>
      <c r="J26" s="780"/>
      <c r="K26" s="878" t="s">
        <v>1100</v>
      </c>
      <c r="L26" s="879" t="s">
        <v>1099</v>
      </c>
      <c r="M26" s="880"/>
      <c r="N26" s="881"/>
    </row>
    <row r="27" spans="2:20" s="798" customFormat="1" ht="12" hidden="1" thickBot="1" x14ac:dyDescent="0.25">
      <c r="B27" s="869"/>
      <c r="C27" s="877" t="s">
        <v>45</v>
      </c>
      <c r="D27" s="875">
        <v>0.2</v>
      </c>
      <c r="E27" s="147"/>
      <c r="F27" s="152"/>
      <c r="G27" s="882" t="s">
        <v>674</v>
      </c>
      <c r="H27" s="883">
        <v>0.8</v>
      </c>
      <c r="I27" s="867"/>
      <c r="J27" s="780"/>
      <c r="K27" s="884" t="s">
        <v>1101</v>
      </c>
      <c r="L27" s="885" t="s">
        <v>1133</v>
      </c>
      <c r="M27" s="880"/>
      <c r="N27" s="881"/>
    </row>
    <row r="28" spans="2:20" s="798" customFormat="1" ht="12" hidden="1" thickBot="1" x14ac:dyDescent="0.25">
      <c r="B28" s="869"/>
      <c r="C28" s="877" t="s">
        <v>46</v>
      </c>
      <c r="D28" s="875">
        <v>0.2</v>
      </c>
      <c r="E28" s="147">
        <f>COUNTA(#REF!)</f>
        <v>1</v>
      </c>
      <c r="F28" s="152"/>
      <c r="G28" s="886" t="s">
        <v>673</v>
      </c>
      <c r="H28" s="887">
        <v>0.5</v>
      </c>
      <c r="I28" s="867"/>
      <c r="J28" s="780"/>
      <c r="K28" s="884" t="s">
        <v>1102</v>
      </c>
      <c r="L28" s="885" t="s">
        <v>1134</v>
      </c>
      <c r="M28" s="880"/>
      <c r="N28" s="881"/>
    </row>
    <row r="29" spans="2:20" s="798" customFormat="1" ht="12" hidden="1" thickBot="1" x14ac:dyDescent="0.25">
      <c r="B29" s="869"/>
      <c r="C29" s="888"/>
      <c r="D29" s="889">
        <f>SUM(D25:D28)</f>
        <v>1</v>
      </c>
      <c r="E29" s="147">
        <f>COUNTA(#REF!)</f>
        <v>1</v>
      </c>
      <c r="F29" s="152"/>
      <c r="G29" s="152"/>
      <c r="H29" s="152"/>
      <c r="I29" s="867"/>
      <c r="J29" s="780"/>
      <c r="K29" s="884" t="s">
        <v>1103</v>
      </c>
      <c r="L29" s="885" t="s">
        <v>1136</v>
      </c>
      <c r="M29" s="880"/>
      <c r="N29" s="881"/>
    </row>
    <row r="30" spans="2:20" ht="12" hidden="1" thickBot="1" x14ac:dyDescent="0.25">
      <c r="B30" s="890"/>
      <c r="C30" s="798"/>
      <c r="D30" s="152"/>
      <c r="E30" s="152"/>
      <c r="G30" s="152"/>
      <c r="H30" s="152"/>
      <c r="I30" s="867"/>
      <c r="K30" s="891" t="s">
        <v>1104</v>
      </c>
      <c r="L30" s="892" t="s">
        <v>1105</v>
      </c>
      <c r="M30" s="893"/>
      <c r="N30" s="781"/>
      <c r="O30" s="781"/>
    </row>
    <row r="31" spans="2:20" ht="12" hidden="1" thickBot="1" x14ac:dyDescent="0.25">
      <c r="B31" s="894"/>
      <c r="C31" s="153"/>
      <c r="D31" s="153"/>
      <c r="E31" s="153"/>
      <c r="F31" s="153"/>
      <c r="G31" s="153"/>
      <c r="H31" s="153"/>
      <c r="I31" s="895"/>
      <c r="K31" s="893"/>
      <c r="L31" s="893"/>
      <c r="M31" s="893"/>
      <c r="N31" s="781"/>
      <c r="O31" s="781"/>
    </row>
    <row r="32" spans="2:20" hidden="1" x14ac:dyDescent="0.2">
      <c r="B32" s="863" t="str">
        <f>"FCMi "&amp;RIGHT(B3,4)</f>
        <v>FCMi 2026</v>
      </c>
      <c r="C32" s="151"/>
      <c r="D32" s="151"/>
      <c r="E32" s="151"/>
      <c r="F32" s="151"/>
      <c r="G32" s="151"/>
      <c r="H32" s="151"/>
      <c r="I32" s="864"/>
      <c r="K32" s="893"/>
      <c r="L32" s="893"/>
      <c r="M32" s="893"/>
    </row>
    <row r="33" spans="2:9" ht="12" hidden="1" thickBot="1" x14ac:dyDescent="0.25">
      <c r="B33" s="865" t="s">
        <v>38</v>
      </c>
      <c r="C33" s="866"/>
      <c r="D33" s="866"/>
      <c r="E33" s="866"/>
      <c r="G33" s="152"/>
      <c r="H33" s="152"/>
      <c r="I33" s="867"/>
    </row>
    <row r="34" spans="2:9" ht="12" hidden="1" thickBot="1" x14ac:dyDescent="0.25">
      <c r="B34" s="869"/>
      <c r="C34" s="781"/>
      <c r="D34" s="781"/>
      <c r="E34" s="781"/>
      <c r="G34" s="798"/>
      <c r="H34" s="870" t="s">
        <v>675</v>
      </c>
      <c r="I34" s="867"/>
    </row>
    <row r="35" spans="2:9" ht="12" hidden="1" thickBot="1" x14ac:dyDescent="0.25">
      <c r="B35" s="869"/>
      <c r="C35" s="871" t="s">
        <v>39</v>
      </c>
      <c r="D35" s="870" t="s">
        <v>40</v>
      </c>
      <c r="E35" s="147" t="s">
        <v>474</v>
      </c>
      <c r="G35" s="872" t="s">
        <v>1158</v>
      </c>
      <c r="H35" s="873">
        <f>+G36*H36</f>
        <v>54917600000</v>
      </c>
      <c r="I35" s="867"/>
    </row>
    <row r="36" spans="2:9" ht="12" hidden="1" thickBot="1" x14ac:dyDescent="0.25">
      <c r="B36" s="869"/>
      <c r="C36" s="874" t="s">
        <v>43</v>
      </c>
      <c r="D36" s="875">
        <v>0.4</v>
      </c>
      <c r="E36" s="147">
        <f>COUNTA(#REF!)</f>
        <v>1</v>
      </c>
      <c r="G36" s="876">
        <v>800000</v>
      </c>
      <c r="H36" s="873">
        <f>+L16</f>
        <v>68647</v>
      </c>
      <c r="I36" s="867"/>
    </row>
    <row r="37" spans="2:9" hidden="1" x14ac:dyDescent="0.2">
      <c r="B37" s="869"/>
      <c r="C37" s="877" t="s">
        <v>44</v>
      </c>
      <c r="D37" s="875">
        <v>7.4999999999999997E-2</v>
      </c>
      <c r="E37" s="147">
        <f>COUNTA(#REF!)</f>
        <v>1</v>
      </c>
      <c r="G37" s="152"/>
      <c r="H37" s="152"/>
      <c r="I37" s="867"/>
    </row>
    <row r="38" spans="2:9" hidden="1" x14ac:dyDescent="0.2">
      <c r="B38" s="869"/>
      <c r="C38" s="877" t="s">
        <v>45</v>
      </c>
      <c r="D38" s="875">
        <v>0.05</v>
      </c>
      <c r="E38" s="147"/>
      <c r="G38" s="152"/>
      <c r="H38" s="152"/>
      <c r="I38" s="867"/>
    </row>
    <row r="39" spans="2:9" hidden="1" x14ac:dyDescent="0.2">
      <c r="B39" s="869"/>
      <c r="C39" s="877" t="s">
        <v>46</v>
      </c>
      <c r="D39" s="875">
        <v>7.4999999999999997E-2</v>
      </c>
      <c r="E39" s="147">
        <f>COUNTA(#REF!)</f>
        <v>1</v>
      </c>
      <c r="G39" s="152"/>
      <c r="H39" s="152"/>
      <c r="I39" s="867"/>
    </row>
    <row r="40" spans="2:9" ht="12" hidden="1" thickBot="1" x14ac:dyDescent="0.25">
      <c r="B40" s="869"/>
      <c r="C40" s="877" t="s">
        <v>683</v>
      </c>
      <c r="D40" s="875">
        <v>0.4</v>
      </c>
      <c r="E40" s="147"/>
      <c r="G40" s="152"/>
      <c r="H40" s="152"/>
      <c r="I40" s="867"/>
    </row>
    <row r="41" spans="2:9" ht="12" hidden="1" thickBot="1" x14ac:dyDescent="0.25">
      <c r="B41" s="869"/>
      <c r="C41" s="888"/>
      <c r="D41" s="889">
        <f>SUM(D36:D40)</f>
        <v>1</v>
      </c>
      <c r="E41" s="147">
        <f>COUNTA(#REF!)</f>
        <v>1</v>
      </c>
      <c r="G41" s="152"/>
      <c r="H41" s="152"/>
      <c r="I41" s="867"/>
    </row>
    <row r="42" spans="2:9" ht="12" hidden="1" thickBot="1" x14ac:dyDescent="0.25">
      <c r="B42" s="896"/>
      <c r="C42" s="153"/>
      <c r="D42" s="153"/>
      <c r="E42" s="153"/>
      <c r="F42" s="153"/>
      <c r="G42" s="153"/>
      <c r="H42" s="153"/>
      <c r="I42" s="895"/>
    </row>
    <row r="43" spans="2:9" hidden="1" x14ac:dyDescent="0.2">
      <c r="G43" s="152"/>
      <c r="H43" s="152"/>
    </row>
    <row r="44" spans="2:9" hidden="1" x14ac:dyDescent="0.2">
      <c r="B44" s="152"/>
      <c r="C44" s="152"/>
      <c r="D44" s="152"/>
      <c r="E44" s="152"/>
      <c r="G44" s="152"/>
      <c r="H44" s="152"/>
    </row>
    <row r="45" spans="2:9" hidden="1" x14ac:dyDescent="0.2">
      <c r="B45" s="152"/>
      <c r="C45" s="152"/>
      <c r="D45" s="152"/>
      <c r="E45" s="152"/>
      <c r="G45" s="152"/>
      <c r="H45" s="152"/>
    </row>
    <row r="46" spans="2:9" hidden="1" x14ac:dyDescent="0.2">
      <c r="B46" s="152"/>
      <c r="C46" s="152"/>
      <c r="D46" s="152"/>
      <c r="E46" s="152"/>
      <c r="G46" s="152"/>
      <c r="H46" s="152"/>
    </row>
    <row r="47" spans="2:9" hidden="1" x14ac:dyDescent="0.2">
      <c r="B47" s="152"/>
      <c r="C47" s="152"/>
      <c r="D47" s="152"/>
      <c r="E47" s="152"/>
      <c r="G47" s="152"/>
      <c r="H47" s="152"/>
    </row>
    <row r="48" spans="2:9" hidden="1" x14ac:dyDescent="0.2">
      <c r="B48" s="152"/>
      <c r="C48" s="152"/>
      <c r="D48" s="152"/>
      <c r="E48" s="152"/>
      <c r="G48" s="152"/>
      <c r="H48" s="152"/>
    </row>
    <row r="49" spans="2:8" hidden="1" x14ac:dyDescent="0.2">
      <c r="B49" s="152"/>
      <c r="C49" s="152"/>
      <c r="D49" s="152"/>
      <c r="E49" s="152"/>
      <c r="G49" s="152"/>
      <c r="H49" s="152"/>
    </row>
    <row r="50" spans="2:8" hidden="1" x14ac:dyDescent="0.2">
      <c r="B50" s="152"/>
      <c r="C50" s="152"/>
      <c r="D50" s="152"/>
      <c r="E50" s="152"/>
      <c r="F50" s="897"/>
      <c r="G50" s="897"/>
      <c r="H50" s="897"/>
    </row>
    <row r="51" spans="2:8" hidden="1" x14ac:dyDescent="0.2">
      <c r="B51" s="897"/>
      <c r="C51" s="897"/>
      <c r="D51" s="897"/>
      <c r="E51" s="897"/>
      <c r="F51" s="897"/>
      <c r="G51" s="897"/>
      <c r="H51" s="897"/>
    </row>
    <row r="52" spans="2:8" hidden="1" x14ac:dyDescent="0.2">
      <c r="B52" s="897"/>
      <c r="C52" s="897"/>
      <c r="D52" s="897"/>
      <c r="E52" s="897"/>
      <c r="F52" s="897"/>
      <c r="G52" s="897"/>
      <c r="H52" s="897"/>
    </row>
    <row r="53" spans="2:8" hidden="1" x14ac:dyDescent="0.2">
      <c r="B53" s="897"/>
      <c r="C53" s="897"/>
      <c r="D53" s="897"/>
      <c r="E53" s="897"/>
      <c r="F53" s="897"/>
      <c r="G53" s="897"/>
      <c r="H53" s="897"/>
    </row>
    <row r="54" spans="2:8" hidden="1" x14ac:dyDescent="0.2">
      <c r="B54" s="897"/>
      <c r="C54" s="897"/>
      <c r="D54" s="897"/>
      <c r="E54" s="897"/>
      <c r="F54" s="897"/>
      <c r="G54" s="897"/>
      <c r="H54" s="897"/>
    </row>
    <row r="55" spans="2:8" hidden="1" x14ac:dyDescent="0.2">
      <c r="B55" s="897"/>
      <c r="C55" s="897"/>
      <c r="D55" s="897"/>
      <c r="E55" s="897"/>
      <c r="F55" s="897"/>
      <c r="G55" s="897"/>
      <c r="H55" s="897"/>
    </row>
    <row r="56" spans="2:8" hidden="1" x14ac:dyDescent="0.2">
      <c r="B56" s="897"/>
      <c r="C56" s="897"/>
      <c r="D56" s="897"/>
      <c r="E56" s="897"/>
      <c r="F56" s="897"/>
      <c r="G56" s="897"/>
      <c r="H56" s="897"/>
    </row>
    <row r="57" spans="2:8" hidden="1" x14ac:dyDescent="0.2">
      <c r="B57" s="897"/>
      <c r="C57" s="897"/>
      <c r="D57" s="897"/>
      <c r="E57" s="897"/>
      <c r="F57" s="897"/>
      <c r="G57" s="897"/>
      <c r="H57" s="897"/>
    </row>
    <row r="58" spans="2:8" hidden="1" x14ac:dyDescent="0.2">
      <c r="B58" s="897"/>
      <c r="C58" s="897"/>
      <c r="D58" s="897"/>
      <c r="E58" s="897"/>
      <c r="F58" s="897"/>
      <c r="G58" s="897"/>
      <c r="H58" s="897"/>
    </row>
    <row r="59" spans="2:8" hidden="1" x14ac:dyDescent="0.2">
      <c r="B59" s="897"/>
      <c r="C59" s="897"/>
      <c r="D59" s="897"/>
      <c r="E59" s="897"/>
      <c r="F59" s="897"/>
      <c r="G59" s="897"/>
      <c r="H59" s="897"/>
    </row>
    <row r="60" spans="2:8" hidden="1" x14ac:dyDescent="0.2">
      <c r="B60" s="897"/>
      <c r="C60" s="897"/>
      <c r="D60" s="897"/>
      <c r="E60" s="897"/>
      <c r="F60" s="897"/>
      <c r="G60" s="897"/>
      <c r="H60" s="897"/>
    </row>
    <row r="61" spans="2:8" hidden="1" x14ac:dyDescent="0.2">
      <c r="B61" s="897"/>
      <c r="C61" s="897"/>
      <c r="D61" s="897"/>
      <c r="E61" s="897"/>
      <c r="F61" s="897"/>
      <c r="G61" s="897"/>
      <c r="H61" s="897"/>
    </row>
    <row r="62" spans="2:8" hidden="1" x14ac:dyDescent="0.2">
      <c r="B62" s="897"/>
      <c r="C62" s="897"/>
      <c r="D62" s="897"/>
      <c r="E62" s="897"/>
      <c r="F62" s="897"/>
      <c r="G62" s="897"/>
      <c r="H62" s="897"/>
    </row>
    <row r="63" spans="2:8" hidden="1" x14ac:dyDescent="0.2">
      <c r="B63" s="897"/>
      <c r="C63" s="897"/>
      <c r="D63" s="897"/>
      <c r="E63" s="897"/>
      <c r="F63" s="897"/>
      <c r="G63" s="897"/>
      <c r="H63" s="897"/>
    </row>
    <row r="64" spans="2:8" hidden="1" x14ac:dyDescent="0.2">
      <c r="B64" s="897"/>
      <c r="C64" s="897"/>
      <c r="D64" s="897"/>
      <c r="E64" s="897"/>
      <c r="F64" s="897"/>
      <c r="G64" s="897"/>
      <c r="H64" s="897"/>
    </row>
    <row r="65" spans="2:8" hidden="1" x14ac:dyDescent="0.2">
      <c r="B65" s="897"/>
      <c r="C65" s="897"/>
      <c r="D65" s="897"/>
      <c r="E65" s="897"/>
      <c r="F65" s="897"/>
      <c r="G65" s="897"/>
      <c r="H65" s="897"/>
    </row>
    <row r="66" spans="2:8" hidden="1" x14ac:dyDescent="0.2">
      <c r="B66" s="897"/>
      <c r="C66" s="897"/>
      <c r="D66" s="897"/>
      <c r="E66" s="897"/>
      <c r="F66" s="897"/>
      <c r="G66" s="897"/>
      <c r="H66" s="897"/>
    </row>
    <row r="67" spans="2:8" hidden="1" x14ac:dyDescent="0.2">
      <c r="B67" s="897"/>
      <c r="C67" s="897"/>
      <c r="D67" s="897"/>
      <c r="E67" s="897"/>
      <c r="F67" s="897"/>
      <c r="G67" s="897"/>
      <c r="H67" s="897"/>
    </row>
    <row r="68" spans="2:8" hidden="1" x14ac:dyDescent="0.2">
      <c r="B68" s="897"/>
      <c r="C68" s="897"/>
      <c r="D68" s="897"/>
      <c r="E68" s="897"/>
      <c r="F68" s="897"/>
      <c r="G68" s="897"/>
      <c r="H68" s="897"/>
    </row>
    <row r="69" spans="2:8" hidden="1" x14ac:dyDescent="0.2">
      <c r="B69" s="897"/>
      <c r="C69" s="897"/>
      <c r="D69" s="897"/>
      <c r="E69" s="897"/>
      <c r="F69" s="897"/>
      <c r="G69" s="897"/>
      <c r="H69" s="897"/>
    </row>
    <row r="70" spans="2:8" hidden="1" x14ac:dyDescent="0.2">
      <c r="B70" s="897"/>
      <c r="C70" s="897"/>
      <c r="D70" s="897"/>
      <c r="E70" s="897"/>
      <c r="F70" s="897"/>
      <c r="G70" s="897"/>
      <c r="H70" s="897"/>
    </row>
    <row r="71" spans="2:8" hidden="1" x14ac:dyDescent="0.2">
      <c r="B71" s="897"/>
      <c r="C71" s="897"/>
      <c r="D71" s="897"/>
      <c r="E71" s="897"/>
      <c r="F71" s="897"/>
      <c r="G71" s="897"/>
      <c r="H71" s="897"/>
    </row>
    <row r="72" spans="2:8" hidden="1" x14ac:dyDescent="0.2">
      <c r="B72" s="897"/>
      <c r="C72" s="897"/>
      <c r="D72" s="897"/>
      <c r="E72" s="897"/>
      <c r="F72" s="897"/>
      <c r="G72" s="897"/>
      <c r="H72" s="897"/>
    </row>
    <row r="73" spans="2:8" hidden="1" x14ac:dyDescent="0.2">
      <c r="B73" s="897"/>
      <c r="C73" s="897"/>
      <c r="D73" s="897"/>
      <c r="E73" s="897"/>
      <c r="F73" s="897"/>
      <c r="G73" s="897"/>
      <c r="H73" s="897"/>
    </row>
    <row r="74" spans="2:8" hidden="1" x14ac:dyDescent="0.2">
      <c r="B74" s="897"/>
      <c r="C74" s="897"/>
      <c r="D74" s="897"/>
      <c r="E74" s="897"/>
      <c r="F74" s="897"/>
      <c r="G74" s="897"/>
      <c r="H74" s="897"/>
    </row>
    <row r="75" spans="2:8" hidden="1" x14ac:dyDescent="0.2">
      <c r="B75" s="897"/>
      <c r="C75" s="897"/>
      <c r="D75" s="897"/>
      <c r="E75" s="897"/>
      <c r="F75" s="897"/>
      <c r="G75" s="897"/>
      <c r="H75" s="897"/>
    </row>
    <row r="76" spans="2:8" hidden="1" x14ac:dyDescent="0.2">
      <c r="B76" s="897"/>
      <c r="C76" s="897"/>
      <c r="D76" s="897"/>
      <c r="E76" s="897"/>
      <c r="F76" s="897"/>
      <c r="G76" s="897"/>
      <c r="H76" s="897"/>
    </row>
    <row r="77" spans="2:8" hidden="1" x14ac:dyDescent="0.2">
      <c r="B77" s="897"/>
      <c r="C77" s="897"/>
      <c r="D77" s="897"/>
      <c r="E77" s="897"/>
      <c r="F77" s="897"/>
      <c r="G77" s="897"/>
      <c r="H77" s="897"/>
    </row>
    <row r="78" spans="2:8" hidden="1" x14ac:dyDescent="0.2">
      <c r="B78" s="897"/>
      <c r="C78" s="897"/>
      <c r="D78" s="897"/>
      <c r="E78" s="897"/>
      <c r="F78" s="897"/>
      <c r="G78" s="897"/>
      <c r="H78" s="897"/>
    </row>
    <row r="79" spans="2:8" hidden="1" x14ac:dyDescent="0.2">
      <c r="B79" s="897"/>
      <c r="C79" s="897"/>
      <c r="D79" s="897"/>
      <c r="E79" s="897"/>
      <c r="F79" s="897"/>
      <c r="G79" s="897"/>
      <c r="H79" s="897"/>
    </row>
    <row r="80" spans="2:8" hidden="1" x14ac:dyDescent="0.2">
      <c r="B80" s="897"/>
      <c r="C80" s="897"/>
      <c r="D80" s="897"/>
      <c r="E80" s="897"/>
      <c r="F80" s="897"/>
      <c r="G80" s="897"/>
      <c r="H80" s="897"/>
    </row>
    <row r="81" spans="2:8" hidden="1" x14ac:dyDescent="0.2">
      <c r="B81" s="897"/>
      <c r="C81" s="897"/>
      <c r="D81" s="897"/>
      <c r="E81" s="897"/>
      <c r="F81" s="897"/>
      <c r="G81" s="897"/>
      <c r="H81" s="897"/>
    </row>
    <row r="82" spans="2:8" hidden="1" x14ac:dyDescent="0.2">
      <c r="B82" s="897"/>
      <c r="C82" s="897"/>
      <c r="D82" s="897"/>
      <c r="E82" s="897"/>
      <c r="F82" s="897"/>
      <c r="G82" s="897"/>
      <c r="H82" s="897"/>
    </row>
    <row r="83" spans="2:8" hidden="1" x14ac:dyDescent="0.2">
      <c r="B83" s="897"/>
      <c r="C83" s="897"/>
      <c r="D83" s="897"/>
      <c r="E83" s="897"/>
      <c r="F83" s="897"/>
      <c r="G83" s="897"/>
      <c r="H83" s="897"/>
    </row>
    <row r="84" spans="2:8" hidden="1" x14ac:dyDescent="0.2">
      <c r="B84" s="897"/>
      <c r="C84" s="897"/>
      <c r="D84" s="897"/>
      <c r="E84" s="897"/>
      <c r="F84" s="897"/>
      <c r="G84" s="897"/>
      <c r="H84" s="897"/>
    </row>
    <row r="85" spans="2:8" hidden="1" x14ac:dyDescent="0.2">
      <c r="B85" s="897"/>
      <c r="C85" s="897"/>
      <c r="D85" s="897"/>
      <c r="E85" s="897"/>
      <c r="F85" s="897"/>
      <c r="G85" s="897"/>
      <c r="H85" s="897"/>
    </row>
    <row r="86" spans="2:8" hidden="1" x14ac:dyDescent="0.2">
      <c r="B86" s="897"/>
      <c r="C86" s="897"/>
      <c r="D86" s="897"/>
      <c r="E86" s="897"/>
      <c r="F86" s="897"/>
      <c r="G86" s="897"/>
      <c r="H86" s="897"/>
    </row>
    <row r="87" spans="2:8" hidden="1" x14ac:dyDescent="0.2">
      <c r="B87" s="897"/>
      <c r="C87" s="897"/>
      <c r="D87" s="897"/>
      <c r="E87" s="897"/>
      <c r="F87" s="897"/>
      <c r="G87" s="897"/>
      <c r="H87" s="897"/>
    </row>
    <row r="88" spans="2:8" hidden="1" x14ac:dyDescent="0.2">
      <c r="B88" s="897"/>
      <c r="C88" s="897"/>
      <c r="D88" s="897"/>
      <c r="E88" s="897"/>
      <c r="F88" s="897"/>
      <c r="G88" s="897"/>
      <c r="H88" s="897"/>
    </row>
    <row r="89" spans="2:8" hidden="1" x14ac:dyDescent="0.2">
      <c r="B89" s="897"/>
      <c r="C89" s="897"/>
      <c r="D89" s="897"/>
      <c r="E89" s="897"/>
      <c r="F89" s="897"/>
      <c r="G89" s="897"/>
      <c r="H89" s="897"/>
    </row>
    <row r="90" spans="2:8" hidden="1" x14ac:dyDescent="0.2">
      <c r="B90" s="897"/>
      <c r="C90" s="897"/>
      <c r="D90" s="897"/>
      <c r="E90" s="897"/>
      <c r="F90" s="897"/>
      <c r="G90" s="897"/>
      <c r="H90" s="897"/>
    </row>
    <row r="91" spans="2:8" hidden="1" x14ac:dyDescent="0.2">
      <c r="B91" s="897"/>
      <c r="C91" s="897"/>
      <c r="D91" s="897"/>
      <c r="E91" s="897"/>
      <c r="F91" s="897"/>
      <c r="G91" s="897"/>
      <c r="H91" s="897"/>
    </row>
    <row r="92" spans="2:8" hidden="1" x14ac:dyDescent="0.2">
      <c r="B92" s="897"/>
      <c r="C92" s="897"/>
      <c r="D92" s="897"/>
      <c r="E92" s="897"/>
      <c r="F92" s="897"/>
      <c r="G92" s="897"/>
      <c r="H92" s="897"/>
    </row>
    <row r="93" spans="2:8" hidden="1" x14ac:dyDescent="0.2">
      <c r="B93" s="897"/>
      <c r="C93" s="897"/>
      <c r="D93" s="897"/>
      <c r="E93" s="897"/>
      <c r="F93" s="897"/>
      <c r="G93" s="897"/>
      <c r="H93" s="897"/>
    </row>
    <row r="94" spans="2:8" hidden="1" x14ac:dyDescent="0.2">
      <c r="B94" s="897"/>
      <c r="C94" s="897"/>
      <c r="D94" s="897"/>
      <c r="E94" s="897"/>
      <c r="F94" s="897"/>
      <c r="G94" s="897"/>
      <c r="H94" s="897"/>
    </row>
    <row r="95" spans="2:8" hidden="1" x14ac:dyDescent="0.2">
      <c r="B95" s="897"/>
      <c r="C95" s="897"/>
      <c r="D95" s="897"/>
      <c r="E95" s="897"/>
      <c r="F95" s="897"/>
      <c r="G95" s="897"/>
      <c r="H95" s="897"/>
    </row>
    <row r="96" spans="2:8" hidden="1" x14ac:dyDescent="0.2">
      <c r="B96" s="897"/>
      <c r="C96" s="897"/>
      <c r="D96" s="897"/>
      <c r="E96" s="897"/>
      <c r="F96" s="897"/>
      <c r="G96" s="897"/>
      <c r="H96" s="897"/>
    </row>
    <row r="97" spans="2:8" hidden="1" x14ac:dyDescent="0.2">
      <c r="B97" s="897"/>
      <c r="C97" s="897"/>
      <c r="D97" s="897"/>
      <c r="E97" s="897"/>
      <c r="F97" s="897"/>
      <c r="G97" s="897"/>
      <c r="H97" s="897"/>
    </row>
    <row r="98" spans="2:8" hidden="1" x14ac:dyDescent="0.2">
      <c r="B98" s="897"/>
      <c r="C98" s="897"/>
      <c r="D98" s="897"/>
      <c r="E98" s="897"/>
      <c r="F98" s="897"/>
      <c r="G98" s="897"/>
      <c r="H98" s="897"/>
    </row>
    <row r="99" spans="2:8" hidden="1" x14ac:dyDescent="0.2">
      <c r="B99" s="897"/>
      <c r="C99" s="897"/>
      <c r="D99" s="897"/>
      <c r="E99" s="897"/>
      <c r="F99" s="897"/>
      <c r="G99" s="897"/>
      <c r="H99" s="897"/>
    </row>
    <row r="100" spans="2:8" hidden="1" x14ac:dyDescent="0.2">
      <c r="B100" s="897"/>
      <c r="C100" s="897"/>
      <c r="D100" s="897"/>
      <c r="E100" s="897"/>
      <c r="F100" s="897"/>
      <c r="G100" s="897"/>
      <c r="H100" s="897"/>
    </row>
    <row r="101" spans="2:8" hidden="1" x14ac:dyDescent="0.2">
      <c r="B101" s="897"/>
      <c r="C101" s="897"/>
      <c r="D101" s="897"/>
      <c r="E101" s="897"/>
      <c r="F101" s="897"/>
      <c r="G101" s="897"/>
      <c r="H101" s="897"/>
    </row>
    <row r="102" spans="2:8" hidden="1" x14ac:dyDescent="0.2">
      <c r="B102" s="897"/>
      <c r="C102" s="897"/>
      <c r="D102" s="897"/>
      <c r="E102" s="897"/>
      <c r="F102" s="897"/>
      <c r="G102" s="897"/>
      <c r="H102" s="897"/>
    </row>
    <row r="103" spans="2:8" hidden="1" x14ac:dyDescent="0.2">
      <c r="B103" s="897"/>
      <c r="C103" s="897"/>
      <c r="D103" s="897"/>
      <c r="E103" s="897"/>
      <c r="F103" s="897"/>
      <c r="G103" s="897"/>
      <c r="H103" s="897"/>
    </row>
    <row r="104" spans="2:8" hidden="1" x14ac:dyDescent="0.2">
      <c r="B104" s="897"/>
      <c r="C104" s="897"/>
      <c r="D104" s="897"/>
      <c r="E104" s="897"/>
      <c r="F104" s="897"/>
      <c r="G104" s="897"/>
      <c r="H104" s="897"/>
    </row>
    <row r="105" spans="2:8" hidden="1" x14ac:dyDescent="0.2">
      <c r="B105" s="897"/>
      <c r="C105" s="897"/>
      <c r="D105" s="897"/>
      <c r="E105" s="897"/>
      <c r="F105" s="897"/>
      <c r="G105" s="897"/>
      <c r="H105" s="897"/>
    </row>
    <row r="106" spans="2:8" hidden="1" x14ac:dyDescent="0.2">
      <c r="B106" s="897"/>
      <c r="C106" s="897"/>
      <c r="D106" s="897"/>
      <c r="E106" s="897"/>
      <c r="F106" s="897"/>
      <c r="G106" s="897"/>
      <c r="H106" s="897"/>
    </row>
    <row r="107" spans="2:8" hidden="1" x14ac:dyDescent="0.2">
      <c r="B107" s="897"/>
      <c r="C107" s="897"/>
      <c r="D107" s="897"/>
      <c r="E107" s="897"/>
      <c r="F107" s="897"/>
      <c r="G107" s="897"/>
      <c r="H107" s="897"/>
    </row>
    <row r="108" spans="2:8" hidden="1" x14ac:dyDescent="0.2">
      <c r="B108" s="897"/>
      <c r="C108" s="897"/>
      <c r="D108" s="897"/>
      <c r="E108" s="897"/>
      <c r="F108" s="897"/>
      <c r="G108" s="897"/>
      <c r="H108" s="897"/>
    </row>
    <row r="109" spans="2:8" hidden="1" x14ac:dyDescent="0.2">
      <c r="B109" s="897"/>
      <c r="C109" s="897"/>
      <c r="D109" s="897"/>
      <c r="E109" s="897"/>
      <c r="F109" s="897"/>
      <c r="G109" s="897"/>
      <c r="H109" s="897"/>
    </row>
    <row r="110" spans="2:8" hidden="1" x14ac:dyDescent="0.2">
      <c r="B110" s="897"/>
      <c r="C110" s="897"/>
      <c r="D110" s="897"/>
      <c r="E110" s="897"/>
      <c r="F110" s="897"/>
      <c r="G110" s="897"/>
      <c r="H110" s="897"/>
    </row>
    <row r="111" spans="2:8" hidden="1" x14ac:dyDescent="0.2">
      <c r="B111" s="897"/>
      <c r="C111" s="897"/>
      <c r="D111" s="897"/>
      <c r="E111" s="897"/>
      <c r="F111" s="897"/>
      <c r="G111" s="897"/>
      <c r="H111" s="897"/>
    </row>
    <row r="112" spans="2:8" hidden="1" x14ac:dyDescent="0.2">
      <c r="B112" s="897"/>
      <c r="C112" s="897"/>
      <c r="D112" s="897"/>
      <c r="E112" s="897"/>
      <c r="F112" s="897"/>
      <c r="G112" s="897"/>
      <c r="H112" s="897"/>
    </row>
    <row r="113" spans="2:8" hidden="1" x14ac:dyDescent="0.2">
      <c r="B113" s="897"/>
      <c r="C113" s="897"/>
      <c r="D113" s="897"/>
      <c r="E113" s="897"/>
      <c r="F113" s="897"/>
      <c r="G113" s="897"/>
      <c r="H113" s="897"/>
    </row>
    <row r="114" spans="2:8" hidden="1" x14ac:dyDescent="0.2">
      <c r="B114" s="897"/>
      <c r="C114" s="897"/>
      <c r="D114" s="897"/>
      <c r="E114" s="897"/>
      <c r="F114" s="897"/>
      <c r="G114" s="897"/>
      <c r="H114" s="897"/>
    </row>
    <row r="115" spans="2:8" hidden="1" x14ac:dyDescent="0.2">
      <c r="B115" s="897"/>
      <c r="C115" s="897"/>
      <c r="D115" s="897"/>
      <c r="E115" s="897"/>
      <c r="F115" s="897"/>
      <c r="G115" s="897"/>
      <c r="H115" s="897"/>
    </row>
    <row r="116" spans="2:8" hidden="1" x14ac:dyDescent="0.2">
      <c r="B116" s="897"/>
      <c r="C116" s="897"/>
      <c r="D116" s="897"/>
      <c r="E116" s="897"/>
      <c r="F116" s="897"/>
      <c r="G116" s="897"/>
      <c r="H116" s="897"/>
    </row>
    <row r="117" spans="2:8" hidden="1" x14ac:dyDescent="0.2">
      <c r="B117" s="897"/>
      <c r="C117" s="897"/>
      <c r="D117" s="897"/>
      <c r="E117" s="897"/>
      <c r="F117" s="897"/>
      <c r="G117" s="897"/>
      <c r="H117" s="897"/>
    </row>
    <row r="118" spans="2:8" hidden="1" x14ac:dyDescent="0.2">
      <c r="B118" s="897"/>
      <c r="C118" s="897"/>
      <c r="D118" s="897"/>
      <c r="E118" s="897"/>
      <c r="F118" s="897"/>
      <c r="G118" s="897"/>
      <c r="H118" s="897"/>
    </row>
    <row r="119" spans="2:8" hidden="1" x14ac:dyDescent="0.2">
      <c r="B119" s="897"/>
      <c r="C119" s="897"/>
      <c r="D119" s="897"/>
      <c r="E119" s="897"/>
      <c r="F119" s="897"/>
      <c r="G119" s="897"/>
      <c r="H119" s="897"/>
    </row>
    <row r="120" spans="2:8" hidden="1" x14ac:dyDescent="0.2">
      <c r="B120" s="897"/>
      <c r="C120" s="897"/>
      <c r="D120" s="897"/>
      <c r="E120" s="897"/>
      <c r="F120" s="897"/>
      <c r="G120" s="897"/>
      <c r="H120" s="897"/>
    </row>
    <row r="121" spans="2:8" hidden="1" x14ac:dyDescent="0.2">
      <c r="B121" s="897"/>
      <c r="C121" s="897"/>
      <c r="D121" s="897"/>
      <c r="E121" s="897"/>
      <c r="F121" s="897"/>
      <c r="G121" s="897"/>
      <c r="H121" s="897"/>
    </row>
    <row r="122" spans="2:8" hidden="1" x14ac:dyDescent="0.2">
      <c r="B122" s="897"/>
      <c r="C122" s="897"/>
      <c r="D122" s="897"/>
      <c r="E122" s="897"/>
      <c r="F122" s="897"/>
      <c r="G122" s="897"/>
      <c r="H122" s="897"/>
    </row>
    <row r="123" spans="2:8" hidden="1" x14ac:dyDescent="0.2">
      <c r="B123" s="897"/>
      <c r="C123" s="897"/>
      <c r="D123" s="897"/>
      <c r="E123" s="897"/>
      <c r="F123" s="897"/>
      <c r="G123" s="897"/>
      <c r="H123" s="897"/>
    </row>
    <row r="124" spans="2:8" hidden="1" x14ac:dyDescent="0.2">
      <c r="B124" s="897"/>
      <c r="C124" s="897"/>
      <c r="D124" s="897"/>
      <c r="E124" s="897"/>
      <c r="F124" s="897"/>
      <c r="G124" s="897"/>
      <c r="H124" s="897"/>
    </row>
    <row r="125" spans="2:8" hidden="1" x14ac:dyDescent="0.2">
      <c r="B125" s="897"/>
      <c r="C125" s="897"/>
      <c r="D125" s="897"/>
      <c r="E125" s="897"/>
      <c r="F125" s="897"/>
      <c r="G125" s="897"/>
      <c r="H125" s="897"/>
    </row>
    <row r="126" spans="2:8" hidden="1" x14ac:dyDescent="0.2">
      <c r="B126" s="897"/>
      <c r="C126" s="897"/>
      <c r="D126" s="897"/>
      <c r="E126" s="897"/>
      <c r="F126" s="897"/>
      <c r="G126" s="897"/>
      <c r="H126" s="897"/>
    </row>
    <row r="127" spans="2:8" hidden="1" x14ac:dyDescent="0.2">
      <c r="B127" s="897"/>
      <c r="C127" s="897"/>
      <c r="D127" s="897"/>
      <c r="E127" s="897"/>
      <c r="F127" s="897"/>
      <c r="G127" s="897"/>
      <c r="H127" s="897"/>
    </row>
    <row r="128" spans="2:8" hidden="1" x14ac:dyDescent="0.2">
      <c r="B128" s="897"/>
      <c r="C128" s="897"/>
      <c r="D128" s="897"/>
      <c r="E128" s="897"/>
      <c r="F128" s="897"/>
      <c r="G128" s="897"/>
      <c r="H128" s="897"/>
    </row>
    <row r="129" spans="2:8" hidden="1" x14ac:dyDescent="0.2">
      <c r="B129" s="897"/>
      <c r="C129" s="897"/>
      <c r="D129" s="897"/>
      <c r="E129" s="897"/>
      <c r="F129" s="897"/>
      <c r="G129" s="897"/>
      <c r="H129" s="897"/>
    </row>
    <row r="130" spans="2:8" hidden="1" x14ac:dyDescent="0.2">
      <c r="B130" s="897"/>
      <c r="C130" s="897"/>
      <c r="D130" s="897"/>
      <c r="E130" s="897"/>
      <c r="F130" s="897"/>
      <c r="G130" s="897"/>
      <c r="H130" s="897"/>
    </row>
    <row r="131" spans="2:8" hidden="1" x14ac:dyDescent="0.2">
      <c r="B131" s="897"/>
      <c r="C131" s="897"/>
      <c r="D131" s="897"/>
      <c r="E131" s="897"/>
      <c r="F131" s="897"/>
      <c r="G131" s="897"/>
      <c r="H131" s="897"/>
    </row>
    <row r="132" spans="2:8" hidden="1" x14ac:dyDescent="0.2">
      <c r="B132" s="897"/>
      <c r="C132" s="897"/>
      <c r="D132" s="897"/>
      <c r="E132" s="897"/>
      <c r="F132" s="897"/>
      <c r="G132" s="897"/>
      <c r="H132" s="897"/>
    </row>
    <row r="133" spans="2:8" hidden="1" x14ac:dyDescent="0.2">
      <c r="B133" s="897"/>
      <c r="C133" s="897"/>
      <c r="D133" s="897"/>
      <c r="E133" s="897"/>
      <c r="F133" s="897"/>
      <c r="G133" s="897"/>
      <c r="H133" s="897"/>
    </row>
    <row r="134" spans="2:8" hidden="1" x14ac:dyDescent="0.2">
      <c r="B134" s="897"/>
      <c r="C134" s="897"/>
      <c r="D134" s="897"/>
      <c r="E134" s="897"/>
      <c r="F134" s="897"/>
      <c r="G134" s="897"/>
      <c r="H134" s="897"/>
    </row>
    <row r="135" spans="2:8" hidden="1" x14ac:dyDescent="0.2">
      <c r="B135" s="897"/>
      <c r="C135" s="897"/>
      <c r="D135" s="897"/>
      <c r="E135" s="897"/>
      <c r="F135" s="897"/>
      <c r="G135" s="897"/>
      <c r="H135" s="897"/>
    </row>
    <row r="136" spans="2:8" hidden="1" x14ac:dyDescent="0.2">
      <c r="B136" s="897"/>
      <c r="C136" s="897"/>
      <c r="D136" s="897"/>
      <c r="E136" s="897"/>
      <c r="F136" s="897"/>
      <c r="G136" s="897"/>
      <c r="H136" s="897"/>
    </row>
    <row r="137" spans="2:8" hidden="1" x14ac:dyDescent="0.2">
      <c r="B137" s="897"/>
      <c r="C137" s="897"/>
      <c r="D137" s="897"/>
      <c r="E137" s="897"/>
      <c r="F137" s="897"/>
      <c r="G137" s="897"/>
      <c r="H137" s="897"/>
    </row>
    <row r="138" spans="2:8" hidden="1" x14ac:dyDescent="0.2">
      <c r="B138" s="897"/>
      <c r="C138" s="897"/>
      <c r="D138" s="897"/>
      <c r="E138" s="897"/>
      <c r="F138" s="897"/>
      <c r="G138" s="897"/>
      <c r="H138" s="897"/>
    </row>
    <row r="139" spans="2:8" hidden="1" x14ac:dyDescent="0.2">
      <c r="B139" s="897"/>
      <c r="C139" s="897"/>
      <c r="D139" s="897"/>
      <c r="E139" s="897"/>
      <c r="F139" s="897"/>
      <c r="G139" s="897"/>
      <c r="H139" s="897"/>
    </row>
    <row r="140" spans="2:8" hidden="1" x14ac:dyDescent="0.2">
      <c r="B140" s="897"/>
      <c r="C140" s="897"/>
      <c r="D140" s="897"/>
      <c r="E140" s="897"/>
      <c r="F140" s="897"/>
      <c r="G140" s="897"/>
      <c r="H140" s="897"/>
    </row>
    <row r="141" spans="2:8" hidden="1" x14ac:dyDescent="0.2">
      <c r="B141" s="897"/>
      <c r="C141" s="897"/>
      <c r="D141" s="897"/>
      <c r="E141" s="897"/>
      <c r="F141" s="897"/>
      <c r="G141" s="897"/>
      <c r="H141" s="897"/>
    </row>
    <row r="142" spans="2:8" hidden="1" x14ac:dyDescent="0.2">
      <c r="B142" s="897"/>
      <c r="C142" s="897"/>
      <c r="D142" s="897"/>
      <c r="E142" s="897"/>
      <c r="F142" s="897"/>
      <c r="G142" s="897"/>
      <c r="H142" s="897"/>
    </row>
    <row r="143" spans="2:8" hidden="1" x14ac:dyDescent="0.2">
      <c r="B143" s="897"/>
      <c r="C143" s="897"/>
      <c r="D143" s="897"/>
      <c r="E143" s="897"/>
      <c r="F143" s="897"/>
      <c r="G143" s="897"/>
      <c r="H143" s="897"/>
    </row>
    <row r="144" spans="2:8" hidden="1" x14ac:dyDescent="0.2">
      <c r="B144" s="897"/>
      <c r="C144" s="897"/>
      <c r="D144" s="897"/>
      <c r="E144" s="897"/>
      <c r="F144" s="897"/>
      <c r="G144" s="897"/>
      <c r="H144" s="897"/>
    </row>
    <row r="145" spans="2:8" hidden="1" x14ac:dyDescent="0.2">
      <c r="B145" s="897"/>
      <c r="C145" s="897"/>
      <c r="D145" s="897"/>
      <c r="E145" s="897"/>
      <c r="F145" s="897"/>
      <c r="G145" s="897"/>
      <c r="H145" s="897"/>
    </row>
    <row r="146" spans="2:8" hidden="1" x14ac:dyDescent="0.2">
      <c r="B146" s="897"/>
      <c r="C146" s="897"/>
      <c r="D146" s="897"/>
      <c r="E146" s="897"/>
      <c r="F146" s="897"/>
      <c r="G146" s="897"/>
      <c r="H146" s="897"/>
    </row>
    <row r="147" spans="2:8" hidden="1" x14ac:dyDescent="0.2">
      <c r="B147" s="897"/>
      <c r="C147" s="897"/>
      <c r="D147" s="897"/>
      <c r="E147" s="897"/>
      <c r="F147" s="897"/>
      <c r="G147" s="897"/>
      <c r="H147" s="897"/>
    </row>
    <row r="148" spans="2:8" hidden="1" x14ac:dyDescent="0.2">
      <c r="B148" s="897"/>
      <c r="C148" s="897"/>
      <c r="D148" s="897"/>
      <c r="E148" s="897"/>
      <c r="F148" s="897"/>
      <c r="G148" s="897"/>
      <c r="H148" s="897"/>
    </row>
    <row r="149" spans="2:8" hidden="1" x14ac:dyDescent="0.2">
      <c r="B149" s="897"/>
      <c r="C149" s="897"/>
      <c r="D149" s="897"/>
      <c r="E149" s="897"/>
      <c r="F149" s="897"/>
      <c r="G149" s="897"/>
      <c r="H149" s="897"/>
    </row>
    <row r="150" spans="2:8" hidden="1" x14ac:dyDescent="0.2">
      <c r="B150" s="897"/>
      <c r="C150" s="897"/>
      <c r="D150" s="897"/>
      <c r="E150" s="897"/>
      <c r="F150" s="897"/>
      <c r="G150" s="897"/>
      <c r="H150" s="897"/>
    </row>
    <row r="151" spans="2:8" hidden="1" x14ac:dyDescent="0.2">
      <c r="B151" s="897"/>
      <c r="C151" s="897"/>
      <c r="D151" s="897"/>
      <c r="E151" s="897"/>
      <c r="F151" s="897"/>
      <c r="G151" s="897"/>
      <c r="H151" s="897"/>
    </row>
    <row r="152" spans="2:8" hidden="1" x14ac:dyDescent="0.2">
      <c r="B152" s="897"/>
      <c r="C152" s="897"/>
      <c r="D152" s="897"/>
      <c r="E152" s="897"/>
      <c r="F152" s="897"/>
      <c r="G152" s="897"/>
      <c r="H152" s="897"/>
    </row>
    <row r="153" spans="2:8" hidden="1" x14ac:dyDescent="0.2">
      <c r="B153" s="897"/>
      <c r="C153" s="897"/>
      <c r="D153" s="897"/>
      <c r="E153" s="897"/>
      <c r="F153" s="897"/>
      <c r="G153" s="897"/>
      <c r="H153" s="897"/>
    </row>
    <row r="154" spans="2:8" hidden="1" x14ac:dyDescent="0.2">
      <c r="B154" s="897"/>
      <c r="C154" s="897"/>
      <c r="D154" s="897"/>
      <c r="E154" s="897"/>
      <c r="F154" s="897"/>
      <c r="G154" s="897"/>
      <c r="H154" s="897"/>
    </row>
    <row r="155" spans="2:8" hidden="1" x14ac:dyDescent="0.2">
      <c r="B155" s="897"/>
      <c r="C155" s="897"/>
      <c r="D155" s="897"/>
      <c r="E155" s="897"/>
      <c r="F155" s="897"/>
      <c r="G155" s="897"/>
      <c r="H155" s="897"/>
    </row>
    <row r="156" spans="2:8" hidden="1" x14ac:dyDescent="0.2">
      <c r="B156" s="897"/>
      <c r="C156" s="897"/>
      <c r="D156" s="897"/>
      <c r="E156" s="897"/>
      <c r="F156" s="897"/>
      <c r="G156" s="897"/>
      <c r="H156" s="897"/>
    </row>
    <row r="157" spans="2:8" hidden="1" x14ac:dyDescent="0.2">
      <c r="B157" s="897"/>
      <c r="C157" s="897"/>
      <c r="D157" s="897"/>
      <c r="E157" s="897"/>
      <c r="F157" s="897"/>
      <c r="G157" s="897"/>
      <c r="H157" s="897"/>
    </row>
    <row r="158" spans="2:8" hidden="1" x14ac:dyDescent="0.2">
      <c r="B158" s="897"/>
      <c r="C158" s="897"/>
      <c r="D158" s="897"/>
      <c r="E158" s="897"/>
      <c r="F158" s="897"/>
      <c r="G158" s="897"/>
      <c r="H158" s="897"/>
    </row>
    <row r="159" spans="2:8" hidden="1" x14ac:dyDescent="0.2">
      <c r="B159" s="897"/>
      <c r="C159" s="897"/>
      <c r="D159" s="897"/>
      <c r="E159" s="897"/>
      <c r="F159" s="897"/>
      <c r="G159" s="897"/>
      <c r="H159" s="897"/>
    </row>
    <row r="160" spans="2:8" hidden="1" x14ac:dyDescent="0.2">
      <c r="B160" s="897"/>
      <c r="C160" s="897"/>
      <c r="D160" s="897"/>
      <c r="E160" s="897"/>
      <c r="F160" s="897"/>
      <c r="G160" s="897"/>
      <c r="H160" s="897"/>
    </row>
    <row r="161" spans="2:8" hidden="1" x14ac:dyDescent="0.2">
      <c r="B161" s="897"/>
      <c r="C161" s="897"/>
      <c r="D161" s="897"/>
      <c r="E161" s="897"/>
      <c r="F161" s="897"/>
      <c r="G161" s="897"/>
      <c r="H161" s="897"/>
    </row>
    <row r="162" spans="2:8" hidden="1" x14ac:dyDescent="0.2">
      <c r="B162" s="897"/>
      <c r="C162" s="897"/>
      <c r="D162" s="897"/>
      <c r="E162" s="897"/>
      <c r="F162" s="897"/>
      <c r="G162" s="897"/>
      <c r="H162" s="897"/>
    </row>
    <row r="163" spans="2:8" hidden="1" x14ac:dyDescent="0.2">
      <c r="B163" s="897"/>
      <c r="C163" s="897"/>
      <c r="D163" s="897"/>
      <c r="E163" s="897"/>
      <c r="F163" s="897"/>
      <c r="G163" s="897"/>
      <c r="H163" s="897"/>
    </row>
    <row r="164" spans="2:8" hidden="1" x14ac:dyDescent="0.2">
      <c r="B164" s="897"/>
      <c r="C164" s="897"/>
      <c r="D164" s="897"/>
      <c r="E164" s="897"/>
      <c r="F164" s="897"/>
      <c r="G164" s="897"/>
      <c r="H164" s="897"/>
    </row>
    <row r="165" spans="2:8" hidden="1" x14ac:dyDescent="0.2">
      <c r="B165" s="897"/>
      <c r="C165" s="897"/>
      <c r="D165" s="897"/>
      <c r="E165" s="897"/>
      <c r="F165" s="897"/>
      <c r="G165" s="897"/>
      <c r="H165" s="897"/>
    </row>
    <row r="166" spans="2:8" hidden="1" x14ac:dyDescent="0.2">
      <c r="B166" s="897"/>
      <c r="C166" s="897"/>
      <c r="D166" s="897"/>
      <c r="E166" s="897"/>
      <c r="F166" s="897"/>
      <c r="G166" s="897"/>
      <c r="H166" s="897"/>
    </row>
    <row r="167" spans="2:8" hidden="1" x14ac:dyDescent="0.2">
      <c r="B167" s="897"/>
      <c r="C167" s="897"/>
      <c r="D167" s="897"/>
      <c r="E167" s="897"/>
      <c r="F167" s="897"/>
      <c r="G167" s="897"/>
      <c r="H167" s="897"/>
    </row>
    <row r="168" spans="2:8" hidden="1" x14ac:dyDescent="0.2">
      <c r="B168" s="897"/>
      <c r="C168" s="897"/>
      <c r="D168" s="897"/>
      <c r="E168" s="897"/>
      <c r="F168" s="897"/>
      <c r="G168" s="897"/>
      <c r="H168" s="897"/>
    </row>
    <row r="169" spans="2:8" hidden="1" x14ac:dyDescent="0.2">
      <c r="B169" s="897"/>
      <c r="C169" s="897"/>
      <c r="D169" s="897"/>
      <c r="E169" s="897"/>
      <c r="F169" s="897"/>
      <c r="G169" s="897"/>
      <c r="H169" s="897"/>
    </row>
    <row r="170" spans="2:8" hidden="1" x14ac:dyDescent="0.2">
      <c r="B170" s="897"/>
      <c r="C170" s="897"/>
      <c r="D170" s="897"/>
      <c r="E170" s="897"/>
      <c r="F170" s="897"/>
      <c r="G170" s="897"/>
      <c r="H170" s="897"/>
    </row>
    <row r="171" spans="2:8" hidden="1" x14ac:dyDescent="0.2">
      <c r="B171" s="897"/>
      <c r="C171" s="897"/>
      <c r="D171" s="897"/>
      <c r="E171" s="897"/>
      <c r="F171" s="897"/>
      <c r="G171" s="897"/>
      <c r="H171" s="897"/>
    </row>
    <row r="172" spans="2:8" hidden="1" x14ac:dyDescent="0.2">
      <c r="B172" s="897"/>
      <c r="C172" s="897"/>
      <c r="D172" s="897"/>
      <c r="E172" s="897"/>
      <c r="F172" s="897"/>
      <c r="G172" s="897"/>
      <c r="H172" s="897"/>
    </row>
    <row r="173" spans="2:8" hidden="1" x14ac:dyDescent="0.2">
      <c r="B173" s="897"/>
      <c r="C173" s="897"/>
      <c r="D173" s="897"/>
      <c r="E173" s="897"/>
      <c r="F173" s="897"/>
      <c r="G173" s="897"/>
      <c r="H173" s="897"/>
    </row>
    <row r="174" spans="2:8" hidden="1" x14ac:dyDescent="0.2">
      <c r="B174" s="897"/>
      <c r="C174" s="897"/>
      <c r="D174" s="897"/>
      <c r="E174" s="897"/>
      <c r="F174" s="897"/>
      <c r="G174" s="897"/>
      <c r="H174" s="897"/>
    </row>
    <row r="175" spans="2:8" hidden="1" x14ac:dyDescent="0.2">
      <c r="B175" s="897"/>
      <c r="C175" s="897"/>
      <c r="D175" s="897"/>
      <c r="E175" s="897"/>
      <c r="F175" s="897"/>
      <c r="G175" s="897"/>
      <c r="H175" s="897"/>
    </row>
    <row r="176" spans="2:8" hidden="1" x14ac:dyDescent="0.2">
      <c r="B176" s="897"/>
      <c r="C176" s="897"/>
      <c r="D176" s="897"/>
      <c r="E176" s="897"/>
      <c r="F176" s="897"/>
      <c r="G176" s="897"/>
      <c r="H176" s="897"/>
    </row>
    <row r="177" spans="2:8" hidden="1" x14ac:dyDescent="0.2">
      <c r="B177" s="897"/>
      <c r="C177" s="897"/>
      <c r="D177" s="897"/>
      <c r="E177" s="897"/>
      <c r="F177" s="897"/>
      <c r="G177" s="897"/>
      <c r="H177" s="897"/>
    </row>
    <row r="178" spans="2:8" hidden="1" x14ac:dyDescent="0.2">
      <c r="B178" s="897"/>
      <c r="C178" s="897"/>
      <c r="D178" s="897"/>
      <c r="E178" s="897"/>
      <c r="F178" s="897"/>
      <c r="G178" s="897"/>
      <c r="H178" s="897"/>
    </row>
    <row r="179" spans="2:8" hidden="1" x14ac:dyDescent="0.2">
      <c r="B179" s="897"/>
      <c r="C179" s="897"/>
      <c r="D179" s="897"/>
      <c r="E179" s="897"/>
      <c r="F179" s="897"/>
      <c r="G179" s="897"/>
      <c r="H179" s="897"/>
    </row>
    <row r="180" spans="2:8" hidden="1" x14ac:dyDescent="0.2">
      <c r="B180" s="897"/>
      <c r="C180" s="897"/>
      <c r="D180" s="897"/>
      <c r="E180" s="897"/>
      <c r="F180" s="897"/>
      <c r="G180" s="897"/>
      <c r="H180" s="897"/>
    </row>
    <row r="181" spans="2:8" hidden="1" x14ac:dyDescent="0.2">
      <c r="B181" s="897"/>
      <c r="C181" s="897"/>
      <c r="D181" s="897"/>
      <c r="E181" s="897"/>
      <c r="F181" s="897"/>
      <c r="G181" s="897"/>
      <c r="H181" s="897"/>
    </row>
    <row r="182" spans="2:8" hidden="1" x14ac:dyDescent="0.2">
      <c r="B182" s="897"/>
      <c r="C182" s="897"/>
      <c r="D182" s="897"/>
      <c r="E182" s="897"/>
      <c r="F182" s="897"/>
      <c r="G182" s="897"/>
      <c r="H182" s="897"/>
    </row>
    <row r="183" spans="2:8" hidden="1" x14ac:dyDescent="0.2">
      <c r="B183" s="897"/>
      <c r="C183" s="897"/>
      <c r="D183" s="897"/>
      <c r="E183" s="897"/>
      <c r="F183" s="897"/>
      <c r="G183" s="897"/>
      <c r="H183" s="897"/>
    </row>
    <row r="184" spans="2:8" hidden="1" x14ac:dyDescent="0.2">
      <c r="B184" s="897"/>
      <c r="C184" s="897"/>
      <c r="D184" s="897"/>
      <c r="E184" s="897"/>
      <c r="F184" s="897"/>
      <c r="G184" s="897"/>
      <c r="H184" s="897"/>
    </row>
    <row r="185" spans="2:8" hidden="1" x14ac:dyDescent="0.2">
      <c r="B185" s="897"/>
      <c r="C185" s="897"/>
      <c r="D185" s="897"/>
      <c r="E185" s="897"/>
      <c r="F185" s="897"/>
      <c r="G185" s="897"/>
      <c r="H185" s="897"/>
    </row>
    <row r="186" spans="2:8" hidden="1" x14ac:dyDescent="0.2">
      <c r="B186" s="897"/>
      <c r="C186" s="897"/>
      <c r="D186" s="897"/>
      <c r="E186" s="897"/>
      <c r="F186" s="897"/>
      <c r="G186" s="897"/>
      <c r="H186" s="897"/>
    </row>
    <row r="187" spans="2:8" hidden="1" x14ac:dyDescent="0.2">
      <c r="B187" s="897"/>
      <c r="C187" s="897"/>
      <c r="D187" s="897"/>
      <c r="E187" s="897"/>
      <c r="F187" s="897"/>
      <c r="G187" s="897"/>
      <c r="H187" s="897"/>
    </row>
    <row r="188" spans="2:8" hidden="1" x14ac:dyDescent="0.2">
      <c r="B188" s="897"/>
      <c r="C188" s="897"/>
      <c r="D188" s="897"/>
      <c r="E188" s="897"/>
      <c r="F188" s="897"/>
      <c r="G188" s="897"/>
      <c r="H188" s="897"/>
    </row>
    <row r="189" spans="2:8" hidden="1" x14ac:dyDescent="0.2">
      <c r="B189" s="897"/>
      <c r="C189" s="897"/>
      <c r="D189" s="897"/>
      <c r="E189" s="897"/>
    </row>
  </sheetData>
  <sheetProtection algorithmName="SHA-512" hashValue="qtP6VUhHuctTiMAqwFocmGG9rCVepEbgtSwxQ4BICIyV0d32nrXTNJzILfUu6WtaT4yrLHYGaVoRvLOihpNTqg==" saltValue="aRSqaniFlxwGssCu8pjbcQ==" spinCount="100000" sheet="1" objects="1" scenarios="1" selectLockedCells="1" selectUnlockedCells="1"/>
  <mergeCells count="4">
    <mergeCell ref="B4:E4"/>
    <mergeCell ref="B22:E22"/>
    <mergeCell ref="B33:E33"/>
    <mergeCell ref="K3:M3"/>
  </mergeCells>
  <phoneticPr fontId="9" type="noConversion"/>
  <conditionalFormatting sqref="D11">
    <cfRule type="cellIs" dxfId="7" priority="4" stopIfTrue="1" operator="notEqual">
      <formula>1</formula>
    </cfRule>
  </conditionalFormatting>
  <conditionalFormatting sqref="D29">
    <cfRule type="cellIs" dxfId="6" priority="2" stopIfTrue="1" operator="notEqual">
      <formula>1</formula>
    </cfRule>
  </conditionalFormatting>
  <conditionalFormatting sqref="D41">
    <cfRule type="cellIs" dxfId="5" priority="1" stopIfTrue="1" operator="notEqual">
      <formula>1</formula>
    </cfRule>
  </conditionalFormatting>
  <pageMargins left="0.7" right="0.7" top="0.75" bottom="0.75" header="0.3" footer="0.3"/>
  <pageSetup scale="3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212B2-202F-4A6B-A71C-D35D8275B87A}">
  <sheetPr codeName="Hoja5">
    <tabColor theme="0"/>
    <outlinePr summaryBelow="0"/>
  </sheetPr>
  <dimension ref="A1:AI353"/>
  <sheetViews>
    <sheetView showGridLines="0" showOutlineSymbols="0" showWhiteSpace="0" topLeftCell="A3" workbookViewId="0">
      <selection activeCell="A3" sqref="A3"/>
    </sheetView>
  </sheetViews>
  <sheetFormatPr baseColWidth="10" defaultColWidth="0" defaultRowHeight="15" zeroHeight="1" x14ac:dyDescent="0.25"/>
  <cols>
    <col min="1" max="1" width="16.5703125" style="201" bestFit="1" customWidth="1"/>
    <col min="2" max="2" width="16.5703125" style="201" customWidth="1"/>
    <col min="3" max="3" width="26.5703125" style="201" customWidth="1"/>
    <col min="4" max="4" width="21" style="201" customWidth="1"/>
    <col min="5" max="5" width="19.85546875" style="201" customWidth="1"/>
    <col min="6" max="6" width="22.140625" style="201" customWidth="1"/>
    <col min="7" max="7" width="13.85546875" style="211" customWidth="1"/>
    <col min="8" max="8" width="14.140625" style="211" customWidth="1"/>
    <col min="9" max="10" width="23.7109375" style="201" customWidth="1"/>
    <col min="11" max="11" width="12" style="201" hidden="1" customWidth="1"/>
    <col min="12" max="12" width="12.140625" style="201" hidden="1" customWidth="1"/>
    <col min="13" max="13" width="23.42578125" style="201" hidden="1" customWidth="1"/>
    <col min="14" max="15" width="15.85546875" style="201" hidden="1" customWidth="1"/>
    <col min="16" max="16" width="15.85546875" style="201" customWidth="1"/>
    <col min="17" max="17" width="21.5703125" style="212" customWidth="1"/>
    <col min="18" max="18" width="16.85546875" style="212" customWidth="1"/>
    <col min="19" max="19" width="17.5703125" style="212" customWidth="1"/>
    <col min="20" max="20" width="21.140625" style="211" hidden="1" customWidth="1"/>
    <col min="21" max="21" width="17.140625" style="213" hidden="1" customWidth="1"/>
    <col min="22" max="22" width="19.85546875" style="214" hidden="1" customWidth="1"/>
    <col min="23" max="23" width="15.85546875" style="201" customWidth="1"/>
    <col min="24" max="24" width="18.140625" style="201" bestFit="1" customWidth="1"/>
    <col min="25" max="25" width="13.5703125" style="201" bestFit="1" customWidth="1"/>
    <col min="26" max="26" width="13.140625" style="201" bestFit="1" customWidth="1"/>
    <col min="27" max="28" width="14.28515625" style="201" bestFit="1" customWidth="1"/>
    <col min="29" max="29" width="14.42578125" style="201" bestFit="1" customWidth="1"/>
    <col min="30" max="30" width="13.140625" style="201" bestFit="1" customWidth="1"/>
    <col min="31" max="31" width="13.5703125" style="201" bestFit="1" customWidth="1"/>
    <col min="32" max="33" width="14.28515625" style="201" bestFit="1" customWidth="1"/>
    <col min="34" max="34" width="13.140625" style="201" bestFit="1" customWidth="1"/>
    <col min="35" max="35" width="11.5703125" style="201" customWidth="1"/>
    <col min="36" max="16384" width="11.5703125" style="201" hidden="1"/>
  </cols>
  <sheetData>
    <row r="1" spans="1:35" s="472" customFormat="1" ht="16.5" hidden="1" thickBot="1" x14ac:dyDescent="0.3">
      <c r="A1" s="394"/>
      <c r="B1" s="394"/>
      <c r="C1" s="394"/>
      <c r="D1" s="395">
        <f>COLUMN()</f>
        <v>4</v>
      </c>
      <c r="E1" s="395">
        <f>COLUMN()</f>
        <v>5</v>
      </c>
      <c r="F1" s="395">
        <f>COLUMN()</f>
        <v>6</v>
      </c>
      <c r="G1" s="399">
        <f>COLUMN()</f>
        <v>7</v>
      </c>
      <c r="H1" s="400">
        <f>COLUMN()</f>
        <v>8</v>
      </c>
      <c r="I1" s="400">
        <f>COLUMN()</f>
        <v>9</v>
      </c>
      <c r="J1" s="401">
        <f>COLUMN()</f>
        <v>10</v>
      </c>
      <c r="K1" s="395">
        <f>COLUMN()</f>
        <v>11</v>
      </c>
      <c r="L1" s="395">
        <f>COLUMN()</f>
        <v>12</v>
      </c>
      <c r="M1" s="395">
        <f>COLUMN()</f>
        <v>13</v>
      </c>
      <c r="N1" s="395">
        <f>COLUMN()</f>
        <v>14</v>
      </c>
      <c r="O1" s="395">
        <f>COLUMN()</f>
        <v>15</v>
      </c>
      <c r="P1" s="395">
        <f>COLUMN()</f>
        <v>16</v>
      </c>
      <c r="Q1" s="395">
        <f>COLUMN()</f>
        <v>17</v>
      </c>
      <c r="R1" s="395">
        <f>COLUMN()</f>
        <v>18</v>
      </c>
      <c r="S1" s="395">
        <f>COLUMN()</f>
        <v>19</v>
      </c>
      <c r="T1" s="395">
        <f>COLUMN()</f>
        <v>20</v>
      </c>
      <c r="U1" s="395">
        <f>COLUMN()</f>
        <v>21</v>
      </c>
      <c r="V1" s="395">
        <f>COLUMN()</f>
        <v>22</v>
      </c>
      <c r="W1" s="395">
        <f>COLUMN()</f>
        <v>23</v>
      </c>
      <c r="X1" s="395">
        <f>COLUMN()</f>
        <v>24</v>
      </c>
      <c r="Y1" s="395">
        <f>COLUMN()</f>
        <v>25</v>
      </c>
      <c r="Z1" s="395">
        <f>COLUMN()</f>
        <v>26</v>
      </c>
      <c r="AA1" s="395">
        <f>COLUMN()</f>
        <v>27</v>
      </c>
      <c r="AB1" s="395">
        <f>COLUMN()</f>
        <v>28</v>
      </c>
      <c r="AC1" s="395">
        <f>COLUMN()</f>
        <v>29</v>
      </c>
      <c r="AD1" s="395">
        <f>COLUMN()</f>
        <v>30</v>
      </c>
      <c r="AE1" s="395">
        <f>COLUMN()</f>
        <v>31</v>
      </c>
      <c r="AF1" s="395">
        <f>COLUMN()</f>
        <v>32</v>
      </c>
      <c r="AG1" s="395">
        <f>COLUMN()</f>
        <v>33</v>
      </c>
      <c r="AH1" s="395">
        <f>COLUMN()</f>
        <v>34</v>
      </c>
      <c r="AI1" s="394"/>
    </row>
    <row r="2" spans="1:35" ht="26.1" hidden="1" customHeight="1" thickBot="1" x14ac:dyDescent="0.3">
      <c r="D2" s="599"/>
      <c r="E2" s="600"/>
      <c r="F2" s="600"/>
      <c r="G2" s="599"/>
      <c r="H2" s="600"/>
      <c r="I2" s="600"/>
      <c r="J2" s="600"/>
      <c r="K2" s="599"/>
      <c r="L2" s="600"/>
      <c r="M2" s="600"/>
      <c r="N2" s="600"/>
      <c r="O2" s="600"/>
      <c r="P2" s="601"/>
      <c r="Q2" s="602" t="s">
        <v>616</v>
      </c>
      <c r="R2" s="602"/>
      <c r="S2" s="603"/>
      <c r="T2" s="604"/>
      <c r="U2" s="605"/>
      <c r="V2" s="606"/>
      <c r="W2" s="607" t="s">
        <v>702</v>
      </c>
      <c r="X2" s="607"/>
      <c r="Y2" s="599"/>
      <c r="Z2" s="600"/>
      <c r="AA2" s="600"/>
      <c r="AB2" s="600"/>
      <c r="AC2" s="600"/>
      <c r="AD2" s="600"/>
      <c r="AE2" s="600"/>
      <c r="AF2" s="600"/>
      <c r="AG2" s="600"/>
      <c r="AH2" s="601"/>
      <c r="AI2" s="608"/>
    </row>
    <row r="3" spans="1:35" s="205" customFormat="1" ht="18.600000000000001" customHeight="1" thickBot="1" x14ac:dyDescent="0.35">
      <c r="A3" s="714" t="str">
        <f>"Variables : FONDOS "&amp;RIGHT(PARAMETROS!B3,4)</f>
        <v>Variables : FONDOS 2026</v>
      </c>
      <c r="B3" s="629"/>
      <c r="C3" s="629"/>
      <c r="D3" s="202"/>
      <c r="G3" s="203"/>
      <c r="H3" s="204"/>
      <c r="K3" s="203">
        <f>SUM(K5:K350)</f>
        <v>0</v>
      </c>
      <c r="L3" s="204">
        <f t="shared" ref="L3:P3" si="0">SUM(L5:L350)</f>
        <v>0</v>
      </c>
      <c r="M3" s="204">
        <f t="shared" si="0"/>
        <v>3107444865</v>
      </c>
      <c r="N3" s="204">
        <f t="shared" si="0"/>
        <v>3107444865</v>
      </c>
      <c r="O3" s="204">
        <f t="shared" si="0"/>
        <v>3107444865</v>
      </c>
      <c r="P3" s="528">
        <f t="shared" si="0"/>
        <v>3107444865</v>
      </c>
      <c r="Q3" s="206">
        <f>SUM(Q5:Q350)</f>
        <v>1995563620.7269976</v>
      </c>
      <c r="R3" s="206">
        <f>+Q3/12</f>
        <v>166296968.39391646</v>
      </c>
      <c r="S3" s="207">
        <f t="shared" ref="S3" si="1">SUM(S5:S350)</f>
        <v>131374604</v>
      </c>
      <c r="T3" s="618">
        <f>SUM(T5:T350)</f>
        <v>2567723851.1940017</v>
      </c>
      <c r="U3" s="390">
        <f>COUNTIF(U5:U350,"Sí")+COUNTIF(U5:U350,"SI")</f>
        <v>45</v>
      </c>
      <c r="V3" s="438">
        <f>SUM(V5:V350)</f>
        <v>0.40000000000000008</v>
      </c>
      <c r="W3" s="206">
        <f>SUM(W5:W350)</f>
        <v>22097766</v>
      </c>
      <c r="X3" s="206">
        <f>SUM(X5:X350)</f>
        <v>2707997173.9000006</v>
      </c>
      <c r="Y3" s="471">
        <f>SUM(Y5:Y350)</f>
        <v>166598599</v>
      </c>
      <c r="Z3" s="473">
        <f t="shared" ref="Z3:AH3" si="2">SUM(Z5:Z350)</f>
        <v>113031946</v>
      </c>
      <c r="AA3" s="473">
        <f t="shared" si="2"/>
        <v>134772086</v>
      </c>
      <c r="AB3" s="473">
        <f t="shared" si="2"/>
        <v>109728676</v>
      </c>
      <c r="AC3" s="473">
        <f t="shared" si="2"/>
        <v>524131307</v>
      </c>
      <c r="AD3" s="473">
        <f t="shared" si="2"/>
        <v>17142491</v>
      </c>
      <c r="AE3" s="473">
        <f t="shared" si="2"/>
        <v>7867593</v>
      </c>
      <c r="AF3" s="473">
        <f t="shared" si="2"/>
        <v>10644722.000000004</v>
      </c>
      <c r="AG3" s="473">
        <f t="shared" si="2"/>
        <v>7389213</v>
      </c>
      <c r="AH3" s="474">
        <f t="shared" si="2"/>
        <v>43044019.000000015</v>
      </c>
      <c r="AI3" s="208"/>
    </row>
    <row r="4" spans="1:35" s="619" customFormat="1" ht="120.75" thickBot="1" x14ac:dyDescent="0.3">
      <c r="A4" s="619" t="s">
        <v>638</v>
      </c>
      <c r="B4" s="619" t="s">
        <v>340</v>
      </c>
      <c r="C4" s="619" t="s">
        <v>544</v>
      </c>
      <c r="D4" s="620" t="str">
        <f>"Población Comunal, Estimada por el INE (N° ) Año "&amp;RIGHT(PARAMETROS!B3,4)-2</f>
        <v>Población Comunal, Estimada por el INE (N° ) Año 2024</v>
      </c>
      <c r="E4" s="621" t="s">
        <v>1036</v>
      </c>
      <c r="F4" s="621" t="str">
        <f>"Población flotante total Estimada 
Informada por SERNATUR 
(Uso exclusivo para cálculos FCM "&amp;RIGHT(PARAMETROS!B3,4)&amp;")"</f>
        <v>Población flotante total Estimada 
Informada por SERNATUR 
(Uso exclusivo para cálculos FCM 2026)</v>
      </c>
      <c r="G4" s="622" t="str">
        <f>CONCATENATE("TOTAL 
PREDIOS 
EXENTOS 
Comuna
 AÑO ",RIGHT(PARAMETROS!B3,4)-2," (N° )"&amp;" 
(PXci)")</f>
        <v>TOTAL 
PREDIOS 
EXENTOS 
Comuna
 AÑO 2024 (N° ) 
(PXci)</v>
      </c>
      <c r="H4" s="623" t="str">
        <f>CONCATENATE("TOTAL PREDIOS 
por Comuna 
AÑO ",RIGHT(PARAMETROS!B3,4)-2," (N° )"&amp;" 
(PTci)")</f>
        <v>TOTAL PREDIOS 
por Comuna 
AÑO 2024 (N° ) 
(PTci)</v>
      </c>
      <c r="I4" s="623" t="str">
        <f>"MONTO AVALÚO PREDIOS 
EXENTOS 
Comuna 
Año "&amp;RIGHT(PARAMETROS!B3,4)-2&amp;" (PESOS)"&amp;" 
(MXci)"</f>
        <v>MONTO AVALÚO PREDIOS 
EXENTOS 
Comuna 
Año 2024 (PESOS) 
(MXci)</v>
      </c>
      <c r="J4" s="623" t="str">
        <f>"MONTO AVALÚO PREDIOS 
 Comuna 
Año "&amp;RIGHT(PARAMETROS!B3,4)-2&amp;" (PESOS)"&amp;" 
(MTci)"</f>
        <v>MONTO AVALÚO PREDIOS 
 Comuna 
Año 2024 (PESOS) 
(MTci)</v>
      </c>
      <c r="K4" s="620" t="str">
        <f>"Recursos 
FCMi, 
Artículo 38bis 
"&amp;"("&amp;RIGHT(PARAMETROS!B3,4)-2&amp;") 
(M$) (T)"</f>
        <v>Recursos 
FCMi, 
Artículo 38bis 
(2024) 
(M$) (T)</v>
      </c>
      <c r="L4" s="621" t="str">
        <f>"Recursos 
FET, 
Artículo 38ter 
"&amp;
"("&amp;RIGHT(PARAMETROS!B3,4)-2&amp;") 
(M$) (U)"</f>
        <v>Recursos 
FET, 
Artículo 38ter 
(2024) 
(M$) (U)</v>
      </c>
      <c r="M4" s="621" t="str">
        <f>"Ingresos Propios Permanentes (IPP) (M$) Año "&amp;RIGHT(PARAMETROS!B3,4)-2&amp;" (V)"</f>
        <v>Ingresos Propios Permanentes (IPP) (M$) Año 2024 (V)</v>
      </c>
      <c r="N4" s="621" t="str">
        <f>"IPP FCMi
(V) "
&amp;RIGHT(PARAMETROS!B3,4)-2</f>
        <v>IPP FCMi
(V) 2024</v>
      </c>
      <c r="O4" s="621" t="str">
        <f>"IPP FET
(V+T) "&amp;RIGHT(PARAMETROS!B3,4)-2</f>
        <v>IPP FET
(V+T) 2024</v>
      </c>
      <c r="P4" s="624" t="str">
        <f>"IPP FCM 
(V+T) "&amp;RIGHT(PARAMETROS!B3,4)-2</f>
        <v>IPP FCM 
(V+T) 2024</v>
      </c>
      <c r="Q4" s="623" t="str">
        <f>+'_DATA STT PAGOS_'!D6</f>
        <v>Anticipos pagados AÑO  (SIN: aporte fiscal, aportes extraordinarios y Ley Nº 19.704) Montos en M$ Pago Anticipo F.C.M. - Año 2025</v>
      </c>
      <c r="R4" s="623" t="str">
        <f>+'_DATA STT PAGOS_'!E6</f>
        <v>Promedio flujo de anticipos mensuales 2025 Montos en M $</v>
      </c>
      <c r="S4" s="625" t="str">
        <f>+'_DATA STT PAGOS_'!F6</f>
        <v>Promedio flujo de anticipos mensuales pagados el año 2025, al 79% Glosa 08 (M $)</v>
      </c>
      <c r="T4" s="626" t="str">
        <f>"Total FCM - TGR (M$) Año "&amp;RIGHT(PARAMETROS!B3,4)-2&amp;" (FET)"</f>
        <v>Total FCM - TGR (M$) Año 2024 (FET)</v>
      </c>
      <c r="U4" s="627" t="s">
        <v>1031</v>
      </c>
      <c r="V4" s="628" t="s">
        <v>1032</v>
      </c>
      <c r="W4" s="623" t="str">
        <f>+'_DATA STT PAGOS_'!G6</f>
        <v>Compensación Ley Nº 19704 ISLA DE PASCUA Año 2025 M$</v>
      </c>
      <c r="X4" s="623" t="str">
        <f>+'_DATA STT PAGOS_'!J6</f>
        <v>Total FCM Estimado Cierre (neto Ley 19.704) (Anticipos pagados, Saldos Pagados y Aporte Fiscal M$ Pagado - Año 2025</v>
      </c>
      <c r="Y4" s="622" t="s">
        <v>438</v>
      </c>
      <c r="Z4" s="623" t="s">
        <v>439</v>
      </c>
      <c r="AA4" s="623" t="s">
        <v>440</v>
      </c>
      <c r="AB4" s="623" t="s">
        <v>441</v>
      </c>
      <c r="AC4" s="623" t="s">
        <v>470</v>
      </c>
      <c r="AD4" s="623" t="s">
        <v>442</v>
      </c>
      <c r="AE4" s="623" t="s">
        <v>443</v>
      </c>
      <c r="AF4" s="623" t="s">
        <v>444</v>
      </c>
      <c r="AG4" s="623" t="s">
        <v>445</v>
      </c>
      <c r="AH4" s="625" t="s">
        <v>471</v>
      </c>
    </row>
    <row r="5" spans="1:35" x14ac:dyDescent="0.25">
      <c r="A5" s="201">
        <v>1101</v>
      </c>
      <c r="B5" s="201">
        <v>1201</v>
      </c>
      <c r="C5" s="201" t="s">
        <v>54</v>
      </c>
      <c r="D5" s="609">
        <v>231962</v>
      </c>
      <c r="E5" s="610">
        <v>7.8903808412546558E-2</v>
      </c>
      <c r="F5" s="609">
        <v>1936459.71701795</v>
      </c>
      <c r="G5" s="609">
        <v>32357</v>
      </c>
      <c r="H5" s="609">
        <v>90669</v>
      </c>
      <c r="I5" s="609">
        <v>2486951671659</v>
      </c>
      <c r="J5" s="609">
        <v>7817363056767</v>
      </c>
      <c r="K5" s="608">
        <v>0</v>
      </c>
      <c r="L5" s="608">
        <v>0</v>
      </c>
      <c r="M5" s="609">
        <v>47463055</v>
      </c>
      <c r="N5" s="609">
        <f>+M5</f>
        <v>47463055</v>
      </c>
      <c r="O5" s="609">
        <f>+M5+K5</f>
        <v>47463055</v>
      </c>
      <c r="P5" s="609">
        <f>+M5+K5</f>
        <v>47463055</v>
      </c>
      <c r="Q5" s="611">
        <f>+'_DATA STT PAGOS_'!D7</f>
        <v>5559296.7740000002</v>
      </c>
      <c r="R5" s="611">
        <f>+'_DATA STT PAGOS_'!E7</f>
        <v>463274.73116666666</v>
      </c>
      <c r="S5" s="611">
        <f>+'_DATA STT PAGOS_'!F7</f>
        <v>365987</v>
      </c>
      <c r="T5" s="612">
        <f>+'_DATA STT PAGOS_'!Q7</f>
        <v>7042583.4210000001</v>
      </c>
      <c r="U5" s="613" t="str">
        <f>SUBSTITUTE((IFERROR(VLOOKUP(A5,'DATOS IND MINERO'!$H$2:$L$113,4,0),"No")),"í","I",1)</f>
        <v>SI</v>
      </c>
      <c r="V5" s="614">
        <f>IFERROR(VLOOKUP(A5,'DATOS IND MINERO'!$H$2:$L$113,5,0),0)</f>
        <v>2E-3</v>
      </c>
      <c r="W5" s="611">
        <f>+'_DATA STT PAGOS_'!G7</f>
        <v>0</v>
      </c>
      <c r="X5" s="611">
        <f>+'_DATA STT PAGOS_'!J7</f>
        <v>7548535.6720000003</v>
      </c>
      <c r="Y5" s="609">
        <v>2599803</v>
      </c>
      <c r="Z5" s="609">
        <v>225546</v>
      </c>
      <c r="AA5" s="609">
        <v>2135794</v>
      </c>
      <c r="AB5" s="609">
        <v>1762668</v>
      </c>
      <c r="AC5" s="609">
        <v>6723811</v>
      </c>
      <c r="AD5" s="609">
        <v>126379</v>
      </c>
      <c r="AE5" s="609">
        <v>54911</v>
      </c>
      <c r="AF5" s="609">
        <v>80316.694000000003</v>
      </c>
      <c r="AG5" s="609">
        <v>53727</v>
      </c>
      <c r="AH5" s="609">
        <v>315333.69400000002</v>
      </c>
      <c r="AI5" s="209"/>
    </row>
    <row r="6" spans="1:35" x14ac:dyDescent="0.25">
      <c r="A6" s="201">
        <v>1107</v>
      </c>
      <c r="B6" s="201">
        <v>1211</v>
      </c>
      <c r="C6" s="201" t="s">
        <v>60</v>
      </c>
      <c r="D6" s="609">
        <v>143294</v>
      </c>
      <c r="E6" s="610">
        <v>0.15263439519693811</v>
      </c>
      <c r="F6" s="609">
        <v>263367.65310605417</v>
      </c>
      <c r="G6" s="609">
        <v>29915</v>
      </c>
      <c r="H6" s="609">
        <v>33813</v>
      </c>
      <c r="I6" s="609">
        <v>1145653927286</v>
      </c>
      <c r="J6" s="609">
        <v>1674199452487</v>
      </c>
      <c r="K6" s="608">
        <v>0</v>
      </c>
      <c r="L6" s="608">
        <v>0</v>
      </c>
      <c r="M6" s="609">
        <v>7784736</v>
      </c>
      <c r="N6" s="609">
        <f t="shared" ref="N6:N69" si="3">+M6</f>
        <v>7784736</v>
      </c>
      <c r="O6" s="609">
        <f t="shared" ref="O6:O69" si="4">+M6+K6</f>
        <v>7784736</v>
      </c>
      <c r="P6" s="609">
        <f t="shared" ref="P6:P69" si="5">+M6+K6</f>
        <v>7784736</v>
      </c>
      <c r="Q6" s="611">
        <f>+'_DATA STT PAGOS_'!D8</f>
        <v>14351249.559</v>
      </c>
      <c r="R6" s="611">
        <f>+'_DATA STT PAGOS_'!E8</f>
        <v>1195937.46325</v>
      </c>
      <c r="S6" s="611">
        <f>+'_DATA STT PAGOS_'!F8</f>
        <v>944791</v>
      </c>
      <c r="T6" s="612">
        <f>+'_DATA STT PAGOS_'!Q8</f>
        <v>18343696.063999999</v>
      </c>
      <c r="U6" s="613" t="str">
        <f>SUBSTITUTE((IFERROR(VLOOKUP(A6,'DATOS IND MINERO'!$H$2:$L$113,4,0),"No")),"í","I",1)</f>
        <v>No</v>
      </c>
      <c r="V6" s="614">
        <f>IFERROR(VLOOKUP(A6,'DATOS IND MINERO'!$H$2:$L$113,5,0),0)</f>
        <v>0</v>
      </c>
      <c r="W6" s="611">
        <f>+'_DATA STT PAGOS_'!G8</f>
        <v>0</v>
      </c>
      <c r="X6" s="611">
        <f>+'_DATA STT PAGOS_'!J8</f>
        <v>19513718.671</v>
      </c>
      <c r="Y6" s="609">
        <v>338728</v>
      </c>
      <c r="Z6" s="609">
        <v>247936</v>
      </c>
      <c r="AA6" s="609">
        <v>254846</v>
      </c>
      <c r="AB6" s="609">
        <v>260707</v>
      </c>
      <c r="AC6" s="609">
        <v>1102217</v>
      </c>
      <c r="AD6" s="609">
        <v>6554</v>
      </c>
      <c r="AE6" s="609">
        <v>3956</v>
      </c>
      <c r="AF6" s="609">
        <v>4330.7120000000004</v>
      </c>
      <c r="AG6" s="609">
        <v>4158</v>
      </c>
      <c r="AH6" s="609">
        <v>18998.712</v>
      </c>
      <c r="AI6" s="209"/>
    </row>
    <row r="7" spans="1:35" x14ac:dyDescent="0.25">
      <c r="A7" s="201">
        <v>1401</v>
      </c>
      <c r="B7" s="201">
        <v>1204</v>
      </c>
      <c r="C7" s="201" t="s">
        <v>56</v>
      </c>
      <c r="D7" s="609">
        <v>18713</v>
      </c>
      <c r="E7" s="610">
        <v>0.15334397144922859</v>
      </c>
      <c r="F7" s="609">
        <v>454058.3104441613</v>
      </c>
      <c r="G7" s="609">
        <v>10816</v>
      </c>
      <c r="H7" s="609">
        <v>12594</v>
      </c>
      <c r="I7" s="609">
        <v>148679021890</v>
      </c>
      <c r="J7" s="609">
        <v>333112368763</v>
      </c>
      <c r="K7" s="608">
        <v>0</v>
      </c>
      <c r="L7" s="608">
        <v>0</v>
      </c>
      <c r="M7" s="609">
        <v>7971392</v>
      </c>
      <c r="N7" s="609">
        <f t="shared" si="3"/>
        <v>7971392</v>
      </c>
      <c r="O7" s="609">
        <f t="shared" si="4"/>
        <v>7971392</v>
      </c>
      <c r="P7" s="609">
        <f t="shared" si="5"/>
        <v>7971392</v>
      </c>
      <c r="Q7" s="611">
        <f>+'_DATA STT PAGOS_'!D9</f>
        <v>3051310.0759999999</v>
      </c>
      <c r="R7" s="611">
        <f>+'_DATA STT PAGOS_'!E9</f>
        <v>254275.83966666667</v>
      </c>
      <c r="S7" s="611">
        <f>+'_DATA STT PAGOS_'!F9</f>
        <v>200878</v>
      </c>
      <c r="T7" s="612">
        <f>+'_DATA STT PAGOS_'!Q9</f>
        <v>3876729.787</v>
      </c>
      <c r="U7" s="613" t="str">
        <f>SUBSTITUTE((IFERROR(VLOOKUP(A7,'DATOS IND MINERO'!$H$2:$L$113,4,0),"No")),"í","I",1)</f>
        <v>No</v>
      </c>
      <c r="V7" s="614">
        <f>IFERROR(VLOOKUP(A7,'DATOS IND MINERO'!$H$2:$L$113,5,0),0)</f>
        <v>0</v>
      </c>
      <c r="W7" s="611">
        <f>+'_DATA STT PAGOS_'!G9</f>
        <v>0</v>
      </c>
      <c r="X7" s="611">
        <f>+'_DATA STT PAGOS_'!J9</f>
        <v>4145851.0439999998</v>
      </c>
      <c r="Y7" s="609">
        <v>137713</v>
      </c>
      <c r="Z7" s="609">
        <v>135183</v>
      </c>
      <c r="AA7" s="609">
        <v>110668</v>
      </c>
      <c r="AB7" s="609">
        <v>86827</v>
      </c>
      <c r="AC7" s="609">
        <v>470391</v>
      </c>
      <c r="AD7" s="609">
        <v>651</v>
      </c>
      <c r="AE7" s="609">
        <v>297</v>
      </c>
      <c r="AF7" s="609">
        <v>372.721</v>
      </c>
      <c r="AG7" s="609">
        <v>360</v>
      </c>
      <c r="AH7" s="609">
        <v>1680.721</v>
      </c>
      <c r="AI7" s="209"/>
    </row>
    <row r="8" spans="1:35" x14ac:dyDescent="0.25">
      <c r="A8" s="201">
        <v>1402</v>
      </c>
      <c r="B8" s="201">
        <v>1208</v>
      </c>
      <c r="C8" s="201" t="s">
        <v>58</v>
      </c>
      <c r="D8" s="609">
        <v>1374</v>
      </c>
      <c r="E8" s="610">
        <v>0.24036468504276171</v>
      </c>
      <c r="F8" s="609">
        <v>28722.9528511444</v>
      </c>
      <c r="G8" s="609">
        <v>1876</v>
      </c>
      <c r="H8" s="609">
        <v>1921</v>
      </c>
      <c r="I8" s="609">
        <v>7518643492</v>
      </c>
      <c r="J8" s="609">
        <v>8092934870</v>
      </c>
      <c r="K8" s="608">
        <v>0</v>
      </c>
      <c r="L8" s="608">
        <v>0</v>
      </c>
      <c r="M8" s="609">
        <v>142731</v>
      </c>
      <c r="N8" s="609">
        <f t="shared" si="3"/>
        <v>142731</v>
      </c>
      <c r="O8" s="609">
        <f t="shared" si="4"/>
        <v>142731</v>
      </c>
      <c r="P8" s="609">
        <f t="shared" si="5"/>
        <v>142731</v>
      </c>
      <c r="Q8" s="611">
        <f>+'_DATA STT PAGOS_'!D10</f>
        <v>1910948.2960000001</v>
      </c>
      <c r="R8" s="611">
        <f>+'_DATA STT PAGOS_'!E10</f>
        <v>159245.69133333335</v>
      </c>
      <c r="S8" s="611">
        <f>+'_DATA STT PAGOS_'!F10</f>
        <v>125804</v>
      </c>
      <c r="T8" s="612">
        <f>+'_DATA STT PAGOS_'!Q10</f>
        <v>2498460.102</v>
      </c>
      <c r="U8" s="613" t="str">
        <f>SUBSTITUTE((IFERROR(VLOOKUP(A8,'DATOS IND MINERO'!$H$2:$L$113,4,0),"No")),"í","I",1)</f>
        <v>No</v>
      </c>
      <c r="V8" s="614">
        <f>IFERROR(VLOOKUP(A8,'DATOS IND MINERO'!$H$2:$L$113,5,0),0)</f>
        <v>0</v>
      </c>
      <c r="W8" s="611">
        <f>+'_DATA STT PAGOS_'!G10</f>
        <v>0</v>
      </c>
      <c r="X8" s="611">
        <f>+'_DATA STT PAGOS_'!J10</f>
        <v>2593753.4330000002</v>
      </c>
      <c r="Y8" s="609">
        <v>0</v>
      </c>
      <c r="Z8" s="609">
        <v>0</v>
      </c>
      <c r="AA8" s="609">
        <v>0</v>
      </c>
      <c r="AB8" s="609">
        <v>0</v>
      </c>
      <c r="AC8" s="609">
        <v>0</v>
      </c>
      <c r="AD8" s="609">
        <v>0</v>
      </c>
      <c r="AE8" s="609">
        <v>0</v>
      </c>
      <c r="AF8" s="609">
        <v>0</v>
      </c>
      <c r="AG8" s="609">
        <v>0</v>
      </c>
      <c r="AH8" s="609">
        <v>0</v>
      </c>
      <c r="AI8" s="209"/>
    </row>
    <row r="9" spans="1:35" x14ac:dyDescent="0.25">
      <c r="A9" s="201">
        <v>1403</v>
      </c>
      <c r="B9" s="201">
        <v>1210</v>
      </c>
      <c r="C9" s="201" t="s">
        <v>59</v>
      </c>
      <c r="D9" s="609">
        <v>1558</v>
      </c>
      <c r="E9" s="610">
        <v>0.22253521986331601</v>
      </c>
      <c r="F9" s="609">
        <v>128218.51714930385</v>
      </c>
      <c r="G9" s="609">
        <v>909</v>
      </c>
      <c r="H9" s="609">
        <v>1129</v>
      </c>
      <c r="I9" s="609">
        <v>8897739279</v>
      </c>
      <c r="J9" s="609">
        <v>11126421758</v>
      </c>
      <c r="K9" s="608">
        <v>0</v>
      </c>
      <c r="L9" s="608">
        <v>0</v>
      </c>
      <c r="M9" s="609">
        <v>687213</v>
      </c>
      <c r="N9" s="609">
        <f t="shared" si="3"/>
        <v>687213</v>
      </c>
      <c r="O9" s="609">
        <f t="shared" si="4"/>
        <v>687213</v>
      </c>
      <c r="P9" s="609">
        <f t="shared" si="5"/>
        <v>687213</v>
      </c>
      <c r="Q9" s="611">
        <f>+'_DATA STT PAGOS_'!D11</f>
        <v>1668947.017</v>
      </c>
      <c r="R9" s="611">
        <f>+'_DATA STT PAGOS_'!E11</f>
        <v>139078.91808333332</v>
      </c>
      <c r="S9" s="611">
        <f>+'_DATA STT PAGOS_'!F11</f>
        <v>109872</v>
      </c>
      <c r="T9" s="612">
        <f>+'_DATA STT PAGOS_'!Q11</f>
        <v>1972637.115</v>
      </c>
      <c r="U9" s="613" t="str">
        <f>SUBSTITUTE((IFERROR(VLOOKUP(A9,'DATOS IND MINERO'!$H$2:$L$113,4,0),"No")),"í","I",1)</f>
        <v>No</v>
      </c>
      <c r="V9" s="614">
        <f>IFERROR(VLOOKUP(A9,'DATOS IND MINERO'!$H$2:$L$113,5,0),0)</f>
        <v>0</v>
      </c>
      <c r="W9" s="611">
        <f>+'_DATA STT PAGOS_'!G11</f>
        <v>0</v>
      </c>
      <c r="X9" s="611">
        <f>+'_DATA STT PAGOS_'!J11</f>
        <v>2264832.7960000001</v>
      </c>
      <c r="Y9" s="609">
        <v>251</v>
      </c>
      <c r="Z9" s="609">
        <v>191</v>
      </c>
      <c r="AA9" s="609">
        <v>108</v>
      </c>
      <c r="AB9" s="609">
        <v>359</v>
      </c>
      <c r="AC9" s="609">
        <v>909</v>
      </c>
      <c r="AD9" s="609">
        <v>0</v>
      </c>
      <c r="AE9" s="609">
        <v>0</v>
      </c>
      <c r="AF9" s="609">
        <v>0</v>
      </c>
      <c r="AG9" s="609">
        <v>0</v>
      </c>
      <c r="AH9" s="609">
        <v>0</v>
      </c>
      <c r="AI9" s="209"/>
    </row>
    <row r="10" spans="1:35" x14ac:dyDescent="0.25">
      <c r="A10" s="201">
        <v>1404</v>
      </c>
      <c r="B10" s="201">
        <v>1206</v>
      </c>
      <c r="C10" s="201" t="s">
        <v>57</v>
      </c>
      <c r="D10" s="609">
        <v>3095</v>
      </c>
      <c r="E10" s="610">
        <v>0.18065871940513911</v>
      </c>
      <c r="F10" s="609">
        <v>303545.2682261134</v>
      </c>
      <c r="G10" s="609">
        <v>5026</v>
      </c>
      <c r="H10" s="609">
        <v>5200</v>
      </c>
      <c r="I10" s="609">
        <v>39071990392</v>
      </c>
      <c r="J10" s="609">
        <v>46713215255</v>
      </c>
      <c r="K10" s="608">
        <v>0</v>
      </c>
      <c r="L10" s="608">
        <v>0</v>
      </c>
      <c r="M10" s="609">
        <v>2293714</v>
      </c>
      <c r="N10" s="609">
        <f t="shared" si="3"/>
        <v>2293714</v>
      </c>
      <c r="O10" s="609">
        <f t="shared" si="4"/>
        <v>2293714</v>
      </c>
      <c r="P10" s="609">
        <f t="shared" si="5"/>
        <v>2293714</v>
      </c>
      <c r="Q10" s="611">
        <f>+'_DATA STT PAGOS_'!D12</f>
        <v>2411239.673</v>
      </c>
      <c r="R10" s="611">
        <f>+'_DATA STT PAGOS_'!E12</f>
        <v>200936.63941666667</v>
      </c>
      <c r="S10" s="611">
        <f>+'_DATA STT PAGOS_'!F12</f>
        <v>158740</v>
      </c>
      <c r="T10" s="612">
        <f>+'_DATA STT PAGOS_'!Q12</f>
        <v>2758937.4</v>
      </c>
      <c r="U10" s="613" t="str">
        <f>SUBSTITUTE((IFERROR(VLOOKUP(A10,'DATOS IND MINERO'!$H$2:$L$113,4,0),"No")),"í","I",1)</f>
        <v>No</v>
      </c>
      <c r="V10" s="614">
        <f>IFERROR(VLOOKUP(A10,'DATOS IND MINERO'!$H$2:$L$113,5,0),0)</f>
        <v>0</v>
      </c>
      <c r="W10" s="611">
        <f>+'_DATA STT PAGOS_'!G12</f>
        <v>0</v>
      </c>
      <c r="X10" s="611">
        <f>+'_DATA STT PAGOS_'!J12</f>
        <v>3271722.463</v>
      </c>
      <c r="Y10" s="609">
        <v>2326</v>
      </c>
      <c r="Z10" s="609">
        <v>1935</v>
      </c>
      <c r="AA10" s="609">
        <v>2295</v>
      </c>
      <c r="AB10" s="609">
        <v>2609</v>
      </c>
      <c r="AC10" s="609">
        <v>9165</v>
      </c>
      <c r="AD10" s="609">
        <v>0</v>
      </c>
      <c r="AE10" s="609">
        <v>0</v>
      </c>
      <c r="AF10" s="609">
        <v>0</v>
      </c>
      <c r="AG10" s="609">
        <v>0</v>
      </c>
      <c r="AH10" s="609">
        <v>0</v>
      </c>
      <c r="AI10" s="209"/>
    </row>
    <row r="11" spans="1:35" x14ac:dyDescent="0.25">
      <c r="A11" s="201">
        <v>1405</v>
      </c>
      <c r="B11" s="201">
        <v>1203</v>
      </c>
      <c r="C11" s="201" t="s">
        <v>55</v>
      </c>
      <c r="D11" s="609">
        <v>6291</v>
      </c>
      <c r="E11" s="610">
        <v>0.1073139711951238</v>
      </c>
      <c r="F11" s="609">
        <v>806770.02479595051</v>
      </c>
      <c r="G11" s="609">
        <v>3351</v>
      </c>
      <c r="H11" s="609">
        <v>4342</v>
      </c>
      <c r="I11" s="609">
        <v>85313790818</v>
      </c>
      <c r="J11" s="609">
        <v>296480634394</v>
      </c>
      <c r="K11" s="608">
        <v>0</v>
      </c>
      <c r="L11" s="608">
        <v>0</v>
      </c>
      <c r="M11" s="609">
        <v>5592051</v>
      </c>
      <c r="N11" s="609">
        <f t="shared" si="3"/>
        <v>5592051</v>
      </c>
      <c r="O11" s="609">
        <f t="shared" si="4"/>
        <v>5592051</v>
      </c>
      <c r="P11" s="609">
        <f t="shared" si="5"/>
        <v>5592051</v>
      </c>
      <c r="Q11" s="611">
        <f>+'_DATA STT PAGOS_'!D13</f>
        <v>2641616.2420000001</v>
      </c>
      <c r="R11" s="611">
        <f>+'_DATA STT PAGOS_'!E13</f>
        <v>220134.68683333334</v>
      </c>
      <c r="S11" s="611">
        <f>+'_DATA STT PAGOS_'!F13</f>
        <v>173906</v>
      </c>
      <c r="T11" s="612">
        <f>+'_DATA STT PAGOS_'!Q13</f>
        <v>2423232.9160000002</v>
      </c>
      <c r="U11" s="613" t="str">
        <f>SUBSTITUTE((IFERROR(VLOOKUP(A11,'DATOS IND MINERO'!$H$2:$L$113,4,0),"No")),"í","I",1)</f>
        <v>SI</v>
      </c>
      <c r="V11" s="614">
        <f>IFERROR(VLOOKUP(A11,'DATOS IND MINERO'!$H$2:$L$113,5,0),0)</f>
        <v>2.1327480500000001E-3</v>
      </c>
      <c r="W11" s="611">
        <f>+'_DATA STT PAGOS_'!G13</f>
        <v>0</v>
      </c>
      <c r="X11" s="611">
        <f>+'_DATA STT PAGOS_'!J13</f>
        <v>3581801.2829999998</v>
      </c>
      <c r="Y11" s="609">
        <v>153849</v>
      </c>
      <c r="Z11" s="609">
        <v>143721</v>
      </c>
      <c r="AA11" s="609">
        <v>149155</v>
      </c>
      <c r="AB11" s="609">
        <v>148929</v>
      </c>
      <c r="AC11" s="609">
        <v>595654</v>
      </c>
      <c r="AD11" s="609">
        <v>680</v>
      </c>
      <c r="AE11" s="609">
        <v>119</v>
      </c>
      <c r="AF11" s="609">
        <v>393.34899999999999</v>
      </c>
      <c r="AG11" s="609">
        <v>415</v>
      </c>
      <c r="AH11" s="609">
        <v>1607.3489999999999</v>
      </c>
      <c r="AI11" s="209"/>
    </row>
    <row r="12" spans="1:35" x14ac:dyDescent="0.25">
      <c r="A12" s="201">
        <v>2101</v>
      </c>
      <c r="B12" s="201">
        <v>2201</v>
      </c>
      <c r="C12" s="201" t="s">
        <v>64</v>
      </c>
      <c r="D12" s="609">
        <v>444276</v>
      </c>
      <c r="E12" s="610">
        <v>7.2328001178032467E-2</v>
      </c>
      <c r="F12" s="609">
        <v>3260148.1599204554</v>
      </c>
      <c r="G12" s="609">
        <v>83130</v>
      </c>
      <c r="H12" s="609">
        <v>167429</v>
      </c>
      <c r="I12" s="609">
        <v>13599303668993</v>
      </c>
      <c r="J12" s="609">
        <v>20887679308242</v>
      </c>
      <c r="K12" s="608">
        <v>0</v>
      </c>
      <c r="L12" s="608">
        <v>0</v>
      </c>
      <c r="M12" s="609">
        <v>74332575</v>
      </c>
      <c r="N12" s="609">
        <f t="shared" si="3"/>
        <v>74332575</v>
      </c>
      <c r="O12" s="609">
        <f t="shared" si="4"/>
        <v>74332575</v>
      </c>
      <c r="P12" s="609">
        <f t="shared" si="5"/>
        <v>74332575</v>
      </c>
      <c r="Q12" s="611">
        <f>+'_DATA STT PAGOS_'!D14</f>
        <v>15984806.787</v>
      </c>
      <c r="R12" s="611">
        <f>+'_DATA STT PAGOS_'!E14</f>
        <v>1332067.2322500001</v>
      </c>
      <c r="S12" s="611">
        <f>+'_DATA STT PAGOS_'!F14</f>
        <v>1052333</v>
      </c>
      <c r="T12" s="612">
        <f>+'_DATA STT PAGOS_'!Q14</f>
        <v>18468262.109999999</v>
      </c>
      <c r="U12" s="613" t="str">
        <f>SUBSTITUTE((IFERROR(VLOOKUP(A12,'DATOS IND MINERO'!$H$2:$L$113,4,0),"No")),"í","I",1)</f>
        <v>SI</v>
      </c>
      <c r="V12" s="614">
        <f>IFERROR(VLOOKUP(A12,'DATOS IND MINERO'!$H$2:$L$113,5,0),0)</f>
        <v>1.364504029E-2</v>
      </c>
      <c r="W12" s="611">
        <f>+'_DATA STT PAGOS_'!G14</f>
        <v>0</v>
      </c>
      <c r="X12" s="611">
        <f>+'_DATA STT PAGOS_'!J14</f>
        <v>21737559.677000001</v>
      </c>
      <c r="Y12" s="609">
        <v>3732884</v>
      </c>
      <c r="Z12" s="609">
        <v>2425917</v>
      </c>
      <c r="AA12" s="609">
        <v>3215592</v>
      </c>
      <c r="AB12" s="609">
        <v>2775965</v>
      </c>
      <c r="AC12" s="609">
        <v>12150358</v>
      </c>
      <c r="AD12" s="609">
        <v>347832</v>
      </c>
      <c r="AE12" s="609">
        <v>144925</v>
      </c>
      <c r="AF12" s="609">
        <v>206993.25300000422</v>
      </c>
      <c r="AG12" s="609">
        <v>141352</v>
      </c>
      <c r="AH12" s="609">
        <v>841102.25300000422</v>
      </c>
      <c r="AI12" s="209"/>
    </row>
    <row r="13" spans="1:35" x14ac:dyDescent="0.25">
      <c r="A13" s="201">
        <v>2102</v>
      </c>
      <c r="B13" s="201">
        <v>2203</v>
      </c>
      <c r="C13" s="201" t="s">
        <v>66</v>
      </c>
      <c r="D13" s="609">
        <v>15877</v>
      </c>
      <c r="E13" s="610">
        <v>7.1397404410535312E-2</v>
      </c>
      <c r="F13" s="609">
        <v>676334.61755437474</v>
      </c>
      <c r="G13" s="609">
        <v>4841</v>
      </c>
      <c r="H13" s="609">
        <v>5602</v>
      </c>
      <c r="I13" s="609">
        <v>602684631140</v>
      </c>
      <c r="J13" s="609">
        <v>973369827978</v>
      </c>
      <c r="K13" s="608">
        <v>0</v>
      </c>
      <c r="L13" s="608">
        <v>0</v>
      </c>
      <c r="M13" s="609">
        <v>8869794</v>
      </c>
      <c r="N13" s="609">
        <f t="shared" si="3"/>
        <v>8869794</v>
      </c>
      <c r="O13" s="609">
        <f t="shared" si="4"/>
        <v>8869794</v>
      </c>
      <c r="P13" s="609">
        <f t="shared" si="5"/>
        <v>8869794</v>
      </c>
      <c r="Q13" s="611">
        <f>+'_DATA STT PAGOS_'!D15</f>
        <v>2139905.7560000001</v>
      </c>
      <c r="R13" s="611">
        <f>+'_DATA STT PAGOS_'!E15</f>
        <v>178325.47966666668</v>
      </c>
      <c r="S13" s="611">
        <f>+'_DATA STT PAGOS_'!F15</f>
        <v>140877</v>
      </c>
      <c r="T13" s="612">
        <f>+'_DATA STT PAGOS_'!Q15</f>
        <v>2759543.088</v>
      </c>
      <c r="U13" s="613" t="str">
        <f>SUBSTITUTE((IFERROR(VLOOKUP(A13,'DATOS IND MINERO'!$H$2:$L$113,4,0),"No")),"í","I",1)</f>
        <v>SI</v>
      </c>
      <c r="V13" s="614">
        <f>IFERROR(VLOOKUP(A13,'DATOS IND MINERO'!$H$2:$L$113,5,0),0)</f>
        <v>3.97959627E-3</v>
      </c>
      <c r="W13" s="611">
        <f>+'_DATA STT PAGOS_'!G15</f>
        <v>0</v>
      </c>
      <c r="X13" s="611">
        <f>+'_DATA STT PAGOS_'!J15</f>
        <v>2903065.5240000002</v>
      </c>
      <c r="Y13" s="609">
        <v>315267</v>
      </c>
      <c r="Z13" s="609">
        <v>221306</v>
      </c>
      <c r="AA13" s="609">
        <v>320553</v>
      </c>
      <c r="AB13" s="609">
        <v>257972</v>
      </c>
      <c r="AC13" s="609">
        <v>1115098</v>
      </c>
      <c r="AD13" s="609">
        <v>3202</v>
      </c>
      <c r="AE13" s="609">
        <v>1463</v>
      </c>
      <c r="AF13" s="609">
        <v>2420.5659999999998</v>
      </c>
      <c r="AG13" s="609">
        <v>2037</v>
      </c>
      <c r="AH13" s="609">
        <v>9122.5659999999989</v>
      </c>
      <c r="AI13" s="209"/>
    </row>
    <row r="14" spans="1:35" x14ac:dyDescent="0.25">
      <c r="A14" s="201">
        <v>2103</v>
      </c>
      <c r="B14" s="201">
        <v>2206</v>
      </c>
      <c r="C14" s="201" t="s">
        <v>67</v>
      </c>
      <c r="D14" s="609">
        <v>1800</v>
      </c>
      <c r="E14" s="610">
        <v>2.1060184458724391E-2</v>
      </c>
      <c r="F14" s="609">
        <v>697849.18111088546</v>
      </c>
      <c r="G14" s="609">
        <v>934</v>
      </c>
      <c r="H14" s="609">
        <v>1179</v>
      </c>
      <c r="I14" s="609">
        <v>109661121652</v>
      </c>
      <c r="J14" s="609">
        <v>464436368264</v>
      </c>
      <c r="K14" s="608">
        <v>0</v>
      </c>
      <c r="L14" s="608">
        <v>0</v>
      </c>
      <c r="M14" s="609">
        <v>13774988</v>
      </c>
      <c r="N14" s="609">
        <f t="shared" si="3"/>
        <v>13774988</v>
      </c>
      <c r="O14" s="609">
        <f t="shared" si="4"/>
        <v>13774988</v>
      </c>
      <c r="P14" s="609">
        <f t="shared" si="5"/>
        <v>13774988</v>
      </c>
      <c r="Q14" s="611">
        <f>+'_DATA STT PAGOS_'!D16</f>
        <v>1546442.727</v>
      </c>
      <c r="R14" s="611">
        <f>+'_DATA STT PAGOS_'!E16</f>
        <v>128870.22725</v>
      </c>
      <c r="S14" s="611">
        <f>+'_DATA STT PAGOS_'!F16</f>
        <v>101807</v>
      </c>
      <c r="T14" s="612">
        <f>+'_DATA STT PAGOS_'!Q16</f>
        <v>2061277.3870000001</v>
      </c>
      <c r="U14" s="613" t="str">
        <f>SUBSTITUTE((IFERROR(VLOOKUP(A14,'DATOS IND MINERO'!$H$2:$L$113,4,0),"No")),"í","I",1)</f>
        <v>SI</v>
      </c>
      <c r="V14" s="614">
        <f>IFERROR(VLOOKUP(A14,'DATOS IND MINERO'!$H$2:$L$113,5,0),0)</f>
        <v>6.4973653300000002E-3</v>
      </c>
      <c r="W14" s="611">
        <f>+'_DATA STT PAGOS_'!G16</f>
        <v>0</v>
      </c>
      <c r="X14" s="611">
        <f>+'_DATA STT PAGOS_'!J16</f>
        <v>2097976.4739999999</v>
      </c>
      <c r="Y14" s="609">
        <v>335281</v>
      </c>
      <c r="Z14" s="609">
        <v>215371</v>
      </c>
      <c r="AA14" s="609">
        <v>312271</v>
      </c>
      <c r="AB14" s="609">
        <v>60329</v>
      </c>
      <c r="AC14" s="609">
        <v>923252</v>
      </c>
      <c r="AD14" s="609">
        <v>79</v>
      </c>
      <c r="AE14" s="609">
        <v>0</v>
      </c>
      <c r="AF14" s="609">
        <v>0</v>
      </c>
      <c r="AG14" s="609">
        <v>0</v>
      </c>
      <c r="AH14" s="609">
        <v>79</v>
      </c>
      <c r="AI14" s="209"/>
    </row>
    <row r="15" spans="1:35" x14ac:dyDescent="0.25">
      <c r="A15" s="201">
        <v>2104</v>
      </c>
      <c r="B15" s="201">
        <v>2202</v>
      </c>
      <c r="C15" s="201" t="s">
        <v>65</v>
      </c>
      <c r="D15" s="609">
        <v>13967</v>
      </c>
      <c r="E15" s="610">
        <v>0.11480221609318229</v>
      </c>
      <c r="F15" s="609">
        <v>350412.45125707553</v>
      </c>
      <c r="G15" s="609">
        <v>4165</v>
      </c>
      <c r="H15" s="609">
        <v>4454</v>
      </c>
      <c r="I15" s="609">
        <v>282038164623</v>
      </c>
      <c r="J15" s="609">
        <v>333387831154</v>
      </c>
      <c r="K15" s="608">
        <v>0</v>
      </c>
      <c r="L15" s="608">
        <v>0</v>
      </c>
      <c r="M15" s="609">
        <v>5450341</v>
      </c>
      <c r="N15" s="609">
        <f t="shared" si="3"/>
        <v>5450341</v>
      </c>
      <c r="O15" s="609">
        <f t="shared" si="4"/>
        <v>5450341</v>
      </c>
      <c r="P15" s="609">
        <f t="shared" si="5"/>
        <v>5450341</v>
      </c>
      <c r="Q15" s="611">
        <f>+'_DATA STT PAGOS_'!D17</f>
        <v>2267500.8289999999</v>
      </c>
      <c r="R15" s="611">
        <f>+'_DATA STT PAGOS_'!E17</f>
        <v>188958.40241666665</v>
      </c>
      <c r="S15" s="611">
        <f>+'_DATA STT PAGOS_'!F17</f>
        <v>149277</v>
      </c>
      <c r="T15" s="612">
        <f>+'_DATA STT PAGOS_'!Q17</f>
        <v>2709399.5350000001</v>
      </c>
      <c r="U15" s="613" t="str">
        <f>SUBSTITUTE((IFERROR(VLOOKUP(A15,'DATOS IND MINERO'!$H$2:$L$113,4,0),"No")),"í","I",1)</f>
        <v>SI</v>
      </c>
      <c r="V15" s="614">
        <f>IFERROR(VLOOKUP(A15,'DATOS IND MINERO'!$H$2:$L$113,5,0),0)</f>
        <v>6.5307305399999998E-3</v>
      </c>
      <c r="W15" s="611">
        <f>+'_DATA STT PAGOS_'!G17</f>
        <v>0</v>
      </c>
      <c r="X15" s="611">
        <f>+'_DATA STT PAGOS_'!J17</f>
        <v>3078758.915</v>
      </c>
      <c r="Y15" s="609">
        <v>20100</v>
      </c>
      <c r="Z15" s="609">
        <v>16620</v>
      </c>
      <c r="AA15" s="609">
        <v>22750</v>
      </c>
      <c r="AB15" s="609">
        <v>17558</v>
      </c>
      <c r="AC15" s="609">
        <v>77028</v>
      </c>
      <c r="AD15" s="609">
        <v>0</v>
      </c>
      <c r="AE15" s="609">
        <v>0</v>
      </c>
      <c r="AF15" s="609">
        <v>0</v>
      </c>
      <c r="AG15" s="609">
        <v>0</v>
      </c>
      <c r="AH15" s="609">
        <v>0</v>
      </c>
      <c r="AI15" s="209"/>
    </row>
    <row r="16" spans="1:35" x14ac:dyDescent="0.25">
      <c r="A16" s="201">
        <v>2201</v>
      </c>
      <c r="B16" s="201">
        <v>2301</v>
      </c>
      <c r="C16" s="201" t="s">
        <v>68</v>
      </c>
      <c r="D16" s="609">
        <v>196152</v>
      </c>
      <c r="E16" s="610">
        <v>8.1431433649548926E-2</v>
      </c>
      <c r="F16" s="609">
        <v>1653309.9466936728</v>
      </c>
      <c r="G16" s="609">
        <v>31408</v>
      </c>
      <c r="H16" s="609">
        <v>55975</v>
      </c>
      <c r="I16" s="609">
        <v>1990521604802</v>
      </c>
      <c r="J16" s="609">
        <v>5037079497227</v>
      </c>
      <c r="K16" s="608">
        <v>0</v>
      </c>
      <c r="L16" s="608">
        <v>0</v>
      </c>
      <c r="M16" s="609">
        <v>28364299</v>
      </c>
      <c r="N16" s="609">
        <f t="shared" si="3"/>
        <v>28364299</v>
      </c>
      <c r="O16" s="609">
        <f t="shared" si="4"/>
        <v>28364299</v>
      </c>
      <c r="P16" s="609">
        <f t="shared" si="5"/>
        <v>28364299</v>
      </c>
      <c r="Q16" s="611">
        <f>+'_DATA STT PAGOS_'!D18</f>
        <v>10298830.237</v>
      </c>
      <c r="R16" s="611">
        <f>+'_DATA STT PAGOS_'!E18</f>
        <v>858235.85308333335</v>
      </c>
      <c r="S16" s="611">
        <f>+'_DATA STT PAGOS_'!F18</f>
        <v>678006</v>
      </c>
      <c r="T16" s="612">
        <f>+'_DATA STT PAGOS_'!Q18</f>
        <v>11951375.767999999</v>
      </c>
      <c r="U16" s="613" t="str">
        <f>SUBSTITUTE((IFERROR(VLOOKUP(A16,'DATOS IND MINERO'!$H$2:$L$113,4,0),"No")),"í","I",1)</f>
        <v>SI</v>
      </c>
      <c r="V16" s="614">
        <f>IFERROR(VLOOKUP(A16,'DATOS IND MINERO'!$H$2:$L$113,5,0),0)</f>
        <v>6.1408269410000001E-2</v>
      </c>
      <c r="W16" s="611">
        <f>+'_DATA STT PAGOS_'!G18</f>
        <v>0</v>
      </c>
      <c r="X16" s="611">
        <f>+'_DATA STT PAGOS_'!J18</f>
        <v>13988822.637</v>
      </c>
      <c r="Y16" s="609">
        <v>1318839</v>
      </c>
      <c r="Z16" s="609">
        <v>987712</v>
      </c>
      <c r="AA16" s="609">
        <v>1107812</v>
      </c>
      <c r="AB16" s="609">
        <v>988117</v>
      </c>
      <c r="AC16" s="609">
        <v>4402480</v>
      </c>
      <c r="AD16" s="609">
        <v>181961</v>
      </c>
      <c r="AE16" s="609">
        <v>74244</v>
      </c>
      <c r="AF16" s="609">
        <v>99250.21</v>
      </c>
      <c r="AG16" s="609">
        <v>70626</v>
      </c>
      <c r="AH16" s="609">
        <v>426081.21</v>
      </c>
      <c r="AI16" s="209"/>
    </row>
    <row r="17" spans="1:35" x14ac:dyDescent="0.25">
      <c r="A17" s="201">
        <v>2202</v>
      </c>
      <c r="B17" s="201">
        <v>2302</v>
      </c>
      <c r="C17" s="201" t="s">
        <v>27</v>
      </c>
      <c r="D17" s="609">
        <v>269</v>
      </c>
      <c r="E17" s="610">
        <v>8.7212215477328936E-2</v>
      </c>
      <c r="F17" s="609">
        <v>20973.541405883036</v>
      </c>
      <c r="G17" s="609">
        <v>185</v>
      </c>
      <c r="H17" s="609">
        <v>198</v>
      </c>
      <c r="I17" s="609">
        <v>13413396005</v>
      </c>
      <c r="J17" s="609">
        <v>16444930647</v>
      </c>
      <c r="K17" s="608">
        <v>0</v>
      </c>
      <c r="L17" s="608">
        <v>0</v>
      </c>
      <c r="M17" s="609">
        <v>1255041</v>
      </c>
      <c r="N17" s="609">
        <f t="shared" si="3"/>
        <v>1255041</v>
      </c>
      <c r="O17" s="609">
        <f t="shared" si="4"/>
        <v>1255041</v>
      </c>
      <c r="P17" s="609">
        <f t="shared" si="5"/>
        <v>1255041</v>
      </c>
      <c r="Q17" s="611">
        <f>+'_DATA STT PAGOS_'!D19</f>
        <v>1613132.375</v>
      </c>
      <c r="R17" s="611">
        <f>+'_DATA STT PAGOS_'!E19</f>
        <v>134427.69791666666</v>
      </c>
      <c r="S17" s="611">
        <f>+'_DATA STT PAGOS_'!F19</f>
        <v>106198</v>
      </c>
      <c r="T17" s="612">
        <f>+'_DATA STT PAGOS_'!Q19</f>
        <v>2168769.9679999999</v>
      </c>
      <c r="U17" s="613" t="str">
        <f>SUBSTITUTE((IFERROR(VLOOKUP(A17,'DATOS IND MINERO'!$H$2:$L$113,4,0),"No")),"í","I",1)</f>
        <v>SI</v>
      </c>
      <c r="V17" s="614">
        <f>IFERROR(VLOOKUP(A17,'DATOS IND MINERO'!$H$2:$L$113,5,0),0)</f>
        <v>4.3795619999999999E-4</v>
      </c>
      <c r="W17" s="611">
        <f>+'_DATA STT PAGOS_'!G19</f>
        <v>0</v>
      </c>
      <c r="X17" s="611">
        <f>+'_DATA STT PAGOS_'!J19</f>
        <v>2189057.6720000003</v>
      </c>
      <c r="Y17" s="609">
        <v>2480</v>
      </c>
      <c r="Z17" s="609">
        <v>1431</v>
      </c>
      <c r="AA17" s="609">
        <v>2527</v>
      </c>
      <c r="AB17" s="609">
        <v>1458</v>
      </c>
      <c r="AC17" s="609">
        <v>7896</v>
      </c>
      <c r="AD17" s="609">
        <v>0</v>
      </c>
      <c r="AE17" s="609">
        <v>0</v>
      </c>
      <c r="AF17" s="609">
        <v>0</v>
      </c>
      <c r="AG17" s="609">
        <v>0</v>
      </c>
      <c r="AH17" s="609">
        <v>0</v>
      </c>
      <c r="AI17" s="209"/>
    </row>
    <row r="18" spans="1:35" x14ac:dyDescent="0.25">
      <c r="A18" s="201">
        <v>2203</v>
      </c>
      <c r="B18" s="201">
        <v>2303</v>
      </c>
      <c r="C18" s="201" t="s">
        <v>69</v>
      </c>
      <c r="D18" s="609">
        <v>11030</v>
      </c>
      <c r="E18" s="610">
        <v>4.8730078667678887E-2</v>
      </c>
      <c r="F18" s="609">
        <v>1010483.7464228333</v>
      </c>
      <c r="G18" s="609">
        <v>5524</v>
      </c>
      <c r="H18" s="609">
        <v>6138</v>
      </c>
      <c r="I18" s="609">
        <v>640317882808</v>
      </c>
      <c r="J18" s="609">
        <v>745469334781</v>
      </c>
      <c r="K18" s="608">
        <v>0</v>
      </c>
      <c r="L18" s="608">
        <v>0</v>
      </c>
      <c r="M18" s="609">
        <v>6674338</v>
      </c>
      <c r="N18" s="609">
        <f t="shared" si="3"/>
        <v>6674338</v>
      </c>
      <c r="O18" s="609">
        <f t="shared" si="4"/>
        <v>6674338</v>
      </c>
      <c r="P18" s="609">
        <f t="shared" si="5"/>
        <v>6674338</v>
      </c>
      <c r="Q18" s="611">
        <f>+'_DATA STT PAGOS_'!D20</f>
        <v>5705758.7259999998</v>
      </c>
      <c r="R18" s="611">
        <f>+'_DATA STT PAGOS_'!E20</f>
        <v>475479.89383333334</v>
      </c>
      <c r="S18" s="611">
        <f>+'_DATA STT PAGOS_'!F20</f>
        <v>375629</v>
      </c>
      <c r="T18" s="612">
        <f>+'_DATA STT PAGOS_'!Q20</f>
        <v>6683005.2939999998</v>
      </c>
      <c r="U18" s="613" t="str">
        <f>SUBSTITUTE((IFERROR(VLOOKUP(A18,'DATOS IND MINERO'!$H$2:$L$113,4,0),"No")),"í","I",1)</f>
        <v>SI</v>
      </c>
      <c r="V18" s="614">
        <f>IFERROR(VLOOKUP(A18,'DATOS IND MINERO'!$H$2:$L$113,5,0),0)</f>
        <v>8.7591240999999995E-4</v>
      </c>
      <c r="W18" s="611">
        <f>+'_DATA STT PAGOS_'!G20</f>
        <v>0</v>
      </c>
      <c r="X18" s="611">
        <f>+'_DATA STT PAGOS_'!J20</f>
        <v>7737828.6370000001</v>
      </c>
      <c r="Y18" s="609">
        <v>63436</v>
      </c>
      <c r="Z18" s="609">
        <v>58329</v>
      </c>
      <c r="AA18" s="609">
        <v>59680</v>
      </c>
      <c r="AB18" s="609">
        <v>58437</v>
      </c>
      <c r="AC18" s="609">
        <v>239882</v>
      </c>
      <c r="AD18" s="609">
        <v>0</v>
      </c>
      <c r="AE18" s="609">
        <v>0</v>
      </c>
      <c r="AF18" s="609">
        <v>0</v>
      </c>
      <c r="AG18" s="609">
        <v>0</v>
      </c>
      <c r="AH18" s="609">
        <v>0</v>
      </c>
      <c r="AI18" s="209"/>
    </row>
    <row r="19" spans="1:35" x14ac:dyDescent="0.25">
      <c r="A19" s="201">
        <v>2301</v>
      </c>
      <c r="B19" s="201">
        <v>2101</v>
      </c>
      <c r="C19" s="201" t="s">
        <v>63</v>
      </c>
      <c r="D19" s="609">
        <v>28354</v>
      </c>
      <c r="E19" s="610">
        <v>0.10427636654800319</v>
      </c>
      <c r="F19" s="609">
        <v>355103.6330647241</v>
      </c>
      <c r="G19" s="609">
        <v>9446</v>
      </c>
      <c r="H19" s="609">
        <v>10106</v>
      </c>
      <c r="I19" s="609">
        <v>187466233211</v>
      </c>
      <c r="J19" s="609">
        <v>294748890245</v>
      </c>
      <c r="K19" s="608">
        <v>0</v>
      </c>
      <c r="L19" s="608">
        <v>0</v>
      </c>
      <c r="M19" s="609">
        <v>3264150</v>
      </c>
      <c r="N19" s="609">
        <f t="shared" si="3"/>
        <v>3264150</v>
      </c>
      <c r="O19" s="609">
        <f t="shared" si="4"/>
        <v>3264150</v>
      </c>
      <c r="P19" s="609">
        <f t="shared" si="5"/>
        <v>3264150</v>
      </c>
      <c r="Q19" s="611">
        <f>+'_DATA STT PAGOS_'!D21</f>
        <v>4544654.335</v>
      </c>
      <c r="R19" s="611">
        <f>+'_DATA STT PAGOS_'!E21</f>
        <v>378721.19458333333</v>
      </c>
      <c r="S19" s="611">
        <f>+'_DATA STT PAGOS_'!F21</f>
        <v>299190</v>
      </c>
      <c r="T19" s="612">
        <f>+'_DATA STT PAGOS_'!Q21</f>
        <v>5676553.6600000001</v>
      </c>
      <c r="U19" s="613" t="str">
        <f>SUBSTITUTE((IFERROR(VLOOKUP(A19,'DATOS IND MINERO'!$H$2:$L$113,4,0),"No")),"í","I",1)</f>
        <v>SI</v>
      </c>
      <c r="V19" s="614">
        <f>IFERROR(VLOOKUP(A19,'DATOS IND MINERO'!$H$2:$L$113,5,0),0)</f>
        <v>3.18226601E-3</v>
      </c>
      <c r="W19" s="611">
        <f>+'_DATA STT PAGOS_'!G21</f>
        <v>0</v>
      </c>
      <c r="X19" s="611">
        <f>+'_DATA STT PAGOS_'!J21</f>
        <v>6173909.557</v>
      </c>
      <c r="Y19" s="609">
        <v>91671</v>
      </c>
      <c r="Z19" s="609">
        <v>82882</v>
      </c>
      <c r="AA19" s="609">
        <v>80228</v>
      </c>
      <c r="AB19" s="609">
        <v>79785</v>
      </c>
      <c r="AC19" s="609">
        <v>334566</v>
      </c>
      <c r="AD19" s="609">
        <v>2843</v>
      </c>
      <c r="AE19" s="609">
        <v>1079</v>
      </c>
      <c r="AF19" s="609">
        <v>1476.241</v>
      </c>
      <c r="AG19" s="609">
        <v>1357</v>
      </c>
      <c r="AH19" s="609">
        <v>6755.241</v>
      </c>
      <c r="AI19" s="209"/>
    </row>
    <row r="20" spans="1:35" x14ac:dyDescent="0.25">
      <c r="A20" s="201">
        <v>2302</v>
      </c>
      <c r="B20" s="201">
        <v>2103</v>
      </c>
      <c r="C20" s="201" t="s">
        <v>374</v>
      </c>
      <c r="D20" s="609">
        <v>6507</v>
      </c>
      <c r="E20" s="610">
        <v>5.5513796245607212E-2</v>
      </c>
      <c r="F20" s="609">
        <v>247817.03480980464</v>
      </c>
      <c r="G20" s="609">
        <v>492</v>
      </c>
      <c r="H20" s="609">
        <v>585</v>
      </c>
      <c r="I20" s="609">
        <v>146669201198</v>
      </c>
      <c r="J20" s="609">
        <v>329774493206</v>
      </c>
      <c r="K20" s="608">
        <v>0</v>
      </c>
      <c r="L20" s="608">
        <v>0</v>
      </c>
      <c r="M20" s="609">
        <v>6646122</v>
      </c>
      <c r="N20" s="609">
        <f t="shared" si="3"/>
        <v>6646122</v>
      </c>
      <c r="O20" s="609">
        <f t="shared" si="4"/>
        <v>6646122</v>
      </c>
      <c r="P20" s="609">
        <f t="shared" si="5"/>
        <v>6646122</v>
      </c>
      <c r="Q20" s="611">
        <f>+'_DATA STT PAGOS_'!D22</f>
        <v>1508526.4669999999</v>
      </c>
      <c r="R20" s="611">
        <f>+'_DATA STT PAGOS_'!E22</f>
        <v>125710.53891666666</v>
      </c>
      <c r="S20" s="611">
        <f>+'_DATA STT PAGOS_'!F22</f>
        <v>99311</v>
      </c>
      <c r="T20" s="612">
        <f>+'_DATA STT PAGOS_'!Q22</f>
        <v>1974218.2339999999</v>
      </c>
      <c r="U20" s="613" t="str">
        <f>SUBSTITUTE((IFERROR(VLOOKUP(A20,'DATOS IND MINERO'!$H$2:$L$113,4,0),"No")),"í","I",1)</f>
        <v>SI</v>
      </c>
      <c r="V20" s="614">
        <f>IFERROR(VLOOKUP(A20,'DATOS IND MINERO'!$H$2:$L$113,5,0),0)</f>
        <v>1.62022221E-3</v>
      </c>
      <c r="W20" s="611">
        <f>+'_DATA STT PAGOS_'!G22</f>
        <v>0</v>
      </c>
      <c r="X20" s="611">
        <f>+'_DATA STT PAGOS_'!J22</f>
        <v>2045180.247</v>
      </c>
      <c r="Y20" s="609">
        <v>142056</v>
      </c>
      <c r="Z20" s="609">
        <v>71245</v>
      </c>
      <c r="AA20" s="609">
        <v>157442</v>
      </c>
      <c r="AB20" s="609">
        <v>99829</v>
      </c>
      <c r="AC20" s="609">
        <v>470572</v>
      </c>
      <c r="AD20" s="609">
        <v>0</v>
      </c>
      <c r="AE20" s="609">
        <v>0</v>
      </c>
      <c r="AF20" s="609">
        <v>0</v>
      </c>
      <c r="AG20" s="609">
        <v>0</v>
      </c>
      <c r="AH20" s="609">
        <v>0</v>
      </c>
      <c r="AI20" s="209"/>
    </row>
    <row r="21" spans="1:35" x14ac:dyDescent="0.25">
      <c r="A21" s="201">
        <v>3101</v>
      </c>
      <c r="B21" s="201">
        <v>3201</v>
      </c>
      <c r="C21" s="201" t="s">
        <v>375</v>
      </c>
      <c r="D21" s="609">
        <v>176100</v>
      </c>
      <c r="E21" s="610">
        <v>7.232720034645454E-2</v>
      </c>
      <c r="F21" s="609">
        <v>1048829.03557989</v>
      </c>
      <c r="G21" s="609">
        <v>46758</v>
      </c>
      <c r="H21" s="609">
        <v>65681</v>
      </c>
      <c r="I21" s="609">
        <v>1856146601249</v>
      </c>
      <c r="J21" s="609">
        <v>3957962697019</v>
      </c>
      <c r="K21" s="608">
        <v>0</v>
      </c>
      <c r="L21" s="608">
        <v>0</v>
      </c>
      <c r="M21" s="609">
        <v>26253692</v>
      </c>
      <c r="N21" s="609">
        <f t="shared" si="3"/>
        <v>26253692</v>
      </c>
      <c r="O21" s="609">
        <f t="shared" si="4"/>
        <v>26253692</v>
      </c>
      <c r="P21" s="609">
        <f t="shared" si="5"/>
        <v>26253692</v>
      </c>
      <c r="Q21" s="611">
        <f>+'_DATA STT PAGOS_'!D23</f>
        <v>12255380.461999999</v>
      </c>
      <c r="R21" s="611">
        <f>+'_DATA STT PAGOS_'!E23</f>
        <v>1021281.7051666667</v>
      </c>
      <c r="S21" s="611">
        <f>+'_DATA STT PAGOS_'!F23</f>
        <v>806813</v>
      </c>
      <c r="T21" s="612">
        <f>+'_DATA STT PAGOS_'!Q23</f>
        <v>16441420.776000001</v>
      </c>
      <c r="U21" s="613" t="str">
        <f>SUBSTITUTE((IFERROR(VLOOKUP(A21,'DATOS IND MINERO'!$H$2:$L$113,4,0),"No")),"í","I",1)</f>
        <v>SI</v>
      </c>
      <c r="V21" s="614">
        <f>IFERROR(VLOOKUP(A21,'DATOS IND MINERO'!$H$2:$L$113,5,0),0)</f>
        <v>3.4181601729999997E-2</v>
      </c>
      <c r="W21" s="611">
        <f>+'_DATA STT PAGOS_'!G23</f>
        <v>0</v>
      </c>
      <c r="X21" s="611">
        <f>+'_DATA STT PAGOS_'!J23</f>
        <v>16633220.783999998</v>
      </c>
      <c r="Y21" s="609">
        <v>950984</v>
      </c>
      <c r="Z21" s="609">
        <v>730389</v>
      </c>
      <c r="AA21" s="609">
        <v>825475</v>
      </c>
      <c r="AB21" s="609">
        <v>713920</v>
      </c>
      <c r="AC21" s="609">
        <v>3220768</v>
      </c>
      <c r="AD21" s="609">
        <v>96659</v>
      </c>
      <c r="AE21" s="609">
        <v>45348</v>
      </c>
      <c r="AF21" s="609">
        <v>61800.078999999998</v>
      </c>
      <c r="AG21" s="609">
        <v>40863</v>
      </c>
      <c r="AH21" s="609">
        <v>244670.079</v>
      </c>
      <c r="AI21" s="209"/>
    </row>
    <row r="22" spans="1:35" x14ac:dyDescent="0.25">
      <c r="A22" s="201">
        <v>3102</v>
      </c>
      <c r="B22" s="201">
        <v>3202</v>
      </c>
      <c r="C22" s="201" t="s">
        <v>72</v>
      </c>
      <c r="D22" s="609">
        <v>19964</v>
      </c>
      <c r="E22" s="610">
        <v>4.1111214166464051E-2</v>
      </c>
      <c r="F22" s="609">
        <v>1169395.2762500928</v>
      </c>
      <c r="G22" s="609">
        <v>8138</v>
      </c>
      <c r="H22" s="609">
        <v>10147</v>
      </c>
      <c r="I22" s="609">
        <v>458870601212</v>
      </c>
      <c r="J22" s="609">
        <v>678494514945</v>
      </c>
      <c r="K22" s="608">
        <v>0</v>
      </c>
      <c r="L22" s="608">
        <v>0</v>
      </c>
      <c r="M22" s="609">
        <v>3543232</v>
      </c>
      <c r="N22" s="609">
        <f t="shared" si="3"/>
        <v>3543232</v>
      </c>
      <c r="O22" s="609">
        <f t="shared" si="4"/>
        <v>3543232</v>
      </c>
      <c r="P22" s="609">
        <f t="shared" si="5"/>
        <v>3543232</v>
      </c>
      <c r="Q22" s="611">
        <f>+'_DATA STT PAGOS_'!D24</f>
        <v>7413729.7390000001</v>
      </c>
      <c r="R22" s="611">
        <f>+'_DATA STT PAGOS_'!E24</f>
        <v>617810.8115833333</v>
      </c>
      <c r="S22" s="611">
        <f>+'_DATA STT PAGOS_'!F24</f>
        <v>488071</v>
      </c>
      <c r="T22" s="612">
        <f>+'_DATA STT PAGOS_'!Q24</f>
        <v>9403813.534</v>
      </c>
      <c r="U22" s="613" t="str">
        <f>SUBSTITUTE((IFERROR(VLOOKUP(A22,'DATOS IND MINERO'!$H$2:$L$113,4,0),"No")),"í","I",1)</f>
        <v>SI</v>
      </c>
      <c r="V22" s="614">
        <f>IFERROR(VLOOKUP(A22,'DATOS IND MINERO'!$H$2:$L$113,5,0),0)</f>
        <v>3.0389512099999998E-3</v>
      </c>
      <c r="W22" s="611">
        <f>+'_DATA STT PAGOS_'!G24</f>
        <v>0</v>
      </c>
      <c r="X22" s="611">
        <f>+'_DATA STT PAGOS_'!J24</f>
        <v>10056871.368999999</v>
      </c>
      <c r="Y22" s="609">
        <v>133274</v>
      </c>
      <c r="Z22" s="609">
        <v>89954</v>
      </c>
      <c r="AA22" s="609">
        <v>91693</v>
      </c>
      <c r="AB22" s="609">
        <v>83641</v>
      </c>
      <c r="AC22" s="609">
        <v>398562</v>
      </c>
      <c r="AD22" s="609">
        <v>13602</v>
      </c>
      <c r="AE22" s="609">
        <v>6773</v>
      </c>
      <c r="AF22" s="609">
        <v>8536.6389999999992</v>
      </c>
      <c r="AG22" s="609">
        <v>5809</v>
      </c>
      <c r="AH22" s="609">
        <v>34720.638999999996</v>
      </c>
      <c r="AI22" s="209"/>
    </row>
    <row r="23" spans="1:35" x14ac:dyDescent="0.25">
      <c r="A23" s="201">
        <v>3103</v>
      </c>
      <c r="B23" s="201">
        <v>3203</v>
      </c>
      <c r="C23" s="201" t="s">
        <v>73</v>
      </c>
      <c r="D23" s="609">
        <v>14431</v>
      </c>
      <c r="E23" s="610">
        <v>6.874896010670549E-2</v>
      </c>
      <c r="F23" s="609">
        <v>168189.86904131123</v>
      </c>
      <c r="G23" s="609">
        <v>3624</v>
      </c>
      <c r="H23" s="609">
        <v>4394</v>
      </c>
      <c r="I23" s="609">
        <v>98350792336</v>
      </c>
      <c r="J23" s="609">
        <v>359508757128</v>
      </c>
      <c r="K23" s="608">
        <v>0</v>
      </c>
      <c r="L23" s="608">
        <v>0</v>
      </c>
      <c r="M23" s="609">
        <v>7458135</v>
      </c>
      <c r="N23" s="609">
        <f t="shared" si="3"/>
        <v>7458135</v>
      </c>
      <c r="O23" s="609">
        <f t="shared" si="4"/>
        <v>7458135</v>
      </c>
      <c r="P23" s="609">
        <f t="shared" si="5"/>
        <v>7458135</v>
      </c>
      <c r="Q23" s="611">
        <f>+'_DATA STT PAGOS_'!D25</f>
        <v>1979125.38</v>
      </c>
      <c r="R23" s="611">
        <f>+'_DATA STT PAGOS_'!E25</f>
        <v>164927.11499999999</v>
      </c>
      <c r="S23" s="611">
        <f>+'_DATA STT PAGOS_'!F25</f>
        <v>130292</v>
      </c>
      <c r="T23" s="612">
        <f>+'_DATA STT PAGOS_'!Q25</f>
        <v>2585015.3560000001</v>
      </c>
      <c r="U23" s="613" t="str">
        <f>SUBSTITUTE((IFERROR(VLOOKUP(A23,'DATOS IND MINERO'!$H$2:$L$113,4,0),"No")),"í","I",1)</f>
        <v>SI</v>
      </c>
      <c r="V23" s="614">
        <f>IFERROR(VLOOKUP(A23,'DATOS IND MINERO'!$H$2:$L$113,5,0),0)</f>
        <v>3.2240938390000001E-2</v>
      </c>
      <c r="W23" s="611">
        <f>+'_DATA STT PAGOS_'!G25</f>
        <v>0</v>
      </c>
      <c r="X23" s="611">
        <f>+'_DATA STT PAGOS_'!J25</f>
        <v>2685199.1659999997</v>
      </c>
      <c r="Y23" s="609">
        <v>128501</v>
      </c>
      <c r="Z23" s="609">
        <v>112678</v>
      </c>
      <c r="AA23" s="609">
        <v>132795</v>
      </c>
      <c r="AB23" s="609">
        <v>121891</v>
      </c>
      <c r="AC23" s="609">
        <v>495865</v>
      </c>
      <c r="AD23" s="609">
        <v>0</v>
      </c>
      <c r="AE23" s="609">
        <v>0</v>
      </c>
      <c r="AF23" s="609">
        <v>0</v>
      </c>
      <c r="AG23" s="609">
        <v>0</v>
      </c>
      <c r="AH23" s="609">
        <v>0</v>
      </c>
      <c r="AI23" s="209"/>
    </row>
    <row r="24" spans="1:35" x14ac:dyDescent="0.25">
      <c r="A24" s="201">
        <v>3201</v>
      </c>
      <c r="B24" s="201">
        <v>3101</v>
      </c>
      <c r="C24" s="201" t="s">
        <v>70</v>
      </c>
      <c r="D24" s="609">
        <v>13017</v>
      </c>
      <c r="E24" s="610">
        <v>0.1146199488480459</v>
      </c>
      <c r="F24" s="609">
        <v>332648.19775704946</v>
      </c>
      <c r="G24" s="609">
        <v>5017</v>
      </c>
      <c r="H24" s="609">
        <v>5582</v>
      </c>
      <c r="I24" s="609">
        <v>107941279310</v>
      </c>
      <c r="J24" s="609">
        <v>164488764323</v>
      </c>
      <c r="K24" s="608">
        <v>0</v>
      </c>
      <c r="L24" s="608">
        <v>0</v>
      </c>
      <c r="M24" s="609">
        <v>3063852</v>
      </c>
      <c r="N24" s="609">
        <f t="shared" si="3"/>
        <v>3063852</v>
      </c>
      <c r="O24" s="609">
        <f t="shared" si="4"/>
        <v>3063852</v>
      </c>
      <c r="P24" s="609">
        <f t="shared" si="5"/>
        <v>3063852</v>
      </c>
      <c r="Q24" s="611">
        <f>+'_DATA STT PAGOS_'!D26</f>
        <v>2786396.3420000002</v>
      </c>
      <c r="R24" s="611">
        <f>+'_DATA STT PAGOS_'!E26</f>
        <v>232199.69516666667</v>
      </c>
      <c r="S24" s="611">
        <f>+'_DATA STT PAGOS_'!F26</f>
        <v>183438</v>
      </c>
      <c r="T24" s="612">
        <f>+'_DATA STT PAGOS_'!Q26</f>
        <v>2931625.85</v>
      </c>
      <c r="U24" s="613" t="str">
        <f>SUBSTITUTE((IFERROR(VLOOKUP(A24,'DATOS IND MINERO'!$H$2:$L$113,4,0),"No")),"í","I",1)</f>
        <v>SI</v>
      </c>
      <c r="V24" s="614">
        <f>IFERROR(VLOOKUP(A24,'DATOS IND MINERO'!$H$2:$L$113,5,0),0)</f>
        <v>6.7402527999999998E-3</v>
      </c>
      <c r="W24" s="611">
        <f>+'_DATA STT PAGOS_'!G26</f>
        <v>0</v>
      </c>
      <c r="X24" s="611">
        <f>+'_DATA STT PAGOS_'!J26</f>
        <v>3782637.95</v>
      </c>
      <c r="Y24" s="609">
        <v>31268</v>
      </c>
      <c r="Z24" s="609">
        <v>45040</v>
      </c>
      <c r="AA24" s="609">
        <v>25311</v>
      </c>
      <c r="AB24" s="609">
        <v>19543</v>
      </c>
      <c r="AC24" s="609">
        <v>121162</v>
      </c>
      <c r="AD24" s="609">
        <v>2196</v>
      </c>
      <c r="AE24" s="609">
        <v>1041</v>
      </c>
      <c r="AF24" s="609">
        <v>1069.644</v>
      </c>
      <c r="AG24" s="609">
        <v>990</v>
      </c>
      <c r="AH24" s="609">
        <v>5296.6440000000002</v>
      </c>
      <c r="AI24" s="209"/>
    </row>
    <row r="25" spans="1:35" x14ac:dyDescent="0.25">
      <c r="A25" s="201">
        <v>3202</v>
      </c>
      <c r="B25" s="201">
        <v>3102</v>
      </c>
      <c r="C25" s="201" t="s">
        <v>71</v>
      </c>
      <c r="D25" s="609">
        <v>13909</v>
      </c>
      <c r="E25" s="610">
        <v>5.6804255654079823E-2</v>
      </c>
      <c r="F25" s="609">
        <v>278022.88275770459</v>
      </c>
      <c r="G25" s="609">
        <v>3221</v>
      </c>
      <c r="H25" s="609">
        <v>3795</v>
      </c>
      <c r="I25" s="609">
        <v>78496485391</v>
      </c>
      <c r="J25" s="609">
        <v>266969685096</v>
      </c>
      <c r="K25" s="608">
        <v>0</v>
      </c>
      <c r="L25" s="608">
        <v>0</v>
      </c>
      <c r="M25" s="609">
        <v>5348541</v>
      </c>
      <c r="N25" s="609">
        <f t="shared" si="3"/>
        <v>5348541</v>
      </c>
      <c r="O25" s="609">
        <f t="shared" si="4"/>
        <v>5348541</v>
      </c>
      <c r="P25" s="609">
        <f t="shared" si="5"/>
        <v>5348541</v>
      </c>
      <c r="Q25" s="611">
        <f>+'_DATA STT PAGOS_'!D27</f>
        <v>2093061.2520000001</v>
      </c>
      <c r="R25" s="611">
        <f>+'_DATA STT PAGOS_'!E27</f>
        <v>174421.77100000001</v>
      </c>
      <c r="S25" s="611">
        <f>+'_DATA STT PAGOS_'!F27</f>
        <v>137793</v>
      </c>
      <c r="T25" s="612">
        <f>+'_DATA STT PAGOS_'!Q27</f>
        <v>2454439.8289999999</v>
      </c>
      <c r="U25" s="613" t="str">
        <f>SUBSTITUTE((IFERROR(VLOOKUP(A25,'DATOS IND MINERO'!$H$2:$L$113,4,0),"No")),"í","I",1)</f>
        <v>SI</v>
      </c>
      <c r="V25" s="614">
        <f>IFERROR(VLOOKUP(A25,'DATOS IND MINERO'!$H$2:$L$113,5,0),0)</f>
        <v>1.476966146E-2</v>
      </c>
      <c r="W25" s="611">
        <f>+'_DATA STT PAGOS_'!G27</f>
        <v>0</v>
      </c>
      <c r="X25" s="611">
        <f>+'_DATA STT PAGOS_'!J27</f>
        <v>2839952.64</v>
      </c>
      <c r="Y25" s="609">
        <v>124859</v>
      </c>
      <c r="Z25" s="609">
        <v>113119</v>
      </c>
      <c r="AA25" s="609">
        <v>117320</v>
      </c>
      <c r="AB25" s="609">
        <v>116687</v>
      </c>
      <c r="AC25" s="609">
        <v>471985</v>
      </c>
      <c r="AD25" s="609">
        <v>320</v>
      </c>
      <c r="AE25" s="609">
        <v>214</v>
      </c>
      <c r="AF25" s="609">
        <v>322.43799999999999</v>
      </c>
      <c r="AG25" s="609">
        <v>270</v>
      </c>
      <c r="AH25" s="609">
        <v>1126.4380000000001</v>
      </c>
      <c r="AI25" s="209"/>
    </row>
    <row r="26" spans="1:35" x14ac:dyDescent="0.25">
      <c r="A26" s="201">
        <v>3301</v>
      </c>
      <c r="B26" s="201">
        <v>3301</v>
      </c>
      <c r="C26" s="201" t="s">
        <v>74</v>
      </c>
      <c r="D26" s="609">
        <v>57360</v>
      </c>
      <c r="E26" s="610">
        <v>0.10727825897008141</v>
      </c>
      <c r="F26" s="609">
        <v>690110.5867712386</v>
      </c>
      <c r="G26" s="609">
        <v>18999</v>
      </c>
      <c r="H26" s="609">
        <v>23264</v>
      </c>
      <c r="I26" s="609">
        <v>494271808386</v>
      </c>
      <c r="J26" s="609">
        <v>939357594737</v>
      </c>
      <c r="K26" s="608">
        <v>0</v>
      </c>
      <c r="L26" s="608">
        <v>0</v>
      </c>
      <c r="M26" s="609">
        <v>6253296</v>
      </c>
      <c r="N26" s="609">
        <f t="shared" si="3"/>
        <v>6253296</v>
      </c>
      <c r="O26" s="609">
        <f t="shared" si="4"/>
        <v>6253296</v>
      </c>
      <c r="P26" s="609">
        <f t="shared" si="5"/>
        <v>6253296</v>
      </c>
      <c r="Q26" s="611">
        <f>+'_DATA STT PAGOS_'!D28</f>
        <v>7493541.0750000002</v>
      </c>
      <c r="R26" s="611">
        <f>+'_DATA STT PAGOS_'!E28</f>
        <v>624461.75624999998</v>
      </c>
      <c r="S26" s="611">
        <f>+'_DATA STT PAGOS_'!F28</f>
        <v>493325</v>
      </c>
      <c r="T26" s="612">
        <f>+'_DATA STT PAGOS_'!Q28</f>
        <v>8834996.1009999998</v>
      </c>
      <c r="U26" s="613" t="str">
        <f>SUBSTITUTE((IFERROR(VLOOKUP(A26,'DATOS IND MINERO'!$H$2:$L$113,4,0),"No")),"í","I",1)</f>
        <v>SI</v>
      </c>
      <c r="V26" s="614">
        <f>IFERROR(VLOOKUP(A26,'DATOS IND MINERO'!$H$2:$L$113,5,0),0)</f>
        <v>3.0815049E-3</v>
      </c>
      <c r="W26" s="611">
        <f>+'_DATA STT PAGOS_'!G28</f>
        <v>0</v>
      </c>
      <c r="X26" s="611">
        <f>+'_DATA STT PAGOS_'!J28</f>
        <v>10180143.746000001</v>
      </c>
      <c r="Y26" s="609">
        <v>169811</v>
      </c>
      <c r="Z26" s="609">
        <v>145676</v>
      </c>
      <c r="AA26" s="609">
        <v>147962</v>
      </c>
      <c r="AB26" s="609">
        <v>120391</v>
      </c>
      <c r="AC26" s="609">
        <v>583840</v>
      </c>
      <c r="AD26" s="609">
        <v>11130</v>
      </c>
      <c r="AE26" s="609">
        <v>6331</v>
      </c>
      <c r="AF26" s="609">
        <v>6019.3509999999997</v>
      </c>
      <c r="AG26" s="609">
        <v>4139</v>
      </c>
      <c r="AH26" s="609">
        <v>27619.350999999999</v>
      </c>
      <c r="AI26" s="209"/>
    </row>
    <row r="27" spans="1:35" x14ac:dyDescent="0.25">
      <c r="A27" s="201">
        <v>3302</v>
      </c>
      <c r="B27" s="201">
        <v>3304</v>
      </c>
      <c r="C27" s="201" t="s">
        <v>77</v>
      </c>
      <c r="D27" s="609">
        <v>5781</v>
      </c>
      <c r="E27" s="610">
        <v>0.15061128911529911</v>
      </c>
      <c r="F27" s="609">
        <v>102365.03810542882</v>
      </c>
      <c r="G27" s="609">
        <v>3573</v>
      </c>
      <c r="H27" s="609">
        <v>3954</v>
      </c>
      <c r="I27" s="609">
        <v>57667338355</v>
      </c>
      <c r="J27" s="609">
        <v>98662345296</v>
      </c>
      <c r="K27" s="608">
        <v>0</v>
      </c>
      <c r="L27" s="608">
        <v>0</v>
      </c>
      <c r="M27" s="609">
        <v>1333027</v>
      </c>
      <c r="N27" s="609">
        <f t="shared" si="3"/>
        <v>1333027</v>
      </c>
      <c r="O27" s="609">
        <f t="shared" si="4"/>
        <v>1333027</v>
      </c>
      <c r="P27" s="609">
        <f t="shared" si="5"/>
        <v>1333027</v>
      </c>
      <c r="Q27" s="611">
        <f>+'_DATA STT PAGOS_'!D29</f>
        <v>2125846.986</v>
      </c>
      <c r="R27" s="611">
        <f>+'_DATA STT PAGOS_'!E29</f>
        <v>177153.9155</v>
      </c>
      <c r="S27" s="611">
        <f>+'_DATA STT PAGOS_'!F29</f>
        <v>139952</v>
      </c>
      <c r="T27" s="612">
        <f>+'_DATA STT PAGOS_'!Q29</f>
        <v>2717643.8829999999</v>
      </c>
      <c r="U27" s="613" t="str">
        <f>SUBSTITUTE((IFERROR(VLOOKUP(A27,'DATOS IND MINERO'!$H$2:$L$113,4,0),"No")),"í","I",1)</f>
        <v>No</v>
      </c>
      <c r="V27" s="614">
        <f>IFERROR(VLOOKUP(A27,'DATOS IND MINERO'!$H$2:$L$113,5,0),0)</f>
        <v>0</v>
      </c>
      <c r="W27" s="611">
        <f>+'_DATA STT PAGOS_'!G29</f>
        <v>0</v>
      </c>
      <c r="X27" s="611">
        <f>+'_DATA STT PAGOS_'!J29</f>
        <v>2886748.9539999999</v>
      </c>
      <c r="Y27" s="609">
        <v>11832</v>
      </c>
      <c r="Z27" s="609">
        <v>11582</v>
      </c>
      <c r="AA27" s="609">
        <v>11251</v>
      </c>
      <c r="AB27" s="609">
        <v>10835</v>
      </c>
      <c r="AC27" s="609">
        <v>45500</v>
      </c>
      <c r="AD27" s="609">
        <v>0</v>
      </c>
      <c r="AE27" s="609">
        <v>0</v>
      </c>
      <c r="AF27" s="609">
        <v>0</v>
      </c>
      <c r="AG27" s="609">
        <v>0</v>
      </c>
      <c r="AH27" s="609">
        <v>0</v>
      </c>
      <c r="AI27" s="209"/>
    </row>
    <row r="28" spans="1:35" x14ac:dyDescent="0.25">
      <c r="A28" s="201">
        <v>3303</v>
      </c>
      <c r="B28" s="201">
        <v>3302</v>
      </c>
      <c r="C28" s="201" t="s">
        <v>75</v>
      </c>
      <c r="D28" s="609">
        <v>7840</v>
      </c>
      <c r="E28" s="610">
        <v>0.1338693829029102</v>
      </c>
      <c r="F28" s="609">
        <v>80716.985947748442</v>
      </c>
      <c r="G28" s="609">
        <v>2840</v>
      </c>
      <c r="H28" s="609">
        <v>3321</v>
      </c>
      <c r="I28" s="609">
        <v>52754775209</v>
      </c>
      <c r="J28" s="609">
        <v>134502697964</v>
      </c>
      <c r="K28" s="608">
        <v>0</v>
      </c>
      <c r="L28" s="608">
        <v>0</v>
      </c>
      <c r="M28" s="609">
        <v>1304181</v>
      </c>
      <c r="N28" s="609">
        <f t="shared" si="3"/>
        <v>1304181</v>
      </c>
      <c r="O28" s="609">
        <f t="shared" si="4"/>
        <v>1304181</v>
      </c>
      <c r="P28" s="609">
        <f t="shared" si="5"/>
        <v>1304181</v>
      </c>
      <c r="Q28" s="611">
        <f>+'_DATA STT PAGOS_'!D30</f>
        <v>2061809.8259999999</v>
      </c>
      <c r="R28" s="611">
        <f>+'_DATA STT PAGOS_'!E30</f>
        <v>171817.48549999998</v>
      </c>
      <c r="S28" s="611">
        <f>+'_DATA STT PAGOS_'!F30</f>
        <v>135736</v>
      </c>
      <c r="T28" s="612">
        <f>+'_DATA STT PAGOS_'!Q30</f>
        <v>2644144.5520000001</v>
      </c>
      <c r="U28" s="613" t="str">
        <f>SUBSTITUTE((IFERROR(VLOOKUP(A28,'DATOS IND MINERO'!$H$2:$L$113,4,0),"No")),"í","I",1)</f>
        <v>SI</v>
      </c>
      <c r="V28" s="614">
        <f>IFERROR(VLOOKUP(A28,'DATOS IND MINERO'!$H$2:$L$113,5,0),0)</f>
        <v>6.4589010600000002E-3</v>
      </c>
      <c r="W28" s="611">
        <f>+'_DATA STT PAGOS_'!G30</f>
        <v>0</v>
      </c>
      <c r="X28" s="611">
        <f>+'_DATA STT PAGOS_'!J30</f>
        <v>2799992.2420000001</v>
      </c>
      <c r="Y28" s="609">
        <v>34149</v>
      </c>
      <c r="Z28" s="609">
        <v>28437</v>
      </c>
      <c r="AA28" s="609">
        <v>29719</v>
      </c>
      <c r="AB28" s="609">
        <v>25711</v>
      </c>
      <c r="AC28" s="609">
        <v>118016</v>
      </c>
      <c r="AD28" s="609">
        <v>196</v>
      </c>
      <c r="AE28" s="609">
        <v>134</v>
      </c>
      <c r="AF28" s="609">
        <v>180.96700000000001</v>
      </c>
      <c r="AG28" s="609">
        <v>95</v>
      </c>
      <c r="AH28" s="609">
        <v>605.96699999999998</v>
      </c>
      <c r="AI28" s="209"/>
    </row>
    <row r="29" spans="1:35" x14ac:dyDescent="0.25">
      <c r="A29" s="201">
        <v>3304</v>
      </c>
      <c r="B29" s="201">
        <v>3303</v>
      </c>
      <c r="C29" s="201" t="s">
        <v>76</v>
      </c>
      <c r="D29" s="609">
        <v>11590</v>
      </c>
      <c r="E29" s="610">
        <v>0.11374127862958169</v>
      </c>
      <c r="F29" s="609">
        <v>325780.07553651492</v>
      </c>
      <c r="G29" s="609">
        <v>4598</v>
      </c>
      <c r="H29" s="609">
        <v>5341</v>
      </c>
      <c r="I29" s="609">
        <v>119002089667</v>
      </c>
      <c r="J29" s="609">
        <v>197864516167</v>
      </c>
      <c r="K29" s="608">
        <v>0</v>
      </c>
      <c r="L29" s="608">
        <v>0</v>
      </c>
      <c r="M29" s="609">
        <v>2389550</v>
      </c>
      <c r="N29" s="609">
        <f t="shared" si="3"/>
        <v>2389550</v>
      </c>
      <c r="O29" s="609">
        <f t="shared" si="4"/>
        <v>2389550</v>
      </c>
      <c r="P29" s="609">
        <f t="shared" si="5"/>
        <v>2389550</v>
      </c>
      <c r="Q29" s="611">
        <f>+'_DATA STT PAGOS_'!D31</f>
        <v>2960258.4419999998</v>
      </c>
      <c r="R29" s="611">
        <f>+'_DATA STT PAGOS_'!E31</f>
        <v>246688.20349999997</v>
      </c>
      <c r="S29" s="611">
        <f>+'_DATA STT PAGOS_'!F31</f>
        <v>194884</v>
      </c>
      <c r="T29" s="612">
        <f>+'_DATA STT PAGOS_'!Q31</f>
        <v>3414152.7409999999</v>
      </c>
      <c r="U29" s="613" t="str">
        <f>SUBSTITUTE((IFERROR(VLOOKUP(A29,'DATOS IND MINERO'!$H$2:$L$113,4,0),"No")),"í","I",1)</f>
        <v>SI</v>
      </c>
      <c r="V29" s="614">
        <f>IFERROR(VLOOKUP(A29,'DATOS IND MINERO'!$H$2:$L$113,5,0),0)</f>
        <v>3.4533229749999998E-2</v>
      </c>
      <c r="W29" s="611">
        <f>+'_DATA STT PAGOS_'!G31</f>
        <v>0</v>
      </c>
      <c r="X29" s="611">
        <f>+'_DATA STT PAGOS_'!J31</f>
        <v>4019100.35</v>
      </c>
      <c r="Y29" s="609">
        <v>44056</v>
      </c>
      <c r="Z29" s="609">
        <v>24121</v>
      </c>
      <c r="AA29" s="609">
        <v>51726</v>
      </c>
      <c r="AB29" s="609">
        <v>24076</v>
      </c>
      <c r="AC29" s="609">
        <v>143979</v>
      </c>
      <c r="AD29" s="609">
        <v>0</v>
      </c>
      <c r="AE29" s="609">
        <v>0</v>
      </c>
      <c r="AF29" s="609">
        <v>0</v>
      </c>
      <c r="AG29" s="609">
        <v>0</v>
      </c>
      <c r="AH29" s="609">
        <v>0</v>
      </c>
      <c r="AI29" s="209"/>
    </row>
    <row r="30" spans="1:35" x14ac:dyDescent="0.25">
      <c r="A30" s="201">
        <v>4101</v>
      </c>
      <c r="B30" s="201">
        <v>4101</v>
      </c>
      <c r="C30" s="201" t="s">
        <v>78</v>
      </c>
      <c r="D30" s="609">
        <v>267400</v>
      </c>
      <c r="E30" s="610">
        <v>5.9288006054940771E-2</v>
      </c>
      <c r="F30" s="609">
        <v>3784211.5980483694</v>
      </c>
      <c r="G30" s="609">
        <v>62584</v>
      </c>
      <c r="H30" s="609">
        <v>131635</v>
      </c>
      <c r="I30" s="609">
        <v>3344779673004</v>
      </c>
      <c r="J30" s="609">
        <v>9697461837754</v>
      </c>
      <c r="K30" s="608">
        <v>0</v>
      </c>
      <c r="L30" s="608">
        <v>0</v>
      </c>
      <c r="M30" s="609">
        <v>36318399</v>
      </c>
      <c r="N30" s="609">
        <f t="shared" si="3"/>
        <v>36318399</v>
      </c>
      <c r="O30" s="609">
        <f t="shared" si="4"/>
        <v>36318399</v>
      </c>
      <c r="P30" s="609">
        <f t="shared" si="5"/>
        <v>36318399</v>
      </c>
      <c r="Q30" s="611">
        <f>+'_DATA STT PAGOS_'!D32</f>
        <v>11509607.446</v>
      </c>
      <c r="R30" s="611">
        <f>+'_DATA STT PAGOS_'!E32</f>
        <v>959133.95383333333</v>
      </c>
      <c r="S30" s="611">
        <f>+'_DATA STT PAGOS_'!F32</f>
        <v>757716</v>
      </c>
      <c r="T30" s="612">
        <f>+'_DATA STT PAGOS_'!Q32</f>
        <v>15474048.626</v>
      </c>
      <c r="U30" s="613" t="str">
        <f>SUBSTITUTE((IFERROR(VLOOKUP(A30,'DATOS IND MINERO'!$H$2:$L$113,4,0),"No")),"í","I",1)</f>
        <v>SI</v>
      </c>
      <c r="V30" s="614">
        <f>IFERROR(VLOOKUP(A30,'DATOS IND MINERO'!$H$2:$L$113,5,0),0)</f>
        <v>6.8629066900000001E-3</v>
      </c>
      <c r="W30" s="611">
        <f>+'_DATA STT PAGOS_'!G32</f>
        <v>0</v>
      </c>
      <c r="X30" s="611">
        <f>+'_DATA STT PAGOS_'!J32</f>
        <v>15618801.604000002</v>
      </c>
      <c r="Y30" s="609">
        <v>2430008</v>
      </c>
      <c r="Z30" s="609">
        <v>1595702</v>
      </c>
      <c r="AA30" s="609">
        <v>1864827</v>
      </c>
      <c r="AB30" s="609">
        <v>1650520</v>
      </c>
      <c r="AC30" s="609">
        <v>7541057</v>
      </c>
      <c r="AD30" s="609">
        <v>286035</v>
      </c>
      <c r="AE30" s="609">
        <v>133404</v>
      </c>
      <c r="AF30" s="609">
        <v>173835.8</v>
      </c>
      <c r="AG30" s="609">
        <v>121929</v>
      </c>
      <c r="AH30" s="609">
        <v>715203.8</v>
      </c>
      <c r="AI30" s="209"/>
    </row>
    <row r="31" spans="1:35" x14ac:dyDescent="0.25">
      <c r="A31" s="201">
        <v>4102</v>
      </c>
      <c r="B31" s="201">
        <v>4103</v>
      </c>
      <c r="C31" s="201" t="s">
        <v>80</v>
      </c>
      <c r="D31" s="609">
        <v>275644</v>
      </c>
      <c r="E31" s="610">
        <v>7.0644308453171739E-2</v>
      </c>
      <c r="F31" s="609">
        <v>4239551.8772267373</v>
      </c>
      <c r="G31" s="609">
        <v>75986</v>
      </c>
      <c r="H31" s="609">
        <v>120279</v>
      </c>
      <c r="I31" s="609">
        <v>2932682039029</v>
      </c>
      <c r="J31" s="609">
        <v>6847672237464</v>
      </c>
      <c r="K31" s="608">
        <v>0</v>
      </c>
      <c r="L31" s="608">
        <v>0</v>
      </c>
      <c r="M31" s="609">
        <v>46773782</v>
      </c>
      <c r="N31" s="609">
        <f t="shared" si="3"/>
        <v>46773782</v>
      </c>
      <c r="O31" s="609">
        <f t="shared" si="4"/>
        <v>46773782</v>
      </c>
      <c r="P31" s="609">
        <f t="shared" si="5"/>
        <v>46773782</v>
      </c>
      <c r="Q31" s="611">
        <f>+'_DATA STT PAGOS_'!D33</f>
        <v>23533996.602000002</v>
      </c>
      <c r="R31" s="611">
        <f>+'_DATA STT PAGOS_'!E33</f>
        <v>1961166.3835000002</v>
      </c>
      <c r="S31" s="611">
        <f>+'_DATA STT PAGOS_'!F33</f>
        <v>1549321</v>
      </c>
      <c r="T31" s="612">
        <f>+'_DATA STT PAGOS_'!Q33</f>
        <v>30386022</v>
      </c>
      <c r="U31" s="613" t="str">
        <f>SUBSTITUTE((IFERROR(VLOOKUP(A31,'DATOS IND MINERO'!$H$2:$L$113,4,0),"No")),"í","I",1)</f>
        <v>SI</v>
      </c>
      <c r="V31" s="614">
        <f>IFERROR(VLOOKUP(A31,'DATOS IND MINERO'!$H$2:$L$113,5,0),0)</f>
        <v>6.5257676799999999E-3</v>
      </c>
      <c r="W31" s="611">
        <f>+'_DATA STT PAGOS_'!G33</f>
        <v>0</v>
      </c>
      <c r="X31" s="611">
        <f>+'_DATA STT PAGOS_'!J33</f>
        <v>31940954.115000002</v>
      </c>
      <c r="Y31" s="609">
        <v>1506795</v>
      </c>
      <c r="Z31" s="609">
        <v>1006766</v>
      </c>
      <c r="AA31" s="609">
        <v>1165703</v>
      </c>
      <c r="AB31" s="609">
        <v>1186564</v>
      </c>
      <c r="AC31" s="609">
        <v>4865828</v>
      </c>
      <c r="AD31" s="609">
        <v>172878</v>
      </c>
      <c r="AE31" s="609">
        <v>78651</v>
      </c>
      <c r="AF31" s="609">
        <v>103889.81</v>
      </c>
      <c r="AG31" s="609">
        <v>76318</v>
      </c>
      <c r="AH31" s="609">
        <v>431736.81</v>
      </c>
      <c r="AI31" s="209"/>
    </row>
    <row r="32" spans="1:35" x14ac:dyDescent="0.25">
      <c r="A32" s="201">
        <v>4103</v>
      </c>
      <c r="B32" s="201">
        <v>4104</v>
      </c>
      <c r="C32" s="201" t="s">
        <v>81</v>
      </c>
      <c r="D32" s="609">
        <v>11836</v>
      </c>
      <c r="E32" s="610">
        <v>0.10450254705398181</v>
      </c>
      <c r="F32" s="609">
        <v>152513.44138316857</v>
      </c>
      <c r="G32" s="609">
        <v>4472</v>
      </c>
      <c r="H32" s="609">
        <v>5128</v>
      </c>
      <c r="I32" s="609">
        <v>75213145767</v>
      </c>
      <c r="J32" s="609">
        <v>116047423477</v>
      </c>
      <c r="K32" s="608">
        <v>0</v>
      </c>
      <c r="L32" s="608">
        <v>0</v>
      </c>
      <c r="M32" s="609">
        <v>1556394</v>
      </c>
      <c r="N32" s="609">
        <f t="shared" si="3"/>
        <v>1556394</v>
      </c>
      <c r="O32" s="609">
        <f t="shared" si="4"/>
        <v>1556394</v>
      </c>
      <c r="P32" s="609">
        <f t="shared" si="5"/>
        <v>1556394</v>
      </c>
      <c r="Q32" s="611">
        <f>+'_DATA STT PAGOS_'!D34</f>
        <v>2617240.3280000002</v>
      </c>
      <c r="R32" s="611">
        <f>+'_DATA STT PAGOS_'!E34</f>
        <v>218103.36066666667</v>
      </c>
      <c r="S32" s="611">
        <f>+'_DATA STT PAGOS_'!F34</f>
        <v>172302</v>
      </c>
      <c r="T32" s="612">
        <f>+'_DATA STT PAGOS_'!Q34</f>
        <v>3470435.696</v>
      </c>
      <c r="U32" s="613" t="str">
        <f>SUBSTITUTE((IFERROR(VLOOKUP(A32,'DATOS IND MINERO'!$H$2:$L$113,4,0),"No")),"í","I",1)</f>
        <v>SI</v>
      </c>
      <c r="V32" s="614">
        <f>IFERROR(VLOOKUP(A32,'DATOS IND MINERO'!$H$2:$L$113,5,0),0)</f>
        <v>2.033947069E-2</v>
      </c>
      <c r="W32" s="611">
        <f>+'_DATA STT PAGOS_'!G34</f>
        <v>0</v>
      </c>
      <c r="X32" s="611">
        <f>+'_DATA STT PAGOS_'!J34</f>
        <v>3553857.9780000001</v>
      </c>
      <c r="Y32" s="609">
        <v>11809</v>
      </c>
      <c r="Z32" s="609">
        <v>11879</v>
      </c>
      <c r="AA32" s="609">
        <v>10267</v>
      </c>
      <c r="AB32" s="609">
        <v>16205</v>
      </c>
      <c r="AC32" s="609">
        <v>50160</v>
      </c>
      <c r="AD32" s="609">
        <v>392</v>
      </c>
      <c r="AE32" s="609">
        <v>103</v>
      </c>
      <c r="AF32" s="609">
        <v>204.69800000000001</v>
      </c>
      <c r="AG32" s="609">
        <v>148</v>
      </c>
      <c r="AH32" s="609">
        <v>847.69799999999998</v>
      </c>
      <c r="AI32" s="209"/>
    </row>
    <row r="33" spans="1:35" x14ac:dyDescent="0.25">
      <c r="A33" s="201">
        <v>4104</v>
      </c>
      <c r="B33" s="201">
        <v>4102</v>
      </c>
      <c r="C33" s="201" t="s">
        <v>79</v>
      </c>
      <c r="D33" s="609">
        <v>4533</v>
      </c>
      <c r="E33" s="610">
        <v>0.1074879738365082</v>
      </c>
      <c r="F33" s="609">
        <v>348730.73565466091</v>
      </c>
      <c r="G33" s="609">
        <v>5078</v>
      </c>
      <c r="H33" s="609">
        <v>6724</v>
      </c>
      <c r="I33" s="609">
        <v>23629476610</v>
      </c>
      <c r="J33" s="609">
        <v>63419542558</v>
      </c>
      <c r="K33" s="608">
        <v>0</v>
      </c>
      <c r="L33" s="608">
        <v>0</v>
      </c>
      <c r="M33" s="609">
        <v>2122638</v>
      </c>
      <c r="N33" s="609">
        <f t="shared" si="3"/>
        <v>2122638</v>
      </c>
      <c r="O33" s="609">
        <f t="shared" si="4"/>
        <v>2122638</v>
      </c>
      <c r="P33" s="609">
        <f t="shared" si="5"/>
        <v>2122638</v>
      </c>
      <c r="Q33" s="611">
        <f>+'_DATA STT PAGOS_'!D35</f>
        <v>2256375.7749999999</v>
      </c>
      <c r="R33" s="611">
        <f>+'_DATA STT PAGOS_'!E35</f>
        <v>188031.31458333333</v>
      </c>
      <c r="S33" s="611">
        <f>+'_DATA STT PAGOS_'!F35</f>
        <v>148545</v>
      </c>
      <c r="T33" s="612">
        <f>+'_DATA STT PAGOS_'!Q35</f>
        <v>2683163.4270000001</v>
      </c>
      <c r="U33" s="613" t="str">
        <f>SUBSTITUTE((IFERROR(VLOOKUP(A33,'DATOS IND MINERO'!$H$2:$L$113,4,0),"No")),"í","I",1)</f>
        <v>SI</v>
      </c>
      <c r="V33" s="614">
        <f>IFERROR(VLOOKUP(A33,'DATOS IND MINERO'!$H$2:$L$113,5,0),0)</f>
        <v>3.83704866E-3</v>
      </c>
      <c r="W33" s="611">
        <f>+'_DATA STT PAGOS_'!G35</f>
        <v>0</v>
      </c>
      <c r="X33" s="611">
        <f>+'_DATA STT PAGOS_'!J35</f>
        <v>3061305.4210000001</v>
      </c>
      <c r="Y33" s="609">
        <v>10841</v>
      </c>
      <c r="Z33" s="609">
        <v>8004</v>
      </c>
      <c r="AA33" s="609">
        <v>9565</v>
      </c>
      <c r="AB33" s="609">
        <v>7465</v>
      </c>
      <c r="AC33" s="609">
        <v>35875</v>
      </c>
      <c r="AD33" s="609">
        <v>0</v>
      </c>
      <c r="AE33" s="609">
        <v>0</v>
      </c>
      <c r="AF33" s="609">
        <v>0</v>
      </c>
      <c r="AG33" s="609">
        <v>0</v>
      </c>
      <c r="AH33" s="609">
        <v>0</v>
      </c>
      <c r="AI33" s="209"/>
    </row>
    <row r="34" spans="1:35" x14ac:dyDescent="0.25">
      <c r="A34" s="201">
        <v>4105</v>
      </c>
      <c r="B34" s="201">
        <v>4106</v>
      </c>
      <c r="C34" s="201" t="s">
        <v>28</v>
      </c>
      <c r="D34" s="609">
        <v>4709</v>
      </c>
      <c r="E34" s="610">
        <v>8.2919575691373634E-2</v>
      </c>
      <c r="F34" s="609">
        <v>304963.33028596535</v>
      </c>
      <c r="G34" s="609">
        <v>2632</v>
      </c>
      <c r="H34" s="609">
        <v>3473</v>
      </c>
      <c r="I34" s="609">
        <v>41840082046.999992</v>
      </c>
      <c r="J34" s="609">
        <v>114261048139</v>
      </c>
      <c r="K34" s="608">
        <v>0</v>
      </c>
      <c r="L34" s="608">
        <v>0</v>
      </c>
      <c r="M34" s="609">
        <v>2089482</v>
      </c>
      <c r="N34" s="609">
        <f t="shared" si="3"/>
        <v>2089482</v>
      </c>
      <c r="O34" s="609">
        <f t="shared" si="4"/>
        <v>2089482</v>
      </c>
      <c r="P34" s="609">
        <f t="shared" si="5"/>
        <v>2089482</v>
      </c>
      <c r="Q34" s="611">
        <f>+'_DATA STT PAGOS_'!D36</f>
        <v>2603980.2170000002</v>
      </c>
      <c r="R34" s="611">
        <f>+'_DATA STT PAGOS_'!E36</f>
        <v>216998.35141666667</v>
      </c>
      <c r="S34" s="611">
        <f>+'_DATA STT PAGOS_'!F36</f>
        <v>171429</v>
      </c>
      <c r="T34" s="612">
        <f>+'_DATA STT PAGOS_'!Q36</f>
        <v>3402026.09</v>
      </c>
      <c r="U34" s="613" t="str">
        <f>SUBSTITUTE((IFERROR(VLOOKUP(A34,'DATOS IND MINERO'!$H$2:$L$113,4,0),"No")),"í","I",1)</f>
        <v>No</v>
      </c>
      <c r="V34" s="614">
        <f>IFERROR(VLOOKUP(A34,'DATOS IND MINERO'!$H$2:$L$113,5,0),0)</f>
        <v>0</v>
      </c>
      <c r="W34" s="611">
        <f>+'_DATA STT PAGOS_'!G36</f>
        <v>0</v>
      </c>
      <c r="X34" s="611">
        <f>+'_DATA STT PAGOS_'!J36</f>
        <v>3533634.3550000004</v>
      </c>
      <c r="Y34" s="609">
        <v>19234</v>
      </c>
      <c r="Z34" s="609">
        <v>11506</v>
      </c>
      <c r="AA34" s="609">
        <v>12933</v>
      </c>
      <c r="AB34" s="609">
        <v>12879</v>
      </c>
      <c r="AC34" s="609">
        <v>56552</v>
      </c>
      <c r="AD34" s="609">
        <v>171</v>
      </c>
      <c r="AE34" s="609">
        <v>133</v>
      </c>
      <c r="AF34" s="609">
        <v>83.111999999999995</v>
      </c>
      <c r="AG34" s="609">
        <v>54</v>
      </c>
      <c r="AH34" s="609">
        <v>441.11199999999997</v>
      </c>
      <c r="AI34" s="209"/>
    </row>
    <row r="35" spans="1:35" x14ac:dyDescent="0.25">
      <c r="A35" s="201">
        <v>4106</v>
      </c>
      <c r="B35" s="201">
        <v>4105</v>
      </c>
      <c r="C35" s="201" t="s">
        <v>82</v>
      </c>
      <c r="D35" s="609">
        <v>30541</v>
      </c>
      <c r="E35" s="610">
        <v>0.1091485858372039</v>
      </c>
      <c r="F35" s="609">
        <v>750604.87015723775</v>
      </c>
      <c r="G35" s="609">
        <v>11276</v>
      </c>
      <c r="H35" s="609">
        <v>14118</v>
      </c>
      <c r="I35" s="609">
        <v>225814821201</v>
      </c>
      <c r="J35" s="609">
        <v>482443448285</v>
      </c>
      <c r="K35" s="608">
        <v>0</v>
      </c>
      <c r="L35" s="608">
        <v>0</v>
      </c>
      <c r="M35" s="609">
        <v>3082384</v>
      </c>
      <c r="N35" s="609">
        <f t="shared" si="3"/>
        <v>3082384</v>
      </c>
      <c r="O35" s="609">
        <f t="shared" si="4"/>
        <v>3082384</v>
      </c>
      <c r="P35" s="609">
        <f t="shared" si="5"/>
        <v>3082384</v>
      </c>
      <c r="Q35" s="611">
        <f>+'_DATA STT PAGOS_'!D37</f>
        <v>6823488.3720000004</v>
      </c>
      <c r="R35" s="611">
        <f>+'_DATA STT PAGOS_'!E37</f>
        <v>568624.03100000008</v>
      </c>
      <c r="S35" s="611">
        <f>+'_DATA STT PAGOS_'!F37</f>
        <v>449213</v>
      </c>
      <c r="T35" s="612">
        <f>+'_DATA STT PAGOS_'!Q37</f>
        <v>8919989.8159999996</v>
      </c>
      <c r="U35" s="613" t="str">
        <f>SUBSTITUTE((IFERROR(VLOOKUP(A35,'DATOS IND MINERO'!$H$2:$L$113,4,0),"No")),"í","I",1)</f>
        <v>No</v>
      </c>
      <c r="V35" s="614">
        <f>IFERROR(VLOOKUP(A35,'DATOS IND MINERO'!$H$2:$L$113,5,0),0)</f>
        <v>0</v>
      </c>
      <c r="W35" s="611">
        <f>+'_DATA STT PAGOS_'!G37</f>
        <v>0</v>
      </c>
      <c r="X35" s="611">
        <f>+'_DATA STT PAGOS_'!J37</f>
        <v>9262927.4979999997</v>
      </c>
      <c r="Y35" s="609">
        <v>79026</v>
      </c>
      <c r="Z35" s="609">
        <v>48512</v>
      </c>
      <c r="AA35" s="609">
        <v>61729</v>
      </c>
      <c r="AB35" s="609">
        <v>59297</v>
      </c>
      <c r="AC35" s="609">
        <v>248564</v>
      </c>
      <c r="AD35" s="609">
        <v>2279</v>
      </c>
      <c r="AE35" s="609">
        <v>968</v>
      </c>
      <c r="AF35" s="609">
        <v>1537.75</v>
      </c>
      <c r="AG35" s="609">
        <v>1106</v>
      </c>
      <c r="AH35" s="609">
        <v>5890.75</v>
      </c>
      <c r="AI35" s="209"/>
    </row>
    <row r="36" spans="1:35" x14ac:dyDescent="0.25">
      <c r="A36" s="201">
        <v>4201</v>
      </c>
      <c r="B36" s="201">
        <v>4301</v>
      </c>
      <c r="C36" s="201" t="s">
        <v>86</v>
      </c>
      <c r="D36" s="609">
        <v>33021</v>
      </c>
      <c r="E36" s="610">
        <v>8.0524927147214931E-2</v>
      </c>
      <c r="F36" s="609">
        <v>355003.39515577996</v>
      </c>
      <c r="G36" s="609">
        <v>11402</v>
      </c>
      <c r="H36" s="609">
        <v>14115</v>
      </c>
      <c r="I36" s="609">
        <v>241360659076</v>
      </c>
      <c r="J36" s="609">
        <v>396103854665</v>
      </c>
      <c r="K36" s="608">
        <v>0</v>
      </c>
      <c r="L36" s="608">
        <v>0</v>
      </c>
      <c r="M36" s="609">
        <v>2700481</v>
      </c>
      <c r="N36" s="609">
        <f t="shared" si="3"/>
        <v>2700481</v>
      </c>
      <c r="O36" s="609">
        <f t="shared" si="4"/>
        <v>2700481</v>
      </c>
      <c r="P36" s="609">
        <f t="shared" si="5"/>
        <v>2700481</v>
      </c>
      <c r="Q36" s="611">
        <f>+'_DATA STT PAGOS_'!D38</f>
        <v>5519345.7709999997</v>
      </c>
      <c r="R36" s="611">
        <f>+'_DATA STT PAGOS_'!E38</f>
        <v>459945.48091666662</v>
      </c>
      <c r="S36" s="611">
        <f>+'_DATA STT PAGOS_'!F38</f>
        <v>363357</v>
      </c>
      <c r="T36" s="612">
        <f>+'_DATA STT PAGOS_'!Q38</f>
        <v>6931629.1679999996</v>
      </c>
      <c r="U36" s="613" t="str">
        <f>SUBSTITUTE((IFERROR(VLOOKUP(A36,'DATOS IND MINERO'!$H$2:$L$113,4,0),"No")),"í","I",1)</f>
        <v>SI</v>
      </c>
      <c r="V36" s="614">
        <f>IFERROR(VLOOKUP(A36,'DATOS IND MINERO'!$H$2:$L$113,5,0),0)</f>
        <v>7.3262766299999997E-3</v>
      </c>
      <c r="W36" s="611">
        <f>+'_DATA STT PAGOS_'!G38</f>
        <v>0</v>
      </c>
      <c r="X36" s="611">
        <f>+'_DATA STT PAGOS_'!J38</f>
        <v>7490051.2749999994</v>
      </c>
      <c r="Y36" s="609">
        <v>54014</v>
      </c>
      <c r="Z36" s="609">
        <v>41008</v>
      </c>
      <c r="AA36" s="609">
        <v>41596</v>
      </c>
      <c r="AB36" s="609">
        <v>39038</v>
      </c>
      <c r="AC36" s="609">
        <v>175656</v>
      </c>
      <c r="AD36" s="609">
        <v>4734</v>
      </c>
      <c r="AE36" s="609">
        <v>2608</v>
      </c>
      <c r="AF36" s="609">
        <v>3030.5250000000001</v>
      </c>
      <c r="AG36" s="609">
        <v>2475</v>
      </c>
      <c r="AH36" s="609">
        <v>12847.525</v>
      </c>
      <c r="AI36" s="209"/>
    </row>
    <row r="37" spans="1:35" x14ac:dyDescent="0.25">
      <c r="A37" s="201">
        <v>4202</v>
      </c>
      <c r="B37" s="201">
        <v>4304</v>
      </c>
      <c r="C37" s="201" t="s">
        <v>89</v>
      </c>
      <c r="D37" s="609">
        <v>9509</v>
      </c>
      <c r="E37" s="610">
        <v>0.1631210174806921</v>
      </c>
      <c r="F37" s="609">
        <v>416570.00196989032</v>
      </c>
      <c r="G37" s="609">
        <v>4423</v>
      </c>
      <c r="H37" s="609">
        <v>6450</v>
      </c>
      <c r="I37" s="609">
        <v>43421076560</v>
      </c>
      <c r="J37" s="609">
        <v>123748708702</v>
      </c>
      <c r="K37" s="608">
        <v>0</v>
      </c>
      <c r="L37" s="608">
        <v>0</v>
      </c>
      <c r="M37" s="609">
        <v>1195637</v>
      </c>
      <c r="N37" s="609">
        <f t="shared" si="3"/>
        <v>1195637</v>
      </c>
      <c r="O37" s="609">
        <f t="shared" si="4"/>
        <v>1195637</v>
      </c>
      <c r="P37" s="609">
        <f t="shared" si="5"/>
        <v>1195637</v>
      </c>
      <c r="Q37" s="611">
        <f>+'_DATA STT PAGOS_'!D39</f>
        <v>2972573.0159999998</v>
      </c>
      <c r="R37" s="611">
        <f>+'_DATA STT PAGOS_'!E39</f>
        <v>247714.41799999998</v>
      </c>
      <c r="S37" s="611">
        <f>+'_DATA STT PAGOS_'!F39</f>
        <v>195694</v>
      </c>
      <c r="T37" s="612">
        <f>+'_DATA STT PAGOS_'!Q39</f>
        <v>2855755.307</v>
      </c>
      <c r="U37" s="613" t="str">
        <f>SUBSTITUTE((IFERROR(VLOOKUP(A37,'DATOS IND MINERO'!$H$2:$L$113,4,0),"No")),"í","I",1)</f>
        <v>SI</v>
      </c>
      <c r="V37" s="614">
        <f>IFERROR(VLOOKUP(A37,'DATOS IND MINERO'!$H$2:$L$113,5,0),0)</f>
        <v>1.02026342E-3</v>
      </c>
      <c r="W37" s="611">
        <f>+'_DATA STT PAGOS_'!G39</f>
        <v>0</v>
      </c>
      <c r="X37" s="611">
        <f>+'_DATA STT PAGOS_'!J39</f>
        <v>4034471.3739999998</v>
      </c>
      <c r="Y37" s="609">
        <v>35970</v>
      </c>
      <c r="Z37" s="609">
        <v>18683</v>
      </c>
      <c r="AA37" s="609">
        <v>23700</v>
      </c>
      <c r="AB37" s="609">
        <v>19712</v>
      </c>
      <c r="AC37" s="609">
        <v>98065</v>
      </c>
      <c r="AD37" s="609">
        <v>92</v>
      </c>
      <c r="AE37" s="609">
        <v>63</v>
      </c>
      <c r="AF37" s="609">
        <v>64.816999999999993</v>
      </c>
      <c r="AG37" s="609">
        <v>0</v>
      </c>
      <c r="AH37" s="609">
        <v>219.81700000000001</v>
      </c>
      <c r="AI37" s="209"/>
    </row>
    <row r="38" spans="1:35" x14ac:dyDescent="0.25">
      <c r="A38" s="201">
        <v>4203</v>
      </c>
      <c r="B38" s="201">
        <v>4303</v>
      </c>
      <c r="C38" s="201" t="s">
        <v>88</v>
      </c>
      <c r="D38" s="609">
        <v>24408</v>
      </c>
      <c r="E38" s="610">
        <v>8.4524265276058747E-2</v>
      </c>
      <c r="F38" s="609">
        <v>1433605.0974973515</v>
      </c>
      <c r="G38" s="609">
        <v>11217</v>
      </c>
      <c r="H38" s="609">
        <v>16018</v>
      </c>
      <c r="I38" s="609">
        <v>244626947881</v>
      </c>
      <c r="J38" s="609">
        <v>556141152461</v>
      </c>
      <c r="K38" s="608">
        <v>0</v>
      </c>
      <c r="L38" s="608">
        <v>0</v>
      </c>
      <c r="M38" s="609">
        <v>3520226</v>
      </c>
      <c r="N38" s="609">
        <f t="shared" si="3"/>
        <v>3520226</v>
      </c>
      <c r="O38" s="609">
        <f t="shared" si="4"/>
        <v>3520226</v>
      </c>
      <c r="P38" s="609">
        <f t="shared" si="5"/>
        <v>3520226</v>
      </c>
      <c r="Q38" s="611">
        <f>+'_DATA STT PAGOS_'!D40</f>
        <v>9151523.4979999997</v>
      </c>
      <c r="R38" s="611">
        <f>+'_DATA STT PAGOS_'!E40</f>
        <v>762626.95816666668</v>
      </c>
      <c r="S38" s="611">
        <f>+'_DATA STT PAGOS_'!F40</f>
        <v>602475</v>
      </c>
      <c r="T38" s="612">
        <f>+'_DATA STT PAGOS_'!Q40</f>
        <v>11116533.354</v>
      </c>
      <c r="U38" s="613" t="str">
        <f>SUBSTITUTE((IFERROR(VLOOKUP(A38,'DATOS IND MINERO'!$H$2:$L$113,4,0),"No")),"í","I",1)</f>
        <v>SI</v>
      </c>
      <c r="V38" s="614">
        <f>IFERROR(VLOOKUP(A38,'DATOS IND MINERO'!$H$2:$L$113,5,0),0)</f>
        <v>3.5419294699999999E-3</v>
      </c>
      <c r="W38" s="611">
        <f>+'_DATA STT PAGOS_'!G40</f>
        <v>0</v>
      </c>
      <c r="X38" s="611">
        <f>+'_DATA STT PAGOS_'!J40</f>
        <v>12414869.785</v>
      </c>
      <c r="Y38" s="609">
        <v>158632</v>
      </c>
      <c r="Z38" s="609">
        <v>63298</v>
      </c>
      <c r="AA38" s="609">
        <v>144094</v>
      </c>
      <c r="AB38" s="609">
        <v>67214</v>
      </c>
      <c r="AC38" s="609">
        <v>433238</v>
      </c>
      <c r="AD38" s="609">
        <v>12238</v>
      </c>
      <c r="AE38" s="609">
        <v>6484</v>
      </c>
      <c r="AF38" s="609">
        <v>9392.2199999999993</v>
      </c>
      <c r="AG38" s="609">
        <v>7283</v>
      </c>
      <c r="AH38" s="609">
        <v>35397.22</v>
      </c>
      <c r="AI38" s="209"/>
    </row>
    <row r="39" spans="1:35" x14ac:dyDescent="0.25">
      <c r="A39" s="201">
        <v>4204</v>
      </c>
      <c r="B39" s="201">
        <v>4302</v>
      </c>
      <c r="C39" s="201" t="s">
        <v>87</v>
      </c>
      <c r="D39" s="609">
        <v>29916</v>
      </c>
      <c r="E39" s="610">
        <v>9.1075665513342632E-2</v>
      </c>
      <c r="F39" s="609">
        <v>503792.49272425618</v>
      </c>
      <c r="G39" s="609">
        <v>11658</v>
      </c>
      <c r="H39" s="609">
        <v>14447</v>
      </c>
      <c r="I39" s="609">
        <v>243512021624</v>
      </c>
      <c r="J39" s="609">
        <v>452393219449</v>
      </c>
      <c r="K39" s="608">
        <v>0</v>
      </c>
      <c r="L39" s="608">
        <v>0</v>
      </c>
      <c r="M39" s="609">
        <v>4404570</v>
      </c>
      <c r="N39" s="609">
        <f t="shared" si="3"/>
        <v>4404570</v>
      </c>
      <c r="O39" s="609">
        <f t="shared" si="4"/>
        <v>4404570</v>
      </c>
      <c r="P39" s="609">
        <f t="shared" si="5"/>
        <v>4404570</v>
      </c>
      <c r="Q39" s="611">
        <f>+'_DATA STT PAGOS_'!D41</f>
        <v>4509682.1349999998</v>
      </c>
      <c r="R39" s="611">
        <f>+'_DATA STT PAGOS_'!E41</f>
        <v>375806.8445833333</v>
      </c>
      <c r="S39" s="611">
        <f>+'_DATA STT PAGOS_'!F41</f>
        <v>296887</v>
      </c>
      <c r="T39" s="612">
        <f>+'_DATA STT PAGOS_'!Q41</f>
        <v>4891018.8169999998</v>
      </c>
      <c r="U39" s="613" t="str">
        <f>SUBSTITUTE((IFERROR(VLOOKUP(A39,'DATOS IND MINERO'!$H$2:$L$113,4,0),"No")),"í","I",1)</f>
        <v>SI</v>
      </c>
      <c r="V39" s="614">
        <f>IFERROR(VLOOKUP(A39,'DATOS IND MINERO'!$H$2:$L$113,5,0),0)</f>
        <v>6.7222019100000004E-3</v>
      </c>
      <c r="W39" s="611">
        <f>+'_DATA STT PAGOS_'!G41</f>
        <v>0</v>
      </c>
      <c r="X39" s="611">
        <f>+'_DATA STT PAGOS_'!J41</f>
        <v>6121725.1579999998</v>
      </c>
      <c r="Y39" s="609">
        <v>107799</v>
      </c>
      <c r="Z39" s="609">
        <v>34731</v>
      </c>
      <c r="AA39" s="609">
        <v>96593</v>
      </c>
      <c r="AB39" s="609">
        <v>32086</v>
      </c>
      <c r="AC39" s="609">
        <v>271209</v>
      </c>
      <c r="AD39" s="609">
        <v>1674</v>
      </c>
      <c r="AE39" s="609">
        <v>1026</v>
      </c>
      <c r="AF39" s="609">
        <v>1231.171</v>
      </c>
      <c r="AG39" s="609">
        <v>944</v>
      </c>
      <c r="AH39" s="609">
        <v>4875.1710000000003</v>
      </c>
      <c r="AI39" s="209"/>
    </row>
    <row r="40" spans="1:35" x14ac:dyDescent="0.25">
      <c r="A40" s="201">
        <v>4301</v>
      </c>
      <c r="B40" s="201">
        <v>4201</v>
      </c>
      <c r="C40" s="201" t="s">
        <v>83</v>
      </c>
      <c r="D40" s="609">
        <v>124401</v>
      </c>
      <c r="E40" s="610">
        <v>9.5085124773698834E-2</v>
      </c>
      <c r="F40" s="609">
        <v>1104293.0299237904</v>
      </c>
      <c r="G40" s="609">
        <v>42511</v>
      </c>
      <c r="H40" s="609">
        <v>57148</v>
      </c>
      <c r="I40" s="609">
        <v>1230553245020</v>
      </c>
      <c r="J40" s="609">
        <v>2225155278333</v>
      </c>
      <c r="K40" s="608">
        <v>0</v>
      </c>
      <c r="L40" s="608">
        <v>0</v>
      </c>
      <c r="M40" s="609">
        <v>10581423</v>
      </c>
      <c r="N40" s="609">
        <f t="shared" si="3"/>
        <v>10581423</v>
      </c>
      <c r="O40" s="609">
        <f t="shared" si="4"/>
        <v>10581423</v>
      </c>
      <c r="P40" s="609">
        <f t="shared" si="5"/>
        <v>10581423</v>
      </c>
      <c r="Q40" s="611">
        <f>+'_DATA STT PAGOS_'!D42</f>
        <v>14778658.675000001</v>
      </c>
      <c r="R40" s="611">
        <f>+'_DATA STT PAGOS_'!E42</f>
        <v>1231554.8895833334</v>
      </c>
      <c r="S40" s="611">
        <f>+'_DATA STT PAGOS_'!F42</f>
        <v>972928</v>
      </c>
      <c r="T40" s="612">
        <f>+'_DATA STT PAGOS_'!Q42</f>
        <v>19347446.850000001</v>
      </c>
      <c r="U40" s="613" t="str">
        <f>SUBSTITUTE((IFERROR(VLOOKUP(A40,'DATOS IND MINERO'!$H$2:$L$113,4,0),"No")),"í","I",1)</f>
        <v>No</v>
      </c>
      <c r="V40" s="614">
        <f>IFERROR(VLOOKUP(A40,'DATOS IND MINERO'!$H$2:$L$113,5,0),0)</f>
        <v>0</v>
      </c>
      <c r="W40" s="611">
        <f>+'_DATA STT PAGOS_'!G42</f>
        <v>0</v>
      </c>
      <c r="X40" s="611">
        <f>+'_DATA STT PAGOS_'!J42</f>
        <v>20071999.322999999</v>
      </c>
      <c r="Y40" s="609">
        <v>376860</v>
      </c>
      <c r="Z40" s="609">
        <v>307333</v>
      </c>
      <c r="AA40" s="609">
        <v>349888</v>
      </c>
      <c r="AB40" s="609">
        <v>295540</v>
      </c>
      <c r="AC40" s="609">
        <v>1329621</v>
      </c>
      <c r="AD40" s="609">
        <v>15137</v>
      </c>
      <c r="AE40" s="609">
        <v>6747</v>
      </c>
      <c r="AF40" s="609">
        <v>10158.919</v>
      </c>
      <c r="AG40" s="609">
        <v>6850</v>
      </c>
      <c r="AH40" s="609">
        <v>38892.919000000002</v>
      </c>
      <c r="AI40" s="209"/>
    </row>
    <row r="41" spans="1:35" x14ac:dyDescent="0.25">
      <c r="A41" s="201">
        <v>4302</v>
      </c>
      <c r="B41" s="201">
        <v>4205</v>
      </c>
      <c r="C41" s="201" t="s">
        <v>376</v>
      </c>
      <c r="D41" s="609">
        <v>13855</v>
      </c>
      <c r="E41" s="610">
        <v>0.1099473813298209</v>
      </c>
      <c r="F41" s="609">
        <v>190867.09063396495</v>
      </c>
      <c r="G41" s="609">
        <v>7891</v>
      </c>
      <c r="H41" s="609">
        <v>8852</v>
      </c>
      <c r="I41" s="609">
        <v>98513751958</v>
      </c>
      <c r="J41" s="609">
        <v>154721550086</v>
      </c>
      <c r="K41" s="608">
        <v>0</v>
      </c>
      <c r="L41" s="608">
        <v>0</v>
      </c>
      <c r="M41" s="609">
        <v>759952</v>
      </c>
      <c r="N41" s="609">
        <f t="shared" si="3"/>
        <v>759952</v>
      </c>
      <c r="O41" s="609">
        <f t="shared" si="4"/>
        <v>759952</v>
      </c>
      <c r="P41" s="609">
        <f t="shared" si="5"/>
        <v>759952</v>
      </c>
      <c r="Q41" s="611">
        <f>+'_DATA STT PAGOS_'!D43</f>
        <v>3891199.1970000002</v>
      </c>
      <c r="R41" s="611">
        <f>+'_DATA STT PAGOS_'!E43</f>
        <v>324266.59974999999</v>
      </c>
      <c r="S41" s="611">
        <f>+'_DATA STT PAGOS_'!F43</f>
        <v>256171</v>
      </c>
      <c r="T41" s="612">
        <f>+'_DATA STT PAGOS_'!Q43</f>
        <v>4873889.2589999996</v>
      </c>
      <c r="U41" s="613" t="str">
        <f>SUBSTITUTE((IFERROR(VLOOKUP(A41,'DATOS IND MINERO'!$H$2:$L$113,4,0),"No")),"í","I",1)</f>
        <v>SI</v>
      </c>
      <c r="V41" s="614">
        <f>IFERROR(VLOOKUP(A41,'DATOS IND MINERO'!$H$2:$L$113,5,0),0)</f>
        <v>2.9334703000000002E-3</v>
      </c>
      <c r="W41" s="611">
        <f>+'_DATA STT PAGOS_'!G43</f>
        <v>0</v>
      </c>
      <c r="X41" s="611">
        <f>+'_DATA STT PAGOS_'!J43</f>
        <v>5281604.0240000002</v>
      </c>
      <c r="Y41" s="609">
        <v>16343</v>
      </c>
      <c r="Z41" s="609">
        <v>7344</v>
      </c>
      <c r="AA41" s="609">
        <v>10464</v>
      </c>
      <c r="AB41" s="609">
        <v>9386</v>
      </c>
      <c r="AC41" s="609">
        <v>43537</v>
      </c>
      <c r="AD41" s="609">
        <v>516</v>
      </c>
      <c r="AE41" s="609">
        <v>83</v>
      </c>
      <c r="AF41" s="609">
        <v>218.00399999999999</v>
      </c>
      <c r="AG41" s="609">
        <v>147</v>
      </c>
      <c r="AH41" s="609">
        <v>964.00400000000002</v>
      </c>
      <c r="AI41" s="209"/>
    </row>
    <row r="42" spans="1:35" x14ac:dyDescent="0.25">
      <c r="A42" s="201">
        <v>4303</v>
      </c>
      <c r="B42" s="201">
        <v>4203</v>
      </c>
      <c r="C42" s="201" t="s">
        <v>84</v>
      </c>
      <c r="D42" s="609">
        <v>32672</v>
      </c>
      <c r="E42" s="610">
        <v>0.127703937398395</v>
      </c>
      <c r="F42" s="609">
        <v>319700.03501909814</v>
      </c>
      <c r="G42" s="609">
        <v>15424</v>
      </c>
      <c r="H42" s="609">
        <v>17381</v>
      </c>
      <c r="I42" s="609">
        <v>189803894985</v>
      </c>
      <c r="J42" s="609">
        <v>368117035459</v>
      </c>
      <c r="K42" s="608">
        <v>0</v>
      </c>
      <c r="L42" s="608">
        <v>0</v>
      </c>
      <c r="M42" s="609">
        <v>1927539</v>
      </c>
      <c r="N42" s="609">
        <f t="shared" si="3"/>
        <v>1927539</v>
      </c>
      <c r="O42" s="609">
        <f t="shared" si="4"/>
        <v>1927539</v>
      </c>
      <c r="P42" s="609">
        <f t="shared" si="5"/>
        <v>1927539</v>
      </c>
      <c r="Q42" s="611">
        <f>+'_DATA STT PAGOS_'!D44</f>
        <v>6561143.2640000004</v>
      </c>
      <c r="R42" s="611">
        <f>+'_DATA STT PAGOS_'!E44</f>
        <v>546761.93866666674</v>
      </c>
      <c r="S42" s="611">
        <f>+'_DATA STT PAGOS_'!F44</f>
        <v>431942</v>
      </c>
      <c r="T42" s="612">
        <f>+'_DATA STT PAGOS_'!Q44</f>
        <v>8319495.6169999996</v>
      </c>
      <c r="U42" s="613" t="str">
        <f>SUBSTITUTE((IFERROR(VLOOKUP(A42,'DATOS IND MINERO'!$H$2:$L$113,4,0),"No")),"í","I",1)</f>
        <v>SI</v>
      </c>
      <c r="V42" s="614">
        <f>IFERROR(VLOOKUP(A42,'DATOS IND MINERO'!$H$2:$L$113,5,0),0)</f>
        <v>1.3087206699999999E-3</v>
      </c>
      <c r="W42" s="611">
        <f>+'_DATA STT PAGOS_'!G44</f>
        <v>0</v>
      </c>
      <c r="X42" s="611">
        <f>+'_DATA STT PAGOS_'!J44</f>
        <v>8907587.807</v>
      </c>
      <c r="Y42" s="609">
        <v>40309</v>
      </c>
      <c r="Z42" s="609">
        <v>24487</v>
      </c>
      <c r="AA42" s="609">
        <v>23794</v>
      </c>
      <c r="AB42" s="609">
        <v>21549</v>
      </c>
      <c r="AC42" s="609">
        <v>110139</v>
      </c>
      <c r="AD42" s="609">
        <v>282</v>
      </c>
      <c r="AE42" s="609">
        <v>112</v>
      </c>
      <c r="AF42" s="609">
        <v>165.20599999999999</v>
      </c>
      <c r="AG42" s="609">
        <v>90</v>
      </c>
      <c r="AH42" s="609">
        <v>649.20600000000002</v>
      </c>
      <c r="AI42" s="209"/>
    </row>
    <row r="43" spans="1:35" x14ac:dyDescent="0.25">
      <c r="A43" s="201">
        <v>4304</v>
      </c>
      <c r="B43" s="201">
        <v>4204</v>
      </c>
      <c r="C43" s="201" t="s">
        <v>85</v>
      </c>
      <c r="D43" s="609">
        <v>12514</v>
      </c>
      <c r="E43" s="610">
        <v>0.14464948024439669</v>
      </c>
      <c r="F43" s="609">
        <v>154286.62098305454</v>
      </c>
      <c r="G43" s="609">
        <v>5478</v>
      </c>
      <c r="H43" s="609">
        <v>6639</v>
      </c>
      <c r="I43" s="609">
        <v>88791530604</v>
      </c>
      <c r="J43" s="609">
        <v>180621141217</v>
      </c>
      <c r="K43" s="608">
        <v>0</v>
      </c>
      <c r="L43" s="608">
        <v>0</v>
      </c>
      <c r="M43" s="609">
        <v>954709</v>
      </c>
      <c r="N43" s="609">
        <f t="shared" si="3"/>
        <v>954709</v>
      </c>
      <c r="O43" s="609">
        <f t="shared" si="4"/>
        <v>954709</v>
      </c>
      <c r="P43" s="609">
        <f t="shared" si="5"/>
        <v>954709</v>
      </c>
      <c r="Q43" s="611">
        <f>+'_DATA STT PAGOS_'!D45</f>
        <v>3106024.6860000002</v>
      </c>
      <c r="R43" s="611">
        <f>+'_DATA STT PAGOS_'!E45</f>
        <v>258835.39050000001</v>
      </c>
      <c r="S43" s="611">
        <f>+'_DATA STT PAGOS_'!F45</f>
        <v>204480</v>
      </c>
      <c r="T43" s="612">
        <f>+'_DATA STT PAGOS_'!Q45</f>
        <v>3829124.6</v>
      </c>
      <c r="U43" s="613" t="str">
        <f>SUBSTITUTE((IFERROR(VLOOKUP(A43,'DATOS IND MINERO'!$H$2:$L$113,4,0),"No")),"í","I",1)</f>
        <v>SI</v>
      </c>
      <c r="V43" s="614">
        <f>IFERROR(VLOOKUP(A43,'DATOS IND MINERO'!$H$2:$L$113,5,0),0)</f>
        <v>2.3482526000000001E-3</v>
      </c>
      <c r="W43" s="611">
        <f>+'_DATA STT PAGOS_'!G45</f>
        <v>0</v>
      </c>
      <c r="X43" s="611">
        <f>+'_DATA STT PAGOS_'!J45</f>
        <v>4217744.6610000003</v>
      </c>
      <c r="Y43" s="609">
        <v>18170</v>
      </c>
      <c r="Z43" s="609">
        <v>12333</v>
      </c>
      <c r="AA43" s="609">
        <v>13629</v>
      </c>
      <c r="AB43" s="609">
        <v>14751</v>
      </c>
      <c r="AC43" s="609">
        <v>58883</v>
      </c>
      <c r="AD43" s="609">
        <v>400</v>
      </c>
      <c r="AE43" s="609">
        <v>123</v>
      </c>
      <c r="AF43" s="609">
        <v>210.34</v>
      </c>
      <c r="AG43" s="609">
        <v>194</v>
      </c>
      <c r="AH43" s="609">
        <v>927.34</v>
      </c>
      <c r="AI43" s="209"/>
    </row>
    <row r="44" spans="1:35" x14ac:dyDescent="0.25">
      <c r="A44" s="201">
        <v>4305</v>
      </c>
      <c r="B44" s="201">
        <v>4206</v>
      </c>
      <c r="C44" s="201" t="s">
        <v>377</v>
      </c>
      <c r="D44" s="609">
        <v>4308</v>
      </c>
      <c r="E44" s="610">
        <v>7.7679537884254357E-2</v>
      </c>
      <c r="F44" s="609">
        <v>167257.97805167965</v>
      </c>
      <c r="G44" s="609">
        <v>3184</v>
      </c>
      <c r="H44" s="609">
        <v>3585</v>
      </c>
      <c r="I44" s="609">
        <v>38515901700</v>
      </c>
      <c r="J44" s="609">
        <v>76389659202</v>
      </c>
      <c r="K44" s="608">
        <v>0</v>
      </c>
      <c r="L44" s="608">
        <v>0</v>
      </c>
      <c r="M44" s="609">
        <v>645033</v>
      </c>
      <c r="N44" s="609">
        <f t="shared" si="3"/>
        <v>645033</v>
      </c>
      <c r="O44" s="609">
        <f t="shared" si="4"/>
        <v>645033</v>
      </c>
      <c r="P44" s="609">
        <f t="shared" si="5"/>
        <v>645033</v>
      </c>
      <c r="Q44" s="611">
        <f>+'_DATA STT PAGOS_'!D46</f>
        <v>2286696.2459999998</v>
      </c>
      <c r="R44" s="611">
        <f>+'_DATA STT PAGOS_'!E46</f>
        <v>190558.02049999998</v>
      </c>
      <c r="S44" s="611">
        <f>+'_DATA STT PAGOS_'!F46</f>
        <v>150541</v>
      </c>
      <c r="T44" s="612">
        <f>+'_DATA STT PAGOS_'!Q46</f>
        <v>2675397.1970000002</v>
      </c>
      <c r="U44" s="613" t="str">
        <f>SUBSTITUTE((IFERROR(VLOOKUP(A44,'DATOS IND MINERO'!$H$2:$L$113,4,0),"No")),"í","I",1)</f>
        <v>No</v>
      </c>
      <c r="V44" s="614">
        <f>IFERROR(VLOOKUP(A44,'DATOS IND MINERO'!$H$2:$L$113,5,0),0)</f>
        <v>0</v>
      </c>
      <c r="W44" s="611">
        <f>+'_DATA STT PAGOS_'!G46</f>
        <v>0</v>
      </c>
      <c r="X44" s="611">
        <f>+'_DATA STT PAGOS_'!J46</f>
        <v>3101976.9219999998</v>
      </c>
      <c r="Y44" s="609">
        <v>8132</v>
      </c>
      <c r="Z44" s="609">
        <v>6013</v>
      </c>
      <c r="AA44" s="609">
        <v>7069</v>
      </c>
      <c r="AB44" s="609">
        <v>5823</v>
      </c>
      <c r="AC44" s="609">
        <v>27037</v>
      </c>
      <c r="AD44" s="609">
        <v>181</v>
      </c>
      <c r="AE44" s="609">
        <v>0</v>
      </c>
      <c r="AF44" s="609">
        <v>0</v>
      </c>
      <c r="AG44" s="609">
        <v>87</v>
      </c>
      <c r="AH44" s="609">
        <v>268</v>
      </c>
      <c r="AI44" s="209"/>
    </row>
    <row r="45" spans="1:35" x14ac:dyDescent="0.25">
      <c r="A45" s="201">
        <v>5101</v>
      </c>
      <c r="B45" s="201">
        <v>5301</v>
      </c>
      <c r="C45" s="201" t="s">
        <v>378</v>
      </c>
      <c r="D45" s="609">
        <v>320816</v>
      </c>
      <c r="E45" s="610">
        <v>7.3763872862535398E-2</v>
      </c>
      <c r="F45" s="609">
        <v>3080837.0217417092</v>
      </c>
      <c r="G45" s="609">
        <v>89694</v>
      </c>
      <c r="H45" s="609">
        <v>128845</v>
      </c>
      <c r="I45" s="609">
        <v>3287924018316</v>
      </c>
      <c r="J45" s="609">
        <v>6360644664806</v>
      </c>
      <c r="K45" s="608">
        <v>0</v>
      </c>
      <c r="L45" s="608">
        <v>0</v>
      </c>
      <c r="M45" s="609">
        <v>33633391</v>
      </c>
      <c r="N45" s="609">
        <f t="shared" si="3"/>
        <v>33633391</v>
      </c>
      <c r="O45" s="609">
        <f t="shared" si="4"/>
        <v>33633391</v>
      </c>
      <c r="P45" s="609">
        <f t="shared" si="5"/>
        <v>33633391</v>
      </c>
      <c r="Q45" s="611">
        <f>+'_DATA STT PAGOS_'!D47</f>
        <v>30009878.239</v>
      </c>
      <c r="R45" s="611">
        <f>+'_DATA STT PAGOS_'!E47</f>
        <v>2500823.1865833332</v>
      </c>
      <c r="S45" s="611">
        <f>+'_DATA STT PAGOS_'!F47</f>
        <v>1975650</v>
      </c>
      <c r="T45" s="612">
        <f>+'_DATA STT PAGOS_'!Q47</f>
        <v>39387383.501999997</v>
      </c>
      <c r="U45" s="613" t="str">
        <f>SUBSTITUTE((IFERROR(VLOOKUP(A45,'DATOS IND MINERO'!$H$2:$L$113,4,0),"No")),"í","I",1)</f>
        <v>No</v>
      </c>
      <c r="V45" s="614">
        <f>IFERROR(VLOOKUP(A45,'DATOS IND MINERO'!$H$2:$L$113,5,0),0)</f>
        <v>0</v>
      </c>
      <c r="W45" s="611">
        <f>+'_DATA STT PAGOS_'!G47</f>
        <v>0</v>
      </c>
      <c r="X45" s="611">
        <f>+'_DATA STT PAGOS_'!J47</f>
        <v>40710292.370999999</v>
      </c>
      <c r="Y45" s="609">
        <v>1578546</v>
      </c>
      <c r="Z45" s="609">
        <v>1241874</v>
      </c>
      <c r="AA45" s="609">
        <v>1456309</v>
      </c>
      <c r="AB45" s="609">
        <v>1237881</v>
      </c>
      <c r="AC45" s="609">
        <v>5514610</v>
      </c>
      <c r="AD45" s="609">
        <v>182079</v>
      </c>
      <c r="AE45" s="609">
        <v>78266</v>
      </c>
      <c r="AF45" s="609">
        <v>107286.928</v>
      </c>
      <c r="AG45" s="609">
        <v>70807</v>
      </c>
      <c r="AH45" s="609">
        <v>438438.92800000001</v>
      </c>
      <c r="AI45" s="209"/>
    </row>
    <row r="46" spans="1:35" x14ac:dyDescent="0.25">
      <c r="A46" s="201">
        <v>5102</v>
      </c>
      <c r="B46" s="201">
        <v>5305</v>
      </c>
      <c r="C46" s="201" t="s">
        <v>97</v>
      </c>
      <c r="D46" s="609">
        <v>30543</v>
      </c>
      <c r="E46" s="610">
        <v>8.220609441285881E-2</v>
      </c>
      <c r="F46" s="609">
        <v>605991.69929280155</v>
      </c>
      <c r="G46" s="609">
        <v>8135</v>
      </c>
      <c r="H46" s="609">
        <v>16055</v>
      </c>
      <c r="I46" s="609">
        <v>267284794581</v>
      </c>
      <c r="J46" s="609">
        <v>1280924382883</v>
      </c>
      <c r="K46" s="608">
        <v>0</v>
      </c>
      <c r="L46" s="608">
        <v>0</v>
      </c>
      <c r="M46" s="609">
        <v>10311948</v>
      </c>
      <c r="N46" s="609">
        <f t="shared" si="3"/>
        <v>10311948</v>
      </c>
      <c r="O46" s="609">
        <f t="shared" si="4"/>
        <v>10311948</v>
      </c>
      <c r="P46" s="609">
        <f t="shared" si="5"/>
        <v>10311948</v>
      </c>
      <c r="Q46" s="611">
        <f>+'_DATA STT PAGOS_'!D48</f>
        <v>2260877.9569999999</v>
      </c>
      <c r="R46" s="611">
        <f>+'_DATA STT PAGOS_'!E48</f>
        <v>188406.49641666666</v>
      </c>
      <c r="S46" s="611">
        <f>+'_DATA STT PAGOS_'!F48</f>
        <v>148841</v>
      </c>
      <c r="T46" s="612">
        <f>+'_DATA STT PAGOS_'!Q48</f>
        <v>2885187.841</v>
      </c>
      <c r="U46" s="613" t="str">
        <f>SUBSTITUTE((IFERROR(VLOOKUP(A46,'DATOS IND MINERO'!$H$2:$L$113,4,0),"No")),"í","I",1)</f>
        <v>No</v>
      </c>
      <c r="V46" s="614">
        <f>IFERROR(VLOOKUP(A46,'DATOS IND MINERO'!$H$2:$L$113,5,0),0)</f>
        <v>0</v>
      </c>
      <c r="W46" s="611">
        <f>+'_DATA STT PAGOS_'!G48</f>
        <v>0</v>
      </c>
      <c r="X46" s="611">
        <f>+'_DATA STT PAGOS_'!J48</f>
        <v>3071532.6979999999</v>
      </c>
      <c r="Y46" s="609">
        <v>396895</v>
      </c>
      <c r="Z46" s="609">
        <v>264347</v>
      </c>
      <c r="AA46" s="609">
        <v>280323</v>
      </c>
      <c r="AB46" s="609">
        <v>261528</v>
      </c>
      <c r="AC46" s="609">
        <v>1203093</v>
      </c>
      <c r="AD46" s="609">
        <v>15870</v>
      </c>
      <c r="AE46" s="609">
        <v>7282</v>
      </c>
      <c r="AF46" s="609">
        <v>9169.9570000000003</v>
      </c>
      <c r="AG46" s="609">
        <v>8841</v>
      </c>
      <c r="AH46" s="609">
        <v>41162.957000000002</v>
      </c>
      <c r="AI46" s="209"/>
    </row>
    <row r="47" spans="1:35" x14ac:dyDescent="0.25">
      <c r="A47" s="201">
        <v>5103</v>
      </c>
      <c r="B47" s="201">
        <v>5309</v>
      </c>
      <c r="C47" s="201" t="s">
        <v>379</v>
      </c>
      <c r="D47" s="609">
        <v>48171</v>
      </c>
      <c r="E47" s="610">
        <v>2.717759424605647E-2</v>
      </c>
      <c r="F47" s="609">
        <v>1148845.6545046554</v>
      </c>
      <c r="G47" s="609">
        <v>8196</v>
      </c>
      <c r="H47" s="609">
        <v>48006</v>
      </c>
      <c r="I47" s="609">
        <v>476035904540</v>
      </c>
      <c r="J47" s="609">
        <v>3489468441454</v>
      </c>
      <c r="K47" s="608">
        <v>0</v>
      </c>
      <c r="L47" s="608">
        <v>0</v>
      </c>
      <c r="M47" s="609">
        <v>14491259</v>
      </c>
      <c r="N47" s="609">
        <f t="shared" si="3"/>
        <v>14491259</v>
      </c>
      <c r="O47" s="609">
        <f t="shared" si="4"/>
        <v>14491259</v>
      </c>
      <c r="P47" s="609">
        <f t="shared" si="5"/>
        <v>14491259</v>
      </c>
      <c r="Q47" s="611">
        <f>+'_DATA STT PAGOS_'!D49</f>
        <v>1900489.2649999999</v>
      </c>
      <c r="R47" s="611">
        <f>+'_DATA STT PAGOS_'!E49</f>
        <v>158374.10541666666</v>
      </c>
      <c r="S47" s="611">
        <f>+'_DATA STT PAGOS_'!F49</f>
        <v>125116</v>
      </c>
      <c r="T47" s="612">
        <f>+'_DATA STT PAGOS_'!Q49</f>
        <v>2550551.7149999999</v>
      </c>
      <c r="U47" s="613" t="str">
        <f>SUBSTITUTE((IFERROR(VLOOKUP(A47,'DATOS IND MINERO'!$H$2:$L$113,4,0),"No")),"í","I",1)</f>
        <v>No</v>
      </c>
      <c r="V47" s="614">
        <f>IFERROR(VLOOKUP(A47,'DATOS IND MINERO'!$H$2:$L$113,5,0),0)</f>
        <v>0</v>
      </c>
      <c r="W47" s="611">
        <f>+'_DATA STT PAGOS_'!G49</f>
        <v>0</v>
      </c>
      <c r="X47" s="611">
        <f>+'_DATA STT PAGOS_'!J49</f>
        <v>2574411.2939999998</v>
      </c>
      <c r="Y47" s="609">
        <v>1479702</v>
      </c>
      <c r="Z47" s="609">
        <v>882586</v>
      </c>
      <c r="AA47" s="609">
        <v>1270196</v>
      </c>
      <c r="AB47" s="609">
        <v>959094</v>
      </c>
      <c r="AC47" s="609">
        <v>4591578</v>
      </c>
      <c r="AD47" s="609">
        <v>204485</v>
      </c>
      <c r="AE47" s="609">
        <v>93188</v>
      </c>
      <c r="AF47" s="609">
        <v>125634.902</v>
      </c>
      <c r="AG47" s="609">
        <v>84910</v>
      </c>
      <c r="AH47" s="609">
        <v>508217.902</v>
      </c>
      <c r="AI47" s="209"/>
    </row>
    <row r="48" spans="1:35" x14ac:dyDescent="0.25">
      <c r="A48" s="201">
        <v>5104</v>
      </c>
      <c r="B48" s="201">
        <v>5308</v>
      </c>
      <c r="C48" s="201" t="s">
        <v>380</v>
      </c>
      <c r="D48" s="609">
        <v>1104</v>
      </c>
      <c r="E48" s="610">
        <v>2.468741376426857E-2</v>
      </c>
      <c r="F48" s="609">
        <v>15342.100329944913</v>
      </c>
      <c r="G48" s="609">
        <v>380</v>
      </c>
      <c r="H48" s="609">
        <v>464</v>
      </c>
      <c r="I48" s="609">
        <v>13830299608</v>
      </c>
      <c r="J48" s="609">
        <v>15262478369</v>
      </c>
      <c r="K48" s="608">
        <v>0</v>
      </c>
      <c r="L48" s="608">
        <v>0</v>
      </c>
      <c r="M48" s="609">
        <v>147969</v>
      </c>
      <c r="N48" s="609">
        <f t="shared" si="3"/>
        <v>147969</v>
      </c>
      <c r="O48" s="609">
        <f t="shared" si="4"/>
        <v>147969</v>
      </c>
      <c r="P48" s="609">
        <f t="shared" si="5"/>
        <v>147969</v>
      </c>
      <c r="Q48" s="611">
        <f>+'_DATA STT PAGOS_'!D50</f>
        <v>1557742.7720000001</v>
      </c>
      <c r="R48" s="611">
        <f>+'_DATA STT PAGOS_'!E50</f>
        <v>129811.89766666667</v>
      </c>
      <c r="S48" s="611">
        <f>+'_DATA STT PAGOS_'!F50</f>
        <v>102551</v>
      </c>
      <c r="T48" s="612">
        <f>+'_DATA STT PAGOS_'!Q50</f>
        <v>2064978.899</v>
      </c>
      <c r="U48" s="613" t="str">
        <f>SUBSTITUTE((IFERROR(VLOOKUP(A48,'DATOS IND MINERO'!$H$2:$L$113,4,0),"No")),"í","I",1)</f>
        <v>No</v>
      </c>
      <c r="V48" s="614">
        <f>IFERROR(VLOOKUP(A48,'DATOS IND MINERO'!$H$2:$L$113,5,0),0)</f>
        <v>0</v>
      </c>
      <c r="W48" s="611">
        <f>+'_DATA STT PAGOS_'!G50</f>
        <v>0</v>
      </c>
      <c r="X48" s="611">
        <f>+'_DATA STT PAGOS_'!J50</f>
        <v>2113528.1320000002</v>
      </c>
      <c r="Y48" s="609">
        <v>875</v>
      </c>
      <c r="Z48" s="609">
        <v>394</v>
      </c>
      <c r="AA48" s="609">
        <v>1056</v>
      </c>
      <c r="AB48" s="609">
        <v>193</v>
      </c>
      <c r="AC48" s="609">
        <v>2518</v>
      </c>
      <c r="AD48" s="609">
        <v>0</v>
      </c>
      <c r="AE48" s="609">
        <v>0</v>
      </c>
      <c r="AF48" s="609">
        <v>0</v>
      </c>
      <c r="AG48" s="609">
        <v>0</v>
      </c>
      <c r="AH48" s="609">
        <v>0</v>
      </c>
      <c r="AI48" s="209"/>
    </row>
    <row r="49" spans="1:35" x14ac:dyDescent="0.25">
      <c r="A49" s="201">
        <v>5105</v>
      </c>
      <c r="B49" s="201">
        <v>5307</v>
      </c>
      <c r="C49" s="201" t="s">
        <v>381</v>
      </c>
      <c r="D49" s="609">
        <v>21221</v>
      </c>
      <c r="E49" s="610">
        <v>3.2935928149776E-2</v>
      </c>
      <c r="F49" s="609">
        <v>2097521.4048150699</v>
      </c>
      <c r="G49" s="609">
        <v>9380</v>
      </c>
      <c r="H49" s="609">
        <v>22628</v>
      </c>
      <c r="I49" s="609">
        <v>291967529067</v>
      </c>
      <c r="J49" s="609">
        <v>1648669153552</v>
      </c>
      <c r="K49" s="608">
        <v>0</v>
      </c>
      <c r="L49" s="608">
        <v>0</v>
      </c>
      <c r="M49" s="609">
        <v>8550433</v>
      </c>
      <c r="N49" s="609">
        <f t="shared" si="3"/>
        <v>8550433</v>
      </c>
      <c r="O49" s="609">
        <f t="shared" si="4"/>
        <v>8550433</v>
      </c>
      <c r="P49" s="609">
        <f t="shared" si="5"/>
        <v>8550433</v>
      </c>
      <c r="Q49" s="611">
        <f>+'_DATA STT PAGOS_'!D51</f>
        <v>2170736.8280000002</v>
      </c>
      <c r="R49" s="611">
        <f>+'_DATA STT PAGOS_'!E51</f>
        <v>180894.73566666667</v>
      </c>
      <c r="S49" s="611">
        <f>+'_DATA STT PAGOS_'!F51</f>
        <v>142907</v>
      </c>
      <c r="T49" s="612">
        <f>+'_DATA STT PAGOS_'!Q51</f>
        <v>2896860.3620000002</v>
      </c>
      <c r="U49" s="613" t="str">
        <f>SUBSTITUTE((IFERROR(VLOOKUP(A49,'DATOS IND MINERO'!$H$2:$L$113,4,0),"No")),"í","I",1)</f>
        <v>SI</v>
      </c>
      <c r="V49" s="614">
        <f>IFERROR(VLOOKUP(A49,'DATOS IND MINERO'!$H$2:$L$113,5,0),0)</f>
        <v>1.4008964630000001E-2</v>
      </c>
      <c r="W49" s="611">
        <f>+'_DATA STT PAGOS_'!G51</f>
        <v>0</v>
      </c>
      <c r="X49" s="611">
        <f>+'_DATA STT PAGOS_'!J51</f>
        <v>2940412.6069999998</v>
      </c>
      <c r="Y49" s="609">
        <v>753276</v>
      </c>
      <c r="Z49" s="609">
        <v>459743</v>
      </c>
      <c r="AA49" s="609">
        <v>552480</v>
      </c>
      <c r="AB49" s="609">
        <v>493073</v>
      </c>
      <c r="AC49" s="609">
        <v>2258572</v>
      </c>
      <c r="AD49" s="609">
        <v>68451</v>
      </c>
      <c r="AE49" s="609">
        <v>33260</v>
      </c>
      <c r="AF49" s="609">
        <v>44106.224999999999</v>
      </c>
      <c r="AG49" s="609">
        <v>34980</v>
      </c>
      <c r="AH49" s="609">
        <v>180797.22500000001</v>
      </c>
      <c r="AI49" s="209"/>
    </row>
    <row r="50" spans="1:35" x14ac:dyDescent="0.25">
      <c r="A50" s="201">
        <v>5107</v>
      </c>
      <c r="B50" s="201">
        <v>5306</v>
      </c>
      <c r="C50" s="201" t="s">
        <v>98</v>
      </c>
      <c r="D50" s="609">
        <v>38613</v>
      </c>
      <c r="E50" s="610">
        <v>7.7221617901614942E-2</v>
      </c>
      <c r="F50" s="609">
        <v>1494006.5323082737</v>
      </c>
      <c r="G50" s="609">
        <v>12779</v>
      </c>
      <c r="H50" s="609">
        <v>20266</v>
      </c>
      <c r="I50" s="609">
        <v>368403172707</v>
      </c>
      <c r="J50" s="609">
        <v>955464020649</v>
      </c>
      <c r="K50" s="608">
        <v>0</v>
      </c>
      <c r="L50" s="608">
        <v>0</v>
      </c>
      <c r="M50" s="609">
        <v>4630693</v>
      </c>
      <c r="N50" s="609">
        <f t="shared" si="3"/>
        <v>4630693</v>
      </c>
      <c r="O50" s="609">
        <f t="shared" si="4"/>
        <v>4630693</v>
      </c>
      <c r="P50" s="609">
        <f t="shared" si="5"/>
        <v>4630693</v>
      </c>
      <c r="Q50" s="611">
        <f>+'_DATA STT PAGOS_'!D52</f>
        <v>13288068.967</v>
      </c>
      <c r="R50" s="611">
        <f>+'_DATA STT PAGOS_'!E52</f>
        <v>1107339.0805833333</v>
      </c>
      <c r="S50" s="611">
        <f>+'_DATA STT PAGOS_'!F52</f>
        <v>874798</v>
      </c>
      <c r="T50" s="612">
        <f>+'_DATA STT PAGOS_'!Q52</f>
        <v>17865094.568999998</v>
      </c>
      <c r="U50" s="613" t="str">
        <f>SUBSTITUTE((IFERROR(VLOOKUP(A50,'DATOS IND MINERO'!$H$2:$L$113,4,0),"No")),"í","I",1)</f>
        <v>SI</v>
      </c>
      <c r="V50" s="614">
        <f>IFERROR(VLOOKUP(A50,'DATOS IND MINERO'!$H$2:$L$113,5,0),0)</f>
        <v>1.099392835E-2</v>
      </c>
      <c r="W50" s="611">
        <f>+'_DATA STT PAGOS_'!G52</f>
        <v>0</v>
      </c>
      <c r="X50" s="611">
        <f>+'_DATA STT PAGOS_'!J52</f>
        <v>18032214.719000001</v>
      </c>
      <c r="Y50" s="609">
        <v>294302</v>
      </c>
      <c r="Z50" s="609">
        <v>163558</v>
      </c>
      <c r="AA50" s="609">
        <v>247813</v>
      </c>
      <c r="AB50" s="609">
        <v>207414</v>
      </c>
      <c r="AC50" s="609">
        <v>913087</v>
      </c>
      <c r="AD50" s="609">
        <v>30661</v>
      </c>
      <c r="AE50" s="609">
        <v>17708</v>
      </c>
      <c r="AF50" s="609">
        <v>21016.552</v>
      </c>
      <c r="AG50" s="609">
        <v>16396</v>
      </c>
      <c r="AH50" s="609">
        <v>85781.551999999996</v>
      </c>
      <c r="AI50" s="209"/>
    </row>
    <row r="51" spans="1:35" x14ac:dyDescent="0.25">
      <c r="A51" s="201">
        <v>5109</v>
      </c>
      <c r="B51" s="201">
        <v>5302</v>
      </c>
      <c r="C51" s="201" t="s">
        <v>95</v>
      </c>
      <c r="D51" s="609">
        <v>371490</v>
      </c>
      <c r="E51" s="610">
        <v>6.4775862613205684E-2</v>
      </c>
      <c r="F51" s="609">
        <v>6418333.8233441673</v>
      </c>
      <c r="G51" s="609">
        <v>89657</v>
      </c>
      <c r="H51" s="609">
        <v>231800</v>
      </c>
      <c r="I51" s="609">
        <v>4438282986723</v>
      </c>
      <c r="J51" s="609">
        <v>14003368244854</v>
      </c>
      <c r="K51" s="608">
        <v>0</v>
      </c>
      <c r="L51" s="608">
        <v>0</v>
      </c>
      <c r="M51" s="609">
        <v>103483640</v>
      </c>
      <c r="N51" s="609">
        <f t="shared" si="3"/>
        <v>103483640</v>
      </c>
      <c r="O51" s="609">
        <f t="shared" si="4"/>
        <v>103483640</v>
      </c>
      <c r="P51" s="609">
        <f t="shared" si="5"/>
        <v>103483640</v>
      </c>
      <c r="Q51" s="611">
        <f>+'_DATA STT PAGOS_'!D53</f>
        <v>9916583.568</v>
      </c>
      <c r="R51" s="611">
        <f>+'_DATA STT PAGOS_'!E53</f>
        <v>826381.96400000004</v>
      </c>
      <c r="S51" s="611">
        <f>+'_DATA STT PAGOS_'!F53</f>
        <v>652842</v>
      </c>
      <c r="T51" s="612">
        <f>+'_DATA STT PAGOS_'!Q53</f>
        <v>12721170.834000001</v>
      </c>
      <c r="U51" s="613" t="str">
        <f>SUBSTITUTE((IFERROR(VLOOKUP(A51,'DATOS IND MINERO'!$H$2:$L$113,4,0),"No")),"í","I",1)</f>
        <v>No</v>
      </c>
      <c r="V51" s="614">
        <f>IFERROR(VLOOKUP(A51,'DATOS IND MINERO'!$H$2:$L$113,5,0),0)</f>
        <v>0</v>
      </c>
      <c r="W51" s="611">
        <f>+'_DATA STT PAGOS_'!G53</f>
        <v>0</v>
      </c>
      <c r="X51" s="611">
        <f>+'_DATA STT PAGOS_'!J53</f>
        <v>13452550.673999999</v>
      </c>
      <c r="Y51" s="609">
        <v>4645551</v>
      </c>
      <c r="Z51" s="609">
        <v>3074574</v>
      </c>
      <c r="AA51" s="609">
        <v>3795406</v>
      </c>
      <c r="AB51" s="609">
        <v>3009947</v>
      </c>
      <c r="AC51" s="609">
        <v>14525478</v>
      </c>
      <c r="AD51" s="609">
        <v>755726</v>
      </c>
      <c r="AE51" s="609">
        <v>349242</v>
      </c>
      <c r="AF51" s="609">
        <v>484010.4</v>
      </c>
      <c r="AG51" s="609">
        <v>324525</v>
      </c>
      <c r="AH51" s="609">
        <v>1913503.4</v>
      </c>
      <c r="AI51" s="209"/>
    </row>
    <row r="52" spans="1:35" x14ac:dyDescent="0.25">
      <c r="A52" s="201">
        <v>5201</v>
      </c>
      <c r="B52" s="201">
        <v>5101</v>
      </c>
      <c r="C52" s="201" t="s">
        <v>504</v>
      </c>
      <c r="D52" s="609">
        <v>8872</v>
      </c>
      <c r="E52" s="610">
        <v>5.4286904186119159E-2</v>
      </c>
      <c r="F52" s="609">
        <v>380911.99738684652</v>
      </c>
      <c r="G52" s="609">
        <v>957</v>
      </c>
      <c r="H52" s="609">
        <v>957</v>
      </c>
      <c r="I52" s="609">
        <v>62784374577</v>
      </c>
      <c r="J52" s="609">
        <v>62784374577</v>
      </c>
      <c r="K52" s="608">
        <v>0</v>
      </c>
      <c r="L52" s="608">
        <v>0</v>
      </c>
      <c r="M52" s="609">
        <v>202814</v>
      </c>
      <c r="N52" s="609">
        <f t="shared" si="3"/>
        <v>202814</v>
      </c>
      <c r="O52" s="609">
        <f t="shared" si="4"/>
        <v>202814</v>
      </c>
      <c r="P52" s="609">
        <f t="shared" si="5"/>
        <v>202814</v>
      </c>
      <c r="Q52" s="611">
        <f>+'_DATA STT PAGOS_'!D54</f>
        <v>4256961.8370000003</v>
      </c>
      <c r="R52" s="611">
        <f>+'_DATA STT PAGOS_'!E54</f>
        <v>354746.81975000002</v>
      </c>
      <c r="S52" s="611">
        <f>+'_DATA STT PAGOS_'!F54</f>
        <v>280250</v>
      </c>
      <c r="T52" s="612">
        <f>+'_DATA STT PAGOS_'!Q54</f>
        <v>5723257.0060000001</v>
      </c>
      <c r="U52" s="613" t="str">
        <f>SUBSTITUTE((IFERROR(VLOOKUP(A52,'DATOS IND MINERO'!$H$2:$L$113,4,0),"No")),"í","I",1)</f>
        <v>No</v>
      </c>
      <c r="V52" s="614">
        <f>IFERROR(VLOOKUP(A52,'DATOS IND MINERO'!$H$2:$L$113,5,0),0)</f>
        <v>0</v>
      </c>
      <c r="W52" s="611">
        <f>+'_DATA STT PAGOS_'!G54</f>
        <v>22097766</v>
      </c>
      <c r="X52" s="611">
        <f>+'_DATA STT PAGOS_'!J54</f>
        <v>5776794.9620000012</v>
      </c>
      <c r="Y52" s="609">
        <v>0</v>
      </c>
      <c r="Z52" s="609">
        <v>0</v>
      </c>
      <c r="AA52" s="609">
        <v>0</v>
      </c>
      <c r="AB52" s="609">
        <v>0</v>
      </c>
      <c r="AC52" s="609">
        <v>0</v>
      </c>
      <c r="AD52" s="609">
        <v>0</v>
      </c>
      <c r="AE52" s="609">
        <v>0</v>
      </c>
      <c r="AF52" s="609">
        <v>0</v>
      </c>
      <c r="AG52" s="609">
        <v>0</v>
      </c>
      <c r="AH52" s="609">
        <v>0</v>
      </c>
      <c r="AI52" s="209"/>
    </row>
    <row r="53" spans="1:35" x14ac:dyDescent="0.25">
      <c r="A53" s="201">
        <v>5301</v>
      </c>
      <c r="B53" s="201">
        <v>5701</v>
      </c>
      <c r="C53" s="201" t="s">
        <v>115</v>
      </c>
      <c r="D53" s="609">
        <v>68939</v>
      </c>
      <c r="E53" s="610">
        <v>8.1276749212604901E-2</v>
      </c>
      <c r="F53" s="609">
        <v>686252.02462957089</v>
      </c>
      <c r="G53" s="609">
        <v>22510</v>
      </c>
      <c r="H53" s="609">
        <v>28150</v>
      </c>
      <c r="I53" s="609">
        <v>854591711857</v>
      </c>
      <c r="J53" s="609">
        <v>1561798903403</v>
      </c>
      <c r="K53" s="608">
        <v>0</v>
      </c>
      <c r="L53" s="608">
        <v>0</v>
      </c>
      <c r="M53" s="609">
        <v>6943810</v>
      </c>
      <c r="N53" s="609">
        <f t="shared" si="3"/>
        <v>6943810</v>
      </c>
      <c r="O53" s="609">
        <f t="shared" si="4"/>
        <v>6943810</v>
      </c>
      <c r="P53" s="609">
        <f t="shared" si="5"/>
        <v>6943810</v>
      </c>
      <c r="Q53" s="611">
        <f>+'_DATA STT PAGOS_'!D55</f>
        <v>7889657.1289999997</v>
      </c>
      <c r="R53" s="611">
        <f>+'_DATA STT PAGOS_'!E55</f>
        <v>657471.42741666664</v>
      </c>
      <c r="S53" s="611">
        <f>+'_DATA STT PAGOS_'!F55</f>
        <v>519402</v>
      </c>
      <c r="T53" s="612">
        <f>+'_DATA STT PAGOS_'!Q55</f>
        <v>9901823.5739999991</v>
      </c>
      <c r="U53" s="613" t="str">
        <f>SUBSTITUTE((IFERROR(VLOOKUP(A53,'DATOS IND MINERO'!$H$2:$L$113,4,0),"No")),"í","I",1)</f>
        <v>SI</v>
      </c>
      <c r="V53" s="614">
        <f>IFERROR(VLOOKUP(A53,'DATOS IND MINERO'!$H$2:$L$113,5,0),0)</f>
        <v>6.3399584800000004E-3</v>
      </c>
      <c r="W53" s="611">
        <f>+'_DATA STT PAGOS_'!G55</f>
        <v>0</v>
      </c>
      <c r="X53" s="611">
        <f>+'_DATA STT PAGOS_'!J55</f>
        <v>10711505.232999999</v>
      </c>
      <c r="Y53" s="609">
        <v>336963</v>
      </c>
      <c r="Z53" s="609">
        <v>279494</v>
      </c>
      <c r="AA53" s="609">
        <v>315355</v>
      </c>
      <c r="AB53" s="609">
        <v>271476</v>
      </c>
      <c r="AC53" s="609">
        <v>1203288</v>
      </c>
      <c r="AD53" s="609">
        <v>28763</v>
      </c>
      <c r="AE53" s="609">
        <v>14452</v>
      </c>
      <c r="AF53" s="609">
        <v>19865.931</v>
      </c>
      <c r="AG53" s="609">
        <v>11508</v>
      </c>
      <c r="AH53" s="609">
        <v>74588.930999999997</v>
      </c>
      <c r="AI53" s="209"/>
    </row>
    <row r="54" spans="1:35" x14ac:dyDescent="0.25">
      <c r="A54" s="201">
        <v>5302</v>
      </c>
      <c r="B54" s="201">
        <v>5702</v>
      </c>
      <c r="C54" s="201" t="s">
        <v>116</v>
      </c>
      <c r="D54" s="609">
        <v>17673</v>
      </c>
      <c r="E54" s="610">
        <v>6.9963617704811215E-2</v>
      </c>
      <c r="F54" s="609">
        <v>105041.5321471783</v>
      </c>
      <c r="G54" s="609">
        <v>4719</v>
      </c>
      <c r="H54" s="609">
        <v>6486</v>
      </c>
      <c r="I54" s="609">
        <v>114949935760</v>
      </c>
      <c r="J54" s="609">
        <v>339322948655</v>
      </c>
      <c r="K54" s="608">
        <v>0</v>
      </c>
      <c r="L54" s="608">
        <v>0</v>
      </c>
      <c r="M54" s="609">
        <v>3371385</v>
      </c>
      <c r="N54" s="609">
        <f t="shared" si="3"/>
        <v>3371385</v>
      </c>
      <c r="O54" s="609">
        <f t="shared" si="4"/>
        <v>3371385</v>
      </c>
      <c r="P54" s="609">
        <f t="shared" si="5"/>
        <v>3371385</v>
      </c>
      <c r="Q54" s="611">
        <f>+'_DATA STT PAGOS_'!D56</f>
        <v>2054369.078</v>
      </c>
      <c r="R54" s="611">
        <f>+'_DATA STT PAGOS_'!E56</f>
        <v>171197.42316666667</v>
      </c>
      <c r="S54" s="611">
        <f>+'_DATA STT PAGOS_'!F56</f>
        <v>135246</v>
      </c>
      <c r="T54" s="612">
        <f>+'_DATA STT PAGOS_'!Q56</f>
        <v>2659000.6189999999</v>
      </c>
      <c r="U54" s="613" t="str">
        <f>SUBSTITUTE((IFERROR(VLOOKUP(A54,'DATOS IND MINERO'!$H$2:$L$113,4,0),"No")),"í","I",1)</f>
        <v>SI</v>
      </c>
      <c r="V54" s="614">
        <f>IFERROR(VLOOKUP(A54,'DATOS IND MINERO'!$H$2:$L$113,5,0),0)</f>
        <v>1.1166469899999999E-3</v>
      </c>
      <c r="W54" s="611">
        <f>+'_DATA STT PAGOS_'!G56</f>
        <v>0</v>
      </c>
      <c r="X54" s="611">
        <f>+'_DATA STT PAGOS_'!J56</f>
        <v>2787611.7080000001</v>
      </c>
      <c r="Y54" s="609">
        <v>56061</v>
      </c>
      <c r="Z54" s="609">
        <v>33813</v>
      </c>
      <c r="AA54" s="609">
        <v>55153</v>
      </c>
      <c r="AB54" s="609">
        <v>35049</v>
      </c>
      <c r="AC54" s="609">
        <v>180076</v>
      </c>
      <c r="AD54" s="609">
        <v>4562</v>
      </c>
      <c r="AE54" s="609">
        <v>1999</v>
      </c>
      <c r="AF54" s="609">
        <v>2769.087</v>
      </c>
      <c r="AG54" s="609">
        <v>1815</v>
      </c>
      <c r="AH54" s="609">
        <v>11145.087</v>
      </c>
      <c r="AI54" s="209"/>
    </row>
    <row r="55" spans="1:35" x14ac:dyDescent="0.25">
      <c r="A55" s="201">
        <v>5303</v>
      </c>
      <c r="B55" s="201">
        <v>5704</v>
      </c>
      <c r="C55" s="201" t="s">
        <v>118</v>
      </c>
      <c r="D55" s="609">
        <v>12030</v>
      </c>
      <c r="E55" s="610">
        <v>8.1146428114205832E-2</v>
      </c>
      <c r="F55" s="609">
        <v>169573.64251897795</v>
      </c>
      <c r="G55" s="609">
        <v>3485</v>
      </c>
      <c r="H55" s="609">
        <v>5482</v>
      </c>
      <c r="I55" s="609">
        <v>75787255633</v>
      </c>
      <c r="J55" s="609">
        <v>324477996101</v>
      </c>
      <c r="K55" s="608">
        <v>0</v>
      </c>
      <c r="L55" s="608">
        <v>0</v>
      </c>
      <c r="M55" s="609">
        <v>7181684</v>
      </c>
      <c r="N55" s="609">
        <f t="shared" si="3"/>
        <v>7181684</v>
      </c>
      <c r="O55" s="609">
        <f t="shared" si="4"/>
        <v>7181684</v>
      </c>
      <c r="P55" s="609">
        <f t="shared" si="5"/>
        <v>7181684</v>
      </c>
      <c r="Q55" s="611">
        <f>+'_DATA STT PAGOS_'!D57</f>
        <v>1801155.818</v>
      </c>
      <c r="R55" s="611">
        <f>+'_DATA STT PAGOS_'!E57</f>
        <v>150096.31816666666</v>
      </c>
      <c r="S55" s="611">
        <f>+'_DATA STT PAGOS_'!F57</f>
        <v>118576</v>
      </c>
      <c r="T55" s="612">
        <f>+'_DATA STT PAGOS_'!Q57</f>
        <v>2331167.9649999999</v>
      </c>
      <c r="U55" s="613" t="str">
        <f>SUBSTITUTE((IFERROR(VLOOKUP(A55,'DATOS IND MINERO'!$H$2:$L$113,4,0),"No")),"í","I",1)</f>
        <v>No</v>
      </c>
      <c r="V55" s="614">
        <f>IFERROR(VLOOKUP(A55,'DATOS IND MINERO'!$H$2:$L$113,5,0),0)</f>
        <v>0</v>
      </c>
      <c r="W55" s="611">
        <f>+'_DATA STT PAGOS_'!G57</f>
        <v>0</v>
      </c>
      <c r="X55" s="611">
        <f>+'_DATA STT PAGOS_'!J57</f>
        <v>2444458.838</v>
      </c>
      <c r="Y55" s="609">
        <v>72185</v>
      </c>
      <c r="Z55" s="609">
        <v>43369</v>
      </c>
      <c r="AA55" s="609">
        <v>63835</v>
      </c>
      <c r="AB55" s="609">
        <v>35762</v>
      </c>
      <c r="AC55" s="609">
        <v>215151</v>
      </c>
      <c r="AD55" s="609">
        <v>3267</v>
      </c>
      <c r="AE55" s="609">
        <v>2030</v>
      </c>
      <c r="AF55" s="609">
        <v>2218.6759999999999</v>
      </c>
      <c r="AG55" s="609">
        <v>1552</v>
      </c>
      <c r="AH55" s="609">
        <v>9067.6759999999995</v>
      </c>
      <c r="AI55" s="209"/>
    </row>
    <row r="56" spans="1:35" x14ac:dyDescent="0.25">
      <c r="A56" s="201">
        <v>5304</v>
      </c>
      <c r="B56" s="201">
        <v>5703</v>
      </c>
      <c r="C56" s="201" t="s">
        <v>117</v>
      </c>
      <c r="D56" s="609">
        <v>21756</v>
      </c>
      <c r="E56" s="610">
        <v>8.4727971790834508E-2</v>
      </c>
      <c r="F56" s="609">
        <v>194864.0048379098</v>
      </c>
      <c r="G56" s="609">
        <v>6201</v>
      </c>
      <c r="H56" s="609">
        <v>9370</v>
      </c>
      <c r="I56" s="609">
        <v>167109055606</v>
      </c>
      <c r="J56" s="609">
        <v>482886667125</v>
      </c>
      <c r="K56" s="608">
        <v>0</v>
      </c>
      <c r="L56" s="608">
        <v>0</v>
      </c>
      <c r="M56" s="609">
        <v>2336653</v>
      </c>
      <c r="N56" s="609">
        <f t="shared" si="3"/>
        <v>2336653</v>
      </c>
      <c r="O56" s="609">
        <f t="shared" si="4"/>
        <v>2336653</v>
      </c>
      <c r="P56" s="609">
        <f t="shared" si="5"/>
        <v>2336653</v>
      </c>
      <c r="Q56" s="611">
        <f>+'_DATA STT PAGOS_'!D58</f>
        <v>3289223.5219999999</v>
      </c>
      <c r="R56" s="611">
        <f>+'_DATA STT PAGOS_'!E58</f>
        <v>274101.96016666666</v>
      </c>
      <c r="S56" s="611">
        <f>+'_DATA STT PAGOS_'!F58</f>
        <v>216541</v>
      </c>
      <c r="T56" s="612">
        <f>+'_DATA STT PAGOS_'!Q58</f>
        <v>4214427.9330000002</v>
      </c>
      <c r="U56" s="613" t="str">
        <f>SUBSTITUTE((IFERROR(VLOOKUP(A56,'DATOS IND MINERO'!$H$2:$L$113,4,0),"No")),"í","I",1)</f>
        <v>No</v>
      </c>
      <c r="V56" s="614">
        <f>IFERROR(VLOOKUP(A56,'DATOS IND MINERO'!$H$2:$L$113,5,0),0)</f>
        <v>0</v>
      </c>
      <c r="W56" s="611">
        <f>+'_DATA STT PAGOS_'!G58</f>
        <v>0</v>
      </c>
      <c r="X56" s="611">
        <f>+'_DATA STT PAGOS_'!J58</f>
        <v>4465224.6439999994</v>
      </c>
      <c r="Y56" s="609">
        <v>109541</v>
      </c>
      <c r="Z56" s="609">
        <v>51090</v>
      </c>
      <c r="AA56" s="609">
        <v>85960</v>
      </c>
      <c r="AB56" s="609">
        <v>54301</v>
      </c>
      <c r="AC56" s="609">
        <v>300892</v>
      </c>
      <c r="AD56" s="609">
        <v>8120</v>
      </c>
      <c r="AE56" s="609">
        <v>2914</v>
      </c>
      <c r="AF56" s="609">
        <v>5019.0640000000003</v>
      </c>
      <c r="AG56" s="609">
        <v>3333</v>
      </c>
      <c r="AH56" s="609">
        <v>19386.063999999998</v>
      </c>
      <c r="AI56" s="209"/>
    </row>
    <row r="57" spans="1:35" x14ac:dyDescent="0.25">
      <c r="A57" s="201">
        <v>5401</v>
      </c>
      <c r="B57" s="201">
        <v>5201</v>
      </c>
      <c r="C57" s="201" t="s">
        <v>90</v>
      </c>
      <c r="D57" s="609">
        <v>38387</v>
      </c>
      <c r="E57" s="610">
        <v>8.1752102954614297E-2</v>
      </c>
      <c r="F57" s="609">
        <v>1148151.8041880229</v>
      </c>
      <c r="G57" s="609">
        <v>14204</v>
      </c>
      <c r="H57" s="609">
        <v>20746</v>
      </c>
      <c r="I57" s="609">
        <v>320647018890</v>
      </c>
      <c r="J57" s="609">
        <v>784600154821</v>
      </c>
      <c r="K57" s="608">
        <v>0</v>
      </c>
      <c r="L57" s="608">
        <v>0</v>
      </c>
      <c r="M57" s="609">
        <v>3852324</v>
      </c>
      <c r="N57" s="609">
        <f t="shared" si="3"/>
        <v>3852324</v>
      </c>
      <c r="O57" s="609">
        <f t="shared" si="4"/>
        <v>3852324</v>
      </c>
      <c r="P57" s="609">
        <f t="shared" si="5"/>
        <v>3852324</v>
      </c>
      <c r="Q57" s="611">
        <f>+'_DATA STT PAGOS_'!D59</f>
        <v>7308441.3770000003</v>
      </c>
      <c r="R57" s="611">
        <f>+'_DATA STT PAGOS_'!E59</f>
        <v>609036.78141666669</v>
      </c>
      <c r="S57" s="611">
        <f>+'_DATA STT PAGOS_'!F59</f>
        <v>481139</v>
      </c>
      <c r="T57" s="612">
        <f>+'_DATA STT PAGOS_'!Q59</f>
        <v>7660051.5259999996</v>
      </c>
      <c r="U57" s="613" t="str">
        <f>SUBSTITUTE((IFERROR(VLOOKUP(A57,'DATOS IND MINERO'!$H$2:$L$113,4,0),"No")),"í","I",1)</f>
        <v>No</v>
      </c>
      <c r="V57" s="614">
        <f>IFERROR(VLOOKUP(A57,'DATOS IND MINERO'!$H$2:$L$113,5,0),0)</f>
        <v>0</v>
      </c>
      <c r="W57" s="611">
        <f>+'_DATA STT PAGOS_'!G59</f>
        <v>0</v>
      </c>
      <c r="X57" s="611">
        <f>+'_DATA STT PAGOS_'!J59</f>
        <v>9912126.3489999995</v>
      </c>
      <c r="Y57" s="609">
        <v>184656</v>
      </c>
      <c r="Z57" s="609">
        <v>116423</v>
      </c>
      <c r="AA57" s="609">
        <v>141869</v>
      </c>
      <c r="AB57" s="609">
        <v>109961</v>
      </c>
      <c r="AC57" s="609">
        <v>552909</v>
      </c>
      <c r="AD57" s="609">
        <v>30510</v>
      </c>
      <c r="AE57" s="609">
        <v>15821</v>
      </c>
      <c r="AF57" s="609">
        <v>19369.326000000001</v>
      </c>
      <c r="AG57" s="609">
        <v>14842</v>
      </c>
      <c r="AH57" s="609">
        <v>80542.326000000001</v>
      </c>
      <c r="AI57" s="209"/>
    </row>
    <row r="58" spans="1:35" x14ac:dyDescent="0.25">
      <c r="A58" s="201">
        <v>5402</v>
      </c>
      <c r="B58" s="201">
        <v>5203</v>
      </c>
      <c r="C58" s="201" t="s">
        <v>92</v>
      </c>
      <c r="D58" s="609">
        <v>20757</v>
      </c>
      <c r="E58" s="610">
        <v>8.9311136082705994E-2</v>
      </c>
      <c r="F58" s="609">
        <v>159186.13223141624</v>
      </c>
      <c r="G58" s="609">
        <v>6995</v>
      </c>
      <c r="H58" s="609">
        <v>8629</v>
      </c>
      <c r="I58" s="609">
        <v>126633200405</v>
      </c>
      <c r="J58" s="609">
        <v>298695581704</v>
      </c>
      <c r="K58" s="608">
        <v>0</v>
      </c>
      <c r="L58" s="608">
        <v>0</v>
      </c>
      <c r="M58" s="609">
        <v>1762633</v>
      </c>
      <c r="N58" s="609">
        <f t="shared" si="3"/>
        <v>1762633</v>
      </c>
      <c r="O58" s="609">
        <f t="shared" si="4"/>
        <v>1762633</v>
      </c>
      <c r="P58" s="609">
        <f t="shared" si="5"/>
        <v>1762633</v>
      </c>
      <c r="Q58" s="611">
        <f>+'_DATA STT PAGOS_'!D60</f>
        <v>3363859.8059999999</v>
      </c>
      <c r="R58" s="611">
        <f>+'_DATA STT PAGOS_'!E60</f>
        <v>280321.65049999999</v>
      </c>
      <c r="S58" s="611">
        <f>+'_DATA STT PAGOS_'!F60</f>
        <v>221454</v>
      </c>
      <c r="T58" s="612">
        <f>+'_DATA STT PAGOS_'!Q60</f>
        <v>4208989.4560000002</v>
      </c>
      <c r="U58" s="613" t="str">
        <f>SUBSTITUTE((IFERROR(VLOOKUP(A58,'DATOS IND MINERO'!$H$2:$L$113,4,0),"No")),"í","I",1)</f>
        <v>SI</v>
      </c>
      <c r="V58" s="614">
        <f>IFERROR(VLOOKUP(A58,'DATOS IND MINERO'!$H$2:$L$113,5,0),0)</f>
        <v>9.6120116500000002E-3</v>
      </c>
      <c r="W58" s="611">
        <f>+'_DATA STT PAGOS_'!G60</f>
        <v>0</v>
      </c>
      <c r="X58" s="611">
        <f>+'_DATA STT PAGOS_'!J60</f>
        <v>4568086.4619999994</v>
      </c>
      <c r="Y58" s="609">
        <v>32098</v>
      </c>
      <c r="Z58" s="609">
        <v>28657</v>
      </c>
      <c r="AA58" s="609">
        <v>31734</v>
      </c>
      <c r="AB58" s="609">
        <v>24200</v>
      </c>
      <c r="AC58" s="609">
        <v>116689</v>
      </c>
      <c r="AD58" s="609">
        <v>780</v>
      </c>
      <c r="AE58" s="609">
        <v>127</v>
      </c>
      <c r="AF58" s="609">
        <v>585.76599999999996</v>
      </c>
      <c r="AG58" s="609">
        <v>474</v>
      </c>
      <c r="AH58" s="609">
        <v>1966.7660000000001</v>
      </c>
      <c r="AI58" s="209"/>
    </row>
    <row r="59" spans="1:35" x14ac:dyDescent="0.25">
      <c r="A59" s="201">
        <v>5403</v>
      </c>
      <c r="B59" s="201">
        <v>5205</v>
      </c>
      <c r="C59" s="201" t="s">
        <v>94</v>
      </c>
      <c r="D59" s="609">
        <v>6438</v>
      </c>
      <c r="E59" s="610">
        <v>7.2538349124714088E-2</v>
      </c>
      <c r="F59" s="609">
        <v>1515278.6559765914</v>
      </c>
      <c r="G59" s="609">
        <v>3402</v>
      </c>
      <c r="H59" s="609">
        <v>11191</v>
      </c>
      <c r="I59" s="609">
        <v>159849838536</v>
      </c>
      <c r="J59" s="609">
        <v>656403506849</v>
      </c>
      <c r="K59" s="608">
        <v>0</v>
      </c>
      <c r="L59" s="608">
        <v>0</v>
      </c>
      <c r="M59" s="609">
        <v>3904826</v>
      </c>
      <c r="N59" s="609">
        <f t="shared" si="3"/>
        <v>3904826</v>
      </c>
      <c r="O59" s="609">
        <f t="shared" si="4"/>
        <v>3904826</v>
      </c>
      <c r="P59" s="609">
        <f t="shared" si="5"/>
        <v>3904826</v>
      </c>
      <c r="Q59" s="611">
        <f>+'_DATA STT PAGOS_'!D61</f>
        <v>1568407.111</v>
      </c>
      <c r="R59" s="611">
        <f>+'_DATA STT PAGOS_'!E61</f>
        <v>130700.59258333333</v>
      </c>
      <c r="S59" s="611">
        <f>+'_DATA STT PAGOS_'!F61</f>
        <v>103253</v>
      </c>
      <c r="T59" s="612">
        <f>+'_DATA STT PAGOS_'!Q61</f>
        <v>2035207.371</v>
      </c>
      <c r="U59" s="613" t="str">
        <f>SUBSTITUTE((IFERROR(VLOOKUP(A59,'DATOS IND MINERO'!$H$2:$L$113,4,0),"No")),"í","I",1)</f>
        <v>No</v>
      </c>
      <c r="V59" s="614">
        <f>IFERROR(VLOOKUP(A59,'DATOS IND MINERO'!$H$2:$L$113,5,0),0)</f>
        <v>0</v>
      </c>
      <c r="W59" s="611">
        <f>+'_DATA STT PAGOS_'!G61</f>
        <v>0</v>
      </c>
      <c r="X59" s="611">
        <f>+'_DATA STT PAGOS_'!J61</f>
        <v>2127857.0580000002</v>
      </c>
      <c r="Y59" s="609">
        <v>194512</v>
      </c>
      <c r="Z59" s="609">
        <v>87262</v>
      </c>
      <c r="AA59" s="609">
        <v>134982</v>
      </c>
      <c r="AB59" s="609">
        <v>98732</v>
      </c>
      <c r="AC59" s="609">
        <v>515488</v>
      </c>
      <c r="AD59" s="609">
        <v>52550</v>
      </c>
      <c r="AE59" s="609">
        <v>22467</v>
      </c>
      <c r="AF59" s="609">
        <v>30545.164000000001</v>
      </c>
      <c r="AG59" s="609">
        <v>20501</v>
      </c>
      <c r="AH59" s="609">
        <v>126063.164</v>
      </c>
      <c r="AI59" s="209"/>
    </row>
    <row r="60" spans="1:35" x14ac:dyDescent="0.25">
      <c r="A60" s="201">
        <v>5404</v>
      </c>
      <c r="B60" s="201">
        <v>5202</v>
      </c>
      <c r="C60" s="201" t="s">
        <v>91</v>
      </c>
      <c r="D60" s="609">
        <v>10633</v>
      </c>
      <c r="E60" s="610">
        <v>4.5377290448041709E-2</v>
      </c>
      <c r="F60" s="609">
        <v>139296.35361591561</v>
      </c>
      <c r="G60" s="609">
        <v>5228</v>
      </c>
      <c r="H60" s="609">
        <v>6013</v>
      </c>
      <c r="I60" s="609">
        <v>56497573378</v>
      </c>
      <c r="J60" s="609">
        <v>117887046748</v>
      </c>
      <c r="K60" s="608">
        <v>0</v>
      </c>
      <c r="L60" s="608">
        <v>0</v>
      </c>
      <c r="M60" s="609">
        <v>1732312</v>
      </c>
      <c r="N60" s="609">
        <f t="shared" si="3"/>
        <v>1732312</v>
      </c>
      <c r="O60" s="609">
        <f t="shared" si="4"/>
        <v>1732312</v>
      </c>
      <c r="P60" s="609">
        <f t="shared" si="5"/>
        <v>1732312</v>
      </c>
      <c r="Q60" s="611">
        <f>+'_DATA STT PAGOS_'!D62</f>
        <v>2302268.4419999998</v>
      </c>
      <c r="R60" s="611">
        <f>+'_DATA STT PAGOS_'!E62</f>
        <v>191855.70349999997</v>
      </c>
      <c r="S60" s="611">
        <f>+'_DATA STT PAGOS_'!F62</f>
        <v>151566</v>
      </c>
      <c r="T60" s="612">
        <f>+'_DATA STT PAGOS_'!Q62</f>
        <v>2857616.4330000002</v>
      </c>
      <c r="U60" s="613" t="str">
        <f>SUBSTITUTE((IFERROR(VLOOKUP(A60,'DATOS IND MINERO'!$H$2:$L$113,4,0),"No")),"í","I",1)</f>
        <v>SI</v>
      </c>
      <c r="V60" s="614">
        <f>IFERROR(VLOOKUP(A60,'DATOS IND MINERO'!$H$2:$L$113,5,0),0)</f>
        <v>2.37253127E-3</v>
      </c>
      <c r="W60" s="611">
        <f>+'_DATA STT PAGOS_'!G62</f>
        <v>0</v>
      </c>
      <c r="X60" s="611">
        <f>+'_DATA STT PAGOS_'!J62</f>
        <v>3122210.0109999995</v>
      </c>
      <c r="Y60" s="609">
        <v>14351</v>
      </c>
      <c r="Z60" s="609">
        <v>13909</v>
      </c>
      <c r="AA60" s="609">
        <v>18193</v>
      </c>
      <c r="AB60" s="609">
        <v>10803</v>
      </c>
      <c r="AC60" s="609">
        <v>57256</v>
      </c>
      <c r="AD60" s="609">
        <v>0</v>
      </c>
      <c r="AE60" s="609">
        <v>0</v>
      </c>
      <c r="AF60" s="609">
        <v>0</v>
      </c>
      <c r="AG60" s="609">
        <v>0</v>
      </c>
      <c r="AH60" s="609">
        <v>0</v>
      </c>
      <c r="AI60" s="209"/>
    </row>
    <row r="61" spans="1:35" x14ac:dyDescent="0.25">
      <c r="A61" s="201">
        <v>5405</v>
      </c>
      <c r="B61" s="201">
        <v>5204</v>
      </c>
      <c r="C61" s="201" t="s">
        <v>93</v>
      </c>
      <c r="D61" s="609">
        <v>8368</v>
      </c>
      <c r="E61" s="610">
        <v>4.306437608327314E-2</v>
      </c>
      <c r="F61" s="609">
        <v>1376927.4478095507</v>
      </c>
      <c r="G61" s="609">
        <v>2218</v>
      </c>
      <c r="H61" s="609">
        <v>10257</v>
      </c>
      <c r="I61" s="609">
        <v>215419746778</v>
      </c>
      <c r="J61" s="609">
        <v>2357108738944</v>
      </c>
      <c r="K61" s="608">
        <v>0</v>
      </c>
      <c r="L61" s="608">
        <v>0</v>
      </c>
      <c r="M61" s="609">
        <v>20354468</v>
      </c>
      <c r="N61" s="609">
        <f t="shared" si="3"/>
        <v>20354468</v>
      </c>
      <c r="O61" s="609">
        <f t="shared" si="4"/>
        <v>20354468</v>
      </c>
      <c r="P61" s="609">
        <f t="shared" si="5"/>
        <v>20354468</v>
      </c>
      <c r="Q61" s="611">
        <f>+'_DATA STT PAGOS_'!D63</f>
        <v>1498823.581</v>
      </c>
      <c r="R61" s="611">
        <f>+'_DATA STT PAGOS_'!E63</f>
        <v>124901.96508333333</v>
      </c>
      <c r="S61" s="611">
        <f>+'_DATA STT PAGOS_'!F63</f>
        <v>98673</v>
      </c>
      <c r="T61" s="612">
        <f>+'_DATA STT PAGOS_'!Q63</f>
        <v>1949449.851</v>
      </c>
      <c r="U61" s="613" t="str">
        <f>SUBSTITUTE((IFERROR(VLOOKUP(A61,'DATOS IND MINERO'!$H$2:$L$113,4,0),"No")),"í","I",1)</f>
        <v>No</v>
      </c>
      <c r="V61" s="614">
        <f>IFERROR(VLOOKUP(A61,'DATOS IND MINERO'!$H$2:$L$113,5,0),0)</f>
        <v>0</v>
      </c>
      <c r="W61" s="611">
        <f>+'_DATA STT PAGOS_'!G63</f>
        <v>0</v>
      </c>
      <c r="X61" s="611">
        <f>+'_DATA STT PAGOS_'!J63</f>
        <v>2033373.1980000001</v>
      </c>
      <c r="Y61" s="609">
        <v>1453518</v>
      </c>
      <c r="Z61" s="609">
        <v>935064</v>
      </c>
      <c r="AA61" s="609">
        <v>1147761</v>
      </c>
      <c r="AB61" s="609">
        <v>918699</v>
      </c>
      <c r="AC61" s="609">
        <v>4455042</v>
      </c>
      <c r="AD61" s="609">
        <v>123737</v>
      </c>
      <c r="AE61" s="609">
        <v>68416</v>
      </c>
      <c r="AF61" s="609">
        <v>89312.589000000007</v>
      </c>
      <c r="AG61" s="609">
        <v>66938</v>
      </c>
      <c r="AH61" s="609">
        <v>348403.58900000004</v>
      </c>
      <c r="AI61" s="209"/>
    </row>
    <row r="62" spans="1:35" x14ac:dyDescent="0.25">
      <c r="A62" s="201">
        <v>5501</v>
      </c>
      <c r="B62" s="201">
        <v>5501</v>
      </c>
      <c r="C62" s="201" t="s">
        <v>105</v>
      </c>
      <c r="D62" s="609">
        <v>100972</v>
      </c>
      <c r="E62" s="610">
        <v>5.2979224318787453E-2</v>
      </c>
      <c r="F62" s="609">
        <v>384177.77540836227</v>
      </c>
      <c r="G62" s="609">
        <v>33086</v>
      </c>
      <c r="H62" s="609">
        <v>40080</v>
      </c>
      <c r="I62" s="609">
        <v>1041749657375</v>
      </c>
      <c r="J62" s="609">
        <v>1923963000803</v>
      </c>
      <c r="K62" s="608">
        <v>0</v>
      </c>
      <c r="L62" s="608">
        <v>0</v>
      </c>
      <c r="M62" s="609">
        <v>9050435</v>
      </c>
      <c r="N62" s="609">
        <f t="shared" si="3"/>
        <v>9050435</v>
      </c>
      <c r="O62" s="609">
        <f t="shared" si="4"/>
        <v>9050435</v>
      </c>
      <c r="P62" s="609">
        <f t="shared" si="5"/>
        <v>9050435</v>
      </c>
      <c r="Q62" s="611">
        <f>+'_DATA STT PAGOS_'!D64</f>
        <v>9479941.1699999999</v>
      </c>
      <c r="R62" s="611">
        <f>+'_DATA STT PAGOS_'!E64</f>
        <v>789995.09750000003</v>
      </c>
      <c r="S62" s="611">
        <f>+'_DATA STT PAGOS_'!F64</f>
        <v>624096</v>
      </c>
      <c r="T62" s="612">
        <f>+'_DATA STT PAGOS_'!Q64</f>
        <v>12745271.639</v>
      </c>
      <c r="U62" s="613" t="str">
        <f>SUBSTITUTE((IFERROR(VLOOKUP(A62,'DATOS IND MINERO'!$H$2:$L$113,4,0),"No")),"í","I",1)</f>
        <v>No</v>
      </c>
      <c r="V62" s="614">
        <f>IFERROR(VLOOKUP(A62,'DATOS IND MINERO'!$H$2:$L$113,5,0),0)</f>
        <v>0</v>
      </c>
      <c r="W62" s="611">
        <f>+'_DATA STT PAGOS_'!G64</f>
        <v>0</v>
      </c>
      <c r="X62" s="611">
        <f>+'_DATA STT PAGOS_'!J64</f>
        <v>12864497.853</v>
      </c>
      <c r="Y62" s="609">
        <v>360836</v>
      </c>
      <c r="Z62" s="609">
        <v>275706</v>
      </c>
      <c r="AA62" s="609">
        <v>273583</v>
      </c>
      <c r="AB62" s="609">
        <v>228774</v>
      </c>
      <c r="AC62" s="609">
        <v>1138899</v>
      </c>
      <c r="AD62" s="609">
        <v>28809</v>
      </c>
      <c r="AE62" s="609">
        <v>11729</v>
      </c>
      <c r="AF62" s="609">
        <v>15508.195</v>
      </c>
      <c r="AG62" s="609">
        <v>10778</v>
      </c>
      <c r="AH62" s="609">
        <v>66824.195000000007</v>
      </c>
      <c r="AI62" s="209"/>
    </row>
    <row r="63" spans="1:35" x14ac:dyDescent="0.25">
      <c r="A63" s="201">
        <v>5502</v>
      </c>
      <c r="B63" s="201">
        <v>5504</v>
      </c>
      <c r="C63" s="201" t="s">
        <v>108</v>
      </c>
      <c r="D63" s="609">
        <v>53902</v>
      </c>
      <c r="E63" s="610">
        <v>7.0913136234893731E-2</v>
      </c>
      <c r="F63" s="609">
        <v>182015.73922800738</v>
      </c>
      <c r="G63" s="609">
        <v>16117</v>
      </c>
      <c r="H63" s="609">
        <v>18098</v>
      </c>
      <c r="I63" s="609">
        <v>468685198725</v>
      </c>
      <c r="J63" s="609">
        <v>787400115473</v>
      </c>
      <c r="K63" s="608">
        <v>0</v>
      </c>
      <c r="L63" s="608">
        <v>0</v>
      </c>
      <c r="M63" s="609">
        <v>4672987</v>
      </c>
      <c r="N63" s="609">
        <f t="shared" si="3"/>
        <v>4672987</v>
      </c>
      <c r="O63" s="609">
        <f t="shared" si="4"/>
        <v>4672987</v>
      </c>
      <c r="P63" s="609">
        <f t="shared" si="5"/>
        <v>4672987</v>
      </c>
      <c r="Q63" s="611">
        <f>+'_DATA STT PAGOS_'!D65</f>
        <v>6246648.0159999998</v>
      </c>
      <c r="R63" s="611">
        <f>+'_DATA STT PAGOS_'!E65</f>
        <v>520554.00133333332</v>
      </c>
      <c r="S63" s="611">
        <f>+'_DATA STT PAGOS_'!F65</f>
        <v>411238</v>
      </c>
      <c r="T63" s="612">
        <f>+'_DATA STT PAGOS_'!Q65</f>
        <v>8398283.3200000003</v>
      </c>
      <c r="U63" s="613" t="str">
        <f>SUBSTITUTE((IFERROR(VLOOKUP(A63,'DATOS IND MINERO'!$H$2:$L$113,4,0),"No")),"í","I",1)</f>
        <v>No</v>
      </c>
      <c r="V63" s="614">
        <f>IFERROR(VLOOKUP(A63,'DATOS IND MINERO'!$H$2:$L$113,5,0),0)</f>
        <v>0</v>
      </c>
      <c r="W63" s="611">
        <f>+'_DATA STT PAGOS_'!G65</f>
        <v>0</v>
      </c>
      <c r="X63" s="611">
        <f>+'_DATA STT PAGOS_'!J65</f>
        <v>8476844.7980000004</v>
      </c>
      <c r="Y63" s="609">
        <v>174448</v>
      </c>
      <c r="Z63" s="609">
        <v>25927</v>
      </c>
      <c r="AA63" s="609">
        <v>164875</v>
      </c>
      <c r="AB63" s="609">
        <v>145033</v>
      </c>
      <c r="AC63" s="609">
        <v>510283</v>
      </c>
      <c r="AD63" s="609">
        <v>3681</v>
      </c>
      <c r="AE63" s="609">
        <v>1751</v>
      </c>
      <c r="AF63" s="609">
        <v>2420.8270000000002</v>
      </c>
      <c r="AG63" s="609">
        <v>1478</v>
      </c>
      <c r="AH63" s="609">
        <v>9330.8270000000011</v>
      </c>
      <c r="AI63" s="209"/>
    </row>
    <row r="64" spans="1:35" x14ac:dyDescent="0.25">
      <c r="A64" s="201">
        <v>5503</v>
      </c>
      <c r="B64" s="201">
        <v>5503</v>
      </c>
      <c r="C64" s="201" t="s">
        <v>107</v>
      </c>
      <c r="D64" s="609">
        <v>19464</v>
      </c>
      <c r="E64" s="610">
        <v>9.0847737238025292E-2</v>
      </c>
      <c r="F64" s="609">
        <v>204973.09620374284</v>
      </c>
      <c r="G64" s="609">
        <v>5438</v>
      </c>
      <c r="H64" s="609">
        <v>7917</v>
      </c>
      <c r="I64" s="609">
        <v>126585780625</v>
      </c>
      <c r="J64" s="609">
        <v>375830162745</v>
      </c>
      <c r="K64" s="608">
        <v>0</v>
      </c>
      <c r="L64" s="608">
        <v>0</v>
      </c>
      <c r="M64" s="609">
        <v>2558619</v>
      </c>
      <c r="N64" s="609">
        <f t="shared" si="3"/>
        <v>2558619</v>
      </c>
      <c r="O64" s="609">
        <f t="shared" si="4"/>
        <v>2558619</v>
      </c>
      <c r="P64" s="609">
        <f t="shared" si="5"/>
        <v>2558619</v>
      </c>
      <c r="Q64" s="611">
        <f>+'_DATA STT PAGOS_'!D66</f>
        <v>2839445.0269999998</v>
      </c>
      <c r="R64" s="611">
        <f>+'_DATA STT PAGOS_'!E66</f>
        <v>236620.41891666665</v>
      </c>
      <c r="S64" s="611">
        <f>+'_DATA STT PAGOS_'!F66</f>
        <v>186930</v>
      </c>
      <c r="T64" s="612">
        <f>+'_DATA STT PAGOS_'!Q66</f>
        <v>3519412.713</v>
      </c>
      <c r="U64" s="613" t="str">
        <f>SUBSTITUTE((IFERROR(VLOOKUP(A64,'DATOS IND MINERO'!$H$2:$L$113,4,0),"No")),"í","I",1)</f>
        <v>No</v>
      </c>
      <c r="V64" s="614">
        <f>IFERROR(VLOOKUP(A64,'DATOS IND MINERO'!$H$2:$L$113,5,0),0)</f>
        <v>0</v>
      </c>
      <c r="W64" s="611">
        <f>+'_DATA STT PAGOS_'!G66</f>
        <v>0</v>
      </c>
      <c r="X64" s="611">
        <f>+'_DATA STT PAGOS_'!J66</f>
        <v>3853502.2779999999</v>
      </c>
      <c r="Y64" s="609">
        <v>90647</v>
      </c>
      <c r="Z64" s="609">
        <v>63455</v>
      </c>
      <c r="AA64" s="609">
        <v>68083</v>
      </c>
      <c r="AB64" s="609">
        <v>59774</v>
      </c>
      <c r="AC64" s="609">
        <v>281959</v>
      </c>
      <c r="AD64" s="609">
        <v>6295</v>
      </c>
      <c r="AE64" s="609">
        <v>3709</v>
      </c>
      <c r="AF64" s="609">
        <v>4223.9690000000001</v>
      </c>
      <c r="AG64" s="609">
        <v>3236</v>
      </c>
      <c r="AH64" s="609">
        <v>17463.969000000001</v>
      </c>
      <c r="AI64" s="209"/>
    </row>
    <row r="65" spans="1:35" x14ac:dyDescent="0.25">
      <c r="A65" s="201">
        <v>5504</v>
      </c>
      <c r="B65" s="201">
        <v>5505</v>
      </c>
      <c r="C65" s="201" t="s">
        <v>109</v>
      </c>
      <c r="D65" s="609">
        <v>27898</v>
      </c>
      <c r="E65" s="610">
        <v>3.1732843225444569E-2</v>
      </c>
      <c r="F65" s="609">
        <v>98941.030622158767</v>
      </c>
      <c r="G65" s="609">
        <v>7050</v>
      </c>
      <c r="H65" s="609">
        <v>9691</v>
      </c>
      <c r="I65" s="609">
        <v>244430548971</v>
      </c>
      <c r="J65" s="609">
        <v>520173747197</v>
      </c>
      <c r="K65" s="608">
        <v>0</v>
      </c>
      <c r="L65" s="608">
        <v>0</v>
      </c>
      <c r="M65" s="609">
        <v>2735857</v>
      </c>
      <c r="N65" s="609">
        <f t="shared" si="3"/>
        <v>2735857</v>
      </c>
      <c r="O65" s="609">
        <f t="shared" si="4"/>
        <v>2735857</v>
      </c>
      <c r="P65" s="609">
        <f t="shared" si="5"/>
        <v>2735857</v>
      </c>
      <c r="Q65" s="611">
        <f>+'_DATA STT PAGOS_'!D67</f>
        <v>2898347.5759999999</v>
      </c>
      <c r="R65" s="611">
        <f>+'_DATA STT PAGOS_'!E67</f>
        <v>241528.96466666667</v>
      </c>
      <c r="S65" s="611">
        <f>+'_DATA STT PAGOS_'!F67</f>
        <v>190808</v>
      </c>
      <c r="T65" s="612">
        <f>+'_DATA STT PAGOS_'!Q67</f>
        <v>3652236.497</v>
      </c>
      <c r="U65" s="613" t="str">
        <f>SUBSTITUTE((IFERROR(VLOOKUP(A65,'DATOS IND MINERO'!$H$2:$L$113,4,0),"No")),"í","I",1)</f>
        <v>No</v>
      </c>
      <c r="V65" s="614">
        <f>IFERROR(VLOOKUP(A65,'DATOS IND MINERO'!$H$2:$L$113,5,0),0)</f>
        <v>0</v>
      </c>
      <c r="W65" s="611">
        <f>+'_DATA STT PAGOS_'!G67</f>
        <v>0</v>
      </c>
      <c r="X65" s="611">
        <f>+'_DATA STT PAGOS_'!J67</f>
        <v>3929495.3259999999</v>
      </c>
      <c r="Y65" s="609">
        <v>90198</v>
      </c>
      <c r="Z65" s="609">
        <v>42664</v>
      </c>
      <c r="AA65" s="609">
        <v>58661</v>
      </c>
      <c r="AB65" s="609">
        <v>37608</v>
      </c>
      <c r="AC65" s="609">
        <v>229131</v>
      </c>
      <c r="AD65" s="609">
        <v>15077</v>
      </c>
      <c r="AE65" s="609">
        <v>6667</v>
      </c>
      <c r="AF65" s="609">
        <v>8435.3119999999999</v>
      </c>
      <c r="AG65" s="609">
        <v>5791</v>
      </c>
      <c r="AH65" s="609">
        <v>35970.311999999998</v>
      </c>
      <c r="AI65" s="209"/>
    </row>
    <row r="66" spans="1:35" x14ac:dyDescent="0.25">
      <c r="A66" s="201">
        <v>5506</v>
      </c>
      <c r="B66" s="201">
        <v>5502</v>
      </c>
      <c r="C66" s="201" t="s">
        <v>106</v>
      </c>
      <c r="D66" s="609">
        <v>23645</v>
      </c>
      <c r="E66" s="610">
        <v>5.5620380743951918E-2</v>
      </c>
      <c r="F66" s="609">
        <v>146241.53599616233</v>
      </c>
      <c r="G66" s="609">
        <v>6495</v>
      </c>
      <c r="H66" s="609">
        <v>8130</v>
      </c>
      <c r="I66" s="609">
        <v>138802102256</v>
      </c>
      <c r="J66" s="609">
        <v>340718360691</v>
      </c>
      <c r="K66" s="608">
        <v>0</v>
      </c>
      <c r="L66" s="608">
        <v>0</v>
      </c>
      <c r="M66" s="609">
        <v>2382743</v>
      </c>
      <c r="N66" s="609">
        <f t="shared" si="3"/>
        <v>2382743</v>
      </c>
      <c r="O66" s="609">
        <f t="shared" si="4"/>
        <v>2382743</v>
      </c>
      <c r="P66" s="609">
        <f t="shared" si="5"/>
        <v>2382743</v>
      </c>
      <c r="Q66" s="611">
        <f>+'_DATA STT PAGOS_'!D68</f>
        <v>3218586.35</v>
      </c>
      <c r="R66" s="611">
        <f>+'_DATA STT PAGOS_'!E68</f>
        <v>268215.52916666667</v>
      </c>
      <c r="S66" s="611">
        <f>+'_DATA STT PAGOS_'!F68</f>
        <v>211890</v>
      </c>
      <c r="T66" s="612">
        <f>+'_DATA STT PAGOS_'!Q68</f>
        <v>3960110.0520000001</v>
      </c>
      <c r="U66" s="613" t="str">
        <f>SUBSTITUTE((IFERROR(VLOOKUP(A66,'DATOS IND MINERO'!$H$2:$L$113,4,0),"No")),"í","I",1)</f>
        <v>SI</v>
      </c>
      <c r="V66" s="614">
        <f>IFERROR(VLOOKUP(A66,'DATOS IND MINERO'!$H$2:$L$113,5,0),0)</f>
        <v>6.32933461E-3</v>
      </c>
      <c r="W66" s="611">
        <f>+'_DATA STT PAGOS_'!G68</f>
        <v>0</v>
      </c>
      <c r="X66" s="611">
        <f>+'_DATA STT PAGOS_'!J68</f>
        <v>4364199.2719999999</v>
      </c>
      <c r="Y66" s="609">
        <v>82761</v>
      </c>
      <c r="Z66" s="609">
        <v>63354</v>
      </c>
      <c r="AA66" s="609">
        <v>70540</v>
      </c>
      <c r="AB66" s="609">
        <v>61525</v>
      </c>
      <c r="AC66" s="609">
        <v>278180</v>
      </c>
      <c r="AD66" s="609">
        <v>1532</v>
      </c>
      <c r="AE66" s="609">
        <v>921</v>
      </c>
      <c r="AF66" s="609">
        <v>1179.903</v>
      </c>
      <c r="AG66" s="609">
        <v>1089</v>
      </c>
      <c r="AH66" s="609">
        <v>4721.9030000000002</v>
      </c>
      <c r="AI66" s="209"/>
    </row>
    <row r="67" spans="1:35" x14ac:dyDescent="0.25">
      <c r="A67" s="201">
        <v>5601</v>
      </c>
      <c r="B67" s="201">
        <v>5401</v>
      </c>
      <c r="C67" s="201" t="s">
        <v>99</v>
      </c>
      <c r="D67" s="609">
        <v>98579</v>
      </c>
      <c r="E67" s="610">
        <v>6.6310995299159126E-2</v>
      </c>
      <c r="F67" s="609">
        <v>1066567.7997945221</v>
      </c>
      <c r="G67" s="609">
        <v>29730</v>
      </c>
      <c r="H67" s="609">
        <v>35874</v>
      </c>
      <c r="I67" s="609">
        <v>1004506304871</v>
      </c>
      <c r="J67" s="609">
        <v>1984226727194</v>
      </c>
      <c r="K67" s="608">
        <v>0</v>
      </c>
      <c r="L67" s="608">
        <v>0</v>
      </c>
      <c r="M67" s="609">
        <v>11866198</v>
      </c>
      <c r="N67" s="609">
        <f t="shared" si="3"/>
        <v>11866198</v>
      </c>
      <c r="O67" s="609">
        <f t="shared" si="4"/>
        <v>11866198</v>
      </c>
      <c r="P67" s="609">
        <f t="shared" si="5"/>
        <v>11866198</v>
      </c>
      <c r="Q67" s="611">
        <f>+'_DATA STT PAGOS_'!D69</f>
        <v>9663049.9279999994</v>
      </c>
      <c r="R67" s="611">
        <f>+'_DATA STT PAGOS_'!E69</f>
        <v>805254.16066666658</v>
      </c>
      <c r="S67" s="611">
        <f>+'_DATA STT PAGOS_'!F69</f>
        <v>636151</v>
      </c>
      <c r="T67" s="612">
        <f>+'_DATA STT PAGOS_'!Q69</f>
        <v>12304345.452</v>
      </c>
      <c r="U67" s="613" t="str">
        <f>SUBSTITUTE((IFERROR(VLOOKUP(A67,'DATOS IND MINERO'!$H$2:$L$113,4,0),"No")),"í","I",1)</f>
        <v>No</v>
      </c>
      <c r="V67" s="614">
        <f>IFERROR(VLOOKUP(A67,'DATOS IND MINERO'!$H$2:$L$113,5,0),0)</f>
        <v>0</v>
      </c>
      <c r="W67" s="611">
        <f>+'_DATA STT PAGOS_'!G69</f>
        <v>0</v>
      </c>
      <c r="X67" s="611">
        <f>+'_DATA STT PAGOS_'!J69</f>
        <v>13109146.607999999</v>
      </c>
      <c r="Y67" s="609">
        <v>611350</v>
      </c>
      <c r="Z67" s="609">
        <v>529621</v>
      </c>
      <c r="AA67" s="609">
        <v>523257</v>
      </c>
      <c r="AB67" s="609">
        <v>456620</v>
      </c>
      <c r="AC67" s="609">
        <v>2120848</v>
      </c>
      <c r="AD67" s="609">
        <v>17288</v>
      </c>
      <c r="AE67" s="609">
        <v>10112</v>
      </c>
      <c r="AF67" s="609">
        <v>11267.019</v>
      </c>
      <c r="AG67" s="609">
        <v>8963</v>
      </c>
      <c r="AH67" s="609">
        <v>47630.019</v>
      </c>
      <c r="AI67" s="209"/>
    </row>
    <row r="68" spans="1:35" x14ac:dyDescent="0.25">
      <c r="A68" s="201">
        <v>5602</v>
      </c>
      <c r="B68" s="201">
        <v>5406</v>
      </c>
      <c r="C68" s="201" t="s">
        <v>104</v>
      </c>
      <c r="D68" s="609">
        <v>16095</v>
      </c>
      <c r="E68" s="610">
        <v>6.0638679521410818E-2</v>
      </c>
      <c r="F68" s="609">
        <v>3024502.5704889912</v>
      </c>
      <c r="G68" s="609">
        <v>7975</v>
      </c>
      <c r="H68" s="609">
        <v>30924</v>
      </c>
      <c r="I68" s="609">
        <v>383211817332</v>
      </c>
      <c r="J68" s="609">
        <v>1956139493959</v>
      </c>
      <c r="K68" s="608">
        <v>0</v>
      </c>
      <c r="L68" s="608">
        <v>0</v>
      </c>
      <c r="M68" s="609">
        <v>9376496</v>
      </c>
      <c r="N68" s="609">
        <f t="shared" si="3"/>
        <v>9376496</v>
      </c>
      <c r="O68" s="609">
        <f t="shared" si="4"/>
        <v>9376496</v>
      </c>
      <c r="P68" s="609">
        <f t="shared" si="5"/>
        <v>9376496</v>
      </c>
      <c r="Q68" s="611">
        <f>+'_DATA STT PAGOS_'!D70</f>
        <v>1822419.031</v>
      </c>
      <c r="R68" s="611">
        <f>+'_DATA STT PAGOS_'!E70</f>
        <v>151868.25258333332</v>
      </c>
      <c r="S68" s="611">
        <f>+'_DATA STT PAGOS_'!F70</f>
        <v>119976</v>
      </c>
      <c r="T68" s="612">
        <f>+'_DATA STT PAGOS_'!Q70</f>
        <v>2362849.7059999998</v>
      </c>
      <c r="U68" s="613" t="str">
        <f>SUBSTITUTE((IFERROR(VLOOKUP(A68,'DATOS IND MINERO'!$H$2:$L$113,4,0),"No")),"í","I",1)</f>
        <v>No</v>
      </c>
      <c r="V68" s="614">
        <f>IFERROR(VLOOKUP(A68,'DATOS IND MINERO'!$H$2:$L$113,5,0),0)</f>
        <v>0</v>
      </c>
      <c r="W68" s="611">
        <f>+'_DATA STT PAGOS_'!G70</f>
        <v>0</v>
      </c>
      <c r="X68" s="611">
        <f>+'_DATA STT PAGOS_'!J70</f>
        <v>2473005.5690000001</v>
      </c>
      <c r="Y68" s="609">
        <v>582775</v>
      </c>
      <c r="Z68" s="609">
        <v>308073</v>
      </c>
      <c r="AA68" s="609">
        <v>419457</v>
      </c>
      <c r="AB68" s="609">
        <v>306223</v>
      </c>
      <c r="AC68" s="609">
        <v>1616528</v>
      </c>
      <c r="AD68" s="609">
        <v>166496</v>
      </c>
      <c r="AE68" s="609">
        <v>70016</v>
      </c>
      <c r="AF68" s="609">
        <v>94413.146999999997</v>
      </c>
      <c r="AG68" s="609">
        <v>66409</v>
      </c>
      <c r="AH68" s="609">
        <v>397334.147</v>
      </c>
      <c r="AI68" s="209"/>
    </row>
    <row r="69" spans="1:35" x14ac:dyDescent="0.25">
      <c r="A69" s="201">
        <v>5603</v>
      </c>
      <c r="B69" s="201">
        <v>5403</v>
      </c>
      <c r="C69" s="201" t="s">
        <v>101</v>
      </c>
      <c r="D69" s="609">
        <v>27065</v>
      </c>
      <c r="E69" s="610">
        <v>7.4217624086270806E-2</v>
      </c>
      <c r="F69" s="609">
        <v>1456886.0159293332</v>
      </c>
      <c r="G69" s="609">
        <v>11066</v>
      </c>
      <c r="H69" s="609">
        <v>13287</v>
      </c>
      <c r="I69" s="609">
        <v>243410476796</v>
      </c>
      <c r="J69" s="609">
        <v>391212212992</v>
      </c>
      <c r="K69" s="608">
        <v>0</v>
      </c>
      <c r="L69" s="608">
        <v>0</v>
      </c>
      <c r="M69" s="609">
        <v>2207228</v>
      </c>
      <c r="N69" s="609">
        <f t="shared" si="3"/>
        <v>2207228</v>
      </c>
      <c r="O69" s="609">
        <f t="shared" si="4"/>
        <v>2207228</v>
      </c>
      <c r="P69" s="609">
        <f t="shared" si="5"/>
        <v>2207228</v>
      </c>
      <c r="Q69" s="611">
        <f>+'_DATA STT PAGOS_'!D71</f>
        <v>11236571.761</v>
      </c>
      <c r="R69" s="611">
        <f>+'_DATA STT PAGOS_'!E71</f>
        <v>936380.98008333333</v>
      </c>
      <c r="S69" s="611">
        <f>+'_DATA STT PAGOS_'!F71</f>
        <v>739741</v>
      </c>
      <c r="T69" s="612">
        <f>+'_DATA STT PAGOS_'!Q71</f>
        <v>14938002.812000001</v>
      </c>
      <c r="U69" s="613" t="str">
        <f>SUBSTITUTE((IFERROR(VLOOKUP(A69,'DATOS IND MINERO'!$H$2:$L$113,4,0),"No")),"í","I",1)</f>
        <v>No</v>
      </c>
      <c r="V69" s="614">
        <f>IFERROR(VLOOKUP(A69,'DATOS IND MINERO'!$H$2:$L$113,5,0),0)</f>
        <v>0</v>
      </c>
      <c r="W69" s="611">
        <f>+'_DATA STT PAGOS_'!G71</f>
        <v>0</v>
      </c>
      <c r="X69" s="611">
        <f>+'_DATA STT PAGOS_'!J71</f>
        <v>15242571.33</v>
      </c>
      <c r="Y69" s="609">
        <v>64430</v>
      </c>
      <c r="Z69" s="609">
        <v>47508</v>
      </c>
      <c r="AA69" s="609">
        <v>52355</v>
      </c>
      <c r="AB69" s="609">
        <v>49786</v>
      </c>
      <c r="AC69" s="609">
        <v>214079</v>
      </c>
      <c r="AD69" s="609">
        <v>14253</v>
      </c>
      <c r="AE69" s="609">
        <v>7615</v>
      </c>
      <c r="AF69" s="609">
        <v>9604.67</v>
      </c>
      <c r="AG69" s="609">
        <v>7902</v>
      </c>
      <c r="AH69" s="609">
        <v>39374.67</v>
      </c>
      <c r="AI69" s="209"/>
    </row>
    <row r="70" spans="1:35" x14ac:dyDescent="0.25">
      <c r="A70" s="201">
        <v>5604</v>
      </c>
      <c r="B70" s="201">
        <v>5405</v>
      </c>
      <c r="C70" s="201" t="s">
        <v>103</v>
      </c>
      <c r="D70" s="609">
        <v>18840</v>
      </c>
      <c r="E70" s="610">
        <v>8.9556034656926742E-2</v>
      </c>
      <c r="F70" s="609">
        <v>2767573.0570041891</v>
      </c>
      <c r="G70" s="609">
        <v>11940</v>
      </c>
      <c r="H70" s="609">
        <v>17430</v>
      </c>
      <c r="I70" s="609">
        <v>430466431775</v>
      </c>
      <c r="J70" s="609">
        <v>845135206250</v>
      </c>
      <c r="K70" s="608">
        <v>0</v>
      </c>
      <c r="L70" s="608">
        <v>0</v>
      </c>
      <c r="M70" s="609">
        <v>3469805</v>
      </c>
      <c r="N70" s="609">
        <f t="shared" ref="N70:N133" si="6">+M70</f>
        <v>3469805</v>
      </c>
      <c r="O70" s="609">
        <f t="shared" ref="O70:O133" si="7">+M70+K70</f>
        <v>3469805</v>
      </c>
      <c r="P70" s="609">
        <f t="shared" ref="P70:P133" si="8">+M70+K70</f>
        <v>3469805</v>
      </c>
      <c r="Q70" s="611">
        <f>+'_DATA STT PAGOS_'!D72</f>
        <v>15640618.529999999</v>
      </c>
      <c r="R70" s="611">
        <f>+'_DATA STT PAGOS_'!E72</f>
        <v>1303384.8774999999</v>
      </c>
      <c r="S70" s="611">
        <f>+'_DATA STT PAGOS_'!F72</f>
        <v>1029674</v>
      </c>
      <c r="T70" s="612">
        <f>+'_DATA STT PAGOS_'!Q72</f>
        <v>18809598.028999999</v>
      </c>
      <c r="U70" s="613" t="str">
        <f>SUBSTITUTE((IFERROR(VLOOKUP(A70,'DATOS IND MINERO'!$H$2:$L$113,4,0),"No")),"í","I",1)</f>
        <v>No</v>
      </c>
      <c r="V70" s="614">
        <f>IFERROR(VLOOKUP(A70,'DATOS IND MINERO'!$H$2:$L$113,5,0),0)</f>
        <v>0</v>
      </c>
      <c r="W70" s="611">
        <f>+'_DATA STT PAGOS_'!G72</f>
        <v>0</v>
      </c>
      <c r="X70" s="611">
        <f>+'_DATA STT PAGOS_'!J72</f>
        <v>21220256.642999999</v>
      </c>
      <c r="Y70" s="609">
        <v>184915</v>
      </c>
      <c r="Z70" s="609">
        <v>121539</v>
      </c>
      <c r="AA70" s="609">
        <v>138653</v>
      </c>
      <c r="AB70" s="609">
        <v>109930</v>
      </c>
      <c r="AC70" s="609">
        <v>555037</v>
      </c>
      <c r="AD70" s="609">
        <v>52829</v>
      </c>
      <c r="AE70" s="609">
        <v>26431</v>
      </c>
      <c r="AF70" s="609">
        <v>30395.723999999998</v>
      </c>
      <c r="AG70" s="609">
        <v>23347</v>
      </c>
      <c r="AH70" s="609">
        <v>133002.72399999999</v>
      </c>
      <c r="AI70" s="209"/>
    </row>
    <row r="71" spans="1:35" x14ac:dyDescent="0.25">
      <c r="A71" s="201">
        <v>5605</v>
      </c>
      <c r="B71" s="201">
        <v>5404</v>
      </c>
      <c r="C71" s="201" t="s">
        <v>102</v>
      </c>
      <c r="D71" s="609">
        <v>15196</v>
      </c>
      <c r="E71" s="610">
        <v>3.3090255825937651E-2</v>
      </c>
      <c r="F71" s="609">
        <v>3125597.6530338274</v>
      </c>
      <c r="G71" s="609">
        <v>12965</v>
      </c>
      <c r="H71" s="609">
        <v>17167</v>
      </c>
      <c r="I71" s="609">
        <v>380017524686</v>
      </c>
      <c r="J71" s="609">
        <v>646323747809</v>
      </c>
      <c r="K71" s="608">
        <v>0</v>
      </c>
      <c r="L71" s="608">
        <v>0</v>
      </c>
      <c r="M71" s="609">
        <v>2724821</v>
      </c>
      <c r="N71" s="609">
        <f t="shared" si="6"/>
        <v>2724821</v>
      </c>
      <c r="O71" s="609">
        <f t="shared" si="7"/>
        <v>2724821</v>
      </c>
      <c r="P71" s="609">
        <f t="shared" si="8"/>
        <v>2724821</v>
      </c>
      <c r="Q71" s="611">
        <f>+'_DATA STT PAGOS_'!D73</f>
        <v>15993531.819</v>
      </c>
      <c r="R71" s="611">
        <f>+'_DATA STT PAGOS_'!E73</f>
        <v>1332794.31825</v>
      </c>
      <c r="S71" s="611">
        <f>+'_DATA STT PAGOS_'!F73</f>
        <v>1052908</v>
      </c>
      <c r="T71" s="612">
        <f>+'_DATA STT PAGOS_'!Q73</f>
        <v>17731237.168000001</v>
      </c>
      <c r="U71" s="613" t="str">
        <f>SUBSTITUTE((IFERROR(VLOOKUP(A71,'DATOS IND MINERO'!$H$2:$L$113,4,0),"No")),"í","I",1)</f>
        <v>No</v>
      </c>
      <c r="V71" s="614">
        <f>IFERROR(VLOOKUP(A71,'DATOS IND MINERO'!$H$2:$L$113,5,0),0)</f>
        <v>0</v>
      </c>
      <c r="W71" s="611">
        <f>+'_DATA STT PAGOS_'!G73</f>
        <v>0</v>
      </c>
      <c r="X71" s="611">
        <f>+'_DATA STT PAGOS_'!J73</f>
        <v>21688459.668000001</v>
      </c>
      <c r="Y71" s="609">
        <v>70711</v>
      </c>
      <c r="Z71" s="609">
        <v>54267</v>
      </c>
      <c r="AA71" s="609">
        <v>63880</v>
      </c>
      <c r="AB71" s="609">
        <v>53393</v>
      </c>
      <c r="AC71" s="609">
        <v>242251</v>
      </c>
      <c r="AD71" s="609">
        <v>15549</v>
      </c>
      <c r="AE71" s="609">
        <v>6242</v>
      </c>
      <c r="AF71" s="609">
        <v>8705.8289999999997</v>
      </c>
      <c r="AG71" s="609">
        <v>6969</v>
      </c>
      <c r="AH71" s="609">
        <v>37465.828999999998</v>
      </c>
      <c r="AI71" s="209"/>
    </row>
    <row r="72" spans="1:35" x14ac:dyDescent="0.25">
      <c r="A72" s="201">
        <v>5606</v>
      </c>
      <c r="B72" s="201">
        <v>5402</v>
      </c>
      <c r="C72" s="201" t="s">
        <v>100</v>
      </c>
      <c r="D72" s="609">
        <v>12609</v>
      </c>
      <c r="E72" s="610">
        <v>5.9781776607428609E-2</v>
      </c>
      <c r="F72" s="609">
        <v>937732.06569183327</v>
      </c>
      <c r="G72" s="609">
        <v>6558</v>
      </c>
      <c r="H72" s="609">
        <v>15252</v>
      </c>
      <c r="I72" s="609">
        <v>273009454655</v>
      </c>
      <c r="J72" s="609">
        <v>1202949982191</v>
      </c>
      <c r="K72" s="608">
        <v>0</v>
      </c>
      <c r="L72" s="608">
        <v>0</v>
      </c>
      <c r="M72" s="609">
        <v>17563428</v>
      </c>
      <c r="N72" s="609">
        <f t="shared" si="6"/>
        <v>17563428</v>
      </c>
      <c r="O72" s="609">
        <f t="shared" si="7"/>
        <v>17563428</v>
      </c>
      <c r="P72" s="609">
        <f t="shared" si="8"/>
        <v>17563428</v>
      </c>
      <c r="Q72" s="611">
        <f>+'_DATA STT PAGOS_'!D74</f>
        <v>1914113.497</v>
      </c>
      <c r="R72" s="611">
        <f>+'_DATA STT PAGOS_'!E74</f>
        <v>159509.45808333333</v>
      </c>
      <c r="S72" s="611">
        <f>+'_DATA STT PAGOS_'!F74</f>
        <v>126012</v>
      </c>
      <c r="T72" s="612">
        <f>+'_DATA STT PAGOS_'!Q74</f>
        <v>2473739.514</v>
      </c>
      <c r="U72" s="613" t="str">
        <f>SUBSTITUTE((IFERROR(VLOOKUP(A72,'DATOS IND MINERO'!$H$2:$L$113,4,0),"No")),"í","I",1)</f>
        <v>No</v>
      </c>
      <c r="V72" s="614">
        <f>IFERROR(VLOOKUP(A72,'DATOS IND MINERO'!$H$2:$L$113,5,0),0)</f>
        <v>0</v>
      </c>
      <c r="W72" s="611">
        <f>+'_DATA STT PAGOS_'!G74</f>
        <v>0</v>
      </c>
      <c r="X72" s="611">
        <f>+'_DATA STT PAGOS_'!J74</f>
        <v>2597872.92</v>
      </c>
      <c r="Y72" s="609">
        <v>441087</v>
      </c>
      <c r="Z72" s="609">
        <v>236904</v>
      </c>
      <c r="AA72" s="609">
        <v>308008</v>
      </c>
      <c r="AB72" s="609">
        <v>226396</v>
      </c>
      <c r="AC72" s="609">
        <v>1212395</v>
      </c>
      <c r="AD72" s="609">
        <v>94782</v>
      </c>
      <c r="AE72" s="609">
        <v>49708</v>
      </c>
      <c r="AF72" s="609">
        <v>62177.010999999999</v>
      </c>
      <c r="AG72" s="609">
        <v>45560</v>
      </c>
      <c r="AH72" s="609">
        <v>252227.011</v>
      </c>
      <c r="AI72" s="209"/>
    </row>
    <row r="73" spans="1:35" x14ac:dyDescent="0.25">
      <c r="A73" s="201">
        <v>5701</v>
      </c>
      <c r="B73" s="201">
        <v>5601</v>
      </c>
      <c r="C73" s="201" t="s">
        <v>111</v>
      </c>
      <c r="D73" s="609">
        <v>86838</v>
      </c>
      <c r="E73" s="610">
        <v>7.0200091599420145E-2</v>
      </c>
      <c r="F73" s="609">
        <v>324527.14736467245</v>
      </c>
      <c r="G73" s="609">
        <v>25772</v>
      </c>
      <c r="H73" s="609">
        <v>32065</v>
      </c>
      <c r="I73" s="609">
        <v>787392531140</v>
      </c>
      <c r="J73" s="609">
        <v>1516552364327</v>
      </c>
      <c r="K73" s="608">
        <v>0</v>
      </c>
      <c r="L73" s="608">
        <v>0</v>
      </c>
      <c r="M73" s="609">
        <v>6795136</v>
      </c>
      <c r="N73" s="609">
        <f t="shared" si="6"/>
        <v>6795136</v>
      </c>
      <c r="O73" s="609">
        <f t="shared" si="7"/>
        <v>6795136</v>
      </c>
      <c r="P73" s="609">
        <f t="shared" si="8"/>
        <v>6795136</v>
      </c>
      <c r="Q73" s="611">
        <f>+'_DATA STT PAGOS_'!D75</f>
        <v>8967904.1119999997</v>
      </c>
      <c r="R73" s="611">
        <f>+'_DATA STT PAGOS_'!E75</f>
        <v>747325.34266666661</v>
      </c>
      <c r="S73" s="611">
        <f>+'_DATA STT PAGOS_'!F75</f>
        <v>590387</v>
      </c>
      <c r="T73" s="612">
        <f>+'_DATA STT PAGOS_'!Q75</f>
        <v>12056865.558</v>
      </c>
      <c r="U73" s="613" t="str">
        <f>SUBSTITUTE((IFERROR(VLOOKUP(A73,'DATOS IND MINERO'!$H$2:$L$113,4,0),"No")),"í","I",1)</f>
        <v>SI</v>
      </c>
      <c r="V73" s="614">
        <f>IFERROR(VLOOKUP(A73,'DATOS IND MINERO'!$H$2:$L$113,5,0),0)</f>
        <v>2.7626905799999998E-3</v>
      </c>
      <c r="W73" s="611">
        <f>+'_DATA STT PAGOS_'!G75</f>
        <v>0</v>
      </c>
      <c r="X73" s="611">
        <f>+'_DATA STT PAGOS_'!J75</f>
        <v>12169651.806</v>
      </c>
      <c r="Y73" s="609">
        <v>297282</v>
      </c>
      <c r="Z73" s="609">
        <v>223372</v>
      </c>
      <c r="AA73" s="609">
        <v>242978</v>
      </c>
      <c r="AB73" s="609">
        <v>208525</v>
      </c>
      <c r="AC73" s="609">
        <v>972157</v>
      </c>
      <c r="AD73" s="609">
        <v>24950</v>
      </c>
      <c r="AE73" s="609">
        <v>13140</v>
      </c>
      <c r="AF73" s="609">
        <v>15517.422</v>
      </c>
      <c r="AG73" s="609">
        <v>11206</v>
      </c>
      <c r="AH73" s="609">
        <v>64813.421999999999</v>
      </c>
      <c r="AI73" s="209"/>
    </row>
    <row r="74" spans="1:35" x14ac:dyDescent="0.25">
      <c r="A74" s="201">
        <v>5702</v>
      </c>
      <c r="B74" s="201">
        <v>5603</v>
      </c>
      <c r="C74" s="201" t="s">
        <v>113</v>
      </c>
      <c r="D74" s="609">
        <v>15714</v>
      </c>
      <c r="E74" s="610">
        <v>0.1204219901044855</v>
      </c>
      <c r="F74" s="609">
        <v>85286.103211084701</v>
      </c>
      <c r="G74" s="609">
        <v>4949</v>
      </c>
      <c r="H74" s="609">
        <v>6477</v>
      </c>
      <c r="I74" s="609">
        <v>84938834790</v>
      </c>
      <c r="J74" s="609">
        <v>248157482563</v>
      </c>
      <c r="K74" s="608">
        <v>0</v>
      </c>
      <c r="L74" s="608">
        <v>0</v>
      </c>
      <c r="M74" s="609">
        <v>1881281</v>
      </c>
      <c r="N74" s="609">
        <f t="shared" si="6"/>
        <v>1881281</v>
      </c>
      <c r="O74" s="609">
        <f t="shared" si="7"/>
        <v>1881281</v>
      </c>
      <c r="P74" s="609">
        <f t="shared" si="8"/>
        <v>1881281</v>
      </c>
      <c r="Q74" s="611">
        <f>+'_DATA STT PAGOS_'!D76</f>
        <v>2616538.6949999998</v>
      </c>
      <c r="R74" s="611">
        <f>+'_DATA STT PAGOS_'!E76</f>
        <v>218044.89124999999</v>
      </c>
      <c r="S74" s="611">
        <f>+'_DATA STT PAGOS_'!F76</f>
        <v>172255</v>
      </c>
      <c r="T74" s="612">
        <f>+'_DATA STT PAGOS_'!Q76</f>
        <v>3320782.5819999999</v>
      </c>
      <c r="U74" s="613" t="str">
        <f>SUBSTITUTE((IFERROR(VLOOKUP(A74,'DATOS IND MINERO'!$H$2:$L$113,4,0),"No")),"í","I",1)</f>
        <v>SI</v>
      </c>
      <c r="V74" s="614">
        <f>IFERROR(VLOOKUP(A74,'DATOS IND MINERO'!$H$2:$L$113,5,0),0)</f>
        <v>1.158419112E-2</v>
      </c>
      <c r="W74" s="611">
        <f>+'_DATA STT PAGOS_'!G76</f>
        <v>0</v>
      </c>
      <c r="X74" s="611">
        <f>+'_DATA STT PAGOS_'!J76</f>
        <v>3554628.4339999994</v>
      </c>
      <c r="Y74" s="609">
        <v>51678</v>
      </c>
      <c r="Z74" s="609">
        <v>33109</v>
      </c>
      <c r="AA74" s="609">
        <v>43067</v>
      </c>
      <c r="AB74" s="609">
        <v>29294</v>
      </c>
      <c r="AC74" s="609">
        <v>157148</v>
      </c>
      <c r="AD74" s="609">
        <v>531</v>
      </c>
      <c r="AE74" s="609">
        <v>353</v>
      </c>
      <c r="AF74" s="609">
        <v>239.215</v>
      </c>
      <c r="AG74" s="609">
        <v>242</v>
      </c>
      <c r="AH74" s="609">
        <v>1365.2149999999999</v>
      </c>
      <c r="AI74" s="209"/>
    </row>
    <row r="75" spans="1:35" x14ac:dyDescent="0.25">
      <c r="A75" s="201">
        <v>5703</v>
      </c>
      <c r="B75" s="201">
        <v>5606</v>
      </c>
      <c r="C75" s="201" t="s">
        <v>0</v>
      </c>
      <c r="D75" s="609">
        <v>27286</v>
      </c>
      <c r="E75" s="610">
        <v>9.1859048888949135E-2</v>
      </c>
      <c r="F75" s="609">
        <v>320148.1389750744</v>
      </c>
      <c r="G75" s="609">
        <v>7946</v>
      </c>
      <c r="H75" s="609">
        <v>10199</v>
      </c>
      <c r="I75" s="609">
        <v>159367870585</v>
      </c>
      <c r="J75" s="609">
        <v>344497818192</v>
      </c>
      <c r="K75" s="608">
        <v>0</v>
      </c>
      <c r="L75" s="608">
        <v>0</v>
      </c>
      <c r="M75" s="609">
        <v>2221509</v>
      </c>
      <c r="N75" s="609">
        <f t="shared" si="6"/>
        <v>2221509</v>
      </c>
      <c r="O75" s="609">
        <f t="shared" si="7"/>
        <v>2221509</v>
      </c>
      <c r="P75" s="609">
        <f t="shared" si="8"/>
        <v>2221509</v>
      </c>
      <c r="Q75" s="611">
        <f>+'_DATA STT PAGOS_'!D77</f>
        <v>3990872.463</v>
      </c>
      <c r="R75" s="611">
        <f>+'_DATA STT PAGOS_'!E77</f>
        <v>332572.70525</v>
      </c>
      <c r="S75" s="611">
        <f>+'_DATA STT PAGOS_'!F77</f>
        <v>262732</v>
      </c>
      <c r="T75" s="612">
        <f>+'_DATA STT PAGOS_'!Q77</f>
        <v>4749461.3969999999</v>
      </c>
      <c r="U75" s="613" t="str">
        <f>SUBSTITUTE((IFERROR(VLOOKUP(A75,'DATOS IND MINERO'!$H$2:$L$113,4,0),"No")),"í","I",1)</f>
        <v>No</v>
      </c>
      <c r="V75" s="614">
        <f>IFERROR(VLOOKUP(A75,'DATOS IND MINERO'!$H$2:$L$113,5,0),0)</f>
        <v>0</v>
      </c>
      <c r="W75" s="611">
        <f>+'_DATA STT PAGOS_'!G77</f>
        <v>0</v>
      </c>
      <c r="X75" s="611">
        <f>+'_DATA STT PAGOS_'!J77</f>
        <v>5416366.8399999999</v>
      </c>
      <c r="Y75" s="609">
        <v>70111</v>
      </c>
      <c r="Z75" s="609">
        <v>48588</v>
      </c>
      <c r="AA75" s="609">
        <v>58292</v>
      </c>
      <c r="AB75" s="609">
        <v>49417</v>
      </c>
      <c r="AC75" s="609">
        <v>226408</v>
      </c>
      <c r="AD75" s="609">
        <v>960</v>
      </c>
      <c r="AE75" s="609">
        <v>448</v>
      </c>
      <c r="AF75" s="609">
        <v>637.31700000000001</v>
      </c>
      <c r="AG75" s="609">
        <v>453</v>
      </c>
      <c r="AH75" s="609">
        <v>2498.317</v>
      </c>
      <c r="AI75" s="209"/>
    </row>
    <row r="76" spans="1:35" x14ac:dyDescent="0.25">
      <c r="A76" s="201">
        <v>5704</v>
      </c>
      <c r="B76" s="201">
        <v>5602</v>
      </c>
      <c r="C76" s="201" t="s">
        <v>112</v>
      </c>
      <c r="D76" s="609">
        <v>7841</v>
      </c>
      <c r="E76" s="610">
        <v>9.4899308833768473E-2</v>
      </c>
      <c r="F76" s="609">
        <v>138921.42095954673</v>
      </c>
      <c r="G76" s="609">
        <v>2001</v>
      </c>
      <c r="H76" s="609">
        <v>2962</v>
      </c>
      <c r="I76" s="609">
        <v>46264199001</v>
      </c>
      <c r="J76" s="609">
        <v>210015428334</v>
      </c>
      <c r="K76" s="608">
        <v>0</v>
      </c>
      <c r="L76" s="608">
        <v>0</v>
      </c>
      <c r="M76" s="609">
        <v>1456728</v>
      </c>
      <c r="N76" s="609">
        <f t="shared" si="6"/>
        <v>1456728</v>
      </c>
      <c r="O76" s="609">
        <f t="shared" si="7"/>
        <v>1456728</v>
      </c>
      <c r="P76" s="609">
        <f t="shared" si="8"/>
        <v>1456728</v>
      </c>
      <c r="Q76" s="611">
        <f>+'_DATA STT PAGOS_'!D78</f>
        <v>1660206.398</v>
      </c>
      <c r="R76" s="611">
        <f>+'_DATA STT PAGOS_'!E78</f>
        <v>138350.53316666666</v>
      </c>
      <c r="S76" s="611">
        <f>+'_DATA STT PAGOS_'!F78</f>
        <v>109297</v>
      </c>
      <c r="T76" s="612">
        <f>+'_DATA STT PAGOS_'!Q78</f>
        <v>2141183.8670000001</v>
      </c>
      <c r="U76" s="613" t="str">
        <f>SUBSTITUTE((IFERROR(VLOOKUP(A76,'DATOS IND MINERO'!$H$2:$L$113,4,0),"No")),"í","I",1)</f>
        <v>No</v>
      </c>
      <c r="V76" s="614">
        <f>IFERROR(VLOOKUP(A76,'DATOS IND MINERO'!$H$2:$L$113,5,0),0)</f>
        <v>0</v>
      </c>
      <c r="W76" s="611">
        <f>+'_DATA STT PAGOS_'!G78</f>
        <v>0</v>
      </c>
      <c r="X76" s="611">
        <f>+'_DATA STT PAGOS_'!J78</f>
        <v>2253954.3939999999</v>
      </c>
      <c r="Y76" s="609">
        <v>57172</v>
      </c>
      <c r="Z76" s="609">
        <v>40276</v>
      </c>
      <c r="AA76" s="609">
        <v>46164</v>
      </c>
      <c r="AB76" s="609">
        <v>29404</v>
      </c>
      <c r="AC76" s="609">
        <v>173016</v>
      </c>
      <c r="AD76" s="609">
        <v>328</v>
      </c>
      <c r="AE76" s="609">
        <v>157</v>
      </c>
      <c r="AF76" s="609">
        <v>225.75399999999999</v>
      </c>
      <c r="AG76" s="609">
        <v>144</v>
      </c>
      <c r="AH76" s="609">
        <v>854.75400000000002</v>
      </c>
      <c r="AI76" s="209"/>
    </row>
    <row r="77" spans="1:35" x14ac:dyDescent="0.25">
      <c r="A77" s="201">
        <v>5705</v>
      </c>
      <c r="B77" s="201">
        <v>5604</v>
      </c>
      <c r="C77" s="201" t="s">
        <v>114</v>
      </c>
      <c r="D77" s="609">
        <v>18023</v>
      </c>
      <c r="E77" s="610">
        <v>0.10026670029428</v>
      </c>
      <c r="F77" s="609">
        <v>131730.15198319469</v>
      </c>
      <c r="G77" s="609">
        <v>6477</v>
      </c>
      <c r="H77" s="609">
        <v>7960</v>
      </c>
      <c r="I77" s="609">
        <v>135380685802</v>
      </c>
      <c r="J77" s="609">
        <v>280232161467</v>
      </c>
      <c r="K77" s="608">
        <v>0</v>
      </c>
      <c r="L77" s="608">
        <v>0</v>
      </c>
      <c r="M77" s="609">
        <v>1379015</v>
      </c>
      <c r="N77" s="609">
        <f t="shared" si="6"/>
        <v>1379015</v>
      </c>
      <c r="O77" s="609">
        <f t="shared" si="7"/>
        <v>1379015</v>
      </c>
      <c r="P77" s="609">
        <f t="shared" si="8"/>
        <v>1379015</v>
      </c>
      <c r="Q77" s="611">
        <f>+'_DATA STT PAGOS_'!D79</f>
        <v>3399071.9810000001</v>
      </c>
      <c r="R77" s="611">
        <f>+'_DATA STT PAGOS_'!E79</f>
        <v>283255.9984166667</v>
      </c>
      <c r="S77" s="611">
        <f>+'_DATA STT PAGOS_'!F79</f>
        <v>223772</v>
      </c>
      <c r="T77" s="612">
        <f>+'_DATA STT PAGOS_'!Q79</f>
        <v>4303901.3140000002</v>
      </c>
      <c r="U77" s="613" t="str">
        <f>SUBSTITUTE((IFERROR(VLOOKUP(A77,'DATOS IND MINERO'!$H$2:$L$113,4,0),"No")),"í","I",1)</f>
        <v>No</v>
      </c>
      <c r="V77" s="614">
        <f>IFERROR(VLOOKUP(A77,'DATOS IND MINERO'!$H$2:$L$113,5,0),0)</f>
        <v>0</v>
      </c>
      <c r="W77" s="611">
        <f>+'_DATA STT PAGOS_'!G79</f>
        <v>0</v>
      </c>
      <c r="X77" s="611">
        <f>+'_DATA STT PAGOS_'!J79</f>
        <v>4613688.2479999997</v>
      </c>
      <c r="Y77" s="609">
        <v>27352</v>
      </c>
      <c r="Z77" s="609">
        <v>14255</v>
      </c>
      <c r="AA77" s="609">
        <v>24980</v>
      </c>
      <c r="AB77" s="609">
        <v>21682</v>
      </c>
      <c r="AC77" s="609">
        <v>88269</v>
      </c>
      <c r="AD77" s="609">
        <v>538</v>
      </c>
      <c r="AE77" s="609">
        <v>298</v>
      </c>
      <c r="AF77" s="609">
        <v>377.024</v>
      </c>
      <c r="AG77" s="609">
        <v>261</v>
      </c>
      <c r="AH77" s="609">
        <v>1474.0239999999999</v>
      </c>
      <c r="AI77" s="209"/>
    </row>
    <row r="78" spans="1:35" x14ac:dyDescent="0.25">
      <c r="A78" s="201">
        <v>5706</v>
      </c>
      <c r="B78" s="201">
        <v>5605</v>
      </c>
      <c r="C78" s="201" t="s">
        <v>382</v>
      </c>
      <c r="D78" s="609">
        <v>16962</v>
      </c>
      <c r="E78" s="610">
        <v>8.9002955796483346E-2</v>
      </c>
      <c r="F78" s="609">
        <v>123269.22290468978</v>
      </c>
      <c r="G78" s="609">
        <v>5538</v>
      </c>
      <c r="H78" s="609">
        <v>6695</v>
      </c>
      <c r="I78" s="609">
        <v>95725130573</v>
      </c>
      <c r="J78" s="609">
        <v>251869388108</v>
      </c>
      <c r="K78" s="608">
        <v>0</v>
      </c>
      <c r="L78" s="608">
        <v>0</v>
      </c>
      <c r="M78" s="609">
        <v>1825928</v>
      </c>
      <c r="N78" s="609">
        <f t="shared" si="6"/>
        <v>1825928</v>
      </c>
      <c r="O78" s="609">
        <f t="shared" si="7"/>
        <v>1825928</v>
      </c>
      <c r="P78" s="609">
        <f t="shared" si="8"/>
        <v>1825928</v>
      </c>
      <c r="Q78" s="611">
        <f>+'_DATA STT PAGOS_'!D80</f>
        <v>2728331.7069999999</v>
      </c>
      <c r="R78" s="611">
        <f>+'_DATA STT PAGOS_'!E80</f>
        <v>227360.97558333332</v>
      </c>
      <c r="S78" s="611">
        <f>+'_DATA STT PAGOS_'!F80</f>
        <v>179615</v>
      </c>
      <c r="T78" s="612">
        <f>+'_DATA STT PAGOS_'!Q80</f>
        <v>3268942.0389999999</v>
      </c>
      <c r="U78" s="613" t="str">
        <f>SUBSTITUTE((IFERROR(VLOOKUP(A78,'DATOS IND MINERO'!$H$2:$L$113,4,0),"No")),"í","I",1)</f>
        <v>No</v>
      </c>
      <c r="V78" s="614">
        <f>IFERROR(VLOOKUP(A78,'DATOS IND MINERO'!$H$2:$L$113,5,0),0)</f>
        <v>0</v>
      </c>
      <c r="W78" s="611">
        <f>+'_DATA STT PAGOS_'!G80</f>
        <v>0</v>
      </c>
      <c r="X78" s="611">
        <f>+'_DATA STT PAGOS_'!J80</f>
        <v>3702652.4040000001</v>
      </c>
      <c r="Y78" s="609">
        <v>41858</v>
      </c>
      <c r="Z78" s="609">
        <v>30809</v>
      </c>
      <c r="AA78" s="609">
        <v>35218</v>
      </c>
      <c r="AB78" s="609">
        <v>33350</v>
      </c>
      <c r="AC78" s="609">
        <v>141235</v>
      </c>
      <c r="AD78" s="609">
        <v>328</v>
      </c>
      <c r="AE78" s="609">
        <v>591</v>
      </c>
      <c r="AF78" s="609">
        <v>304.99799999999999</v>
      </c>
      <c r="AG78" s="609">
        <v>270</v>
      </c>
      <c r="AH78" s="609">
        <v>1493.998</v>
      </c>
      <c r="AI78" s="209"/>
    </row>
    <row r="79" spans="1:35" x14ac:dyDescent="0.25">
      <c r="A79" s="201">
        <v>5801</v>
      </c>
      <c r="B79" s="201">
        <v>5304</v>
      </c>
      <c r="C79" s="201" t="s">
        <v>383</v>
      </c>
      <c r="D79" s="609">
        <v>173591</v>
      </c>
      <c r="E79" s="610">
        <v>5.5474518530662313E-2</v>
      </c>
      <c r="F79" s="609">
        <v>921063.52712892205</v>
      </c>
      <c r="G79" s="609">
        <v>47735</v>
      </c>
      <c r="H79" s="609">
        <v>68295</v>
      </c>
      <c r="I79" s="609">
        <v>1688005580400</v>
      </c>
      <c r="J79" s="609">
        <v>3288973663472</v>
      </c>
      <c r="K79" s="608">
        <v>0</v>
      </c>
      <c r="L79" s="608">
        <v>0</v>
      </c>
      <c r="M79" s="609">
        <v>12449839</v>
      </c>
      <c r="N79" s="609">
        <f t="shared" si="6"/>
        <v>12449839</v>
      </c>
      <c r="O79" s="609">
        <f t="shared" si="7"/>
        <v>12449839</v>
      </c>
      <c r="P79" s="609">
        <f t="shared" si="8"/>
        <v>12449839</v>
      </c>
      <c r="Q79" s="611">
        <f>+'_DATA STT PAGOS_'!D81</f>
        <v>15719065.389</v>
      </c>
      <c r="R79" s="611">
        <f>+'_DATA STT PAGOS_'!E81</f>
        <v>1309922.1157500001</v>
      </c>
      <c r="S79" s="611">
        <f>+'_DATA STT PAGOS_'!F81</f>
        <v>1034838</v>
      </c>
      <c r="T79" s="612">
        <f>+'_DATA STT PAGOS_'!Q81</f>
        <v>20762863.993000001</v>
      </c>
      <c r="U79" s="613" t="str">
        <f>SUBSTITUTE((IFERROR(VLOOKUP(A79,'DATOS IND MINERO'!$H$2:$L$113,4,0),"No")),"í","I",1)</f>
        <v>No</v>
      </c>
      <c r="V79" s="614">
        <f>IFERROR(VLOOKUP(A79,'DATOS IND MINERO'!$H$2:$L$113,5,0),0)</f>
        <v>0</v>
      </c>
      <c r="W79" s="611">
        <f>+'_DATA STT PAGOS_'!G81</f>
        <v>0</v>
      </c>
      <c r="X79" s="611">
        <f>+'_DATA STT PAGOS_'!J81</f>
        <v>21329710.710000001</v>
      </c>
      <c r="Y79" s="609">
        <v>618837</v>
      </c>
      <c r="Z79" s="609">
        <v>443887</v>
      </c>
      <c r="AA79" s="609">
        <v>507774</v>
      </c>
      <c r="AB79" s="609">
        <v>438981</v>
      </c>
      <c r="AC79" s="609">
        <v>2009479</v>
      </c>
      <c r="AD79" s="609">
        <v>112978</v>
      </c>
      <c r="AE79" s="609">
        <v>50189</v>
      </c>
      <c r="AF79" s="609">
        <v>65692.554000000004</v>
      </c>
      <c r="AG79" s="609">
        <v>47650</v>
      </c>
      <c r="AH79" s="609">
        <v>276509.554</v>
      </c>
      <c r="AI79" s="209"/>
    </row>
    <row r="80" spans="1:35" x14ac:dyDescent="0.25">
      <c r="A80" s="201">
        <v>5802</v>
      </c>
      <c r="B80" s="201">
        <v>5506</v>
      </c>
      <c r="C80" s="201" t="s">
        <v>110</v>
      </c>
      <c r="D80" s="609">
        <v>51697</v>
      </c>
      <c r="E80" s="610">
        <v>6.8772582552954598E-2</v>
      </c>
      <c r="F80" s="609">
        <v>287473.79640666529</v>
      </c>
      <c r="G80" s="609">
        <v>16455</v>
      </c>
      <c r="H80" s="609">
        <v>25479</v>
      </c>
      <c r="I80" s="609">
        <v>521291892210</v>
      </c>
      <c r="J80" s="609">
        <v>1100357382675</v>
      </c>
      <c r="K80" s="608">
        <v>0</v>
      </c>
      <c r="L80" s="608">
        <v>0</v>
      </c>
      <c r="M80" s="609">
        <v>4232929</v>
      </c>
      <c r="N80" s="609">
        <f t="shared" si="6"/>
        <v>4232929</v>
      </c>
      <c r="O80" s="609">
        <f t="shared" si="7"/>
        <v>4232929</v>
      </c>
      <c r="P80" s="609">
        <f t="shared" si="8"/>
        <v>4232929</v>
      </c>
      <c r="Q80" s="611">
        <f>+'_DATA STT PAGOS_'!D82</f>
        <v>5892515.4500000002</v>
      </c>
      <c r="R80" s="611">
        <f>+'_DATA STT PAGOS_'!E82</f>
        <v>491042.95416666666</v>
      </c>
      <c r="S80" s="611">
        <f>+'_DATA STT PAGOS_'!F82</f>
        <v>387924</v>
      </c>
      <c r="T80" s="612">
        <f>+'_DATA STT PAGOS_'!Q82</f>
        <v>7922170.7010000004</v>
      </c>
      <c r="U80" s="613" t="str">
        <f>SUBSTITUTE((IFERROR(VLOOKUP(A80,'DATOS IND MINERO'!$H$2:$L$113,4,0),"No")),"í","I",1)</f>
        <v>No</v>
      </c>
      <c r="V80" s="614">
        <f>IFERROR(VLOOKUP(A80,'DATOS IND MINERO'!$H$2:$L$113,5,0),0)</f>
        <v>0</v>
      </c>
      <c r="W80" s="611">
        <f>+'_DATA STT PAGOS_'!G82</f>
        <v>0</v>
      </c>
      <c r="X80" s="611">
        <f>+'_DATA STT PAGOS_'!J82</f>
        <v>7996278.7750000004</v>
      </c>
      <c r="Y80" s="609">
        <v>247881</v>
      </c>
      <c r="Z80" s="609">
        <v>155642</v>
      </c>
      <c r="AA80" s="609">
        <v>176691</v>
      </c>
      <c r="AB80" s="609">
        <v>133085</v>
      </c>
      <c r="AC80" s="609">
        <v>713299</v>
      </c>
      <c r="AD80" s="609">
        <v>16333</v>
      </c>
      <c r="AE80" s="609">
        <v>7967</v>
      </c>
      <c r="AF80" s="609">
        <v>9813.1260000000002</v>
      </c>
      <c r="AG80" s="609">
        <v>7601</v>
      </c>
      <c r="AH80" s="609">
        <v>41714.126000000004</v>
      </c>
      <c r="AI80" s="209"/>
    </row>
    <row r="81" spans="1:35" x14ac:dyDescent="0.25">
      <c r="A81" s="201">
        <v>5803</v>
      </c>
      <c r="B81" s="201">
        <v>5507</v>
      </c>
      <c r="C81" s="201" t="s">
        <v>384</v>
      </c>
      <c r="D81" s="609">
        <v>20247</v>
      </c>
      <c r="E81" s="610">
        <v>7.4966975831422145E-2</v>
      </c>
      <c r="F81" s="609">
        <v>990274.35868633282</v>
      </c>
      <c r="G81" s="609">
        <v>5829</v>
      </c>
      <c r="H81" s="609">
        <v>10110</v>
      </c>
      <c r="I81" s="609">
        <v>143815455120</v>
      </c>
      <c r="J81" s="609">
        <v>575699687411</v>
      </c>
      <c r="K81" s="608">
        <v>0</v>
      </c>
      <c r="L81" s="608">
        <v>0</v>
      </c>
      <c r="M81" s="609">
        <v>2425150</v>
      </c>
      <c r="N81" s="609">
        <f t="shared" si="6"/>
        <v>2425150</v>
      </c>
      <c r="O81" s="609">
        <f t="shared" si="7"/>
        <v>2425150</v>
      </c>
      <c r="P81" s="609">
        <f t="shared" si="8"/>
        <v>2425150</v>
      </c>
      <c r="Q81" s="611">
        <f>+'_DATA STT PAGOS_'!D83</f>
        <v>2362523.798</v>
      </c>
      <c r="R81" s="611">
        <f>+'_DATA STT PAGOS_'!E83</f>
        <v>196876.98316666667</v>
      </c>
      <c r="S81" s="611">
        <f>+'_DATA STT PAGOS_'!F83</f>
        <v>155533</v>
      </c>
      <c r="T81" s="612">
        <f>+'_DATA STT PAGOS_'!Q83</f>
        <v>3176285.8059999999</v>
      </c>
      <c r="U81" s="613" t="str">
        <f>SUBSTITUTE((IFERROR(VLOOKUP(A81,'DATOS IND MINERO'!$H$2:$L$113,4,0),"No")),"í","I",1)</f>
        <v>No</v>
      </c>
      <c r="V81" s="614">
        <f>IFERROR(VLOOKUP(A81,'DATOS IND MINERO'!$H$2:$L$113,5,0),0)</f>
        <v>0</v>
      </c>
      <c r="W81" s="611">
        <f>+'_DATA STT PAGOS_'!G83</f>
        <v>0</v>
      </c>
      <c r="X81" s="611">
        <f>+'_DATA STT PAGOS_'!J83</f>
        <v>3205999.0470000003</v>
      </c>
      <c r="Y81" s="609">
        <v>190775</v>
      </c>
      <c r="Z81" s="609">
        <v>124086</v>
      </c>
      <c r="AA81" s="609">
        <v>160469</v>
      </c>
      <c r="AB81" s="609">
        <v>123040</v>
      </c>
      <c r="AC81" s="609">
        <v>598370</v>
      </c>
      <c r="AD81" s="609">
        <v>14806</v>
      </c>
      <c r="AE81" s="609">
        <v>6991</v>
      </c>
      <c r="AF81" s="609">
        <v>9939.3989999999994</v>
      </c>
      <c r="AG81" s="609">
        <v>6906</v>
      </c>
      <c r="AH81" s="609">
        <v>38642.398999999998</v>
      </c>
      <c r="AI81" s="209"/>
    </row>
    <row r="82" spans="1:35" x14ac:dyDescent="0.25">
      <c r="A82" s="201">
        <v>5804</v>
      </c>
      <c r="B82" s="201">
        <v>5303</v>
      </c>
      <c r="C82" s="201" t="s">
        <v>96</v>
      </c>
      <c r="D82" s="609">
        <v>147418</v>
      </c>
      <c r="E82" s="610">
        <v>4.4426123224117632E-2</v>
      </c>
      <c r="F82" s="609">
        <v>432786.45262137032</v>
      </c>
      <c r="G82" s="609">
        <v>41888</v>
      </c>
      <c r="H82" s="609">
        <v>54652</v>
      </c>
      <c r="I82" s="609">
        <v>1490263299508</v>
      </c>
      <c r="J82" s="609">
        <v>2594857305791</v>
      </c>
      <c r="K82" s="608">
        <v>0</v>
      </c>
      <c r="L82" s="608">
        <v>0</v>
      </c>
      <c r="M82" s="609">
        <v>8770518</v>
      </c>
      <c r="N82" s="609">
        <f t="shared" si="6"/>
        <v>8770518</v>
      </c>
      <c r="O82" s="609">
        <f t="shared" si="7"/>
        <v>8770518</v>
      </c>
      <c r="P82" s="609">
        <f t="shared" si="8"/>
        <v>8770518</v>
      </c>
      <c r="Q82" s="611">
        <f>+'_DATA STT PAGOS_'!D84</f>
        <v>14619187.832</v>
      </c>
      <c r="R82" s="611">
        <f>+'_DATA STT PAGOS_'!E84</f>
        <v>1218265.6526666668</v>
      </c>
      <c r="S82" s="611">
        <f>+'_DATA STT PAGOS_'!F84</f>
        <v>962430</v>
      </c>
      <c r="T82" s="612">
        <f>+'_DATA STT PAGOS_'!Q84</f>
        <v>19654713.499000002</v>
      </c>
      <c r="U82" s="613" t="str">
        <f>SUBSTITUTE((IFERROR(VLOOKUP(A82,'DATOS IND MINERO'!$H$2:$L$113,4,0),"No")),"í","I",1)</f>
        <v>No</v>
      </c>
      <c r="V82" s="614">
        <f>IFERROR(VLOOKUP(A82,'DATOS IND MINERO'!$H$2:$L$113,5,0),0)</f>
        <v>0</v>
      </c>
      <c r="W82" s="611">
        <f>+'_DATA STT PAGOS_'!G84</f>
        <v>0</v>
      </c>
      <c r="X82" s="611">
        <f>+'_DATA STT PAGOS_'!J84</f>
        <v>19838573.588</v>
      </c>
      <c r="Y82" s="609">
        <v>317209</v>
      </c>
      <c r="Z82" s="609">
        <v>203972</v>
      </c>
      <c r="AA82" s="609">
        <v>253608</v>
      </c>
      <c r="AB82" s="609">
        <v>203254</v>
      </c>
      <c r="AC82" s="609">
        <v>978043</v>
      </c>
      <c r="AD82" s="609">
        <v>90828</v>
      </c>
      <c r="AE82" s="609">
        <v>35973</v>
      </c>
      <c r="AF82" s="609">
        <v>56251.8</v>
      </c>
      <c r="AG82" s="609">
        <v>37737</v>
      </c>
      <c r="AH82" s="609">
        <v>220789.8</v>
      </c>
      <c r="AI82" s="209"/>
    </row>
    <row r="83" spans="1:35" x14ac:dyDescent="0.25">
      <c r="A83" s="201">
        <v>6101</v>
      </c>
      <c r="B83" s="201">
        <v>6101</v>
      </c>
      <c r="C83" s="201" t="s">
        <v>119</v>
      </c>
      <c r="D83" s="609">
        <v>274407</v>
      </c>
      <c r="E83" s="610">
        <v>6.3314789896825791E-2</v>
      </c>
      <c r="F83" s="609">
        <v>1508684.2760636574</v>
      </c>
      <c r="G83" s="609">
        <v>82843</v>
      </c>
      <c r="H83" s="609">
        <v>108296</v>
      </c>
      <c r="I83" s="609">
        <v>3235975499772</v>
      </c>
      <c r="J83" s="609">
        <v>6218618808531</v>
      </c>
      <c r="K83" s="608">
        <v>0</v>
      </c>
      <c r="L83" s="608">
        <v>0</v>
      </c>
      <c r="M83" s="609">
        <v>28899132</v>
      </c>
      <c r="N83" s="609">
        <f t="shared" si="6"/>
        <v>28899132</v>
      </c>
      <c r="O83" s="609">
        <f t="shared" si="7"/>
        <v>28899132</v>
      </c>
      <c r="P83" s="609">
        <f t="shared" si="8"/>
        <v>28899132</v>
      </c>
      <c r="Q83" s="611">
        <f>+'_DATA STT PAGOS_'!D85</f>
        <v>20215962.734000001</v>
      </c>
      <c r="R83" s="611">
        <f>+'_DATA STT PAGOS_'!E85</f>
        <v>1684663.5611666667</v>
      </c>
      <c r="S83" s="611">
        <f>+'_DATA STT PAGOS_'!F85</f>
        <v>1330884</v>
      </c>
      <c r="T83" s="612">
        <f>+'_DATA STT PAGOS_'!Q85</f>
        <v>25943786.555</v>
      </c>
      <c r="U83" s="613" t="str">
        <f>SUBSTITUTE((IFERROR(VLOOKUP(A83,'DATOS IND MINERO'!$H$2:$L$113,4,0),"No")),"í","I",1)</f>
        <v>SI</v>
      </c>
      <c r="V83" s="614">
        <f>IFERROR(VLOOKUP(A83,'DATOS IND MINERO'!$H$2:$L$113,5,0),0)</f>
        <v>7.8838121300000008E-3</v>
      </c>
      <c r="W83" s="611">
        <f>+'_DATA STT PAGOS_'!G85</f>
        <v>0</v>
      </c>
      <c r="X83" s="611">
        <f>+'_DATA STT PAGOS_'!J85</f>
        <v>27443923.140000001</v>
      </c>
      <c r="Y83" s="609">
        <v>1421995</v>
      </c>
      <c r="Z83" s="609">
        <v>1120368</v>
      </c>
      <c r="AA83" s="609">
        <v>1237778</v>
      </c>
      <c r="AB83" s="609">
        <v>1061889</v>
      </c>
      <c r="AC83" s="609">
        <v>4842030</v>
      </c>
      <c r="AD83" s="609">
        <v>122933</v>
      </c>
      <c r="AE83" s="609">
        <v>57370</v>
      </c>
      <c r="AF83" s="609">
        <v>80433.432000000001</v>
      </c>
      <c r="AG83" s="609">
        <v>54861</v>
      </c>
      <c r="AH83" s="609">
        <v>315597.43200000003</v>
      </c>
      <c r="AI83" s="209"/>
    </row>
    <row r="84" spans="1:35" x14ac:dyDescent="0.25">
      <c r="A84" s="201">
        <v>6102</v>
      </c>
      <c r="B84" s="201">
        <v>6107</v>
      </c>
      <c r="C84" s="201" t="s">
        <v>124</v>
      </c>
      <c r="D84" s="609">
        <v>14627</v>
      </c>
      <c r="E84" s="610">
        <v>5.5485426125954709E-2</v>
      </c>
      <c r="F84" s="609">
        <v>107107.93835446837</v>
      </c>
      <c r="G84" s="609">
        <v>3563</v>
      </c>
      <c r="H84" s="609">
        <v>5183</v>
      </c>
      <c r="I84" s="609">
        <v>64510962848</v>
      </c>
      <c r="J84" s="609">
        <v>294404738167</v>
      </c>
      <c r="K84" s="608">
        <v>0</v>
      </c>
      <c r="L84" s="608">
        <v>0</v>
      </c>
      <c r="M84" s="609">
        <v>1461512</v>
      </c>
      <c r="N84" s="609">
        <f t="shared" si="6"/>
        <v>1461512</v>
      </c>
      <c r="O84" s="609">
        <f t="shared" si="7"/>
        <v>1461512</v>
      </c>
      <c r="P84" s="609">
        <f t="shared" si="8"/>
        <v>1461512</v>
      </c>
      <c r="Q84" s="611">
        <f>+'_DATA STT PAGOS_'!D86</f>
        <v>2110206.6540000001</v>
      </c>
      <c r="R84" s="611">
        <f>+'_DATA STT PAGOS_'!E86</f>
        <v>175850.5545</v>
      </c>
      <c r="S84" s="611">
        <f>+'_DATA STT PAGOS_'!F86</f>
        <v>138922</v>
      </c>
      <c r="T84" s="612">
        <f>+'_DATA STT PAGOS_'!Q86</f>
        <v>2837060.2549999999</v>
      </c>
      <c r="U84" s="613" t="str">
        <f>SUBSTITUTE((IFERROR(VLOOKUP(A84,'DATOS IND MINERO'!$H$2:$L$113,4,0),"No")),"í","I",1)</f>
        <v>No</v>
      </c>
      <c r="V84" s="614">
        <f>IFERROR(VLOOKUP(A84,'DATOS IND MINERO'!$H$2:$L$113,5,0),0)</f>
        <v>0</v>
      </c>
      <c r="W84" s="611">
        <f>+'_DATA STT PAGOS_'!G86</f>
        <v>0</v>
      </c>
      <c r="X84" s="611">
        <f>+'_DATA STT PAGOS_'!J86</f>
        <v>2863598.8829999999</v>
      </c>
      <c r="Y84" s="609">
        <v>82756</v>
      </c>
      <c r="Z84" s="609">
        <v>53020</v>
      </c>
      <c r="AA84" s="609">
        <v>59905</v>
      </c>
      <c r="AB84" s="609">
        <v>63935</v>
      </c>
      <c r="AC84" s="609">
        <v>259616</v>
      </c>
      <c r="AD84" s="609">
        <v>834</v>
      </c>
      <c r="AE84" s="609">
        <v>526</v>
      </c>
      <c r="AF84" s="609">
        <v>427.79700000000003</v>
      </c>
      <c r="AG84" s="609">
        <v>382</v>
      </c>
      <c r="AH84" s="609">
        <v>2169.797</v>
      </c>
      <c r="AI84" s="209"/>
    </row>
    <row r="85" spans="1:35" x14ac:dyDescent="0.25">
      <c r="A85" s="201">
        <v>6103</v>
      </c>
      <c r="B85" s="201">
        <v>6116</v>
      </c>
      <c r="C85" s="201" t="s">
        <v>131</v>
      </c>
      <c r="D85" s="609">
        <v>8024</v>
      </c>
      <c r="E85" s="610">
        <v>9.8218825694775219E-2</v>
      </c>
      <c r="F85" s="609">
        <v>55765.678731737877</v>
      </c>
      <c r="G85" s="609">
        <v>3179</v>
      </c>
      <c r="H85" s="609">
        <v>4369</v>
      </c>
      <c r="I85" s="609">
        <v>55648148158</v>
      </c>
      <c r="J85" s="609">
        <v>130568642870</v>
      </c>
      <c r="K85" s="608">
        <v>0</v>
      </c>
      <c r="L85" s="608">
        <v>0</v>
      </c>
      <c r="M85" s="609">
        <v>769599</v>
      </c>
      <c r="N85" s="609">
        <f t="shared" si="6"/>
        <v>769599</v>
      </c>
      <c r="O85" s="609">
        <f t="shared" si="7"/>
        <v>769599</v>
      </c>
      <c r="P85" s="609">
        <f t="shared" si="8"/>
        <v>769599</v>
      </c>
      <c r="Q85" s="611">
        <f>+'_DATA STT PAGOS_'!D87</f>
        <v>2139955.301</v>
      </c>
      <c r="R85" s="611">
        <f>+'_DATA STT PAGOS_'!E87</f>
        <v>178329.60841666666</v>
      </c>
      <c r="S85" s="611">
        <f>+'_DATA STT PAGOS_'!F87</f>
        <v>140880</v>
      </c>
      <c r="T85" s="612">
        <f>+'_DATA STT PAGOS_'!Q87</f>
        <v>2610967.3939999999</v>
      </c>
      <c r="U85" s="613" t="str">
        <f>SUBSTITUTE((IFERROR(VLOOKUP(A85,'DATOS IND MINERO'!$H$2:$L$113,4,0),"No")),"í","I",1)</f>
        <v>No</v>
      </c>
      <c r="V85" s="614">
        <f>IFERROR(VLOOKUP(A85,'DATOS IND MINERO'!$H$2:$L$113,5,0),0)</f>
        <v>0</v>
      </c>
      <c r="W85" s="611">
        <f>+'_DATA STT PAGOS_'!G87</f>
        <v>0</v>
      </c>
      <c r="X85" s="611">
        <f>+'_DATA STT PAGOS_'!J87</f>
        <v>2904019.5079999999</v>
      </c>
      <c r="Y85" s="609">
        <v>21315</v>
      </c>
      <c r="Z85" s="609">
        <v>8829</v>
      </c>
      <c r="AA85" s="609">
        <v>14156</v>
      </c>
      <c r="AB85" s="609">
        <v>12324</v>
      </c>
      <c r="AC85" s="609">
        <v>56624</v>
      </c>
      <c r="AD85" s="609">
        <v>504</v>
      </c>
      <c r="AE85" s="609">
        <v>165</v>
      </c>
      <c r="AF85" s="609">
        <v>257.95</v>
      </c>
      <c r="AG85" s="609">
        <v>178</v>
      </c>
      <c r="AH85" s="609">
        <v>1104.95</v>
      </c>
      <c r="AI85" s="209"/>
    </row>
    <row r="86" spans="1:35" x14ac:dyDescent="0.25">
      <c r="A86" s="201">
        <v>6104</v>
      </c>
      <c r="B86" s="201">
        <v>6106</v>
      </c>
      <c r="C86" s="201" t="s">
        <v>123</v>
      </c>
      <c r="D86" s="609">
        <v>22143</v>
      </c>
      <c r="E86" s="610">
        <v>0.1002123568807099</v>
      </c>
      <c r="F86" s="609">
        <v>133067.1266790815</v>
      </c>
      <c r="G86" s="609">
        <v>8234</v>
      </c>
      <c r="H86" s="609">
        <v>9925</v>
      </c>
      <c r="I86" s="609">
        <v>148056292973</v>
      </c>
      <c r="J86" s="609">
        <v>306639738527</v>
      </c>
      <c r="K86" s="608">
        <v>0</v>
      </c>
      <c r="L86" s="608">
        <v>0</v>
      </c>
      <c r="M86" s="609">
        <v>1294862</v>
      </c>
      <c r="N86" s="609">
        <f t="shared" si="6"/>
        <v>1294862</v>
      </c>
      <c r="O86" s="609">
        <f t="shared" si="7"/>
        <v>1294862</v>
      </c>
      <c r="P86" s="609">
        <f t="shared" si="8"/>
        <v>1294862</v>
      </c>
      <c r="Q86" s="611">
        <f>+'_DATA STT PAGOS_'!D88</f>
        <v>3970631.861</v>
      </c>
      <c r="R86" s="611">
        <f>+'_DATA STT PAGOS_'!E88</f>
        <v>330885.98841666669</v>
      </c>
      <c r="S86" s="611">
        <f>+'_DATA STT PAGOS_'!F88</f>
        <v>261400</v>
      </c>
      <c r="T86" s="612">
        <f>+'_DATA STT PAGOS_'!Q88</f>
        <v>4925661.6310000001</v>
      </c>
      <c r="U86" s="613" t="str">
        <f>SUBSTITUTE((IFERROR(VLOOKUP(A86,'DATOS IND MINERO'!$H$2:$L$113,4,0),"No")),"í","I",1)</f>
        <v>SI</v>
      </c>
      <c r="V86" s="614">
        <f>IFERROR(VLOOKUP(A86,'DATOS IND MINERO'!$H$2:$L$113,5,0),0)</f>
        <v>3.8600500300000002E-3</v>
      </c>
      <c r="W86" s="611">
        <f>+'_DATA STT PAGOS_'!G88</f>
        <v>0</v>
      </c>
      <c r="X86" s="611">
        <f>+'_DATA STT PAGOS_'!J88</f>
        <v>5390967.7390000001</v>
      </c>
      <c r="Y86" s="609">
        <v>38532</v>
      </c>
      <c r="Z86" s="609">
        <v>24338</v>
      </c>
      <c r="AA86" s="609">
        <v>28251</v>
      </c>
      <c r="AB86" s="609">
        <v>23337</v>
      </c>
      <c r="AC86" s="609">
        <v>114458</v>
      </c>
      <c r="AD86" s="609">
        <v>753</v>
      </c>
      <c r="AE86" s="609">
        <v>363</v>
      </c>
      <c r="AF86" s="609">
        <v>450.29500000000002</v>
      </c>
      <c r="AG86" s="609">
        <v>528</v>
      </c>
      <c r="AH86" s="609">
        <v>2094.2950000000001</v>
      </c>
      <c r="AI86" s="209"/>
    </row>
    <row r="87" spans="1:35" x14ac:dyDescent="0.25">
      <c r="A87" s="201">
        <v>6105</v>
      </c>
      <c r="B87" s="201">
        <v>6105</v>
      </c>
      <c r="C87" s="201" t="s">
        <v>122</v>
      </c>
      <c r="D87" s="609">
        <v>23647</v>
      </c>
      <c r="E87" s="610">
        <v>9.0615467517776771E-2</v>
      </c>
      <c r="F87" s="609">
        <v>148532.76299235938</v>
      </c>
      <c r="G87" s="609">
        <v>7158</v>
      </c>
      <c r="H87" s="609">
        <v>8804</v>
      </c>
      <c r="I87" s="609">
        <v>139951965547</v>
      </c>
      <c r="J87" s="609">
        <v>322174063551</v>
      </c>
      <c r="K87" s="608">
        <v>0</v>
      </c>
      <c r="L87" s="608">
        <v>0</v>
      </c>
      <c r="M87" s="609">
        <v>2035246</v>
      </c>
      <c r="N87" s="609">
        <f t="shared" si="6"/>
        <v>2035246</v>
      </c>
      <c r="O87" s="609">
        <f t="shared" si="7"/>
        <v>2035246</v>
      </c>
      <c r="P87" s="609">
        <f t="shared" si="8"/>
        <v>2035246</v>
      </c>
      <c r="Q87" s="611">
        <f>+'_DATA STT PAGOS_'!D89</f>
        <v>3385011.3689999999</v>
      </c>
      <c r="R87" s="611">
        <f>+'_DATA STT PAGOS_'!E89</f>
        <v>282084.28074999998</v>
      </c>
      <c r="S87" s="611">
        <f>+'_DATA STT PAGOS_'!F89</f>
        <v>222847</v>
      </c>
      <c r="T87" s="612">
        <f>+'_DATA STT PAGOS_'!Q89</f>
        <v>4231781.818</v>
      </c>
      <c r="U87" s="613" t="str">
        <f>SUBSTITUTE((IFERROR(VLOOKUP(A87,'DATOS IND MINERO'!$H$2:$L$113,4,0),"No")),"í","I",1)</f>
        <v>SI</v>
      </c>
      <c r="V87" s="614">
        <f>IFERROR(VLOOKUP(A87,'DATOS IND MINERO'!$H$2:$L$113,5,0),0)</f>
        <v>3.6257411399999999E-3</v>
      </c>
      <c r="W87" s="611">
        <f>+'_DATA STT PAGOS_'!G89</f>
        <v>0</v>
      </c>
      <c r="X87" s="611">
        <f>+'_DATA STT PAGOS_'!J89</f>
        <v>4597074.193</v>
      </c>
      <c r="Y87" s="609">
        <v>74902</v>
      </c>
      <c r="Z87" s="609">
        <v>67793</v>
      </c>
      <c r="AA87" s="609">
        <v>74918</v>
      </c>
      <c r="AB87" s="609">
        <v>62772</v>
      </c>
      <c r="AC87" s="609">
        <v>280385</v>
      </c>
      <c r="AD87" s="609">
        <v>2816</v>
      </c>
      <c r="AE87" s="609">
        <v>2384</v>
      </c>
      <c r="AF87" s="609">
        <v>2391.877</v>
      </c>
      <c r="AG87" s="609">
        <v>1298</v>
      </c>
      <c r="AH87" s="609">
        <v>8889.8770000000004</v>
      </c>
      <c r="AI87" s="209"/>
    </row>
    <row r="88" spans="1:35" x14ac:dyDescent="0.25">
      <c r="A88" s="201">
        <v>6106</v>
      </c>
      <c r="B88" s="201">
        <v>6103</v>
      </c>
      <c r="C88" s="201" t="s">
        <v>120</v>
      </c>
      <c r="D88" s="609">
        <v>38185</v>
      </c>
      <c r="E88" s="610">
        <v>5.272534982380029E-2</v>
      </c>
      <c r="F88" s="609">
        <v>168107.51816083808</v>
      </c>
      <c r="G88" s="609">
        <v>10223</v>
      </c>
      <c r="H88" s="609">
        <v>12618</v>
      </c>
      <c r="I88" s="609">
        <v>262357990589</v>
      </c>
      <c r="J88" s="609">
        <v>582588935242</v>
      </c>
      <c r="K88" s="608">
        <v>0</v>
      </c>
      <c r="L88" s="608">
        <v>0</v>
      </c>
      <c r="M88" s="609">
        <v>2254649</v>
      </c>
      <c r="N88" s="609">
        <f t="shared" si="6"/>
        <v>2254649</v>
      </c>
      <c r="O88" s="609">
        <f t="shared" si="7"/>
        <v>2254649</v>
      </c>
      <c r="P88" s="609">
        <f t="shared" si="8"/>
        <v>2254649</v>
      </c>
      <c r="Q88" s="611">
        <f>+'_DATA STT PAGOS_'!D90</f>
        <v>4580929.4780000001</v>
      </c>
      <c r="R88" s="611">
        <f>+'_DATA STT PAGOS_'!E90</f>
        <v>381744.12316666666</v>
      </c>
      <c r="S88" s="611">
        <f>+'_DATA STT PAGOS_'!F90</f>
        <v>301578</v>
      </c>
      <c r="T88" s="612">
        <f>+'_DATA STT PAGOS_'!Q90</f>
        <v>5804282.3810000001</v>
      </c>
      <c r="U88" s="613" t="str">
        <f>SUBSTITUTE((IFERROR(VLOOKUP(A88,'DATOS IND MINERO'!$H$2:$L$113,4,0),"No")),"í","I",1)</f>
        <v>No</v>
      </c>
      <c r="V88" s="614">
        <f>IFERROR(VLOOKUP(A88,'DATOS IND MINERO'!$H$2:$L$113,5,0),0)</f>
        <v>0</v>
      </c>
      <c r="W88" s="611">
        <f>+'_DATA STT PAGOS_'!G90</f>
        <v>0</v>
      </c>
      <c r="X88" s="611">
        <f>+'_DATA STT PAGOS_'!J90</f>
        <v>6213573.0130000003</v>
      </c>
      <c r="Y88" s="609">
        <v>134205</v>
      </c>
      <c r="Z88" s="609">
        <v>79537</v>
      </c>
      <c r="AA88" s="609">
        <v>88937</v>
      </c>
      <c r="AB88" s="609">
        <v>93543</v>
      </c>
      <c r="AC88" s="609">
        <v>396222</v>
      </c>
      <c r="AD88" s="609">
        <v>0</v>
      </c>
      <c r="AE88" s="609">
        <v>0</v>
      </c>
      <c r="AF88" s="609">
        <v>0</v>
      </c>
      <c r="AG88" s="609">
        <v>0</v>
      </c>
      <c r="AH88" s="609">
        <v>0</v>
      </c>
      <c r="AI88" s="209"/>
    </row>
    <row r="89" spans="1:35" x14ac:dyDescent="0.25">
      <c r="A89" s="201">
        <v>6107</v>
      </c>
      <c r="B89" s="201">
        <v>6109</v>
      </c>
      <c r="C89" s="201" t="s">
        <v>126</v>
      </c>
      <c r="D89" s="609">
        <v>27749</v>
      </c>
      <c r="E89" s="610">
        <v>7.577006188229371E-2</v>
      </c>
      <c r="F89" s="609">
        <v>989049.14620708441</v>
      </c>
      <c r="G89" s="609">
        <v>9063</v>
      </c>
      <c r="H89" s="609">
        <v>15359</v>
      </c>
      <c r="I89" s="609">
        <v>222584997865</v>
      </c>
      <c r="J89" s="609">
        <v>977089483289</v>
      </c>
      <c r="K89" s="608">
        <v>0</v>
      </c>
      <c r="L89" s="608">
        <v>0</v>
      </c>
      <c r="M89" s="609">
        <v>5441723</v>
      </c>
      <c r="N89" s="609">
        <f t="shared" si="6"/>
        <v>5441723</v>
      </c>
      <c r="O89" s="609">
        <f t="shared" si="7"/>
        <v>5441723</v>
      </c>
      <c r="P89" s="609">
        <f t="shared" si="8"/>
        <v>5441723</v>
      </c>
      <c r="Q89" s="611">
        <f>+'_DATA STT PAGOS_'!D91</f>
        <v>2437841.4029999999</v>
      </c>
      <c r="R89" s="611">
        <f>+'_DATA STT PAGOS_'!E91</f>
        <v>203153.45024999999</v>
      </c>
      <c r="S89" s="611">
        <f>+'_DATA STT PAGOS_'!F91</f>
        <v>160491</v>
      </c>
      <c r="T89" s="612">
        <f>+'_DATA STT PAGOS_'!Q91</f>
        <v>3151169.3569999998</v>
      </c>
      <c r="U89" s="613" t="str">
        <f>SUBSTITUTE((IFERROR(VLOOKUP(A89,'DATOS IND MINERO'!$H$2:$L$113,4,0),"No")),"í","I",1)</f>
        <v>No</v>
      </c>
      <c r="V89" s="614">
        <f>IFERROR(VLOOKUP(A89,'DATOS IND MINERO'!$H$2:$L$113,5,0),0)</f>
        <v>0</v>
      </c>
      <c r="W89" s="611">
        <f>+'_DATA STT PAGOS_'!G91</f>
        <v>0</v>
      </c>
      <c r="X89" s="611">
        <f>+'_DATA STT PAGOS_'!J91</f>
        <v>3309113.3889999995</v>
      </c>
      <c r="Y89" s="609">
        <v>242457</v>
      </c>
      <c r="Z89" s="609">
        <v>173282</v>
      </c>
      <c r="AA89" s="609">
        <v>190847</v>
      </c>
      <c r="AB89" s="609">
        <v>159127</v>
      </c>
      <c r="AC89" s="609">
        <v>765713</v>
      </c>
      <c r="AD89" s="609">
        <v>23784</v>
      </c>
      <c r="AE89" s="609">
        <v>12946</v>
      </c>
      <c r="AF89" s="609">
        <v>16405.169000000002</v>
      </c>
      <c r="AG89" s="609">
        <v>11833</v>
      </c>
      <c r="AH89" s="609">
        <v>64968.169000000002</v>
      </c>
      <c r="AI89" s="209"/>
    </row>
    <row r="90" spans="1:35" x14ac:dyDescent="0.25">
      <c r="A90" s="201">
        <v>6108</v>
      </c>
      <c r="B90" s="201">
        <v>6102</v>
      </c>
      <c r="C90" s="201" t="s">
        <v>385</v>
      </c>
      <c r="D90" s="609">
        <v>64751</v>
      </c>
      <c r="E90" s="610">
        <v>3.0424030078365551E-2</v>
      </c>
      <c r="F90" s="609">
        <v>517714.07197852043</v>
      </c>
      <c r="G90" s="609">
        <v>12053</v>
      </c>
      <c r="H90" s="609">
        <v>24096</v>
      </c>
      <c r="I90" s="609">
        <v>437254862123</v>
      </c>
      <c r="J90" s="609">
        <v>1993658045028</v>
      </c>
      <c r="K90" s="608">
        <v>0</v>
      </c>
      <c r="L90" s="608">
        <v>0</v>
      </c>
      <c r="M90" s="609">
        <v>9017577</v>
      </c>
      <c r="N90" s="609">
        <f t="shared" si="6"/>
        <v>9017577</v>
      </c>
      <c r="O90" s="609">
        <f t="shared" si="7"/>
        <v>9017577</v>
      </c>
      <c r="P90" s="609">
        <f t="shared" si="8"/>
        <v>9017577</v>
      </c>
      <c r="Q90" s="611">
        <f>+'_DATA STT PAGOS_'!D92</f>
        <v>2571054.068</v>
      </c>
      <c r="R90" s="611">
        <f>+'_DATA STT PAGOS_'!E92</f>
        <v>214254.50566666666</v>
      </c>
      <c r="S90" s="611">
        <f>+'_DATA STT PAGOS_'!F92</f>
        <v>169261</v>
      </c>
      <c r="T90" s="612">
        <f>+'_DATA STT PAGOS_'!Q92</f>
        <v>3358081.4339999999</v>
      </c>
      <c r="U90" s="613" t="str">
        <f>SUBSTITUTE((IFERROR(VLOOKUP(A90,'DATOS IND MINERO'!$H$2:$L$113,4,0),"No")),"í","I",1)</f>
        <v>SI</v>
      </c>
      <c r="V90" s="614">
        <f>IFERROR(VLOOKUP(A90,'DATOS IND MINERO'!$H$2:$L$113,5,0),0)</f>
        <v>1.51051673E-2</v>
      </c>
      <c r="W90" s="611">
        <f>+'_DATA STT PAGOS_'!G92</f>
        <v>0</v>
      </c>
      <c r="X90" s="611">
        <f>+'_DATA STT PAGOS_'!J92</f>
        <v>3484787.068</v>
      </c>
      <c r="Y90" s="609">
        <v>553430</v>
      </c>
      <c r="Z90" s="609">
        <v>385454</v>
      </c>
      <c r="AA90" s="609">
        <v>444936</v>
      </c>
      <c r="AB90" s="609">
        <v>375188</v>
      </c>
      <c r="AC90" s="609">
        <v>1759008</v>
      </c>
      <c r="AD90" s="609">
        <v>76391</v>
      </c>
      <c r="AE90" s="609">
        <v>34525</v>
      </c>
      <c r="AF90" s="609">
        <v>45232.642999999996</v>
      </c>
      <c r="AG90" s="609">
        <v>33141</v>
      </c>
      <c r="AH90" s="609">
        <v>189289.64299999998</v>
      </c>
      <c r="AI90" s="209"/>
    </row>
    <row r="91" spans="1:35" x14ac:dyDescent="0.25">
      <c r="A91" s="201">
        <v>6109</v>
      </c>
      <c r="B91" s="201">
        <v>6115</v>
      </c>
      <c r="C91" s="201" t="s">
        <v>130</v>
      </c>
      <c r="D91" s="609">
        <v>14300</v>
      </c>
      <c r="E91" s="610">
        <v>9.7922458854994843E-2</v>
      </c>
      <c r="F91" s="609">
        <v>151021.88707705523</v>
      </c>
      <c r="G91" s="609">
        <v>5211</v>
      </c>
      <c r="H91" s="609">
        <v>6715</v>
      </c>
      <c r="I91" s="609">
        <v>94741671227</v>
      </c>
      <c r="J91" s="609">
        <v>261657612054</v>
      </c>
      <c r="K91" s="608">
        <v>0</v>
      </c>
      <c r="L91" s="608">
        <v>0</v>
      </c>
      <c r="M91" s="609">
        <v>1406581</v>
      </c>
      <c r="N91" s="609">
        <f t="shared" si="6"/>
        <v>1406581</v>
      </c>
      <c r="O91" s="609">
        <f t="shared" si="7"/>
        <v>1406581</v>
      </c>
      <c r="P91" s="609">
        <f t="shared" si="8"/>
        <v>1406581</v>
      </c>
      <c r="Q91" s="611">
        <f>+'_DATA STT PAGOS_'!D93</f>
        <v>2940844.4739999999</v>
      </c>
      <c r="R91" s="611">
        <f>+'_DATA STT PAGOS_'!E93</f>
        <v>245070.37283333333</v>
      </c>
      <c r="S91" s="611">
        <f>+'_DATA STT PAGOS_'!F93</f>
        <v>193606</v>
      </c>
      <c r="T91" s="612">
        <f>+'_DATA STT PAGOS_'!Q93</f>
        <v>3733020.54</v>
      </c>
      <c r="U91" s="613" t="str">
        <f>SUBSTITUTE((IFERROR(VLOOKUP(A91,'DATOS IND MINERO'!$H$2:$L$113,4,0),"No")),"í","I",1)</f>
        <v>No</v>
      </c>
      <c r="V91" s="614">
        <f>IFERROR(VLOOKUP(A91,'DATOS IND MINERO'!$H$2:$L$113,5,0),0)</f>
        <v>0</v>
      </c>
      <c r="W91" s="611">
        <f>+'_DATA STT PAGOS_'!G93</f>
        <v>0</v>
      </c>
      <c r="X91" s="611">
        <f>+'_DATA STT PAGOS_'!J93</f>
        <v>3992191.9249999998</v>
      </c>
      <c r="Y91" s="609">
        <v>45960</v>
      </c>
      <c r="Z91" s="609">
        <v>39771</v>
      </c>
      <c r="AA91" s="609">
        <v>30797</v>
      </c>
      <c r="AB91" s="609">
        <v>30986</v>
      </c>
      <c r="AC91" s="609">
        <v>147514</v>
      </c>
      <c r="AD91" s="609">
        <v>1114</v>
      </c>
      <c r="AE91" s="609">
        <v>489</v>
      </c>
      <c r="AF91" s="609">
        <v>692.83100000000002</v>
      </c>
      <c r="AG91" s="609">
        <v>388</v>
      </c>
      <c r="AH91" s="609">
        <v>2683.8310000000001</v>
      </c>
      <c r="AI91" s="209"/>
    </row>
    <row r="92" spans="1:35" x14ac:dyDescent="0.25">
      <c r="A92" s="201">
        <v>6110</v>
      </c>
      <c r="B92" s="201">
        <v>6104</v>
      </c>
      <c r="C92" s="201" t="s">
        <v>121</v>
      </c>
      <c r="D92" s="609">
        <v>28552</v>
      </c>
      <c r="E92" s="610">
        <v>7.3143987189589199E-2</v>
      </c>
      <c r="F92" s="609">
        <v>675083.41869365633</v>
      </c>
      <c r="G92" s="609">
        <v>7340</v>
      </c>
      <c r="H92" s="609">
        <v>10696</v>
      </c>
      <c r="I92" s="609">
        <v>163443600634</v>
      </c>
      <c r="J92" s="609">
        <v>620435799143</v>
      </c>
      <c r="K92" s="608">
        <v>0</v>
      </c>
      <c r="L92" s="608">
        <v>0</v>
      </c>
      <c r="M92" s="609">
        <v>15221392</v>
      </c>
      <c r="N92" s="609">
        <f t="shared" si="6"/>
        <v>15221392</v>
      </c>
      <c r="O92" s="609">
        <f t="shared" si="7"/>
        <v>15221392</v>
      </c>
      <c r="P92" s="609">
        <f t="shared" si="8"/>
        <v>15221392</v>
      </c>
      <c r="Q92" s="611">
        <f>+'_DATA STT PAGOS_'!D94</f>
        <v>2462365.79</v>
      </c>
      <c r="R92" s="611">
        <f>+'_DATA STT PAGOS_'!E94</f>
        <v>205197.14916666667</v>
      </c>
      <c r="S92" s="611">
        <f>+'_DATA STT PAGOS_'!F94</f>
        <v>162106</v>
      </c>
      <c r="T92" s="612">
        <f>+'_DATA STT PAGOS_'!Q94</f>
        <v>3227871.952</v>
      </c>
      <c r="U92" s="613" t="str">
        <f>SUBSTITUTE((IFERROR(VLOOKUP(A92,'DATOS IND MINERO'!$H$2:$L$113,4,0),"No")),"í","I",1)</f>
        <v>No</v>
      </c>
      <c r="V92" s="614">
        <f>IFERROR(VLOOKUP(A92,'DATOS IND MINERO'!$H$2:$L$113,5,0),0)</f>
        <v>0</v>
      </c>
      <c r="W92" s="611">
        <f>+'_DATA STT PAGOS_'!G94</f>
        <v>0</v>
      </c>
      <c r="X92" s="611">
        <f>+'_DATA STT PAGOS_'!J94</f>
        <v>3340700.585</v>
      </c>
      <c r="Y92" s="609">
        <v>184511</v>
      </c>
      <c r="Z92" s="609">
        <v>149206</v>
      </c>
      <c r="AA92" s="609">
        <v>160855</v>
      </c>
      <c r="AB92" s="609">
        <v>152100</v>
      </c>
      <c r="AC92" s="609">
        <v>646672</v>
      </c>
      <c r="AD92" s="609">
        <v>0</v>
      </c>
      <c r="AE92" s="609">
        <v>0</v>
      </c>
      <c r="AF92" s="609">
        <v>0</v>
      </c>
      <c r="AG92" s="609">
        <v>0</v>
      </c>
      <c r="AH92" s="609">
        <v>0</v>
      </c>
      <c r="AI92" s="209"/>
    </row>
    <row r="93" spans="1:35" x14ac:dyDescent="0.25">
      <c r="A93" s="201">
        <v>6111</v>
      </c>
      <c r="B93" s="201">
        <v>6114</v>
      </c>
      <c r="C93" s="201" t="s">
        <v>129</v>
      </c>
      <c r="D93" s="609">
        <v>15007</v>
      </c>
      <c r="E93" s="610">
        <v>7.9633655473524023E-2</v>
      </c>
      <c r="F93" s="609">
        <v>77077.427797465862</v>
      </c>
      <c r="G93" s="609">
        <v>3022</v>
      </c>
      <c r="H93" s="609">
        <v>4756</v>
      </c>
      <c r="I93" s="609">
        <v>70576210803</v>
      </c>
      <c r="J93" s="609">
        <v>264233663589</v>
      </c>
      <c r="K93" s="608">
        <v>0</v>
      </c>
      <c r="L93" s="608">
        <v>0</v>
      </c>
      <c r="M93" s="609">
        <v>2095848</v>
      </c>
      <c r="N93" s="609">
        <f t="shared" si="6"/>
        <v>2095848</v>
      </c>
      <c r="O93" s="609">
        <f t="shared" si="7"/>
        <v>2095848</v>
      </c>
      <c r="P93" s="609">
        <f t="shared" si="8"/>
        <v>2095848</v>
      </c>
      <c r="Q93" s="611">
        <f>+'_DATA STT PAGOS_'!D95</f>
        <v>1874918.639</v>
      </c>
      <c r="R93" s="611">
        <f>+'_DATA STT PAGOS_'!E95</f>
        <v>156243.21991666665</v>
      </c>
      <c r="S93" s="611">
        <f>+'_DATA STT PAGOS_'!F95</f>
        <v>123432</v>
      </c>
      <c r="T93" s="612">
        <f>+'_DATA STT PAGOS_'!Q95</f>
        <v>2469516.7119999998</v>
      </c>
      <c r="U93" s="613" t="str">
        <f>SUBSTITUTE((IFERROR(VLOOKUP(A93,'DATOS IND MINERO'!$H$2:$L$113,4,0),"No")),"í","I",1)</f>
        <v>No</v>
      </c>
      <c r="V93" s="614">
        <f>IFERROR(VLOOKUP(A93,'DATOS IND MINERO'!$H$2:$L$113,5,0),0)</f>
        <v>0</v>
      </c>
      <c r="W93" s="611">
        <f>+'_DATA STT PAGOS_'!G95</f>
        <v>0</v>
      </c>
      <c r="X93" s="611">
        <f>+'_DATA STT PAGOS_'!J95</f>
        <v>2545227.8160000001</v>
      </c>
      <c r="Y93" s="609">
        <v>76784</v>
      </c>
      <c r="Z93" s="609">
        <v>41353</v>
      </c>
      <c r="AA93" s="609">
        <v>61401</v>
      </c>
      <c r="AB93" s="609">
        <v>54052</v>
      </c>
      <c r="AC93" s="609">
        <v>233590</v>
      </c>
      <c r="AD93" s="609">
        <v>0</v>
      </c>
      <c r="AE93" s="609">
        <v>0</v>
      </c>
      <c r="AF93" s="609">
        <v>0</v>
      </c>
      <c r="AG93" s="609">
        <v>0</v>
      </c>
      <c r="AH93" s="609">
        <v>0</v>
      </c>
      <c r="AI93" s="209"/>
    </row>
    <row r="94" spans="1:35" x14ac:dyDescent="0.25">
      <c r="A94" s="201">
        <v>6112</v>
      </c>
      <c r="B94" s="201">
        <v>6108</v>
      </c>
      <c r="C94" s="201" t="s">
        <v>125</v>
      </c>
      <c r="D94" s="609">
        <v>15028</v>
      </c>
      <c r="E94" s="610">
        <v>7.718469751227644E-2</v>
      </c>
      <c r="F94" s="609">
        <v>112168.77207946985</v>
      </c>
      <c r="G94" s="609">
        <v>4350</v>
      </c>
      <c r="H94" s="609">
        <v>5475</v>
      </c>
      <c r="I94" s="609">
        <v>86254705677</v>
      </c>
      <c r="J94" s="609">
        <v>246817169620</v>
      </c>
      <c r="K94" s="608">
        <v>0</v>
      </c>
      <c r="L94" s="608">
        <v>0</v>
      </c>
      <c r="M94" s="609">
        <v>1053133</v>
      </c>
      <c r="N94" s="609">
        <f t="shared" si="6"/>
        <v>1053133</v>
      </c>
      <c r="O94" s="609">
        <f t="shared" si="7"/>
        <v>1053133</v>
      </c>
      <c r="P94" s="609">
        <f t="shared" si="8"/>
        <v>1053133</v>
      </c>
      <c r="Q94" s="611">
        <f>+'_DATA STT PAGOS_'!D96</f>
        <v>2639795.6039999998</v>
      </c>
      <c r="R94" s="611">
        <f>+'_DATA STT PAGOS_'!E96</f>
        <v>219982.96699999998</v>
      </c>
      <c r="S94" s="611">
        <f>+'_DATA STT PAGOS_'!F96</f>
        <v>173787</v>
      </c>
      <c r="T94" s="612">
        <f>+'_DATA STT PAGOS_'!Q96</f>
        <v>3174526.7740000002</v>
      </c>
      <c r="U94" s="613" t="str">
        <f>SUBSTITUTE((IFERROR(VLOOKUP(A94,'DATOS IND MINERO'!$H$2:$L$113,4,0),"No")),"í","I",1)</f>
        <v>No</v>
      </c>
      <c r="V94" s="614">
        <f>IFERROR(VLOOKUP(A94,'DATOS IND MINERO'!$H$2:$L$113,5,0),0)</f>
        <v>0</v>
      </c>
      <c r="W94" s="611">
        <f>+'_DATA STT PAGOS_'!G96</f>
        <v>0</v>
      </c>
      <c r="X94" s="611">
        <f>+'_DATA STT PAGOS_'!J96</f>
        <v>3582954.0889999997</v>
      </c>
      <c r="Y94" s="609">
        <v>54108</v>
      </c>
      <c r="Z94" s="609">
        <v>34335</v>
      </c>
      <c r="AA94" s="609">
        <v>37199</v>
      </c>
      <c r="AB94" s="609">
        <v>37276</v>
      </c>
      <c r="AC94" s="609">
        <v>162918</v>
      </c>
      <c r="AD94" s="609">
        <v>1205</v>
      </c>
      <c r="AE94" s="609">
        <v>704</v>
      </c>
      <c r="AF94" s="609">
        <v>893.197</v>
      </c>
      <c r="AG94" s="609">
        <v>1006</v>
      </c>
      <c r="AH94" s="609">
        <v>3808.1970000000001</v>
      </c>
      <c r="AI94" s="209"/>
    </row>
    <row r="95" spans="1:35" x14ac:dyDescent="0.25">
      <c r="A95" s="201">
        <v>6113</v>
      </c>
      <c r="B95" s="201">
        <v>6111</v>
      </c>
      <c r="C95" s="201" t="s">
        <v>127</v>
      </c>
      <c r="D95" s="609">
        <v>21074</v>
      </c>
      <c r="E95" s="610">
        <v>0.1092073031580498</v>
      </c>
      <c r="F95" s="609">
        <v>252082.14651526927</v>
      </c>
      <c r="G95" s="609">
        <v>7716</v>
      </c>
      <c r="H95" s="609">
        <v>10288</v>
      </c>
      <c r="I95" s="609">
        <v>146695069205</v>
      </c>
      <c r="J95" s="609">
        <v>401850855369</v>
      </c>
      <c r="K95" s="608">
        <v>0</v>
      </c>
      <c r="L95" s="608">
        <v>0</v>
      </c>
      <c r="M95" s="609">
        <v>1721510</v>
      </c>
      <c r="N95" s="609">
        <f t="shared" si="6"/>
        <v>1721510</v>
      </c>
      <c r="O95" s="609">
        <f t="shared" si="7"/>
        <v>1721510</v>
      </c>
      <c r="P95" s="609">
        <f t="shared" si="8"/>
        <v>1721510</v>
      </c>
      <c r="Q95" s="611">
        <f>+'_DATA STT PAGOS_'!D97</f>
        <v>3659238.2140000002</v>
      </c>
      <c r="R95" s="611">
        <f>+'_DATA STT PAGOS_'!E97</f>
        <v>304936.51783333335</v>
      </c>
      <c r="S95" s="611">
        <f>+'_DATA STT PAGOS_'!F97</f>
        <v>240900</v>
      </c>
      <c r="T95" s="612">
        <f>+'_DATA STT PAGOS_'!Q97</f>
        <v>4049753.0260000001</v>
      </c>
      <c r="U95" s="613" t="str">
        <f>SUBSTITUTE((IFERROR(VLOOKUP(A95,'DATOS IND MINERO'!$H$2:$L$113,4,0),"No")),"í","I",1)</f>
        <v>No</v>
      </c>
      <c r="V95" s="614">
        <f>IFERROR(VLOOKUP(A95,'DATOS IND MINERO'!$H$2:$L$113,5,0),0)</f>
        <v>0</v>
      </c>
      <c r="W95" s="611">
        <f>+'_DATA STT PAGOS_'!G97</f>
        <v>0</v>
      </c>
      <c r="X95" s="611">
        <f>+'_DATA STT PAGOS_'!J97</f>
        <v>4967663.58</v>
      </c>
      <c r="Y95" s="609">
        <v>68156</v>
      </c>
      <c r="Z95" s="609">
        <v>44047</v>
      </c>
      <c r="AA95" s="609">
        <v>46436</v>
      </c>
      <c r="AB95" s="609">
        <v>40112</v>
      </c>
      <c r="AC95" s="609">
        <v>198751</v>
      </c>
      <c r="AD95" s="609">
        <v>2837</v>
      </c>
      <c r="AE95" s="609">
        <v>1766</v>
      </c>
      <c r="AF95" s="609">
        <v>2467.6709999999998</v>
      </c>
      <c r="AG95" s="609">
        <v>1630</v>
      </c>
      <c r="AH95" s="609">
        <v>8700.6710000000003</v>
      </c>
      <c r="AI95" s="209"/>
    </row>
    <row r="96" spans="1:35" x14ac:dyDescent="0.25">
      <c r="A96" s="201">
        <v>6114</v>
      </c>
      <c r="B96" s="201">
        <v>6117</v>
      </c>
      <c r="C96" s="201" t="s">
        <v>132</v>
      </c>
      <c r="D96" s="609">
        <v>14288</v>
      </c>
      <c r="E96" s="610">
        <v>9.0363154259129164E-2</v>
      </c>
      <c r="F96" s="609">
        <v>77488.024569784669</v>
      </c>
      <c r="G96" s="609">
        <v>4843</v>
      </c>
      <c r="H96" s="609">
        <v>6177</v>
      </c>
      <c r="I96" s="609">
        <v>93683449455</v>
      </c>
      <c r="J96" s="609">
        <v>233697018616</v>
      </c>
      <c r="K96" s="608">
        <v>0</v>
      </c>
      <c r="L96" s="608">
        <v>0</v>
      </c>
      <c r="M96" s="609">
        <v>1422715</v>
      </c>
      <c r="N96" s="609">
        <f t="shared" si="6"/>
        <v>1422715</v>
      </c>
      <c r="O96" s="609">
        <f t="shared" si="7"/>
        <v>1422715</v>
      </c>
      <c r="P96" s="609">
        <f t="shared" si="8"/>
        <v>1422715</v>
      </c>
      <c r="Q96" s="611">
        <f>+'_DATA STT PAGOS_'!D98</f>
        <v>2611202.088</v>
      </c>
      <c r="R96" s="611">
        <f>+'_DATA STT PAGOS_'!E98</f>
        <v>217600.174</v>
      </c>
      <c r="S96" s="611">
        <f>+'_DATA STT PAGOS_'!F98</f>
        <v>171904</v>
      </c>
      <c r="T96" s="612">
        <f>+'_DATA STT PAGOS_'!Q98</f>
        <v>3274724.5410000002</v>
      </c>
      <c r="U96" s="613" t="str">
        <f>SUBSTITUTE((IFERROR(VLOOKUP(A96,'DATOS IND MINERO'!$H$2:$L$113,4,0),"No")),"í","I",1)</f>
        <v>No</v>
      </c>
      <c r="V96" s="614">
        <f>IFERROR(VLOOKUP(A96,'DATOS IND MINERO'!$H$2:$L$113,5,0),0)</f>
        <v>0</v>
      </c>
      <c r="W96" s="611">
        <f>+'_DATA STT PAGOS_'!G98</f>
        <v>0</v>
      </c>
      <c r="X96" s="611">
        <f>+'_DATA STT PAGOS_'!J98</f>
        <v>3543673.557</v>
      </c>
      <c r="Y96" s="609">
        <v>49798</v>
      </c>
      <c r="Z96" s="609">
        <v>25396</v>
      </c>
      <c r="AA96" s="609">
        <v>32279</v>
      </c>
      <c r="AB96" s="609">
        <v>25850</v>
      </c>
      <c r="AC96" s="609">
        <v>133323</v>
      </c>
      <c r="AD96" s="609">
        <v>1111</v>
      </c>
      <c r="AE96" s="609">
        <v>900</v>
      </c>
      <c r="AF96" s="609">
        <v>656.3</v>
      </c>
      <c r="AG96" s="609">
        <v>518</v>
      </c>
      <c r="AH96" s="609">
        <v>3185.3</v>
      </c>
      <c r="AI96" s="209"/>
    </row>
    <row r="97" spans="1:35" x14ac:dyDescent="0.25">
      <c r="A97" s="201">
        <v>6115</v>
      </c>
      <c r="B97" s="201">
        <v>6112</v>
      </c>
      <c r="C97" s="201" t="s">
        <v>128</v>
      </c>
      <c r="D97" s="609">
        <v>65786</v>
      </c>
      <c r="E97" s="610">
        <v>5.4330685554874338E-2</v>
      </c>
      <c r="F97" s="609">
        <v>472335.35930887703</v>
      </c>
      <c r="G97" s="609">
        <v>21760</v>
      </c>
      <c r="H97" s="609">
        <v>25773</v>
      </c>
      <c r="I97" s="609">
        <v>618534854224</v>
      </c>
      <c r="J97" s="609">
        <v>1368171600193</v>
      </c>
      <c r="K97" s="608">
        <v>0</v>
      </c>
      <c r="L97" s="608">
        <v>0</v>
      </c>
      <c r="M97" s="609">
        <v>6155098</v>
      </c>
      <c r="N97" s="609">
        <f t="shared" si="6"/>
        <v>6155098</v>
      </c>
      <c r="O97" s="609">
        <f t="shared" si="7"/>
        <v>6155098</v>
      </c>
      <c r="P97" s="609">
        <f t="shared" si="8"/>
        <v>6155098</v>
      </c>
      <c r="Q97" s="611">
        <f>+'_DATA STT PAGOS_'!D99</f>
        <v>7455548.3109999998</v>
      </c>
      <c r="R97" s="611">
        <f>+'_DATA STT PAGOS_'!E99</f>
        <v>621295.69258333335</v>
      </c>
      <c r="S97" s="611">
        <f>+'_DATA STT PAGOS_'!F99</f>
        <v>490824</v>
      </c>
      <c r="T97" s="612">
        <f>+'_DATA STT PAGOS_'!Q99</f>
        <v>9633603.1559999995</v>
      </c>
      <c r="U97" s="613" t="str">
        <f>SUBSTITUTE((IFERROR(VLOOKUP(A97,'DATOS IND MINERO'!$H$2:$L$113,4,0),"No")),"í","I",1)</f>
        <v>No</v>
      </c>
      <c r="V97" s="614">
        <f>IFERROR(VLOOKUP(A97,'DATOS IND MINERO'!$H$2:$L$113,5,0),0)</f>
        <v>0</v>
      </c>
      <c r="W97" s="611">
        <f>+'_DATA STT PAGOS_'!G99</f>
        <v>0</v>
      </c>
      <c r="X97" s="611">
        <f>+'_DATA STT PAGOS_'!J99</f>
        <v>10113103.675000001</v>
      </c>
      <c r="Y97" s="609">
        <v>305994</v>
      </c>
      <c r="Z97" s="609">
        <v>179981</v>
      </c>
      <c r="AA97" s="609">
        <v>272806</v>
      </c>
      <c r="AB97" s="609">
        <v>227552</v>
      </c>
      <c r="AC97" s="609">
        <v>986333</v>
      </c>
      <c r="AD97" s="609">
        <v>3623</v>
      </c>
      <c r="AE97" s="609">
        <v>1664</v>
      </c>
      <c r="AF97" s="609">
        <v>2267.4690000000001</v>
      </c>
      <c r="AG97" s="609">
        <v>1904</v>
      </c>
      <c r="AH97" s="609">
        <v>9458.469000000001</v>
      </c>
      <c r="AI97" s="209"/>
    </row>
    <row r="98" spans="1:35" x14ac:dyDescent="0.25">
      <c r="A98" s="201">
        <v>6116</v>
      </c>
      <c r="B98" s="201">
        <v>6113</v>
      </c>
      <c r="C98" s="201" t="s">
        <v>499</v>
      </c>
      <c r="D98" s="609">
        <v>31724</v>
      </c>
      <c r="E98" s="610">
        <v>2.9791232299741021E-2</v>
      </c>
      <c r="F98" s="609">
        <v>260303.6379261855</v>
      </c>
      <c r="G98" s="609">
        <v>7339</v>
      </c>
      <c r="H98" s="609">
        <v>11195</v>
      </c>
      <c r="I98" s="609">
        <v>203077061262</v>
      </c>
      <c r="J98" s="609">
        <v>945024701373</v>
      </c>
      <c r="K98" s="608">
        <v>0</v>
      </c>
      <c r="L98" s="608">
        <v>0</v>
      </c>
      <c r="M98" s="609">
        <v>5868811</v>
      </c>
      <c r="N98" s="609">
        <f t="shared" si="6"/>
        <v>5868811</v>
      </c>
      <c r="O98" s="609">
        <f t="shared" si="7"/>
        <v>5868811</v>
      </c>
      <c r="P98" s="609">
        <f t="shared" si="8"/>
        <v>5868811</v>
      </c>
      <c r="Q98" s="611">
        <f>+'_DATA STT PAGOS_'!D100</f>
        <v>2277542.835</v>
      </c>
      <c r="R98" s="611">
        <f>+'_DATA STT PAGOS_'!E100</f>
        <v>189795.23624999999</v>
      </c>
      <c r="S98" s="611">
        <f>+'_DATA STT PAGOS_'!F100</f>
        <v>149938</v>
      </c>
      <c r="T98" s="612">
        <f>+'_DATA STT PAGOS_'!Q100</f>
        <v>3022901.5970000001</v>
      </c>
      <c r="U98" s="613" t="str">
        <f>SUBSTITUTE((IFERROR(VLOOKUP(A98,'DATOS IND MINERO'!$H$2:$L$113,4,0),"No")),"í","I",1)</f>
        <v>SI</v>
      </c>
      <c r="V98" s="614">
        <f>IFERROR(VLOOKUP(A98,'DATOS IND MINERO'!$H$2:$L$113,5,0),0)</f>
        <v>4.1982391199999998E-3</v>
      </c>
      <c r="W98" s="611">
        <f>+'_DATA STT PAGOS_'!G100</f>
        <v>0</v>
      </c>
      <c r="X98" s="611">
        <f>+'_DATA STT PAGOS_'!J100</f>
        <v>3084993.6210000003</v>
      </c>
      <c r="Y98" s="609">
        <v>307237</v>
      </c>
      <c r="Z98" s="609">
        <v>218357</v>
      </c>
      <c r="AA98" s="609">
        <v>241117</v>
      </c>
      <c r="AB98" s="609">
        <v>242474</v>
      </c>
      <c r="AC98" s="609">
        <v>1009185</v>
      </c>
      <c r="AD98" s="609">
        <v>10297</v>
      </c>
      <c r="AE98" s="609">
        <v>6774</v>
      </c>
      <c r="AF98" s="609">
        <v>8603.3619999999992</v>
      </c>
      <c r="AG98" s="609">
        <v>7630</v>
      </c>
      <c r="AH98" s="609">
        <v>33304.362000000001</v>
      </c>
      <c r="AI98" s="209"/>
    </row>
    <row r="99" spans="1:35" x14ac:dyDescent="0.25">
      <c r="A99" s="201">
        <v>6117</v>
      </c>
      <c r="B99" s="201">
        <v>6110</v>
      </c>
      <c r="C99" s="201" t="s">
        <v>316</v>
      </c>
      <c r="D99" s="609">
        <v>52289</v>
      </c>
      <c r="E99" s="610">
        <v>9.1985702540799727E-2</v>
      </c>
      <c r="F99" s="609">
        <v>467382.56820011156</v>
      </c>
      <c r="G99" s="609">
        <v>16799</v>
      </c>
      <c r="H99" s="609">
        <v>22012</v>
      </c>
      <c r="I99" s="609">
        <v>472880142597</v>
      </c>
      <c r="J99" s="609">
        <v>1157578562298</v>
      </c>
      <c r="K99" s="608">
        <v>0</v>
      </c>
      <c r="L99" s="608">
        <v>0</v>
      </c>
      <c r="M99" s="609">
        <v>4449991</v>
      </c>
      <c r="N99" s="609">
        <f t="shared" si="6"/>
        <v>4449991</v>
      </c>
      <c r="O99" s="609">
        <f t="shared" si="7"/>
        <v>4449991</v>
      </c>
      <c r="P99" s="609">
        <f t="shared" si="8"/>
        <v>4449991</v>
      </c>
      <c r="Q99" s="611">
        <f>+'_DATA STT PAGOS_'!D101</f>
        <v>7096556.1689999998</v>
      </c>
      <c r="R99" s="611">
        <f>+'_DATA STT PAGOS_'!E101</f>
        <v>591379.68074999994</v>
      </c>
      <c r="S99" s="611">
        <f>+'_DATA STT PAGOS_'!F101</f>
        <v>467190</v>
      </c>
      <c r="T99" s="612">
        <f>+'_DATA STT PAGOS_'!Q101</f>
        <v>9152729.1329999994</v>
      </c>
      <c r="U99" s="613" t="str">
        <f>SUBSTITUTE((IFERROR(VLOOKUP(A99,'DATOS IND MINERO'!$H$2:$L$113,4,0),"No")),"í","I",1)</f>
        <v>No</v>
      </c>
      <c r="V99" s="614">
        <f>IFERROR(VLOOKUP(A99,'DATOS IND MINERO'!$H$2:$L$113,5,0),0)</f>
        <v>0</v>
      </c>
      <c r="W99" s="611">
        <f>+'_DATA STT PAGOS_'!G101</f>
        <v>0</v>
      </c>
      <c r="X99" s="611">
        <f>+'_DATA STT PAGOS_'!J101</f>
        <v>9639361.6850000005</v>
      </c>
      <c r="Y99" s="609">
        <v>218953</v>
      </c>
      <c r="Z99" s="609">
        <v>148065</v>
      </c>
      <c r="AA99" s="609">
        <v>167856</v>
      </c>
      <c r="AB99" s="609">
        <v>139326</v>
      </c>
      <c r="AC99" s="609">
        <v>674200</v>
      </c>
      <c r="AD99" s="609">
        <v>18789</v>
      </c>
      <c r="AE99" s="609">
        <v>8976</v>
      </c>
      <c r="AF99" s="609">
        <v>14152.141</v>
      </c>
      <c r="AG99" s="609">
        <v>9310</v>
      </c>
      <c r="AH99" s="609">
        <v>51227.141000000003</v>
      </c>
      <c r="AI99" s="209"/>
    </row>
    <row r="100" spans="1:35" x14ac:dyDescent="0.25">
      <c r="A100" s="201">
        <v>6201</v>
      </c>
      <c r="B100" s="201">
        <v>6301</v>
      </c>
      <c r="C100" s="201" t="s">
        <v>142</v>
      </c>
      <c r="D100" s="609">
        <v>18804</v>
      </c>
      <c r="E100" s="610">
        <v>6.8724151951301826E-2</v>
      </c>
      <c r="F100" s="609">
        <v>2304220.3979394156</v>
      </c>
      <c r="G100" s="609">
        <v>10595</v>
      </c>
      <c r="H100" s="609">
        <v>19058</v>
      </c>
      <c r="I100" s="609">
        <v>276209181412</v>
      </c>
      <c r="J100" s="609">
        <v>792391296051</v>
      </c>
      <c r="K100" s="608">
        <v>0</v>
      </c>
      <c r="L100" s="608">
        <v>0</v>
      </c>
      <c r="M100" s="609">
        <v>4139521</v>
      </c>
      <c r="N100" s="609">
        <f t="shared" si="6"/>
        <v>4139521</v>
      </c>
      <c r="O100" s="609">
        <f t="shared" si="7"/>
        <v>4139521</v>
      </c>
      <c r="P100" s="609">
        <f t="shared" si="8"/>
        <v>4139521</v>
      </c>
      <c r="Q100" s="611">
        <f>+'_DATA STT PAGOS_'!D102</f>
        <v>9089639.523</v>
      </c>
      <c r="R100" s="611">
        <f>+'_DATA STT PAGOS_'!E102</f>
        <v>757469.96025</v>
      </c>
      <c r="S100" s="611">
        <f>+'_DATA STT PAGOS_'!F102</f>
        <v>598401</v>
      </c>
      <c r="T100" s="612">
        <f>+'_DATA STT PAGOS_'!Q102</f>
        <v>12220532.187000001</v>
      </c>
      <c r="U100" s="613" t="str">
        <f>SUBSTITUTE((IFERROR(VLOOKUP(A100,'DATOS IND MINERO'!$H$2:$L$113,4,0),"No")),"í","I",1)</f>
        <v>No</v>
      </c>
      <c r="V100" s="614">
        <f>IFERROR(VLOOKUP(A100,'DATOS IND MINERO'!$H$2:$L$113,5,0),0)</f>
        <v>0</v>
      </c>
      <c r="W100" s="611">
        <f>+'_DATA STT PAGOS_'!G102</f>
        <v>0</v>
      </c>
      <c r="X100" s="611">
        <f>+'_DATA STT PAGOS_'!J102</f>
        <v>12334849.558999998</v>
      </c>
      <c r="Y100" s="609">
        <v>278786</v>
      </c>
      <c r="Z100" s="609">
        <v>135175</v>
      </c>
      <c r="AA100" s="609">
        <v>182618</v>
      </c>
      <c r="AB100" s="609">
        <v>163675</v>
      </c>
      <c r="AC100" s="609">
        <v>760254</v>
      </c>
      <c r="AD100" s="609">
        <v>24622</v>
      </c>
      <c r="AE100" s="609">
        <v>10726</v>
      </c>
      <c r="AF100" s="609">
        <v>15610.062</v>
      </c>
      <c r="AG100" s="609">
        <v>12339</v>
      </c>
      <c r="AH100" s="609">
        <v>63297.061999999998</v>
      </c>
      <c r="AI100" s="209"/>
    </row>
    <row r="101" spans="1:35" x14ac:dyDescent="0.25">
      <c r="A101" s="201">
        <v>6202</v>
      </c>
      <c r="B101" s="201">
        <v>6304</v>
      </c>
      <c r="C101" s="201" t="s">
        <v>145</v>
      </c>
      <c r="D101" s="609">
        <v>3098</v>
      </c>
      <c r="E101" s="610">
        <v>9.7283685469863657E-2</v>
      </c>
      <c r="F101" s="609">
        <v>202847.8670752655</v>
      </c>
      <c r="G101" s="609">
        <v>2038</v>
      </c>
      <c r="H101" s="609">
        <v>5849</v>
      </c>
      <c r="I101" s="609">
        <v>34750079448</v>
      </c>
      <c r="J101" s="609">
        <v>181118732561</v>
      </c>
      <c r="K101" s="608">
        <v>0</v>
      </c>
      <c r="L101" s="608">
        <v>0</v>
      </c>
      <c r="M101" s="609">
        <v>1938792</v>
      </c>
      <c r="N101" s="609">
        <f t="shared" si="6"/>
        <v>1938792</v>
      </c>
      <c r="O101" s="609">
        <f t="shared" si="7"/>
        <v>1938792</v>
      </c>
      <c r="P101" s="609">
        <f t="shared" si="8"/>
        <v>1938792</v>
      </c>
      <c r="Q101" s="611">
        <f>+'_DATA STT PAGOS_'!D103</f>
        <v>1512075.94</v>
      </c>
      <c r="R101" s="611">
        <f>+'_DATA STT PAGOS_'!E103</f>
        <v>126006.32833333332</v>
      </c>
      <c r="S101" s="611">
        <f>+'_DATA STT PAGOS_'!F103</f>
        <v>99545</v>
      </c>
      <c r="T101" s="612">
        <f>+'_DATA STT PAGOS_'!Q103</f>
        <v>1961592.7039999999</v>
      </c>
      <c r="U101" s="613" t="str">
        <f>SUBSTITUTE((IFERROR(VLOOKUP(A101,'DATOS IND MINERO'!$H$2:$L$113,4,0),"No")),"í","I",1)</f>
        <v>No</v>
      </c>
      <c r="V101" s="614">
        <f>IFERROR(VLOOKUP(A101,'DATOS IND MINERO'!$H$2:$L$113,5,0),0)</f>
        <v>0</v>
      </c>
      <c r="W101" s="611">
        <f>+'_DATA STT PAGOS_'!G103</f>
        <v>0</v>
      </c>
      <c r="X101" s="611">
        <f>+'_DATA STT PAGOS_'!J103</f>
        <v>2052578.4039999999</v>
      </c>
      <c r="Y101" s="609">
        <v>51972</v>
      </c>
      <c r="Z101" s="609">
        <v>30626</v>
      </c>
      <c r="AA101" s="609">
        <v>43351</v>
      </c>
      <c r="AB101" s="609">
        <v>35447</v>
      </c>
      <c r="AC101" s="609">
        <v>161396</v>
      </c>
      <c r="AD101" s="609">
        <v>16047</v>
      </c>
      <c r="AE101" s="609">
        <v>8813</v>
      </c>
      <c r="AF101" s="609">
        <v>11915.153</v>
      </c>
      <c r="AG101" s="609">
        <v>8078</v>
      </c>
      <c r="AH101" s="609">
        <v>44853.152999999998</v>
      </c>
      <c r="AI101" s="209"/>
    </row>
    <row r="102" spans="1:35" x14ac:dyDescent="0.25">
      <c r="A102" s="201">
        <v>6203</v>
      </c>
      <c r="B102" s="201">
        <v>6303</v>
      </c>
      <c r="C102" s="201" t="s">
        <v>144</v>
      </c>
      <c r="D102" s="609">
        <v>6949</v>
      </c>
      <c r="E102" s="610">
        <v>9.3722331906525666E-2</v>
      </c>
      <c r="F102" s="609">
        <v>307899.28438185231</v>
      </c>
      <c r="G102" s="609">
        <v>3409</v>
      </c>
      <c r="H102" s="609">
        <v>11138</v>
      </c>
      <c r="I102" s="609">
        <v>54017137933</v>
      </c>
      <c r="J102" s="609">
        <v>328124359863</v>
      </c>
      <c r="K102" s="608">
        <v>0</v>
      </c>
      <c r="L102" s="608">
        <v>0</v>
      </c>
      <c r="M102" s="609">
        <v>1755022</v>
      </c>
      <c r="N102" s="609">
        <f t="shared" si="6"/>
        <v>1755022</v>
      </c>
      <c r="O102" s="609">
        <f t="shared" si="7"/>
        <v>1755022</v>
      </c>
      <c r="P102" s="609">
        <f t="shared" si="8"/>
        <v>1755022</v>
      </c>
      <c r="Q102" s="611">
        <f>+'_DATA STT PAGOS_'!D104</f>
        <v>1625307.1170000001</v>
      </c>
      <c r="R102" s="611">
        <f>+'_DATA STT PAGOS_'!E104</f>
        <v>135442.25975</v>
      </c>
      <c r="S102" s="611">
        <f>+'_DATA STT PAGOS_'!F104</f>
        <v>106999</v>
      </c>
      <c r="T102" s="612">
        <f>+'_DATA STT PAGOS_'!Q104</f>
        <v>2117657.821</v>
      </c>
      <c r="U102" s="613" t="str">
        <f>SUBSTITUTE((IFERROR(VLOOKUP(A102,'DATOS IND MINERO'!$H$2:$L$113,4,0),"No")),"í","I",1)</f>
        <v>SI</v>
      </c>
      <c r="V102" s="614">
        <f>IFERROR(VLOOKUP(A102,'DATOS IND MINERO'!$H$2:$L$113,5,0),0)</f>
        <v>8.5275860000000005E-5</v>
      </c>
      <c r="W102" s="611">
        <f>+'_DATA STT PAGOS_'!G104</f>
        <v>0</v>
      </c>
      <c r="X102" s="611">
        <f>+'_DATA STT PAGOS_'!J104</f>
        <v>2206136.0970000001</v>
      </c>
      <c r="Y102" s="609">
        <v>115642</v>
      </c>
      <c r="Z102" s="609">
        <v>66396</v>
      </c>
      <c r="AA102" s="609">
        <v>75920</v>
      </c>
      <c r="AB102" s="609">
        <v>59318</v>
      </c>
      <c r="AC102" s="609">
        <v>317276</v>
      </c>
      <c r="AD102" s="609">
        <v>2226</v>
      </c>
      <c r="AE102" s="609">
        <v>2504</v>
      </c>
      <c r="AF102" s="609">
        <v>1420.2380000000001</v>
      </c>
      <c r="AG102" s="609">
        <v>773</v>
      </c>
      <c r="AH102" s="609">
        <v>6923.2380000000003</v>
      </c>
      <c r="AI102" s="209"/>
    </row>
    <row r="103" spans="1:35" x14ac:dyDescent="0.25">
      <c r="A103" s="201">
        <v>6204</v>
      </c>
      <c r="B103" s="201">
        <v>6305</v>
      </c>
      <c r="C103" s="201" t="s">
        <v>29</v>
      </c>
      <c r="D103" s="609">
        <v>7715</v>
      </c>
      <c r="E103" s="610">
        <v>9.1528079315654876E-2</v>
      </c>
      <c r="F103" s="609">
        <v>270528.50551131956</v>
      </c>
      <c r="G103" s="609">
        <v>3808</v>
      </c>
      <c r="H103" s="609">
        <v>8710</v>
      </c>
      <c r="I103" s="609">
        <v>51536560985</v>
      </c>
      <c r="J103" s="609">
        <v>222465850711</v>
      </c>
      <c r="K103" s="608">
        <v>0</v>
      </c>
      <c r="L103" s="608">
        <v>0</v>
      </c>
      <c r="M103" s="609">
        <v>3667983</v>
      </c>
      <c r="N103" s="609">
        <f t="shared" si="6"/>
        <v>3667983</v>
      </c>
      <c r="O103" s="609">
        <f t="shared" si="7"/>
        <v>3667983</v>
      </c>
      <c r="P103" s="609">
        <f t="shared" si="8"/>
        <v>3667983</v>
      </c>
      <c r="Q103" s="611">
        <f>+'_DATA STT PAGOS_'!D105</f>
        <v>1728028.4990000001</v>
      </c>
      <c r="R103" s="611">
        <f>+'_DATA STT PAGOS_'!E105</f>
        <v>144002.37491666668</v>
      </c>
      <c r="S103" s="611">
        <f>+'_DATA STT PAGOS_'!F105</f>
        <v>113762</v>
      </c>
      <c r="T103" s="612">
        <f>+'_DATA STT PAGOS_'!Q105</f>
        <v>2246527.7220000001</v>
      </c>
      <c r="U103" s="613" t="str">
        <f>SUBSTITUTE((IFERROR(VLOOKUP(A103,'DATOS IND MINERO'!$H$2:$L$113,4,0),"No")),"í","I",1)</f>
        <v>No</v>
      </c>
      <c r="V103" s="614">
        <f>IFERROR(VLOOKUP(A103,'DATOS IND MINERO'!$H$2:$L$113,5,0),0)</f>
        <v>0</v>
      </c>
      <c r="W103" s="611">
        <f>+'_DATA STT PAGOS_'!G105</f>
        <v>0</v>
      </c>
      <c r="X103" s="611">
        <f>+'_DATA STT PAGOS_'!J105</f>
        <v>2345834.4920000001</v>
      </c>
      <c r="Y103" s="609">
        <v>46234</v>
      </c>
      <c r="Z103" s="609">
        <v>31992</v>
      </c>
      <c r="AA103" s="609">
        <v>36833</v>
      </c>
      <c r="AB103" s="609">
        <v>32305</v>
      </c>
      <c r="AC103" s="609">
        <v>147364</v>
      </c>
      <c r="AD103" s="609">
        <v>959</v>
      </c>
      <c r="AE103" s="609">
        <v>424</v>
      </c>
      <c r="AF103" s="609">
        <v>509.83699999999999</v>
      </c>
      <c r="AG103" s="609">
        <v>466</v>
      </c>
      <c r="AH103" s="609">
        <v>2358.837</v>
      </c>
      <c r="AI103" s="209"/>
    </row>
    <row r="104" spans="1:35" x14ac:dyDescent="0.25">
      <c r="A104" s="201">
        <v>6205</v>
      </c>
      <c r="B104" s="201">
        <v>6302</v>
      </c>
      <c r="C104" s="201" t="s">
        <v>143</v>
      </c>
      <c r="D104" s="609">
        <v>7135</v>
      </c>
      <c r="E104" s="610">
        <v>0.12313941376562371</v>
      </c>
      <c r="F104" s="609">
        <v>804220.29155137111</v>
      </c>
      <c r="G104" s="609">
        <v>5459</v>
      </c>
      <c r="H104" s="609">
        <v>9473</v>
      </c>
      <c r="I104" s="609">
        <v>81751140665.999985</v>
      </c>
      <c r="J104" s="609">
        <v>230033662797</v>
      </c>
      <c r="K104" s="608">
        <v>0</v>
      </c>
      <c r="L104" s="608">
        <v>0</v>
      </c>
      <c r="M104" s="609">
        <v>857395</v>
      </c>
      <c r="N104" s="609">
        <f t="shared" si="6"/>
        <v>857395</v>
      </c>
      <c r="O104" s="609">
        <f t="shared" si="7"/>
        <v>857395</v>
      </c>
      <c r="P104" s="609">
        <f t="shared" si="8"/>
        <v>857395</v>
      </c>
      <c r="Q104" s="611">
        <f>+'_DATA STT PAGOS_'!D106</f>
        <v>5347109.6239999998</v>
      </c>
      <c r="R104" s="611">
        <f>+'_DATA STT PAGOS_'!E106</f>
        <v>445592.46866666665</v>
      </c>
      <c r="S104" s="611">
        <f>+'_DATA STT PAGOS_'!F106</f>
        <v>352018</v>
      </c>
      <c r="T104" s="612">
        <f>+'_DATA STT PAGOS_'!Q106</f>
        <v>7188901.8729999997</v>
      </c>
      <c r="U104" s="613" t="str">
        <f>SUBSTITUTE((IFERROR(VLOOKUP(A104,'DATOS IND MINERO'!$H$2:$L$113,4,0),"No")),"í","I",1)</f>
        <v>No</v>
      </c>
      <c r="V104" s="614">
        <f>IFERROR(VLOOKUP(A104,'DATOS IND MINERO'!$H$2:$L$113,5,0),0)</f>
        <v>0</v>
      </c>
      <c r="W104" s="611">
        <f>+'_DATA STT PAGOS_'!G106</f>
        <v>0</v>
      </c>
      <c r="X104" s="611">
        <f>+'_DATA STT PAGOS_'!J106</f>
        <v>7256150.5420000004</v>
      </c>
      <c r="Y104" s="609">
        <v>58710</v>
      </c>
      <c r="Z104" s="609">
        <v>28810</v>
      </c>
      <c r="AA104" s="609">
        <v>35619</v>
      </c>
      <c r="AB104" s="609">
        <v>26234</v>
      </c>
      <c r="AC104" s="609">
        <v>149373</v>
      </c>
      <c r="AD104" s="609">
        <v>4823</v>
      </c>
      <c r="AE104" s="609">
        <v>1755</v>
      </c>
      <c r="AF104" s="609">
        <v>2726.056</v>
      </c>
      <c r="AG104" s="609">
        <v>2011</v>
      </c>
      <c r="AH104" s="609">
        <v>11315.056</v>
      </c>
      <c r="AI104" s="209"/>
    </row>
    <row r="105" spans="1:35" x14ac:dyDescent="0.25">
      <c r="A105" s="201">
        <v>6206</v>
      </c>
      <c r="B105" s="201">
        <v>6306</v>
      </c>
      <c r="C105" s="201" t="s">
        <v>146</v>
      </c>
      <c r="D105" s="609">
        <v>6259</v>
      </c>
      <c r="E105" s="610">
        <v>0.1493725761650852</v>
      </c>
      <c r="F105" s="609">
        <v>338078.86567789095</v>
      </c>
      <c r="G105" s="609">
        <v>5041</v>
      </c>
      <c r="H105" s="609">
        <v>12100</v>
      </c>
      <c r="I105" s="609">
        <v>57216524818</v>
      </c>
      <c r="J105" s="609">
        <v>163411771229</v>
      </c>
      <c r="K105" s="608">
        <v>0</v>
      </c>
      <c r="L105" s="608">
        <v>0</v>
      </c>
      <c r="M105" s="609">
        <v>616292</v>
      </c>
      <c r="N105" s="609">
        <f t="shared" si="6"/>
        <v>616292</v>
      </c>
      <c r="O105" s="609">
        <f t="shared" si="7"/>
        <v>616292</v>
      </c>
      <c r="P105" s="609">
        <f t="shared" si="8"/>
        <v>616292</v>
      </c>
      <c r="Q105" s="611">
        <f>+'_DATA STT PAGOS_'!D107</f>
        <v>2880727.4</v>
      </c>
      <c r="R105" s="611">
        <f>+'_DATA STT PAGOS_'!E107</f>
        <v>240060.61666666667</v>
      </c>
      <c r="S105" s="611">
        <f>+'_DATA STT PAGOS_'!F107</f>
        <v>189648</v>
      </c>
      <c r="T105" s="612">
        <f>+'_DATA STT PAGOS_'!Q107</f>
        <v>3872983.0210000002</v>
      </c>
      <c r="U105" s="613" t="str">
        <f>SUBSTITUTE((IFERROR(VLOOKUP(A105,'DATOS IND MINERO'!$H$2:$L$113,4,0),"No")),"í","I",1)</f>
        <v>No</v>
      </c>
      <c r="V105" s="614">
        <f>IFERROR(VLOOKUP(A105,'DATOS IND MINERO'!$H$2:$L$113,5,0),0)</f>
        <v>0</v>
      </c>
      <c r="W105" s="611">
        <f>+'_DATA STT PAGOS_'!G107</f>
        <v>0</v>
      </c>
      <c r="X105" s="611">
        <f>+'_DATA STT PAGOS_'!J107</f>
        <v>3909213.2359999996</v>
      </c>
      <c r="Y105" s="609">
        <v>42166</v>
      </c>
      <c r="Z105" s="609">
        <v>17569</v>
      </c>
      <c r="AA105" s="609">
        <v>22903</v>
      </c>
      <c r="AB105" s="609">
        <v>17747</v>
      </c>
      <c r="AC105" s="609">
        <v>100385</v>
      </c>
      <c r="AD105" s="609">
        <v>1925</v>
      </c>
      <c r="AE105" s="609">
        <v>604</v>
      </c>
      <c r="AF105" s="609">
        <v>952.54499999999996</v>
      </c>
      <c r="AG105" s="609">
        <v>560</v>
      </c>
      <c r="AH105" s="609">
        <v>4041.5450000000001</v>
      </c>
      <c r="AI105" s="209"/>
    </row>
    <row r="106" spans="1:35" x14ac:dyDescent="0.25">
      <c r="A106" s="201">
        <v>6301</v>
      </c>
      <c r="B106" s="201">
        <v>6201</v>
      </c>
      <c r="C106" s="201" t="s">
        <v>133</v>
      </c>
      <c r="D106" s="609">
        <v>81117</v>
      </c>
      <c r="E106" s="610">
        <v>6.8084432905669331E-2</v>
      </c>
      <c r="F106" s="609">
        <v>680006.82023777417</v>
      </c>
      <c r="G106" s="609">
        <v>26380</v>
      </c>
      <c r="H106" s="609">
        <v>34431</v>
      </c>
      <c r="I106" s="609">
        <v>834802451473</v>
      </c>
      <c r="J106" s="609">
        <v>2011058053029</v>
      </c>
      <c r="K106" s="608">
        <v>0</v>
      </c>
      <c r="L106" s="608">
        <v>0</v>
      </c>
      <c r="M106" s="609">
        <v>10567254</v>
      </c>
      <c r="N106" s="609">
        <f t="shared" si="6"/>
        <v>10567254</v>
      </c>
      <c r="O106" s="609">
        <f t="shared" si="7"/>
        <v>10567254</v>
      </c>
      <c r="P106" s="609">
        <f t="shared" si="8"/>
        <v>10567254</v>
      </c>
      <c r="Q106" s="611">
        <f>+'_DATA STT PAGOS_'!D108</f>
        <v>7413542.2510000002</v>
      </c>
      <c r="R106" s="611">
        <f>+'_DATA STT PAGOS_'!E108</f>
        <v>617795.18758333335</v>
      </c>
      <c r="S106" s="611">
        <f>+'_DATA STT PAGOS_'!F108</f>
        <v>488058</v>
      </c>
      <c r="T106" s="612">
        <f>+'_DATA STT PAGOS_'!Q108</f>
        <v>9128861.0999999996</v>
      </c>
      <c r="U106" s="613" t="str">
        <f>SUBSTITUTE((IFERROR(VLOOKUP(A106,'DATOS IND MINERO'!$H$2:$L$113,4,0),"No")),"í","I",1)</f>
        <v>No</v>
      </c>
      <c r="V106" s="614">
        <f>IFERROR(VLOOKUP(A106,'DATOS IND MINERO'!$H$2:$L$113,5,0),0)</f>
        <v>0</v>
      </c>
      <c r="W106" s="611">
        <f>+'_DATA STT PAGOS_'!G108</f>
        <v>0</v>
      </c>
      <c r="X106" s="611">
        <f>+'_DATA STT PAGOS_'!J108</f>
        <v>10064127.697000001</v>
      </c>
      <c r="Y106" s="609">
        <v>536257</v>
      </c>
      <c r="Z106" s="609">
        <v>405788</v>
      </c>
      <c r="AA106" s="609">
        <v>452204</v>
      </c>
      <c r="AB106" s="609">
        <v>388546</v>
      </c>
      <c r="AC106" s="609">
        <v>1782795</v>
      </c>
      <c r="AD106" s="609">
        <v>34493</v>
      </c>
      <c r="AE106" s="609">
        <v>18254</v>
      </c>
      <c r="AF106" s="609">
        <v>24195.530999999999</v>
      </c>
      <c r="AG106" s="609">
        <v>17682</v>
      </c>
      <c r="AH106" s="609">
        <v>94624.531000000003</v>
      </c>
      <c r="AI106" s="209"/>
    </row>
    <row r="107" spans="1:35" x14ac:dyDescent="0.25">
      <c r="A107" s="201">
        <v>6302</v>
      </c>
      <c r="B107" s="201">
        <v>6209</v>
      </c>
      <c r="C107" s="201" t="s">
        <v>386</v>
      </c>
      <c r="D107" s="609">
        <v>16148</v>
      </c>
      <c r="E107" s="610">
        <v>8.8650564388402422E-2</v>
      </c>
      <c r="F107" s="609">
        <v>140416.12083313463</v>
      </c>
      <c r="G107" s="609">
        <v>6697</v>
      </c>
      <c r="H107" s="609">
        <v>9407</v>
      </c>
      <c r="I107" s="609">
        <v>108524154193</v>
      </c>
      <c r="J107" s="609">
        <v>350279800599</v>
      </c>
      <c r="K107" s="608">
        <v>0</v>
      </c>
      <c r="L107" s="608">
        <v>0</v>
      </c>
      <c r="M107" s="609">
        <v>1024249</v>
      </c>
      <c r="N107" s="609">
        <f t="shared" si="6"/>
        <v>1024249</v>
      </c>
      <c r="O107" s="609">
        <f t="shared" si="7"/>
        <v>1024249</v>
      </c>
      <c r="P107" s="609">
        <f t="shared" si="8"/>
        <v>1024249</v>
      </c>
      <c r="Q107" s="611">
        <f>+'_DATA STT PAGOS_'!D109</f>
        <v>3167179.4739999999</v>
      </c>
      <c r="R107" s="611">
        <f>+'_DATA STT PAGOS_'!E109</f>
        <v>263931.62283333333</v>
      </c>
      <c r="S107" s="611">
        <f>+'_DATA STT PAGOS_'!F109</f>
        <v>208506</v>
      </c>
      <c r="T107" s="612">
        <f>+'_DATA STT PAGOS_'!Q109</f>
        <v>4018881.9750000001</v>
      </c>
      <c r="U107" s="613" t="str">
        <f>SUBSTITUTE((IFERROR(VLOOKUP(A107,'DATOS IND MINERO'!$H$2:$L$113,4,0),"No")),"í","I",1)</f>
        <v>No</v>
      </c>
      <c r="V107" s="614">
        <f>IFERROR(VLOOKUP(A107,'DATOS IND MINERO'!$H$2:$L$113,5,0),0)</f>
        <v>0</v>
      </c>
      <c r="W107" s="611">
        <f>+'_DATA STT PAGOS_'!G109</f>
        <v>0</v>
      </c>
      <c r="X107" s="611">
        <f>+'_DATA STT PAGOS_'!J109</f>
        <v>4297661.9950000001</v>
      </c>
      <c r="Y107" s="609">
        <v>61225</v>
      </c>
      <c r="Z107" s="609">
        <v>38254</v>
      </c>
      <c r="AA107" s="609">
        <v>42310</v>
      </c>
      <c r="AB107" s="609">
        <v>33494</v>
      </c>
      <c r="AC107" s="609">
        <v>175283</v>
      </c>
      <c r="AD107" s="609">
        <v>1285</v>
      </c>
      <c r="AE107" s="609">
        <v>424</v>
      </c>
      <c r="AF107" s="609">
        <v>692.60400000000004</v>
      </c>
      <c r="AG107" s="609">
        <v>1094</v>
      </c>
      <c r="AH107" s="609">
        <v>3495.6040000000003</v>
      </c>
      <c r="AI107" s="209"/>
    </row>
    <row r="108" spans="1:35" x14ac:dyDescent="0.25">
      <c r="A108" s="201">
        <v>6303</v>
      </c>
      <c r="B108" s="201">
        <v>6202</v>
      </c>
      <c r="C108" s="201" t="s">
        <v>134</v>
      </c>
      <c r="D108" s="609">
        <v>38451</v>
      </c>
      <c r="E108" s="610">
        <v>8.5254408626254788E-2</v>
      </c>
      <c r="F108" s="609">
        <v>456279.38510296482</v>
      </c>
      <c r="G108" s="609">
        <v>12033</v>
      </c>
      <c r="H108" s="609">
        <v>16916</v>
      </c>
      <c r="I108" s="609">
        <v>293014149580</v>
      </c>
      <c r="J108" s="609">
        <v>804887087345</v>
      </c>
      <c r="K108" s="608">
        <v>0</v>
      </c>
      <c r="L108" s="608">
        <v>0</v>
      </c>
      <c r="M108" s="609">
        <v>3078140</v>
      </c>
      <c r="N108" s="609">
        <f t="shared" si="6"/>
        <v>3078140</v>
      </c>
      <c r="O108" s="609">
        <f t="shared" si="7"/>
        <v>3078140</v>
      </c>
      <c r="P108" s="609">
        <f t="shared" si="8"/>
        <v>3078140</v>
      </c>
      <c r="Q108" s="611">
        <f>+'_DATA STT PAGOS_'!D110</f>
        <v>5815353.6840000004</v>
      </c>
      <c r="R108" s="611">
        <f>+'_DATA STT PAGOS_'!E110</f>
        <v>484612.80700000003</v>
      </c>
      <c r="S108" s="611">
        <f>+'_DATA STT PAGOS_'!F110</f>
        <v>382844</v>
      </c>
      <c r="T108" s="612">
        <f>+'_DATA STT PAGOS_'!Q110</f>
        <v>6843141.5209999997</v>
      </c>
      <c r="U108" s="613" t="str">
        <f>SUBSTITUTE((IFERROR(VLOOKUP(A108,'DATOS IND MINERO'!$H$2:$L$113,4,0),"No")),"í","I",1)</f>
        <v>No</v>
      </c>
      <c r="V108" s="614">
        <f>IFERROR(VLOOKUP(A108,'DATOS IND MINERO'!$H$2:$L$113,5,0),0)</f>
        <v>0</v>
      </c>
      <c r="W108" s="611">
        <f>+'_DATA STT PAGOS_'!G110</f>
        <v>0</v>
      </c>
      <c r="X108" s="611">
        <f>+'_DATA STT PAGOS_'!J110</f>
        <v>7893098.1910000006</v>
      </c>
      <c r="Y108" s="609">
        <v>153474</v>
      </c>
      <c r="Z108" s="609">
        <v>124600</v>
      </c>
      <c r="AA108" s="609">
        <v>120471</v>
      </c>
      <c r="AB108" s="609">
        <v>104108</v>
      </c>
      <c r="AC108" s="609">
        <v>502653</v>
      </c>
      <c r="AD108" s="609">
        <v>1627</v>
      </c>
      <c r="AE108" s="609">
        <v>966</v>
      </c>
      <c r="AF108" s="609">
        <v>1650.0039999999999</v>
      </c>
      <c r="AG108" s="609">
        <v>962</v>
      </c>
      <c r="AH108" s="609">
        <v>5205.0039999999999</v>
      </c>
      <c r="AI108" s="209"/>
    </row>
    <row r="109" spans="1:35" x14ac:dyDescent="0.25">
      <c r="A109" s="201">
        <v>6304</v>
      </c>
      <c r="B109" s="201">
        <v>6206</v>
      </c>
      <c r="C109" s="201" t="s">
        <v>138</v>
      </c>
      <c r="D109" s="609">
        <v>7454</v>
      </c>
      <c r="E109" s="610">
        <v>0.1145996711178917</v>
      </c>
      <c r="F109" s="609">
        <v>176742.59759271212</v>
      </c>
      <c r="G109" s="609">
        <v>3999</v>
      </c>
      <c r="H109" s="609">
        <v>6348</v>
      </c>
      <c r="I109" s="609">
        <v>52781452448</v>
      </c>
      <c r="J109" s="609">
        <v>189964693122</v>
      </c>
      <c r="K109" s="608">
        <v>0</v>
      </c>
      <c r="L109" s="608">
        <v>0</v>
      </c>
      <c r="M109" s="609">
        <v>909421</v>
      </c>
      <c r="N109" s="609">
        <f t="shared" si="6"/>
        <v>909421</v>
      </c>
      <c r="O109" s="609">
        <f t="shared" si="7"/>
        <v>909421</v>
      </c>
      <c r="P109" s="609">
        <f t="shared" si="8"/>
        <v>909421</v>
      </c>
      <c r="Q109" s="611">
        <f>+'_DATA STT PAGOS_'!D111</f>
        <v>1863535.862</v>
      </c>
      <c r="R109" s="611">
        <f>+'_DATA STT PAGOS_'!E111</f>
        <v>155294.65516666666</v>
      </c>
      <c r="S109" s="611">
        <f>+'_DATA STT PAGOS_'!F111</f>
        <v>122683</v>
      </c>
      <c r="T109" s="612">
        <f>+'_DATA STT PAGOS_'!Q111</f>
        <v>2415744.5469999998</v>
      </c>
      <c r="U109" s="613" t="str">
        <f>SUBSTITUTE((IFERROR(VLOOKUP(A109,'DATOS IND MINERO'!$H$2:$L$113,4,0),"No")),"í","I",1)</f>
        <v>No</v>
      </c>
      <c r="V109" s="614">
        <f>IFERROR(VLOOKUP(A109,'DATOS IND MINERO'!$H$2:$L$113,5,0),0)</f>
        <v>0</v>
      </c>
      <c r="W109" s="611">
        <f>+'_DATA STT PAGOS_'!G111</f>
        <v>0</v>
      </c>
      <c r="X109" s="611">
        <f>+'_DATA STT PAGOS_'!J111</f>
        <v>2529708.2179999999</v>
      </c>
      <c r="Y109" s="609">
        <v>32727</v>
      </c>
      <c r="Z109" s="609">
        <v>17472</v>
      </c>
      <c r="AA109" s="609">
        <v>22697</v>
      </c>
      <c r="AB109" s="609">
        <v>23945</v>
      </c>
      <c r="AC109" s="609">
        <v>96841</v>
      </c>
      <c r="AD109" s="609">
        <v>229</v>
      </c>
      <c r="AE109" s="609">
        <v>98</v>
      </c>
      <c r="AF109" s="609">
        <v>286.827</v>
      </c>
      <c r="AG109" s="609">
        <v>201</v>
      </c>
      <c r="AH109" s="609">
        <v>814.827</v>
      </c>
      <c r="AI109" s="209"/>
    </row>
    <row r="110" spans="1:35" x14ac:dyDescent="0.25">
      <c r="A110" s="201">
        <v>6305</v>
      </c>
      <c r="B110" s="201">
        <v>6203</v>
      </c>
      <c r="C110" s="201" t="s">
        <v>135</v>
      </c>
      <c r="D110" s="609">
        <v>19725</v>
      </c>
      <c r="E110" s="610">
        <v>8.9111872032271972E-2</v>
      </c>
      <c r="F110" s="609">
        <v>154960.03667581201</v>
      </c>
      <c r="G110" s="609">
        <v>6417</v>
      </c>
      <c r="H110" s="609">
        <v>8154</v>
      </c>
      <c r="I110" s="609">
        <v>111116716128</v>
      </c>
      <c r="J110" s="609">
        <v>272004523415</v>
      </c>
      <c r="K110" s="608">
        <v>0</v>
      </c>
      <c r="L110" s="608">
        <v>0</v>
      </c>
      <c r="M110" s="609">
        <v>2120466</v>
      </c>
      <c r="N110" s="609">
        <f t="shared" si="6"/>
        <v>2120466</v>
      </c>
      <c r="O110" s="609">
        <f t="shared" si="7"/>
        <v>2120466</v>
      </c>
      <c r="P110" s="609">
        <f t="shared" si="8"/>
        <v>2120466</v>
      </c>
      <c r="Q110" s="611">
        <f>+'_DATA STT PAGOS_'!D112</f>
        <v>3021540.5809999998</v>
      </c>
      <c r="R110" s="611">
        <f>+'_DATA STT PAGOS_'!E112</f>
        <v>251795.04841666666</v>
      </c>
      <c r="S110" s="611">
        <f>+'_DATA STT PAGOS_'!F112</f>
        <v>198918</v>
      </c>
      <c r="T110" s="612">
        <f>+'_DATA STT PAGOS_'!Q112</f>
        <v>3804168.7620000001</v>
      </c>
      <c r="U110" s="613" t="str">
        <f>SUBSTITUTE((IFERROR(VLOOKUP(A110,'DATOS IND MINERO'!$H$2:$L$113,4,0),"No")),"í","I",1)</f>
        <v>No</v>
      </c>
      <c r="V110" s="614">
        <f>IFERROR(VLOOKUP(A110,'DATOS IND MINERO'!$H$2:$L$113,5,0),0)</f>
        <v>0</v>
      </c>
      <c r="W110" s="611">
        <f>+'_DATA STT PAGOS_'!G112</f>
        <v>0</v>
      </c>
      <c r="X110" s="611">
        <f>+'_DATA STT PAGOS_'!J112</f>
        <v>4100878.8909999998</v>
      </c>
      <c r="Y110" s="609">
        <v>46372</v>
      </c>
      <c r="Z110" s="609">
        <v>33830</v>
      </c>
      <c r="AA110" s="609">
        <v>34828</v>
      </c>
      <c r="AB110" s="609">
        <v>45145</v>
      </c>
      <c r="AC110" s="609">
        <v>160175</v>
      </c>
      <c r="AD110" s="609">
        <v>522</v>
      </c>
      <c r="AE110" s="609">
        <v>272</v>
      </c>
      <c r="AF110" s="609">
        <v>433.83800000000002</v>
      </c>
      <c r="AG110" s="609">
        <v>259</v>
      </c>
      <c r="AH110" s="609">
        <v>1486.838</v>
      </c>
      <c r="AI110" s="209"/>
    </row>
    <row r="111" spans="1:35" x14ac:dyDescent="0.25">
      <c r="A111" s="201">
        <v>6306</v>
      </c>
      <c r="B111" s="201">
        <v>6207</v>
      </c>
      <c r="C111" s="201" t="s">
        <v>139</v>
      </c>
      <c r="D111" s="609">
        <v>13597</v>
      </c>
      <c r="E111" s="610">
        <v>8.1198087588398138E-2</v>
      </c>
      <c r="F111" s="609">
        <v>133862.87962332228</v>
      </c>
      <c r="G111" s="609">
        <v>4442</v>
      </c>
      <c r="H111" s="609">
        <v>6943</v>
      </c>
      <c r="I111" s="609">
        <v>93439645679</v>
      </c>
      <c r="J111" s="609">
        <v>348565958444</v>
      </c>
      <c r="K111" s="608">
        <v>0</v>
      </c>
      <c r="L111" s="608">
        <v>0</v>
      </c>
      <c r="M111" s="609">
        <v>2001231</v>
      </c>
      <c r="N111" s="609">
        <f t="shared" si="6"/>
        <v>2001231</v>
      </c>
      <c r="O111" s="609">
        <f t="shared" si="7"/>
        <v>2001231</v>
      </c>
      <c r="P111" s="609">
        <f t="shared" si="8"/>
        <v>2001231</v>
      </c>
      <c r="Q111" s="611">
        <f>+'_DATA STT PAGOS_'!D113</f>
        <v>1932980.6839999999</v>
      </c>
      <c r="R111" s="611">
        <f>+'_DATA STT PAGOS_'!E113</f>
        <v>161081.72366666666</v>
      </c>
      <c r="S111" s="611">
        <f>+'_DATA STT PAGOS_'!F113</f>
        <v>127255</v>
      </c>
      <c r="T111" s="612">
        <f>+'_DATA STT PAGOS_'!Q113</f>
        <v>2496268.9989999998</v>
      </c>
      <c r="U111" s="613" t="str">
        <f>SUBSTITUTE((IFERROR(VLOOKUP(A111,'DATOS IND MINERO'!$H$2:$L$113,4,0),"No")),"í","I",1)</f>
        <v>No</v>
      </c>
      <c r="V111" s="614">
        <f>IFERROR(VLOOKUP(A111,'DATOS IND MINERO'!$H$2:$L$113,5,0),0)</f>
        <v>0</v>
      </c>
      <c r="W111" s="611">
        <f>+'_DATA STT PAGOS_'!G113</f>
        <v>0</v>
      </c>
      <c r="X111" s="611">
        <f>+'_DATA STT PAGOS_'!J113</f>
        <v>2624282.352</v>
      </c>
      <c r="Y111" s="609">
        <v>72367</v>
      </c>
      <c r="Z111" s="609">
        <v>47883</v>
      </c>
      <c r="AA111" s="609">
        <v>62849</v>
      </c>
      <c r="AB111" s="609">
        <v>51463</v>
      </c>
      <c r="AC111" s="609">
        <v>234562</v>
      </c>
      <c r="AD111" s="609">
        <v>307</v>
      </c>
      <c r="AE111" s="609">
        <v>130</v>
      </c>
      <c r="AF111" s="609">
        <v>167.61199999999999</v>
      </c>
      <c r="AG111" s="609">
        <v>112</v>
      </c>
      <c r="AH111" s="609">
        <v>716.61199999999997</v>
      </c>
      <c r="AI111" s="209"/>
    </row>
    <row r="112" spans="1:35" x14ac:dyDescent="0.25">
      <c r="A112" s="201">
        <v>6307</v>
      </c>
      <c r="B112" s="201">
        <v>6208</v>
      </c>
      <c r="C112" s="201" t="s">
        <v>140</v>
      </c>
      <c r="D112" s="609">
        <v>12174</v>
      </c>
      <c r="E112" s="610">
        <v>7.1815022430094327E-2</v>
      </c>
      <c r="F112" s="609">
        <v>157749.1613310712</v>
      </c>
      <c r="G112" s="609">
        <v>4314</v>
      </c>
      <c r="H112" s="609">
        <v>7130</v>
      </c>
      <c r="I112" s="609">
        <v>83535224397</v>
      </c>
      <c r="J112" s="609">
        <v>267547711448</v>
      </c>
      <c r="K112" s="608">
        <v>0</v>
      </c>
      <c r="L112" s="608">
        <v>0</v>
      </c>
      <c r="M112" s="609">
        <v>1667128</v>
      </c>
      <c r="N112" s="609">
        <f t="shared" si="6"/>
        <v>1667128</v>
      </c>
      <c r="O112" s="609">
        <f t="shared" si="7"/>
        <v>1667128</v>
      </c>
      <c r="P112" s="609">
        <f t="shared" si="8"/>
        <v>1667128</v>
      </c>
      <c r="Q112" s="611">
        <f>+'_DATA STT PAGOS_'!D114</f>
        <v>1983049.8759999999</v>
      </c>
      <c r="R112" s="611">
        <f>+'_DATA STT PAGOS_'!E114</f>
        <v>165254.15633333332</v>
      </c>
      <c r="S112" s="611">
        <f>+'_DATA STT PAGOS_'!F114</f>
        <v>130551</v>
      </c>
      <c r="T112" s="612">
        <f>+'_DATA STT PAGOS_'!Q114</f>
        <v>2659884.9330000002</v>
      </c>
      <c r="U112" s="613" t="str">
        <f>SUBSTITUTE((IFERROR(VLOOKUP(A112,'DATOS IND MINERO'!$H$2:$L$113,4,0),"No")),"í","I",1)</f>
        <v>No</v>
      </c>
      <c r="V112" s="614">
        <f>IFERROR(VLOOKUP(A112,'DATOS IND MINERO'!$H$2:$L$113,5,0),0)</f>
        <v>0</v>
      </c>
      <c r="W112" s="611">
        <f>+'_DATA STT PAGOS_'!G114</f>
        <v>0</v>
      </c>
      <c r="X112" s="611">
        <f>+'_DATA STT PAGOS_'!J114</f>
        <v>2691227.3939999999</v>
      </c>
      <c r="Y112" s="609">
        <v>44838</v>
      </c>
      <c r="Z112" s="609">
        <v>27549</v>
      </c>
      <c r="AA112" s="609">
        <v>40759</v>
      </c>
      <c r="AB112" s="609">
        <v>32132</v>
      </c>
      <c r="AC112" s="609">
        <v>145278</v>
      </c>
      <c r="AD112" s="609">
        <v>766</v>
      </c>
      <c r="AE112" s="609">
        <v>362</v>
      </c>
      <c r="AF112" s="609">
        <v>835.85</v>
      </c>
      <c r="AG112" s="609">
        <v>506</v>
      </c>
      <c r="AH112" s="609">
        <v>2469.85</v>
      </c>
      <c r="AI112" s="209"/>
    </row>
    <row r="113" spans="1:35" x14ac:dyDescent="0.25">
      <c r="A113" s="201">
        <v>6308</v>
      </c>
      <c r="B113" s="201">
        <v>6204</v>
      </c>
      <c r="C113" s="201" t="s">
        <v>136</v>
      </c>
      <c r="D113" s="609">
        <v>9281</v>
      </c>
      <c r="E113" s="610">
        <v>9.5939497713638161E-2</v>
      </c>
      <c r="F113" s="609">
        <v>86211.8694234266</v>
      </c>
      <c r="G113" s="609">
        <v>2991</v>
      </c>
      <c r="H113" s="609">
        <v>4448</v>
      </c>
      <c r="I113" s="609">
        <v>61670745992</v>
      </c>
      <c r="J113" s="609">
        <v>183564854861</v>
      </c>
      <c r="K113" s="608">
        <v>0</v>
      </c>
      <c r="L113" s="608">
        <v>0</v>
      </c>
      <c r="M113" s="609">
        <v>920333</v>
      </c>
      <c r="N113" s="609">
        <f t="shared" si="6"/>
        <v>920333</v>
      </c>
      <c r="O113" s="609">
        <f t="shared" si="7"/>
        <v>920333</v>
      </c>
      <c r="P113" s="609">
        <f t="shared" si="8"/>
        <v>920333</v>
      </c>
      <c r="Q113" s="611">
        <f>+'_DATA STT PAGOS_'!D115</f>
        <v>2122457.4470000002</v>
      </c>
      <c r="R113" s="611">
        <f>+'_DATA STT PAGOS_'!E115</f>
        <v>176871.45391666668</v>
      </c>
      <c r="S113" s="611">
        <f>+'_DATA STT PAGOS_'!F115</f>
        <v>139728</v>
      </c>
      <c r="T113" s="612">
        <f>+'_DATA STT PAGOS_'!Q115</f>
        <v>2526988.264</v>
      </c>
      <c r="U113" s="613" t="str">
        <f>SUBSTITUTE((IFERROR(VLOOKUP(A113,'DATOS IND MINERO'!$H$2:$L$113,4,0),"No")),"í","I",1)</f>
        <v>No</v>
      </c>
      <c r="V113" s="614">
        <f>IFERROR(VLOOKUP(A113,'DATOS IND MINERO'!$H$2:$L$113,5,0),0)</f>
        <v>0</v>
      </c>
      <c r="W113" s="611">
        <f>+'_DATA STT PAGOS_'!G115</f>
        <v>0</v>
      </c>
      <c r="X113" s="611">
        <f>+'_DATA STT PAGOS_'!J115</f>
        <v>2880280.781</v>
      </c>
      <c r="Y113" s="609">
        <v>39611</v>
      </c>
      <c r="Z113" s="609">
        <v>21715</v>
      </c>
      <c r="AA113" s="609">
        <v>26900</v>
      </c>
      <c r="AB113" s="609">
        <v>19271</v>
      </c>
      <c r="AC113" s="609">
        <v>107497</v>
      </c>
      <c r="AD113" s="609">
        <v>623</v>
      </c>
      <c r="AE113" s="609">
        <v>409</v>
      </c>
      <c r="AF113" s="609">
        <v>304.154</v>
      </c>
      <c r="AG113" s="609">
        <v>515</v>
      </c>
      <c r="AH113" s="609">
        <v>1851.154</v>
      </c>
      <c r="AI113" s="209"/>
    </row>
    <row r="114" spans="1:35" x14ac:dyDescent="0.25">
      <c r="A114" s="201">
        <v>6309</v>
      </c>
      <c r="B114" s="201">
        <v>6214</v>
      </c>
      <c r="C114" s="201" t="s">
        <v>141</v>
      </c>
      <c r="D114" s="609">
        <v>3516</v>
      </c>
      <c r="E114" s="610">
        <v>0.1236410123484773</v>
      </c>
      <c r="F114" s="609">
        <v>125155.79988077616</v>
      </c>
      <c r="G114" s="609">
        <v>2130</v>
      </c>
      <c r="H114" s="609">
        <v>4798</v>
      </c>
      <c r="I114" s="609">
        <v>29125947210</v>
      </c>
      <c r="J114" s="609">
        <v>141502267503</v>
      </c>
      <c r="K114" s="608">
        <v>0</v>
      </c>
      <c r="L114" s="608">
        <v>0</v>
      </c>
      <c r="M114" s="609">
        <v>622086</v>
      </c>
      <c r="N114" s="609">
        <f t="shared" si="6"/>
        <v>622086</v>
      </c>
      <c r="O114" s="609">
        <f t="shared" si="7"/>
        <v>622086</v>
      </c>
      <c r="P114" s="609">
        <f t="shared" si="8"/>
        <v>622086</v>
      </c>
      <c r="Q114" s="611">
        <f>+'_DATA STT PAGOS_'!D116</f>
        <v>1577663.023</v>
      </c>
      <c r="R114" s="611">
        <f>+'_DATA STT PAGOS_'!E116</f>
        <v>131471.91858333335</v>
      </c>
      <c r="S114" s="611">
        <f>+'_DATA STT PAGOS_'!F116</f>
        <v>103863</v>
      </c>
      <c r="T114" s="612">
        <f>+'_DATA STT PAGOS_'!Q116</f>
        <v>2056046.824</v>
      </c>
      <c r="U114" s="613" t="str">
        <f>SUBSTITUTE((IFERROR(VLOOKUP(A114,'DATOS IND MINERO'!$H$2:$L$113,4,0),"No")),"í","I",1)</f>
        <v>No</v>
      </c>
      <c r="V114" s="614">
        <f>IFERROR(VLOOKUP(A114,'DATOS IND MINERO'!$H$2:$L$113,5,0),0)</f>
        <v>0</v>
      </c>
      <c r="W114" s="611">
        <f>+'_DATA STT PAGOS_'!G116</f>
        <v>0</v>
      </c>
      <c r="X114" s="611">
        <f>+'_DATA STT PAGOS_'!J116</f>
        <v>2141591.088</v>
      </c>
      <c r="Y114" s="609">
        <v>30040</v>
      </c>
      <c r="Z114" s="609">
        <v>17502</v>
      </c>
      <c r="AA114" s="609">
        <v>19026</v>
      </c>
      <c r="AB114" s="609">
        <v>18611</v>
      </c>
      <c r="AC114" s="609">
        <v>85179</v>
      </c>
      <c r="AD114" s="609">
        <v>389</v>
      </c>
      <c r="AE114" s="609">
        <v>152</v>
      </c>
      <c r="AF114" s="609">
        <v>312.89299999999997</v>
      </c>
      <c r="AG114" s="609">
        <v>135</v>
      </c>
      <c r="AH114" s="609">
        <v>988.89300000000003</v>
      </c>
      <c r="AI114" s="209"/>
    </row>
    <row r="115" spans="1:35" x14ac:dyDescent="0.25">
      <c r="A115" s="201">
        <v>6310</v>
      </c>
      <c r="B115" s="201">
        <v>6205</v>
      </c>
      <c r="C115" s="201" t="s">
        <v>137</v>
      </c>
      <c r="D115" s="609">
        <v>42582</v>
      </c>
      <c r="E115" s="610">
        <v>6.7019593799579363E-2</v>
      </c>
      <c r="F115" s="609">
        <v>449505.39779739431</v>
      </c>
      <c r="G115" s="609">
        <v>14314</v>
      </c>
      <c r="H115" s="609">
        <v>20064</v>
      </c>
      <c r="I115" s="609">
        <v>410441707813</v>
      </c>
      <c r="J115" s="609">
        <v>974061477340</v>
      </c>
      <c r="K115" s="608">
        <v>0</v>
      </c>
      <c r="L115" s="608">
        <v>0</v>
      </c>
      <c r="M115" s="609">
        <v>6341179</v>
      </c>
      <c r="N115" s="609">
        <f t="shared" si="6"/>
        <v>6341179</v>
      </c>
      <c r="O115" s="609">
        <f t="shared" si="7"/>
        <v>6341179</v>
      </c>
      <c r="P115" s="609">
        <f t="shared" si="8"/>
        <v>6341179</v>
      </c>
      <c r="Q115" s="611">
        <f>+'_DATA STT PAGOS_'!D117</f>
        <v>4564055.8490000004</v>
      </c>
      <c r="R115" s="611">
        <f>+'_DATA STT PAGOS_'!E117</f>
        <v>380337.9874166667</v>
      </c>
      <c r="S115" s="611">
        <f>+'_DATA STT PAGOS_'!F117</f>
        <v>300467</v>
      </c>
      <c r="T115" s="612">
        <f>+'_DATA STT PAGOS_'!Q117</f>
        <v>5309093.426</v>
      </c>
      <c r="U115" s="613" t="str">
        <f>SUBSTITUTE((IFERROR(VLOOKUP(A115,'DATOS IND MINERO'!$H$2:$L$113,4,0),"No")),"í","I",1)</f>
        <v>No</v>
      </c>
      <c r="V115" s="614">
        <f>IFERROR(VLOOKUP(A115,'DATOS IND MINERO'!$H$2:$L$113,5,0),0)</f>
        <v>0</v>
      </c>
      <c r="W115" s="611">
        <f>+'_DATA STT PAGOS_'!G117</f>
        <v>0</v>
      </c>
      <c r="X115" s="611">
        <f>+'_DATA STT PAGOS_'!J117</f>
        <v>6195913.8899999997</v>
      </c>
      <c r="Y115" s="609">
        <v>216493</v>
      </c>
      <c r="Z115" s="609">
        <v>157938</v>
      </c>
      <c r="AA115" s="609">
        <v>200340</v>
      </c>
      <c r="AB115" s="609">
        <v>150185</v>
      </c>
      <c r="AC115" s="609">
        <v>724956</v>
      </c>
      <c r="AD115" s="609">
        <v>14683</v>
      </c>
      <c r="AE115" s="609">
        <v>6772</v>
      </c>
      <c r="AF115" s="609">
        <v>9085.6419999999998</v>
      </c>
      <c r="AG115" s="609">
        <v>6065</v>
      </c>
      <c r="AH115" s="609">
        <v>36605.642</v>
      </c>
      <c r="AI115" s="209"/>
    </row>
    <row r="116" spans="1:35" x14ac:dyDescent="0.25">
      <c r="A116" s="201">
        <v>7101</v>
      </c>
      <c r="B116" s="201">
        <v>7201</v>
      </c>
      <c r="C116" s="201" t="s">
        <v>152</v>
      </c>
      <c r="D116" s="609">
        <v>242344</v>
      </c>
      <c r="E116" s="610">
        <v>5.7270196777768463E-2</v>
      </c>
      <c r="F116" s="609">
        <v>1516185.3637022686</v>
      </c>
      <c r="G116" s="609">
        <v>82514</v>
      </c>
      <c r="H116" s="609">
        <v>113915</v>
      </c>
      <c r="I116" s="609">
        <v>3076567806331</v>
      </c>
      <c r="J116" s="609">
        <v>6043840861435</v>
      </c>
      <c r="K116" s="608">
        <v>0</v>
      </c>
      <c r="L116" s="608">
        <v>0</v>
      </c>
      <c r="M116" s="609">
        <v>26741864</v>
      </c>
      <c r="N116" s="609">
        <f t="shared" si="6"/>
        <v>26741864</v>
      </c>
      <c r="O116" s="609">
        <f t="shared" si="7"/>
        <v>26741864</v>
      </c>
      <c r="P116" s="609">
        <f t="shared" si="8"/>
        <v>26741864</v>
      </c>
      <c r="Q116" s="611">
        <f>+'_DATA STT PAGOS_'!D118</f>
        <v>18778200.829</v>
      </c>
      <c r="R116" s="611">
        <f>+'_DATA STT PAGOS_'!E118</f>
        <v>1564850.0690833332</v>
      </c>
      <c r="S116" s="611">
        <f>+'_DATA STT PAGOS_'!F118</f>
        <v>1236232</v>
      </c>
      <c r="T116" s="612">
        <f>+'_DATA STT PAGOS_'!Q118</f>
        <v>24292871.550000001</v>
      </c>
      <c r="U116" s="613" t="str">
        <f>SUBSTITUTE((IFERROR(VLOOKUP(A116,'DATOS IND MINERO'!$H$2:$L$113,4,0),"No")),"í","I",1)</f>
        <v>No</v>
      </c>
      <c r="V116" s="614">
        <f>IFERROR(VLOOKUP(A116,'DATOS IND MINERO'!$H$2:$L$113,5,0),0)</f>
        <v>0</v>
      </c>
      <c r="W116" s="611">
        <f>+'_DATA STT PAGOS_'!G118</f>
        <v>0</v>
      </c>
      <c r="X116" s="611">
        <f>+'_DATA STT PAGOS_'!J118</f>
        <v>25470210.201000001</v>
      </c>
      <c r="Y116" s="609">
        <v>1542233</v>
      </c>
      <c r="Z116" s="609">
        <v>1067280</v>
      </c>
      <c r="AA116" s="609">
        <v>1228775</v>
      </c>
      <c r="AB116" s="609">
        <v>888625</v>
      </c>
      <c r="AC116" s="609">
        <v>4726913</v>
      </c>
      <c r="AD116" s="609">
        <v>90648</v>
      </c>
      <c r="AE116" s="609">
        <v>39767</v>
      </c>
      <c r="AF116" s="609">
        <v>53494.889000000003</v>
      </c>
      <c r="AG116" s="609">
        <v>37521</v>
      </c>
      <c r="AH116" s="609">
        <v>221430.889</v>
      </c>
      <c r="AI116" s="209"/>
    </row>
    <row r="117" spans="1:35" x14ac:dyDescent="0.25">
      <c r="A117" s="201">
        <v>7102</v>
      </c>
      <c r="B117" s="201">
        <v>7208</v>
      </c>
      <c r="C117" s="201" t="s">
        <v>387</v>
      </c>
      <c r="D117" s="609">
        <v>50646</v>
      </c>
      <c r="E117" s="610">
        <v>0.1081072542788957</v>
      </c>
      <c r="F117" s="609">
        <v>887016.63250973483</v>
      </c>
      <c r="G117" s="609">
        <v>21854</v>
      </c>
      <c r="H117" s="609">
        <v>25665</v>
      </c>
      <c r="I117" s="609">
        <v>530642929213</v>
      </c>
      <c r="J117" s="609">
        <v>1028919233588</v>
      </c>
      <c r="K117" s="608">
        <v>0</v>
      </c>
      <c r="L117" s="608">
        <v>0</v>
      </c>
      <c r="M117" s="609">
        <v>4703763</v>
      </c>
      <c r="N117" s="609">
        <f t="shared" si="6"/>
        <v>4703763</v>
      </c>
      <c r="O117" s="609">
        <f t="shared" si="7"/>
        <v>4703763</v>
      </c>
      <c r="P117" s="609">
        <f t="shared" si="8"/>
        <v>4703763</v>
      </c>
      <c r="Q117" s="611">
        <f>+'_DATA STT PAGOS_'!D119</f>
        <v>9660023.4550000001</v>
      </c>
      <c r="R117" s="611">
        <f>+'_DATA STT PAGOS_'!E119</f>
        <v>805001.95458333334</v>
      </c>
      <c r="S117" s="611">
        <f>+'_DATA STT PAGOS_'!F119</f>
        <v>635952</v>
      </c>
      <c r="T117" s="612">
        <f>+'_DATA STT PAGOS_'!Q119</f>
        <v>12490067.284</v>
      </c>
      <c r="U117" s="613" t="str">
        <f>SUBSTITUTE((IFERROR(VLOOKUP(A117,'DATOS IND MINERO'!$H$2:$L$113,4,0),"No")),"í","I",1)</f>
        <v>No</v>
      </c>
      <c r="V117" s="614">
        <f>IFERROR(VLOOKUP(A117,'DATOS IND MINERO'!$H$2:$L$113,5,0),0)</f>
        <v>0</v>
      </c>
      <c r="W117" s="611">
        <f>+'_DATA STT PAGOS_'!G119</f>
        <v>0</v>
      </c>
      <c r="X117" s="611">
        <f>+'_DATA STT PAGOS_'!J119</f>
        <v>13118675.991999999</v>
      </c>
      <c r="Y117" s="609">
        <v>211913</v>
      </c>
      <c r="Z117" s="609">
        <v>166219</v>
      </c>
      <c r="AA117" s="609">
        <v>196590</v>
      </c>
      <c r="AB117" s="609">
        <v>106357</v>
      </c>
      <c r="AC117" s="609">
        <v>681079</v>
      </c>
      <c r="AD117" s="609">
        <v>9017</v>
      </c>
      <c r="AE117" s="609">
        <v>5202</v>
      </c>
      <c r="AF117" s="609">
        <v>6950.5839999999998</v>
      </c>
      <c r="AG117" s="609">
        <v>4751</v>
      </c>
      <c r="AH117" s="609">
        <v>25920.583999999999</v>
      </c>
      <c r="AI117" s="209"/>
    </row>
    <row r="118" spans="1:35" x14ac:dyDescent="0.25">
      <c r="A118" s="201">
        <v>7103</v>
      </c>
      <c r="B118" s="201">
        <v>7207</v>
      </c>
      <c r="C118" s="201" t="s">
        <v>157</v>
      </c>
      <c r="D118" s="609">
        <v>9136</v>
      </c>
      <c r="E118" s="610">
        <v>0.1409961701302721</v>
      </c>
      <c r="F118" s="609">
        <v>237832.63501773868</v>
      </c>
      <c r="G118" s="609">
        <v>9786</v>
      </c>
      <c r="H118" s="609">
        <v>11422</v>
      </c>
      <c r="I118" s="609">
        <v>124573930045</v>
      </c>
      <c r="J118" s="609">
        <v>250796426459</v>
      </c>
      <c r="K118" s="608">
        <v>0</v>
      </c>
      <c r="L118" s="608">
        <v>0</v>
      </c>
      <c r="M118" s="609">
        <v>879258</v>
      </c>
      <c r="N118" s="609">
        <f t="shared" si="6"/>
        <v>879258</v>
      </c>
      <c r="O118" s="609">
        <f t="shared" si="7"/>
        <v>879258</v>
      </c>
      <c r="P118" s="609">
        <f t="shared" si="8"/>
        <v>879258</v>
      </c>
      <c r="Q118" s="611">
        <f>+'_DATA STT PAGOS_'!D120</f>
        <v>3556133.57</v>
      </c>
      <c r="R118" s="611">
        <f>+'_DATA STT PAGOS_'!E120</f>
        <v>296344.46416666667</v>
      </c>
      <c r="S118" s="611">
        <f>+'_DATA STT PAGOS_'!F120</f>
        <v>234112</v>
      </c>
      <c r="T118" s="612">
        <f>+'_DATA STT PAGOS_'!Q120</f>
        <v>3952526.99</v>
      </c>
      <c r="U118" s="613" t="str">
        <f>SUBSTITUTE((IFERROR(VLOOKUP(A118,'DATOS IND MINERO'!$H$2:$L$113,4,0),"No")),"í","I",1)</f>
        <v>No</v>
      </c>
      <c r="V118" s="614">
        <f>IFERROR(VLOOKUP(A118,'DATOS IND MINERO'!$H$2:$L$113,5,0),0)</f>
        <v>0</v>
      </c>
      <c r="W118" s="611">
        <f>+'_DATA STT PAGOS_'!G120</f>
        <v>0</v>
      </c>
      <c r="X118" s="611">
        <f>+'_DATA STT PAGOS_'!J120</f>
        <v>4826605.5010000002</v>
      </c>
      <c r="Y118" s="609">
        <v>32489</v>
      </c>
      <c r="Z118" s="609">
        <v>20951</v>
      </c>
      <c r="AA118" s="609">
        <v>22393</v>
      </c>
      <c r="AB118" s="609">
        <v>12348</v>
      </c>
      <c r="AC118" s="609">
        <v>88181</v>
      </c>
      <c r="AD118" s="609">
        <v>1658</v>
      </c>
      <c r="AE118" s="609">
        <v>701</v>
      </c>
      <c r="AF118" s="609">
        <v>1193.527</v>
      </c>
      <c r="AG118" s="609">
        <v>1136</v>
      </c>
      <c r="AH118" s="609">
        <v>4688.527</v>
      </c>
      <c r="AI118" s="209"/>
    </row>
    <row r="119" spans="1:35" x14ac:dyDescent="0.25">
      <c r="A119" s="201">
        <v>7104</v>
      </c>
      <c r="B119" s="201">
        <v>7209</v>
      </c>
      <c r="C119" s="201" t="s">
        <v>158</v>
      </c>
      <c r="D119" s="609">
        <v>4176</v>
      </c>
      <c r="E119" s="610">
        <v>0.1258615159951405</v>
      </c>
      <c r="F119" s="609">
        <v>80748.768088131837</v>
      </c>
      <c r="G119" s="609">
        <v>5940</v>
      </c>
      <c r="H119" s="609">
        <v>6497</v>
      </c>
      <c r="I119" s="609">
        <v>49632835218</v>
      </c>
      <c r="J119" s="609">
        <v>109933959646</v>
      </c>
      <c r="K119" s="608">
        <v>0</v>
      </c>
      <c r="L119" s="608">
        <v>0</v>
      </c>
      <c r="M119" s="609">
        <v>375912</v>
      </c>
      <c r="N119" s="609">
        <f t="shared" si="6"/>
        <v>375912</v>
      </c>
      <c r="O119" s="609">
        <f t="shared" si="7"/>
        <v>375912</v>
      </c>
      <c r="P119" s="609">
        <f t="shared" si="8"/>
        <v>375912</v>
      </c>
      <c r="Q119" s="611">
        <f>+'_DATA STT PAGOS_'!D121</f>
        <v>2516440.2119999998</v>
      </c>
      <c r="R119" s="611">
        <f>+'_DATA STT PAGOS_'!E121</f>
        <v>209703.351</v>
      </c>
      <c r="S119" s="611">
        <f>+'_DATA STT PAGOS_'!F121</f>
        <v>165666</v>
      </c>
      <c r="T119" s="612">
        <f>+'_DATA STT PAGOS_'!Q121</f>
        <v>2992244.6609999998</v>
      </c>
      <c r="U119" s="613" t="str">
        <f>SUBSTITUTE((IFERROR(VLOOKUP(A119,'DATOS IND MINERO'!$H$2:$L$113,4,0),"No")),"í","I",1)</f>
        <v>No</v>
      </c>
      <c r="V119" s="614">
        <f>IFERROR(VLOOKUP(A119,'DATOS IND MINERO'!$H$2:$L$113,5,0),0)</f>
        <v>0</v>
      </c>
      <c r="W119" s="611">
        <f>+'_DATA STT PAGOS_'!G121</f>
        <v>0</v>
      </c>
      <c r="X119" s="611">
        <f>+'_DATA STT PAGOS_'!J121</f>
        <v>3414387.8169999998</v>
      </c>
      <c r="Y119" s="609">
        <v>11668</v>
      </c>
      <c r="Z119" s="609">
        <v>9529</v>
      </c>
      <c r="AA119" s="609">
        <v>9542</v>
      </c>
      <c r="AB119" s="609">
        <v>5033</v>
      </c>
      <c r="AC119" s="609">
        <v>35772</v>
      </c>
      <c r="AD119" s="609">
        <v>0</v>
      </c>
      <c r="AE119" s="609">
        <v>0</v>
      </c>
      <c r="AF119" s="609">
        <v>0</v>
      </c>
      <c r="AG119" s="609">
        <v>0</v>
      </c>
      <c r="AH119" s="609">
        <v>0</v>
      </c>
      <c r="AI119" s="209"/>
    </row>
    <row r="120" spans="1:35" x14ac:dyDescent="0.25">
      <c r="A120" s="201">
        <v>7105</v>
      </c>
      <c r="B120" s="201">
        <v>7206</v>
      </c>
      <c r="C120" s="201" t="s">
        <v>156</v>
      </c>
      <c r="D120" s="609">
        <v>68975</v>
      </c>
      <c r="E120" s="610">
        <v>9.0724960365216586E-2</v>
      </c>
      <c r="F120" s="609">
        <v>280246.12072477152</v>
      </c>
      <c r="G120" s="609">
        <v>21651</v>
      </c>
      <c r="H120" s="609">
        <v>24689</v>
      </c>
      <c r="I120" s="609">
        <v>478509153824</v>
      </c>
      <c r="J120" s="609">
        <v>758536673684</v>
      </c>
      <c r="K120" s="608">
        <v>0</v>
      </c>
      <c r="L120" s="608">
        <v>0</v>
      </c>
      <c r="M120" s="609">
        <v>3268397</v>
      </c>
      <c r="N120" s="609">
        <f t="shared" si="6"/>
        <v>3268397</v>
      </c>
      <c r="O120" s="609">
        <f t="shared" si="7"/>
        <v>3268397</v>
      </c>
      <c r="P120" s="609">
        <f t="shared" si="8"/>
        <v>3268397</v>
      </c>
      <c r="Q120" s="611">
        <f>+'_DATA STT PAGOS_'!D122</f>
        <v>8427092.9230000004</v>
      </c>
      <c r="R120" s="611">
        <f>+'_DATA STT PAGOS_'!E122</f>
        <v>702257.74358333333</v>
      </c>
      <c r="S120" s="611">
        <f>+'_DATA STT PAGOS_'!F122</f>
        <v>554784</v>
      </c>
      <c r="T120" s="612">
        <f>+'_DATA STT PAGOS_'!Q122</f>
        <v>10520719.58</v>
      </c>
      <c r="U120" s="613" t="str">
        <f>SUBSTITUTE((IFERROR(VLOOKUP(A120,'DATOS IND MINERO'!$H$2:$L$113,4,0),"No")),"í","I",1)</f>
        <v>No</v>
      </c>
      <c r="V120" s="614">
        <f>IFERROR(VLOOKUP(A120,'DATOS IND MINERO'!$H$2:$L$113,5,0),0)</f>
        <v>0</v>
      </c>
      <c r="W120" s="611">
        <f>+'_DATA STT PAGOS_'!G122</f>
        <v>0</v>
      </c>
      <c r="X120" s="611">
        <f>+'_DATA STT PAGOS_'!J122</f>
        <v>11438556.956</v>
      </c>
      <c r="Y120" s="609">
        <v>100577</v>
      </c>
      <c r="Z120" s="609">
        <v>71398</v>
      </c>
      <c r="AA120" s="609">
        <v>118746</v>
      </c>
      <c r="AB120" s="609">
        <v>77332</v>
      </c>
      <c r="AC120" s="609">
        <v>368053</v>
      </c>
      <c r="AD120" s="609">
        <v>1699</v>
      </c>
      <c r="AE120" s="609">
        <v>840</v>
      </c>
      <c r="AF120" s="609">
        <v>787.50400000000002</v>
      </c>
      <c r="AG120" s="609">
        <v>561</v>
      </c>
      <c r="AH120" s="609">
        <v>3887.5039999999999</v>
      </c>
      <c r="AI120" s="209"/>
    </row>
    <row r="121" spans="1:35" x14ac:dyDescent="0.25">
      <c r="A121" s="201">
        <v>7106</v>
      </c>
      <c r="B121" s="201">
        <v>7203</v>
      </c>
      <c r="C121" s="201" t="s">
        <v>154</v>
      </c>
      <c r="D121" s="609">
        <v>9407</v>
      </c>
      <c r="E121" s="610">
        <v>0.11779844501492109</v>
      </c>
      <c r="F121" s="609">
        <v>93197.309783112447</v>
      </c>
      <c r="G121" s="609">
        <v>4119</v>
      </c>
      <c r="H121" s="609">
        <v>6152</v>
      </c>
      <c r="I121" s="609">
        <v>58979911412</v>
      </c>
      <c r="J121" s="609">
        <v>243776728653</v>
      </c>
      <c r="K121" s="608">
        <v>0</v>
      </c>
      <c r="L121" s="608">
        <v>0</v>
      </c>
      <c r="M121" s="609">
        <v>7345579</v>
      </c>
      <c r="N121" s="609">
        <f t="shared" si="6"/>
        <v>7345579</v>
      </c>
      <c r="O121" s="609">
        <f t="shared" si="7"/>
        <v>7345579</v>
      </c>
      <c r="P121" s="609">
        <f t="shared" si="8"/>
        <v>7345579</v>
      </c>
      <c r="Q121" s="611">
        <f>+'_DATA STT PAGOS_'!D123</f>
        <v>1938212.0430000001</v>
      </c>
      <c r="R121" s="611">
        <f>+'_DATA STT PAGOS_'!E123</f>
        <v>161517.67025</v>
      </c>
      <c r="S121" s="611">
        <f>+'_DATA STT PAGOS_'!F123</f>
        <v>127599</v>
      </c>
      <c r="T121" s="612">
        <f>+'_DATA STT PAGOS_'!Q123</f>
        <v>2502024.3689999999</v>
      </c>
      <c r="U121" s="613" t="str">
        <f>SUBSTITUTE((IFERROR(VLOOKUP(A121,'DATOS IND MINERO'!$H$2:$L$113,4,0),"No")),"í","I",1)</f>
        <v>No</v>
      </c>
      <c r="V121" s="614">
        <f>IFERROR(VLOOKUP(A121,'DATOS IND MINERO'!$H$2:$L$113,5,0),0)</f>
        <v>0</v>
      </c>
      <c r="W121" s="611">
        <f>+'_DATA STT PAGOS_'!G123</f>
        <v>0</v>
      </c>
      <c r="X121" s="611">
        <f>+'_DATA STT PAGOS_'!J123</f>
        <v>2631492.8450000002</v>
      </c>
      <c r="Y121" s="609">
        <v>46902</v>
      </c>
      <c r="Z121" s="609">
        <v>27965</v>
      </c>
      <c r="AA121" s="609">
        <v>32628</v>
      </c>
      <c r="AB121" s="609">
        <v>22542</v>
      </c>
      <c r="AC121" s="609">
        <v>130037</v>
      </c>
      <c r="AD121" s="609">
        <v>64</v>
      </c>
      <c r="AE121" s="609">
        <v>0</v>
      </c>
      <c r="AF121" s="609">
        <v>0</v>
      </c>
      <c r="AG121" s="609">
        <v>0</v>
      </c>
      <c r="AH121" s="609">
        <v>64</v>
      </c>
      <c r="AI121" s="209"/>
    </row>
    <row r="122" spans="1:35" x14ac:dyDescent="0.25">
      <c r="A122" s="201">
        <v>7107</v>
      </c>
      <c r="B122" s="201">
        <v>7205</v>
      </c>
      <c r="C122" s="201" t="s">
        <v>155</v>
      </c>
      <c r="D122" s="609">
        <v>8626</v>
      </c>
      <c r="E122" s="610">
        <v>0.1168547056300677</v>
      </c>
      <c r="F122" s="609">
        <v>92186.364195350747</v>
      </c>
      <c r="G122" s="609">
        <v>4856</v>
      </c>
      <c r="H122" s="609">
        <v>6785</v>
      </c>
      <c r="I122" s="609">
        <v>64541887588</v>
      </c>
      <c r="J122" s="609">
        <v>265783243325</v>
      </c>
      <c r="K122" s="608">
        <v>0</v>
      </c>
      <c r="L122" s="608">
        <v>0</v>
      </c>
      <c r="M122" s="609">
        <v>1433212</v>
      </c>
      <c r="N122" s="609">
        <f t="shared" si="6"/>
        <v>1433212</v>
      </c>
      <c r="O122" s="609">
        <f t="shared" si="7"/>
        <v>1433212</v>
      </c>
      <c r="P122" s="609">
        <f t="shared" si="8"/>
        <v>1433212</v>
      </c>
      <c r="Q122" s="611">
        <f>+'_DATA STT PAGOS_'!D124</f>
        <v>2011173.2209999999</v>
      </c>
      <c r="R122" s="611">
        <f>+'_DATA STT PAGOS_'!E124</f>
        <v>167597.76841666666</v>
      </c>
      <c r="S122" s="611">
        <f>+'_DATA STT PAGOS_'!F124</f>
        <v>132402</v>
      </c>
      <c r="T122" s="612">
        <f>+'_DATA STT PAGOS_'!Q124</f>
        <v>2572041.1549999998</v>
      </c>
      <c r="U122" s="613" t="str">
        <f>SUBSTITUTE((IFERROR(VLOOKUP(A122,'DATOS IND MINERO'!$H$2:$L$113,4,0),"No")),"í","I",1)</f>
        <v>No</v>
      </c>
      <c r="V122" s="614">
        <f>IFERROR(VLOOKUP(A122,'DATOS IND MINERO'!$H$2:$L$113,5,0),0)</f>
        <v>0</v>
      </c>
      <c r="W122" s="611">
        <f>+'_DATA STT PAGOS_'!G124</f>
        <v>0</v>
      </c>
      <c r="X122" s="611">
        <f>+'_DATA STT PAGOS_'!J124</f>
        <v>2730778.4010000001</v>
      </c>
      <c r="Y122" s="609">
        <v>53123</v>
      </c>
      <c r="Z122" s="609">
        <v>35736</v>
      </c>
      <c r="AA122" s="609">
        <v>39750</v>
      </c>
      <c r="AB122" s="609">
        <v>37128</v>
      </c>
      <c r="AC122" s="609">
        <v>165737</v>
      </c>
      <c r="AD122" s="609">
        <v>286</v>
      </c>
      <c r="AE122" s="609">
        <v>227</v>
      </c>
      <c r="AF122" s="609">
        <v>230.041</v>
      </c>
      <c r="AG122" s="609">
        <v>142</v>
      </c>
      <c r="AH122" s="609">
        <v>885.04099999999994</v>
      </c>
      <c r="AI122" s="209"/>
    </row>
    <row r="123" spans="1:35" x14ac:dyDescent="0.25">
      <c r="A123" s="201">
        <v>7108</v>
      </c>
      <c r="B123" s="201">
        <v>7204</v>
      </c>
      <c r="C123" s="201" t="s">
        <v>388</v>
      </c>
      <c r="D123" s="609">
        <v>15129</v>
      </c>
      <c r="E123" s="610">
        <v>9.4034421118778799E-2</v>
      </c>
      <c r="F123" s="609">
        <v>316005.17324063223</v>
      </c>
      <c r="G123" s="609">
        <v>5758</v>
      </c>
      <c r="H123" s="609">
        <v>7972</v>
      </c>
      <c r="I123" s="609">
        <v>82991052969</v>
      </c>
      <c r="J123" s="609">
        <v>356628621984</v>
      </c>
      <c r="K123" s="608">
        <v>0</v>
      </c>
      <c r="L123" s="608">
        <v>0</v>
      </c>
      <c r="M123" s="609">
        <v>3584070</v>
      </c>
      <c r="N123" s="609">
        <f t="shared" si="6"/>
        <v>3584070</v>
      </c>
      <c r="O123" s="609">
        <f t="shared" si="7"/>
        <v>3584070</v>
      </c>
      <c r="P123" s="609">
        <f t="shared" si="8"/>
        <v>3584070</v>
      </c>
      <c r="Q123" s="611">
        <f>+'_DATA STT PAGOS_'!D125</f>
        <v>2175840.1159999999</v>
      </c>
      <c r="R123" s="611">
        <f>+'_DATA STT PAGOS_'!E125</f>
        <v>181320.00966666665</v>
      </c>
      <c r="S123" s="611">
        <f>+'_DATA STT PAGOS_'!F125</f>
        <v>143243</v>
      </c>
      <c r="T123" s="612">
        <f>+'_DATA STT PAGOS_'!Q125</f>
        <v>2801855.071</v>
      </c>
      <c r="U123" s="613" t="str">
        <f>SUBSTITUTE((IFERROR(VLOOKUP(A123,'DATOS IND MINERO'!$H$2:$L$113,4,0),"No")),"í","I",1)</f>
        <v>No</v>
      </c>
      <c r="V123" s="614">
        <f>IFERROR(VLOOKUP(A123,'DATOS IND MINERO'!$H$2:$L$113,5,0),0)</f>
        <v>0</v>
      </c>
      <c r="W123" s="611">
        <f>+'_DATA STT PAGOS_'!G125</f>
        <v>0</v>
      </c>
      <c r="X123" s="611">
        <f>+'_DATA STT PAGOS_'!J125</f>
        <v>2953748.8969999999</v>
      </c>
      <c r="Y123" s="609">
        <v>73050</v>
      </c>
      <c r="Z123" s="609">
        <v>46306</v>
      </c>
      <c r="AA123" s="609">
        <v>54108</v>
      </c>
      <c r="AB123" s="609">
        <v>47478</v>
      </c>
      <c r="AC123" s="609">
        <v>220942</v>
      </c>
      <c r="AD123" s="609">
        <v>62</v>
      </c>
      <c r="AE123" s="609">
        <v>0</v>
      </c>
      <c r="AF123" s="609">
        <v>0</v>
      </c>
      <c r="AG123" s="609">
        <v>55</v>
      </c>
      <c r="AH123" s="609">
        <v>117</v>
      </c>
      <c r="AI123" s="209"/>
    </row>
    <row r="124" spans="1:35" x14ac:dyDescent="0.25">
      <c r="A124" s="201">
        <v>7109</v>
      </c>
      <c r="B124" s="201">
        <v>7202</v>
      </c>
      <c r="C124" s="201" t="s">
        <v>153</v>
      </c>
      <c r="D124" s="609">
        <v>47999</v>
      </c>
      <c r="E124" s="610">
        <v>0.10529142433779549</v>
      </c>
      <c r="F124" s="609">
        <v>526441.28166101268</v>
      </c>
      <c r="G124" s="609">
        <v>20986</v>
      </c>
      <c r="H124" s="609">
        <v>27616</v>
      </c>
      <c r="I124" s="609">
        <v>380505966584</v>
      </c>
      <c r="J124" s="609">
        <v>1047630528838</v>
      </c>
      <c r="K124" s="608">
        <v>0</v>
      </c>
      <c r="L124" s="608">
        <v>0</v>
      </c>
      <c r="M124" s="609">
        <v>3660344</v>
      </c>
      <c r="N124" s="609">
        <f t="shared" si="6"/>
        <v>3660344</v>
      </c>
      <c r="O124" s="609">
        <f t="shared" si="7"/>
        <v>3660344</v>
      </c>
      <c r="P124" s="609">
        <f t="shared" si="8"/>
        <v>3660344</v>
      </c>
      <c r="Q124" s="611">
        <f>+'_DATA STT PAGOS_'!D126</f>
        <v>7864176.4139999999</v>
      </c>
      <c r="R124" s="611">
        <f>+'_DATA STT PAGOS_'!E126</f>
        <v>655348.03449999995</v>
      </c>
      <c r="S124" s="611">
        <f>+'_DATA STT PAGOS_'!F126</f>
        <v>517725</v>
      </c>
      <c r="T124" s="612">
        <f>+'_DATA STT PAGOS_'!Q126</f>
        <v>9812201.3579999991</v>
      </c>
      <c r="U124" s="613" t="str">
        <f>SUBSTITUTE((IFERROR(VLOOKUP(A124,'DATOS IND MINERO'!$H$2:$L$113,4,0),"No")),"í","I",1)</f>
        <v>No</v>
      </c>
      <c r="V124" s="614">
        <f>IFERROR(VLOOKUP(A124,'DATOS IND MINERO'!$H$2:$L$113,5,0),0)</f>
        <v>0</v>
      </c>
      <c r="W124" s="611">
        <f>+'_DATA STT PAGOS_'!G126</f>
        <v>0</v>
      </c>
      <c r="X124" s="611">
        <f>+'_DATA STT PAGOS_'!J126</f>
        <v>10673583.765000001</v>
      </c>
      <c r="Y124" s="609">
        <v>174852</v>
      </c>
      <c r="Z124" s="609">
        <v>103284</v>
      </c>
      <c r="AA124" s="609">
        <v>129208</v>
      </c>
      <c r="AB124" s="609">
        <v>94190</v>
      </c>
      <c r="AC124" s="609">
        <v>501534</v>
      </c>
      <c r="AD124" s="609">
        <v>1726</v>
      </c>
      <c r="AE124" s="609">
        <v>1131</v>
      </c>
      <c r="AF124" s="609">
        <v>1404.0830000000001</v>
      </c>
      <c r="AG124" s="609">
        <v>897</v>
      </c>
      <c r="AH124" s="609">
        <v>5158.0830000000005</v>
      </c>
      <c r="AI124" s="209"/>
    </row>
    <row r="125" spans="1:35" x14ac:dyDescent="0.25">
      <c r="A125" s="201">
        <v>7110</v>
      </c>
      <c r="B125" s="201">
        <v>7210</v>
      </c>
      <c r="C125" s="201" t="s">
        <v>159</v>
      </c>
      <c r="D125" s="609">
        <v>10399</v>
      </c>
      <c r="E125" s="610">
        <v>0.1126402723092326</v>
      </c>
      <c r="F125" s="609">
        <v>164803.82345514631</v>
      </c>
      <c r="G125" s="609">
        <v>4731</v>
      </c>
      <c r="H125" s="609">
        <v>5965</v>
      </c>
      <c r="I125" s="609">
        <v>72661417250</v>
      </c>
      <c r="J125" s="609">
        <v>207846343363</v>
      </c>
      <c r="K125" s="608">
        <v>0</v>
      </c>
      <c r="L125" s="608">
        <v>0</v>
      </c>
      <c r="M125" s="609">
        <v>1313650</v>
      </c>
      <c r="N125" s="609">
        <f t="shared" si="6"/>
        <v>1313650</v>
      </c>
      <c r="O125" s="609">
        <f t="shared" si="7"/>
        <v>1313650</v>
      </c>
      <c r="P125" s="609">
        <f t="shared" si="8"/>
        <v>1313650</v>
      </c>
      <c r="Q125" s="611">
        <f>+'_DATA STT PAGOS_'!D127</f>
        <v>2503051.85</v>
      </c>
      <c r="R125" s="611">
        <f>+'_DATA STT PAGOS_'!E127</f>
        <v>208587.65416666667</v>
      </c>
      <c r="S125" s="611">
        <f>+'_DATA STT PAGOS_'!F127</f>
        <v>164784</v>
      </c>
      <c r="T125" s="612">
        <f>+'_DATA STT PAGOS_'!Q127</f>
        <v>2836684.5559999999</v>
      </c>
      <c r="U125" s="613" t="str">
        <f>SUBSTITUTE((IFERROR(VLOOKUP(A125,'DATOS IND MINERO'!$H$2:$L$113,4,0),"No")),"í","I",1)</f>
        <v>No</v>
      </c>
      <c r="V125" s="614">
        <f>IFERROR(VLOOKUP(A125,'DATOS IND MINERO'!$H$2:$L$113,5,0),0)</f>
        <v>0</v>
      </c>
      <c r="W125" s="611">
        <f>+'_DATA STT PAGOS_'!G127</f>
        <v>0</v>
      </c>
      <c r="X125" s="611">
        <f>+'_DATA STT PAGOS_'!J127</f>
        <v>3397092.4180000005</v>
      </c>
      <c r="Y125" s="609">
        <v>34599</v>
      </c>
      <c r="Z125" s="609">
        <v>25207</v>
      </c>
      <c r="AA125" s="609">
        <v>25159</v>
      </c>
      <c r="AB125" s="609">
        <v>26757</v>
      </c>
      <c r="AC125" s="609">
        <v>111722</v>
      </c>
      <c r="AD125" s="609">
        <v>66</v>
      </c>
      <c r="AE125" s="609">
        <v>0</v>
      </c>
      <c r="AF125" s="609">
        <v>0</v>
      </c>
      <c r="AG125" s="609">
        <v>65</v>
      </c>
      <c r="AH125" s="609">
        <v>131</v>
      </c>
      <c r="AI125" s="209"/>
    </row>
    <row r="126" spans="1:35" x14ac:dyDescent="0.25">
      <c r="A126" s="201">
        <v>7201</v>
      </c>
      <c r="B126" s="201">
        <v>7401</v>
      </c>
      <c r="C126" s="201" t="s">
        <v>166</v>
      </c>
      <c r="D126" s="609">
        <v>44446</v>
      </c>
      <c r="E126" s="610">
        <v>0.1157221024864185</v>
      </c>
      <c r="F126" s="609">
        <v>535895.34592480608</v>
      </c>
      <c r="G126" s="609">
        <v>26718</v>
      </c>
      <c r="H126" s="609">
        <v>35043</v>
      </c>
      <c r="I126" s="609">
        <v>469814090386</v>
      </c>
      <c r="J126" s="609">
        <v>938950960917</v>
      </c>
      <c r="K126" s="608">
        <v>0</v>
      </c>
      <c r="L126" s="608">
        <v>0</v>
      </c>
      <c r="M126" s="609">
        <v>3461761</v>
      </c>
      <c r="N126" s="609">
        <f t="shared" si="6"/>
        <v>3461761</v>
      </c>
      <c r="O126" s="609">
        <f t="shared" si="7"/>
        <v>3461761</v>
      </c>
      <c r="P126" s="609">
        <f t="shared" si="8"/>
        <v>3461761</v>
      </c>
      <c r="Q126" s="611">
        <f>+'_DATA STT PAGOS_'!D128</f>
        <v>8353027.3890000004</v>
      </c>
      <c r="R126" s="611">
        <f>+'_DATA STT PAGOS_'!E128</f>
        <v>696085.61575</v>
      </c>
      <c r="S126" s="611">
        <f>+'_DATA STT PAGOS_'!F128</f>
        <v>549908</v>
      </c>
      <c r="T126" s="612">
        <f>+'_DATA STT PAGOS_'!Q128</f>
        <v>10120016.499</v>
      </c>
      <c r="U126" s="613" t="str">
        <f>SUBSTITUTE((IFERROR(VLOOKUP(A126,'DATOS IND MINERO'!$H$2:$L$113,4,0),"No")),"í","I",1)</f>
        <v>No</v>
      </c>
      <c r="V126" s="614">
        <f>IFERROR(VLOOKUP(A126,'DATOS IND MINERO'!$H$2:$L$113,5,0),0)</f>
        <v>0</v>
      </c>
      <c r="W126" s="611">
        <f>+'_DATA STT PAGOS_'!G128</f>
        <v>0</v>
      </c>
      <c r="X126" s="611">
        <f>+'_DATA STT PAGOS_'!J128</f>
        <v>11340846.133000001</v>
      </c>
      <c r="Y126" s="609">
        <v>144199</v>
      </c>
      <c r="Z126" s="609">
        <v>99163</v>
      </c>
      <c r="AA126" s="609">
        <v>110939</v>
      </c>
      <c r="AB126" s="609">
        <v>81816</v>
      </c>
      <c r="AC126" s="609">
        <v>436117</v>
      </c>
      <c r="AD126" s="609">
        <v>9885</v>
      </c>
      <c r="AE126" s="609">
        <v>5755</v>
      </c>
      <c r="AF126" s="609">
        <v>7004.6469999999999</v>
      </c>
      <c r="AG126" s="609">
        <v>4798</v>
      </c>
      <c r="AH126" s="609">
        <v>27442.647000000001</v>
      </c>
      <c r="AI126" s="209"/>
    </row>
    <row r="127" spans="1:35" x14ac:dyDescent="0.25">
      <c r="A127" s="201">
        <v>7202</v>
      </c>
      <c r="B127" s="201">
        <v>7403</v>
      </c>
      <c r="C127" s="201" t="s">
        <v>168</v>
      </c>
      <c r="D127" s="609">
        <v>9256</v>
      </c>
      <c r="E127" s="610">
        <v>0.14315558367829151</v>
      </c>
      <c r="F127" s="609">
        <v>220700.20127025479</v>
      </c>
      <c r="G127" s="609">
        <v>6825</v>
      </c>
      <c r="H127" s="609">
        <v>8256</v>
      </c>
      <c r="I127" s="609">
        <v>97636485872</v>
      </c>
      <c r="J127" s="609">
        <v>179070448680</v>
      </c>
      <c r="K127" s="608">
        <v>0</v>
      </c>
      <c r="L127" s="608">
        <v>0</v>
      </c>
      <c r="M127" s="609">
        <v>696396</v>
      </c>
      <c r="N127" s="609">
        <f t="shared" si="6"/>
        <v>696396</v>
      </c>
      <c r="O127" s="609">
        <f t="shared" si="7"/>
        <v>696396</v>
      </c>
      <c r="P127" s="609">
        <f t="shared" si="8"/>
        <v>696396</v>
      </c>
      <c r="Q127" s="611">
        <f>+'_DATA STT PAGOS_'!D129</f>
        <v>3270492.7560000001</v>
      </c>
      <c r="R127" s="611">
        <f>+'_DATA STT PAGOS_'!E129</f>
        <v>272541.06300000002</v>
      </c>
      <c r="S127" s="611">
        <f>+'_DATA STT PAGOS_'!F129</f>
        <v>215307</v>
      </c>
      <c r="T127" s="612">
        <f>+'_DATA STT PAGOS_'!Q129</f>
        <v>3826907.0060000001</v>
      </c>
      <c r="U127" s="613" t="str">
        <f>SUBSTITUTE((IFERROR(VLOOKUP(A127,'DATOS IND MINERO'!$H$2:$L$113,4,0),"No")),"í","I",1)</f>
        <v>No</v>
      </c>
      <c r="V127" s="614">
        <f>IFERROR(VLOOKUP(A127,'DATOS IND MINERO'!$H$2:$L$113,5,0),0)</f>
        <v>0</v>
      </c>
      <c r="W127" s="611">
        <f>+'_DATA STT PAGOS_'!G129</f>
        <v>0</v>
      </c>
      <c r="X127" s="611">
        <f>+'_DATA STT PAGOS_'!J129</f>
        <v>4438929.1940000001</v>
      </c>
      <c r="Y127" s="609">
        <v>18184</v>
      </c>
      <c r="Z127" s="609">
        <v>11161</v>
      </c>
      <c r="AA127" s="609">
        <v>16183</v>
      </c>
      <c r="AB127" s="609">
        <v>6856</v>
      </c>
      <c r="AC127" s="609">
        <v>52384</v>
      </c>
      <c r="AD127" s="609">
        <v>0</v>
      </c>
      <c r="AE127" s="609">
        <v>0</v>
      </c>
      <c r="AF127" s="609">
        <v>0</v>
      </c>
      <c r="AG127" s="609">
        <v>0</v>
      </c>
      <c r="AH127" s="609">
        <v>0</v>
      </c>
      <c r="AI127" s="209"/>
    </row>
    <row r="128" spans="1:35" x14ac:dyDescent="0.25">
      <c r="A128" s="201">
        <v>7203</v>
      </c>
      <c r="B128" s="201">
        <v>7402</v>
      </c>
      <c r="C128" s="201" t="s">
        <v>167</v>
      </c>
      <c r="D128" s="609">
        <v>8444</v>
      </c>
      <c r="E128" s="610">
        <v>0.12788688657403871</v>
      </c>
      <c r="F128" s="609">
        <v>775583.11399224517</v>
      </c>
      <c r="G128" s="609">
        <v>9292</v>
      </c>
      <c r="H128" s="609">
        <v>12930</v>
      </c>
      <c r="I128" s="609">
        <v>138503894284</v>
      </c>
      <c r="J128" s="609">
        <v>263940079009</v>
      </c>
      <c r="K128" s="608">
        <v>0</v>
      </c>
      <c r="L128" s="608">
        <v>0</v>
      </c>
      <c r="M128" s="609">
        <v>1056585</v>
      </c>
      <c r="N128" s="609">
        <f t="shared" si="6"/>
        <v>1056585</v>
      </c>
      <c r="O128" s="609">
        <f t="shared" si="7"/>
        <v>1056585</v>
      </c>
      <c r="P128" s="609">
        <f t="shared" si="8"/>
        <v>1056585</v>
      </c>
      <c r="Q128" s="611">
        <f>+'_DATA STT PAGOS_'!D130</f>
        <v>6877682.7910000002</v>
      </c>
      <c r="R128" s="611">
        <f>+'_DATA STT PAGOS_'!E130</f>
        <v>573140.23258333339</v>
      </c>
      <c r="S128" s="611">
        <f>+'_DATA STT PAGOS_'!F130</f>
        <v>452781</v>
      </c>
      <c r="T128" s="612">
        <f>+'_DATA STT PAGOS_'!Q130</f>
        <v>8965051.2819999997</v>
      </c>
      <c r="U128" s="613" t="str">
        <f>SUBSTITUTE((IFERROR(VLOOKUP(A128,'DATOS IND MINERO'!$H$2:$L$113,4,0),"No")),"í","I",1)</f>
        <v>No</v>
      </c>
      <c r="V128" s="614">
        <f>IFERROR(VLOOKUP(A128,'DATOS IND MINERO'!$H$2:$L$113,5,0),0)</f>
        <v>0</v>
      </c>
      <c r="W128" s="611">
        <f>+'_DATA STT PAGOS_'!G130</f>
        <v>0</v>
      </c>
      <c r="X128" s="611">
        <f>+'_DATA STT PAGOS_'!J130</f>
        <v>9333862.682</v>
      </c>
      <c r="Y128" s="609">
        <v>51785</v>
      </c>
      <c r="Z128" s="609">
        <v>27389</v>
      </c>
      <c r="AA128" s="609">
        <v>33892</v>
      </c>
      <c r="AB128" s="609">
        <v>22481</v>
      </c>
      <c r="AC128" s="609">
        <v>135547</v>
      </c>
      <c r="AD128" s="609">
        <v>0</v>
      </c>
      <c r="AE128" s="609">
        <v>0</v>
      </c>
      <c r="AF128" s="609">
        <v>0</v>
      </c>
      <c r="AG128" s="609">
        <v>0</v>
      </c>
      <c r="AH128" s="609">
        <v>0</v>
      </c>
      <c r="AI128" s="209"/>
    </row>
    <row r="129" spans="1:35" x14ac:dyDescent="0.25">
      <c r="A129" s="201">
        <v>7301</v>
      </c>
      <c r="B129" s="201">
        <v>7101</v>
      </c>
      <c r="C129" s="201" t="s">
        <v>389</v>
      </c>
      <c r="D129" s="609">
        <v>171589</v>
      </c>
      <c r="E129" s="610">
        <v>7.2734496396528125E-2</v>
      </c>
      <c r="F129" s="609">
        <v>1045946.6603299978</v>
      </c>
      <c r="G129" s="609">
        <v>55144</v>
      </c>
      <c r="H129" s="609">
        <v>71731</v>
      </c>
      <c r="I129" s="609">
        <v>1655486627006</v>
      </c>
      <c r="J129" s="609">
        <v>3769914925382</v>
      </c>
      <c r="K129" s="608">
        <v>0</v>
      </c>
      <c r="L129" s="608">
        <v>0</v>
      </c>
      <c r="M129" s="609">
        <v>19368212</v>
      </c>
      <c r="N129" s="609">
        <f t="shared" si="6"/>
        <v>19368212</v>
      </c>
      <c r="O129" s="609">
        <f t="shared" si="7"/>
        <v>19368212</v>
      </c>
      <c r="P129" s="609">
        <f t="shared" si="8"/>
        <v>19368212</v>
      </c>
      <c r="Q129" s="611">
        <f>+'_DATA STT PAGOS_'!D131</f>
        <v>14015689.614</v>
      </c>
      <c r="R129" s="611">
        <f>+'_DATA STT PAGOS_'!E131</f>
        <v>1167974.1344999999</v>
      </c>
      <c r="S129" s="611">
        <f>+'_DATA STT PAGOS_'!F131</f>
        <v>922700</v>
      </c>
      <c r="T129" s="612">
        <f>+'_DATA STT PAGOS_'!Q131</f>
        <v>17583083.122000001</v>
      </c>
      <c r="U129" s="613" t="str">
        <f>SUBSTITUTE((IFERROR(VLOOKUP(A129,'DATOS IND MINERO'!$H$2:$L$113,4,0),"No")),"í","I",1)</f>
        <v>No</v>
      </c>
      <c r="V129" s="614">
        <f>IFERROR(VLOOKUP(A129,'DATOS IND MINERO'!$H$2:$L$113,5,0),0)</f>
        <v>0</v>
      </c>
      <c r="W129" s="611">
        <f>+'_DATA STT PAGOS_'!G131</f>
        <v>0</v>
      </c>
      <c r="X129" s="611">
        <f>+'_DATA STT PAGOS_'!J131</f>
        <v>19027009.155000001</v>
      </c>
      <c r="Y129" s="609">
        <v>1026161</v>
      </c>
      <c r="Z129" s="609">
        <v>790134</v>
      </c>
      <c r="AA129" s="609">
        <v>893501</v>
      </c>
      <c r="AB129" s="609">
        <v>733324</v>
      </c>
      <c r="AC129" s="609">
        <v>3443120</v>
      </c>
      <c r="AD129" s="609">
        <v>72105</v>
      </c>
      <c r="AE129" s="609">
        <v>39049</v>
      </c>
      <c r="AF129" s="609">
        <v>50661.525999999998</v>
      </c>
      <c r="AG129" s="609">
        <v>36802</v>
      </c>
      <c r="AH129" s="609">
        <v>198617.52600000001</v>
      </c>
      <c r="AI129" s="209"/>
    </row>
    <row r="130" spans="1:35" x14ac:dyDescent="0.25">
      <c r="A130" s="201">
        <v>7302</v>
      </c>
      <c r="B130" s="201">
        <v>7107</v>
      </c>
      <c r="C130" s="201" t="s">
        <v>390</v>
      </c>
      <c r="D130" s="609">
        <v>10225</v>
      </c>
      <c r="E130" s="610">
        <v>9.2095340671287829E-2</v>
      </c>
      <c r="F130" s="609">
        <v>183499.06827220673</v>
      </c>
      <c r="G130" s="609">
        <v>6009</v>
      </c>
      <c r="H130" s="609">
        <v>8533</v>
      </c>
      <c r="I130" s="609">
        <v>87211836264</v>
      </c>
      <c r="J130" s="609">
        <v>226910084176</v>
      </c>
      <c r="K130" s="608">
        <v>0</v>
      </c>
      <c r="L130" s="608">
        <v>0</v>
      </c>
      <c r="M130" s="609">
        <v>1233193</v>
      </c>
      <c r="N130" s="609">
        <f t="shared" si="6"/>
        <v>1233193</v>
      </c>
      <c r="O130" s="609">
        <f t="shared" si="7"/>
        <v>1233193</v>
      </c>
      <c r="P130" s="609">
        <f t="shared" si="8"/>
        <v>1233193</v>
      </c>
      <c r="Q130" s="611">
        <f>+'_DATA STT PAGOS_'!D132</f>
        <v>2566815.4190000002</v>
      </c>
      <c r="R130" s="611">
        <f>+'_DATA STT PAGOS_'!E132</f>
        <v>213901.28491666669</v>
      </c>
      <c r="S130" s="611">
        <f>+'_DATA STT PAGOS_'!F132</f>
        <v>168982</v>
      </c>
      <c r="T130" s="612">
        <f>+'_DATA STT PAGOS_'!Q132</f>
        <v>2872052.9279999998</v>
      </c>
      <c r="U130" s="613" t="str">
        <f>SUBSTITUTE((IFERROR(VLOOKUP(A130,'DATOS IND MINERO'!$H$2:$L$113,4,0),"No")),"í","I",1)</f>
        <v>No</v>
      </c>
      <c r="V130" s="614">
        <f>IFERROR(VLOOKUP(A130,'DATOS IND MINERO'!$H$2:$L$113,5,0),0)</f>
        <v>0</v>
      </c>
      <c r="W130" s="611">
        <f>+'_DATA STT PAGOS_'!G132</f>
        <v>0</v>
      </c>
      <c r="X130" s="611">
        <f>+'_DATA STT PAGOS_'!J132</f>
        <v>3482455.8380000005</v>
      </c>
      <c r="Y130" s="609">
        <v>36031</v>
      </c>
      <c r="Z130" s="609">
        <v>29260</v>
      </c>
      <c r="AA130" s="609">
        <v>31369</v>
      </c>
      <c r="AB130" s="609">
        <v>27121</v>
      </c>
      <c r="AC130" s="609">
        <v>123781</v>
      </c>
      <c r="AD130" s="609">
        <v>1239</v>
      </c>
      <c r="AE130" s="609">
        <v>1165</v>
      </c>
      <c r="AF130" s="609">
        <v>1028.692</v>
      </c>
      <c r="AG130" s="609">
        <v>804</v>
      </c>
      <c r="AH130" s="609">
        <v>4236.692</v>
      </c>
      <c r="AI130" s="209"/>
    </row>
    <row r="131" spans="1:35" x14ac:dyDescent="0.25">
      <c r="A131" s="201">
        <v>7303</v>
      </c>
      <c r="B131" s="201">
        <v>7105</v>
      </c>
      <c r="C131" s="201" t="s">
        <v>391</v>
      </c>
      <c r="D131" s="609">
        <v>6986</v>
      </c>
      <c r="E131" s="610">
        <v>7.3529089128023015E-2</v>
      </c>
      <c r="F131" s="609">
        <v>630434.29125069978</v>
      </c>
      <c r="G131" s="609">
        <v>3985</v>
      </c>
      <c r="H131" s="609">
        <v>5871</v>
      </c>
      <c r="I131" s="609">
        <v>68866068191</v>
      </c>
      <c r="J131" s="609">
        <v>168323079925</v>
      </c>
      <c r="K131" s="608">
        <v>0</v>
      </c>
      <c r="L131" s="608">
        <v>0</v>
      </c>
      <c r="M131" s="609">
        <v>1125209</v>
      </c>
      <c r="N131" s="609">
        <f t="shared" si="6"/>
        <v>1125209</v>
      </c>
      <c r="O131" s="609">
        <f t="shared" si="7"/>
        <v>1125209</v>
      </c>
      <c r="P131" s="609">
        <f t="shared" si="8"/>
        <v>1125209</v>
      </c>
      <c r="Q131" s="611">
        <f>+'_DATA STT PAGOS_'!D133</f>
        <v>4491494.0829999996</v>
      </c>
      <c r="R131" s="611">
        <f>+'_DATA STT PAGOS_'!E133</f>
        <v>374291.17358333332</v>
      </c>
      <c r="S131" s="611">
        <f>+'_DATA STT PAGOS_'!F133</f>
        <v>295690</v>
      </c>
      <c r="T131" s="612">
        <f>+'_DATA STT PAGOS_'!Q133</f>
        <v>5403307.9409999996</v>
      </c>
      <c r="U131" s="613" t="str">
        <f>SUBSTITUTE((IFERROR(VLOOKUP(A131,'DATOS IND MINERO'!$H$2:$L$113,4,0),"No")),"í","I",1)</f>
        <v>No</v>
      </c>
      <c r="V131" s="614">
        <f>IFERROR(VLOOKUP(A131,'DATOS IND MINERO'!$H$2:$L$113,5,0),0)</f>
        <v>0</v>
      </c>
      <c r="W131" s="611">
        <f>+'_DATA STT PAGOS_'!G133</f>
        <v>0</v>
      </c>
      <c r="X131" s="611">
        <f>+'_DATA STT PAGOS_'!J133</f>
        <v>6093110.7259999998</v>
      </c>
      <c r="Y131" s="609">
        <v>40234</v>
      </c>
      <c r="Z131" s="609">
        <v>25486</v>
      </c>
      <c r="AA131" s="609">
        <v>25834</v>
      </c>
      <c r="AB131" s="609">
        <v>13432</v>
      </c>
      <c r="AC131" s="609">
        <v>104986</v>
      </c>
      <c r="AD131" s="609">
        <v>2283</v>
      </c>
      <c r="AE131" s="609">
        <v>893</v>
      </c>
      <c r="AF131" s="609">
        <v>2067.902</v>
      </c>
      <c r="AG131" s="609">
        <v>1069</v>
      </c>
      <c r="AH131" s="609">
        <v>6312.902</v>
      </c>
      <c r="AI131" s="209"/>
    </row>
    <row r="132" spans="1:35" x14ac:dyDescent="0.25">
      <c r="A132" s="201">
        <v>7304</v>
      </c>
      <c r="B132" s="201">
        <v>7108</v>
      </c>
      <c r="C132" s="201" t="s">
        <v>150</v>
      </c>
      <c r="D132" s="609">
        <v>52088</v>
      </c>
      <c r="E132" s="610">
        <v>7.8718858790246787E-2</v>
      </c>
      <c r="F132" s="609">
        <v>479682.23498901352</v>
      </c>
      <c r="G132" s="609">
        <v>17780</v>
      </c>
      <c r="H132" s="609">
        <v>21351</v>
      </c>
      <c r="I132" s="609">
        <v>370457430543</v>
      </c>
      <c r="J132" s="609">
        <v>926971403901</v>
      </c>
      <c r="K132" s="608">
        <v>0</v>
      </c>
      <c r="L132" s="608">
        <v>0</v>
      </c>
      <c r="M132" s="609">
        <v>4145168</v>
      </c>
      <c r="N132" s="609">
        <f t="shared" si="6"/>
        <v>4145168</v>
      </c>
      <c r="O132" s="609">
        <f t="shared" si="7"/>
        <v>4145168</v>
      </c>
      <c r="P132" s="609">
        <f t="shared" si="8"/>
        <v>4145168</v>
      </c>
      <c r="Q132" s="611">
        <f>+'_DATA STT PAGOS_'!D134</f>
        <v>7838370.1229999997</v>
      </c>
      <c r="R132" s="611">
        <f>+'_DATA STT PAGOS_'!E134</f>
        <v>653197.51024999993</v>
      </c>
      <c r="S132" s="611">
        <f>+'_DATA STT PAGOS_'!F134</f>
        <v>516026</v>
      </c>
      <c r="T132" s="612">
        <f>+'_DATA STT PAGOS_'!Q134</f>
        <v>10419197.372</v>
      </c>
      <c r="U132" s="613" t="str">
        <f>SUBSTITUTE((IFERROR(VLOOKUP(A132,'DATOS IND MINERO'!$H$2:$L$113,4,0),"No")),"í","I",1)</f>
        <v>No</v>
      </c>
      <c r="V132" s="614">
        <f>IFERROR(VLOOKUP(A132,'DATOS IND MINERO'!$H$2:$L$113,5,0),0)</f>
        <v>0</v>
      </c>
      <c r="W132" s="611">
        <f>+'_DATA STT PAGOS_'!G134</f>
        <v>0</v>
      </c>
      <c r="X132" s="611">
        <f>+'_DATA STT PAGOS_'!J134</f>
        <v>10636629.773</v>
      </c>
      <c r="Y132" s="609">
        <v>259535</v>
      </c>
      <c r="Z132" s="609">
        <v>161756</v>
      </c>
      <c r="AA132" s="609">
        <v>195282</v>
      </c>
      <c r="AB132" s="609">
        <v>156233</v>
      </c>
      <c r="AC132" s="609">
        <v>772806</v>
      </c>
      <c r="AD132" s="609">
        <v>3133</v>
      </c>
      <c r="AE132" s="609">
        <v>1391</v>
      </c>
      <c r="AF132" s="609">
        <v>1836.2739999999999</v>
      </c>
      <c r="AG132" s="609">
        <v>1616</v>
      </c>
      <c r="AH132" s="609">
        <v>7976.2739999999994</v>
      </c>
      <c r="AI132" s="209"/>
    </row>
    <row r="133" spans="1:35" x14ac:dyDescent="0.25">
      <c r="A133" s="201">
        <v>7305</v>
      </c>
      <c r="B133" s="201">
        <v>7104</v>
      </c>
      <c r="C133" s="201" t="s">
        <v>149</v>
      </c>
      <c r="D133" s="609">
        <v>11753</v>
      </c>
      <c r="E133" s="610">
        <v>0.10469407758338831</v>
      </c>
      <c r="F133" s="609">
        <v>79406.657599270082</v>
      </c>
      <c r="G133" s="609">
        <v>4763</v>
      </c>
      <c r="H133" s="609">
        <v>6061</v>
      </c>
      <c r="I133" s="609">
        <v>71192178144</v>
      </c>
      <c r="J133" s="609">
        <v>217154171880</v>
      </c>
      <c r="K133" s="608">
        <v>0</v>
      </c>
      <c r="L133" s="608">
        <v>0</v>
      </c>
      <c r="M133" s="609">
        <v>1199154</v>
      </c>
      <c r="N133" s="609">
        <f t="shared" si="6"/>
        <v>1199154</v>
      </c>
      <c r="O133" s="609">
        <f t="shared" si="7"/>
        <v>1199154</v>
      </c>
      <c r="P133" s="609">
        <f t="shared" si="8"/>
        <v>1199154</v>
      </c>
      <c r="Q133" s="611">
        <f>+'_DATA STT PAGOS_'!D135</f>
        <v>2363701.8139999998</v>
      </c>
      <c r="R133" s="611">
        <f>+'_DATA STT PAGOS_'!E135</f>
        <v>196975.15116666665</v>
      </c>
      <c r="S133" s="611">
        <f>+'_DATA STT PAGOS_'!F135</f>
        <v>155610</v>
      </c>
      <c r="T133" s="612">
        <f>+'_DATA STT PAGOS_'!Q135</f>
        <v>2892288.2370000002</v>
      </c>
      <c r="U133" s="613" t="str">
        <f>SUBSTITUTE((IFERROR(VLOOKUP(A133,'DATOS IND MINERO'!$H$2:$L$113,4,0),"No")),"í","I",1)</f>
        <v>No</v>
      </c>
      <c r="V133" s="614">
        <f>IFERROR(VLOOKUP(A133,'DATOS IND MINERO'!$H$2:$L$113,5,0),0)</f>
        <v>0</v>
      </c>
      <c r="W133" s="611">
        <f>+'_DATA STT PAGOS_'!G135</f>
        <v>0</v>
      </c>
      <c r="X133" s="611">
        <f>+'_DATA STT PAGOS_'!J135</f>
        <v>3208070.4869999997</v>
      </c>
      <c r="Y133" s="609">
        <v>34011</v>
      </c>
      <c r="Z133" s="609">
        <v>24431</v>
      </c>
      <c r="AA133" s="609">
        <v>28558</v>
      </c>
      <c r="AB133" s="609">
        <v>20191</v>
      </c>
      <c r="AC133" s="609">
        <v>107191</v>
      </c>
      <c r="AD133" s="609">
        <v>256</v>
      </c>
      <c r="AE133" s="609">
        <v>100</v>
      </c>
      <c r="AF133" s="609">
        <v>214.19</v>
      </c>
      <c r="AG133" s="609">
        <v>64</v>
      </c>
      <c r="AH133" s="609">
        <v>634.19000000000005</v>
      </c>
      <c r="AI133" s="209"/>
    </row>
    <row r="134" spans="1:35" x14ac:dyDescent="0.25">
      <c r="A134" s="201">
        <v>7306</v>
      </c>
      <c r="B134" s="201">
        <v>7103</v>
      </c>
      <c r="C134" s="201" t="s">
        <v>148</v>
      </c>
      <c r="D134" s="609">
        <v>16925</v>
      </c>
      <c r="E134" s="610">
        <v>7.6502783400543367E-2</v>
      </c>
      <c r="F134" s="609">
        <v>189596.86273689801</v>
      </c>
      <c r="G134" s="609">
        <v>6008</v>
      </c>
      <c r="H134" s="609">
        <v>8064</v>
      </c>
      <c r="I134" s="609">
        <v>114654620357</v>
      </c>
      <c r="J134" s="609">
        <v>443813461876</v>
      </c>
      <c r="K134" s="608">
        <v>0</v>
      </c>
      <c r="L134" s="608">
        <v>0</v>
      </c>
      <c r="M134" s="609">
        <v>3019388</v>
      </c>
      <c r="N134" s="609">
        <f t="shared" ref="N134:N197" si="9">+M134</f>
        <v>3019388</v>
      </c>
      <c r="O134" s="609">
        <f t="shared" ref="O134:O197" si="10">+M134+K134</f>
        <v>3019388</v>
      </c>
      <c r="P134" s="609">
        <f t="shared" ref="P134:P197" si="11">+M134+K134</f>
        <v>3019388</v>
      </c>
      <c r="Q134" s="611">
        <f>+'_DATA STT PAGOS_'!D136</f>
        <v>2202763.443</v>
      </c>
      <c r="R134" s="611">
        <f>+'_DATA STT PAGOS_'!E136</f>
        <v>183563.62025000001</v>
      </c>
      <c r="S134" s="611">
        <f>+'_DATA STT PAGOS_'!F136</f>
        <v>145015</v>
      </c>
      <c r="T134" s="612">
        <f>+'_DATA STT PAGOS_'!Q136</f>
        <v>2837629.2420000001</v>
      </c>
      <c r="U134" s="613" t="str">
        <f>SUBSTITUTE((IFERROR(VLOOKUP(A134,'DATOS IND MINERO'!$H$2:$L$113,4,0),"No")),"í","I",1)</f>
        <v>No</v>
      </c>
      <c r="V134" s="614">
        <f>IFERROR(VLOOKUP(A134,'DATOS IND MINERO'!$H$2:$L$113,5,0),0)</f>
        <v>0</v>
      </c>
      <c r="W134" s="611">
        <f>+'_DATA STT PAGOS_'!G136</f>
        <v>0</v>
      </c>
      <c r="X134" s="611">
        <f>+'_DATA STT PAGOS_'!J136</f>
        <v>2989233.0829999996</v>
      </c>
      <c r="Y134" s="609">
        <v>138468</v>
      </c>
      <c r="Z134" s="609">
        <v>115014</v>
      </c>
      <c r="AA134" s="609">
        <v>113209</v>
      </c>
      <c r="AB134" s="609">
        <v>99234</v>
      </c>
      <c r="AC134" s="609">
        <v>465925</v>
      </c>
      <c r="AD134" s="609">
        <v>1151</v>
      </c>
      <c r="AE134" s="609">
        <v>595</v>
      </c>
      <c r="AF134" s="609">
        <v>874.31700000000001</v>
      </c>
      <c r="AG134" s="609">
        <v>789</v>
      </c>
      <c r="AH134" s="609">
        <v>3409.317</v>
      </c>
      <c r="AI134" s="209"/>
    </row>
    <row r="135" spans="1:35" x14ac:dyDescent="0.25">
      <c r="A135" s="201">
        <v>7307</v>
      </c>
      <c r="B135" s="201">
        <v>7109</v>
      </c>
      <c r="C135" s="201" t="s">
        <v>151</v>
      </c>
      <c r="D135" s="609">
        <v>19754</v>
      </c>
      <c r="E135" s="610">
        <v>8.7606056446404068E-2</v>
      </c>
      <c r="F135" s="609">
        <v>213157.14218011088</v>
      </c>
      <c r="G135" s="609">
        <v>6522</v>
      </c>
      <c r="H135" s="609">
        <v>8750</v>
      </c>
      <c r="I135" s="609">
        <v>127309325603</v>
      </c>
      <c r="J135" s="609">
        <v>483369335309</v>
      </c>
      <c r="K135" s="608">
        <v>0</v>
      </c>
      <c r="L135" s="608">
        <v>0</v>
      </c>
      <c r="M135" s="609">
        <v>4489891</v>
      </c>
      <c r="N135" s="609">
        <f t="shared" si="9"/>
        <v>4489891</v>
      </c>
      <c r="O135" s="609">
        <f t="shared" si="10"/>
        <v>4489891</v>
      </c>
      <c r="P135" s="609">
        <f t="shared" si="11"/>
        <v>4489891</v>
      </c>
      <c r="Q135" s="611">
        <f>+'_DATA STT PAGOS_'!D137</f>
        <v>2413078.6179999998</v>
      </c>
      <c r="R135" s="611">
        <f>+'_DATA STT PAGOS_'!E137</f>
        <v>201089.88483333332</v>
      </c>
      <c r="S135" s="611">
        <f>+'_DATA STT PAGOS_'!F137</f>
        <v>158861</v>
      </c>
      <c r="T135" s="612">
        <f>+'_DATA STT PAGOS_'!Q137</f>
        <v>3207024.625</v>
      </c>
      <c r="U135" s="613" t="str">
        <f>SUBSTITUTE((IFERROR(VLOOKUP(A135,'DATOS IND MINERO'!$H$2:$L$113,4,0),"No")),"í","I",1)</f>
        <v>No</v>
      </c>
      <c r="V135" s="614">
        <f>IFERROR(VLOOKUP(A135,'DATOS IND MINERO'!$H$2:$L$113,5,0),0)</f>
        <v>0</v>
      </c>
      <c r="W135" s="611">
        <f>+'_DATA STT PAGOS_'!G137</f>
        <v>0</v>
      </c>
      <c r="X135" s="611">
        <f>+'_DATA STT PAGOS_'!J137</f>
        <v>3276572.9689999996</v>
      </c>
      <c r="Y135" s="609">
        <v>111465</v>
      </c>
      <c r="Z135" s="609">
        <v>95333</v>
      </c>
      <c r="AA135" s="609">
        <v>93680</v>
      </c>
      <c r="AB135" s="609">
        <v>79756</v>
      </c>
      <c r="AC135" s="609">
        <v>380234</v>
      </c>
      <c r="AD135" s="609">
        <v>0</v>
      </c>
      <c r="AE135" s="609">
        <v>0</v>
      </c>
      <c r="AF135" s="609">
        <v>0</v>
      </c>
      <c r="AG135" s="609">
        <v>0</v>
      </c>
      <c r="AH135" s="609">
        <v>0</v>
      </c>
      <c r="AI135" s="209"/>
    </row>
    <row r="136" spans="1:35" x14ac:dyDescent="0.25">
      <c r="A136" s="201">
        <v>7308</v>
      </c>
      <c r="B136" s="201">
        <v>7102</v>
      </c>
      <c r="C136" s="201" t="s">
        <v>147</v>
      </c>
      <c r="D136" s="609">
        <v>31885</v>
      </c>
      <c r="E136" s="610">
        <v>7.5390641766713895E-2</v>
      </c>
      <c r="F136" s="609">
        <v>340965.89502766909</v>
      </c>
      <c r="G136" s="609">
        <v>10859</v>
      </c>
      <c r="H136" s="609">
        <v>15271</v>
      </c>
      <c r="I136" s="609">
        <v>186050964579</v>
      </c>
      <c r="J136" s="609">
        <v>784740070768</v>
      </c>
      <c r="K136" s="608">
        <v>0</v>
      </c>
      <c r="L136" s="608">
        <v>0</v>
      </c>
      <c r="M136" s="609">
        <v>3748220</v>
      </c>
      <c r="N136" s="609">
        <f t="shared" si="9"/>
        <v>3748220</v>
      </c>
      <c r="O136" s="609">
        <f t="shared" si="10"/>
        <v>3748220</v>
      </c>
      <c r="P136" s="609">
        <f t="shared" si="11"/>
        <v>3748220</v>
      </c>
      <c r="Q136" s="611">
        <f>+'_DATA STT PAGOS_'!D138</f>
        <v>3200238.679</v>
      </c>
      <c r="R136" s="611">
        <f>+'_DATA STT PAGOS_'!E138</f>
        <v>266686.55658333335</v>
      </c>
      <c r="S136" s="611">
        <f>+'_DATA STT PAGOS_'!F138</f>
        <v>210682</v>
      </c>
      <c r="T136" s="612">
        <f>+'_DATA STT PAGOS_'!Q138</f>
        <v>4302549.2</v>
      </c>
      <c r="U136" s="613" t="str">
        <f>SUBSTITUTE((IFERROR(VLOOKUP(A136,'DATOS IND MINERO'!$H$2:$L$113,4,0),"No")),"í","I",1)</f>
        <v>No</v>
      </c>
      <c r="V136" s="614">
        <f>IFERROR(VLOOKUP(A136,'DATOS IND MINERO'!$H$2:$L$113,5,0),0)</f>
        <v>0</v>
      </c>
      <c r="W136" s="611">
        <f>+'_DATA STT PAGOS_'!G138</f>
        <v>0</v>
      </c>
      <c r="X136" s="611">
        <f>+'_DATA STT PAGOS_'!J138</f>
        <v>4342797.3770000003</v>
      </c>
      <c r="Y136" s="609">
        <v>279751</v>
      </c>
      <c r="Z136" s="609">
        <v>277858</v>
      </c>
      <c r="AA136" s="609">
        <v>207402</v>
      </c>
      <c r="AB136" s="609">
        <v>148178</v>
      </c>
      <c r="AC136" s="609">
        <v>913189</v>
      </c>
      <c r="AD136" s="609">
        <v>446</v>
      </c>
      <c r="AE136" s="609">
        <v>152</v>
      </c>
      <c r="AF136" s="609">
        <v>339.47699999999998</v>
      </c>
      <c r="AG136" s="609">
        <v>211</v>
      </c>
      <c r="AH136" s="609">
        <v>1148.4769999999999</v>
      </c>
      <c r="AI136" s="209"/>
    </row>
    <row r="137" spans="1:35" x14ac:dyDescent="0.25">
      <c r="A137" s="201">
        <v>7309</v>
      </c>
      <c r="B137" s="201">
        <v>7106</v>
      </c>
      <c r="C137" s="201" t="s">
        <v>392</v>
      </c>
      <c r="D137" s="609">
        <v>4311</v>
      </c>
      <c r="E137" s="610">
        <v>8.7216742405051353E-2</v>
      </c>
      <c r="F137" s="609">
        <v>420380.89190190984</v>
      </c>
      <c r="G137" s="609">
        <v>3307</v>
      </c>
      <c r="H137" s="609">
        <v>7050</v>
      </c>
      <c r="I137" s="609">
        <v>63383073522</v>
      </c>
      <c r="J137" s="609">
        <v>363582982406</v>
      </c>
      <c r="K137" s="608">
        <v>0</v>
      </c>
      <c r="L137" s="608">
        <v>0</v>
      </c>
      <c r="M137" s="609">
        <v>2825227</v>
      </c>
      <c r="N137" s="609">
        <f t="shared" si="9"/>
        <v>2825227</v>
      </c>
      <c r="O137" s="609">
        <f t="shared" si="10"/>
        <v>2825227</v>
      </c>
      <c r="P137" s="609">
        <f t="shared" si="11"/>
        <v>2825227</v>
      </c>
      <c r="Q137" s="611">
        <f>+'_DATA STT PAGOS_'!D139</f>
        <v>1680472.2849999999</v>
      </c>
      <c r="R137" s="611">
        <f>+'_DATA STT PAGOS_'!E139</f>
        <v>140039.35708333334</v>
      </c>
      <c r="S137" s="611">
        <f>+'_DATA STT PAGOS_'!F139</f>
        <v>110631</v>
      </c>
      <c r="T137" s="612">
        <f>+'_DATA STT PAGOS_'!Q139</f>
        <v>2198479.5729999999</v>
      </c>
      <c r="U137" s="613" t="str">
        <f>SUBSTITUTE((IFERROR(VLOOKUP(A137,'DATOS IND MINERO'!$H$2:$L$113,4,0),"No")),"í","I",1)</f>
        <v>No</v>
      </c>
      <c r="V137" s="614">
        <f>IFERROR(VLOOKUP(A137,'DATOS IND MINERO'!$H$2:$L$113,5,0),0)</f>
        <v>0</v>
      </c>
      <c r="W137" s="611">
        <f>+'_DATA STT PAGOS_'!G139</f>
        <v>0</v>
      </c>
      <c r="X137" s="611">
        <f>+'_DATA STT PAGOS_'!J139</f>
        <v>2280336.4720000001</v>
      </c>
      <c r="Y137" s="609">
        <v>146248</v>
      </c>
      <c r="Z137" s="609">
        <v>81671</v>
      </c>
      <c r="AA137" s="609">
        <v>97428</v>
      </c>
      <c r="AB137" s="609">
        <v>85451</v>
      </c>
      <c r="AC137" s="609">
        <v>410798</v>
      </c>
      <c r="AD137" s="609">
        <v>19384</v>
      </c>
      <c r="AE137" s="609">
        <v>9432</v>
      </c>
      <c r="AF137" s="609">
        <v>13031.557000000001</v>
      </c>
      <c r="AG137" s="609">
        <v>10068</v>
      </c>
      <c r="AH137" s="609">
        <v>51915.557000000001</v>
      </c>
      <c r="AI137" s="209"/>
    </row>
    <row r="138" spans="1:35" x14ac:dyDescent="0.25">
      <c r="A138" s="201">
        <v>7401</v>
      </c>
      <c r="B138" s="201">
        <v>7301</v>
      </c>
      <c r="C138" s="201" t="s">
        <v>160</v>
      </c>
      <c r="D138" s="609">
        <v>103958</v>
      </c>
      <c r="E138" s="610">
        <v>8.8591955216916943E-2</v>
      </c>
      <c r="F138" s="609">
        <v>957465.70672298991</v>
      </c>
      <c r="G138" s="609">
        <v>39071</v>
      </c>
      <c r="H138" s="609">
        <v>49576</v>
      </c>
      <c r="I138" s="609">
        <v>1050650304516</v>
      </c>
      <c r="J138" s="609">
        <v>2031521843010</v>
      </c>
      <c r="K138" s="608">
        <v>0</v>
      </c>
      <c r="L138" s="608">
        <v>0</v>
      </c>
      <c r="M138" s="609">
        <v>7861559</v>
      </c>
      <c r="N138" s="609">
        <f t="shared" si="9"/>
        <v>7861559</v>
      </c>
      <c r="O138" s="609">
        <f t="shared" si="10"/>
        <v>7861559</v>
      </c>
      <c r="P138" s="609">
        <f t="shared" si="11"/>
        <v>7861559</v>
      </c>
      <c r="Q138" s="611">
        <f>+'_DATA STT PAGOS_'!D140</f>
        <v>13678623.699999999</v>
      </c>
      <c r="R138" s="611">
        <f>+'_DATA STT PAGOS_'!E140</f>
        <v>1139885.3083333333</v>
      </c>
      <c r="S138" s="611">
        <f>+'_DATA STT PAGOS_'!F140</f>
        <v>900509</v>
      </c>
      <c r="T138" s="612">
        <f>+'_DATA STT PAGOS_'!Q140</f>
        <v>16757754.732999999</v>
      </c>
      <c r="U138" s="613" t="str">
        <f>SUBSTITUTE((IFERROR(VLOOKUP(A138,'DATOS IND MINERO'!$H$2:$L$113,4,0),"No")),"í","I",1)</f>
        <v>No</v>
      </c>
      <c r="V138" s="614">
        <f>IFERROR(VLOOKUP(A138,'DATOS IND MINERO'!$H$2:$L$113,5,0),0)</f>
        <v>0</v>
      </c>
      <c r="W138" s="611">
        <f>+'_DATA STT PAGOS_'!G140</f>
        <v>0</v>
      </c>
      <c r="X138" s="611">
        <f>+'_DATA STT PAGOS_'!J140</f>
        <v>18570239.379000001</v>
      </c>
      <c r="Y138" s="609">
        <v>433308</v>
      </c>
      <c r="Z138" s="609">
        <v>298217</v>
      </c>
      <c r="AA138" s="609">
        <v>339501</v>
      </c>
      <c r="AB138" s="609">
        <v>284761</v>
      </c>
      <c r="AC138" s="609">
        <v>1355787</v>
      </c>
      <c r="AD138" s="609">
        <v>20223</v>
      </c>
      <c r="AE138" s="609">
        <v>8695</v>
      </c>
      <c r="AF138" s="609">
        <v>11140.669</v>
      </c>
      <c r="AG138" s="609">
        <v>7532</v>
      </c>
      <c r="AH138" s="609">
        <v>47590.669000000002</v>
      </c>
      <c r="AI138" s="209"/>
    </row>
    <row r="139" spans="1:35" x14ac:dyDescent="0.25">
      <c r="A139" s="201">
        <v>7402</v>
      </c>
      <c r="B139" s="201">
        <v>7303</v>
      </c>
      <c r="C139" s="201" t="s">
        <v>393</v>
      </c>
      <c r="D139" s="609">
        <v>23479</v>
      </c>
      <c r="E139" s="610">
        <v>0.1181205973029969</v>
      </c>
      <c r="F139" s="609">
        <v>374705.60475972574</v>
      </c>
      <c r="G139" s="609">
        <v>9995</v>
      </c>
      <c r="H139" s="609">
        <v>13903</v>
      </c>
      <c r="I139" s="609">
        <v>167179131674</v>
      </c>
      <c r="J139" s="609">
        <v>524570217813</v>
      </c>
      <c r="K139" s="608">
        <v>0</v>
      </c>
      <c r="L139" s="608">
        <v>0</v>
      </c>
      <c r="M139" s="609">
        <v>6754026</v>
      </c>
      <c r="N139" s="609">
        <f t="shared" si="9"/>
        <v>6754026</v>
      </c>
      <c r="O139" s="609">
        <f t="shared" si="10"/>
        <v>6754026</v>
      </c>
      <c r="P139" s="609">
        <f t="shared" si="11"/>
        <v>6754026</v>
      </c>
      <c r="Q139" s="611">
        <f>+'_DATA STT PAGOS_'!D141</f>
        <v>3566821.63</v>
      </c>
      <c r="R139" s="611">
        <f>+'_DATA STT PAGOS_'!E141</f>
        <v>297235.1358333333</v>
      </c>
      <c r="S139" s="611">
        <f>+'_DATA STT PAGOS_'!F141</f>
        <v>234816</v>
      </c>
      <c r="T139" s="612">
        <f>+'_DATA STT PAGOS_'!Q141</f>
        <v>4795399.983</v>
      </c>
      <c r="U139" s="613" t="str">
        <f>SUBSTITUTE((IFERROR(VLOOKUP(A139,'DATOS IND MINERO'!$H$2:$L$113,4,0),"No")),"í","I",1)</f>
        <v>No</v>
      </c>
      <c r="V139" s="614">
        <f>IFERROR(VLOOKUP(A139,'DATOS IND MINERO'!$H$2:$L$113,5,0),0)</f>
        <v>0</v>
      </c>
      <c r="W139" s="611">
        <f>+'_DATA STT PAGOS_'!G141</f>
        <v>0</v>
      </c>
      <c r="X139" s="611">
        <f>+'_DATA STT PAGOS_'!J141</f>
        <v>4840258.8590000002</v>
      </c>
      <c r="Y139" s="609">
        <v>105732</v>
      </c>
      <c r="Z139" s="609">
        <v>27039</v>
      </c>
      <c r="AA139" s="609">
        <v>75791</v>
      </c>
      <c r="AB139" s="609">
        <v>65294</v>
      </c>
      <c r="AC139" s="609">
        <v>273856</v>
      </c>
      <c r="AD139" s="609">
        <v>6209</v>
      </c>
      <c r="AE139" s="609">
        <v>2901</v>
      </c>
      <c r="AF139" s="609">
        <v>4010.5839999999998</v>
      </c>
      <c r="AG139" s="609">
        <v>3235</v>
      </c>
      <c r="AH139" s="609">
        <v>16355.583999999999</v>
      </c>
      <c r="AI139" s="209"/>
    </row>
    <row r="140" spans="1:35" x14ac:dyDescent="0.25">
      <c r="A140" s="201">
        <v>7403</v>
      </c>
      <c r="B140" s="201">
        <v>7304</v>
      </c>
      <c r="C140" s="201" t="s">
        <v>394</v>
      </c>
      <c r="D140" s="609">
        <v>33666</v>
      </c>
      <c r="E140" s="610">
        <v>0.11610555102847631</v>
      </c>
      <c r="F140" s="609">
        <v>462797.681875807</v>
      </c>
      <c r="G140" s="609">
        <v>15640</v>
      </c>
      <c r="H140" s="609">
        <v>20852</v>
      </c>
      <c r="I140" s="609">
        <v>236917468106</v>
      </c>
      <c r="J140" s="609">
        <v>637096190026</v>
      </c>
      <c r="K140" s="608">
        <v>0</v>
      </c>
      <c r="L140" s="608">
        <v>0</v>
      </c>
      <c r="M140" s="609">
        <v>1720544</v>
      </c>
      <c r="N140" s="609">
        <f t="shared" si="9"/>
        <v>1720544</v>
      </c>
      <c r="O140" s="609">
        <f t="shared" si="10"/>
        <v>1720544</v>
      </c>
      <c r="P140" s="609">
        <f t="shared" si="11"/>
        <v>1720544</v>
      </c>
      <c r="Q140" s="611">
        <f>+'_DATA STT PAGOS_'!D142</f>
        <v>6682673.8600000003</v>
      </c>
      <c r="R140" s="611">
        <f>+'_DATA STT PAGOS_'!E142</f>
        <v>556889.4883333334</v>
      </c>
      <c r="S140" s="611">
        <f>+'_DATA STT PAGOS_'!F142</f>
        <v>439943</v>
      </c>
      <c r="T140" s="612">
        <f>+'_DATA STT PAGOS_'!Q142</f>
        <v>7720346.0760000004</v>
      </c>
      <c r="U140" s="613" t="str">
        <f>SUBSTITUTE((IFERROR(VLOOKUP(A140,'DATOS IND MINERO'!$H$2:$L$113,4,0),"No")),"í","I",1)</f>
        <v>No</v>
      </c>
      <c r="V140" s="614">
        <f>IFERROR(VLOOKUP(A140,'DATOS IND MINERO'!$H$2:$L$113,5,0),0)</f>
        <v>0</v>
      </c>
      <c r="W140" s="611">
        <f>+'_DATA STT PAGOS_'!G142</f>
        <v>0</v>
      </c>
      <c r="X140" s="611">
        <f>+'_DATA STT PAGOS_'!J142</f>
        <v>9068126.807</v>
      </c>
      <c r="Y140" s="609">
        <v>86439</v>
      </c>
      <c r="Z140" s="609">
        <v>52749</v>
      </c>
      <c r="AA140" s="609">
        <v>69652</v>
      </c>
      <c r="AB140" s="609">
        <v>50093</v>
      </c>
      <c r="AC140" s="609">
        <v>258933</v>
      </c>
      <c r="AD140" s="609">
        <v>215</v>
      </c>
      <c r="AE140" s="609">
        <v>90</v>
      </c>
      <c r="AF140" s="609">
        <v>107.03400000000001</v>
      </c>
      <c r="AG140" s="609">
        <v>200</v>
      </c>
      <c r="AH140" s="609">
        <v>612.03399999999999</v>
      </c>
      <c r="AI140" s="209"/>
    </row>
    <row r="141" spans="1:35" x14ac:dyDescent="0.25">
      <c r="A141" s="201">
        <v>7404</v>
      </c>
      <c r="B141" s="201">
        <v>7305</v>
      </c>
      <c r="C141" s="201" t="s">
        <v>162</v>
      </c>
      <c r="D141" s="609">
        <v>45583</v>
      </c>
      <c r="E141" s="610">
        <v>9.2774064727636135E-2</v>
      </c>
      <c r="F141" s="609">
        <v>658923.16271024279</v>
      </c>
      <c r="G141" s="609">
        <v>22358</v>
      </c>
      <c r="H141" s="609">
        <v>29127</v>
      </c>
      <c r="I141" s="609">
        <v>394363459942</v>
      </c>
      <c r="J141" s="609">
        <v>934714569395</v>
      </c>
      <c r="K141" s="608">
        <v>0</v>
      </c>
      <c r="L141" s="608">
        <v>0</v>
      </c>
      <c r="M141" s="609">
        <v>3732335</v>
      </c>
      <c r="N141" s="609">
        <f t="shared" si="9"/>
        <v>3732335</v>
      </c>
      <c r="O141" s="609">
        <f t="shared" si="10"/>
        <v>3732335</v>
      </c>
      <c r="P141" s="609">
        <f t="shared" si="11"/>
        <v>3732335</v>
      </c>
      <c r="Q141" s="611">
        <f>+'_DATA STT PAGOS_'!D143</f>
        <v>7944968.0460000001</v>
      </c>
      <c r="R141" s="611">
        <f>+'_DATA STT PAGOS_'!E143</f>
        <v>662080.67050000001</v>
      </c>
      <c r="S141" s="611">
        <f>+'_DATA STT PAGOS_'!F143</f>
        <v>523044</v>
      </c>
      <c r="T141" s="612">
        <f>+'_DATA STT PAGOS_'!Q143</f>
        <v>9378802.1740000006</v>
      </c>
      <c r="U141" s="613" t="str">
        <f>SUBSTITUTE((IFERROR(VLOOKUP(A141,'DATOS IND MINERO'!$H$2:$L$113,4,0),"No")),"í","I",1)</f>
        <v>No</v>
      </c>
      <c r="V141" s="614">
        <f>IFERROR(VLOOKUP(A141,'DATOS IND MINERO'!$H$2:$L$113,5,0),0)</f>
        <v>0</v>
      </c>
      <c r="W141" s="611">
        <f>+'_DATA STT PAGOS_'!G143</f>
        <v>0</v>
      </c>
      <c r="X141" s="611">
        <f>+'_DATA STT PAGOS_'!J143</f>
        <v>10779907.026000001</v>
      </c>
      <c r="Y141" s="609">
        <v>174439</v>
      </c>
      <c r="Z141" s="609">
        <v>119514</v>
      </c>
      <c r="AA141" s="609">
        <v>135987</v>
      </c>
      <c r="AB141" s="609">
        <v>104329</v>
      </c>
      <c r="AC141" s="609">
        <v>534269</v>
      </c>
      <c r="AD141" s="609">
        <v>7234</v>
      </c>
      <c r="AE141" s="609">
        <v>2584</v>
      </c>
      <c r="AF141" s="609">
        <v>3797.172</v>
      </c>
      <c r="AG141" s="609">
        <v>2876</v>
      </c>
      <c r="AH141" s="609">
        <v>16491.171999999999</v>
      </c>
      <c r="AI141" s="209"/>
    </row>
    <row r="142" spans="1:35" x14ac:dyDescent="0.25">
      <c r="A142" s="201">
        <v>7405</v>
      </c>
      <c r="B142" s="201">
        <v>7306</v>
      </c>
      <c r="C142" s="201" t="s">
        <v>163</v>
      </c>
      <c r="D142" s="609">
        <v>21492</v>
      </c>
      <c r="E142" s="610">
        <v>0.1218370057800926</v>
      </c>
      <c r="F142" s="609">
        <v>324922.91810648108</v>
      </c>
      <c r="G142" s="609">
        <v>12178</v>
      </c>
      <c r="H142" s="609">
        <v>16427</v>
      </c>
      <c r="I142" s="609">
        <v>178238848832</v>
      </c>
      <c r="J142" s="609">
        <v>538175814907</v>
      </c>
      <c r="K142" s="608">
        <v>0</v>
      </c>
      <c r="L142" s="608">
        <v>0</v>
      </c>
      <c r="M142" s="609">
        <v>1599709</v>
      </c>
      <c r="N142" s="609">
        <f t="shared" si="9"/>
        <v>1599709</v>
      </c>
      <c r="O142" s="609">
        <f t="shared" si="10"/>
        <v>1599709</v>
      </c>
      <c r="P142" s="609">
        <f t="shared" si="11"/>
        <v>1599709</v>
      </c>
      <c r="Q142" s="611">
        <f>+'_DATA STT PAGOS_'!D144</f>
        <v>4477633.7170000002</v>
      </c>
      <c r="R142" s="611">
        <f>+'_DATA STT PAGOS_'!E144</f>
        <v>373136.14308333333</v>
      </c>
      <c r="S142" s="611">
        <f>+'_DATA STT PAGOS_'!F144</f>
        <v>294778</v>
      </c>
      <c r="T142" s="612">
        <f>+'_DATA STT PAGOS_'!Q144</f>
        <v>4946553.2079999996</v>
      </c>
      <c r="U142" s="613" t="str">
        <f>SUBSTITUTE((IFERROR(VLOOKUP(A142,'DATOS IND MINERO'!$H$2:$L$113,4,0),"No")),"í","I",1)</f>
        <v>No</v>
      </c>
      <c r="V142" s="614">
        <f>IFERROR(VLOOKUP(A142,'DATOS IND MINERO'!$H$2:$L$113,5,0),0)</f>
        <v>0</v>
      </c>
      <c r="W142" s="611">
        <f>+'_DATA STT PAGOS_'!G144</f>
        <v>0</v>
      </c>
      <c r="X142" s="611">
        <f>+'_DATA STT PAGOS_'!J144</f>
        <v>6075462.1529999999</v>
      </c>
      <c r="Y142" s="609">
        <v>85354</v>
      </c>
      <c r="Z142" s="609">
        <v>53318</v>
      </c>
      <c r="AA142" s="609">
        <v>67907</v>
      </c>
      <c r="AB142" s="609">
        <v>54640</v>
      </c>
      <c r="AC142" s="609">
        <v>261219</v>
      </c>
      <c r="AD142" s="609">
        <v>0</v>
      </c>
      <c r="AE142" s="609">
        <v>0</v>
      </c>
      <c r="AF142" s="609">
        <v>0</v>
      </c>
      <c r="AG142" s="609">
        <v>0</v>
      </c>
      <c r="AH142" s="609">
        <v>0</v>
      </c>
      <c r="AI142" s="209"/>
    </row>
    <row r="143" spans="1:35" x14ac:dyDescent="0.25">
      <c r="A143" s="201">
        <v>7406</v>
      </c>
      <c r="B143" s="201">
        <v>7310</v>
      </c>
      <c r="C143" s="201" t="s">
        <v>165</v>
      </c>
      <c r="D143" s="609">
        <v>51469</v>
      </c>
      <c r="E143" s="610">
        <v>9.7050002743901381E-2</v>
      </c>
      <c r="F143" s="609">
        <v>481800.09291172156</v>
      </c>
      <c r="G143" s="609">
        <v>23618</v>
      </c>
      <c r="H143" s="609">
        <v>29270</v>
      </c>
      <c r="I143" s="609">
        <v>428832540320</v>
      </c>
      <c r="J143" s="609">
        <v>836705164338</v>
      </c>
      <c r="K143" s="608">
        <v>0</v>
      </c>
      <c r="L143" s="608">
        <v>0</v>
      </c>
      <c r="M143" s="609">
        <v>3710527</v>
      </c>
      <c r="N143" s="609">
        <f t="shared" si="9"/>
        <v>3710527</v>
      </c>
      <c r="O143" s="609">
        <f t="shared" si="10"/>
        <v>3710527</v>
      </c>
      <c r="P143" s="609">
        <f t="shared" si="11"/>
        <v>3710527</v>
      </c>
      <c r="Q143" s="611">
        <f>+'_DATA STT PAGOS_'!D145</f>
        <v>8237742.5719999997</v>
      </c>
      <c r="R143" s="611">
        <f>+'_DATA STT PAGOS_'!E145</f>
        <v>686478.54766666668</v>
      </c>
      <c r="S143" s="611">
        <f>+'_DATA STT PAGOS_'!F145</f>
        <v>542318</v>
      </c>
      <c r="T143" s="612">
        <f>+'_DATA STT PAGOS_'!Q145</f>
        <v>10246786.530999999</v>
      </c>
      <c r="U143" s="613" t="str">
        <f>SUBSTITUTE((IFERROR(VLOOKUP(A143,'DATOS IND MINERO'!$H$2:$L$113,4,0),"No")),"í","I",1)</f>
        <v>No</v>
      </c>
      <c r="V143" s="614">
        <f>IFERROR(VLOOKUP(A143,'DATOS IND MINERO'!$H$2:$L$113,5,0),0)</f>
        <v>0</v>
      </c>
      <c r="W143" s="611">
        <f>+'_DATA STT PAGOS_'!G145</f>
        <v>0</v>
      </c>
      <c r="X143" s="611">
        <f>+'_DATA STT PAGOS_'!J145</f>
        <v>11181774.929000001</v>
      </c>
      <c r="Y143" s="609">
        <v>134428</v>
      </c>
      <c r="Z143" s="609">
        <v>113214</v>
      </c>
      <c r="AA143" s="609">
        <v>113435</v>
      </c>
      <c r="AB143" s="609">
        <v>106048</v>
      </c>
      <c r="AC143" s="609">
        <v>467125</v>
      </c>
      <c r="AD143" s="609">
        <v>3230</v>
      </c>
      <c r="AE143" s="609">
        <v>3105</v>
      </c>
      <c r="AF143" s="609">
        <v>2665.7829999999999</v>
      </c>
      <c r="AG143" s="609">
        <v>1455</v>
      </c>
      <c r="AH143" s="609">
        <v>10455.782999999999</v>
      </c>
      <c r="AI143" s="209"/>
    </row>
    <row r="144" spans="1:35" x14ac:dyDescent="0.25">
      <c r="A144" s="201">
        <v>7407</v>
      </c>
      <c r="B144" s="201">
        <v>7309</v>
      </c>
      <c r="C144" s="201" t="s">
        <v>164</v>
      </c>
      <c r="D144" s="609">
        <v>18036</v>
      </c>
      <c r="E144" s="610">
        <v>9.7740612874893912E-2</v>
      </c>
      <c r="F144" s="609">
        <v>212199.53820263076</v>
      </c>
      <c r="G144" s="609">
        <v>7869</v>
      </c>
      <c r="H144" s="609">
        <v>9745</v>
      </c>
      <c r="I144" s="609">
        <v>135689482302</v>
      </c>
      <c r="J144" s="609">
        <v>323970060551</v>
      </c>
      <c r="K144" s="608">
        <v>0</v>
      </c>
      <c r="L144" s="608">
        <v>0</v>
      </c>
      <c r="M144" s="609">
        <v>1136804</v>
      </c>
      <c r="N144" s="609">
        <f t="shared" si="9"/>
        <v>1136804</v>
      </c>
      <c r="O144" s="609">
        <f t="shared" si="10"/>
        <v>1136804</v>
      </c>
      <c r="P144" s="609">
        <f t="shared" si="11"/>
        <v>1136804</v>
      </c>
      <c r="Q144" s="611">
        <f>+'_DATA STT PAGOS_'!D146</f>
        <v>3739209.4870000002</v>
      </c>
      <c r="R144" s="611">
        <f>+'_DATA STT PAGOS_'!E146</f>
        <v>311600.79058333335</v>
      </c>
      <c r="S144" s="611">
        <f>+'_DATA STT PAGOS_'!F146</f>
        <v>246165</v>
      </c>
      <c r="T144" s="612">
        <f>+'_DATA STT PAGOS_'!Q146</f>
        <v>4386926.9179999996</v>
      </c>
      <c r="U144" s="613" t="str">
        <f>SUBSTITUTE((IFERROR(VLOOKUP(A144,'DATOS IND MINERO'!$H$2:$L$113,4,0),"No")),"í","I",1)</f>
        <v>No</v>
      </c>
      <c r="V144" s="614">
        <f>IFERROR(VLOOKUP(A144,'DATOS IND MINERO'!$H$2:$L$113,5,0),0)</f>
        <v>0</v>
      </c>
      <c r="W144" s="611">
        <f>+'_DATA STT PAGOS_'!G146</f>
        <v>0</v>
      </c>
      <c r="X144" s="611">
        <f>+'_DATA STT PAGOS_'!J146</f>
        <v>5072423.6579999998</v>
      </c>
      <c r="Y144" s="609">
        <v>59661</v>
      </c>
      <c r="Z144" s="609">
        <v>28353</v>
      </c>
      <c r="AA144" s="609">
        <v>36290</v>
      </c>
      <c r="AB144" s="609">
        <v>27021</v>
      </c>
      <c r="AC144" s="609">
        <v>151325</v>
      </c>
      <c r="AD144" s="609">
        <v>858</v>
      </c>
      <c r="AE144" s="609">
        <v>0</v>
      </c>
      <c r="AF144" s="609">
        <v>656.11599999999999</v>
      </c>
      <c r="AG144" s="609">
        <v>449</v>
      </c>
      <c r="AH144" s="609">
        <v>1963.116</v>
      </c>
      <c r="AI144" s="209"/>
    </row>
    <row r="145" spans="1:35" x14ac:dyDescent="0.25">
      <c r="A145" s="201">
        <v>7408</v>
      </c>
      <c r="B145" s="201">
        <v>7302</v>
      </c>
      <c r="C145" s="201" t="s">
        <v>161</v>
      </c>
      <c r="D145" s="609">
        <v>19800</v>
      </c>
      <c r="E145" s="610">
        <v>0.1156975900531806</v>
      </c>
      <c r="F145" s="609">
        <v>191740.70607797711</v>
      </c>
      <c r="G145" s="609">
        <v>7613</v>
      </c>
      <c r="H145" s="609">
        <v>10558</v>
      </c>
      <c r="I145" s="609">
        <v>140522209206</v>
      </c>
      <c r="J145" s="609">
        <v>419779345052</v>
      </c>
      <c r="K145" s="608">
        <v>0</v>
      </c>
      <c r="L145" s="608">
        <v>0</v>
      </c>
      <c r="M145" s="609">
        <v>1701031</v>
      </c>
      <c r="N145" s="609">
        <f t="shared" si="9"/>
        <v>1701031</v>
      </c>
      <c r="O145" s="609">
        <f t="shared" si="10"/>
        <v>1701031</v>
      </c>
      <c r="P145" s="609">
        <f t="shared" si="11"/>
        <v>1701031</v>
      </c>
      <c r="Q145" s="611">
        <f>+'_DATA STT PAGOS_'!D147</f>
        <v>3345819.2680000002</v>
      </c>
      <c r="R145" s="611">
        <f>+'_DATA STT PAGOS_'!E147</f>
        <v>278818.27233333333</v>
      </c>
      <c r="S145" s="611">
        <f>+'_DATA STT PAGOS_'!F147</f>
        <v>220266</v>
      </c>
      <c r="T145" s="612">
        <f>+'_DATA STT PAGOS_'!Q147</f>
        <v>3872731.4219999998</v>
      </c>
      <c r="U145" s="613" t="str">
        <f>SUBSTITUTE((IFERROR(VLOOKUP(A145,'DATOS IND MINERO'!$H$2:$L$113,4,0),"No")),"í","I",1)</f>
        <v>No</v>
      </c>
      <c r="V145" s="614">
        <f>IFERROR(VLOOKUP(A145,'DATOS IND MINERO'!$H$2:$L$113,5,0),0)</f>
        <v>0</v>
      </c>
      <c r="W145" s="611">
        <f>+'_DATA STT PAGOS_'!G147</f>
        <v>0</v>
      </c>
      <c r="X145" s="611">
        <f>+'_DATA STT PAGOS_'!J147</f>
        <v>4540206.3380000005</v>
      </c>
      <c r="Y145" s="609">
        <v>75114</v>
      </c>
      <c r="Z145" s="609">
        <v>61507</v>
      </c>
      <c r="AA145" s="609">
        <v>65623</v>
      </c>
      <c r="AB145" s="609">
        <v>55366</v>
      </c>
      <c r="AC145" s="609">
        <v>257610</v>
      </c>
      <c r="AD145" s="609">
        <v>89</v>
      </c>
      <c r="AE145" s="609">
        <v>0</v>
      </c>
      <c r="AF145" s="609">
        <v>56.561</v>
      </c>
      <c r="AG145" s="609">
        <v>60</v>
      </c>
      <c r="AH145" s="609">
        <v>205.56100000000001</v>
      </c>
      <c r="AI145" s="209"/>
    </row>
    <row r="146" spans="1:35" x14ac:dyDescent="0.25">
      <c r="A146" s="201">
        <v>8101</v>
      </c>
      <c r="B146" s="201">
        <v>8201</v>
      </c>
      <c r="C146" s="201" t="s">
        <v>395</v>
      </c>
      <c r="D146" s="609">
        <v>239776</v>
      </c>
      <c r="E146" s="610">
        <v>5.4066772511736513E-2</v>
      </c>
      <c r="F146" s="609">
        <v>2034443.7388179251</v>
      </c>
      <c r="G146" s="609">
        <v>66768</v>
      </c>
      <c r="H146" s="609">
        <v>132100</v>
      </c>
      <c r="I146" s="609">
        <v>3527210024488.001</v>
      </c>
      <c r="J146" s="609">
        <v>8669361607455.001</v>
      </c>
      <c r="K146" s="608">
        <v>0</v>
      </c>
      <c r="L146" s="608">
        <v>0</v>
      </c>
      <c r="M146" s="609">
        <v>41740940</v>
      </c>
      <c r="N146" s="609">
        <f t="shared" si="9"/>
        <v>41740940</v>
      </c>
      <c r="O146" s="609">
        <f t="shared" si="10"/>
        <v>41740940</v>
      </c>
      <c r="P146" s="609">
        <f t="shared" si="11"/>
        <v>41740940</v>
      </c>
      <c r="Q146" s="611">
        <f>+'_DATA STT PAGOS_'!D148</f>
        <v>8138251.3880000003</v>
      </c>
      <c r="R146" s="611">
        <f>+'_DATA STT PAGOS_'!E148</f>
        <v>678187.61566666665</v>
      </c>
      <c r="S146" s="611">
        <f>+'_DATA STT PAGOS_'!F148</f>
        <v>535768</v>
      </c>
      <c r="T146" s="612">
        <f>+'_DATA STT PAGOS_'!Q148</f>
        <v>10483327.197000001</v>
      </c>
      <c r="U146" s="613" t="str">
        <f>SUBSTITUTE((IFERROR(VLOOKUP(A146,'DATOS IND MINERO'!$H$2:$L$113,4,0),"No")),"í","I",1)</f>
        <v>No</v>
      </c>
      <c r="V146" s="614">
        <f>IFERROR(VLOOKUP(A146,'DATOS IND MINERO'!$H$2:$L$113,5,0),0)</f>
        <v>0</v>
      </c>
      <c r="W146" s="611">
        <f>+'_DATA STT PAGOS_'!G148</f>
        <v>0</v>
      </c>
      <c r="X146" s="611">
        <f>+'_DATA STT PAGOS_'!J148</f>
        <v>11027436.349000001</v>
      </c>
      <c r="Y146" s="609">
        <v>2602022</v>
      </c>
      <c r="Z146" s="609">
        <v>1791648</v>
      </c>
      <c r="AA146" s="609">
        <v>2129706</v>
      </c>
      <c r="AB146" s="609">
        <v>1728037</v>
      </c>
      <c r="AC146" s="609">
        <v>8251413</v>
      </c>
      <c r="AD146" s="609">
        <v>296816</v>
      </c>
      <c r="AE146" s="609">
        <v>126006</v>
      </c>
      <c r="AF146" s="609">
        <v>178992.995</v>
      </c>
      <c r="AG146" s="609">
        <v>115084</v>
      </c>
      <c r="AH146" s="609">
        <v>716898.995</v>
      </c>
      <c r="AI146" s="209"/>
    </row>
    <row r="147" spans="1:35" x14ac:dyDescent="0.25">
      <c r="A147" s="201">
        <v>8102</v>
      </c>
      <c r="B147" s="201">
        <v>8207</v>
      </c>
      <c r="C147" s="201" t="s">
        <v>187</v>
      </c>
      <c r="D147" s="609">
        <v>128941</v>
      </c>
      <c r="E147" s="610">
        <v>6.2774807485100656E-2</v>
      </c>
      <c r="F147" s="609">
        <v>463237.51138266659</v>
      </c>
      <c r="G147" s="609">
        <v>43948</v>
      </c>
      <c r="H147" s="609">
        <v>48572</v>
      </c>
      <c r="I147" s="609">
        <v>1074730784049</v>
      </c>
      <c r="J147" s="609">
        <v>2148877734909</v>
      </c>
      <c r="K147" s="608">
        <v>0</v>
      </c>
      <c r="L147" s="608">
        <v>0</v>
      </c>
      <c r="M147" s="609">
        <v>16714067</v>
      </c>
      <c r="N147" s="609">
        <f t="shared" si="9"/>
        <v>16714067</v>
      </c>
      <c r="O147" s="609">
        <f t="shared" si="10"/>
        <v>16714067</v>
      </c>
      <c r="P147" s="609">
        <f t="shared" si="11"/>
        <v>16714067</v>
      </c>
      <c r="Q147" s="611">
        <f>+'_DATA STT PAGOS_'!D149</f>
        <v>12981260.124</v>
      </c>
      <c r="R147" s="611">
        <f>+'_DATA STT PAGOS_'!E149</f>
        <v>1081771.6769999999</v>
      </c>
      <c r="S147" s="611">
        <f>+'_DATA STT PAGOS_'!F149</f>
        <v>854600</v>
      </c>
      <c r="T147" s="612">
        <f>+'_DATA STT PAGOS_'!Q149</f>
        <v>17452607.429000001</v>
      </c>
      <c r="U147" s="613" t="str">
        <f>SUBSTITUTE((IFERROR(VLOOKUP(A147,'DATOS IND MINERO'!$H$2:$L$113,4,0),"No")),"í","I",1)</f>
        <v>No</v>
      </c>
      <c r="V147" s="614">
        <f>IFERROR(VLOOKUP(A147,'DATOS IND MINERO'!$H$2:$L$113,5,0),0)</f>
        <v>0</v>
      </c>
      <c r="W147" s="611">
        <f>+'_DATA STT PAGOS_'!G149</f>
        <v>0</v>
      </c>
      <c r="X147" s="611">
        <f>+'_DATA STT PAGOS_'!J149</f>
        <v>17615868.076000001</v>
      </c>
      <c r="Y147" s="609">
        <v>704133</v>
      </c>
      <c r="Z147" s="609">
        <v>644441</v>
      </c>
      <c r="AA147" s="609">
        <v>638700</v>
      </c>
      <c r="AB147" s="609">
        <v>608376</v>
      </c>
      <c r="AC147" s="609">
        <v>2595650</v>
      </c>
      <c r="AD147" s="609">
        <v>29691</v>
      </c>
      <c r="AE147" s="609">
        <v>20899</v>
      </c>
      <c r="AF147" s="609">
        <v>24405.51</v>
      </c>
      <c r="AG147" s="609">
        <v>21542</v>
      </c>
      <c r="AH147" s="609">
        <v>96537.51</v>
      </c>
      <c r="AI147" s="209"/>
    </row>
    <row r="148" spans="1:35" x14ac:dyDescent="0.25">
      <c r="A148" s="201">
        <v>8103</v>
      </c>
      <c r="B148" s="201">
        <v>8211</v>
      </c>
      <c r="C148" s="201" t="s">
        <v>191</v>
      </c>
      <c r="D148" s="609">
        <v>91963</v>
      </c>
      <c r="E148" s="610">
        <v>5.7106769821395592E-2</v>
      </c>
      <c r="F148" s="609">
        <v>289949.31019035302</v>
      </c>
      <c r="G148" s="609">
        <v>23257</v>
      </c>
      <c r="H148" s="609">
        <v>31206</v>
      </c>
      <c r="I148" s="609">
        <v>763512296059</v>
      </c>
      <c r="J148" s="609">
        <v>1621204095631</v>
      </c>
      <c r="K148" s="608">
        <v>0</v>
      </c>
      <c r="L148" s="608">
        <v>0</v>
      </c>
      <c r="M148" s="609">
        <v>8188859</v>
      </c>
      <c r="N148" s="609">
        <f t="shared" si="9"/>
        <v>8188859</v>
      </c>
      <c r="O148" s="609">
        <f t="shared" si="10"/>
        <v>8188859</v>
      </c>
      <c r="P148" s="609">
        <f t="shared" si="11"/>
        <v>8188859</v>
      </c>
      <c r="Q148" s="611">
        <f>+'_DATA STT PAGOS_'!D150</f>
        <v>9289611.9739999995</v>
      </c>
      <c r="R148" s="611">
        <f>+'_DATA STT PAGOS_'!E150</f>
        <v>774134.33116666658</v>
      </c>
      <c r="S148" s="611">
        <f>+'_DATA STT PAGOS_'!F150</f>
        <v>611566</v>
      </c>
      <c r="T148" s="612">
        <f>+'_DATA STT PAGOS_'!Q150</f>
        <v>12489385.465</v>
      </c>
      <c r="U148" s="613" t="str">
        <f>SUBSTITUTE((IFERROR(VLOOKUP(A148,'DATOS IND MINERO'!$H$2:$L$113,4,0),"No")),"í","I",1)</f>
        <v>No</v>
      </c>
      <c r="V148" s="614">
        <f>IFERROR(VLOOKUP(A148,'DATOS IND MINERO'!$H$2:$L$113,5,0),0)</f>
        <v>0</v>
      </c>
      <c r="W148" s="611">
        <f>+'_DATA STT PAGOS_'!G150</f>
        <v>0</v>
      </c>
      <c r="X148" s="611">
        <f>+'_DATA STT PAGOS_'!J150</f>
        <v>12606216.755999999</v>
      </c>
      <c r="Y148" s="609">
        <v>359038</v>
      </c>
      <c r="Z148" s="609">
        <v>229411</v>
      </c>
      <c r="AA148" s="609">
        <v>264462</v>
      </c>
      <c r="AB148" s="609">
        <v>222993</v>
      </c>
      <c r="AC148" s="609">
        <v>1075904</v>
      </c>
      <c r="AD148" s="609">
        <v>54429</v>
      </c>
      <c r="AE148" s="609">
        <v>27354</v>
      </c>
      <c r="AF148" s="609">
        <v>33568.438000000002</v>
      </c>
      <c r="AG148" s="609">
        <v>26134</v>
      </c>
      <c r="AH148" s="609">
        <v>141485.43799999999</v>
      </c>
      <c r="AI148" s="209"/>
    </row>
    <row r="149" spans="1:35" x14ac:dyDescent="0.25">
      <c r="A149" s="201">
        <v>8104</v>
      </c>
      <c r="B149" s="201">
        <v>8204</v>
      </c>
      <c r="C149" s="201" t="s">
        <v>185</v>
      </c>
      <c r="D149" s="609">
        <v>11873</v>
      </c>
      <c r="E149" s="610">
        <v>0.10778546277724239</v>
      </c>
      <c r="F149" s="609">
        <v>225013.11457950054</v>
      </c>
      <c r="G149" s="609">
        <v>7549</v>
      </c>
      <c r="H149" s="609">
        <v>11244</v>
      </c>
      <c r="I149" s="609">
        <v>104114475276</v>
      </c>
      <c r="J149" s="609">
        <v>263457951659</v>
      </c>
      <c r="K149" s="608">
        <v>0</v>
      </c>
      <c r="L149" s="608">
        <v>0</v>
      </c>
      <c r="M149" s="609">
        <v>750760</v>
      </c>
      <c r="N149" s="609">
        <f t="shared" si="9"/>
        <v>750760</v>
      </c>
      <c r="O149" s="609">
        <f t="shared" si="10"/>
        <v>750760</v>
      </c>
      <c r="P149" s="609">
        <f t="shared" si="11"/>
        <v>750760</v>
      </c>
      <c r="Q149" s="611">
        <f>+'_DATA STT PAGOS_'!D151</f>
        <v>3298965.7820000001</v>
      </c>
      <c r="R149" s="611">
        <f>+'_DATA STT PAGOS_'!E151</f>
        <v>274913.8151666667</v>
      </c>
      <c r="S149" s="611">
        <f>+'_DATA STT PAGOS_'!F151</f>
        <v>217182</v>
      </c>
      <c r="T149" s="612">
        <f>+'_DATA STT PAGOS_'!Q151</f>
        <v>4435282.1849999996</v>
      </c>
      <c r="U149" s="613" t="str">
        <f>SUBSTITUTE((IFERROR(VLOOKUP(A149,'DATOS IND MINERO'!$H$2:$L$113,4,0),"No")),"í","I",1)</f>
        <v>No</v>
      </c>
      <c r="V149" s="614">
        <f>IFERROR(VLOOKUP(A149,'DATOS IND MINERO'!$H$2:$L$113,5,0),0)</f>
        <v>0</v>
      </c>
      <c r="W149" s="611">
        <f>+'_DATA STT PAGOS_'!G151</f>
        <v>0</v>
      </c>
      <c r="X149" s="611">
        <f>+'_DATA STT PAGOS_'!J151</f>
        <v>4476772.3229999999</v>
      </c>
      <c r="Y149" s="609">
        <v>41639</v>
      </c>
      <c r="Z149" s="609">
        <v>23812</v>
      </c>
      <c r="AA149" s="609">
        <v>33778</v>
      </c>
      <c r="AB149" s="609">
        <v>15854</v>
      </c>
      <c r="AC149" s="609">
        <v>115083</v>
      </c>
      <c r="AD149" s="609">
        <v>2732</v>
      </c>
      <c r="AE149" s="609">
        <v>800</v>
      </c>
      <c r="AF149" s="609">
        <v>1854.52</v>
      </c>
      <c r="AG149" s="609">
        <v>1165</v>
      </c>
      <c r="AH149" s="609">
        <v>6551.52</v>
      </c>
      <c r="AI149" s="209"/>
    </row>
    <row r="150" spans="1:35" x14ac:dyDescent="0.25">
      <c r="A150" s="201">
        <v>8105</v>
      </c>
      <c r="B150" s="201">
        <v>8203</v>
      </c>
      <c r="C150" s="201" t="s">
        <v>184</v>
      </c>
      <c r="D150" s="609">
        <v>26746</v>
      </c>
      <c r="E150" s="610">
        <v>0.1033807937198529</v>
      </c>
      <c r="F150" s="609">
        <v>219013.63829622773</v>
      </c>
      <c r="G150" s="609">
        <v>10952</v>
      </c>
      <c r="H150" s="609">
        <v>13734</v>
      </c>
      <c r="I150" s="609">
        <v>190616442941</v>
      </c>
      <c r="J150" s="609">
        <v>336878032052</v>
      </c>
      <c r="K150" s="608">
        <v>0</v>
      </c>
      <c r="L150" s="608">
        <v>0</v>
      </c>
      <c r="M150" s="609">
        <v>1333343</v>
      </c>
      <c r="N150" s="609">
        <f t="shared" si="9"/>
        <v>1333343</v>
      </c>
      <c r="O150" s="609">
        <f t="shared" si="10"/>
        <v>1333343</v>
      </c>
      <c r="P150" s="609">
        <f t="shared" si="11"/>
        <v>1333343</v>
      </c>
      <c r="Q150" s="611">
        <f>+'_DATA STT PAGOS_'!D152</f>
        <v>5029720.5729999999</v>
      </c>
      <c r="R150" s="611">
        <f>+'_DATA STT PAGOS_'!E152</f>
        <v>419143.38108333334</v>
      </c>
      <c r="S150" s="611">
        <f>+'_DATA STT PAGOS_'!F152</f>
        <v>331123</v>
      </c>
      <c r="T150" s="612">
        <f>+'_DATA STT PAGOS_'!Q152</f>
        <v>6736689.8660000004</v>
      </c>
      <c r="U150" s="613" t="str">
        <f>SUBSTITUTE((IFERROR(VLOOKUP(A150,'DATOS IND MINERO'!$H$2:$L$113,4,0),"No")),"í","I",1)</f>
        <v>No</v>
      </c>
      <c r="V150" s="614">
        <f>IFERROR(VLOOKUP(A150,'DATOS IND MINERO'!$H$2:$L$113,5,0),0)</f>
        <v>0</v>
      </c>
      <c r="W150" s="611">
        <f>+'_DATA STT PAGOS_'!G152</f>
        <v>0</v>
      </c>
      <c r="X150" s="611">
        <f>+'_DATA STT PAGOS_'!J152</f>
        <v>6825252.3320000004</v>
      </c>
      <c r="Y150" s="609">
        <v>42088</v>
      </c>
      <c r="Z150" s="609">
        <v>28862</v>
      </c>
      <c r="AA150" s="609">
        <v>35918</v>
      </c>
      <c r="AB150" s="609">
        <v>23358</v>
      </c>
      <c r="AC150" s="609">
        <v>130226</v>
      </c>
      <c r="AD150" s="609">
        <v>8565</v>
      </c>
      <c r="AE150" s="609">
        <v>4162</v>
      </c>
      <c r="AF150" s="609">
        <v>6111.7610000000004</v>
      </c>
      <c r="AG150" s="609">
        <v>4213</v>
      </c>
      <c r="AH150" s="609">
        <v>23051.760999999999</v>
      </c>
      <c r="AI150" s="209"/>
    </row>
    <row r="151" spans="1:35" x14ac:dyDescent="0.25">
      <c r="A151" s="201">
        <v>8106</v>
      </c>
      <c r="B151" s="201">
        <v>8208</v>
      </c>
      <c r="C151" s="201" t="s">
        <v>188</v>
      </c>
      <c r="D151" s="609">
        <v>45407</v>
      </c>
      <c r="E151" s="610">
        <v>8.4159150340831851E-2</v>
      </c>
      <c r="F151" s="609">
        <v>279879.63041327137</v>
      </c>
      <c r="G151" s="609">
        <v>12781</v>
      </c>
      <c r="H151" s="609">
        <v>13520</v>
      </c>
      <c r="I151" s="609">
        <v>205032838099</v>
      </c>
      <c r="J151" s="609">
        <v>308991784557</v>
      </c>
      <c r="K151" s="608">
        <v>0</v>
      </c>
      <c r="L151" s="608">
        <v>0</v>
      </c>
      <c r="M151" s="609">
        <v>2435465</v>
      </c>
      <c r="N151" s="609">
        <f t="shared" si="9"/>
        <v>2435465</v>
      </c>
      <c r="O151" s="609">
        <f t="shared" si="10"/>
        <v>2435465</v>
      </c>
      <c r="P151" s="609">
        <f t="shared" si="11"/>
        <v>2435465</v>
      </c>
      <c r="Q151" s="611">
        <f>+'_DATA STT PAGOS_'!D153</f>
        <v>8419412.023</v>
      </c>
      <c r="R151" s="611">
        <f>+'_DATA STT PAGOS_'!E153</f>
        <v>701617.66858333338</v>
      </c>
      <c r="S151" s="611">
        <f>+'_DATA STT PAGOS_'!F153</f>
        <v>554278</v>
      </c>
      <c r="T151" s="612">
        <f>+'_DATA STT PAGOS_'!Q153</f>
        <v>11319447.148</v>
      </c>
      <c r="U151" s="613" t="str">
        <f>SUBSTITUTE((IFERROR(VLOOKUP(A151,'DATOS IND MINERO'!$H$2:$L$113,4,0),"No")),"í","I",1)</f>
        <v>No</v>
      </c>
      <c r="V151" s="614">
        <f>IFERROR(VLOOKUP(A151,'DATOS IND MINERO'!$H$2:$L$113,5,0),0)</f>
        <v>0</v>
      </c>
      <c r="W151" s="611">
        <f>+'_DATA STT PAGOS_'!G153</f>
        <v>0</v>
      </c>
      <c r="X151" s="611">
        <f>+'_DATA STT PAGOS_'!J153</f>
        <v>11425335.445999999</v>
      </c>
      <c r="Y151" s="609">
        <v>56244</v>
      </c>
      <c r="Z151" s="609">
        <v>38939</v>
      </c>
      <c r="AA151" s="609">
        <v>44641</v>
      </c>
      <c r="AB151" s="609">
        <v>15930</v>
      </c>
      <c r="AC151" s="609">
        <v>155754</v>
      </c>
      <c r="AD151" s="609">
        <v>2996</v>
      </c>
      <c r="AE151" s="609">
        <v>1574</v>
      </c>
      <c r="AF151" s="609">
        <v>1932.7570000000001</v>
      </c>
      <c r="AG151" s="609">
        <v>1426</v>
      </c>
      <c r="AH151" s="609">
        <v>7928.7569999999996</v>
      </c>
      <c r="AI151" s="209"/>
    </row>
    <row r="152" spans="1:35" x14ac:dyDescent="0.25">
      <c r="A152" s="201">
        <v>8107</v>
      </c>
      <c r="B152" s="201">
        <v>8202</v>
      </c>
      <c r="C152" s="201" t="s">
        <v>183</v>
      </c>
      <c r="D152" s="609">
        <v>50189</v>
      </c>
      <c r="E152" s="610">
        <v>6.0533136931933358E-2</v>
      </c>
      <c r="F152" s="609">
        <v>382524.53426892951</v>
      </c>
      <c r="G152" s="609">
        <v>14307</v>
      </c>
      <c r="H152" s="609">
        <v>16076</v>
      </c>
      <c r="I152" s="609">
        <v>405227374914</v>
      </c>
      <c r="J152" s="609">
        <v>708475798942</v>
      </c>
      <c r="K152" s="608">
        <v>0</v>
      </c>
      <c r="L152" s="608">
        <v>0</v>
      </c>
      <c r="M152" s="609">
        <v>4158623</v>
      </c>
      <c r="N152" s="609">
        <f t="shared" si="9"/>
        <v>4158623</v>
      </c>
      <c r="O152" s="609">
        <f t="shared" si="10"/>
        <v>4158623</v>
      </c>
      <c r="P152" s="609">
        <f t="shared" si="11"/>
        <v>4158623</v>
      </c>
      <c r="Q152" s="611">
        <f>+'_DATA STT PAGOS_'!D154</f>
        <v>6274655.7970000003</v>
      </c>
      <c r="R152" s="611">
        <f>+'_DATA STT PAGOS_'!E154</f>
        <v>522887.98308333335</v>
      </c>
      <c r="S152" s="611">
        <f>+'_DATA STT PAGOS_'!F154</f>
        <v>413082</v>
      </c>
      <c r="T152" s="612">
        <f>+'_DATA STT PAGOS_'!Q154</f>
        <v>8432705.9399999995</v>
      </c>
      <c r="U152" s="613" t="str">
        <f>SUBSTITUTE((IFERROR(VLOOKUP(A152,'DATOS IND MINERO'!$H$2:$L$113,4,0),"No")),"í","I",1)</f>
        <v>No</v>
      </c>
      <c r="V152" s="614">
        <f>IFERROR(VLOOKUP(A152,'DATOS IND MINERO'!$H$2:$L$113,5,0),0)</f>
        <v>0</v>
      </c>
      <c r="W152" s="611">
        <f>+'_DATA STT PAGOS_'!G154</f>
        <v>0</v>
      </c>
      <c r="X152" s="611">
        <f>+'_DATA STT PAGOS_'!J154</f>
        <v>8511589.2300000004</v>
      </c>
      <c r="Y152" s="609">
        <v>204519</v>
      </c>
      <c r="Z152" s="609">
        <v>187405</v>
      </c>
      <c r="AA152" s="609">
        <v>182042</v>
      </c>
      <c r="AB152" s="609">
        <v>171506</v>
      </c>
      <c r="AC152" s="609">
        <v>745472</v>
      </c>
      <c r="AD152" s="609">
        <v>4629</v>
      </c>
      <c r="AE152" s="609">
        <v>2979</v>
      </c>
      <c r="AF152" s="609">
        <v>3262.2080000000001</v>
      </c>
      <c r="AG152" s="609">
        <v>2405</v>
      </c>
      <c r="AH152" s="609">
        <v>13275.208000000001</v>
      </c>
      <c r="AI152" s="209"/>
    </row>
    <row r="153" spans="1:35" x14ac:dyDescent="0.25">
      <c r="A153" s="201">
        <v>8108</v>
      </c>
      <c r="B153" s="201">
        <v>8210</v>
      </c>
      <c r="C153" s="201" t="s">
        <v>190</v>
      </c>
      <c r="D153" s="609">
        <v>153516</v>
      </c>
      <c r="E153" s="610">
        <v>5.4195912937074653E-2</v>
      </c>
      <c r="F153" s="609">
        <v>660160.37958753784</v>
      </c>
      <c r="G153" s="609">
        <v>41289</v>
      </c>
      <c r="H153" s="609">
        <v>65174</v>
      </c>
      <c r="I153" s="609">
        <v>1552081431626</v>
      </c>
      <c r="J153" s="609">
        <v>4053263539581</v>
      </c>
      <c r="K153" s="608">
        <v>0</v>
      </c>
      <c r="L153" s="608">
        <v>0</v>
      </c>
      <c r="M153" s="609">
        <v>17350185</v>
      </c>
      <c r="N153" s="609">
        <f t="shared" si="9"/>
        <v>17350185</v>
      </c>
      <c r="O153" s="609">
        <f t="shared" si="10"/>
        <v>17350185</v>
      </c>
      <c r="P153" s="609">
        <f t="shared" si="11"/>
        <v>17350185</v>
      </c>
      <c r="Q153" s="611">
        <f>+'_DATA STT PAGOS_'!D155</f>
        <v>8786614.9480000008</v>
      </c>
      <c r="R153" s="611">
        <f>+'_DATA STT PAGOS_'!E155</f>
        <v>732217.9123333334</v>
      </c>
      <c r="S153" s="611">
        <f>+'_DATA STT PAGOS_'!F155</f>
        <v>578452</v>
      </c>
      <c r="T153" s="612">
        <f>+'_DATA STT PAGOS_'!Q155</f>
        <v>10314776.454</v>
      </c>
      <c r="U153" s="613" t="str">
        <f>SUBSTITUTE((IFERROR(VLOOKUP(A153,'DATOS IND MINERO'!$H$2:$L$113,4,0),"No")),"í","I",1)</f>
        <v>No</v>
      </c>
      <c r="V153" s="614">
        <f>IFERROR(VLOOKUP(A153,'DATOS IND MINERO'!$H$2:$L$113,5,0),0)</f>
        <v>0</v>
      </c>
      <c r="W153" s="611">
        <f>+'_DATA STT PAGOS_'!G155</f>
        <v>0</v>
      </c>
      <c r="X153" s="611">
        <f>+'_DATA STT PAGOS_'!J155</f>
        <v>11903690.157</v>
      </c>
      <c r="Y153" s="609">
        <v>1302836</v>
      </c>
      <c r="Z153" s="609">
        <v>949415</v>
      </c>
      <c r="AA153" s="609">
        <v>1150918</v>
      </c>
      <c r="AB153" s="609">
        <v>916536</v>
      </c>
      <c r="AC153" s="609">
        <v>4319705</v>
      </c>
      <c r="AD153" s="609">
        <v>142314</v>
      </c>
      <c r="AE153" s="609">
        <v>65134</v>
      </c>
      <c r="AF153" s="609">
        <v>99915.736000000004</v>
      </c>
      <c r="AG153" s="609">
        <v>62663</v>
      </c>
      <c r="AH153" s="609">
        <v>370026.73600000003</v>
      </c>
      <c r="AI153" s="209"/>
    </row>
    <row r="154" spans="1:35" x14ac:dyDescent="0.25">
      <c r="A154" s="201">
        <v>8109</v>
      </c>
      <c r="B154" s="201">
        <v>8209</v>
      </c>
      <c r="C154" s="201" t="s">
        <v>189</v>
      </c>
      <c r="D154" s="609">
        <v>14890</v>
      </c>
      <c r="E154" s="610">
        <v>0.12804385687710171</v>
      </c>
      <c r="F154" s="609">
        <v>234774.22011714615</v>
      </c>
      <c r="G154" s="609">
        <v>10266</v>
      </c>
      <c r="H154" s="609">
        <v>12517</v>
      </c>
      <c r="I154" s="609">
        <v>148817553981</v>
      </c>
      <c r="J154" s="609">
        <v>341473385849</v>
      </c>
      <c r="K154" s="608">
        <v>0</v>
      </c>
      <c r="L154" s="608">
        <v>0</v>
      </c>
      <c r="M154" s="609">
        <v>1625727</v>
      </c>
      <c r="N154" s="609">
        <f t="shared" si="9"/>
        <v>1625727</v>
      </c>
      <c r="O154" s="609">
        <f t="shared" si="10"/>
        <v>1625727</v>
      </c>
      <c r="P154" s="609">
        <f t="shared" si="11"/>
        <v>1625727</v>
      </c>
      <c r="Q154" s="611">
        <f>+'_DATA STT PAGOS_'!D156</f>
        <v>4077654.966</v>
      </c>
      <c r="R154" s="611">
        <f>+'_DATA STT PAGOS_'!E156</f>
        <v>339804.58049999998</v>
      </c>
      <c r="S154" s="611">
        <f>+'_DATA STT PAGOS_'!F156</f>
        <v>268446</v>
      </c>
      <c r="T154" s="612">
        <f>+'_DATA STT PAGOS_'!Q156</f>
        <v>5292730.3640000001</v>
      </c>
      <c r="U154" s="613" t="str">
        <f>SUBSTITUTE((IFERROR(VLOOKUP(A154,'DATOS IND MINERO'!$H$2:$L$113,4,0),"No")),"í","I",1)</f>
        <v>No</v>
      </c>
      <c r="V154" s="614">
        <f>IFERROR(VLOOKUP(A154,'DATOS IND MINERO'!$H$2:$L$113,5,0),0)</f>
        <v>0</v>
      </c>
      <c r="W154" s="611">
        <f>+'_DATA STT PAGOS_'!G156</f>
        <v>0</v>
      </c>
      <c r="X154" s="611">
        <f>+'_DATA STT PAGOS_'!J156</f>
        <v>5536463.5829999996</v>
      </c>
      <c r="Y154" s="609">
        <v>51346</v>
      </c>
      <c r="Z154" s="609">
        <v>34350</v>
      </c>
      <c r="AA154" s="609">
        <v>41419</v>
      </c>
      <c r="AB154" s="609">
        <v>24619</v>
      </c>
      <c r="AC154" s="609">
        <v>151734</v>
      </c>
      <c r="AD154" s="609">
        <v>5338</v>
      </c>
      <c r="AE154" s="609">
        <v>2988</v>
      </c>
      <c r="AF154" s="609">
        <v>2995.6610000000001</v>
      </c>
      <c r="AG154" s="609">
        <v>2976</v>
      </c>
      <c r="AH154" s="609">
        <v>14297.661</v>
      </c>
      <c r="AI154" s="209"/>
    </row>
    <row r="155" spans="1:35" x14ac:dyDescent="0.25">
      <c r="A155" s="201">
        <v>8110</v>
      </c>
      <c r="B155" s="201">
        <v>8206</v>
      </c>
      <c r="C155" s="201" t="s">
        <v>186</v>
      </c>
      <c r="D155" s="609">
        <v>158167</v>
      </c>
      <c r="E155" s="610">
        <v>5.0827431137150901E-2</v>
      </c>
      <c r="F155" s="609">
        <v>1103602.8999710786</v>
      </c>
      <c r="G155" s="609">
        <v>41618</v>
      </c>
      <c r="H155" s="609">
        <v>49986</v>
      </c>
      <c r="I155" s="609">
        <v>2316542791142</v>
      </c>
      <c r="J155" s="609">
        <v>4709049336306</v>
      </c>
      <c r="K155" s="608">
        <v>0</v>
      </c>
      <c r="L155" s="608">
        <v>0</v>
      </c>
      <c r="M155" s="609">
        <v>26119904</v>
      </c>
      <c r="N155" s="609">
        <f t="shared" si="9"/>
        <v>26119904</v>
      </c>
      <c r="O155" s="609">
        <f t="shared" si="10"/>
        <v>26119904</v>
      </c>
      <c r="P155" s="609">
        <f t="shared" si="11"/>
        <v>26119904</v>
      </c>
      <c r="Q155" s="611">
        <f>+'_DATA STT PAGOS_'!D157</f>
        <v>8230440.7429999998</v>
      </c>
      <c r="R155" s="611">
        <f>+'_DATA STT PAGOS_'!E157</f>
        <v>685870.06191666669</v>
      </c>
      <c r="S155" s="611">
        <f>+'_DATA STT PAGOS_'!F157</f>
        <v>541837</v>
      </c>
      <c r="T155" s="612">
        <f>+'_DATA STT PAGOS_'!Q157</f>
        <v>11051814.308</v>
      </c>
      <c r="U155" s="613" t="str">
        <f>SUBSTITUTE((IFERROR(VLOOKUP(A155,'DATOS IND MINERO'!$H$2:$L$113,4,0),"No")),"í","I",1)</f>
        <v>No</v>
      </c>
      <c r="V155" s="614">
        <f>IFERROR(VLOOKUP(A155,'DATOS IND MINERO'!$H$2:$L$113,5,0),0)</f>
        <v>0</v>
      </c>
      <c r="W155" s="611">
        <f>+'_DATA STT PAGOS_'!G157</f>
        <v>0</v>
      </c>
      <c r="X155" s="611">
        <f>+'_DATA STT PAGOS_'!J157</f>
        <v>11155197.868999999</v>
      </c>
      <c r="Y155" s="609">
        <v>1488123</v>
      </c>
      <c r="Z155" s="609">
        <v>1346321</v>
      </c>
      <c r="AA155" s="609">
        <v>1413287</v>
      </c>
      <c r="AB155" s="609">
        <v>1386652</v>
      </c>
      <c r="AC155" s="609">
        <v>5634383</v>
      </c>
      <c r="AD155" s="609">
        <v>87248</v>
      </c>
      <c r="AE155" s="609">
        <v>44202</v>
      </c>
      <c r="AF155" s="609">
        <v>70140.434999999998</v>
      </c>
      <c r="AG155" s="609">
        <v>42559</v>
      </c>
      <c r="AH155" s="609">
        <v>244149.435</v>
      </c>
      <c r="AI155" s="209"/>
    </row>
    <row r="156" spans="1:35" x14ac:dyDescent="0.25">
      <c r="A156" s="201">
        <v>8111</v>
      </c>
      <c r="B156" s="201">
        <v>8205</v>
      </c>
      <c r="C156" s="201" t="s">
        <v>396</v>
      </c>
      <c r="D156" s="609">
        <v>59150</v>
      </c>
      <c r="E156" s="610">
        <v>7.9769407200724438E-2</v>
      </c>
      <c r="F156" s="609">
        <v>1492411.0940745575</v>
      </c>
      <c r="G156" s="609">
        <v>20906</v>
      </c>
      <c r="H156" s="609">
        <v>27487</v>
      </c>
      <c r="I156" s="609">
        <v>464854552770</v>
      </c>
      <c r="J156" s="609">
        <v>958735160540</v>
      </c>
      <c r="K156" s="608">
        <v>0</v>
      </c>
      <c r="L156" s="608">
        <v>0</v>
      </c>
      <c r="M156" s="609">
        <v>3996907</v>
      </c>
      <c r="N156" s="609">
        <f t="shared" si="9"/>
        <v>3996907</v>
      </c>
      <c r="O156" s="609">
        <f t="shared" si="10"/>
        <v>3996907</v>
      </c>
      <c r="P156" s="609">
        <f t="shared" si="11"/>
        <v>3996907</v>
      </c>
      <c r="Q156" s="611">
        <f>+'_DATA STT PAGOS_'!D158</f>
        <v>12780587.033</v>
      </c>
      <c r="R156" s="611">
        <f>+'_DATA STT PAGOS_'!E158</f>
        <v>1065048.9194166667</v>
      </c>
      <c r="S156" s="611">
        <f>+'_DATA STT PAGOS_'!F158</f>
        <v>841389</v>
      </c>
      <c r="T156" s="612">
        <f>+'_DATA STT PAGOS_'!Q158</f>
        <v>16957986.750999998</v>
      </c>
      <c r="U156" s="613" t="str">
        <f>SUBSTITUTE((IFERROR(VLOOKUP(A156,'DATOS IND MINERO'!$H$2:$L$113,4,0),"No")),"í","I",1)</f>
        <v>No</v>
      </c>
      <c r="V156" s="614">
        <f>IFERROR(VLOOKUP(A156,'DATOS IND MINERO'!$H$2:$L$113,5,0),0)</f>
        <v>0</v>
      </c>
      <c r="W156" s="611">
        <f>+'_DATA STT PAGOS_'!G158</f>
        <v>0</v>
      </c>
      <c r="X156" s="611">
        <f>+'_DATA STT PAGOS_'!J158</f>
        <v>17341843.792999998</v>
      </c>
      <c r="Y156" s="609">
        <v>194080</v>
      </c>
      <c r="Z156" s="609">
        <v>143730</v>
      </c>
      <c r="AA156" s="609">
        <v>148909</v>
      </c>
      <c r="AB156" s="609">
        <v>143243</v>
      </c>
      <c r="AC156" s="609">
        <v>629962</v>
      </c>
      <c r="AD156" s="609">
        <v>22804</v>
      </c>
      <c r="AE156" s="609">
        <v>11804</v>
      </c>
      <c r="AF156" s="609">
        <v>16116.630999999999</v>
      </c>
      <c r="AG156" s="609">
        <v>11845</v>
      </c>
      <c r="AH156" s="609">
        <v>62569.631000000001</v>
      </c>
      <c r="AI156" s="209"/>
    </row>
    <row r="157" spans="1:35" x14ac:dyDescent="0.25">
      <c r="A157" s="201">
        <v>8112</v>
      </c>
      <c r="B157" s="201">
        <v>8212</v>
      </c>
      <c r="C157" s="201" t="s">
        <v>397</v>
      </c>
      <c r="D157" s="609">
        <v>98055</v>
      </c>
      <c r="E157" s="610">
        <v>3.2155654446715427E-2</v>
      </c>
      <c r="F157" s="609">
        <v>344481.39939684654</v>
      </c>
      <c r="G157" s="609">
        <v>30657</v>
      </c>
      <c r="H157" s="609">
        <v>33083</v>
      </c>
      <c r="I157" s="609">
        <v>833066929590</v>
      </c>
      <c r="J157" s="609">
        <v>1634709231490</v>
      </c>
      <c r="K157" s="608">
        <v>0</v>
      </c>
      <c r="L157" s="608">
        <v>0</v>
      </c>
      <c r="M157" s="609">
        <v>10818986</v>
      </c>
      <c r="N157" s="609">
        <f t="shared" si="9"/>
        <v>10818986</v>
      </c>
      <c r="O157" s="609">
        <f t="shared" si="10"/>
        <v>10818986</v>
      </c>
      <c r="P157" s="609">
        <f t="shared" si="11"/>
        <v>10818986</v>
      </c>
      <c r="Q157" s="611">
        <f>+'_DATA STT PAGOS_'!D159</f>
        <v>8065220.2960000001</v>
      </c>
      <c r="R157" s="611">
        <f>+'_DATA STT PAGOS_'!E159</f>
        <v>672101.69133333338</v>
      </c>
      <c r="S157" s="611">
        <f>+'_DATA STT PAGOS_'!F159</f>
        <v>530960</v>
      </c>
      <c r="T157" s="612">
        <f>+'_DATA STT PAGOS_'!Q159</f>
        <v>10843255.887</v>
      </c>
      <c r="U157" s="613" t="str">
        <f>SUBSTITUTE((IFERROR(VLOOKUP(A157,'DATOS IND MINERO'!$H$2:$L$113,4,0),"No")),"í","I",1)</f>
        <v>No</v>
      </c>
      <c r="V157" s="614">
        <f>IFERROR(VLOOKUP(A157,'DATOS IND MINERO'!$H$2:$L$113,5,0),0)</f>
        <v>0</v>
      </c>
      <c r="W157" s="611">
        <f>+'_DATA STT PAGOS_'!G159</f>
        <v>0</v>
      </c>
      <c r="X157" s="611">
        <f>+'_DATA STT PAGOS_'!J159</f>
        <v>10944689.143999999</v>
      </c>
      <c r="Y157" s="609">
        <v>579654</v>
      </c>
      <c r="Z157" s="609">
        <v>541525</v>
      </c>
      <c r="AA157" s="609">
        <v>537366</v>
      </c>
      <c r="AB157" s="609">
        <v>452701</v>
      </c>
      <c r="AC157" s="609">
        <v>2111246</v>
      </c>
      <c r="AD157" s="609">
        <v>14521</v>
      </c>
      <c r="AE157" s="609">
        <v>6126</v>
      </c>
      <c r="AF157" s="609">
        <v>10072.397999999999</v>
      </c>
      <c r="AG157" s="609">
        <v>6215</v>
      </c>
      <c r="AH157" s="609">
        <v>36934.398000000001</v>
      </c>
      <c r="AI157" s="209"/>
    </row>
    <row r="158" spans="1:35" x14ac:dyDescent="0.25">
      <c r="A158" s="201">
        <v>8201</v>
      </c>
      <c r="B158" s="201">
        <v>8303</v>
      </c>
      <c r="C158" s="201" t="s">
        <v>194</v>
      </c>
      <c r="D158" s="609">
        <v>27152</v>
      </c>
      <c r="E158" s="610">
        <v>0.10524611225739421</v>
      </c>
      <c r="F158" s="609">
        <v>214584.69229508087</v>
      </c>
      <c r="G158" s="609">
        <v>9129</v>
      </c>
      <c r="H158" s="609">
        <v>10688</v>
      </c>
      <c r="I158" s="609">
        <v>204331023493</v>
      </c>
      <c r="J158" s="609">
        <v>372049933584</v>
      </c>
      <c r="K158" s="608">
        <v>0</v>
      </c>
      <c r="L158" s="608">
        <v>0</v>
      </c>
      <c r="M158" s="609">
        <v>1081332</v>
      </c>
      <c r="N158" s="609">
        <f t="shared" si="9"/>
        <v>1081332</v>
      </c>
      <c r="O158" s="609">
        <f t="shared" si="10"/>
        <v>1081332</v>
      </c>
      <c r="P158" s="609">
        <f t="shared" si="11"/>
        <v>1081332</v>
      </c>
      <c r="Q158" s="611">
        <f>+'_DATA STT PAGOS_'!D160</f>
        <v>5271918.1919999998</v>
      </c>
      <c r="R158" s="611">
        <f>+'_DATA STT PAGOS_'!E160</f>
        <v>439326.516</v>
      </c>
      <c r="S158" s="611">
        <f>+'_DATA STT PAGOS_'!F160</f>
        <v>347068</v>
      </c>
      <c r="T158" s="612">
        <f>+'_DATA STT PAGOS_'!Q160</f>
        <v>6933308.2620000001</v>
      </c>
      <c r="U158" s="613" t="str">
        <f>SUBSTITUTE((IFERROR(VLOOKUP(A158,'DATOS IND MINERO'!$H$2:$L$113,4,0),"No")),"í","I",1)</f>
        <v>No</v>
      </c>
      <c r="V158" s="614">
        <f>IFERROR(VLOOKUP(A158,'DATOS IND MINERO'!$H$2:$L$113,5,0),0)</f>
        <v>0</v>
      </c>
      <c r="W158" s="611">
        <f>+'_DATA STT PAGOS_'!G160</f>
        <v>0</v>
      </c>
      <c r="X158" s="611">
        <f>+'_DATA STT PAGOS_'!J160</f>
        <v>7153835.1860000007</v>
      </c>
      <c r="Y158" s="609">
        <v>40247</v>
      </c>
      <c r="Z158" s="609">
        <v>34065</v>
      </c>
      <c r="AA158" s="609">
        <v>39759</v>
      </c>
      <c r="AB158" s="609">
        <v>20068</v>
      </c>
      <c r="AC158" s="609">
        <v>134139</v>
      </c>
      <c r="AD158" s="609">
        <v>450</v>
      </c>
      <c r="AE158" s="609">
        <v>206</v>
      </c>
      <c r="AF158" s="609">
        <v>249.376</v>
      </c>
      <c r="AG158" s="609">
        <v>312</v>
      </c>
      <c r="AH158" s="609">
        <v>1217.376</v>
      </c>
      <c r="AI158" s="209"/>
    </row>
    <row r="159" spans="1:35" x14ac:dyDescent="0.25">
      <c r="A159" s="201">
        <v>8202</v>
      </c>
      <c r="B159" s="201">
        <v>8301</v>
      </c>
      <c r="C159" s="201" t="s">
        <v>192</v>
      </c>
      <c r="D159" s="609">
        <v>38941</v>
      </c>
      <c r="E159" s="610">
        <v>9.1963377789973752E-2</v>
      </c>
      <c r="F159" s="609">
        <v>435790.57159643801</v>
      </c>
      <c r="G159" s="609">
        <v>14026</v>
      </c>
      <c r="H159" s="609">
        <v>17023</v>
      </c>
      <c r="I159" s="609">
        <v>247852919751</v>
      </c>
      <c r="J159" s="609">
        <v>851303930139</v>
      </c>
      <c r="K159" s="608">
        <v>0</v>
      </c>
      <c r="L159" s="608">
        <v>0</v>
      </c>
      <c r="M159" s="609">
        <v>3730562</v>
      </c>
      <c r="N159" s="609">
        <f t="shared" si="9"/>
        <v>3730562</v>
      </c>
      <c r="O159" s="609">
        <f t="shared" si="10"/>
        <v>3730562</v>
      </c>
      <c r="P159" s="609">
        <f t="shared" si="11"/>
        <v>3730562</v>
      </c>
      <c r="Q159" s="611">
        <f>+'_DATA STT PAGOS_'!D161</f>
        <v>7005561.0350000001</v>
      </c>
      <c r="R159" s="611">
        <f>+'_DATA STT PAGOS_'!E161</f>
        <v>583796.75291666668</v>
      </c>
      <c r="S159" s="611">
        <f>+'_DATA STT PAGOS_'!F161</f>
        <v>461199</v>
      </c>
      <c r="T159" s="612">
        <f>+'_DATA STT PAGOS_'!Q161</f>
        <v>9418600.9340000004</v>
      </c>
      <c r="U159" s="613" t="str">
        <f>SUBSTITUTE((IFERROR(VLOOKUP(A159,'DATOS IND MINERO'!$H$2:$L$113,4,0),"No")),"í","I",1)</f>
        <v>No</v>
      </c>
      <c r="V159" s="614">
        <f>IFERROR(VLOOKUP(A159,'DATOS IND MINERO'!$H$2:$L$113,5,0),0)</f>
        <v>0</v>
      </c>
      <c r="W159" s="611">
        <f>+'_DATA STT PAGOS_'!G161</f>
        <v>0</v>
      </c>
      <c r="X159" s="611">
        <f>+'_DATA STT PAGOS_'!J161</f>
        <v>9506707.188000001</v>
      </c>
      <c r="Y159" s="609">
        <v>283929</v>
      </c>
      <c r="Z159" s="609">
        <v>200308</v>
      </c>
      <c r="AA159" s="609">
        <v>285137</v>
      </c>
      <c r="AB159" s="609">
        <v>34891</v>
      </c>
      <c r="AC159" s="609">
        <v>804265</v>
      </c>
      <c r="AD159" s="609">
        <v>4533</v>
      </c>
      <c r="AE159" s="609">
        <v>2440</v>
      </c>
      <c r="AF159" s="609">
        <v>3643.41</v>
      </c>
      <c r="AG159" s="609">
        <v>1814</v>
      </c>
      <c r="AH159" s="609">
        <v>12430.41</v>
      </c>
      <c r="AI159" s="209"/>
    </row>
    <row r="160" spans="1:35" x14ac:dyDescent="0.25">
      <c r="A160" s="201">
        <v>8203</v>
      </c>
      <c r="B160" s="201">
        <v>8305</v>
      </c>
      <c r="C160" s="201" t="s">
        <v>195</v>
      </c>
      <c r="D160" s="609">
        <v>37443</v>
      </c>
      <c r="E160" s="610">
        <v>0.13273246367003461</v>
      </c>
      <c r="F160" s="609">
        <v>375718.73567817587</v>
      </c>
      <c r="G160" s="609">
        <v>14054</v>
      </c>
      <c r="H160" s="609">
        <v>16263</v>
      </c>
      <c r="I160" s="609">
        <v>244159677390</v>
      </c>
      <c r="J160" s="609">
        <v>460901632906</v>
      </c>
      <c r="K160" s="608">
        <v>0</v>
      </c>
      <c r="L160" s="608">
        <v>0</v>
      </c>
      <c r="M160" s="609">
        <v>1545931</v>
      </c>
      <c r="N160" s="609">
        <f t="shared" si="9"/>
        <v>1545931</v>
      </c>
      <c r="O160" s="609">
        <f t="shared" si="10"/>
        <v>1545931</v>
      </c>
      <c r="P160" s="609">
        <f t="shared" si="11"/>
        <v>1545931</v>
      </c>
      <c r="Q160" s="611">
        <f>+'_DATA STT PAGOS_'!D162</f>
        <v>7345175.4790000003</v>
      </c>
      <c r="R160" s="611">
        <f>+'_DATA STT PAGOS_'!E162</f>
        <v>612097.95658333332</v>
      </c>
      <c r="S160" s="611">
        <f>+'_DATA STT PAGOS_'!F162</f>
        <v>483557</v>
      </c>
      <c r="T160" s="612">
        <f>+'_DATA STT PAGOS_'!Q162</f>
        <v>9593301.7449999992</v>
      </c>
      <c r="U160" s="613" t="str">
        <f>SUBSTITUTE((IFERROR(VLOOKUP(A160,'DATOS IND MINERO'!$H$2:$L$113,4,0),"No")),"í","I",1)</f>
        <v>No</v>
      </c>
      <c r="V160" s="614">
        <f>IFERROR(VLOOKUP(A160,'DATOS IND MINERO'!$H$2:$L$113,5,0),0)</f>
        <v>0</v>
      </c>
      <c r="W160" s="611">
        <f>+'_DATA STT PAGOS_'!G162</f>
        <v>0</v>
      </c>
      <c r="X160" s="611">
        <f>+'_DATA STT PAGOS_'!J162</f>
        <v>9970838.7630000003</v>
      </c>
      <c r="Y160" s="609">
        <v>55716</v>
      </c>
      <c r="Z160" s="609">
        <v>42322</v>
      </c>
      <c r="AA160" s="609">
        <v>46454</v>
      </c>
      <c r="AB160" s="609">
        <v>30555</v>
      </c>
      <c r="AC160" s="609">
        <v>175047</v>
      </c>
      <c r="AD160" s="609">
        <v>1245</v>
      </c>
      <c r="AE160" s="609">
        <v>725</v>
      </c>
      <c r="AF160" s="609">
        <v>694.31500000000005</v>
      </c>
      <c r="AG160" s="609">
        <v>563</v>
      </c>
      <c r="AH160" s="609">
        <v>3227.3150000000001</v>
      </c>
      <c r="AI160" s="209"/>
    </row>
    <row r="161" spans="1:35" x14ac:dyDescent="0.25">
      <c r="A161" s="201">
        <v>8204</v>
      </c>
      <c r="B161" s="201">
        <v>8306</v>
      </c>
      <c r="C161" s="201" t="s">
        <v>196</v>
      </c>
      <c r="D161" s="609">
        <v>6355</v>
      </c>
      <c r="E161" s="610">
        <v>0.12293709623046969</v>
      </c>
      <c r="F161" s="609">
        <v>194787.36323880454</v>
      </c>
      <c r="G161" s="609">
        <v>3540</v>
      </c>
      <c r="H161" s="609">
        <v>4666</v>
      </c>
      <c r="I161" s="609">
        <v>62181537666</v>
      </c>
      <c r="J161" s="609">
        <v>158135806860</v>
      </c>
      <c r="K161" s="608">
        <v>0</v>
      </c>
      <c r="L161" s="608">
        <v>0</v>
      </c>
      <c r="M161" s="609">
        <v>382166</v>
      </c>
      <c r="N161" s="609">
        <f t="shared" si="9"/>
        <v>382166</v>
      </c>
      <c r="O161" s="609">
        <f t="shared" si="10"/>
        <v>382166</v>
      </c>
      <c r="P161" s="609">
        <f t="shared" si="11"/>
        <v>382166</v>
      </c>
      <c r="Q161" s="611">
        <f>+'_DATA STT PAGOS_'!D163</f>
        <v>3409832.4440000001</v>
      </c>
      <c r="R161" s="611">
        <f>+'_DATA STT PAGOS_'!E163</f>
        <v>284152.7036666667</v>
      </c>
      <c r="S161" s="611">
        <f>+'_DATA STT PAGOS_'!F163</f>
        <v>224481</v>
      </c>
      <c r="T161" s="612">
        <f>+'_DATA STT PAGOS_'!Q163</f>
        <v>4584336.9460000005</v>
      </c>
      <c r="U161" s="613" t="str">
        <f>SUBSTITUTE((IFERROR(VLOOKUP(A161,'DATOS IND MINERO'!$H$2:$L$113,4,0),"No")),"í","I",1)</f>
        <v>No</v>
      </c>
      <c r="V161" s="614">
        <f>IFERROR(VLOOKUP(A161,'DATOS IND MINERO'!$H$2:$L$113,5,0),0)</f>
        <v>0</v>
      </c>
      <c r="W161" s="611">
        <f>+'_DATA STT PAGOS_'!G163</f>
        <v>0</v>
      </c>
      <c r="X161" s="611">
        <f>+'_DATA STT PAGOS_'!J163</f>
        <v>4627220.9220000003</v>
      </c>
      <c r="Y161" s="609">
        <v>16409</v>
      </c>
      <c r="Z161" s="609">
        <v>10204</v>
      </c>
      <c r="AA161" s="609">
        <v>12186</v>
      </c>
      <c r="AB161" s="609">
        <v>11021</v>
      </c>
      <c r="AC161" s="609">
        <v>49820</v>
      </c>
      <c r="AD161" s="609">
        <v>2049</v>
      </c>
      <c r="AE161" s="609">
        <v>683</v>
      </c>
      <c r="AF161" s="609">
        <v>874.59100000000001</v>
      </c>
      <c r="AG161" s="609">
        <v>1281</v>
      </c>
      <c r="AH161" s="609">
        <v>4887.5910000000003</v>
      </c>
      <c r="AI161" s="209"/>
    </row>
    <row r="162" spans="1:35" x14ac:dyDescent="0.25">
      <c r="A162" s="201">
        <v>8205</v>
      </c>
      <c r="B162" s="201">
        <v>8302</v>
      </c>
      <c r="C162" s="201" t="s">
        <v>193</v>
      </c>
      <c r="D162" s="609">
        <v>33942</v>
      </c>
      <c r="E162" s="610">
        <v>8.4836935618028492E-2</v>
      </c>
      <c r="F162" s="609">
        <v>275271.75260751951</v>
      </c>
      <c r="G162" s="609">
        <v>10083</v>
      </c>
      <c r="H162" s="609">
        <v>10961</v>
      </c>
      <c r="I162" s="609">
        <v>139963682207</v>
      </c>
      <c r="J162" s="609">
        <v>412464330586</v>
      </c>
      <c r="K162" s="608">
        <v>0</v>
      </c>
      <c r="L162" s="608">
        <v>0</v>
      </c>
      <c r="M162" s="609">
        <v>2136173</v>
      </c>
      <c r="N162" s="609">
        <f t="shared" si="9"/>
        <v>2136173</v>
      </c>
      <c r="O162" s="609">
        <f t="shared" si="10"/>
        <v>2136173</v>
      </c>
      <c r="P162" s="609">
        <f t="shared" si="11"/>
        <v>2136173</v>
      </c>
      <c r="Q162" s="611">
        <f>+'_DATA STT PAGOS_'!D164</f>
        <v>5574072.0460000001</v>
      </c>
      <c r="R162" s="611">
        <f>+'_DATA STT PAGOS_'!E164</f>
        <v>464506.00383333332</v>
      </c>
      <c r="S162" s="611">
        <f>+'_DATA STT PAGOS_'!F164</f>
        <v>366960</v>
      </c>
      <c r="T162" s="612">
        <f>+'_DATA STT PAGOS_'!Q164</f>
        <v>7482860.4720000001</v>
      </c>
      <c r="U162" s="613" t="str">
        <f>SUBSTITUTE((IFERROR(VLOOKUP(A162,'DATOS IND MINERO'!$H$2:$L$113,4,0),"No")),"í","I",1)</f>
        <v>No</v>
      </c>
      <c r="V162" s="614">
        <f>IFERROR(VLOOKUP(A162,'DATOS IND MINERO'!$H$2:$L$113,5,0),0)</f>
        <v>0</v>
      </c>
      <c r="W162" s="611">
        <f>+'_DATA STT PAGOS_'!G164</f>
        <v>0</v>
      </c>
      <c r="X162" s="611">
        <f>+'_DATA STT PAGOS_'!J164</f>
        <v>7564569.165</v>
      </c>
      <c r="Y162" s="609">
        <v>77877</v>
      </c>
      <c r="Z162" s="609">
        <v>84406</v>
      </c>
      <c r="AA162" s="609">
        <v>83679</v>
      </c>
      <c r="AB162" s="609">
        <v>25388</v>
      </c>
      <c r="AC162" s="609">
        <v>271350</v>
      </c>
      <c r="AD162" s="609">
        <v>822</v>
      </c>
      <c r="AE162" s="609">
        <v>1262</v>
      </c>
      <c r="AF162" s="609">
        <v>615.32600000000002</v>
      </c>
      <c r="AG162" s="609">
        <v>621</v>
      </c>
      <c r="AH162" s="609">
        <v>3320.326</v>
      </c>
      <c r="AI162" s="209"/>
    </row>
    <row r="163" spans="1:35" x14ac:dyDescent="0.25">
      <c r="A163" s="201">
        <v>8206</v>
      </c>
      <c r="B163" s="201">
        <v>8304</v>
      </c>
      <c r="C163" s="201" t="s">
        <v>30</v>
      </c>
      <c r="D163" s="609">
        <v>22953</v>
      </c>
      <c r="E163" s="610">
        <v>0.1110636110482628</v>
      </c>
      <c r="F163" s="609">
        <v>177523.90985480984</v>
      </c>
      <c r="G163" s="609">
        <v>7832</v>
      </c>
      <c r="H163" s="609">
        <v>9362</v>
      </c>
      <c r="I163" s="609">
        <v>127864814679</v>
      </c>
      <c r="J163" s="609">
        <v>329525520040</v>
      </c>
      <c r="K163" s="608">
        <v>0</v>
      </c>
      <c r="L163" s="608">
        <v>0</v>
      </c>
      <c r="M163" s="609">
        <v>1095892</v>
      </c>
      <c r="N163" s="609">
        <f t="shared" si="9"/>
        <v>1095892</v>
      </c>
      <c r="O163" s="609">
        <f t="shared" si="10"/>
        <v>1095892</v>
      </c>
      <c r="P163" s="609">
        <f t="shared" si="11"/>
        <v>1095892</v>
      </c>
      <c r="Q163" s="611">
        <f>+'_DATA STT PAGOS_'!D165</f>
        <v>4275563.6359999999</v>
      </c>
      <c r="R163" s="611">
        <f>+'_DATA STT PAGOS_'!E165</f>
        <v>356296.96966666664</v>
      </c>
      <c r="S163" s="611">
        <f>+'_DATA STT PAGOS_'!F165</f>
        <v>281475</v>
      </c>
      <c r="T163" s="612">
        <f>+'_DATA STT PAGOS_'!Q165</f>
        <v>5379666.6890000002</v>
      </c>
      <c r="U163" s="613" t="str">
        <f>SUBSTITUTE((IFERROR(VLOOKUP(A163,'DATOS IND MINERO'!$H$2:$L$113,4,0),"No")),"í","I",1)</f>
        <v>No</v>
      </c>
      <c r="V163" s="614">
        <f>IFERROR(VLOOKUP(A163,'DATOS IND MINERO'!$H$2:$L$113,5,0),0)</f>
        <v>0</v>
      </c>
      <c r="W163" s="611">
        <f>+'_DATA STT PAGOS_'!G165</f>
        <v>0</v>
      </c>
      <c r="X163" s="611">
        <f>+'_DATA STT PAGOS_'!J165</f>
        <v>5802088.1219999995</v>
      </c>
      <c r="Y163" s="609">
        <v>45613</v>
      </c>
      <c r="Z163" s="609">
        <v>42521</v>
      </c>
      <c r="AA163" s="609">
        <v>50642</v>
      </c>
      <c r="AB163" s="609">
        <v>13528</v>
      </c>
      <c r="AC163" s="609">
        <v>152304</v>
      </c>
      <c r="AD163" s="609">
        <v>0</v>
      </c>
      <c r="AE163" s="609">
        <v>0</v>
      </c>
      <c r="AF163" s="609">
        <v>0</v>
      </c>
      <c r="AG163" s="609">
        <v>0</v>
      </c>
      <c r="AH163" s="609">
        <v>0</v>
      </c>
      <c r="AI163" s="209"/>
    </row>
    <row r="164" spans="1:35" x14ac:dyDescent="0.25">
      <c r="A164" s="201">
        <v>8207</v>
      </c>
      <c r="B164" s="201">
        <v>8307</v>
      </c>
      <c r="C164" s="201" t="s">
        <v>31</v>
      </c>
      <c r="D164" s="609">
        <v>11105</v>
      </c>
      <c r="E164" s="610">
        <v>0.20081242989444059</v>
      </c>
      <c r="F164" s="609">
        <v>224979.82797015502</v>
      </c>
      <c r="G164" s="609">
        <v>4797</v>
      </c>
      <c r="H164" s="609">
        <v>5401</v>
      </c>
      <c r="I164" s="609">
        <v>87007736820</v>
      </c>
      <c r="J164" s="609">
        <v>156541641283</v>
      </c>
      <c r="K164" s="608">
        <v>0</v>
      </c>
      <c r="L164" s="608">
        <v>0</v>
      </c>
      <c r="M164" s="609">
        <v>524180</v>
      </c>
      <c r="N164" s="609">
        <f t="shared" si="9"/>
        <v>524180</v>
      </c>
      <c r="O164" s="609">
        <f t="shared" si="10"/>
        <v>524180</v>
      </c>
      <c r="P164" s="609">
        <f t="shared" si="11"/>
        <v>524180</v>
      </c>
      <c r="Q164" s="611">
        <f>+'_DATA STT PAGOS_'!D166</f>
        <v>3569508.9929999998</v>
      </c>
      <c r="R164" s="611">
        <f>+'_DATA STT PAGOS_'!E166</f>
        <v>297459.08275</v>
      </c>
      <c r="S164" s="611">
        <f>+'_DATA STT PAGOS_'!F166</f>
        <v>234993</v>
      </c>
      <c r="T164" s="612">
        <f>+'_DATA STT PAGOS_'!Q166</f>
        <v>4799012.7539999997</v>
      </c>
      <c r="U164" s="613" t="str">
        <f>SUBSTITUTE((IFERROR(VLOOKUP(A164,'DATOS IND MINERO'!$H$2:$L$113,4,0),"No")),"í","I",1)</f>
        <v>No</v>
      </c>
      <c r="V164" s="614">
        <f>IFERROR(VLOOKUP(A164,'DATOS IND MINERO'!$H$2:$L$113,5,0),0)</f>
        <v>0</v>
      </c>
      <c r="W164" s="611">
        <f>+'_DATA STT PAGOS_'!G166</f>
        <v>0</v>
      </c>
      <c r="X164" s="611">
        <f>+'_DATA STT PAGOS_'!J166</f>
        <v>4843905.6669999994</v>
      </c>
      <c r="Y164" s="609">
        <v>12392</v>
      </c>
      <c r="Z164" s="609">
        <v>9864</v>
      </c>
      <c r="AA164" s="609">
        <v>11079</v>
      </c>
      <c r="AB164" s="609">
        <v>12914</v>
      </c>
      <c r="AC164" s="609">
        <v>46249</v>
      </c>
      <c r="AD164" s="609">
        <v>320</v>
      </c>
      <c r="AE164" s="609">
        <v>0</v>
      </c>
      <c r="AF164" s="609">
        <v>210.74</v>
      </c>
      <c r="AG164" s="609">
        <v>296</v>
      </c>
      <c r="AH164" s="609">
        <v>826.74</v>
      </c>
      <c r="AI164" s="209"/>
    </row>
    <row r="165" spans="1:35" x14ac:dyDescent="0.25">
      <c r="A165" s="201">
        <v>8301</v>
      </c>
      <c r="B165" s="201">
        <v>8401</v>
      </c>
      <c r="C165" s="201" t="s">
        <v>32</v>
      </c>
      <c r="D165" s="609">
        <v>223751</v>
      </c>
      <c r="E165" s="610">
        <v>8.4530322242590508E-2</v>
      </c>
      <c r="F165" s="609">
        <v>2116584.1356246797</v>
      </c>
      <c r="G165" s="609">
        <v>73464</v>
      </c>
      <c r="H165" s="609">
        <v>101252</v>
      </c>
      <c r="I165" s="609">
        <v>1861937801417</v>
      </c>
      <c r="J165" s="609">
        <v>4615743594349</v>
      </c>
      <c r="K165" s="608">
        <v>0</v>
      </c>
      <c r="L165" s="608">
        <v>0</v>
      </c>
      <c r="M165" s="609">
        <v>23319793</v>
      </c>
      <c r="N165" s="609">
        <f t="shared" si="9"/>
        <v>23319793</v>
      </c>
      <c r="O165" s="609">
        <f t="shared" si="10"/>
        <v>23319793</v>
      </c>
      <c r="P165" s="609">
        <f t="shared" si="11"/>
        <v>23319793</v>
      </c>
      <c r="Q165" s="611">
        <f>+'_DATA STT PAGOS_'!D167</f>
        <v>22073516.274</v>
      </c>
      <c r="R165" s="611">
        <f>+'_DATA STT PAGOS_'!E167</f>
        <v>1839459.6895000001</v>
      </c>
      <c r="S165" s="611">
        <f>+'_DATA STT PAGOS_'!F167</f>
        <v>1453173</v>
      </c>
      <c r="T165" s="612">
        <f>+'_DATA STT PAGOS_'!Q167</f>
        <v>27293486.070999999</v>
      </c>
      <c r="U165" s="613" t="str">
        <f>SUBSTITUTE((IFERROR(VLOOKUP(A165,'DATOS IND MINERO'!$H$2:$L$113,4,0),"No")),"í","I",1)</f>
        <v>No</v>
      </c>
      <c r="V165" s="614">
        <f>IFERROR(VLOOKUP(A165,'DATOS IND MINERO'!$H$2:$L$113,5,0),0)</f>
        <v>0</v>
      </c>
      <c r="W165" s="611">
        <f>+'_DATA STT PAGOS_'!G167</f>
        <v>0</v>
      </c>
      <c r="X165" s="611">
        <f>+'_DATA STT PAGOS_'!J167</f>
        <v>29951667.398000002</v>
      </c>
      <c r="Y165" s="609">
        <v>1134892</v>
      </c>
      <c r="Z165" s="609">
        <v>832808</v>
      </c>
      <c r="AA165" s="609">
        <v>987327</v>
      </c>
      <c r="AB165" s="609">
        <v>815164</v>
      </c>
      <c r="AC165" s="609">
        <v>3770191</v>
      </c>
      <c r="AD165" s="609">
        <v>65117</v>
      </c>
      <c r="AE165" s="609">
        <v>32979</v>
      </c>
      <c r="AF165" s="609">
        <v>43002.595000000001</v>
      </c>
      <c r="AG165" s="609">
        <v>30978</v>
      </c>
      <c r="AH165" s="609">
        <v>172076.595</v>
      </c>
      <c r="AI165" s="209"/>
    </row>
    <row r="166" spans="1:35" x14ac:dyDescent="0.25">
      <c r="A166" s="201">
        <v>8302</v>
      </c>
      <c r="B166" s="201">
        <v>8413</v>
      </c>
      <c r="C166" s="201" t="s">
        <v>206</v>
      </c>
      <c r="D166" s="609">
        <v>4325</v>
      </c>
      <c r="E166" s="610">
        <v>0.14451539562312429</v>
      </c>
      <c r="F166" s="609">
        <v>172494.0867272169</v>
      </c>
      <c r="G166" s="609">
        <v>2581</v>
      </c>
      <c r="H166" s="609">
        <v>3604</v>
      </c>
      <c r="I166" s="609">
        <v>49790345418</v>
      </c>
      <c r="J166" s="609">
        <v>117068123980</v>
      </c>
      <c r="K166" s="608">
        <v>0</v>
      </c>
      <c r="L166" s="608">
        <v>0</v>
      </c>
      <c r="M166" s="609">
        <v>612549</v>
      </c>
      <c r="N166" s="609">
        <f t="shared" si="9"/>
        <v>612549</v>
      </c>
      <c r="O166" s="609">
        <f t="shared" si="10"/>
        <v>612549</v>
      </c>
      <c r="P166" s="609">
        <f t="shared" si="11"/>
        <v>612549</v>
      </c>
      <c r="Q166" s="611">
        <f>+'_DATA STT PAGOS_'!D168</f>
        <v>3361477.7740000002</v>
      </c>
      <c r="R166" s="611">
        <f>+'_DATA STT PAGOS_'!E168</f>
        <v>280123.14783333335</v>
      </c>
      <c r="S166" s="611">
        <f>+'_DATA STT PAGOS_'!F168</f>
        <v>221297</v>
      </c>
      <c r="T166" s="612">
        <f>+'_DATA STT PAGOS_'!Q168</f>
        <v>4519326.0999999996</v>
      </c>
      <c r="U166" s="613" t="str">
        <f>SUBSTITUTE((IFERROR(VLOOKUP(A166,'DATOS IND MINERO'!$H$2:$L$113,4,0),"No")),"í","I",1)</f>
        <v>No</v>
      </c>
      <c r="V166" s="614">
        <f>IFERROR(VLOOKUP(A166,'DATOS IND MINERO'!$H$2:$L$113,5,0),0)</f>
        <v>0</v>
      </c>
      <c r="W166" s="611">
        <f>+'_DATA STT PAGOS_'!G168</f>
        <v>0</v>
      </c>
      <c r="X166" s="611">
        <f>+'_DATA STT PAGOS_'!J168</f>
        <v>4561602.5260000005</v>
      </c>
      <c r="Y166" s="609">
        <v>15688</v>
      </c>
      <c r="Z166" s="609">
        <v>11543</v>
      </c>
      <c r="AA166" s="609">
        <v>13745</v>
      </c>
      <c r="AB166" s="609">
        <v>12425</v>
      </c>
      <c r="AC166" s="609">
        <v>53401</v>
      </c>
      <c r="AD166" s="609">
        <v>787</v>
      </c>
      <c r="AE166" s="609">
        <v>292</v>
      </c>
      <c r="AF166" s="609">
        <v>458.90600000000001</v>
      </c>
      <c r="AG166" s="609">
        <v>313</v>
      </c>
      <c r="AH166" s="609">
        <v>1850.9059999999999</v>
      </c>
      <c r="AI166" s="209"/>
    </row>
    <row r="167" spans="1:35" x14ac:dyDescent="0.25">
      <c r="A167" s="201">
        <v>8303</v>
      </c>
      <c r="B167" s="201">
        <v>8410</v>
      </c>
      <c r="C167" s="201" t="s">
        <v>203</v>
      </c>
      <c r="D167" s="609">
        <v>31102</v>
      </c>
      <c r="E167" s="610">
        <v>0.1035195465766158</v>
      </c>
      <c r="F167" s="609">
        <v>639092.08449291857</v>
      </c>
      <c r="G167" s="609">
        <v>12463</v>
      </c>
      <c r="H167" s="609">
        <v>16348</v>
      </c>
      <c r="I167" s="609">
        <v>191823517511</v>
      </c>
      <c r="J167" s="609">
        <v>600722784408</v>
      </c>
      <c r="K167" s="608">
        <v>0</v>
      </c>
      <c r="L167" s="608">
        <v>0</v>
      </c>
      <c r="M167" s="609">
        <v>2862167</v>
      </c>
      <c r="N167" s="609">
        <f t="shared" si="9"/>
        <v>2862167</v>
      </c>
      <c r="O167" s="609">
        <f t="shared" si="10"/>
        <v>2862167</v>
      </c>
      <c r="P167" s="609">
        <f t="shared" si="11"/>
        <v>2862167</v>
      </c>
      <c r="Q167" s="611">
        <f>+'_DATA STT PAGOS_'!D169</f>
        <v>7366208.1189999999</v>
      </c>
      <c r="R167" s="611">
        <f>+'_DATA STT PAGOS_'!E169</f>
        <v>613850.67658333329</v>
      </c>
      <c r="S167" s="611">
        <f>+'_DATA STT PAGOS_'!F169</f>
        <v>484942</v>
      </c>
      <c r="T167" s="612">
        <f>+'_DATA STT PAGOS_'!Q169</f>
        <v>9903470.9649999999</v>
      </c>
      <c r="U167" s="613" t="str">
        <f>SUBSTITUTE((IFERROR(VLOOKUP(A167,'DATOS IND MINERO'!$H$2:$L$113,4,0),"No")),"í","I",1)</f>
        <v>No</v>
      </c>
      <c r="V167" s="614">
        <f>IFERROR(VLOOKUP(A167,'DATOS IND MINERO'!$H$2:$L$113,5,0),0)</f>
        <v>0</v>
      </c>
      <c r="W167" s="611">
        <f>+'_DATA STT PAGOS_'!G169</f>
        <v>0</v>
      </c>
      <c r="X167" s="611">
        <f>+'_DATA STT PAGOS_'!J169</f>
        <v>9996113.5669999998</v>
      </c>
      <c r="Y167" s="609">
        <v>132968</v>
      </c>
      <c r="Z167" s="609">
        <v>110291</v>
      </c>
      <c r="AA167" s="609">
        <v>121221</v>
      </c>
      <c r="AB167" s="609">
        <v>122013</v>
      </c>
      <c r="AC167" s="609">
        <v>486493</v>
      </c>
      <c r="AD167" s="609">
        <v>2436</v>
      </c>
      <c r="AE167" s="609">
        <v>712</v>
      </c>
      <c r="AF167" s="609">
        <v>1260.028</v>
      </c>
      <c r="AG167" s="609">
        <v>1475</v>
      </c>
      <c r="AH167" s="609">
        <v>5883.0280000000002</v>
      </c>
      <c r="AI167" s="209"/>
    </row>
    <row r="168" spans="1:35" x14ac:dyDescent="0.25">
      <c r="A168" s="201">
        <v>8304</v>
      </c>
      <c r="B168" s="201">
        <v>8403</v>
      </c>
      <c r="C168" s="201" t="s">
        <v>197</v>
      </c>
      <c r="D168" s="609">
        <v>23921</v>
      </c>
      <c r="E168" s="610">
        <v>0.1126259380668065</v>
      </c>
      <c r="F168" s="609">
        <v>336689.26126602088</v>
      </c>
      <c r="G168" s="609">
        <v>10546</v>
      </c>
      <c r="H168" s="609">
        <v>11912</v>
      </c>
      <c r="I168" s="609">
        <v>142954255028</v>
      </c>
      <c r="J168" s="609">
        <v>329896428137</v>
      </c>
      <c r="K168" s="608">
        <v>0</v>
      </c>
      <c r="L168" s="608">
        <v>0</v>
      </c>
      <c r="M168" s="609">
        <v>2410550</v>
      </c>
      <c r="N168" s="609">
        <f t="shared" si="9"/>
        <v>2410550</v>
      </c>
      <c r="O168" s="609">
        <f t="shared" si="10"/>
        <v>2410550</v>
      </c>
      <c r="P168" s="609">
        <f t="shared" si="11"/>
        <v>2410550</v>
      </c>
      <c r="Q168" s="611">
        <f>+'_DATA STT PAGOS_'!D170</f>
        <v>4797427.2120000003</v>
      </c>
      <c r="R168" s="611">
        <f>+'_DATA STT PAGOS_'!E170</f>
        <v>399785.60100000002</v>
      </c>
      <c r="S168" s="611">
        <f>+'_DATA STT PAGOS_'!F170</f>
        <v>315831</v>
      </c>
      <c r="T168" s="612">
        <f>+'_DATA STT PAGOS_'!Q170</f>
        <v>6186522.2850000001</v>
      </c>
      <c r="U168" s="613" t="str">
        <f>SUBSTITUTE((IFERROR(VLOOKUP(A168,'DATOS IND MINERO'!$H$2:$L$113,4,0),"No")),"í","I",1)</f>
        <v>No</v>
      </c>
      <c r="V168" s="614">
        <f>IFERROR(VLOOKUP(A168,'DATOS IND MINERO'!$H$2:$L$113,5,0),0)</f>
        <v>0</v>
      </c>
      <c r="W168" s="611">
        <f>+'_DATA STT PAGOS_'!G170</f>
        <v>0</v>
      </c>
      <c r="X168" s="611">
        <f>+'_DATA STT PAGOS_'!J170</f>
        <v>6513451.2690000003</v>
      </c>
      <c r="Y168" s="609">
        <v>70293</v>
      </c>
      <c r="Z168" s="609">
        <v>57182</v>
      </c>
      <c r="AA168" s="609">
        <v>62116</v>
      </c>
      <c r="AB168" s="609">
        <v>57782</v>
      </c>
      <c r="AC168" s="609">
        <v>247373</v>
      </c>
      <c r="AD168" s="609">
        <v>1081</v>
      </c>
      <c r="AE168" s="609">
        <v>652</v>
      </c>
      <c r="AF168" s="609">
        <v>626.73099999999999</v>
      </c>
      <c r="AG168" s="609">
        <v>594</v>
      </c>
      <c r="AH168" s="609">
        <v>2953.7309999999998</v>
      </c>
      <c r="AI168" s="209"/>
    </row>
    <row r="169" spans="1:35" x14ac:dyDescent="0.25">
      <c r="A169" s="201">
        <v>8305</v>
      </c>
      <c r="B169" s="201">
        <v>8407</v>
      </c>
      <c r="C169" s="201" t="s">
        <v>398</v>
      </c>
      <c r="D169" s="609">
        <v>31122</v>
      </c>
      <c r="E169" s="610">
        <v>0.1216238491587788</v>
      </c>
      <c r="F169" s="609">
        <v>278163.10153540078</v>
      </c>
      <c r="G169" s="609">
        <v>10318</v>
      </c>
      <c r="H169" s="609">
        <v>12946</v>
      </c>
      <c r="I169" s="609">
        <v>162589439015</v>
      </c>
      <c r="J169" s="609">
        <v>861157154136</v>
      </c>
      <c r="K169" s="608">
        <v>0</v>
      </c>
      <c r="L169" s="608">
        <v>0</v>
      </c>
      <c r="M169" s="609">
        <v>2526858</v>
      </c>
      <c r="N169" s="609">
        <f t="shared" si="9"/>
        <v>2526858</v>
      </c>
      <c r="O169" s="609">
        <f t="shared" si="10"/>
        <v>2526858</v>
      </c>
      <c r="P169" s="609">
        <f t="shared" si="11"/>
        <v>2526858</v>
      </c>
      <c r="Q169" s="611">
        <f>+'_DATA STT PAGOS_'!D171</f>
        <v>4046976.179</v>
      </c>
      <c r="R169" s="611">
        <f>+'_DATA STT PAGOS_'!E171</f>
        <v>337248.01491666667</v>
      </c>
      <c r="S169" s="611">
        <f>+'_DATA STT PAGOS_'!F171</f>
        <v>266426</v>
      </c>
      <c r="T169" s="612">
        <f>+'_DATA STT PAGOS_'!Q171</f>
        <v>5440942.4040000001</v>
      </c>
      <c r="U169" s="613" t="str">
        <f>SUBSTITUTE((IFERROR(VLOOKUP(A169,'DATOS IND MINERO'!$H$2:$L$113,4,0),"No")),"í","I",1)</f>
        <v>No</v>
      </c>
      <c r="V169" s="614">
        <f>IFERROR(VLOOKUP(A169,'DATOS IND MINERO'!$H$2:$L$113,5,0),0)</f>
        <v>0</v>
      </c>
      <c r="W169" s="611">
        <f>+'_DATA STT PAGOS_'!G171</f>
        <v>0</v>
      </c>
      <c r="X169" s="611">
        <f>+'_DATA STT PAGOS_'!J171</f>
        <v>5491839.6009999998</v>
      </c>
      <c r="Y169" s="609">
        <v>164914</v>
      </c>
      <c r="Z169" s="609">
        <v>156458</v>
      </c>
      <c r="AA169" s="609">
        <v>168296</v>
      </c>
      <c r="AB169" s="609">
        <v>152319</v>
      </c>
      <c r="AC169" s="609">
        <v>641987</v>
      </c>
      <c r="AD169" s="609">
        <v>998</v>
      </c>
      <c r="AE169" s="609">
        <v>845</v>
      </c>
      <c r="AF169" s="609">
        <v>1612.3219999999999</v>
      </c>
      <c r="AG169" s="609">
        <v>1453</v>
      </c>
      <c r="AH169" s="609">
        <v>4908.3220000000001</v>
      </c>
      <c r="AI169" s="209"/>
    </row>
    <row r="170" spans="1:35" x14ac:dyDescent="0.25">
      <c r="A170" s="201">
        <v>8306</v>
      </c>
      <c r="B170" s="201">
        <v>8405</v>
      </c>
      <c r="C170" s="201" t="s">
        <v>199</v>
      </c>
      <c r="D170" s="609">
        <v>28028</v>
      </c>
      <c r="E170" s="610">
        <v>0.109726027871444</v>
      </c>
      <c r="F170" s="609">
        <v>297938.9639939979</v>
      </c>
      <c r="G170" s="609">
        <v>11792</v>
      </c>
      <c r="H170" s="609">
        <v>13846</v>
      </c>
      <c r="I170" s="609">
        <v>181335561276</v>
      </c>
      <c r="J170" s="609">
        <v>552528284324</v>
      </c>
      <c r="K170" s="608">
        <v>0</v>
      </c>
      <c r="L170" s="608">
        <v>0</v>
      </c>
      <c r="M170" s="609">
        <v>2880602</v>
      </c>
      <c r="N170" s="609">
        <f t="shared" si="9"/>
        <v>2880602</v>
      </c>
      <c r="O170" s="609">
        <f t="shared" si="10"/>
        <v>2880602</v>
      </c>
      <c r="P170" s="609">
        <f t="shared" si="11"/>
        <v>2880602</v>
      </c>
      <c r="Q170" s="611">
        <f>+'_DATA STT PAGOS_'!D172</f>
        <v>4485738.7089999998</v>
      </c>
      <c r="R170" s="611">
        <f>+'_DATA STT PAGOS_'!E172</f>
        <v>373811.5590833333</v>
      </c>
      <c r="S170" s="611">
        <f>+'_DATA STT PAGOS_'!F172</f>
        <v>295311</v>
      </c>
      <c r="T170" s="612">
        <f>+'_DATA STT PAGOS_'!Q172</f>
        <v>5340493.1629999997</v>
      </c>
      <c r="U170" s="613" t="str">
        <f>SUBSTITUTE((IFERROR(VLOOKUP(A170,'DATOS IND MINERO'!$H$2:$L$113,4,0),"No")),"í","I",1)</f>
        <v>No</v>
      </c>
      <c r="V170" s="614">
        <f>IFERROR(VLOOKUP(A170,'DATOS IND MINERO'!$H$2:$L$113,5,0),0)</f>
        <v>0</v>
      </c>
      <c r="W170" s="611">
        <f>+'_DATA STT PAGOS_'!G172</f>
        <v>0</v>
      </c>
      <c r="X170" s="611">
        <f>+'_DATA STT PAGOS_'!J172</f>
        <v>6088613.6359999999</v>
      </c>
      <c r="Y170" s="609">
        <v>183565</v>
      </c>
      <c r="Z170" s="609">
        <v>141737</v>
      </c>
      <c r="AA170" s="609">
        <v>150984</v>
      </c>
      <c r="AB170" s="609">
        <v>102578</v>
      </c>
      <c r="AC170" s="609">
        <v>578864</v>
      </c>
      <c r="AD170" s="609">
        <v>2974</v>
      </c>
      <c r="AE170" s="609">
        <v>1693</v>
      </c>
      <c r="AF170" s="609">
        <v>2235.8850000000002</v>
      </c>
      <c r="AG170" s="609">
        <v>2291</v>
      </c>
      <c r="AH170" s="609">
        <v>9193.8850000000002</v>
      </c>
      <c r="AI170" s="209"/>
    </row>
    <row r="171" spans="1:35" x14ac:dyDescent="0.25">
      <c r="A171" s="201">
        <v>8307</v>
      </c>
      <c r="B171" s="201">
        <v>8406</v>
      </c>
      <c r="C171" s="201" t="s">
        <v>200</v>
      </c>
      <c r="D171" s="609">
        <v>10574</v>
      </c>
      <c r="E171" s="610">
        <v>9.9455475229837678E-2</v>
      </c>
      <c r="F171" s="609">
        <v>106920.91795482142</v>
      </c>
      <c r="G171" s="609">
        <v>3847</v>
      </c>
      <c r="H171" s="609">
        <v>4834</v>
      </c>
      <c r="I171" s="609">
        <v>64940833921</v>
      </c>
      <c r="J171" s="609">
        <v>194454585049</v>
      </c>
      <c r="K171" s="608">
        <v>0</v>
      </c>
      <c r="L171" s="608">
        <v>0</v>
      </c>
      <c r="M171" s="609">
        <v>941402</v>
      </c>
      <c r="N171" s="609">
        <f t="shared" si="9"/>
        <v>941402</v>
      </c>
      <c r="O171" s="609">
        <f t="shared" si="10"/>
        <v>941402</v>
      </c>
      <c r="P171" s="609">
        <f t="shared" si="11"/>
        <v>941402</v>
      </c>
      <c r="Q171" s="611">
        <f>+'_DATA STT PAGOS_'!D173</f>
        <v>2470370.8020000001</v>
      </c>
      <c r="R171" s="611">
        <f>+'_DATA STT PAGOS_'!E173</f>
        <v>205864.2335</v>
      </c>
      <c r="S171" s="611">
        <f>+'_DATA STT PAGOS_'!F173</f>
        <v>162633</v>
      </c>
      <c r="T171" s="612">
        <f>+'_DATA STT PAGOS_'!Q173</f>
        <v>3069321.588</v>
      </c>
      <c r="U171" s="613" t="str">
        <f>SUBSTITUTE((IFERROR(VLOOKUP(A171,'DATOS IND MINERO'!$H$2:$L$113,4,0),"No")),"í","I",1)</f>
        <v>No</v>
      </c>
      <c r="V171" s="614">
        <f>IFERROR(VLOOKUP(A171,'DATOS IND MINERO'!$H$2:$L$113,5,0),0)</f>
        <v>0</v>
      </c>
      <c r="W171" s="611">
        <f>+'_DATA STT PAGOS_'!G173</f>
        <v>0</v>
      </c>
      <c r="X171" s="611">
        <f>+'_DATA STT PAGOS_'!J173</f>
        <v>3352083.1129999999</v>
      </c>
      <c r="Y171" s="609">
        <v>20750</v>
      </c>
      <c r="Z171" s="609">
        <v>18844</v>
      </c>
      <c r="AA171" s="609">
        <v>18779</v>
      </c>
      <c r="AB171" s="609">
        <v>16382</v>
      </c>
      <c r="AC171" s="609">
        <v>74755</v>
      </c>
      <c r="AD171" s="609">
        <v>289</v>
      </c>
      <c r="AE171" s="609">
        <v>289</v>
      </c>
      <c r="AF171" s="609">
        <v>329.97199999999998</v>
      </c>
      <c r="AG171" s="609">
        <v>289</v>
      </c>
      <c r="AH171" s="609">
        <v>1196.972</v>
      </c>
      <c r="AI171" s="209"/>
    </row>
    <row r="172" spans="1:35" x14ac:dyDescent="0.25">
      <c r="A172" s="201">
        <v>8308</v>
      </c>
      <c r="B172" s="201">
        <v>8408</v>
      </c>
      <c r="C172" s="201" t="s">
        <v>201</v>
      </c>
      <c r="D172" s="609">
        <v>4186</v>
      </c>
      <c r="E172" s="610">
        <v>0.1302699543346095</v>
      </c>
      <c r="F172" s="609">
        <v>114986.82786193388</v>
      </c>
      <c r="G172" s="609">
        <v>2519</v>
      </c>
      <c r="H172" s="609">
        <v>3531</v>
      </c>
      <c r="I172" s="609">
        <v>37541050690</v>
      </c>
      <c r="J172" s="609">
        <v>231249392248</v>
      </c>
      <c r="K172" s="608">
        <v>0</v>
      </c>
      <c r="L172" s="608">
        <v>0</v>
      </c>
      <c r="M172" s="609">
        <v>715738</v>
      </c>
      <c r="N172" s="609">
        <f t="shared" si="9"/>
        <v>715738</v>
      </c>
      <c r="O172" s="609">
        <f t="shared" si="10"/>
        <v>715738</v>
      </c>
      <c r="P172" s="609">
        <f t="shared" si="11"/>
        <v>715738</v>
      </c>
      <c r="Q172" s="611">
        <f>+'_DATA STT PAGOS_'!D174</f>
        <v>1730287.077</v>
      </c>
      <c r="R172" s="611">
        <f>+'_DATA STT PAGOS_'!E174</f>
        <v>144190.58975000001</v>
      </c>
      <c r="S172" s="611">
        <f>+'_DATA STT PAGOS_'!F174</f>
        <v>113911</v>
      </c>
      <c r="T172" s="612">
        <f>+'_DATA STT PAGOS_'!Q174</f>
        <v>2259662.0520000001</v>
      </c>
      <c r="U172" s="613" t="str">
        <f>SUBSTITUTE((IFERROR(VLOOKUP(A172,'DATOS IND MINERO'!$H$2:$L$113,4,0),"No")),"í","I",1)</f>
        <v>No</v>
      </c>
      <c r="V172" s="614">
        <f>IFERROR(VLOOKUP(A172,'DATOS IND MINERO'!$H$2:$L$113,5,0),0)</f>
        <v>0</v>
      </c>
      <c r="W172" s="611">
        <f>+'_DATA STT PAGOS_'!G174</f>
        <v>0</v>
      </c>
      <c r="X172" s="611">
        <f>+'_DATA STT PAGOS_'!J174</f>
        <v>2348109.1690000002</v>
      </c>
      <c r="Y172" s="609">
        <v>30447</v>
      </c>
      <c r="Z172" s="609">
        <v>28163</v>
      </c>
      <c r="AA172" s="609">
        <v>33932</v>
      </c>
      <c r="AB172" s="609">
        <v>26969</v>
      </c>
      <c r="AC172" s="609">
        <v>119511</v>
      </c>
      <c r="AD172" s="609">
        <v>1184</v>
      </c>
      <c r="AE172" s="609">
        <v>548</v>
      </c>
      <c r="AF172" s="609">
        <v>821.05600000000004</v>
      </c>
      <c r="AG172" s="609">
        <v>438</v>
      </c>
      <c r="AH172" s="609">
        <v>2991.056</v>
      </c>
      <c r="AI172" s="209"/>
    </row>
    <row r="173" spans="1:35" x14ac:dyDescent="0.25">
      <c r="A173" s="201">
        <v>8309</v>
      </c>
      <c r="B173" s="201">
        <v>8404</v>
      </c>
      <c r="C173" s="201" t="s">
        <v>198</v>
      </c>
      <c r="D173" s="609">
        <v>9986</v>
      </c>
      <c r="E173" s="610">
        <v>0.13482362931863021</v>
      </c>
      <c r="F173" s="609">
        <v>85391.384130054546</v>
      </c>
      <c r="G173" s="609">
        <v>5068</v>
      </c>
      <c r="H173" s="609">
        <v>6377</v>
      </c>
      <c r="I173" s="609">
        <v>85191906446</v>
      </c>
      <c r="J173" s="609">
        <v>371923716190</v>
      </c>
      <c r="K173" s="608">
        <v>0</v>
      </c>
      <c r="L173" s="608">
        <v>0</v>
      </c>
      <c r="M173" s="609">
        <v>882639</v>
      </c>
      <c r="N173" s="609">
        <f t="shared" si="9"/>
        <v>882639</v>
      </c>
      <c r="O173" s="609">
        <f t="shared" si="10"/>
        <v>882639</v>
      </c>
      <c r="P173" s="609">
        <f t="shared" si="11"/>
        <v>882639</v>
      </c>
      <c r="Q173" s="611">
        <f>+'_DATA STT PAGOS_'!D175</f>
        <v>2414465.4989999998</v>
      </c>
      <c r="R173" s="611">
        <f>+'_DATA STT PAGOS_'!E175</f>
        <v>201205.45825</v>
      </c>
      <c r="S173" s="611">
        <f>+'_DATA STT PAGOS_'!F175</f>
        <v>158952</v>
      </c>
      <c r="T173" s="612">
        <f>+'_DATA STT PAGOS_'!Q175</f>
        <v>3209085.9380000001</v>
      </c>
      <c r="U173" s="613" t="str">
        <f>SUBSTITUTE((IFERROR(VLOOKUP(A173,'DATOS IND MINERO'!$H$2:$L$113,4,0),"No")),"í","I",1)</f>
        <v>No</v>
      </c>
      <c r="V173" s="614">
        <f>IFERROR(VLOOKUP(A173,'DATOS IND MINERO'!$H$2:$L$113,5,0),0)</f>
        <v>0</v>
      </c>
      <c r="W173" s="611">
        <f>+'_DATA STT PAGOS_'!G175</f>
        <v>0</v>
      </c>
      <c r="X173" s="611">
        <f>+'_DATA STT PAGOS_'!J175</f>
        <v>3277657.3369999998</v>
      </c>
      <c r="Y173" s="609">
        <v>61655</v>
      </c>
      <c r="Z173" s="609">
        <v>60767</v>
      </c>
      <c r="AA173" s="609">
        <v>64876</v>
      </c>
      <c r="AB173" s="609">
        <v>47296</v>
      </c>
      <c r="AC173" s="609">
        <v>234594</v>
      </c>
      <c r="AD173" s="609">
        <v>121</v>
      </c>
      <c r="AE173" s="609">
        <v>132</v>
      </c>
      <c r="AF173" s="609">
        <v>105.51900000000001</v>
      </c>
      <c r="AG173" s="609">
        <v>100</v>
      </c>
      <c r="AH173" s="609">
        <v>458.51900000000001</v>
      </c>
      <c r="AI173" s="209"/>
    </row>
    <row r="174" spans="1:35" x14ac:dyDescent="0.25">
      <c r="A174" s="201">
        <v>8310</v>
      </c>
      <c r="B174" s="201">
        <v>8411</v>
      </c>
      <c r="C174" s="201" t="s">
        <v>204</v>
      </c>
      <c r="D174" s="609">
        <v>3553</v>
      </c>
      <c r="E174" s="610">
        <v>0.1097114228804065</v>
      </c>
      <c r="F174" s="609">
        <v>40017.485722733545</v>
      </c>
      <c r="G174" s="609">
        <v>2134</v>
      </c>
      <c r="H174" s="609">
        <v>2452</v>
      </c>
      <c r="I174" s="609">
        <v>28437368815</v>
      </c>
      <c r="J174" s="609">
        <v>50255244416</v>
      </c>
      <c r="K174" s="608">
        <v>0</v>
      </c>
      <c r="L174" s="608">
        <v>0</v>
      </c>
      <c r="M174" s="609">
        <v>274307</v>
      </c>
      <c r="N174" s="609">
        <f t="shared" si="9"/>
        <v>274307</v>
      </c>
      <c r="O174" s="609">
        <f t="shared" si="10"/>
        <v>274307</v>
      </c>
      <c r="P174" s="609">
        <f t="shared" si="11"/>
        <v>274307</v>
      </c>
      <c r="Q174" s="611">
        <f>+'_DATA STT PAGOS_'!D176</f>
        <v>2178400.5040000002</v>
      </c>
      <c r="R174" s="611">
        <f>+'_DATA STT PAGOS_'!E176</f>
        <v>181533.37533333336</v>
      </c>
      <c r="S174" s="611">
        <f>+'_DATA STT PAGOS_'!F176</f>
        <v>143411</v>
      </c>
      <c r="T174" s="612">
        <f>+'_DATA STT PAGOS_'!Q176</f>
        <v>2927465.3220000002</v>
      </c>
      <c r="U174" s="613" t="str">
        <f>SUBSTITUTE((IFERROR(VLOOKUP(A174,'DATOS IND MINERO'!$H$2:$L$113,4,0),"No")),"í","I",1)</f>
        <v>No</v>
      </c>
      <c r="V174" s="614">
        <f>IFERROR(VLOOKUP(A174,'DATOS IND MINERO'!$H$2:$L$113,5,0),0)</f>
        <v>0</v>
      </c>
      <c r="W174" s="611">
        <f>+'_DATA STT PAGOS_'!G176</f>
        <v>0</v>
      </c>
      <c r="X174" s="611">
        <f>+'_DATA STT PAGOS_'!J176</f>
        <v>2956133.5700000003</v>
      </c>
      <c r="Y174" s="609">
        <v>4759</v>
      </c>
      <c r="Z174" s="609">
        <v>3258</v>
      </c>
      <c r="AA174" s="609">
        <v>3973</v>
      </c>
      <c r="AB174" s="609">
        <v>2780</v>
      </c>
      <c r="AC174" s="609">
        <v>14770</v>
      </c>
      <c r="AD174" s="609">
        <v>368</v>
      </c>
      <c r="AE174" s="609">
        <v>308</v>
      </c>
      <c r="AF174" s="609">
        <v>177.619</v>
      </c>
      <c r="AG174" s="609">
        <v>347</v>
      </c>
      <c r="AH174" s="609">
        <v>1200.6190000000001</v>
      </c>
      <c r="AI174" s="209"/>
    </row>
    <row r="175" spans="1:35" x14ac:dyDescent="0.25">
      <c r="A175" s="201">
        <v>8311</v>
      </c>
      <c r="B175" s="201">
        <v>8402</v>
      </c>
      <c r="C175" s="201" t="s">
        <v>399</v>
      </c>
      <c r="D175" s="609">
        <v>14671</v>
      </c>
      <c r="E175" s="610">
        <v>0.14740648088545241</v>
      </c>
      <c r="F175" s="609">
        <v>183232.43772753526</v>
      </c>
      <c r="G175" s="609">
        <v>6163</v>
      </c>
      <c r="H175" s="609">
        <v>7863</v>
      </c>
      <c r="I175" s="609">
        <v>94464259218</v>
      </c>
      <c r="J175" s="609">
        <v>406329666082</v>
      </c>
      <c r="K175" s="608">
        <v>0</v>
      </c>
      <c r="L175" s="608">
        <v>0</v>
      </c>
      <c r="M175" s="609">
        <v>1333815</v>
      </c>
      <c r="N175" s="609">
        <f t="shared" si="9"/>
        <v>1333815</v>
      </c>
      <c r="O175" s="609">
        <f t="shared" si="10"/>
        <v>1333815</v>
      </c>
      <c r="P175" s="609">
        <f t="shared" si="11"/>
        <v>1333815</v>
      </c>
      <c r="Q175" s="611">
        <f>+'_DATA STT PAGOS_'!D177</f>
        <v>2634948.3990000002</v>
      </c>
      <c r="R175" s="611">
        <f>+'_DATA STT PAGOS_'!E177</f>
        <v>219579.03325000001</v>
      </c>
      <c r="S175" s="611">
        <f>+'_DATA STT PAGOS_'!F177</f>
        <v>173467</v>
      </c>
      <c r="T175" s="612">
        <f>+'_DATA STT PAGOS_'!Q177</f>
        <v>3479306.7949999999</v>
      </c>
      <c r="U175" s="613" t="str">
        <f>SUBSTITUTE((IFERROR(VLOOKUP(A175,'DATOS IND MINERO'!$H$2:$L$113,4,0),"No")),"í","I",1)</f>
        <v>No</v>
      </c>
      <c r="V175" s="614">
        <f>IFERROR(VLOOKUP(A175,'DATOS IND MINERO'!$H$2:$L$113,5,0),0)</f>
        <v>0</v>
      </c>
      <c r="W175" s="611">
        <f>+'_DATA STT PAGOS_'!G177</f>
        <v>0</v>
      </c>
      <c r="X175" s="611">
        <f>+'_DATA STT PAGOS_'!J177</f>
        <v>3577774.6529999999</v>
      </c>
      <c r="Y175" s="609">
        <v>66433</v>
      </c>
      <c r="Z175" s="609">
        <v>58935</v>
      </c>
      <c r="AA175" s="609">
        <v>62464</v>
      </c>
      <c r="AB175" s="609">
        <v>50922</v>
      </c>
      <c r="AC175" s="609">
        <v>238754</v>
      </c>
      <c r="AD175" s="609">
        <v>475</v>
      </c>
      <c r="AE175" s="609">
        <v>319</v>
      </c>
      <c r="AF175" s="609">
        <v>377.108</v>
      </c>
      <c r="AG175" s="609">
        <v>335</v>
      </c>
      <c r="AH175" s="609">
        <v>1506.1079999999999</v>
      </c>
      <c r="AI175" s="209"/>
    </row>
    <row r="176" spans="1:35" x14ac:dyDescent="0.25">
      <c r="A176" s="201">
        <v>8312</v>
      </c>
      <c r="B176" s="201">
        <v>8412</v>
      </c>
      <c r="C176" s="201" t="s">
        <v>205</v>
      </c>
      <c r="D176" s="609">
        <v>15428</v>
      </c>
      <c r="E176" s="610">
        <v>0.10953767585671589</v>
      </c>
      <c r="F176" s="609">
        <v>236855.66616922079</v>
      </c>
      <c r="G176" s="609">
        <v>8258</v>
      </c>
      <c r="H176" s="609">
        <v>10498</v>
      </c>
      <c r="I176" s="609">
        <v>157659224107</v>
      </c>
      <c r="J176" s="609">
        <v>422588881767</v>
      </c>
      <c r="K176" s="608">
        <v>0</v>
      </c>
      <c r="L176" s="608">
        <v>0</v>
      </c>
      <c r="M176" s="609">
        <v>1537728</v>
      </c>
      <c r="N176" s="609">
        <f t="shared" si="9"/>
        <v>1537728</v>
      </c>
      <c r="O176" s="609">
        <f t="shared" si="10"/>
        <v>1537728</v>
      </c>
      <c r="P176" s="609">
        <f t="shared" si="11"/>
        <v>1537728</v>
      </c>
      <c r="Q176" s="611">
        <f>+'_DATA STT PAGOS_'!D178</f>
        <v>3471860.03</v>
      </c>
      <c r="R176" s="611">
        <f>+'_DATA STT PAGOS_'!E178</f>
        <v>289321.66916666663</v>
      </c>
      <c r="S176" s="611">
        <f>+'_DATA STT PAGOS_'!F178</f>
        <v>228564</v>
      </c>
      <c r="T176" s="612">
        <f>+'_DATA STT PAGOS_'!Q178</f>
        <v>3926504.1669999999</v>
      </c>
      <c r="U176" s="613" t="str">
        <f>SUBSTITUTE((IFERROR(VLOOKUP(A176,'DATOS IND MINERO'!$H$2:$L$113,4,0),"No")),"í","I",1)</f>
        <v>No</v>
      </c>
      <c r="V176" s="614">
        <f>IFERROR(VLOOKUP(A176,'DATOS IND MINERO'!$H$2:$L$113,5,0),0)</f>
        <v>0</v>
      </c>
      <c r="W176" s="611">
        <f>+'_DATA STT PAGOS_'!G178</f>
        <v>0</v>
      </c>
      <c r="X176" s="611">
        <f>+'_DATA STT PAGOS_'!J178</f>
        <v>4711206.0580000002</v>
      </c>
      <c r="Y176" s="609">
        <v>47446</v>
      </c>
      <c r="Z176" s="609">
        <v>39616</v>
      </c>
      <c r="AA176" s="609">
        <v>43340</v>
      </c>
      <c r="AB176" s="609">
        <v>40292</v>
      </c>
      <c r="AC176" s="609">
        <v>170694</v>
      </c>
      <c r="AD176" s="609">
        <v>1794</v>
      </c>
      <c r="AE176" s="609">
        <v>1152</v>
      </c>
      <c r="AF176" s="609">
        <v>1499.723</v>
      </c>
      <c r="AG176" s="609">
        <v>1711</v>
      </c>
      <c r="AH176" s="609">
        <v>6156.723</v>
      </c>
      <c r="AI176" s="209"/>
    </row>
    <row r="177" spans="1:35" x14ac:dyDescent="0.25">
      <c r="A177" s="201">
        <v>8313</v>
      </c>
      <c r="B177" s="201">
        <v>8409</v>
      </c>
      <c r="C177" s="201" t="s">
        <v>202</v>
      </c>
      <c r="D177" s="609">
        <v>22210</v>
      </c>
      <c r="E177" s="610">
        <v>0.12559003045185191</v>
      </c>
      <c r="F177" s="609">
        <v>757522.71198701859</v>
      </c>
      <c r="G177" s="609">
        <v>16260</v>
      </c>
      <c r="H177" s="609">
        <v>20013</v>
      </c>
      <c r="I177" s="609">
        <v>214670502525</v>
      </c>
      <c r="J177" s="609">
        <v>420823222171</v>
      </c>
      <c r="K177" s="608">
        <v>0</v>
      </c>
      <c r="L177" s="608">
        <v>0</v>
      </c>
      <c r="M177" s="609">
        <v>1872520</v>
      </c>
      <c r="N177" s="609">
        <f t="shared" si="9"/>
        <v>1872520</v>
      </c>
      <c r="O177" s="609">
        <f t="shared" si="10"/>
        <v>1872520</v>
      </c>
      <c r="P177" s="609">
        <f t="shared" si="11"/>
        <v>1872520</v>
      </c>
      <c r="Q177" s="611">
        <f>+'_DATA STT PAGOS_'!D179</f>
        <v>6808300.2350000003</v>
      </c>
      <c r="R177" s="611">
        <f>+'_DATA STT PAGOS_'!E179</f>
        <v>567358.35291666666</v>
      </c>
      <c r="S177" s="611">
        <f>+'_DATA STT PAGOS_'!F179</f>
        <v>448213</v>
      </c>
      <c r="T177" s="612">
        <f>+'_DATA STT PAGOS_'!Q179</f>
        <v>8092827.4589999998</v>
      </c>
      <c r="U177" s="613" t="str">
        <f>SUBSTITUTE((IFERROR(VLOOKUP(A177,'DATOS IND MINERO'!$H$2:$L$113,4,0),"No")),"í","I",1)</f>
        <v>No</v>
      </c>
      <c r="V177" s="614">
        <f>IFERROR(VLOOKUP(A177,'DATOS IND MINERO'!$H$2:$L$113,5,0),0)</f>
        <v>0</v>
      </c>
      <c r="W177" s="611">
        <f>+'_DATA STT PAGOS_'!G179</f>
        <v>0</v>
      </c>
      <c r="X177" s="611">
        <f>+'_DATA STT PAGOS_'!J179</f>
        <v>9239145.5779999997</v>
      </c>
      <c r="Y177" s="609">
        <v>55106</v>
      </c>
      <c r="Z177" s="609">
        <v>37943</v>
      </c>
      <c r="AA177" s="609">
        <v>48495</v>
      </c>
      <c r="AB177" s="609">
        <v>36043</v>
      </c>
      <c r="AC177" s="609">
        <v>177587</v>
      </c>
      <c r="AD177" s="609">
        <v>0</v>
      </c>
      <c r="AE177" s="609">
        <v>0</v>
      </c>
      <c r="AF177" s="609">
        <v>0</v>
      </c>
      <c r="AG177" s="609">
        <v>0</v>
      </c>
      <c r="AH177" s="609">
        <v>0</v>
      </c>
      <c r="AI177" s="209"/>
    </row>
    <row r="178" spans="1:35" x14ac:dyDescent="0.25">
      <c r="A178" s="201">
        <v>8314</v>
      </c>
      <c r="B178" s="201">
        <v>8414</v>
      </c>
      <c r="C178" s="201" t="s">
        <v>400</v>
      </c>
      <c r="D178" s="609">
        <v>6804</v>
      </c>
      <c r="E178" s="610">
        <v>0.22111198326961529</v>
      </c>
      <c r="F178" s="609">
        <v>84546.37058426255</v>
      </c>
      <c r="G178" s="609">
        <v>1369</v>
      </c>
      <c r="H178" s="609">
        <v>1687</v>
      </c>
      <c r="I178" s="609">
        <v>211334853275</v>
      </c>
      <c r="J178" s="609">
        <v>308162791331</v>
      </c>
      <c r="K178" s="608">
        <v>0</v>
      </c>
      <c r="L178" s="608">
        <v>0</v>
      </c>
      <c r="M178" s="609">
        <v>671450</v>
      </c>
      <c r="N178" s="609">
        <f t="shared" si="9"/>
        <v>671450</v>
      </c>
      <c r="O178" s="609">
        <f t="shared" si="10"/>
        <v>671450</v>
      </c>
      <c r="P178" s="609">
        <f t="shared" si="11"/>
        <v>671450</v>
      </c>
      <c r="Q178" s="611">
        <f>+'_DATA STT PAGOS_'!D180</f>
        <v>2235463.6519999998</v>
      </c>
      <c r="R178" s="611">
        <f>+'_DATA STT PAGOS_'!E180</f>
        <v>186288.63766666665</v>
      </c>
      <c r="S178" s="611">
        <f>+'_DATA STT PAGOS_'!F180</f>
        <v>147168</v>
      </c>
      <c r="T178" s="612">
        <f>+'_DATA STT PAGOS_'!Q180</f>
        <v>2959172.767</v>
      </c>
      <c r="U178" s="613" t="str">
        <f>SUBSTITUTE((IFERROR(VLOOKUP(A178,'DATOS IND MINERO'!$H$2:$L$113,4,0),"No")),"í","I",1)</f>
        <v>No</v>
      </c>
      <c r="V178" s="614">
        <f>IFERROR(VLOOKUP(A178,'DATOS IND MINERO'!$H$2:$L$113,5,0),0)</f>
        <v>0</v>
      </c>
      <c r="W178" s="611">
        <f>+'_DATA STT PAGOS_'!G180</f>
        <v>0</v>
      </c>
      <c r="X178" s="611">
        <f>+'_DATA STT PAGOS_'!J180</f>
        <v>3035121.3329999996</v>
      </c>
      <c r="Y178" s="609">
        <v>18347</v>
      </c>
      <c r="Z178" s="609">
        <v>17369</v>
      </c>
      <c r="AA178" s="609">
        <v>20138</v>
      </c>
      <c r="AB178" s="609">
        <v>20450</v>
      </c>
      <c r="AC178" s="609">
        <v>76304</v>
      </c>
      <c r="AD178" s="609">
        <v>0</v>
      </c>
      <c r="AE178" s="609">
        <v>0</v>
      </c>
      <c r="AF178" s="609">
        <v>0</v>
      </c>
      <c r="AG178" s="609">
        <v>0</v>
      </c>
      <c r="AH178" s="609">
        <v>0</v>
      </c>
      <c r="AI178" s="209"/>
    </row>
    <row r="179" spans="1:35" x14ac:dyDescent="0.25">
      <c r="A179" s="201">
        <v>9101</v>
      </c>
      <c r="B179" s="201">
        <v>9201</v>
      </c>
      <c r="C179" s="201" t="s">
        <v>215</v>
      </c>
      <c r="D179" s="609">
        <v>309696</v>
      </c>
      <c r="E179" s="610">
        <v>8.5873113468589557E-2</v>
      </c>
      <c r="F179" s="609">
        <v>2501144.6118223332</v>
      </c>
      <c r="G179" s="609">
        <v>89674</v>
      </c>
      <c r="H179" s="609">
        <v>148319</v>
      </c>
      <c r="I179" s="609">
        <v>3672868351169</v>
      </c>
      <c r="J179" s="609">
        <v>9102497666965</v>
      </c>
      <c r="K179" s="608">
        <v>0</v>
      </c>
      <c r="L179" s="608">
        <v>0</v>
      </c>
      <c r="M179" s="609">
        <v>40728594</v>
      </c>
      <c r="N179" s="609">
        <f t="shared" si="9"/>
        <v>40728594</v>
      </c>
      <c r="O179" s="609">
        <f t="shared" si="10"/>
        <v>40728594</v>
      </c>
      <c r="P179" s="609">
        <f t="shared" si="11"/>
        <v>40728594</v>
      </c>
      <c r="Q179" s="611">
        <f>+'_DATA STT PAGOS_'!D181</f>
        <v>25821333.111000001</v>
      </c>
      <c r="R179" s="611">
        <f>+'_DATA STT PAGOS_'!E181</f>
        <v>2151777.7592500001</v>
      </c>
      <c r="S179" s="611">
        <f>+'_DATA STT PAGOS_'!F181</f>
        <v>1699904</v>
      </c>
      <c r="T179" s="612">
        <f>+'_DATA STT PAGOS_'!Q181</f>
        <v>34715395.973999999</v>
      </c>
      <c r="U179" s="613" t="str">
        <f>SUBSTITUTE((IFERROR(VLOOKUP(A179,'DATOS IND MINERO'!$H$2:$L$113,4,0),"No")),"í","I",1)</f>
        <v>No</v>
      </c>
      <c r="V179" s="614">
        <f>IFERROR(VLOOKUP(A179,'DATOS IND MINERO'!$H$2:$L$113,5,0),0)</f>
        <v>0</v>
      </c>
      <c r="W179" s="611">
        <f>+'_DATA STT PAGOS_'!G181</f>
        <v>0</v>
      </c>
      <c r="X179" s="611">
        <f>+'_DATA STT PAGOS_'!J181</f>
        <v>35040141.961000003</v>
      </c>
      <c r="Y179" s="609">
        <v>2537016</v>
      </c>
      <c r="Z179" s="609">
        <v>1865150</v>
      </c>
      <c r="AA179" s="609">
        <v>2215558</v>
      </c>
      <c r="AB179" s="609">
        <v>1681142</v>
      </c>
      <c r="AC179" s="609">
        <v>8298866</v>
      </c>
      <c r="AD179" s="609">
        <v>432497</v>
      </c>
      <c r="AE179" s="609">
        <v>222601</v>
      </c>
      <c r="AF179" s="609">
        <v>298086.641</v>
      </c>
      <c r="AG179" s="609">
        <v>192422</v>
      </c>
      <c r="AH179" s="609">
        <v>1145606.6410000001</v>
      </c>
      <c r="AI179" s="209"/>
    </row>
    <row r="180" spans="1:35" x14ac:dyDescent="0.25">
      <c r="A180" s="201">
        <v>9102</v>
      </c>
      <c r="B180" s="201">
        <v>9209</v>
      </c>
      <c r="C180" s="201" t="s">
        <v>222</v>
      </c>
      <c r="D180" s="609">
        <v>25515</v>
      </c>
      <c r="E180" s="610">
        <v>0.17912621129294981</v>
      </c>
      <c r="F180" s="609">
        <v>279854.95236141369</v>
      </c>
      <c r="G180" s="609">
        <v>14033</v>
      </c>
      <c r="H180" s="609">
        <v>15635</v>
      </c>
      <c r="I180" s="609">
        <v>225048834706</v>
      </c>
      <c r="J180" s="609">
        <v>367480076224</v>
      </c>
      <c r="K180" s="608">
        <v>0</v>
      </c>
      <c r="L180" s="608">
        <v>0</v>
      </c>
      <c r="M180" s="609">
        <v>853469</v>
      </c>
      <c r="N180" s="609">
        <f t="shared" si="9"/>
        <v>853469</v>
      </c>
      <c r="O180" s="609">
        <f t="shared" si="10"/>
        <v>853469</v>
      </c>
      <c r="P180" s="609">
        <f t="shared" si="11"/>
        <v>853469</v>
      </c>
      <c r="Q180" s="611">
        <f>+'_DATA STT PAGOS_'!D182</f>
        <v>6558403.801</v>
      </c>
      <c r="R180" s="611">
        <f>+'_DATA STT PAGOS_'!E182</f>
        <v>546533.65008333337</v>
      </c>
      <c r="S180" s="611">
        <f>+'_DATA STT PAGOS_'!F182</f>
        <v>431762</v>
      </c>
      <c r="T180" s="612">
        <f>+'_DATA STT PAGOS_'!Q182</f>
        <v>8475223.8450000007</v>
      </c>
      <c r="U180" s="613" t="str">
        <f>SUBSTITUTE((IFERROR(VLOOKUP(A180,'DATOS IND MINERO'!$H$2:$L$113,4,0),"No")),"í","I",1)</f>
        <v>No</v>
      </c>
      <c r="V180" s="614">
        <f>IFERROR(VLOOKUP(A180,'DATOS IND MINERO'!$H$2:$L$113,5,0),0)</f>
        <v>0</v>
      </c>
      <c r="W180" s="611">
        <f>+'_DATA STT PAGOS_'!G182</f>
        <v>0</v>
      </c>
      <c r="X180" s="611">
        <f>+'_DATA STT PAGOS_'!J182</f>
        <v>8904532.2379999999</v>
      </c>
      <c r="Y180" s="609">
        <v>28024</v>
      </c>
      <c r="Z180" s="609">
        <v>20623</v>
      </c>
      <c r="AA180" s="609">
        <v>24996</v>
      </c>
      <c r="AB180" s="609">
        <v>18890</v>
      </c>
      <c r="AC180" s="609">
        <v>92533</v>
      </c>
      <c r="AD180" s="609">
        <v>814</v>
      </c>
      <c r="AE180" s="609">
        <v>744</v>
      </c>
      <c r="AF180" s="609">
        <v>587.10199999999998</v>
      </c>
      <c r="AG180" s="609">
        <v>672</v>
      </c>
      <c r="AH180" s="609">
        <v>2817.1019999999999</v>
      </c>
      <c r="AI180" s="209"/>
    </row>
    <row r="181" spans="1:35" x14ac:dyDescent="0.25">
      <c r="A181" s="201">
        <v>9103</v>
      </c>
      <c r="B181" s="201">
        <v>9204</v>
      </c>
      <c r="C181" s="201" t="s">
        <v>217</v>
      </c>
      <c r="D181" s="609">
        <v>18068</v>
      </c>
      <c r="E181" s="610">
        <v>0.1480947838943408</v>
      </c>
      <c r="F181" s="609">
        <v>438066.0251181557</v>
      </c>
      <c r="G181" s="609">
        <v>9751</v>
      </c>
      <c r="H181" s="609">
        <v>13829</v>
      </c>
      <c r="I181" s="609">
        <v>222205688813</v>
      </c>
      <c r="J181" s="609">
        <v>653246234260</v>
      </c>
      <c r="K181" s="608">
        <v>0</v>
      </c>
      <c r="L181" s="608">
        <v>0</v>
      </c>
      <c r="M181" s="609">
        <v>2016417</v>
      </c>
      <c r="N181" s="609">
        <f t="shared" si="9"/>
        <v>2016417</v>
      </c>
      <c r="O181" s="609">
        <f t="shared" si="10"/>
        <v>2016417</v>
      </c>
      <c r="P181" s="609">
        <f t="shared" si="11"/>
        <v>2016417</v>
      </c>
      <c r="Q181" s="611">
        <f>+'_DATA STT PAGOS_'!D183</f>
        <v>4234723.5530000003</v>
      </c>
      <c r="R181" s="611">
        <f>+'_DATA STT PAGOS_'!E183</f>
        <v>352893.62941666669</v>
      </c>
      <c r="S181" s="611">
        <f>+'_DATA STT PAGOS_'!F183</f>
        <v>278786</v>
      </c>
      <c r="T181" s="612">
        <f>+'_DATA STT PAGOS_'!Q183</f>
        <v>4886561.432</v>
      </c>
      <c r="U181" s="613" t="str">
        <f>SUBSTITUTE((IFERROR(VLOOKUP(A181,'DATOS IND MINERO'!$H$2:$L$113,4,0),"No")),"í","I",1)</f>
        <v>No</v>
      </c>
      <c r="V181" s="614">
        <f>IFERROR(VLOOKUP(A181,'DATOS IND MINERO'!$H$2:$L$113,5,0),0)</f>
        <v>0</v>
      </c>
      <c r="W181" s="611">
        <f>+'_DATA STT PAGOS_'!G183</f>
        <v>0</v>
      </c>
      <c r="X181" s="611">
        <f>+'_DATA STT PAGOS_'!J183</f>
        <v>5746579.7480000006</v>
      </c>
      <c r="Y181" s="609">
        <v>136846</v>
      </c>
      <c r="Z181" s="609">
        <v>92418</v>
      </c>
      <c r="AA181" s="609">
        <v>105723</v>
      </c>
      <c r="AB181" s="609">
        <v>96786</v>
      </c>
      <c r="AC181" s="609">
        <v>431773</v>
      </c>
      <c r="AD181" s="609">
        <v>1472</v>
      </c>
      <c r="AE181" s="609">
        <v>613</v>
      </c>
      <c r="AF181" s="609">
        <v>936.024</v>
      </c>
      <c r="AG181" s="609">
        <v>881</v>
      </c>
      <c r="AH181" s="609">
        <v>3902.0239999999999</v>
      </c>
      <c r="AI181" s="209"/>
    </row>
    <row r="182" spans="1:35" x14ac:dyDescent="0.25">
      <c r="A182" s="201">
        <v>9104</v>
      </c>
      <c r="B182" s="201">
        <v>9218</v>
      </c>
      <c r="C182" s="201" t="s">
        <v>228</v>
      </c>
      <c r="D182" s="609">
        <v>7873</v>
      </c>
      <c r="E182" s="610">
        <v>0.15219255672629961</v>
      </c>
      <c r="F182" s="609">
        <v>83184.816671923152</v>
      </c>
      <c r="G182" s="609">
        <v>3342</v>
      </c>
      <c r="H182" s="609">
        <v>5620</v>
      </c>
      <c r="I182" s="609">
        <v>69724218748</v>
      </c>
      <c r="J182" s="609">
        <v>142337949748</v>
      </c>
      <c r="K182" s="608">
        <v>0</v>
      </c>
      <c r="L182" s="608">
        <v>0</v>
      </c>
      <c r="M182" s="609">
        <v>363356</v>
      </c>
      <c r="N182" s="609">
        <f t="shared" si="9"/>
        <v>363356</v>
      </c>
      <c r="O182" s="609">
        <f t="shared" si="10"/>
        <v>363356</v>
      </c>
      <c r="P182" s="609">
        <f t="shared" si="11"/>
        <v>363356</v>
      </c>
      <c r="Q182" s="611">
        <f>+'_DATA STT PAGOS_'!D184</f>
        <v>2499595.0580000002</v>
      </c>
      <c r="R182" s="611">
        <f>+'_DATA STT PAGOS_'!E184</f>
        <v>208299.58816666668</v>
      </c>
      <c r="S182" s="611">
        <f>+'_DATA STT PAGOS_'!F184</f>
        <v>164557</v>
      </c>
      <c r="T182" s="612">
        <f>+'_DATA STT PAGOS_'!Q184</f>
        <v>3144135.6150000002</v>
      </c>
      <c r="U182" s="613" t="str">
        <f>SUBSTITUTE((IFERROR(VLOOKUP(A182,'DATOS IND MINERO'!$H$2:$L$113,4,0),"No")),"í","I",1)</f>
        <v>No</v>
      </c>
      <c r="V182" s="614">
        <f>IFERROR(VLOOKUP(A182,'DATOS IND MINERO'!$H$2:$L$113,5,0),0)</f>
        <v>0</v>
      </c>
      <c r="W182" s="611">
        <f>+'_DATA STT PAGOS_'!G184</f>
        <v>0</v>
      </c>
      <c r="X182" s="611">
        <f>+'_DATA STT PAGOS_'!J184</f>
        <v>3391526.2510000002</v>
      </c>
      <c r="Y182" s="609">
        <v>14389</v>
      </c>
      <c r="Z182" s="609">
        <v>7648</v>
      </c>
      <c r="AA182" s="609">
        <v>9682</v>
      </c>
      <c r="AB182" s="609">
        <v>6824</v>
      </c>
      <c r="AC182" s="609">
        <v>38543</v>
      </c>
      <c r="AD182" s="609">
        <v>991</v>
      </c>
      <c r="AE182" s="609">
        <v>541</v>
      </c>
      <c r="AF182" s="609">
        <v>989.92</v>
      </c>
      <c r="AG182" s="609">
        <v>277</v>
      </c>
      <c r="AH182" s="609">
        <v>2798.92</v>
      </c>
      <c r="AI182" s="209"/>
    </row>
    <row r="183" spans="1:35" x14ac:dyDescent="0.25">
      <c r="A183" s="201">
        <v>9105</v>
      </c>
      <c r="B183" s="201">
        <v>9203</v>
      </c>
      <c r="C183" s="201" t="s">
        <v>216</v>
      </c>
      <c r="D183" s="609">
        <v>25488</v>
      </c>
      <c r="E183" s="610">
        <v>0.1441236436286287</v>
      </c>
      <c r="F183" s="609">
        <v>255038.96670476484</v>
      </c>
      <c r="G183" s="609">
        <v>11680</v>
      </c>
      <c r="H183" s="609">
        <v>14388</v>
      </c>
      <c r="I183" s="609">
        <v>252493196002</v>
      </c>
      <c r="J183" s="609">
        <v>585130575667</v>
      </c>
      <c r="K183" s="608">
        <v>0</v>
      </c>
      <c r="L183" s="608">
        <v>0</v>
      </c>
      <c r="M183" s="609">
        <v>1924617</v>
      </c>
      <c r="N183" s="609">
        <f t="shared" si="9"/>
        <v>1924617</v>
      </c>
      <c r="O183" s="609">
        <f t="shared" si="10"/>
        <v>1924617</v>
      </c>
      <c r="P183" s="609">
        <f t="shared" si="11"/>
        <v>1924617</v>
      </c>
      <c r="Q183" s="611">
        <f>+'_DATA STT PAGOS_'!D185</f>
        <v>4946432.2539999997</v>
      </c>
      <c r="R183" s="611">
        <f>+'_DATA STT PAGOS_'!E185</f>
        <v>412202.68783333333</v>
      </c>
      <c r="S183" s="611">
        <f>+'_DATA STT PAGOS_'!F185</f>
        <v>325640</v>
      </c>
      <c r="T183" s="612">
        <f>+'_DATA STT PAGOS_'!Q185</f>
        <v>6319236.2570000002</v>
      </c>
      <c r="U183" s="613" t="str">
        <f>SUBSTITUTE((IFERROR(VLOOKUP(A183,'DATOS IND MINERO'!$H$2:$L$113,4,0),"No")),"í","I",1)</f>
        <v>No</v>
      </c>
      <c r="V183" s="614">
        <f>IFERROR(VLOOKUP(A183,'DATOS IND MINERO'!$H$2:$L$113,5,0),0)</f>
        <v>0</v>
      </c>
      <c r="W183" s="611">
        <f>+'_DATA STT PAGOS_'!G185</f>
        <v>0</v>
      </c>
      <c r="X183" s="611">
        <f>+'_DATA STT PAGOS_'!J185</f>
        <v>6715666.9890000001</v>
      </c>
      <c r="Y183" s="609">
        <v>102318</v>
      </c>
      <c r="Z183" s="609">
        <v>81277</v>
      </c>
      <c r="AA183" s="609">
        <v>87132</v>
      </c>
      <c r="AB183" s="609">
        <v>67754</v>
      </c>
      <c r="AC183" s="609">
        <v>338481</v>
      </c>
      <c r="AD183" s="609">
        <v>394</v>
      </c>
      <c r="AE183" s="609">
        <v>259</v>
      </c>
      <c r="AF183" s="609">
        <v>244.87700000000001</v>
      </c>
      <c r="AG183" s="609">
        <v>240</v>
      </c>
      <c r="AH183" s="609">
        <v>1137.877</v>
      </c>
      <c r="AI183" s="209"/>
    </row>
    <row r="184" spans="1:35" x14ac:dyDescent="0.25">
      <c r="A184" s="201">
        <v>9106</v>
      </c>
      <c r="B184" s="201">
        <v>9207</v>
      </c>
      <c r="C184" s="201" t="s">
        <v>220</v>
      </c>
      <c r="D184" s="609">
        <v>12568</v>
      </c>
      <c r="E184" s="610">
        <v>0.1675842073730385</v>
      </c>
      <c r="F184" s="609">
        <v>80609.075922152479</v>
      </c>
      <c r="G184" s="609">
        <v>7403</v>
      </c>
      <c r="H184" s="609">
        <v>7942</v>
      </c>
      <c r="I184" s="609">
        <v>108447039912</v>
      </c>
      <c r="J184" s="609">
        <v>180910157985</v>
      </c>
      <c r="K184" s="608">
        <v>0</v>
      </c>
      <c r="L184" s="608">
        <v>0</v>
      </c>
      <c r="M184" s="609">
        <v>600698</v>
      </c>
      <c r="N184" s="609">
        <f t="shared" si="9"/>
        <v>600698</v>
      </c>
      <c r="O184" s="609">
        <f t="shared" si="10"/>
        <v>600698</v>
      </c>
      <c r="P184" s="609">
        <f t="shared" si="11"/>
        <v>600698</v>
      </c>
      <c r="Q184" s="611">
        <f>+'_DATA STT PAGOS_'!D186</f>
        <v>3499945.0150000001</v>
      </c>
      <c r="R184" s="611">
        <f>+'_DATA STT PAGOS_'!E186</f>
        <v>291662.08458333334</v>
      </c>
      <c r="S184" s="611">
        <f>+'_DATA STT PAGOS_'!F186</f>
        <v>230413</v>
      </c>
      <c r="T184" s="612">
        <f>+'_DATA STT PAGOS_'!Q186</f>
        <v>4501405.5650000004</v>
      </c>
      <c r="U184" s="613" t="str">
        <f>SUBSTITUTE((IFERROR(VLOOKUP(A184,'DATOS IND MINERO'!$H$2:$L$113,4,0),"No")),"í","I",1)</f>
        <v>No</v>
      </c>
      <c r="V184" s="614">
        <f>IFERROR(VLOOKUP(A184,'DATOS IND MINERO'!$H$2:$L$113,5,0),0)</f>
        <v>0</v>
      </c>
      <c r="W184" s="611">
        <f>+'_DATA STT PAGOS_'!G186</f>
        <v>0</v>
      </c>
      <c r="X184" s="611">
        <f>+'_DATA STT PAGOS_'!J186</f>
        <v>4750550.0720000006</v>
      </c>
      <c r="Y184" s="609">
        <v>14985</v>
      </c>
      <c r="Z184" s="609">
        <v>11850</v>
      </c>
      <c r="AA184" s="609">
        <v>11843</v>
      </c>
      <c r="AB184" s="609">
        <v>11887</v>
      </c>
      <c r="AC184" s="609">
        <v>50565</v>
      </c>
      <c r="AD184" s="609">
        <v>1446</v>
      </c>
      <c r="AE184" s="609">
        <v>797</v>
      </c>
      <c r="AF184" s="609">
        <v>721.49199999999996</v>
      </c>
      <c r="AG184" s="609">
        <v>1431</v>
      </c>
      <c r="AH184" s="609">
        <v>4395.4920000000002</v>
      </c>
      <c r="AI184" s="209"/>
    </row>
    <row r="185" spans="1:35" x14ac:dyDescent="0.25">
      <c r="A185" s="201">
        <v>9107</v>
      </c>
      <c r="B185" s="201">
        <v>9212</v>
      </c>
      <c r="C185" s="201" t="s">
        <v>224</v>
      </c>
      <c r="D185" s="609">
        <v>15076</v>
      </c>
      <c r="E185" s="610">
        <v>0.12754527656973999</v>
      </c>
      <c r="F185" s="609">
        <v>220514.61548692032</v>
      </c>
      <c r="G185" s="609">
        <v>7308</v>
      </c>
      <c r="H185" s="609">
        <v>9348</v>
      </c>
      <c r="I185" s="609">
        <v>165902799791</v>
      </c>
      <c r="J185" s="609">
        <v>359821396472</v>
      </c>
      <c r="K185" s="608">
        <v>0</v>
      </c>
      <c r="L185" s="608">
        <v>0</v>
      </c>
      <c r="M185" s="609">
        <v>1060795</v>
      </c>
      <c r="N185" s="609">
        <f t="shared" si="9"/>
        <v>1060795</v>
      </c>
      <c r="O185" s="609">
        <f t="shared" si="10"/>
        <v>1060795</v>
      </c>
      <c r="P185" s="609">
        <f t="shared" si="11"/>
        <v>1060795</v>
      </c>
      <c r="Q185" s="611">
        <f>+'_DATA STT PAGOS_'!D187</f>
        <v>3840684.423</v>
      </c>
      <c r="R185" s="611">
        <f>+'_DATA STT PAGOS_'!E187</f>
        <v>320057.03525000002</v>
      </c>
      <c r="S185" s="611">
        <f>+'_DATA STT PAGOS_'!F187</f>
        <v>252845</v>
      </c>
      <c r="T185" s="612">
        <f>+'_DATA STT PAGOS_'!Q187</f>
        <v>4790820.5520000001</v>
      </c>
      <c r="U185" s="613" t="str">
        <f>SUBSTITUTE((IFERROR(VLOOKUP(A185,'DATOS IND MINERO'!$H$2:$L$113,4,0),"No")),"í","I",1)</f>
        <v>No</v>
      </c>
      <c r="V185" s="614">
        <f>IFERROR(VLOOKUP(A185,'DATOS IND MINERO'!$H$2:$L$113,5,0),0)</f>
        <v>0</v>
      </c>
      <c r="W185" s="611">
        <f>+'_DATA STT PAGOS_'!G187</f>
        <v>0</v>
      </c>
      <c r="X185" s="611">
        <f>+'_DATA STT PAGOS_'!J187</f>
        <v>5211837.5049999999</v>
      </c>
      <c r="Y185" s="609">
        <v>49532</v>
      </c>
      <c r="Z185" s="609">
        <v>52460</v>
      </c>
      <c r="AA185" s="609">
        <v>46536</v>
      </c>
      <c r="AB185" s="609">
        <v>37785</v>
      </c>
      <c r="AC185" s="609">
        <v>186313</v>
      </c>
      <c r="AD185" s="609">
        <v>706</v>
      </c>
      <c r="AE185" s="609">
        <v>718</v>
      </c>
      <c r="AF185" s="609">
        <v>890.63800000000003</v>
      </c>
      <c r="AG185" s="609">
        <v>1141</v>
      </c>
      <c r="AH185" s="609">
        <v>3455.6379999999999</v>
      </c>
      <c r="AI185" s="209"/>
    </row>
    <row r="186" spans="1:35" x14ac:dyDescent="0.25">
      <c r="A186" s="201">
        <v>9108</v>
      </c>
      <c r="B186" s="201">
        <v>9205</v>
      </c>
      <c r="C186" s="201" t="s">
        <v>218</v>
      </c>
      <c r="D186" s="609">
        <v>41884</v>
      </c>
      <c r="E186" s="610">
        <v>8.8133530560989923E-2</v>
      </c>
      <c r="F186" s="609">
        <v>401684.88394269033</v>
      </c>
      <c r="G186" s="609">
        <v>17331</v>
      </c>
      <c r="H186" s="609">
        <v>20857</v>
      </c>
      <c r="I186" s="609">
        <v>436605194836</v>
      </c>
      <c r="J186" s="609">
        <v>928775076081</v>
      </c>
      <c r="K186" s="608">
        <v>0</v>
      </c>
      <c r="L186" s="608">
        <v>0</v>
      </c>
      <c r="M186" s="609">
        <v>5171342</v>
      </c>
      <c r="N186" s="609">
        <f t="shared" si="9"/>
        <v>5171342</v>
      </c>
      <c r="O186" s="609">
        <f t="shared" si="10"/>
        <v>5171342</v>
      </c>
      <c r="P186" s="609">
        <f t="shared" si="11"/>
        <v>5171342</v>
      </c>
      <c r="Q186" s="611">
        <f>+'_DATA STT PAGOS_'!D188</f>
        <v>5038179.1359999999</v>
      </c>
      <c r="R186" s="611">
        <f>+'_DATA STT PAGOS_'!E188</f>
        <v>419848.26133333333</v>
      </c>
      <c r="S186" s="611">
        <f>+'_DATA STT PAGOS_'!F188</f>
        <v>331680</v>
      </c>
      <c r="T186" s="612">
        <f>+'_DATA STT PAGOS_'!Q188</f>
        <v>6070880.1679999996</v>
      </c>
      <c r="U186" s="613" t="str">
        <f>SUBSTITUTE((IFERROR(VLOOKUP(A186,'DATOS IND MINERO'!$H$2:$L$113,4,0),"No")),"í","I",1)</f>
        <v>No</v>
      </c>
      <c r="V186" s="614">
        <f>IFERROR(VLOOKUP(A186,'DATOS IND MINERO'!$H$2:$L$113,5,0),0)</f>
        <v>0</v>
      </c>
      <c r="W186" s="611">
        <f>+'_DATA STT PAGOS_'!G188</f>
        <v>0</v>
      </c>
      <c r="X186" s="611">
        <f>+'_DATA STT PAGOS_'!J188</f>
        <v>6829749.6059999997</v>
      </c>
      <c r="Y186" s="609">
        <v>179009</v>
      </c>
      <c r="Z186" s="609">
        <v>125114</v>
      </c>
      <c r="AA186" s="609">
        <v>156146</v>
      </c>
      <c r="AB186" s="609">
        <v>127054</v>
      </c>
      <c r="AC186" s="609">
        <v>587323</v>
      </c>
      <c r="AD186" s="609">
        <v>8320</v>
      </c>
      <c r="AE186" s="609">
        <v>4329</v>
      </c>
      <c r="AF186" s="609">
        <v>6313.4870000000001</v>
      </c>
      <c r="AG186" s="609">
        <v>3146</v>
      </c>
      <c r="AH186" s="609">
        <v>22108.487000000001</v>
      </c>
      <c r="AI186" s="209"/>
    </row>
    <row r="187" spans="1:35" x14ac:dyDescent="0.25">
      <c r="A187" s="201">
        <v>9109</v>
      </c>
      <c r="B187" s="201">
        <v>9214</v>
      </c>
      <c r="C187" s="201" t="s">
        <v>225</v>
      </c>
      <c r="D187" s="609">
        <v>24785</v>
      </c>
      <c r="E187" s="610">
        <v>0.1227706099754267</v>
      </c>
      <c r="F187" s="609">
        <v>392124.70244972873</v>
      </c>
      <c r="G187" s="609">
        <v>11694</v>
      </c>
      <c r="H187" s="609">
        <v>15848</v>
      </c>
      <c r="I187" s="609">
        <v>246964579312</v>
      </c>
      <c r="J187" s="609">
        <v>498594022373</v>
      </c>
      <c r="K187" s="608">
        <v>0</v>
      </c>
      <c r="L187" s="608">
        <v>0</v>
      </c>
      <c r="M187" s="609">
        <v>1903986</v>
      </c>
      <c r="N187" s="609">
        <f t="shared" si="9"/>
        <v>1903986</v>
      </c>
      <c r="O187" s="609">
        <f t="shared" si="10"/>
        <v>1903986</v>
      </c>
      <c r="P187" s="609">
        <f t="shared" si="11"/>
        <v>1903986</v>
      </c>
      <c r="Q187" s="611">
        <f>+'_DATA STT PAGOS_'!D189</f>
        <v>4980591.3770000003</v>
      </c>
      <c r="R187" s="611">
        <f>+'_DATA STT PAGOS_'!E189</f>
        <v>415049.28141666669</v>
      </c>
      <c r="S187" s="611">
        <f>+'_DATA STT PAGOS_'!F189</f>
        <v>327889</v>
      </c>
      <c r="T187" s="612">
        <f>+'_DATA STT PAGOS_'!Q189</f>
        <v>5862330.7240000004</v>
      </c>
      <c r="U187" s="613" t="str">
        <f>SUBSTITUTE((IFERROR(VLOOKUP(A187,'DATOS IND MINERO'!$H$2:$L$113,4,0),"No")),"í","I",1)</f>
        <v>No</v>
      </c>
      <c r="V187" s="614">
        <f>IFERROR(VLOOKUP(A187,'DATOS IND MINERO'!$H$2:$L$113,5,0),0)</f>
        <v>0</v>
      </c>
      <c r="W187" s="611">
        <f>+'_DATA STT PAGOS_'!G189</f>
        <v>0</v>
      </c>
      <c r="X187" s="611">
        <f>+'_DATA STT PAGOS_'!J189</f>
        <v>6759271.5869999994</v>
      </c>
      <c r="Y187" s="609">
        <v>82209</v>
      </c>
      <c r="Z187" s="609">
        <v>42657</v>
      </c>
      <c r="AA187" s="609">
        <v>66410</v>
      </c>
      <c r="AB187" s="609">
        <v>49795</v>
      </c>
      <c r="AC187" s="609">
        <v>241071</v>
      </c>
      <c r="AD187" s="609">
        <v>1564</v>
      </c>
      <c r="AE187" s="609">
        <v>852</v>
      </c>
      <c r="AF187" s="609">
        <v>1285.7470000000001</v>
      </c>
      <c r="AG187" s="609">
        <v>892</v>
      </c>
      <c r="AH187" s="609">
        <v>4593.7470000000003</v>
      </c>
      <c r="AI187" s="209"/>
    </row>
    <row r="188" spans="1:35" x14ac:dyDescent="0.25">
      <c r="A188" s="201">
        <v>9110</v>
      </c>
      <c r="B188" s="201">
        <v>9217</v>
      </c>
      <c r="C188" s="201" t="s">
        <v>227</v>
      </c>
      <c r="D188" s="609">
        <v>6319</v>
      </c>
      <c r="E188" s="610">
        <v>0.1566905777888791</v>
      </c>
      <c r="F188" s="609">
        <v>283468.5253519087</v>
      </c>
      <c r="G188" s="609">
        <v>3545</v>
      </c>
      <c r="H188" s="609">
        <v>4666</v>
      </c>
      <c r="I188" s="609">
        <v>86149228645</v>
      </c>
      <c r="J188" s="609">
        <v>149284855015</v>
      </c>
      <c r="K188" s="608">
        <v>0</v>
      </c>
      <c r="L188" s="608">
        <v>0</v>
      </c>
      <c r="M188" s="609">
        <v>455765</v>
      </c>
      <c r="N188" s="609">
        <f t="shared" si="9"/>
        <v>455765</v>
      </c>
      <c r="O188" s="609">
        <f t="shared" si="10"/>
        <v>455765</v>
      </c>
      <c r="P188" s="609">
        <f t="shared" si="11"/>
        <v>455765</v>
      </c>
      <c r="Q188" s="611">
        <f>+'_DATA STT PAGOS_'!D190</f>
        <v>3534537.125</v>
      </c>
      <c r="R188" s="611">
        <f>+'_DATA STT PAGOS_'!E190</f>
        <v>294544.76041666669</v>
      </c>
      <c r="S188" s="611">
        <f>+'_DATA STT PAGOS_'!F190</f>
        <v>232690</v>
      </c>
      <c r="T188" s="612">
        <f>+'_DATA STT PAGOS_'!Q190</f>
        <v>4338389.9400000004</v>
      </c>
      <c r="U188" s="613" t="str">
        <f>SUBSTITUTE((IFERROR(VLOOKUP(A188,'DATOS IND MINERO'!$H$2:$L$113,4,0),"No")),"í","I",1)</f>
        <v>No</v>
      </c>
      <c r="V188" s="614">
        <f>IFERROR(VLOOKUP(A188,'DATOS IND MINERO'!$H$2:$L$113,5,0),0)</f>
        <v>0</v>
      </c>
      <c r="W188" s="611">
        <f>+'_DATA STT PAGOS_'!G190</f>
        <v>0</v>
      </c>
      <c r="X188" s="611">
        <f>+'_DATA STT PAGOS_'!J190</f>
        <v>4796848.4029999999</v>
      </c>
      <c r="Y188" s="609">
        <v>15786</v>
      </c>
      <c r="Z188" s="609">
        <v>13290</v>
      </c>
      <c r="AA188" s="609">
        <v>10472</v>
      </c>
      <c r="AB188" s="609">
        <v>9433</v>
      </c>
      <c r="AC188" s="609">
        <v>48981</v>
      </c>
      <c r="AD188" s="609">
        <v>130</v>
      </c>
      <c r="AE188" s="609">
        <v>139</v>
      </c>
      <c r="AF188" s="609">
        <v>102.93899999999999</v>
      </c>
      <c r="AG188" s="609">
        <v>198</v>
      </c>
      <c r="AH188" s="609">
        <v>569.93899999999996</v>
      </c>
      <c r="AI188" s="209"/>
    </row>
    <row r="189" spans="1:35" x14ac:dyDescent="0.25">
      <c r="A189" s="201">
        <v>9111</v>
      </c>
      <c r="B189" s="201">
        <v>9208</v>
      </c>
      <c r="C189" s="201" t="s">
        <v>221</v>
      </c>
      <c r="D189" s="609">
        <v>34151</v>
      </c>
      <c r="E189" s="610">
        <v>0.1282838681912552</v>
      </c>
      <c r="F189" s="609">
        <v>222233.24519935681</v>
      </c>
      <c r="G189" s="609">
        <v>17293</v>
      </c>
      <c r="H189" s="609">
        <v>18714</v>
      </c>
      <c r="I189" s="609">
        <v>322054184882</v>
      </c>
      <c r="J189" s="609">
        <v>455107162175</v>
      </c>
      <c r="K189" s="608">
        <v>0</v>
      </c>
      <c r="L189" s="608">
        <v>0</v>
      </c>
      <c r="M189" s="609">
        <v>1509322</v>
      </c>
      <c r="N189" s="609">
        <f t="shared" si="9"/>
        <v>1509322</v>
      </c>
      <c r="O189" s="609">
        <f t="shared" si="10"/>
        <v>1509322</v>
      </c>
      <c r="P189" s="609">
        <f t="shared" si="11"/>
        <v>1509322</v>
      </c>
      <c r="Q189" s="611">
        <f>+'_DATA STT PAGOS_'!D191</f>
        <v>6776929.9589999998</v>
      </c>
      <c r="R189" s="611">
        <f>+'_DATA STT PAGOS_'!E191</f>
        <v>564744.16324999998</v>
      </c>
      <c r="S189" s="611">
        <f>+'_DATA STT PAGOS_'!F191</f>
        <v>446148</v>
      </c>
      <c r="T189" s="612">
        <f>+'_DATA STT PAGOS_'!Q191</f>
        <v>8669946.0439999998</v>
      </c>
      <c r="U189" s="613" t="str">
        <f>SUBSTITUTE((IFERROR(VLOOKUP(A189,'DATOS IND MINERO'!$H$2:$L$113,4,0),"No")),"í","I",1)</f>
        <v>No</v>
      </c>
      <c r="V189" s="614">
        <f>IFERROR(VLOOKUP(A189,'DATOS IND MINERO'!$H$2:$L$113,5,0),0)</f>
        <v>0</v>
      </c>
      <c r="W189" s="611">
        <f>+'_DATA STT PAGOS_'!G191</f>
        <v>0</v>
      </c>
      <c r="X189" s="611">
        <f>+'_DATA STT PAGOS_'!J191</f>
        <v>9196647.1229999997</v>
      </c>
      <c r="Y189" s="609">
        <v>45134</v>
      </c>
      <c r="Z189" s="609">
        <v>39354</v>
      </c>
      <c r="AA189" s="609">
        <v>38924</v>
      </c>
      <c r="AB189" s="609">
        <v>18477</v>
      </c>
      <c r="AC189" s="609">
        <v>141889</v>
      </c>
      <c r="AD189" s="609">
        <v>1962</v>
      </c>
      <c r="AE189" s="609">
        <v>1217</v>
      </c>
      <c r="AF189" s="609">
        <v>1373.932</v>
      </c>
      <c r="AG189" s="609">
        <v>769</v>
      </c>
      <c r="AH189" s="609">
        <v>5321.9319999999998</v>
      </c>
      <c r="AI189" s="209"/>
    </row>
    <row r="190" spans="1:35" x14ac:dyDescent="0.25">
      <c r="A190" s="201">
        <v>9112</v>
      </c>
      <c r="B190" s="201">
        <v>9220</v>
      </c>
      <c r="C190" s="201" t="s">
        <v>230</v>
      </c>
      <c r="D190" s="609">
        <v>85373</v>
      </c>
      <c r="E190" s="610">
        <v>0.12702109904273229</v>
      </c>
      <c r="F190" s="609">
        <v>415138.63037312008</v>
      </c>
      <c r="G190" s="609">
        <v>29886</v>
      </c>
      <c r="H190" s="609">
        <v>31951</v>
      </c>
      <c r="I190" s="609">
        <v>696513688005</v>
      </c>
      <c r="J190" s="609">
        <v>960252387906</v>
      </c>
      <c r="K190" s="608">
        <v>0</v>
      </c>
      <c r="L190" s="608">
        <v>0</v>
      </c>
      <c r="M190" s="609">
        <v>4826076</v>
      </c>
      <c r="N190" s="609">
        <f t="shared" si="9"/>
        <v>4826076</v>
      </c>
      <c r="O190" s="609">
        <f t="shared" si="10"/>
        <v>4826076</v>
      </c>
      <c r="P190" s="609">
        <f t="shared" si="11"/>
        <v>4826076</v>
      </c>
      <c r="Q190" s="611">
        <f>+'_DATA STT PAGOS_'!D192</f>
        <v>11360550.907</v>
      </c>
      <c r="R190" s="611">
        <f>+'_DATA STT PAGOS_'!E192</f>
        <v>946712.57558333327</v>
      </c>
      <c r="S190" s="611">
        <f>+'_DATA STT PAGOS_'!F192</f>
        <v>747903</v>
      </c>
      <c r="T190" s="612">
        <f>+'_DATA STT PAGOS_'!Q192</f>
        <v>14351633</v>
      </c>
      <c r="U190" s="613" t="str">
        <f>SUBSTITUTE((IFERROR(VLOOKUP(A190,'DATOS IND MINERO'!$H$2:$L$113,4,0),"No")),"í","I",1)</f>
        <v>No</v>
      </c>
      <c r="V190" s="614">
        <f>IFERROR(VLOOKUP(A190,'DATOS IND MINERO'!$H$2:$L$113,5,0),0)</f>
        <v>0</v>
      </c>
      <c r="W190" s="611">
        <f>+'_DATA STT PAGOS_'!G192</f>
        <v>0</v>
      </c>
      <c r="X190" s="611">
        <f>+'_DATA STT PAGOS_'!J192</f>
        <v>15419922.08</v>
      </c>
      <c r="Y190" s="609">
        <v>137649</v>
      </c>
      <c r="Z190" s="609">
        <v>106368</v>
      </c>
      <c r="AA190" s="609">
        <v>110837</v>
      </c>
      <c r="AB190" s="609">
        <v>106829</v>
      </c>
      <c r="AC190" s="609">
        <v>461683</v>
      </c>
      <c r="AD190" s="609">
        <v>3653</v>
      </c>
      <c r="AE190" s="609">
        <v>1547</v>
      </c>
      <c r="AF190" s="609">
        <v>2284.3960000000002</v>
      </c>
      <c r="AG190" s="609">
        <v>1708</v>
      </c>
      <c r="AH190" s="609">
        <v>9192.3960000000006</v>
      </c>
      <c r="AI190" s="209"/>
    </row>
    <row r="191" spans="1:35" x14ac:dyDescent="0.25">
      <c r="A191" s="201">
        <v>9113</v>
      </c>
      <c r="B191" s="201">
        <v>9206</v>
      </c>
      <c r="C191" s="201" t="s">
        <v>219</v>
      </c>
      <c r="D191" s="609">
        <v>7269</v>
      </c>
      <c r="E191" s="610">
        <v>0.14141401499108711</v>
      </c>
      <c r="F191" s="609">
        <v>118666.78764253836</v>
      </c>
      <c r="G191" s="609">
        <v>3847</v>
      </c>
      <c r="H191" s="609">
        <v>4645</v>
      </c>
      <c r="I191" s="609">
        <v>89129492330</v>
      </c>
      <c r="J191" s="609">
        <v>229132029796</v>
      </c>
      <c r="K191" s="608">
        <v>0</v>
      </c>
      <c r="L191" s="608">
        <v>0</v>
      </c>
      <c r="M191" s="609">
        <v>755343</v>
      </c>
      <c r="N191" s="609">
        <f t="shared" si="9"/>
        <v>755343</v>
      </c>
      <c r="O191" s="609">
        <f t="shared" si="10"/>
        <v>755343</v>
      </c>
      <c r="P191" s="609">
        <f t="shared" si="11"/>
        <v>755343</v>
      </c>
      <c r="Q191" s="611">
        <f>+'_DATA STT PAGOS_'!D193</f>
        <v>2485675.5079999999</v>
      </c>
      <c r="R191" s="611">
        <f>+'_DATA STT PAGOS_'!E193</f>
        <v>207139.62566666666</v>
      </c>
      <c r="S191" s="611">
        <f>+'_DATA STT PAGOS_'!F193</f>
        <v>163640</v>
      </c>
      <c r="T191" s="612">
        <f>+'_DATA STT PAGOS_'!Q193</f>
        <v>3210021.8390000002</v>
      </c>
      <c r="U191" s="613" t="str">
        <f>SUBSTITUTE((IFERROR(VLOOKUP(A191,'DATOS IND MINERO'!$H$2:$L$113,4,0),"No")),"í","I",1)</f>
        <v>No</v>
      </c>
      <c r="V191" s="614">
        <f>IFERROR(VLOOKUP(A191,'DATOS IND MINERO'!$H$2:$L$113,5,0),0)</f>
        <v>0</v>
      </c>
      <c r="W191" s="611">
        <f>+'_DATA STT PAGOS_'!G193</f>
        <v>0</v>
      </c>
      <c r="X191" s="611">
        <f>+'_DATA STT PAGOS_'!J193</f>
        <v>3373856.6329999999</v>
      </c>
      <c r="Y191" s="609">
        <v>34072</v>
      </c>
      <c r="Z191" s="609">
        <v>28196</v>
      </c>
      <c r="AA191" s="609">
        <v>30531</v>
      </c>
      <c r="AB191" s="609">
        <v>22660</v>
      </c>
      <c r="AC191" s="609">
        <v>115459</v>
      </c>
      <c r="AD191" s="609">
        <v>582</v>
      </c>
      <c r="AE191" s="609">
        <v>193</v>
      </c>
      <c r="AF191" s="609">
        <v>210.59</v>
      </c>
      <c r="AG191" s="609">
        <v>107</v>
      </c>
      <c r="AH191" s="609">
        <v>1092.5900000000001</v>
      </c>
      <c r="AI191" s="209"/>
    </row>
    <row r="192" spans="1:35" x14ac:dyDescent="0.25">
      <c r="A192" s="201">
        <v>9114</v>
      </c>
      <c r="B192" s="201">
        <v>9211</v>
      </c>
      <c r="C192" s="201" t="s">
        <v>407</v>
      </c>
      <c r="D192" s="609">
        <v>26617</v>
      </c>
      <c r="E192" s="610">
        <v>0.10675621439213059</v>
      </c>
      <c r="F192" s="609">
        <v>332772.23917639389</v>
      </c>
      <c r="G192" s="609">
        <v>12180</v>
      </c>
      <c r="H192" s="609">
        <v>15299</v>
      </c>
      <c r="I192" s="609">
        <v>270377798198</v>
      </c>
      <c r="J192" s="609">
        <v>486097632715</v>
      </c>
      <c r="K192" s="608">
        <v>0</v>
      </c>
      <c r="L192" s="608">
        <v>0</v>
      </c>
      <c r="M192" s="609">
        <v>1586090</v>
      </c>
      <c r="N192" s="609">
        <f t="shared" si="9"/>
        <v>1586090</v>
      </c>
      <c r="O192" s="609">
        <f t="shared" si="10"/>
        <v>1586090</v>
      </c>
      <c r="P192" s="609">
        <f t="shared" si="11"/>
        <v>1586090</v>
      </c>
      <c r="Q192" s="611">
        <f>+'_DATA STT PAGOS_'!D194</f>
        <v>5606071.9469999997</v>
      </c>
      <c r="R192" s="611">
        <f>+'_DATA STT PAGOS_'!E194</f>
        <v>467172.66224999999</v>
      </c>
      <c r="S192" s="611">
        <f>+'_DATA STT PAGOS_'!F194</f>
        <v>369066</v>
      </c>
      <c r="T192" s="612">
        <f>+'_DATA STT PAGOS_'!Q194</f>
        <v>7185198.142</v>
      </c>
      <c r="U192" s="613" t="str">
        <f>SUBSTITUTE((IFERROR(VLOOKUP(A192,'DATOS IND MINERO'!$H$2:$L$113,4,0),"No")),"í","I",1)</f>
        <v>No</v>
      </c>
      <c r="V192" s="614">
        <f>IFERROR(VLOOKUP(A192,'DATOS IND MINERO'!$H$2:$L$113,5,0),0)</f>
        <v>0</v>
      </c>
      <c r="W192" s="611">
        <f>+'_DATA STT PAGOS_'!G194</f>
        <v>0</v>
      </c>
      <c r="X192" s="611">
        <f>+'_DATA STT PAGOS_'!J194</f>
        <v>7608089.0659999996</v>
      </c>
      <c r="Y192" s="609">
        <v>75480</v>
      </c>
      <c r="Z192" s="609">
        <v>33486</v>
      </c>
      <c r="AA192" s="609">
        <v>56343</v>
      </c>
      <c r="AB192" s="609">
        <v>26670</v>
      </c>
      <c r="AC192" s="609">
        <v>191979</v>
      </c>
      <c r="AD192" s="609">
        <v>3631</v>
      </c>
      <c r="AE192" s="609">
        <v>2569</v>
      </c>
      <c r="AF192" s="609">
        <v>2176.5369999999998</v>
      </c>
      <c r="AG192" s="609">
        <v>1687</v>
      </c>
      <c r="AH192" s="609">
        <v>10063.537</v>
      </c>
      <c r="AI192" s="209"/>
    </row>
    <row r="193" spans="1:35" x14ac:dyDescent="0.25">
      <c r="A193" s="201">
        <v>9115</v>
      </c>
      <c r="B193" s="201">
        <v>9216</v>
      </c>
      <c r="C193" s="201" t="s">
        <v>408</v>
      </c>
      <c r="D193" s="609">
        <v>30712</v>
      </c>
      <c r="E193" s="610">
        <v>8.1563091938637908E-2</v>
      </c>
      <c r="F193" s="609">
        <v>3078506.2029317156</v>
      </c>
      <c r="G193" s="609">
        <v>11464</v>
      </c>
      <c r="H193" s="609">
        <v>33733</v>
      </c>
      <c r="I193" s="609">
        <v>476461025839</v>
      </c>
      <c r="J193" s="609">
        <v>2216838181109</v>
      </c>
      <c r="K193" s="608">
        <v>0</v>
      </c>
      <c r="L193" s="608">
        <v>0</v>
      </c>
      <c r="M193" s="609">
        <v>14113540</v>
      </c>
      <c r="N193" s="609">
        <f t="shared" si="9"/>
        <v>14113540</v>
      </c>
      <c r="O193" s="609">
        <f t="shared" si="10"/>
        <v>14113540</v>
      </c>
      <c r="P193" s="609">
        <f t="shared" si="11"/>
        <v>14113540</v>
      </c>
      <c r="Q193" s="611">
        <f>+'_DATA STT PAGOS_'!D195</f>
        <v>2311873.7999999998</v>
      </c>
      <c r="R193" s="611">
        <f>+'_DATA STT PAGOS_'!E195</f>
        <v>192656.15</v>
      </c>
      <c r="S193" s="611">
        <f>+'_DATA STT PAGOS_'!F195</f>
        <v>152198</v>
      </c>
      <c r="T193" s="612">
        <f>+'_DATA STT PAGOS_'!Q195</f>
        <v>3031366.585</v>
      </c>
      <c r="U193" s="613" t="str">
        <f>SUBSTITUTE((IFERROR(VLOOKUP(A193,'DATOS IND MINERO'!$H$2:$L$113,4,0),"No")),"í","I",1)</f>
        <v>No</v>
      </c>
      <c r="V193" s="614">
        <f>IFERROR(VLOOKUP(A193,'DATOS IND MINERO'!$H$2:$L$113,5,0),0)</f>
        <v>0</v>
      </c>
      <c r="W193" s="611">
        <f>+'_DATA STT PAGOS_'!G195</f>
        <v>0</v>
      </c>
      <c r="X193" s="611">
        <f>+'_DATA STT PAGOS_'!J195</f>
        <v>3135337.1339999996</v>
      </c>
      <c r="Y193" s="609">
        <v>707844</v>
      </c>
      <c r="Z193" s="609">
        <v>412564</v>
      </c>
      <c r="AA193" s="609">
        <v>524955</v>
      </c>
      <c r="AB193" s="609">
        <v>420824</v>
      </c>
      <c r="AC193" s="609">
        <v>2066187</v>
      </c>
      <c r="AD193" s="609">
        <v>59177</v>
      </c>
      <c r="AE193" s="609">
        <v>28938</v>
      </c>
      <c r="AF193" s="609">
        <v>38070.167999999998</v>
      </c>
      <c r="AG193" s="609">
        <v>28605</v>
      </c>
      <c r="AH193" s="609">
        <v>154790.16800000001</v>
      </c>
      <c r="AI193" s="209"/>
    </row>
    <row r="194" spans="1:35" x14ac:dyDescent="0.25">
      <c r="A194" s="201">
        <v>9116</v>
      </c>
      <c r="B194" s="201">
        <v>9210</v>
      </c>
      <c r="C194" s="201" t="s">
        <v>223</v>
      </c>
      <c r="D194" s="609">
        <v>12660</v>
      </c>
      <c r="E194" s="610">
        <v>0.24277905073635811</v>
      </c>
      <c r="F194" s="609">
        <v>330341.94171650423</v>
      </c>
      <c r="G194" s="609">
        <v>6892</v>
      </c>
      <c r="H194" s="609">
        <v>7564</v>
      </c>
      <c r="I194" s="609">
        <v>96436916760</v>
      </c>
      <c r="J194" s="609">
        <v>127065689385</v>
      </c>
      <c r="K194" s="608">
        <v>0</v>
      </c>
      <c r="L194" s="608">
        <v>0</v>
      </c>
      <c r="M194" s="609">
        <v>452772</v>
      </c>
      <c r="N194" s="609">
        <f t="shared" si="9"/>
        <v>452772</v>
      </c>
      <c r="O194" s="609">
        <f t="shared" si="10"/>
        <v>452772</v>
      </c>
      <c r="P194" s="609">
        <f t="shared" si="11"/>
        <v>452772</v>
      </c>
      <c r="Q194" s="611">
        <f>+'_DATA STT PAGOS_'!D196</f>
        <v>4542957.1239999998</v>
      </c>
      <c r="R194" s="611">
        <f>+'_DATA STT PAGOS_'!E196</f>
        <v>378579.76033333334</v>
      </c>
      <c r="S194" s="611">
        <f>+'_DATA STT PAGOS_'!F196</f>
        <v>299078</v>
      </c>
      <c r="T194" s="612">
        <f>+'_DATA STT PAGOS_'!Q196</f>
        <v>5498051.7220000001</v>
      </c>
      <c r="U194" s="613" t="str">
        <f>SUBSTITUTE((IFERROR(VLOOKUP(A194,'DATOS IND MINERO'!$H$2:$L$113,4,0),"No")),"í","I",1)</f>
        <v>No</v>
      </c>
      <c r="V194" s="614">
        <f>IFERROR(VLOOKUP(A194,'DATOS IND MINERO'!$H$2:$L$113,5,0),0)</f>
        <v>0</v>
      </c>
      <c r="W194" s="611">
        <f>+'_DATA STT PAGOS_'!G196</f>
        <v>0</v>
      </c>
      <c r="X194" s="611">
        <f>+'_DATA STT PAGOS_'!J196</f>
        <v>6170485.1609999994</v>
      </c>
      <c r="Y194" s="609">
        <v>8994</v>
      </c>
      <c r="Z194" s="609">
        <v>5160</v>
      </c>
      <c r="AA194" s="609">
        <v>4866</v>
      </c>
      <c r="AB194" s="609">
        <v>7098</v>
      </c>
      <c r="AC194" s="609">
        <v>26118</v>
      </c>
      <c r="AD194" s="609">
        <v>103</v>
      </c>
      <c r="AE194" s="609">
        <v>70</v>
      </c>
      <c r="AF194" s="609">
        <v>60.418999999999997</v>
      </c>
      <c r="AG194" s="609">
        <v>170</v>
      </c>
      <c r="AH194" s="609">
        <v>403.41899999999998</v>
      </c>
      <c r="AI194" s="209"/>
    </row>
    <row r="195" spans="1:35" x14ac:dyDescent="0.25">
      <c r="A195" s="201">
        <v>9117</v>
      </c>
      <c r="B195" s="201">
        <v>9219</v>
      </c>
      <c r="C195" s="201" t="s">
        <v>229</v>
      </c>
      <c r="D195" s="609">
        <v>15744</v>
      </c>
      <c r="E195" s="610">
        <v>0.19933821012955941</v>
      </c>
      <c r="F195" s="609">
        <v>242739.04994127265</v>
      </c>
      <c r="G195" s="609">
        <v>8966</v>
      </c>
      <c r="H195" s="609">
        <v>10145</v>
      </c>
      <c r="I195" s="609">
        <v>158321522685</v>
      </c>
      <c r="J195" s="609">
        <v>252191726001</v>
      </c>
      <c r="K195" s="608">
        <v>0</v>
      </c>
      <c r="L195" s="608">
        <v>0</v>
      </c>
      <c r="M195" s="609">
        <v>554507</v>
      </c>
      <c r="N195" s="609">
        <f t="shared" si="9"/>
        <v>554507</v>
      </c>
      <c r="O195" s="609">
        <f t="shared" si="10"/>
        <v>554507</v>
      </c>
      <c r="P195" s="609">
        <f t="shared" si="11"/>
        <v>554507</v>
      </c>
      <c r="Q195" s="611">
        <f>+'_DATA STT PAGOS_'!D197</f>
        <v>4465999.665</v>
      </c>
      <c r="R195" s="611">
        <f>+'_DATA STT PAGOS_'!E197</f>
        <v>372166.63874999998</v>
      </c>
      <c r="S195" s="611">
        <f>+'_DATA STT PAGOS_'!F197</f>
        <v>294012</v>
      </c>
      <c r="T195" s="612">
        <f>+'_DATA STT PAGOS_'!Q197</f>
        <v>5252017.68</v>
      </c>
      <c r="U195" s="613" t="str">
        <f>SUBSTITUTE((IFERROR(VLOOKUP(A195,'DATOS IND MINERO'!$H$2:$L$113,4,0),"No")),"í","I",1)</f>
        <v>No</v>
      </c>
      <c r="V195" s="614">
        <f>IFERROR(VLOOKUP(A195,'DATOS IND MINERO'!$H$2:$L$113,5,0),0)</f>
        <v>0</v>
      </c>
      <c r="W195" s="611">
        <f>+'_DATA STT PAGOS_'!G197</f>
        <v>0</v>
      </c>
      <c r="X195" s="611">
        <f>+'_DATA STT PAGOS_'!J197</f>
        <v>6064019.227</v>
      </c>
      <c r="Y195" s="609">
        <v>21641</v>
      </c>
      <c r="Z195" s="609">
        <v>12019</v>
      </c>
      <c r="AA195" s="609">
        <v>11584</v>
      </c>
      <c r="AB195" s="609">
        <v>11988</v>
      </c>
      <c r="AC195" s="609">
        <v>57232</v>
      </c>
      <c r="AD195" s="609">
        <v>1367</v>
      </c>
      <c r="AE195" s="609">
        <v>1004</v>
      </c>
      <c r="AF195" s="609">
        <v>895.93799999999999</v>
      </c>
      <c r="AG195" s="609">
        <v>2066</v>
      </c>
      <c r="AH195" s="609">
        <v>5332.9380000000001</v>
      </c>
      <c r="AI195" s="209"/>
    </row>
    <row r="196" spans="1:35" x14ac:dyDescent="0.25">
      <c r="A196" s="201">
        <v>9118</v>
      </c>
      <c r="B196" s="201">
        <v>9213</v>
      </c>
      <c r="C196" s="201" t="s">
        <v>409</v>
      </c>
      <c r="D196" s="609">
        <v>9937</v>
      </c>
      <c r="E196" s="610">
        <v>0.16789131186823419</v>
      </c>
      <c r="F196" s="609">
        <v>221789.38610186349</v>
      </c>
      <c r="G196" s="609">
        <v>5252</v>
      </c>
      <c r="H196" s="609">
        <v>6214</v>
      </c>
      <c r="I196" s="609">
        <v>92547092374</v>
      </c>
      <c r="J196" s="609">
        <v>195955881747</v>
      </c>
      <c r="K196" s="608">
        <v>0</v>
      </c>
      <c r="L196" s="608">
        <v>0</v>
      </c>
      <c r="M196" s="609">
        <v>446405</v>
      </c>
      <c r="N196" s="609">
        <f t="shared" si="9"/>
        <v>446405</v>
      </c>
      <c r="O196" s="609">
        <f t="shared" si="10"/>
        <v>446405</v>
      </c>
      <c r="P196" s="609">
        <f t="shared" si="11"/>
        <v>446405</v>
      </c>
      <c r="Q196" s="611">
        <f>+'_DATA STT PAGOS_'!D198</f>
        <v>3713001.0920000002</v>
      </c>
      <c r="R196" s="611">
        <f>+'_DATA STT PAGOS_'!E198</f>
        <v>309416.7576666667</v>
      </c>
      <c r="S196" s="611">
        <f>+'_DATA STT PAGOS_'!F198</f>
        <v>244439</v>
      </c>
      <c r="T196" s="612">
        <f>+'_DATA STT PAGOS_'!Q198</f>
        <v>4778553.6279999996</v>
      </c>
      <c r="U196" s="613" t="str">
        <f>SUBSTITUTE((IFERROR(VLOOKUP(A196,'DATOS IND MINERO'!$H$2:$L$113,4,0),"No")),"í","I",1)</f>
        <v>No</v>
      </c>
      <c r="V196" s="614">
        <f>IFERROR(VLOOKUP(A196,'DATOS IND MINERO'!$H$2:$L$113,5,0),0)</f>
        <v>0</v>
      </c>
      <c r="W196" s="611">
        <f>+'_DATA STT PAGOS_'!G198</f>
        <v>0</v>
      </c>
      <c r="X196" s="611">
        <f>+'_DATA STT PAGOS_'!J198</f>
        <v>5040662.0310000004</v>
      </c>
      <c r="Y196" s="609">
        <v>25568</v>
      </c>
      <c r="Z196" s="609">
        <v>15210</v>
      </c>
      <c r="AA196" s="609">
        <v>15956</v>
      </c>
      <c r="AB196" s="609">
        <v>12471</v>
      </c>
      <c r="AC196" s="609">
        <v>69205</v>
      </c>
      <c r="AD196" s="609">
        <v>182</v>
      </c>
      <c r="AE196" s="609">
        <v>92</v>
      </c>
      <c r="AF196" s="609">
        <v>96.838999999999999</v>
      </c>
      <c r="AG196" s="609">
        <v>75</v>
      </c>
      <c r="AH196" s="609">
        <v>445.839</v>
      </c>
      <c r="AI196" s="209"/>
    </row>
    <row r="197" spans="1:35" x14ac:dyDescent="0.25">
      <c r="A197" s="201">
        <v>9119</v>
      </c>
      <c r="B197" s="201">
        <v>9202</v>
      </c>
      <c r="C197" s="201" t="s">
        <v>410</v>
      </c>
      <c r="D197" s="609">
        <v>32742</v>
      </c>
      <c r="E197" s="610">
        <v>0.11713757686918989</v>
      </c>
      <c r="F197" s="609">
        <v>437320.25371835468</v>
      </c>
      <c r="G197" s="609">
        <v>13663</v>
      </c>
      <c r="H197" s="609">
        <v>17197</v>
      </c>
      <c r="I197" s="609">
        <v>310842768150</v>
      </c>
      <c r="J197" s="609">
        <v>744227606848</v>
      </c>
      <c r="K197" s="608">
        <v>0</v>
      </c>
      <c r="L197" s="608">
        <v>0</v>
      </c>
      <c r="M197" s="609">
        <v>2377327</v>
      </c>
      <c r="N197" s="609">
        <f t="shared" si="9"/>
        <v>2377327</v>
      </c>
      <c r="O197" s="609">
        <f t="shared" si="10"/>
        <v>2377327</v>
      </c>
      <c r="P197" s="609">
        <f t="shared" si="11"/>
        <v>2377327</v>
      </c>
      <c r="Q197" s="611">
        <f>+'_DATA STT PAGOS_'!D199</f>
        <v>5807373.3430000003</v>
      </c>
      <c r="R197" s="611">
        <f>+'_DATA STT PAGOS_'!E199</f>
        <v>483947.77858333336</v>
      </c>
      <c r="S197" s="611">
        <f>+'_DATA STT PAGOS_'!F199</f>
        <v>382319</v>
      </c>
      <c r="T197" s="612">
        <f>+'_DATA STT PAGOS_'!Q199</f>
        <v>6955318.1849999996</v>
      </c>
      <c r="U197" s="613" t="str">
        <f>SUBSTITUTE((IFERROR(VLOOKUP(A197,'DATOS IND MINERO'!$H$2:$L$113,4,0),"No")),"í","I",1)</f>
        <v>No</v>
      </c>
      <c r="V197" s="614">
        <f>IFERROR(VLOOKUP(A197,'DATOS IND MINERO'!$H$2:$L$113,5,0),0)</f>
        <v>0</v>
      </c>
      <c r="W197" s="611">
        <f>+'_DATA STT PAGOS_'!G199</f>
        <v>0</v>
      </c>
      <c r="X197" s="611">
        <f>+'_DATA STT PAGOS_'!J199</f>
        <v>7880602.0020000003</v>
      </c>
      <c r="Y197" s="609">
        <v>135376</v>
      </c>
      <c r="Z197" s="609">
        <v>90137</v>
      </c>
      <c r="AA197" s="609">
        <v>116279</v>
      </c>
      <c r="AB197" s="609">
        <v>91990</v>
      </c>
      <c r="AC197" s="609">
        <v>433782</v>
      </c>
      <c r="AD197" s="609">
        <v>719</v>
      </c>
      <c r="AE197" s="609">
        <v>375</v>
      </c>
      <c r="AF197" s="609">
        <v>408.84899999999999</v>
      </c>
      <c r="AG197" s="609">
        <v>505</v>
      </c>
      <c r="AH197" s="609">
        <v>2007.8489999999999</v>
      </c>
      <c r="AI197" s="209"/>
    </row>
    <row r="198" spans="1:35" x14ac:dyDescent="0.25">
      <c r="A198" s="201">
        <v>9120</v>
      </c>
      <c r="B198" s="201">
        <v>9215</v>
      </c>
      <c r="C198" s="201" t="s">
        <v>226</v>
      </c>
      <c r="D198" s="609">
        <v>60675</v>
      </c>
      <c r="E198" s="610">
        <v>7.6743090158659266E-2</v>
      </c>
      <c r="F198" s="609">
        <v>3298965.2121818443</v>
      </c>
      <c r="G198" s="609">
        <v>23629</v>
      </c>
      <c r="H198" s="609">
        <v>43608</v>
      </c>
      <c r="I198" s="609">
        <v>880409073485</v>
      </c>
      <c r="J198" s="609">
        <v>2445072881068</v>
      </c>
      <c r="K198" s="608">
        <v>0</v>
      </c>
      <c r="L198" s="608">
        <v>0</v>
      </c>
      <c r="M198" s="609">
        <v>9862887</v>
      </c>
      <c r="N198" s="609">
        <f t="shared" ref="N198:N261" si="12">+M198</f>
        <v>9862887</v>
      </c>
      <c r="O198" s="609">
        <f t="shared" ref="O198:O261" si="13">+M198+K198</f>
        <v>9862887</v>
      </c>
      <c r="P198" s="609">
        <f t="shared" ref="P198:P261" si="14">+M198+K198</f>
        <v>9862887</v>
      </c>
      <c r="Q198" s="611">
        <f>+'_DATA STT PAGOS_'!D200</f>
        <v>4610853.068</v>
      </c>
      <c r="R198" s="611">
        <f>+'_DATA STT PAGOS_'!E200</f>
        <v>384237.75566666666</v>
      </c>
      <c r="S198" s="611">
        <f>+'_DATA STT PAGOS_'!F200</f>
        <v>303548</v>
      </c>
      <c r="T198" s="612">
        <f>+'_DATA STT PAGOS_'!Q200</f>
        <v>6199043.8190000001</v>
      </c>
      <c r="U198" s="613" t="str">
        <f>SUBSTITUTE((IFERROR(VLOOKUP(A198,'DATOS IND MINERO'!$H$2:$L$113,4,0),"No")),"í","I",1)</f>
        <v>No</v>
      </c>
      <c r="V198" s="614">
        <f>IFERROR(VLOOKUP(A198,'DATOS IND MINERO'!$H$2:$L$113,5,0),0)</f>
        <v>0</v>
      </c>
      <c r="W198" s="611">
        <f>+'_DATA STT PAGOS_'!G200</f>
        <v>0</v>
      </c>
      <c r="X198" s="611">
        <f>+'_DATA STT PAGOS_'!J200</f>
        <v>6257033.4950000001</v>
      </c>
      <c r="Y198" s="609">
        <v>713056</v>
      </c>
      <c r="Z198" s="609">
        <v>422575</v>
      </c>
      <c r="AA198" s="609">
        <v>535801</v>
      </c>
      <c r="AB198" s="609">
        <v>399194</v>
      </c>
      <c r="AC198" s="609">
        <v>2070626</v>
      </c>
      <c r="AD198" s="609">
        <v>28463</v>
      </c>
      <c r="AE198" s="609">
        <v>14585</v>
      </c>
      <c r="AF198" s="609">
        <v>31398.83</v>
      </c>
      <c r="AG198" s="609">
        <v>21199</v>
      </c>
      <c r="AH198" s="609">
        <v>95645.83</v>
      </c>
      <c r="AI198" s="209"/>
    </row>
    <row r="199" spans="1:35" x14ac:dyDescent="0.25">
      <c r="A199" s="201">
        <v>9121</v>
      </c>
      <c r="B199" s="201">
        <v>9221</v>
      </c>
      <c r="C199" s="201" t="s">
        <v>231</v>
      </c>
      <c r="D199" s="609">
        <v>12647</v>
      </c>
      <c r="E199" s="610">
        <v>0.19687881322375811</v>
      </c>
      <c r="F199" s="609">
        <v>100396.43786886477</v>
      </c>
      <c r="G199" s="609">
        <v>7149</v>
      </c>
      <c r="H199" s="609">
        <v>7958</v>
      </c>
      <c r="I199" s="609">
        <v>100025133566</v>
      </c>
      <c r="J199" s="609">
        <v>142007032193</v>
      </c>
      <c r="K199" s="608">
        <v>0</v>
      </c>
      <c r="L199" s="608">
        <v>0</v>
      </c>
      <c r="M199" s="609">
        <v>592200</v>
      </c>
      <c r="N199" s="609">
        <f t="shared" si="12"/>
        <v>592200</v>
      </c>
      <c r="O199" s="609">
        <f t="shared" si="13"/>
        <v>592200</v>
      </c>
      <c r="P199" s="609">
        <f t="shared" si="14"/>
        <v>592200</v>
      </c>
      <c r="Q199" s="611">
        <f>+'_DATA STT PAGOS_'!D201</f>
        <v>3500647.3160000001</v>
      </c>
      <c r="R199" s="611">
        <f>+'_DATA STT PAGOS_'!E201</f>
        <v>291720.60966666666</v>
      </c>
      <c r="S199" s="611">
        <f>+'_DATA STT PAGOS_'!F201</f>
        <v>230459</v>
      </c>
      <c r="T199" s="612">
        <f>+'_DATA STT PAGOS_'!Q201</f>
        <v>4272819.62</v>
      </c>
      <c r="U199" s="613" t="str">
        <f>SUBSTITUTE((IFERROR(VLOOKUP(A199,'DATOS IND MINERO'!$H$2:$L$113,4,0),"No")),"í","I",1)</f>
        <v>No</v>
      </c>
      <c r="V199" s="614">
        <f>IFERROR(VLOOKUP(A199,'DATOS IND MINERO'!$H$2:$L$113,5,0),0)</f>
        <v>0</v>
      </c>
      <c r="W199" s="611">
        <f>+'_DATA STT PAGOS_'!G201</f>
        <v>0</v>
      </c>
      <c r="X199" s="611">
        <f>+'_DATA STT PAGOS_'!J201</f>
        <v>4753009.7420000006</v>
      </c>
      <c r="Y199" s="609">
        <v>13685</v>
      </c>
      <c r="Z199" s="609">
        <v>6495</v>
      </c>
      <c r="AA199" s="609">
        <v>8994</v>
      </c>
      <c r="AB199" s="609">
        <v>7423</v>
      </c>
      <c r="AC199" s="609">
        <v>36597</v>
      </c>
      <c r="AD199" s="609">
        <v>467</v>
      </c>
      <c r="AE199" s="609">
        <v>277</v>
      </c>
      <c r="AF199" s="609">
        <v>271.55</v>
      </c>
      <c r="AG199" s="609">
        <v>536</v>
      </c>
      <c r="AH199" s="609">
        <v>1551.55</v>
      </c>
      <c r="AI199" s="209"/>
    </row>
    <row r="200" spans="1:35" x14ac:dyDescent="0.25">
      <c r="A200" s="201">
        <v>9201</v>
      </c>
      <c r="B200" s="201">
        <v>9101</v>
      </c>
      <c r="C200" s="201" t="s">
        <v>207</v>
      </c>
      <c r="D200" s="609">
        <v>56797</v>
      </c>
      <c r="E200" s="610">
        <v>9.026620950091796E-2</v>
      </c>
      <c r="F200" s="609">
        <v>531729.38580659195</v>
      </c>
      <c r="G200" s="609">
        <v>20921</v>
      </c>
      <c r="H200" s="609">
        <v>25228</v>
      </c>
      <c r="I200" s="609">
        <v>711436430532</v>
      </c>
      <c r="J200" s="609">
        <v>1278281327775</v>
      </c>
      <c r="K200" s="608">
        <v>0</v>
      </c>
      <c r="L200" s="608">
        <v>0</v>
      </c>
      <c r="M200" s="609">
        <v>3823960</v>
      </c>
      <c r="N200" s="609">
        <f t="shared" si="12"/>
        <v>3823960</v>
      </c>
      <c r="O200" s="609">
        <f t="shared" si="13"/>
        <v>3823960</v>
      </c>
      <c r="P200" s="609">
        <f t="shared" si="14"/>
        <v>3823960</v>
      </c>
      <c r="Q200" s="611">
        <f>+'_DATA STT PAGOS_'!D202</f>
        <v>9219539.4220000003</v>
      </c>
      <c r="R200" s="611">
        <f>+'_DATA STT PAGOS_'!E202</f>
        <v>768294.95183333335</v>
      </c>
      <c r="S200" s="611">
        <f>+'_DATA STT PAGOS_'!F202</f>
        <v>606953</v>
      </c>
      <c r="T200" s="612">
        <f>+'_DATA STT PAGOS_'!Q202</f>
        <v>12029534.273</v>
      </c>
      <c r="U200" s="613" t="str">
        <f>SUBSTITUTE((IFERROR(VLOOKUP(A200,'DATOS IND MINERO'!$H$2:$L$113,4,0),"No")),"í","I",1)</f>
        <v>No</v>
      </c>
      <c r="V200" s="614">
        <f>IFERROR(VLOOKUP(A200,'DATOS IND MINERO'!$H$2:$L$113,5,0),0)</f>
        <v>0</v>
      </c>
      <c r="W200" s="611">
        <f>+'_DATA STT PAGOS_'!G202</f>
        <v>0</v>
      </c>
      <c r="X200" s="611">
        <f>+'_DATA STT PAGOS_'!J202</f>
        <v>12510291.507000001</v>
      </c>
      <c r="Y200" s="609">
        <v>196946</v>
      </c>
      <c r="Z200" s="609">
        <v>146245</v>
      </c>
      <c r="AA200" s="609">
        <v>168520</v>
      </c>
      <c r="AB200" s="609">
        <v>133354</v>
      </c>
      <c r="AC200" s="609">
        <v>645065</v>
      </c>
      <c r="AD200" s="609">
        <v>15465</v>
      </c>
      <c r="AE200" s="609">
        <v>7132</v>
      </c>
      <c r="AF200" s="609">
        <v>9943.33</v>
      </c>
      <c r="AG200" s="609">
        <v>6964</v>
      </c>
      <c r="AH200" s="609">
        <v>39504.33</v>
      </c>
      <c r="AI200" s="209"/>
    </row>
    <row r="201" spans="1:35" x14ac:dyDescent="0.25">
      <c r="A201" s="201">
        <v>9202</v>
      </c>
      <c r="B201" s="201">
        <v>9105</v>
      </c>
      <c r="C201" s="201" t="s">
        <v>210</v>
      </c>
      <c r="D201" s="609">
        <v>26558</v>
      </c>
      <c r="E201" s="610">
        <v>0.13138371751078659</v>
      </c>
      <c r="F201" s="609">
        <v>285025.8975427667</v>
      </c>
      <c r="G201" s="609">
        <v>9637</v>
      </c>
      <c r="H201" s="609">
        <v>11227</v>
      </c>
      <c r="I201" s="609">
        <v>227812397363</v>
      </c>
      <c r="J201" s="609">
        <v>705424564008</v>
      </c>
      <c r="K201" s="608">
        <v>0</v>
      </c>
      <c r="L201" s="608">
        <v>0</v>
      </c>
      <c r="M201" s="609">
        <v>2836299</v>
      </c>
      <c r="N201" s="609">
        <f t="shared" si="12"/>
        <v>2836299</v>
      </c>
      <c r="O201" s="609">
        <f t="shared" si="13"/>
        <v>2836299</v>
      </c>
      <c r="P201" s="609">
        <f t="shared" si="14"/>
        <v>2836299</v>
      </c>
      <c r="Q201" s="611">
        <f>+'_DATA STT PAGOS_'!D203</f>
        <v>4202428.1960000005</v>
      </c>
      <c r="R201" s="611">
        <f>+'_DATA STT PAGOS_'!E203</f>
        <v>350202.34966666671</v>
      </c>
      <c r="S201" s="611">
        <f>+'_DATA STT PAGOS_'!F203</f>
        <v>276660</v>
      </c>
      <c r="T201" s="612">
        <f>+'_DATA STT PAGOS_'!Q203</f>
        <v>5354068.0520000001</v>
      </c>
      <c r="U201" s="613" t="str">
        <f>SUBSTITUTE((IFERROR(VLOOKUP(A201,'DATOS IND MINERO'!$H$2:$L$113,4,0),"No")),"í","I",1)</f>
        <v>No</v>
      </c>
      <c r="V201" s="614">
        <f>IFERROR(VLOOKUP(A201,'DATOS IND MINERO'!$H$2:$L$113,5,0),0)</f>
        <v>0</v>
      </c>
      <c r="W201" s="611">
        <f>+'_DATA STT PAGOS_'!G203</f>
        <v>0</v>
      </c>
      <c r="X201" s="611">
        <f>+'_DATA STT PAGOS_'!J203</f>
        <v>5703802.5120000001</v>
      </c>
      <c r="Y201" s="609">
        <v>139977</v>
      </c>
      <c r="Z201" s="609">
        <v>107534</v>
      </c>
      <c r="AA201" s="609">
        <v>121017</v>
      </c>
      <c r="AB201" s="609">
        <v>101720</v>
      </c>
      <c r="AC201" s="609">
        <v>470248</v>
      </c>
      <c r="AD201" s="609">
        <v>2588</v>
      </c>
      <c r="AE201" s="609">
        <v>1056</v>
      </c>
      <c r="AF201" s="609">
        <v>1725.354</v>
      </c>
      <c r="AG201" s="609">
        <v>1106</v>
      </c>
      <c r="AH201" s="609">
        <v>6475.3540000000003</v>
      </c>
      <c r="AI201" s="209"/>
    </row>
    <row r="202" spans="1:35" x14ac:dyDescent="0.25">
      <c r="A202" s="201">
        <v>9203</v>
      </c>
      <c r="B202" s="201">
        <v>9110</v>
      </c>
      <c r="C202" s="201" t="s">
        <v>411</v>
      </c>
      <c r="D202" s="609">
        <v>18211</v>
      </c>
      <c r="E202" s="610">
        <v>0.1092938122360393</v>
      </c>
      <c r="F202" s="609">
        <v>757158.87302243826</v>
      </c>
      <c r="G202" s="609">
        <v>9068</v>
      </c>
      <c r="H202" s="609">
        <v>13070</v>
      </c>
      <c r="I202" s="609">
        <v>224908475550</v>
      </c>
      <c r="J202" s="609">
        <v>560115833047</v>
      </c>
      <c r="K202" s="608">
        <v>0</v>
      </c>
      <c r="L202" s="608">
        <v>0</v>
      </c>
      <c r="M202" s="609">
        <v>1474600</v>
      </c>
      <c r="N202" s="609">
        <f t="shared" si="12"/>
        <v>1474600</v>
      </c>
      <c r="O202" s="609">
        <f t="shared" si="13"/>
        <v>1474600</v>
      </c>
      <c r="P202" s="609">
        <f t="shared" si="14"/>
        <v>1474600</v>
      </c>
      <c r="Q202" s="611">
        <f>+'_DATA STT PAGOS_'!D204</f>
        <v>5690552.1500000004</v>
      </c>
      <c r="R202" s="611">
        <f>+'_DATA STT PAGOS_'!E204</f>
        <v>474212.6791666667</v>
      </c>
      <c r="S202" s="611">
        <f>+'_DATA STT PAGOS_'!F204</f>
        <v>374628</v>
      </c>
      <c r="T202" s="612">
        <f>+'_DATA STT PAGOS_'!Q204</f>
        <v>6602246.1670000004</v>
      </c>
      <c r="U202" s="613" t="str">
        <f>SUBSTITUTE((IFERROR(VLOOKUP(A202,'DATOS IND MINERO'!$H$2:$L$113,4,0),"No")),"í","I",1)</f>
        <v>No</v>
      </c>
      <c r="V202" s="614">
        <f>IFERROR(VLOOKUP(A202,'DATOS IND MINERO'!$H$2:$L$113,5,0),0)</f>
        <v>0</v>
      </c>
      <c r="W202" s="611">
        <f>+'_DATA STT PAGOS_'!G204</f>
        <v>0</v>
      </c>
      <c r="X202" s="611">
        <f>+'_DATA STT PAGOS_'!J204</f>
        <v>7718090.3119999999</v>
      </c>
      <c r="Y202" s="609">
        <v>104687</v>
      </c>
      <c r="Z202" s="609">
        <v>60426</v>
      </c>
      <c r="AA202" s="609">
        <v>69503</v>
      </c>
      <c r="AB202" s="609">
        <v>48808</v>
      </c>
      <c r="AC202" s="609">
        <v>283424</v>
      </c>
      <c r="AD202" s="609">
        <v>2457</v>
      </c>
      <c r="AE202" s="609">
        <v>1497</v>
      </c>
      <c r="AF202" s="609">
        <v>2067.84</v>
      </c>
      <c r="AG202" s="609">
        <v>1445</v>
      </c>
      <c r="AH202" s="609">
        <v>7466.84</v>
      </c>
      <c r="AI202" s="209"/>
    </row>
    <row r="203" spans="1:35" x14ac:dyDescent="0.25">
      <c r="A203" s="201">
        <v>9204</v>
      </c>
      <c r="B203" s="201">
        <v>9106</v>
      </c>
      <c r="C203" s="201" t="s">
        <v>211</v>
      </c>
      <c r="D203" s="609">
        <v>8387</v>
      </c>
      <c r="E203" s="610">
        <v>0.17848814418246911</v>
      </c>
      <c r="F203" s="609">
        <v>132979.92733249912</v>
      </c>
      <c r="G203" s="609">
        <v>3782</v>
      </c>
      <c r="H203" s="609">
        <v>4443</v>
      </c>
      <c r="I203" s="609">
        <v>85409859590</v>
      </c>
      <c r="J203" s="609">
        <v>224782715271</v>
      </c>
      <c r="K203" s="608">
        <v>0</v>
      </c>
      <c r="L203" s="608">
        <v>0</v>
      </c>
      <c r="M203" s="609">
        <v>439285</v>
      </c>
      <c r="N203" s="609">
        <f t="shared" si="12"/>
        <v>439285</v>
      </c>
      <c r="O203" s="609">
        <f t="shared" si="13"/>
        <v>439285</v>
      </c>
      <c r="P203" s="609">
        <f t="shared" si="14"/>
        <v>439285</v>
      </c>
      <c r="Q203" s="611">
        <f>+'_DATA STT PAGOS_'!D205</f>
        <v>2786213.892</v>
      </c>
      <c r="R203" s="611">
        <f>+'_DATA STT PAGOS_'!E205</f>
        <v>232184.49100000001</v>
      </c>
      <c r="S203" s="611">
        <f>+'_DATA STT PAGOS_'!F205</f>
        <v>183426</v>
      </c>
      <c r="T203" s="612">
        <f>+'_DATA STT PAGOS_'!Q205</f>
        <v>3509255.9750000001</v>
      </c>
      <c r="U203" s="613" t="str">
        <f>SUBSTITUTE((IFERROR(VLOOKUP(A203,'DATOS IND MINERO'!$H$2:$L$113,4,0),"No")),"í","I",1)</f>
        <v>No</v>
      </c>
      <c r="V203" s="614">
        <f>IFERROR(VLOOKUP(A203,'DATOS IND MINERO'!$H$2:$L$113,5,0),0)</f>
        <v>0</v>
      </c>
      <c r="W203" s="611">
        <f>+'_DATA STT PAGOS_'!G205</f>
        <v>0</v>
      </c>
      <c r="X203" s="611">
        <f>+'_DATA STT PAGOS_'!J205</f>
        <v>3781884.4810000001</v>
      </c>
      <c r="Y203" s="609">
        <v>31435</v>
      </c>
      <c r="Z203" s="609">
        <v>28389</v>
      </c>
      <c r="AA203" s="609">
        <v>24558</v>
      </c>
      <c r="AB203" s="609">
        <v>16429</v>
      </c>
      <c r="AC203" s="609">
        <v>100811</v>
      </c>
      <c r="AD203" s="609">
        <v>363</v>
      </c>
      <c r="AE203" s="609">
        <v>230</v>
      </c>
      <c r="AF203" s="609">
        <v>208.24299999999999</v>
      </c>
      <c r="AG203" s="609">
        <v>128</v>
      </c>
      <c r="AH203" s="609">
        <v>929.24299999999994</v>
      </c>
      <c r="AI203" s="209"/>
    </row>
    <row r="204" spans="1:35" x14ac:dyDescent="0.25">
      <c r="A204" s="201">
        <v>9205</v>
      </c>
      <c r="B204" s="201">
        <v>9111</v>
      </c>
      <c r="C204" s="201" t="s">
        <v>214</v>
      </c>
      <c r="D204" s="609">
        <v>11109</v>
      </c>
      <c r="E204" s="610">
        <v>0.18360516166500079</v>
      </c>
      <c r="F204" s="609">
        <v>279792.00816808065</v>
      </c>
      <c r="G204" s="609">
        <v>4934</v>
      </c>
      <c r="H204" s="609">
        <v>7793</v>
      </c>
      <c r="I204" s="609">
        <v>264147200200</v>
      </c>
      <c r="J204" s="609">
        <v>400164551020</v>
      </c>
      <c r="K204" s="608">
        <v>0</v>
      </c>
      <c r="L204" s="608">
        <v>0</v>
      </c>
      <c r="M204" s="609">
        <v>557544</v>
      </c>
      <c r="N204" s="609">
        <f t="shared" si="12"/>
        <v>557544</v>
      </c>
      <c r="O204" s="609">
        <f t="shared" si="13"/>
        <v>557544</v>
      </c>
      <c r="P204" s="609">
        <f t="shared" si="14"/>
        <v>557544</v>
      </c>
      <c r="Q204" s="611">
        <f>+'_DATA STT PAGOS_'!D206</f>
        <v>3927849.0929999999</v>
      </c>
      <c r="R204" s="611">
        <f>+'_DATA STT PAGOS_'!E206</f>
        <v>327320.75774999999</v>
      </c>
      <c r="S204" s="611">
        <f>+'_DATA STT PAGOS_'!F206</f>
        <v>258583</v>
      </c>
      <c r="T204" s="612">
        <f>+'_DATA STT PAGOS_'!Q206</f>
        <v>4951773.5140000004</v>
      </c>
      <c r="U204" s="613" t="str">
        <f>SUBSTITUTE((IFERROR(VLOOKUP(A204,'DATOS IND MINERO'!$H$2:$L$113,4,0),"No")),"í","I",1)</f>
        <v>No</v>
      </c>
      <c r="V204" s="614">
        <f>IFERROR(VLOOKUP(A204,'DATOS IND MINERO'!$H$2:$L$113,5,0),0)</f>
        <v>0</v>
      </c>
      <c r="W204" s="611">
        <f>+'_DATA STT PAGOS_'!G206</f>
        <v>0</v>
      </c>
      <c r="X204" s="611">
        <f>+'_DATA STT PAGOS_'!J206</f>
        <v>5332079.7949999999</v>
      </c>
      <c r="Y204" s="609">
        <v>25134</v>
      </c>
      <c r="Z204" s="609">
        <v>20330</v>
      </c>
      <c r="AA204" s="609">
        <v>20807</v>
      </c>
      <c r="AB204" s="609">
        <v>15379</v>
      </c>
      <c r="AC204" s="609">
        <v>81650</v>
      </c>
      <c r="AD204" s="609">
        <v>756</v>
      </c>
      <c r="AE204" s="609">
        <v>295</v>
      </c>
      <c r="AF204" s="609">
        <v>305.29300000000001</v>
      </c>
      <c r="AG204" s="609">
        <v>256</v>
      </c>
      <c r="AH204" s="609">
        <v>1612.2930000000001</v>
      </c>
      <c r="AI204" s="209"/>
    </row>
    <row r="205" spans="1:35" x14ac:dyDescent="0.25">
      <c r="A205" s="201">
        <v>9206</v>
      </c>
      <c r="B205" s="201">
        <v>9103</v>
      </c>
      <c r="C205" s="201" t="s">
        <v>208</v>
      </c>
      <c r="D205" s="609">
        <v>7468</v>
      </c>
      <c r="E205" s="610">
        <v>0.17356026366529281</v>
      </c>
      <c r="F205" s="609">
        <v>89824.315502261714</v>
      </c>
      <c r="G205" s="609">
        <v>4485</v>
      </c>
      <c r="H205" s="609">
        <v>5174</v>
      </c>
      <c r="I205" s="609">
        <v>84249474323</v>
      </c>
      <c r="J205" s="609">
        <v>215847902459</v>
      </c>
      <c r="K205" s="608">
        <v>0</v>
      </c>
      <c r="L205" s="608">
        <v>0</v>
      </c>
      <c r="M205" s="609">
        <v>663893</v>
      </c>
      <c r="N205" s="609">
        <f t="shared" si="12"/>
        <v>663893</v>
      </c>
      <c r="O205" s="609">
        <f t="shared" si="13"/>
        <v>663893</v>
      </c>
      <c r="P205" s="609">
        <f t="shared" si="14"/>
        <v>663893</v>
      </c>
      <c r="Q205" s="611">
        <f>+'_DATA STT PAGOS_'!D207</f>
        <v>2595866.156</v>
      </c>
      <c r="R205" s="611">
        <f>+'_DATA STT PAGOS_'!E207</f>
        <v>216322.17966666666</v>
      </c>
      <c r="S205" s="611">
        <f>+'_DATA STT PAGOS_'!F207</f>
        <v>170895</v>
      </c>
      <c r="T205" s="612">
        <f>+'_DATA STT PAGOS_'!Q207</f>
        <v>3301663.824</v>
      </c>
      <c r="U205" s="613" t="str">
        <f>SUBSTITUTE((IFERROR(VLOOKUP(A205,'DATOS IND MINERO'!$H$2:$L$113,4,0),"No")),"í","I",1)</f>
        <v>No</v>
      </c>
      <c r="V205" s="614">
        <f>IFERROR(VLOOKUP(A205,'DATOS IND MINERO'!$H$2:$L$113,5,0),0)</f>
        <v>0</v>
      </c>
      <c r="W205" s="611">
        <f>+'_DATA STT PAGOS_'!G207</f>
        <v>0</v>
      </c>
      <c r="X205" s="611">
        <f>+'_DATA STT PAGOS_'!J207</f>
        <v>3525305.3940000003</v>
      </c>
      <c r="Y205" s="609">
        <v>27600</v>
      </c>
      <c r="Z205" s="609">
        <v>19722</v>
      </c>
      <c r="AA205" s="609">
        <v>24620</v>
      </c>
      <c r="AB205" s="609">
        <v>17995</v>
      </c>
      <c r="AC205" s="609">
        <v>89937</v>
      </c>
      <c r="AD205" s="609">
        <v>607</v>
      </c>
      <c r="AE205" s="609">
        <v>295</v>
      </c>
      <c r="AF205" s="609">
        <v>639.78599999999994</v>
      </c>
      <c r="AG205" s="609">
        <v>323</v>
      </c>
      <c r="AH205" s="609">
        <v>1864.7860000000001</v>
      </c>
      <c r="AI205" s="209"/>
    </row>
    <row r="206" spans="1:35" x14ac:dyDescent="0.25">
      <c r="A206" s="201">
        <v>9207</v>
      </c>
      <c r="B206" s="201">
        <v>9108</v>
      </c>
      <c r="C206" s="201" t="s">
        <v>212</v>
      </c>
      <c r="D206" s="609">
        <v>9916</v>
      </c>
      <c r="E206" s="610">
        <v>0.21468694681418671</v>
      </c>
      <c r="F206" s="609">
        <v>117343.43263359694</v>
      </c>
      <c r="G206" s="609">
        <v>5386</v>
      </c>
      <c r="H206" s="609">
        <v>6319</v>
      </c>
      <c r="I206" s="609">
        <v>92582681260</v>
      </c>
      <c r="J206" s="609">
        <v>182578228564</v>
      </c>
      <c r="K206" s="608">
        <v>0</v>
      </c>
      <c r="L206" s="608">
        <v>0</v>
      </c>
      <c r="M206" s="609">
        <v>473032</v>
      </c>
      <c r="N206" s="609">
        <f t="shared" si="12"/>
        <v>473032</v>
      </c>
      <c r="O206" s="609">
        <f t="shared" si="13"/>
        <v>473032</v>
      </c>
      <c r="P206" s="609">
        <f t="shared" si="14"/>
        <v>473032</v>
      </c>
      <c r="Q206" s="611">
        <f>+'_DATA STT PAGOS_'!D208</f>
        <v>3082071.0720000002</v>
      </c>
      <c r="R206" s="611">
        <f>+'_DATA STT PAGOS_'!E208</f>
        <v>256839.25600000002</v>
      </c>
      <c r="S206" s="611">
        <f>+'_DATA STT PAGOS_'!F208</f>
        <v>202903</v>
      </c>
      <c r="T206" s="612">
        <f>+'_DATA STT PAGOS_'!Q208</f>
        <v>3811424.1880000001</v>
      </c>
      <c r="U206" s="613" t="str">
        <f>SUBSTITUTE((IFERROR(VLOOKUP(A206,'DATOS IND MINERO'!$H$2:$L$113,4,0),"No")),"í","I",1)</f>
        <v>No</v>
      </c>
      <c r="V206" s="614">
        <f>IFERROR(VLOOKUP(A206,'DATOS IND MINERO'!$H$2:$L$113,5,0),0)</f>
        <v>0</v>
      </c>
      <c r="W206" s="611">
        <f>+'_DATA STT PAGOS_'!G208</f>
        <v>0</v>
      </c>
      <c r="X206" s="611">
        <f>+'_DATA STT PAGOS_'!J208</f>
        <v>4185930.6340000005</v>
      </c>
      <c r="Y206" s="609">
        <v>20051</v>
      </c>
      <c r="Z206" s="609">
        <v>15147</v>
      </c>
      <c r="AA206" s="609">
        <v>19033</v>
      </c>
      <c r="AB206" s="609">
        <v>12823</v>
      </c>
      <c r="AC206" s="609">
        <v>67054</v>
      </c>
      <c r="AD206" s="609">
        <v>1035</v>
      </c>
      <c r="AE206" s="609">
        <v>553</v>
      </c>
      <c r="AF206" s="609">
        <v>762.37</v>
      </c>
      <c r="AG206" s="609">
        <v>543</v>
      </c>
      <c r="AH206" s="609">
        <v>2893.37</v>
      </c>
      <c r="AI206" s="209"/>
    </row>
    <row r="207" spans="1:35" x14ac:dyDescent="0.25">
      <c r="A207" s="201">
        <v>9208</v>
      </c>
      <c r="B207" s="201">
        <v>9102</v>
      </c>
      <c r="C207" s="201" t="s">
        <v>412</v>
      </c>
      <c r="D207" s="609">
        <v>12103</v>
      </c>
      <c r="E207" s="610">
        <v>0.1294895634365</v>
      </c>
      <c r="F207" s="609">
        <v>141625.21869679194</v>
      </c>
      <c r="G207" s="609">
        <v>6413</v>
      </c>
      <c r="H207" s="609">
        <v>7143</v>
      </c>
      <c r="I207" s="609">
        <v>113864364125</v>
      </c>
      <c r="J207" s="609">
        <v>172309965619</v>
      </c>
      <c r="K207" s="608">
        <v>0</v>
      </c>
      <c r="L207" s="608">
        <v>0</v>
      </c>
      <c r="M207" s="609">
        <v>571836</v>
      </c>
      <c r="N207" s="609">
        <f t="shared" si="12"/>
        <v>571836</v>
      </c>
      <c r="O207" s="609">
        <f t="shared" si="13"/>
        <v>571836</v>
      </c>
      <c r="P207" s="609">
        <f t="shared" si="14"/>
        <v>571836</v>
      </c>
      <c r="Q207" s="611">
        <f>+'_DATA STT PAGOS_'!D209</f>
        <v>3499176.9939999999</v>
      </c>
      <c r="R207" s="611">
        <f>+'_DATA STT PAGOS_'!E209</f>
        <v>291598.08283333335</v>
      </c>
      <c r="S207" s="611">
        <f>+'_DATA STT PAGOS_'!F209</f>
        <v>230362</v>
      </c>
      <c r="T207" s="612">
        <f>+'_DATA STT PAGOS_'!Q209</f>
        <v>4360310.5489999996</v>
      </c>
      <c r="U207" s="613" t="str">
        <f>SUBSTITUTE((IFERROR(VLOOKUP(A207,'DATOS IND MINERO'!$H$2:$L$113,4,0),"No")),"í","I",1)</f>
        <v>No</v>
      </c>
      <c r="V207" s="614">
        <f>IFERROR(VLOOKUP(A207,'DATOS IND MINERO'!$H$2:$L$113,5,0),0)</f>
        <v>0</v>
      </c>
      <c r="W207" s="611">
        <f>+'_DATA STT PAGOS_'!G209</f>
        <v>0</v>
      </c>
      <c r="X207" s="611">
        <f>+'_DATA STT PAGOS_'!J209</f>
        <v>4747457.642</v>
      </c>
      <c r="Y207" s="609">
        <v>12603</v>
      </c>
      <c r="Z207" s="609">
        <v>8356</v>
      </c>
      <c r="AA207" s="609">
        <v>16244</v>
      </c>
      <c r="AB207" s="609">
        <v>5997</v>
      </c>
      <c r="AC207" s="609">
        <v>43200</v>
      </c>
      <c r="AD207" s="609">
        <v>0</v>
      </c>
      <c r="AE207" s="609">
        <v>0</v>
      </c>
      <c r="AF207" s="609">
        <v>0</v>
      </c>
      <c r="AG207" s="609">
        <v>0</v>
      </c>
      <c r="AH207" s="609">
        <v>0</v>
      </c>
      <c r="AI207" s="209"/>
    </row>
    <row r="208" spans="1:35" x14ac:dyDescent="0.25">
      <c r="A208" s="201">
        <v>9209</v>
      </c>
      <c r="B208" s="201">
        <v>9104</v>
      </c>
      <c r="C208" s="201" t="s">
        <v>209</v>
      </c>
      <c r="D208" s="609">
        <v>11002</v>
      </c>
      <c r="E208" s="610">
        <v>0.1247576527893416</v>
      </c>
      <c r="F208" s="609">
        <v>92672.668935320296</v>
      </c>
      <c r="G208" s="609">
        <v>4522</v>
      </c>
      <c r="H208" s="609">
        <v>5191</v>
      </c>
      <c r="I208" s="609">
        <v>68247286410</v>
      </c>
      <c r="J208" s="609">
        <v>195593652999</v>
      </c>
      <c r="K208" s="608">
        <v>0</v>
      </c>
      <c r="L208" s="608">
        <v>0</v>
      </c>
      <c r="M208" s="609">
        <v>1171376</v>
      </c>
      <c r="N208" s="609">
        <f t="shared" si="12"/>
        <v>1171376</v>
      </c>
      <c r="O208" s="609">
        <f t="shared" si="13"/>
        <v>1171376</v>
      </c>
      <c r="P208" s="609">
        <f t="shared" si="14"/>
        <v>1171376</v>
      </c>
      <c r="Q208" s="611">
        <f>+'_DATA STT PAGOS_'!D210</f>
        <v>2530947.2379999999</v>
      </c>
      <c r="R208" s="611">
        <f>+'_DATA STT PAGOS_'!E210</f>
        <v>210912.26983333332</v>
      </c>
      <c r="S208" s="611">
        <f>+'_DATA STT PAGOS_'!F210</f>
        <v>166621</v>
      </c>
      <c r="T208" s="612">
        <f>+'_DATA STT PAGOS_'!Q210</f>
        <v>3241527.2629999998</v>
      </c>
      <c r="U208" s="613" t="str">
        <f>SUBSTITUTE((IFERROR(VLOOKUP(A208,'DATOS IND MINERO'!$H$2:$L$113,4,0),"No")),"í","I",1)</f>
        <v>No</v>
      </c>
      <c r="V208" s="614">
        <f>IFERROR(VLOOKUP(A208,'DATOS IND MINERO'!$H$2:$L$113,5,0),0)</f>
        <v>0</v>
      </c>
      <c r="W208" s="611">
        <f>+'_DATA STT PAGOS_'!G210</f>
        <v>0</v>
      </c>
      <c r="X208" s="611">
        <f>+'_DATA STT PAGOS_'!J210</f>
        <v>3435098.2359999996</v>
      </c>
      <c r="Y208" s="609">
        <v>39341</v>
      </c>
      <c r="Z208" s="609">
        <v>31381</v>
      </c>
      <c r="AA208" s="609">
        <v>33158</v>
      </c>
      <c r="AB208" s="609">
        <v>22491</v>
      </c>
      <c r="AC208" s="609">
        <v>126371</v>
      </c>
      <c r="AD208" s="609">
        <v>1006</v>
      </c>
      <c r="AE208" s="609">
        <v>892</v>
      </c>
      <c r="AF208" s="609">
        <v>746.06399999999996</v>
      </c>
      <c r="AG208" s="609">
        <v>412</v>
      </c>
      <c r="AH208" s="609">
        <v>3056.0639999999999</v>
      </c>
      <c r="AI208" s="209"/>
    </row>
    <row r="209" spans="1:35" x14ac:dyDescent="0.25">
      <c r="A209" s="201">
        <v>9210</v>
      </c>
      <c r="B209" s="201">
        <v>9107</v>
      </c>
      <c r="C209" s="201" t="s">
        <v>413</v>
      </c>
      <c r="D209" s="609">
        <v>19260</v>
      </c>
      <c r="E209" s="610">
        <v>0.14145551798520789</v>
      </c>
      <c r="F209" s="609">
        <v>199286.95419610146</v>
      </c>
      <c r="G209" s="609">
        <v>7780</v>
      </c>
      <c r="H209" s="609">
        <v>9440</v>
      </c>
      <c r="I209" s="609">
        <v>240513076274</v>
      </c>
      <c r="J209" s="609">
        <v>493859684986</v>
      </c>
      <c r="K209" s="608">
        <v>0</v>
      </c>
      <c r="L209" s="608">
        <v>0</v>
      </c>
      <c r="M209" s="609">
        <v>1451764</v>
      </c>
      <c r="N209" s="609">
        <f t="shared" si="12"/>
        <v>1451764</v>
      </c>
      <c r="O209" s="609">
        <f t="shared" si="13"/>
        <v>1451764</v>
      </c>
      <c r="P209" s="609">
        <f t="shared" si="14"/>
        <v>1451764</v>
      </c>
      <c r="Q209" s="611">
        <f>+'_DATA STT PAGOS_'!D211</f>
        <v>4580370.8990000002</v>
      </c>
      <c r="R209" s="611">
        <f>+'_DATA STT PAGOS_'!E211</f>
        <v>381697.57491666666</v>
      </c>
      <c r="S209" s="611">
        <f>+'_DATA STT PAGOS_'!F211</f>
        <v>301541</v>
      </c>
      <c r="T209" s="612">
        <f>+'_DATA STT PAGOS_'!Q211</f>
        <v>6158062.7800000003</v>
      </c>
      <c r="U209" s="613" t="str">
        <f>SUBSTITUTE((IFERROR(VLOOKUP(A209,'DATOS IND MINERO'!$H$2:$L$113,4,0),"No")),"í","I",1)</f>
        <v>No</v>
      </c>
      <c r="V209" s="614">
        <f>IFERROR(VLOOKUP(A209,'DATOS IND MINERO'!$H$2:$L$113,5,0),0)</f>
        <v>0</v>
      </c>
      <c r="W209" s="611">
        <f>+'_DATA STT PAGOS_'!G211</f>
        <v>0</v>
      </c>
      <c r="X209" s="611">
        <f>+'_DATA STT PAGOS_'!J211</f>
        <v>6215668.4840000002</v>
      </c>
      <c r="Y209" s="609">
        <v>78670</v>
      </c>
      <c r="Z209" s="609">
        <v>45372</v>
      </c>
      <c r="AA209" s="609">
        <v>64472</v>
      </c>
      <c r="AB209" s="609">
        <v>41364</v>
      </c>
      <c r="AC209" s="609">
        <v>229878</v>
      </c>
      <c r="AD209" s="609">
        <v>2122</v>
      </c>
      <c r="AE209" s="609">
        <v>1024</v>
      </c>
      <c r="AF209" s="609">
        <v>1572.9970000000001</v>
      </c>
      <c r="AG209" s="609">
        <v>1329</v>
      </c>
      <c r="AH209" s="609">
        <v>6047.9970000000003</v>
      </c>
      <c r="AI209" s="209"/>
    </row>
    <row r="210" spans="1:35" x14ac:dyDescent="0.25">
      <c r="A210" s="201">
        <v>9211</v>
      </c>
      <c r="B210" s="201">
        <v>9109</v>
      </c>
      <c r="C210" s="201" t="s">
        <v>213</v>
      </c>
      <c r="D210" s="609">
        <v>35554</v>
      </c>
      <c r="E210" s="610">
        <v>0.14349751335414079</v>
      </c>
      <c r="F210" s="609">
        <v>463556.2664191568</v>
      </c>
      <c r="G210" s="609">
        <v>13344</v>
      </c>
      <c r="H210" s="609">
        <v>16576</v>
      </c>
      <c r="I210" s="609">
        <v>424381255856</v>
      </c>
      <c r="J210" s="609">
        <v>912862792463</v>
      </c>
      <c r="K210" s="608">
        <v>0</v>
      </c>
      <c r="L210" s="608">
        <v>0</v>
      </c>
      <c r="M210" s="609">
        <v>2872742</v>
      </c>
      <c r="N210" s="609">
        <f t="shared" si="12"/>
        <v>2872742</v>
      </c>
      <c r="O210" s="609">
        <f t="shared" si="13"/>
        <v>2872742</v>
      </c>
      <c r="P210" s="609">
        <f t="shared" si="14"/>
        <v>2872742</v>
      </c>
      <c r="Q210" s="611">
        <f>+'_DATA STT PAGOS_'!D212</f>
        <v>6330582.1969999997</v>
      </c>
      <c r="R210" s="611">
        <f>+'_DATA STT PAGOS_'!E212</f>
        <v>527548.51641666668</v>
      </c>
      <c r="S210" s="611">
        <f>+'_DATA STT PAGOS_'!F212</f>
        <v>416763</v>
      </c>
      <c r="T210" s="612">
        <f>+'_DATA STT PAGOS_'!Q212</f>
        <v>7927288.7719999999</v>
      </c>
      <c r="U210" s="613" t="str">
        <f>SUBSTITUTE((IFERROR(VLOOKUP(A210,'DATOS IND MINERO'!$H$2:$L$113,4,0),"No")),"í","I",1)</f>
        <v>No</v>
      </c>
      <c r="V210" s="614">
        <f>IFERROR(VLOOKUP(A210,'DATOS IND MINERO'!$H$2:$L$113,5,0),0)</f>
        <v>0</v>
      </c>
      <c r="W210" s="611">
        <f>+'_DATA STT PAGOS_'!G212</f>
        <v>0</v>
      </c>
      <c r="X210" s="611">
        <f>+'_DATA STT PAGOS_'!J212</f>
        <v>8595825.618999999</v>
      </c>
      <c r="Y210" s="609">
        <v>160381</v>
      </c>
      <c r="Z210" s="609">
        <v>96046</v>
      </c>
      <c r="AA210" s="609">
        <v>127855</v>
      </c>
      <c r="AB210" s="609">
        <v>95408</v>
      </c>
      <c r="AC210" s="609">
        <v>479690</v>
      </c>
      <c r="AD210" s="609">
        <v>8448</v>
      </c>
      <c r="AE210" s="609">
        <v>3715</v>
      </c>
      <c r="AF210" s="609">
        <v>5652.0739999999996</v>
      </c>
      <c r="AG210" s="609">
        <v>2864</v>
      </c>
      <c r="AH210" s="609">
        <v>20679.074000000001</v>
      </c>
      <c r="AI210" s="209"/>
    </row>
    <row r="211" spans="1:35" x14ac:dyDescent="0.25">
      <c r="A211" s="201">
        <v>10101</v>
      </c>
      <c r="B211" s="201">
        <v>10301</v>
      </c>
      <c r="C211" s="201" t="s">
        <v>246</v>
      </c>
      <c r="D211" s="609">
        <v>280955</v>
      </c>
      <c r="E211" s="610">
        <v>6.4960752055396878E-2</v>
      </c>
      <c r="F211" s="609">
        <v>2546047.6737546343</v>
      </c>
      <c r="G211" s="609">
        <v>80030</v>
      </c>
      <c r="H211" s="609">
        <v>118899</v>
      </c>
      <c r="I211" s="609">
        <v>3214350763429</v>
      </c>
      <c r="J211" s="609">
        <v>7226603596907</v>
      </c>
      <c r="K211" s="608">
        <v>0</v>
      </c>
      <c r="L211" s="608">
        <v>0</v>
      </c>
      <c r="M211" s="609">
        <v>42835968</v>
      </c>
      <c r="N211" s="609">
        <f t="shared" si="12"/>
        <v>42835968</v>
      </c>
      <c r="O211" s="609">
        <f t="shared" si="13"/>
        <v>42835968</v>
      </c>
      <c r="P211" s="609">
        <f t="shared" si="14"/>
        <v>42835968</v>
      </c>
      <c r="Q211" s="611">
        <f>+'_DATA STT PAGOS_'!D213</f>
        <v>19457428.452</v>
      </c>
      <c r="R211" s="611">
        <f>+'_DATA STT PAGOS_'!E213</f>
        <v>1621452.371</v>
      </c>
      <c r="S211" s="611">
        <f>+'_DATA STT PAGOS_'!F213</f>
        <v>1280947</v>
      </c>
      <c r="T211" s="612">
        <f>+'_DATA STT PAGOS_'!Q213</f>
        <v>26159468.263999999</v>
      </c>
      <c r="U211" s="613" t="str">
        <f>SUBSTITUTE((IFERROR(VLOOKUP(A211,'DATOS IND MINERO'!$H$2:$L$113,4,0),"No")),"í","I",1)</f>
        <v>No</v>
      </c>
      <c r="V211" s="614">
        <f>IFERROR(VLOOKUP(A211,'DATOS IND MINERO'!$H$2:$L$113,5,0),0)</f>
        <v>0</v>
      </c>
      <c r="W211" s="611">
        <f>+'_DATA STT PAGOS_'!G213</f>
        <v>0</v>
      </c>
      <c r="X211" s="611">
        <f>+'_DATA STT PAGOS_'!J213</f>
        <v>26404177.199000001</v>
      </c>
      <c r="Y211" s="609">
        <v>2010424</v>
      </c>
      <c r="Z211" s="609">
        <v>1535877</v>
      </c>
      <c r="AA211" s="609">
        <v>1742458</v>
      </c>
      <c r="AB211" s="609">
        <v>1580354</v>
      </c>
      <c r="AC211" s="609">
        <v>6869113</v>
      </c>
      <c r="AD211" s="609">
        <v>237547</v>
      </c>
      <c r="AE211" s="609">
        <v>115813</v>
      </c>
      <c r="AF211" s="609">
        <v>156840.17600000001</v>
      </c>
      <c r="AG211" s="609">
        <v>120390</v>
      </c>
      <c r="AH211" s="609">
        <v>630590.17599999998</v>
      </c>
      <c r="AI211" s="209"/>
    </row>
    <row r="212" spans="1:35" x14ac:dyDescent="0.25">
      <c r="A212" s="201">
        <v>10102</v>
      </c>
      <c r="B212" s="201">
        <v>10309</v>
      </c>
      <c r="C212" s="201" t="s">
        <v>252</v>
      </c>
      <c r="D212" s="609">
        <v>37626</v>
      </c>
      <c r="E212" s="610">
        <v>8.510298443700641E-2</v>
      </c>
      <c r="F212" s="609">
        <v>348436.79909697303</v>
      </c>
      <c r="G212" s="609">
        <v>11461</v>
      </c>
      <c r="H212" s="609">
        <v>15664</v>
      </c>
      <c r="I212" s="609">
        <v>151355766439</v>
      </c>
      <c r="J212" s="609">
        <v>315003233367</v>
      </c>
      <c r="K212" s="608">
        <v>0</v>
      </c>
      <c r="L212" s="608">
        <v>0</v>
      </c>
      <c r="M212" s="609">
        <v>3939064</v>
      </c>
      <c r="N212" s="609">
        <f t="shared" si="12"/>
        <v>3939064</v>
      </c>
      <c r="O212" s="609">
        <f t="shared" si="13"/>
        <v>3939064</v>
      </c>
      <c r="P212" s="609">
        <f t="shared" si="14"/>
        <v>3939064</v>
      </c>
      <c r="Q212" s="611">
        <f>+'_DATA STT PAGOS_'!D214</f>
        <v>4968660.3559999997</v>
      </c>
      <c r="R212" s="611">
        <f>+'_DATA STT PAGOS_'!E214</f>
        <v>414055.02966666664</v>
      </c>
      <c r="S212" s="611">
        <f>+'_DATA STT PAGOS_'!F214</f>
        <v>327103</v>
      </c>
      <c r="T212" s="612">
        <f>+'_DATA STT PAGOS_'!Q214</f>
        <v>6453590.0300000003</v>
      </c>
      <c r="U212" s="613" t="str">
        <f>SUBSTITUTE((IFERROR(VLOOKUP(A212,'DATOS IND MINERO'!$H$2:$L$113,4,0),"No")),"í","I",1)</f>
        <v>No</v>
      </c>
      <c r="V212" s="614">
        <f>IFERROR(VLOOKUP(A212,'DATOS IND MINERO'!$H$2:$L$113,5,0),0)</f>
        <v>0</v>
      </c>
      <c r="W212" s="611">
        <f>+'_DATA STT PAGOS_'!G214</f>
        <v>0</v>
      </c>
      <c r="X212" s="611">
        <f>+'_DATA STT PAGOS_'!J214</f>
        <v>6745319.517</v>
      </c>
      <c r="Y212" s="609">
        <v>99765</v>
      </c>
      <c r="Z212" s="609">
        <v>55685</v>
      </c>
      <c r="AA212" s="609">
        <v>74035</v>
      </c>
      <c r="AB212" s="609">
        <v>66891</v>
      </c>
      <c r="AC212" s="609">
        <v>296376</v>
      </c>
      <c r="AD212" s="609">
        <v>2314</v>
      </c>
      <c r="AE212" s="609">
        <v>1200</v>
      </c>
      <c r="AF212" s="609">
        <v>1648.1020000000001</v>
      </c>
      <c r="AG212" s="609">
        <v>1367</v>
      </c>
      <c r="AH212" s="609">
        <v>6529.1019999999999</v>
      </c>
      <c r="AI212" s="209"/>
    </row>
    <row r="213" spans="1:35" x14ac:dyDescent="0.25">
      <c r="A213" s="201">
        <v>10103</v>
      </c>
      <c r="B213" s="201">
        <v>10302</v>
      </c>
      <c r="C213" s="201" t="s">
        <v>414</v>
      </c>
      <c r="D213" s="609">
        <v>3947</v>
      </c>
      <c r="E213" s="610">
        <v>0.1079937247332228</v>
      </c>
      <c r="F213" s="609">
        <v>211730.60542908439</v>
      </c>
      <c r="G213" s="609">
        <v>2414</v>
      </c>
      <c r="H213" s="609">
        <v>5037</v>
      </c>
      <c r="I213" s="609">
        <v>51498895505</v>
      </c>
      <c r="J213" s="609">
        <v>232165780844</v>
      </c>
      <c r="K213" s="608">
        <v>0</v>
      </c>
      <c r="L213" s="608">
        <v>0</v>
      </c>
      <c r="M213" s="609">
        <v>621582</v>
      </c>
      <c r="N213" s="609">
        <f t="shared" si="12"/>
        <v>621582</v>
      </c>
      <c r="O213" s="609">
        <f t="shared" si="13"/>
        <v>621582</v>
      </c>
      <c r="P213" s="609">
        <f t="shared" si="14"/>
        <v>621582</v>
      </c>
      <c r="Q213" s="611">
        <f>+'_DATA STT PAGOS_'!D215</f>
        <v>1617705.503</v>
      </c>
      <c r="R213" s="611">
        <f>+'_DATA STT PAGOS_'!E215</f>
        <v>134808.79191666667</v>
      </c>
      <c r="S213" s="611">
        <f>+'_DATA STT PAGOS_'!F215</f>
        <v>106499</v>
      </c>
      <c r="T213" s="612">
        <f>+'_DATA STT PAGOS_'!Q215</f>
        <v>2119212.1460000002</v>
      </c>
      <c r="U213" s="613" t="str">
        <f>SUBSTITUTE((IFERROR(VLOOKUP(A213,'DATOS IND MINERO'!$H$2:$L$113,4,0),"No")),"í","I",1)</f>
        <v>No</v>
      </c>
      <c r="V213" s="614">
        <f>IFERROR(VLOOKUP(A213,'DATOS IND MINERO'!$H$2:$L$113,5,0),0)</f>
        <v>0</v>
      </c>
      <c r="W213" s="611">
        <f>+'_DATA STT PAGOS_'!G215</f>
        <v>0</v>
      </c>
      <c r="X213" s="611">
        <f>+'_DATA STT PAGOS_'!J215</f>
        <v>2195215.764</v>
      </c>
      <c r="Y213" s="609">
        <v>39760</v>
      </c>
      <c r="Z213" s="609">
        <v>24865</v>
      </c>
      <c r="AA213" s="609">
        <v>26927</v>
      </c>
      <c r="AB213" s="609">
        <v>23475</v>
      </c>
      <c r="AC213" s="609">
        <v>115027</v>
      </c>
      <c r="AD213" s="609">
        <v>0</v>
      </c>
      <c r="AE213" s="609">
        <v>0</v>
      </c>
      <c r="AF213" s="609">
        <v>0</v>
      </c>
      <c r="AG213" s="609">
        <v>0</v>
      </c>
      <c r="AH213" s="609">
        <v>0</v>
      </c>
      <c r="AI213" s="209"/>
    </row>
    <row r="214" spans="1:35" x14ac:dyDescent="0.25">
      <c r="A214" s="201">
        <v>10104</v>
      </c>
      <c r="B214" s="201">
        <v>10304</v>
      </c>
      <c r="C214" s="201" t="s">
        <v>248</v>
      </c>
      <c r="D214" s="609">
        <v>12571</v>
      </c>
      <c r="E214" s="610">
        <v>0.1120609040367706</v>
      </c>
      <c r="F214" s="609">
        <v>165522.98047157674</v>
      </c>
      <c r="G214" s="609">
        <v>5004</v>
      </c>
      <c r="H214" s="609">
        <v>8008</v>
      </c>
      <c r="I214" s="609">
        <v>112204677463</v>
      </c>
      <c r="J214" s="609">
        <v>424398293101</v>
      </c>
      <c r="K214" s="608">
        <v>0</v>
      </c>
      <c r="L214" s="608">
        <v>0</v>
      </c>
      <c r="M214" s="609">
        <v>875323</v>
      </c>
      <c r="N214" s="609">
        <f t="shared" si="12"/>
        <v>875323</v>
      </c>
      <c r="O214" s="609">
        <f t="shared" si="13"/>
        <v>875323</v>
      </c>
      <c r="P214" s="609">
        <f t="shared" si="14"/>
        <v>875323</v>
      </c>
      <c r="Q214" s="611">
        <f>+'_DATA STT PAGOS_'!D216</f>
        <v>2415341.7480000001</v>
      </c>
      <c r="R214" s="611">
        <f>+'_DATA STT PAGOS_'!E216</f>
        <v>201278.47900000002</v>
      </c>
      <c r="S214" s="611">
        <f>+'_DATA STT PAGOS_'!F216</f>
        <v>159010</v>
      </c>
      <c r="T214" s="612">
        <f>+'_DATA STT PAGOS_'!Q216</f>
        <v>3247297.2059999998</v>
      </c>
      <c r="U214" s="613" t="str">
        <f>SUBSTITUTE((IFERROR(VLOOKUP(A214,'DATOS IND MINERO'!$H$2:$L$113,4,0),"No")),"í","I",1)</f>
        <v>No</v>
      </c>
      <c r="V214" s="614">
        <f>IFERROR(VLOOKUP(A214,'DATOS IND MINERO'!$H$2:$L$113,5,0),0)</f>
        <v>0</v>
      </c>
      <c r="W214" s="611">
        <f>+'_DATA STT PAGOS_'!G216</f>
        <v>0</v>
      </c>
      <c r="X214" s="611">
        <f>+'_DATA STT PAGOS_'!J216</f>
        <v>3277674.2190000005</v>
      </c>
      <c r="Y214" s="609">
        <v>70781</v>
      </c>
      <c r="Z214" s="609">
        <v>38738</v>
      </c>
      <c r="AA214" s="609">
        <v>53315</v>
      </c>
      <c r="AB214" s="609">
        <v>29425</v>
      </c>
      <c r="AC214" s="609">
        <v>192259</v>
      </c>
      <c r="AD214" s="609">
        <v>1424</v>
      </c>
      <c r="AE214" s="609">
        <v>778</v>
      </c>
      <c r="AF214" s="609">
        <v>785.14700000000005</v>
      </c>
      <c r="AG214" s="609">
        <v>297</v>
      </c>
      <c r="AH214" s="609">
        <v>3284.1469999999999</v>
      </c>
      <c r="AI214" s="209"/>
    </row>
    <row r="215" spans="1:35" x14ac:dyDescent="0.25">
      <c r="A215" s="201">
        <v>10105</v>
      </c>
      <c r="B215" s="201">
        <v>10305</v>
      </c>
      <c r="C215" s="201" t="s">
        <v>249</v>
      </c>
      <c r="D215" s="609">
        <v>20817</v>
      </c>
      <c r="E215" s="610">
        <v>5.8362247635558452E-2</v>
      </c>
      <c r="F215" s="609">
        <v>447579.5977122488</v>
      </c>
      <c r="G215" s="609">
        <v>6372</v>
      </c>
      <c r="H215" s="609">
        <v>14291</v>
      </c>
      <c r="I215" s="609">
        <v>192418609633</v>
      </c>
      <c r="J215" s="609">
        <v>829551076038</v>
      </c>
      <c r="K215" s="608">
        <v>0</v>
      </c>
      <c r="L215" s="608">
        <v>0</v>
      </c>
      <c r="M215" s="609">
        <v>4305065</v>
      </c>
      <c r="N215" s="609">
        <f t="shared" si="12"/>
        <v>4305065</v>
      </c>
      <c r="O215" s="609">
        <f t="shared" si="13"/>
        <v>4305065</v>
      </c>
      <c r="P215" s="609">
        <f t="shared" si="14"/>
        <v>4305065</v>
      </c>
      <c r="Q215" s="611">
        <f>+'_DATA STT PAGOS_'!D217</f>
        <v>2053830.5179999999</v>
      </c>
      <c r="R215" s="611">
        <f>+'_DATA STT PAGOS_'!E217</f>
        <v>171152.54316666667</v>
      </c>
      <c r="S215" s="611">
        <f>+'_DATA STT PAGOS_'!F217</f>
        <v>135211</v>
      </c>
      <c r="T215" s="612">
        <f>+'_DATA STT PAGOS_'!Q217</f>
        <v>2718470.5019999999</v>
      </c>
      <c r="U215" s="613" t="str">
        <f>SUBSTITUTE((IFERROR(VLOOKUP(A215,'DATOS IND MINERO'!$H$2:$L$113,4,0),"No")),"í","I",1)</f>
        <v>No</v>
      </c>
      <c r="V215" s="614">
        <f>IFERROR(VLOOKUP(A215,'DATOS IND MINERO'!$H$2:$L$113,5,0),0)</f>
        <v>0</v>
      </c>
      <c r="W215" s="611">
        <f>+'_DATA STT PAGOS_'!G217</f>
        <v>0</v>
      </c>
      <c r="X215" s="611">
        <f>+'_DATA STT PAGOS_'!J217</f>
        <v>2785358.7879999997</v>
      </c>
      <c r="Y215" s="609">
        <v>269781</v>
      </c>
      <c r="Z215" s="609">
        <v>163099</v>
      </c>
      <c r="AA215" s="609">
        <v>225595</v>
      </c>
      <c r="AB215" s="609">
        <v>172705</v>
      </c>
      <c r="AC215" s="609">
        <v>831180</v>
      </c>
      <c r="AD215" s="609">
        <v>28288</v>
      </c>
      <c r="AE215" s="609">
        <v>11071</v>
      </c>
      <c r="AF215" s="609">
        <v>16056.998</v>
      </c>
      <c r="AG215" s="609">
        <v>11428</v>
      </c>
      <c r="AH215" s="609">
        <v>66843.997999999992</v>
      </c>
      <c r="AI215" s="209"/>
    </row>
    <row r="216" spans="1:35" x14ac:dyDescent="0.25">
      <c r="A216" s="201">
        <v>10106</v>
      </c>
      <c r="B216" s="201">
        <v>10308</v>
      </c>
      <c r="C216" s="201" t="s">
        <v>251</v>
      </c>
      <c r="D216" s="609">
        <v>17832</v>
      </c>
      <c r="E216" s="610">
        <v>0.11645885284523901</v>
      </c>
      <c r="F216" s="609">
        <v>276630.21953802649</v>
      </c>
      <c r="G216" s="609">
        <v>6876</v>
      </c>
      <c r="H216" s="609">
        <v>12574</v>
      </c>
      <c r="I216" s="609">
        <v>142630340370</v>
      </c>
      <c r="J216" s="609">
        <v>490301946736</v>
      </c>
      <c r="K216" s="608">
        <v>0</v>
      </c>
      <c r="L216" s="608">
        <v>0</v>
      </c>
      <c r="M216" s="609">
        <v>1398260</v>
      </c>
      <c r="N216" s="609">
        <f t="shared" si="12"/>
        <v>1398260</v>
      </c>
      <c r="O216" s="609">
        <f t="shared" si="13"/>
        <v>1398260</v>
      </c>
      <c r="P216" s="609">
        <f t="shared" si="14"/>
        <v>1398260</v>
      </c>
      <c r="Q216" s="611">
        <f>+'_DATA STT PAGOS_'!D218</f>
        <v>2888230.5619999999</v>
      </c>
      <c r="R216" s="611">
        <f>+'_DATA STT PAGOS_'!E218</f>
        <v>240685.88016666667</v>
      </c>
      <c r="S216" s="611">
        <f>+'_DATA STT PAGOS_'!F218</f>
        <v>190142</v>
      </c>
      <c r="T216" s="612">
        <f>+'_DATA STT PAGOS_'!Q218</f>
        <v>3883070.5159999998</v>
      </c>
      <c r="U216" s="613" t="str">
        <f>SUBSTITUTE((IFERROR(VLOOKUP(A216,'DATOS IND MINERO'!$H$2:$L$113,4,0),"No")),"í","I",1)</f>
        <v>No</v>
      </c>
      <c r="V216" s="614">
        <f>IFERROR(VLOOKUP(A216,'DATOS IND MINERO'!$H$2:$L$113,5,0),0)</f>
        <v>0</v>
      </c>
      <c r="W216" s="611">
        <f>+'_DATA STT PAGOS_'!G218</f>
        <v>0</v>
      </c>
      <c r="X216" s="611">
        <f>+'_DATA STT PAGOS_'!J218</f>
        <v>3919395.1979999999</v>
      </c>
      <c r="Y216" s="609">
        <v>72562</v>
      </c>
      <c r="Z216" s="609">
        <v>41081</v>
      </c>
      <c r="AA216" s="609">
        <v>47504</v>
      </c>
      <c r="AB216" s="609">
        <v>37063</v>
      </c>
      <c r="AC216" s="609">
        <v>198210</v>
      </c>
      <c r="AD216" s="609">
        <v>657</v>
      </c>
      <c r="AE216" s="609">
        <v>336</v>
      </c>
      <c r="AF216" s="609">
        <v>433.94499999999999</v>
      </c>
      <c r="AG216" s="609">
        <v>363</v>
      </c>
      <c r="AH216" s="609">
        <v>1789.9449999999999</v>
      </c>
      <c r="AI216" s="209"/>
    </row>
    <row r="217" spans="1:35" x14ac:dyDescent="0.25">
      <c r="A217" s="201">
        <v>10107</v>
      </c>
      <c r="B217" s="201">
        <v>10306</v>
      </c>
      <c r="C217" s="201" t="s">
        <v>250</v>
      </c>
      <c r="D217" s="609">
        <v>18863</v>
      </c>
      <c r="E217" s="610">
        <v>5.9169487402196283E-2</v>
      </c>
      <c r="F217" s="609">
        <v>223255.15835196385</v>
      </c>
      <c r="G217" s="609">
        <v>4914</v>
      </c>
      <c r="H217" s="609">
        <v>8527</v>
      </c>
      <c r="I217" s="609">
        <v>130020412180</v>
      </c>
      <c r="J217" s="609">
        <v>456312551946</v>
      </c>
      <c r="K217" s="608">
        <v>0</v>
      </c>
      <c r="L217" s="608">
        <v>0</v>
      </c>
      <c r="M217" s="609">
        <v>2450461</v>
      </c>
      <c r="N217" s="609">
        <f t="shared" si="12"/>
        <v>2450461</v>
      </c>
      <c r="O217" s="609">
        <f t="shared" si="13"/>
        <v>2450461</v>
      </c>
      <c r="P217" s="609">
        <f t="shared" si="14"/>
        <v>2450461</v>
      </c>
      <c r="Q217" s="611">
        <f>+'_DATA STT PAGOS_'!D219</f>
        <v>2123576.1090000002</v>
      </c>
      <c r="R217" s="611">
        <f>+'_DATA STT PAGOS_'!E219</f>
        <v>176964.67575000002</v>
      </c>
      <c r="S217" s="611">
        <f>+'_DATA STT PAGOS_'!F219</f>
        <v>139802</v>
      </c>
      <c r="T217" s="612">
        <f>+'_DATA STT PAGOS_'!Q219</f>
        <v>2855034.4410000001</v>
      </c>
      <c r="U217" s="613" t="str">
        <f>SUBSTITUTE((IFERROR(VLOOKUP(A217,'DATOS IND MINERO'!$H$2:$L$113,4,0),"No")),"í","I",1)</f>
        <v>No</v>
      </c>
      <c r="V217" s="614">
        <f>IFERROR(VLOOKUP(A217,'DATOS IND MINERO'!$H$2:$L$113,5,0),0)</f>
        <v>0</v>
      </c>
      <c r="W217" s="611">
        <f>+'_DATA STT PAGOS_'!G219</f>
        <v>0</v>
      </c>
      <c r="X217" s="611">
        <f>+'_DATA STT PAGOS_'!J219</f>
        <v>2881741.54</v>
      </c>
      <c r="Y217" s="609">
        <v>142058</v>
      </c>
      <c r="Z217" s="609">
        <v>62287</v>
      </c>
      <c r="AA217" s="609">
        <v>94397</v>
      </c>
      <c r="AB217" s="609">
        <v>76485</v>
      </c>
      <c r="AC217" s="609">
        <v>375227</v>
      </c>
      <c r="AD217" s="609">
        <v>1804</v>
      </c>
      <c r="AE217" s="609">
        <v>716</v>
      </c>
      <c r="AF217" s="609">
        <v>720.94299999999998</v>
      </c>
      <c r="AG217" s="609">
        <v>666</v>
      </c>
      <c r="AH217" s="609">
        <v>3906.9430000000002</v>
      </c>
      <c r="AI217" s="209"/>
    </row>
    <row r="218" spans="1:35" x14ac:dyDescent="0.25">
      <c r="A218" s="201">
        <v>10108</v>
      </c>
      <c r="B218" s="201">
        <v>10307</v>
      </c>
      <c r="C218" s="201" t="s">
        <v>415</v>
      </c>
      <c r="D218" s="609">
        <v>14735</v>
      </c>
      <c r="E218" s="610">
        <v>0.1269646823510594</v>
      </c>
      <c r="F218" s="609">
        <v>286998.74106552126</v>
      </c>
      <c r="G218" s="609">
        <v>6325</v>
      </c>
      <c r="H218" s="609">
        <v>11231</v>
      </c>
      <c r="I218" s="609">
        <v>98473656225</v>
      </c>
      <c r="J218" s="609">
        <v>240288839159</v>
      </c>
      <c r="K218" s="608">
        <v>0</v>
      </c>
      <c r="L218" s="608">
        <v>0</v>
      </c>
      <c r="M218" s="609">
        <v>1361435</v>
      </c>
      <c r="N218" s="609">
        <f t="shared" si="12"/>
        <v>1361435</v>
      </c>
      <c r="O218" s="609">
        <f t="shared" si="13"/>
        <v>1361435</v>
      </c>
      <c r="P218" s="609">
        <f t="shared" si="14"/>
        <v>1361435</v>
      </c>
      <c r="Q218" s="611">
        <f>+'_DATA STT PAGOS_'!D220</f>
        <v>3307567.3149999999</v>
      </c>
      <c r="R218" s="611">
        <f>+'_DATA STT PAGOS_'!E220</f>
        <v>275630.60958333331</v>
      </c>
      <c r="S218" s="611">
        <f>+'_DATA STT PAGOS_'!F220</f>
        <v>217748</v>
      </c>
      <c r="T218" s="612">
        <f>+'_DATA STT PAGOS_'!Q220</f>
        <v>3998926.59</v>
      </c>
      <c r="U218" s="613" t="str">
        <f>SUBSTITUTE((IFERROR(VLOOKUP(A218,'DATOS IND MINERO'!$H$2:$L$113,4,0),"No")),"í","I",1)</f>
        <v>No</v>
      </c>
      <c r="V218" s="614">
        <f>IFERROR(VLOOKUP(A218,'DATOS IND MINERO'!$H$2:$L$113,5,0),0)</f>
        <v>0</v>
      </c>
      <c r="W218" s="611">
        <f>+'_DATA STT PAGOS_'!G220</f>
        <v>0</v>
      </c>
      <c r="X218" s="611">
        <f>+'_DATA STT PAGOS_'!J220</f>
        <v>4490931.5539999995</v>
      </c>
      <c r="Y218" s="609">
        <v>33638</v>
      </c>
      <c r="Z218" s="609">
        <v>14482</v>
      </c>
      <c r="AA218" s="609">
        <v>17487</v>
      </c>
      <c r="AB218" s="609">
        <v>14141</v>
      </c>
      <c r="AC218" s="609">
        <v>79748</v>
      </c>
      <c r="AD218" s="609">
        <v>0</v>
      </c>
      <c r="AE218" s="609">
        <v>0</v>
      </c>
      <c r="AF218" s="609">
        <v>0</v>
      </c>
      <c r="AG218" s="609">
        <v>0</v>
      </c>
      <c r="AH218" s="609">
        <v>0</v>
      </c>
      <c r="AI218" s="209"/>
    </row>
    <row r="219" spans="1:35" x14ac:dyDescent="0.25">
      <c r="A219" s="201">
        <v>10109</v>
      </c>
      <c r="B219" s="201">
        <v>10303</v>
      </c>
      <c r="C219" s="201" t="s">
        <v>247</v>
      </c>
      <c r="D219" s="609">
        <v>51316</v>
      </c>
      <c r="E219" s="610">
        <v>2.1149840961607571E-2</v>
      </c>
      <c r="F219" s="609">
        <v>2306247.1275741481</v>
      </c>
      <c r="G219" s="609">
        <v>10428</v>
      </c>
      <c r="H219" s="609">
        <v>36824</v>
      </c>
      <c r="I219" s="609">
        <v>454947735107</v>
      </c>
      <c r="J219" s="609">
        <v>2616657238413</v>
      </c>
      <c r="K219" s="608">
        <v>0</v>
      </c>
      <c r="L219" s="608">
        <v>0</v>
      </c>
      <c r="M219" s="609">
        <v>14729012</v>
      </c>
      <c r="N219" s="609">
        <f t="shared" si="12"/>
        <v>14729012</v>
      </c>
      <c r="O219" s="609">
        <f t="shared" si="13"/>
        <v>14729012</v>
      </c>
      <c r="P219" s="609">
        <f t="shared" si="14"/>
        <v>14729012</v>
      </c>
      <c r="Q219" s="611">
        <f>+'_DATA STT PAGOS_'!D221</f>
        <v>2148486.4720000001</v>
      </c>
      <c r="R219" s="611">
        <f>+'_DATA STT PAGOS_'!E221</f>
        <v>179040.53933333335</v>
      </c>
      <c r="S219" s="611">
        <f>+'_DATA STT PAGOS_'!F221</f>
        <v>141442</v>
      </c>
      <c r="T219" s="612">
        <f>+'_DATA STT PAGOS_'!Q221</f>
        <v>2883311.0129999998</v>
      </c>
      <c r="U219" s="613" t="str">
        <f>SUBSTITUTE((IFERROR(VLOOKUP(A219,'DATOS IND MINERO'!$H$2:$L$113,4,0),"No")),"í","I",1)</f>
        <v>No</v>
      </c>
      <c r="V219" s="614">
        <f>IFERROR(VLOOKUP(A219,'DATOS IND MINERO'!$H$2:$L$113,5,0),0)</f>
        <v>0</v>
      </c>
      <c r="W219" s="611">
        <f>+'_DATA STT PAGOS_'!G221</f>
        <v>0</v>
      </c>
      <c r="X219" s="611">
        <f>+'_DATA STT PAGOS_'!J221</f>
        <v>2910283.4690000005</v>
      </c>
      <c r="Y219" s="609">
        <v>991259</v>
      </c>
      <c r="Z219" s="609">
        <v>579723</v>
      </c>
      <c r="AA219" s="609">
        <v>742427</v>
      </c>
      <c r="AB219" s="609">
        <v>590285</v>
      </c>
      <c r="AC219" s="609">
        <v>2903694</v>
      </c>
      <c r="AD219" s="609">
        <v>60253</v>
      </c>
      <c r="AE219" s="609">
        <v>25945</v>
      </c>
      <c r="AF219" s="609">
        <v>33605.107000000004</v>
      </c>
      <c r="AG219" s="609">
        <v>22819</v>
      </c>
      <c r="AH219" s="609">
        <v>142622.10700000002</v>
      </c>
      <c r="AI219" s="209"/>
    </row>
    <row r="220" spans="1:35" x14ac:dyDescent="0.25">
      <c r="A220" s="201">
        <v>10201</v>
      </c>
      <c r="B220" s="201">
        <v>10401</v>
      </c>
      <c r="C220" s="201" t="s">
        <v>253</v>
      </c>
      <c r="D220" s="609">
        <v>48727</v>
      </c>
      <c r="E220" s="610">
        <v>3.2261156239627907E-2</v>
      </c>
      <c r="F220" s="609">
        <v>806018.25391469628</v>
      </c>
      <c r="G220" s="609">
        <v>17118</v>
      </c>
      <c r="H220" s="609">
        <v>22246</v>
      </c>
      <c r="I220" s="609">
        <v>382675632414</v>
      </c>
      <c r="J220" s="609">
        <v>834026955962</v>
      </c>
      <c r="K220" s="608">
        <v>0</v>
      </c>
      <c r="L220" s="608">
        <v>0</v>
      </c>
      <c r="M220" s="609">
        <v>5900581</v>
      </c>
      <c r="N220" s="609">
        <f t="shared" si="12"/>
        <v>5900581</v>
      </c>
      <c r="O220" s="609">
        <f t="shared" si="13"/>
        <v>5900581</v>
      </c>
      <c r="P220" s="609">
        <f t="shared" si="14"/>
        <v>5900581</v>
      </c>
      <c r="Q220" s="611">
        <f>+'_DATA STT PAGOS_'!D222</f>
        <v>11394863.403999999</v>
      </c>
      <c r="R220" s="611">
        <f>+'_DATA STT PAGOS_'!E222</f>
        <v>949571.95033333322</v>
      </c>
      <c r="S220" s="611">
        <f>+'_DATA STT PAGOS_'!F222</f>
        <v>750162</v>
      </c>
      <c r="T220" s="612">
        <f>+'_DATA STT PAGOS_'!Q222</f>
        <v>15319781.793</v>
      </c>
      <c r="U220" s="613" t="str">
        <f>SUBSTITUTE((IFERROR(VLOOKUP(A220,'DATOS IND MINERO'!$H$2:$L$113,4,0),"No")),"í","I",1)</f>
        <v>No</v>
      </c>
      <c r="V220" s="614">
        <f>IFERROR(VLOOKUP(A220,'DATOS IND MINERO'!$H$2:$L$113,5,0),0)</f>
        <v>0</v>
      </c>
      <c r="W220" s="611">
        <f>+'_DATA STT PAGOS_'!G222</f>
        <v>0</v>
      </c>
      <c r="X220" s="611">
        <f>+'_DATA STT PAGOS_'!J222</f>
        <v>15463091.296</v>
      </c>
      <c r="Y220" s="609">
        <v>229646</v>
      </c>
      <c r="Z220" s="609">
        <v>143531</v>
      </c>
      <c r="AA220" s="609">
        <v>184924</v>
      </c>
      <c r="AB220" s="609">
        <v>147965</v>
      </c>
      <c r="AC220" s="609">
        <v>706066</v>
      </c>
      <c r="AD220" s="609">
        <v>7851</v>
      </c>
      <c r="AE220" s="609">
        <v>4817</v>
      </c>
      <c r="AF220" s="609">
        <v>5594.067</v>
      </c>
      <c r="AG220" s="609">
        <v>4052</v>
      </c>
      <c r="AH220" s="609">
        <v>22314.066999999999</v>
      </c>
      <c r="AI220" s="209"/>
    </row>
    <row r="221" spans="1:35" x14ac:dyDescent="0.25">
      <c r="A221" s="201">
        <v>10202</v>
      </c>
      <c r="B221" s="201">
        <v>10406</v>
      </c>
      <c r="C221" s="201" t="s">
        <v>255</v>
      </c>
      <c r="D221" s="609">
        <v>42524</v>
      </c>
      <c r="E221" s="610">
        <v>5.5257919173565623E-2</v>
      </c>
      <c r="F221" s="609">
        <v>599685.91629997711</v>
      </c>
      <c r="G221" s="609">
        <v>19767</v>
      </c>
      <c r="H221" s="609">
        <v>32333</v>
      </c>
      <c r="I221" s="609">
        <v>430340722531</v>
      </c>
      <c r="J221" s="609">
        <v>785278787598</v>
      </c>
      <c r="K221" s="608">
        <v>0</v>
      </c>
      <c r="L221" s="608">
        <v>0</v>
      </c>
      <c r="M221" s="609">
        <v>3835690</v>
      </c>
      <c r="N221" s="609">
        <f t="shared" si="12"/>
        <v>3835690</v>
      </c>
      <c r="O221" s="609">
        <f t="shared" si="13"/>
        <v>3835690</v>
      </c>
      <c r="P221" s="609">
        <f t="shared" si="14"/>
        <v>3835690</v>
      </c>
      <c r="Q221" s="611">
        <f>+'_DATA STT PAGOS_'!D223</f>
        <v>7329657.5820000004</v>
      </c>
      <c r="R221" s="611">
        <f>+'_DATA STT PAGOS_'!E223</f>
        <v>610804.79850000003</v>
      </c>
      <c r="S221" s="611">
        <f>+'_DATA STT PAGOS_'!F223</f>
        <v>482536</v>
      </c>
      <c r="T221" s="612">
        <f>+'_DATA STT PAGOS_'!Q223</f>
        <v>9161424.1620000005</v>
      </c>
      <c r="U221" s="613" t="str">
        <f>SUBSTITUTE((IFERROR(VLOOKUP(A221,'DATOS IND MINERO'!$H$2:$L$113,4,0),"No")),"í","I",1)</f>
        <v>No</v>
      </c>
      <c r="V221" s="614">
        <f>IFERROR(VLOOKUP(A221,'DATOS IND MINERO'!$H$2:$L$113,5,0),0)</f>
        <v>0</v>
      </c>
      <c r="W221" s="611">
        <f>+'_DATA STT PAGOS_'!G223</f>
        <v>0</v>
      </c>
      <c r="X221" s="611">
        <f>+'_DATA STT PAGOS_'!J223</f>
        <v>9940640.9299999997</v>
      </c>
      <c r="Y221" s="609">
        <v>137450</v>
      </c>
      <c r="Z221" s="609">
        <v>62862</v>
      </c>
      <c r="AA221" s="609">
        <v>97821</v>
      </c>
      <c r="AB221" s="609">
        <v>70955</v>
      </c>
      <c r="AC221" s="609">
        <v>369088</v>
      </c>
      <c r="AD221" s="609">
        <v>9325</v>
      </c>
      <c r="AE221" s="609">
        <v>5402</v>
      </c>
      <c r="AF221" s="609">
        <v>6961.3190000000004</v>
      </c>
      <c r="AG221" s="609">
        <v>4890</v>
      </c>
      <c r="AH221" s="609">
        <v>26578.319</v>
      </c>
      <c r="AI221" s="209"/>
    </row>
    <row r="222" spans="1:35" x14ac:dyDescent="0.25">
      <c r="A222" s="201">
        <v>10203</v>
      </c>
      <c r="B222" s="201">
        <v>10402</v>
      </c>
      <c r="C222" s="201" t="s">
        <v>254</v>
      </c>
      <c r="D222" s="609">
        <v>16267</v>
      </c>
      <c r="E222" s="610">
        <v>9.2796639158610666E-2</v>
      </c>
      <c r="F222" s="609">
        <v>261480.49155076136</v>
      </c>
      <c r="G222" s="609">
        <v>8616</v>
      </c>
      <c r="H222" s="609">
        <v>13663</v>
      </c>
      <c r="I222" s="609">
        <v>172771711567</v>
      </c>
      <c r="J222" s="609">
        <v>392225040212</v>
      </c>
      <c r="K222" s="608">
        <v>0</v>
      </c>
      <c r="L222" s="608">
        <v>0</v>
      </c>
      <c r="M222" s="609">
        <v>2554206</v>
      </c>
      <c r="N222" s="609">
        <f t="shared" si="12"/>
        <v>2554206</v>
      </c>
      <c r="O222" s="609">
        <f t="shared" si="13"/>
        <v>2554206</v>
      </c>
      <c r="P222" s="609">
        <f t="shared" si="14"/>
        <v>2554206</v>
      </c>
      <c r="Q222" s="611">
        <f>+'_DATA STT PAGOS_'!D224</f>
        <v>3081467.3470000001</v>
      </c>
      <c r="R222" s="611">
        <f>+'_DATA STT PAGOS_'!E224</f>
        <v>256788.94558333335</v>
      </c>
      <c r="S222" s="611">
        <f>+'_DATA STT PAGOS_'!F224</f>
        <v>202863</v>
      </c>
      <c r="T222" s="612">
        <f>+'_DATA STT PAGOS_'!Q224</f>
        <v>3630038.92</v>
      </c>
      <c r="U222" s="613" t="str">
        <f>SUBSTITUTE((IFERROR(VLOOKUP(A222,'DATOS IND MINERO'!$H$2:$L$113,4,0),"No")),"í","I",1)</f>
        <v>No</v>
      </c>
      <c r="V222" s="614">
        <f>IFERROR(VLOOKUP(A222,'DATOS IND MINERO'!$H$2:$L$113,5,0),0)</f>
        <v>0</v>
      </c>
      <c r="W222" s="611">
        <f>+'_DATA STT PAGOS_'!G224</f>
        <v>0</v>
      </c>
      <c r="X222" s="611">
        <f>+'_DATA STT PAGOS_'!J224</f>
        <v>4181311.5860000001</v>
      </c>
      <c r="Y222" s="609">
        <v>76179</v>
      </c>
      <c r="Z222" s="609">
        <v>53799</v>
      </c>
      <c r="AA222" s="609">
        <v>61567</v>
      </c>
      <c r="AB222" s="609">
        <v>50101</v>
      </c>
      <c r="AC222" s="609">
        <v>241646</v>
      </c>
      <c r="AD222" s="609">
        <v>724</v>
      </c>
      <c r="AE222" s="609">
        <v>431</v>
      </c>
      <c r="AF222" s="609">
        <v>536.99</v>
      </c>
      <c r="AG222" s="609">
        <v>424</v>
      </c>
      <c r="AH222" s="609">
        <v>2115.9899999999998</v>
      </c>
      <c r="AI222" s="209"/>
    </row>
    <row r="223" spans="1:35" x14ac:dyDescent="0.25">
      <c r="A223" s="201">
        <v>10204</v>
      </c>
      <c r="B223" s="201">
        <v>10410</v>
      </c>
      <c r="C223" s="201" t="s">
        <v>416</v>
      </c>
      <c r="D223" s="609">
        <v>4135</v>
      </c>
      <c r="E223" s="610">
        <v>9.4541324061761273E-2</v>
      </c>
      <c r="F223" s="609">
        <v>40494.105190536786</v>
      </c>
      <c r="G223" s="609">
        <v>3008</v>
      </c>
      <c r="H223" s="609">
        <v>3403</v>
      </c>
      <c r="I223" s="609">
        <v>39318254983</v>
      </c>
      <c r="J223" s="609">
        <v>51818550504</v>
      </c>
      <c r="K223" s="608">
        <v>0</v>
      </c>
      <c r="L223" s="608">
        <v>0</v>
      </c>
      <c r="M223" s="609">
        <v>341540</v>
      </c>
      <c r="N223" s="609">
        <f t="shared" si="12"/>
        <v>341540</v>
      </c>
      <c r="O223" s="609">
        <f t="shared" si="13"/>
        <v>341540</v>
      </c>
      <c r="P223" s="609">
        <f t="shared" si="14"/>
        <v>341540</v>
      </c>
      <c r="Q223" s="611">
        <f>+'_DATA STT PAGOS_'!D225</f>
        <v>2108248.7940000002</v>
      </c>
      <c r="R223" s="611">
        <f>+'_DATA STT PAGOS_'!E225</f>
        <v>175687.39950000003</v>
      </c>
      <c r="S223" s="611">
        <f>+'_DATA STT PAGOS_'!F225</f>
        <v>138793</v>
      </c>
      <c r="T223" s="612">
        <f>+'_DATA STT PAGOS_'!Q225</f>
        <v>2685551.9019999998</v>
      </c>
      <c r="U223" s="613" t="str">
        <f>SUBSTITUTE((IFERROR(VLOOKUP(A223,'DATOS IND MINERO'!$H$2:$L$113,4,0),"No")),"í","I",1)</f>
        <v>No</v>
      </c>
      <c r="V223" s="614">
        <f>IFERROR(VLOOKUP(A223,'DATOS IND MINERO'!$H$2:$L$113,5,0),0)</f>
        <v>0</v>
      </c>
      <c r="W223" s="611">
        <f>+'_DATA STT PAGOS_'!G225</f>
        <v>0</v>
      </c>
      <c r="X223" s="611">
        <f>+'_DATA STT PAGOS_'!J225</f>
        <v>2860667.1550000003</v>
      </c>
      <c r="Y223" s="609">
        <v>7895</v>
      </c>
      <c r="Z223" s="609">
        <v>1707</v>
      </c>
      <c r="AA223" s="609">
        <v>3601</v>
      </c>
      <c r="AB223" s="609">
        <v>2333</v>
      </c>
      <c r="AC223" s="609">
        <v>15536</v>
      </c>
      <c r="AD223" s="609">
        <v>122</v>
      </c>
      <c r="AE223" s="609">
        <v>147</v>
      </c>
      <c r="AF223" s="609">
        <v>101.396</v>
      </c>
      <c r="AG223" s="609">
        <v>66</v>
      </c>
      <c r="AH223" s="609">
        <v>436.39600000000002</v>
      </c>
      <c r="AI223" s="209"/>
    </row>
    <row r="224" spans="1:35" x14ac:dyDescent="0.25">
      <c r="A224" s="201">
        <v>10205</v>
      </c>
      <c r="B224" s="201">
        <v>10408</v>
      </c>
      <c r="C224" s="201" t="s">
        <v>257</v>
      </c>
      <c r="D224" s="609">
        <v>15456</v>
      </c>
      <c r="E224" s="610">
        <v>9.3492364104413264E-2</v>
      </c>
      <c r="F224" s="609">
        <v>206504.95769895328</v>
      </c>
      <c r="G224" s="609">
        <v>7093</v>
      </c>
      <c r="H224" s="609">
        <v>9957</v>
      </c>
      <c r="I224" s="609">
        <v>159751349996</v>
      </c>
      <c r="J224" s="609">
        <v>287984844044</v>
      </c>
      <c r="K224" s="608">
        <v>0</v>
      </c>
      <c r="L224" s="608">
        <v>0</v>
      </c>
      <c r="M224" s="609">
        <v>1548028</v>
      </c>
      <c r="N224" s="609">
        <f t="shared" si="12"/>
        <v>1548028</v>
      </c>
      <c r="O224" s="609">
        <f t="shared" si="13"/>
        <v>1548028</v>
      </c>
      <c r="P224" s="609">
        <f t="shared" si="14"/>
        <v>1548028</v>
      </c>
      <c r="Q224" s="611">
        <f>+'_DATA STT PAGOS_'!D226</f>
        <v>3391783.264</v>
      </c>
      <c r="R224" s="611">
        <f>+'_DATA STT PAGOS_'!E226</f>
        <v>282648.60533333331</v>
      </c>
      <c r="S224" s="611">
        <f>+'_DATA STT PAGOS_'!F226</f>
        <v>223292</v>
      </c>
      <c r="T224" s="612">
        <f>+'_DATA STT PAGOS_'!Q226</f>
        <v>4200146.4390000002</v>
      </c>
      <c r="U224" s="613" t="str">
        <f>SUBSTITUTE((IFERROR(VLOOKUP(A224,'DATOS IND MINERO'!$H$2:$L$113,4,0),"No")),"í","I",1)</f>
        <v>No</v>
      </c>
      <c r="V224" s="614">
        <f>IFERROR(VLOOKUP(A224,'DATOS IND MINERO'!$H$2:$L$113,5,0),0)</f>
        <v>0</v>
      </c>
      <c r="W224" s="611">
        <f>+'_DATA STT PAGOS_'!G226</f>
        <v>0</v>
      </c>
      <c r="X224" s="611">
        <f>+'_DATA STT PAGOS_'!J226</f>
        <v>4603564.7019999996</v>
      </c>
      <c r="Y224" s="609">
        <v>36447</v>
      </c>
      <c r="Z224" s="609">
        <v>40741</v>
      </c>
      <c r="AA224" s="609">
        <v>31069</v>
      </c>
      <c r="AB224" s="609">
        <v>23505</v>
      </c>
      <c r="AC224" s="609">
        <v>131762</v>
      </c>
      <c r="AD224" s="609">
        <v>1309</v>
      </c>
      <c r="AE224" s="609">
        <v>666</v>
      </c>
      <c r="AF224" s="609">
        <v>733.98599999999999</v>
      </c>
      <c r="AG224" s="609">
        <v>651</v>
      </c>
      <c r="AH224" s="609">
        <v>3359.9859999999999</v>
      </c>
      <c r="AI224" s="209"/>
    </row>
    <row r="225" spans="1:35" x14ac:dyDescent="0.25">
      <c r="A225" s="201">
        <v>10206</v>
      </c>
      <c r="B225" s="201">
        <v>10405</v>
      </c>
      <c r="C225" s="201" t="s">
        <v>417</v>
      </c>
      <c r="D225" s="609">
        <v>4188</v>
      </c>
      <c r="E225" s="610">
        <v>0.17758253796394299</v>
      </c>
      <c r="F225" s="609">
        <v>52645.625496062028</v>
      </c>
      <c r="G225" s="609">
        <v>2704</v>
      </c>
      <c r="H225" s="609">
        <v>3019</v>
      </c>
      <c r="I225" s="609">
        <v>28134244315</v>
      </c>
      <c r="J225" s="609">
        <v>33167729733</v>
      </c>
      <c r="K225" s="608">
        <v>0</v>
      </c>
      <c r="L225" s="608">
        <v>0</v>
      </c>
      <c r="M225" s="609">
        <v>539891</v>
      </c>
      <c r="N225" s="609">
        <f t="shared" si="12"/>
        <v>539891</v>
      </c>
      <c r="O225" s="609">
        <f t="shared" si="13"/>
        <v>539891</v>
      </c>
      <c r="P225" s="609">
        <f t="shared" si="14"/>
        <v>539891</v>
      </c>
      <c r="Q225" s="611">
        <f>+'_DATA STT PAGOS_'!D227</f>
        <v>1930830.6040000001</v>
      </c>
      <c r="R225" s="611">
        <f>+'_DATA STT PAGOS_'!E227</f>
        <v>160902.55033333335</v>
      </c>
      <c r="S225" s="611">
        <f>+'_DATA STT PAGOS_'!F227</f>
        <v>127113</v>
      </c>
      <c r="T225" s="612">
        <f>+'_DATA STT PAGOS_'!Q227</f>
        <v>2335043.6370000001</v>
      </c>
      <c r="U225" s="613" t="str">
        <f>SUBSTITUTE((IFERROR(VLOOKUP(A225,'DATOS IND MINERO'!$H$2:$L$113,4,0),"No")),"í","I",1)</f>
        <v>No</v>
      </c>
      <c r="V225" s="614">
        <f>IFERROR(VLOOKUP(A225,'DATOS IND MINERO'!$H$2:$L$113,5,0),0)</f>
        <v>0</v>
      </c>
      <c r="W225" s="611">
        <f>+'_DATA STT PAGOS_'!G227</f>
        <v>0</v>
      </c>
      <c r="X225" s="611">
        <f>+'_DATA STT PAGOS_'!J227</f>
        <v>2621981.2580000004</v>
      </c>
      <c r="Y225" s="609">
        <v>2195</v>
      </c>
      <c r="Z225" s="609">
        <v>995</v>
      </c>
      <c r="AA225" s="609">
        <v>1998</v>
      </c>
      <c r="AB225" s="609">
        <v>1603</v>
      </c>
      <c r="AC225" s="609">
        <v>6791</v>
      </c>
      <c r="AD225" s="609">
        <v>0</v>
      </c>
      <c r="AE225" s="609">
        <v>0</v>
      </c>
      <c r="AF225" s="609">
        <v>0</v>
      </c>
      <c r="AG225" s="609">
        <v>0</v>
      </c>
      <c r="AH225" s="609">
        <v>0</v>
      </c>
      <c r="AI225" s="209"/>
    </row>
    <row r="226" spans="1:35" x14ac:dyDescent="0.25">
      <c r="A226" s="201">
        <v>10207</v>
      </c>
      <c r="B226" s="201">
        <v>10403</v>
      </c>
      <c r="C226" s="201" t="s">
        <v>418</v>
      </c>
      <c r="D226" s="609">
        <v>5542</v>
      </c>
      <c r="E226" s="610">
        <v>0.1225810557964359</v>
      </c>
      <c r="F226" s="609">
        <v>112505.05772800211</v>
      </c>
      <c r="G226" s="609">
        <v>3956</v>
      </c>
      <c r="H226" s="609">
        <v>5435</v>
      </c>
      <c r="I226" s="609">
        <v>64669927575</v>
      </c>
      <c r="J226" s="609">
        <v>116626579176</v>
      </c>
      <c r="K226" s="608">
        <v>0</v>
      </c>
      <c r="L226" s="608">
        <v>0</v>
      </c>
      <c r="M226" s="609">
        <v>547024</v>
      </c>
      <c r="N226" s="609">
        <f t="shared" si="12"/>
        <v>547024</v>
      </c>
      <c r="O226" s="609">
        <f t="shared" si="13"/>
        <v>547024</v>
      </c>
      <c r="P226" s="609">
        <f t="shared" si="14"/>
        <v>547024</v>
      </c>
      <c r="Q226" s="611">
        <f>+'_DATA STT PAGOS_'!D228</f>
        <v>2227190.7000000002</v>
      </c>
      <c r="R226" s="611">
        <f>+'_DATA STT PAGOS_'!E228</f>
        <v>185599.22500000001</v>
      </c>
      <c r="S226" s="611">
        <f>+'_DATA STT PAGOS_'!F228</f>
        <v>146623</v>
      </c>
      <c r="T226" s="612">
        <f>+'_DATA STT PAGOS_'!Q228</f>
        <v>2698798.7319999998</v>
      </c>
      <c r="U226" s="613" t="str">
        <f>SUBSTITUTE((IFERROR(VLOOKUP(A226,'DATOS IND MINERO'!$H$2:$L$113,4,0),"No")),"í","I",1)</f>
        <v>No</v>
      </c>
      <c r="V226" s="614">
        <f>IFERROR(VLOOKUP(A226,'DATOS IND MINERO'!$H$2:$L$113,5,0),0)</f>
        <v>0</v>
      </c>
      <c r="W226" s="611">
        <f>+'_DATA STT PAGOS_'!G228</f>
        <v>0</v>
      </c>
      <c r="X226" s="611">
        <f>+'_DATA STT PAGOS_'!J228</f>
        <v>3022625.324</v>
      </c>
      <c r="Y226" s="609">
        <v>12824</v>
      </c>
      <c r="Z226" s="609">
        <v>6864</v>
      </c>
      <c r="AA226" s="609">
        <v>8416</v>
      </c>
      <c r="AB226" s="609">
        <v>9853</v>
      </c>
      <c r="AC226" s="609">
        <v>37957</v>
      </c>
      <c r="AD226" s="609">
        <v>325</v>
      </c>
      <c r="AE226" s="609">
        <v>203</v>
      </c>
      <c r="AF226" s="609">
        <v>251.18100000000001</v>
      </c>
      <c r="AG226" s="609">
        <v>179</v>
      </c>
      <c r="AH226" s="609">
        <v>958.18100000000004</v>
      </c>
      <c r="AI226" s="209"/>
    </row>
    <row r="227" spans="1:35" x14ac:dyDescent="0.25">
      <c r="A227" s="201">
        <v>10208</v>
      </c>
      <c r="B227" s="201">
        <v>10404</v>
      </c>
      <c r="C227" s="201" t="s">
        <v>419</v>
      </c>
      <c r="D227" s="609">
        <v>30136</v>
      </c>
      <c r="E227" s="610">
        <v>9.011758946437072E-2</v>
      </c>
      <c r="F227" s="609">
        <v>328730.3445854013</v>
      </c>
      <c r="G227" s="609">
        <v>9184</v>
      </c>
      <c r="H227" s="609">
        <v>12049</v>
      </c>
      <c r="I227" s="609">
        <v>199224320341</v>
      </c>
      <c r="J227" s="609">
        <v>376775528707</v>
      </c>
      <c r="K227" s="608">
        <v>0</v>
      </c>
      <c r="L227" s="608">
        <v>0</v>
      </c>
      <c r="M227" s="609">
        <v>2530930</v>
      </c>
      <c r="N227" s="609">
        <f t="shared" si="12"/>
        <v>2530930</v>
      </c>
      <c r="O227" s="609">
        <f t="shared" si="13"/>
        <v>2530930</v>
      </c>
      <c r="P227" s="609">
        <f t="shared" si="14"/>
        <v>2530930</v>
      </c>
      <c r="Q227" s="611">
        <f>+'_DATA STT PAGOS_'!D229</f>
        <v>4281515.7790000001</v>
      </c>
      <c r="R227" s="611">
        <f>+'_DATA STT PAGOS_'!E229</f>
        <v>356792.98158333334</v>
      </c>
      <c r="S227" s="611">
        <f>+'_DATA STT PAGOS_'!F229</f>
        <v>281866</v>
      </c>
      <c r="T227" s="612">
        <f>+'_DATA STT PAGOS_'!Q229</f>
        <v>4913489.5199999996</v>
      </c>
      <c r="U227" s="613" t="str">
        <f>SUBSTITUTE((IFERROR(VLOOKUP(A227,'DATOS IND MINERO'!$H$2:$L$113,4,0),"No")),"í","I",1)</f>
        <v>No</v>
      </c>
      <c r="V227" s="614">
        <f>IFERROR(VLOOKUP(A227,'DATOS IND MINERO'!$H$2:$L$113,5,0),0)</f>
        <v>0</v>
      </c>
      <c r="W227" s="611">
        <f>+'_DATA STT PAGOS_'!G229</f>
        <v>0</v>
      </c>
      <c r="X227" s="611">
        <f>+'_DATA STT PAGOS_'!J229</f>
        <v>5810697.4469999997</v>
      </c>
      <c r="Y227" s="609">
        <v>62389</v>
      </c>
      <c r="Z227" s="609">
        <v>42638</v>
      </c>
      <c r="AA227" s="609">
        <v>61588</v>
      </c>
      <c r="AB227" s="609">
        <v>39027</v>
      </c>
      <c r="AC227" s="609">
        <v>205642</v>
      </c>
      <c r="AD227" s="609">
        <v>1817</v>
      </c>
      <c r="AE227" s="609">
        <v>887</v>
      </c>
      <c r="AF227" s="609">
        <v>1622.587</v>
      </c>
      <c r="AG227" s="609">
        <v>1029</v>
      </c>
      <c r="AH227" s="609">
        <v>5355.5869999999995</v>
      </c>
      <c r="AI227" s="209"/>
    </row>
    <row r="228" spans="1:35" x14ac:dyDescent="0.25">
      <c r="A228" s="201">
        <v>10209</v>
      </c>
      <c r="B228" s="201">
        <v>10407</v>
      </c>
      <c r="C228" s="201" t="s">
        <v>256</v>
      </c>
      <c r="D228" s="609">
        <v>8754</v>
      </c>
      <c r="E228" s="610">
        <v>0.1237815143860561</v>
      </c>
      <c r="F228" s="609">
        <v>188447.59158714232</v>
      </c>
      <c r="G228" s="609">
        <v>4814</v>
      </c>
      <c r="H228" s="609">
        <v>6301</v>
      </c>
      <c r="I228" s="609">
        <v>62422942642</v>
      </c>
      <c r="J228" s="609">
        <v>111905422824</v>
      </c>
      <c r="K228" s="608">
        <v>0</v>
      </c>
      <c r="L228" s="608">
        <v>0</v>
      </c>
      <c r="M228" s="609">
        <v>1177637</v>
      </c>
      <c r="N228" s="609">
        <f t="shared" si="12"/>
        <v>1177637</v>
      </c>
      <c r="O228" s="609">
        <f t="shared" si="13"/>
        <v>1177637</v>
      </c>
      <c r="P228" s="609">
        <f t="shared" si="14"/>
        <v>1177637</v>
      </c>
      <c r="Q228" s="611">
        <f>+'_DATA STT PAGOS_'!D230</f>
        <v>2722289.986</v>
      </c>
      <c r="R228" s="611">
        <f>+'_DATA STT PAGOS_'!E230</f>
        <v>226857.49883333335</v>
      </c>
      <c r="S228" s="611">
        <f>+'_DATA STT PAGOS_'!F230</f>
        <v>179217</v>
      </c>
      <c r="T228" s="612">
        <f>+'_DATA STT PAGOS_'!Q230</f>
        <v>3356810.9679999999</v>
      </c>
      <c r="U228" s="613" t="str">
        <f>SUBSTITUTE((IFERROR(VLOOKUP(A228,'DATOS IND MINERO'!$H$2:$L$113,4,0),"No")),"í","I",1)</f>
        <v>No</v>
      </c>
      <c r="V228" s="614">
        <f>IFERROR(VLOOKUP(A228,'DATOS IND MINERO'!$H$2:$L$113,5,0),0)</f>
        <v>0</v>
      </c>
      <c r="W228" s="611">
        <f>+'_DATA STT PAGOS_'!G230</f>
        <v>0</v>
      </c>
      <c r="X228" s="611">
        <f>+'_DATA STT PAGOS_'!J230</f>
        <v>3696310.753</v>
      </c>
      <c r="Y228" s="609">
        <v>8784</v>
      </c>
      <c r="Z228" s="609">
        <v>4344</v>
      </c>
      <c r="AA228" s="609">
        <v>6182</v>
      </c>
      <c r="AB228" s="609">
        <v>4425</v>
      </c>
      <c r="AC228" s="609">
        <v>23735</v>
      </c>
      <c r="AD228" s="609">
        <v>293</v>
      </c>
      <c r="AE228" s="609">
        <v>0</v>
      </c>
      <c r="AF228" s="609">
        <v>159.72</v>
      </c>
      <c r="AG228" s="609">
        <v>153</v>
      </c>
      <c r="AH228" s="609">
        <v>605.72</v>
      </c>
      <c r="AI228" s="209"/>
    </row>
    <row r="229" spans="1:35" x14ac:dyDescent="0.25">
      <c r="A229" s="201">
        <v>10210</v>
      </c>
      <c r="B229" s="201">
        <v>10415</v>
      </c>
      <c r="C229" s="201" t="s">
        <v>258</v>
      </c>
      <c r="D229" s="609">
        <v>8186</v>
      </c>
      <c r="E229" s="610">
        <v>0.1243995669858368</v>
      </c>
      <c r="F229" s="609">
        <v>103471.07552554745</v>
      </c>
      <c r="G229" s="609">
        <v>5169</v>
      </c>
      <c r="H229" s="609">
        <v>5700</v>
      </c>
      <c r="I229" s="609">
        <v>54048490529</v>
      </c>
      <c r="J229" s="609">
        <v>70623749676</v>
      </c>
      <c r="K229" s="608">
        <v>0</v>
      </c>
      <c r="L229" s="608">
        <v>0</v>
      </c>
      <c r="M229" s="609">
        <v>1020152</v>
      </c>
      <c r="N229" s="609">
        <f t="shared" si="12"/>
        <v>1020152</v>
      </c>
      <c r="O229" s="609">
        <f t="shared" si="13"/>
        <v>1020152</v>
      </c>
      <c r="P229" s="609">
        <f t="shared" si="14"/>
        <v>1020152</v>
      </c>
      <c r="Q229" s="611">
        <f>+'_DATA STT PAGOS_'!D231</f>
        <v>2587226.733</v>
      </c>
      <c r="R229" s="611">
        <f>+'_DATA STT PAGOS_'!E231</f>
        <v>215602.22774999999</v>
      </c>
      <c r="S229" s="611">
        <f>+'_DATA STT PAGOS_'!F231</f>
        <v>170326</v>
      </c>
      <c r="T229" s="612">
        <f>+'_DATA STT PAGOS_'!Q231</f>
        <v>3284617.872</v>
      </c>
      <c r="U229" s="613" t="str">
        <f>SUBSTITUTE((IFERROR(VLOOKUP(A229,'DATOS IND MINERO'!$H$2:$L$113,4,0),"No")),"í","I",1)</f>
        <v>No</v>
      </c>
      <c r="V229" s="614">
        <f>IFERROR(VLOOKUP(A229,'DATOS IND MINERO'!$H$2:$L$113,5,0),0)</f>
        <v>0</v>
      </c>
      <c r="W229" s="611">
        <f>+'_DATA STT PAGOS_'!G231</f>
        <v>0</v>
      </c>
      <c r="X229" s="611">
        <f>+'_DATA STT PAGOS_'!J231</f>
        <v>3512071.1910000001</v>
      </c>
      <c r="Y229" s="609">
        <v>5679</v>
      </c>
      <c r="Z229" s="609">
        <v>3106</v>
      </c>
      <c r="AA229" s="609">
        <v>5137</v>
      </c>
      <c r="AB229" s="609">
        <v>3663</v>
      </c>
      <c r="AC229" s="609">
        <v>17585</v>
      </c>
      <c r="AD229" s="609">
        <v>0</v>
      </c>
      <c r="AE229" s="609">
        <v>0</v>
      </c>
      <c r="AF229" s="609">
        <v>0</v>
      </c>
      <c r="AG229" s="609">
        <v>0</v>
      </c>
      <c r="AH229" s="609">
        <v>0</v>
      </c>
      <c r="AI229" s="209"/>
    </row>
    <row r="230" spans="1:35" x14ac:dyDescent="0.25">
      <c r="A230" s="201">
        <v>10301</v>
      </c>
      <c r="B230" s="201">
        <v>10201</v>
      </c>
      <c r="C230" s="201" t="s">
        <v>240</v>
      </c>
      <c r="D230" s="609">
        <v>176304</v>
      </c>
      <c r="E230" s="610">
        <v>6.1613408936192021E-2</v>
      </c>
      <c r="F230" s="609">
        <v>1174271.015483204</v>
      </c>
      <c r="G230" s="609">
        <v>49123</v>
      </c>
      <c r="H230" s="609">
        <v>68928</v>
      </c>
      <c r="I230" s="609">
        <v>1853339185975</v>
      </c>
      <c r="J230" s="609">
        <v>4411703380110</v>
      </c>
      <c r="K230" s="608">
        <v>0</v>
      </c>
      <c r="L230" s="608">
        <v>0</v>
      </c>
      <c r="M230" s="609">
        <v>24577846</v>
      </c>
      <c r="N230" s="609">
        <f t="shared" si="12"/>
        <v>24577846</v>
      </c>
      <c r="O230" s="609">
        <f t="shared" si="13"/>
        <v>24577846</v>
      </c>
      <c r="P230" s="609">
        <f t="shared" si="14"/>
        <v>24577846</v>
      </c>
      <c r="Q230" s="611">
        <f>+'_DATA STT PAGOS_'!D232</f>
        <v>11310399.801000001</v>
      </c>
      <c r="R230" s="611">
        <f>+'_DATA STT PAGOS_'!E232</f>
        <v>942533.31675000011</v>
      </c>
      <c r="S230" s="611">
        <f>+'_DATA STT PAGOS_'!F232</f>
        <v>744601</v>
      </c>
      <c r="T230" s="612">
        <f>+'_DATA STT PAGOS_'!Q232</f>
        <v>15109015.566</v>
      </c>
      <c r="U230" s="613" t="str">
        <f>SUBSTITUTE((IFERROR(VLOOKUP(A230,'DATOS IND MINERO'!$H$2:$L$113,4,0),"No")),"í","I",1)</f>
        <v>No</v>
      </c>
      <c r="V230" s="614">
        <f>IFERROR(VLOOKUP(A230,'DATOS IND MINERO'!$H$2:$L$113,5,0),0)</f>
        <v>0</v>
      </c>
      <c r="W230" s="611">
        <f>+'_DATA STT PAGOS_'!G232</f>
        <v>0</v>
      </c>
      <c r="X230" s="611">
        <f>+'_DATA STT PAGOS_'!J232</f>
        <v>15346404.337000001</v>
      </c>
      <c r="Y230" s="609">
        <v>1206336</v>
      </c>
      <c r="Z230" s="609">
        <v>873607</v>
      </c>
      <c r="AA230" s="609">
        <v>993929</v>
      </c>
      <c r="AB230" s="609">
        <v>787718</v>
      </c>
      <c r="AC230" s="609">
        <v>3861590</v>
      </c>
      <c r="AD230" s="609">
        <v>84881</v>
      </c>
      <c r="AE230" s="609">
        <v>43544</v>
      </c>
      <c r="AF230" s="609">
        <v>54763.402000000002</v>
      </c>
      <c r="AG230" s="609">
        <v>38006</v>
      </c>
      <c r="AH230" s="609">
        <v>221194.402</v>
      </c>
      <c r="AI230" s="209"/>
    </row>
    <row r="231" spans="1:35" x14ac:dyDescent="0.25">
      <c r="A231" s="201">
        <v>10302</v>
      </c>
      <c r="B231" s="201">
        <v>10203</v>
      </c>
      <c r="C231" s="201" t="s">
        <v>242</v>
      </c>
      <c r="D231" s="609">
        <v>9056</v>
      </c>
      <c r="E231" s="610">
        <v>7.5298670699175604E-2</v>
      </c>
      <c r="F231" s="609">
        <v>295548.40215738106</v>
      </c>
      <c r="G231" s="609">
        <v>2531</v>
      </c>
      <c r="H231" s="609">
        <v>5141</v>
      </c>
      <c r="I231" s="609">
        <v>67214919529</v>
      </c>
      <c r="J231" s="609">
        <v>619888746663</v>
      </c>
      <c r="K231" s="608">
        <v>0</v>
      </c>
      <c r="L231" s="608">
        <v>0</v>
      </c>
      <c r="M231" s="609">
        <v>1560277</v>
      </c>
      <c r="N231" s="609">
        <f t="shared" si="12"/>
        <v>1560277</v>
      </c>
      <c r="O231" s="609">
        <f t="shared" si="13"/>
        <v>1560277</v>
      </c>
      <c r="P231" s="609">
        <f t="shared" si="14"/>
        <v>1560277</v>
      </c>
      <c r="Q231" s="611">
        <f>+'_DATA STT PAGOS_'!D233</f>
        <v>1668396.7220000001</v>
      </c>
      <c r="R231" s="611">
        <f>+'_DATA STT PAGOS_'!E233</f>
        <v>139033.06016666666</v>
      </c>
      <c r="S231" s="611">
        <f>+'_DATA STT PAGOS_'!F233</f>
        <v>109836</v>
      </c>
      <c r="T231" s="612">
        <f>+'_DATA STT PAGOS_'!Q233</f>
        <v>2178283.8739999998</v>
      </c>
      <c r="U231" s="613" t="str">
        <f>SUBSTITUTE((IFERROR(VLOOKUP(A231,'DATOS IND MINERO'!$H$2:$L$113,4,0),"No")),"í","I",1)</f>
        <v>No</v>
      </c>
      <c r="V231" s="614">
        <f>IFERROR(VLOOKUP(A231,'DATOS IND MINERO'!$H$2:$L$113,5,0),0)</f>
        <v>0</v>
      </c>
      <c r="W231" s="611">
        <f>+'_DATA STT PAGOS_'!G233</f>
        <v>0</v>
      </c>
      <c r="X231" s="611">
        <f>+'_DATA STT PAGOS_'!J233</f>
        <v>2263480.5160000003</v>
      </c>
      <c r="Y231" s="609">
        <v>141992</v>
      </c>
      <c r="Z231" s="609">
        <v>99143</v>
      </c>
      <c r="AA231" s="609">
        <v>101409</v>
      </c>
      <c r="AB231" s="609">
        <v>97406</v>
      </c>
      <c r="AC231" s="609">
        <v>439950</v>
      </c>
      <c r="AD231" s="609">
        <v>788</v>
      </c>
      <c r="AE231" s="609">
        <v>248</v>
      </c>
      <c r="AF231" s="609">
        <v>741.79399999999998</v>
      </c>
      <c r="AG231" s="609">
        <v>312</v>
      </c>
      <c r="AH231" s="609">
        <v>2089.7939999999999</v>
      </c>
      <c r="AI231" s="209"/>
    </row>
    <row r="232" spans="1:35" x14ac:dyDescent="0.25">
      <c r="A232" s="201">
        <v>10303</v>
      </c>
      <c r="B232" s="201">
        <v>10206</v>
      </c>
      <c r="C232" s="201" t="s">
        <v>244</v>
      </c>
      <c r="D232" s="609">
        <v>20968</v>
      </c>
      <c r="E232" s="610">
        <v>8.5892131487739512E-2</v>
      </c>
      <c r="F232" s="609">
        <v>167522.35792195422</v>
      </c>
      <c r="G232" s="609">
        <v>6631</v>
      </c>
      <c r="H232" s="609">
        <v>9156</v>
      </c>
      <c r="I232" s="609">
        <v>204418358784</v>
      </c>
      <c r="J232" s="609">
        <v>744228897665</v>
      </c>
      <c r="K232" s="608">
        <v>0</v>
      </c>
      <c r="L232" s="608">
        <v>0</v>
      </c>
      <c r="M232" s="609">
        <v>2511572</v>
      </c>
      <c r="N232" s="609">
        <f t="shared" si="12"/>
        <v>2511572</v>
      </c>
      <c r="O232" s="609">
        <f t="shared" si="13"/>
        <v>2511572</v>
      </c>
      <c r="P232" s="609">
        <f t="shared" si="14"/>
        <v>2511572</v>
      </c>
      <c r="Q232" s="611">
        <f>+'_DATA STT PAGOS_'!D234</f>
        <v>2941156.5809999998</v>
      </c>
      <c r="R232" s="611">
        <f>+'_DATA STT PAGOS_'!E234</f>
        <v>245096.38174999997</v>
      </c>
      <c r="S232" s="611">
        <f>+'_DATA STT PAGOS_'!F234</f>
        <v>193626</v>
      </c>
      <c r="T232" s="612">
        <f>+'_DATA STT PAGOS_'!Q234</f>
        <v>3737107.45</v>
      </c>
      <c r="U232" s="613" t="str">
        <f>SUBSTITUTE((IFERROR(VLOOKUP(A232,'DATOS IND MINERO'!$H$2:$L$113,4,0),"No")),"í","I",1)</f>
        <v>No</v>
      </c>
      <c r="V232" s="614">
        <f>IFERROR(VLOOKUP(A232,'DATOS IND MINERO'!$H$2:$L$113,5,0),0)</f>
        <v>0</v>
      </c>
      <c r="W232" s="611">
        <f>+'_DATA STT PAGOS_'!G234</f>
        <v>0</v>
      </c>
      <c r="X232" s="611">
        <f>+'_DATA STT PAGOS_'!J234</f>
        <v>3992394.8419999997</v>
      </c>
      <c r="Y232" s="609">
        <v>126886</v>
      </c>
      <c r="Z232" s="609">
        <v>86325</v>
      </c>
      <c r="AA232" s="609">
        <v>100420</v>
      </c>
      <c r="AB232" s="609">
        <v>76286</v>
      </c>
      <c r="AC232" s="609">
        <v>389917</v>
      </c>
      <c r="AD232" s="609">
        <v>1610</v>
      </c>
      <c r="AE232" s="609">
        <v>1510</v>
      </c>
      <c r="AF232" s="609">
        <v>1161.509</v>
      </c>
      <c r="AG232" s="609">
        <v>904</v>
      </c>
      <c r="AH232" s="609">
        <v>5185.509</v>
      </c>
      <c r="AI232" s="209"/>
    </row>
    <row r="233" spans="1:35" x14ac:dyDescent="0.25">
      <c r="A233" s="201">
        <v>10304</v>
      </c>
      <c r="B233" s="201">
        <v>10204</v>
      </c>
      <c r="C233" s="201" t="s">
        <v>243</v>
      </c>
      <c r="D233" s="609">
        <v>11818</v>
      </c>
      <c r="E233" s="610">
        <v>9.5661433936762366E-2</v>
      </c>
      <c r="F233" s="609">
        <v>636321.46505130641</v>
      </c>
      <c r="G233" s="609">
        <v>4309</v>
      </c>
      <c r="H233" s="609">
        <v>7883</v>
      </c>
      <c r="I233" s="609">
        <v>134728000871</v>
      </c>
      <c r="J233" s="609">
        <v>575854633376</v>
      </c>
      <c r="K233" s="608">
        <v>0</v>
      </c>
      <c r="L233" s="608">
        <v>0</v>
      </c>
      <c r="M233" s="609">
        <v>1840300</v>
      </c>
      <c r="N233" s="609">
        <f t="shared" si="12"/>
        <v>1840300</v>
      </c>
      <c r="O233" s="609">
        <f t="shared" si="13"/>
        <v>1840300</v>
      </c>
      <c r="P233" s="609">
        <f t="shared" si="14"/>
        <v>1840300</v>
      </c>
      <c r="Q233" s="611">
        <f>+'_DATA STT PAGOS_'!D235</f>
        <v>1864817.4550000001</v>
      </c>
      <c r="R233" s="611">
        <f>+'_DATA STT PAGOS_'!E235</f>
        <v>155401.45458333334</v>
      </c>
      <c r="S233" s="611">
        <f>+'_DATA STT PAGOS_'!F235</f>
        <v>122767</v>
      </c>
      <c r="T233" s="612">
        <f>+'_DATA STT PAGOS_'!Q235</f>
        <v>2410976.3859999999</v>
      </c>
      <c r="U233" s="613" t="str">
        <f>SUBSTITUTE((IFERROR(VLOOKUP(A233,'DATOS IND MINERO'!$H$2:$L$113,4,0),"No")),"í","I",1)</f>
        <v>No</v>
      </c>
      <c r="V233" s="614">
        <f>IFERROR(VLOOKUP(A233,'DATOS IND MINERO'!$H$2:$L$113,5,0),0)</f>
        <v>0</v>
      </c>
      <c r="W233" s="611">
        <f>+'_DATA STT PAGOS_'!G235</f>
        <v>0</v>
      </c>
      <c r="X233" s="611">
        <f>+'_DATA STT PAGOS_'!J235</f>
        <v>2530779.0590000004</v>
      </c>
      <c r="Y233" s="609">
        <v>149552</v>
      </c>
      <c r="Z233" s="609">
        <v>93218</v>
      </c>
      <c r="AA233" s="609">
        <v>99958</v>
      </c>
      <c r="AB233" s="609">
        <v>95390</v>
      </c>
      <c r="AC233" s="609">
        <v>438118</v>
      </c>
      <c r="AD233" s="609">
        <v>175</v>
      </c>
      <c r="AE233" s="609">
        <v>147</v>
      </c>
      <c r="AF233" s="609">
        <v>123.85599999999999</v>
      </c>
      <c r="AG233" s="609">
        <v>126</v>
      </c>
      <c r="AH233" s="609">
        <v>571.85599999999999</v>
      </c>
      <c r="AI233" s="209"/>
    </row>
    <row r="234" spans="1:35" x14ac:dyDescent="0.25">
      <c r="A234" s="201">
        <v>10305</v>
      </c>
      <c r="B234" s="201">
        <v>10205</v>
      </c>
      <c r="C234" s="201" t="s">
        <v>420</v>
      </c>
      <c r="D234" s="609">
        <v>14085</v>
      </c>
      <c r="E234" s="610">
        <v>8.3098113434137283E-2</v>
      </c>
      <c r="F234" s="609">
        <v>169408.34885135893</v>
      </c>
      <c r="G234" s="609">
        <v>5211</v>
      </c>
      <c r="H234" s="609">
        <v>7690</v>
      </c>
      <c r="I234" s="609">
        <v>141078335889</v>
      </c>
      <c r="J234" s="609">
        <v>547767602174</v>
      </c>
      <c r="K234" s="608">
        <v>0</v>
      </c>
      <c r="L234" s="608">
        <v>0</v>
      </c>
      <c r="M234" s="609">
        <v>1366004</v>
      </c>
      <c r="N234" s="609">
        <f t="shared" si="12"/>
        <v>1366004</v>
      </c>
      <c r="O234" s="609">
        <f t="shared" si="13"/>
        <v>1366004</v>
      </c>
      <c r="P234" s="609">
        <f t="shared" si="14"/>
        <v>1366004</v>
      </c>
      <c r="Q234" s="611">
        <f>+'_DATA STT PAGOS_'!D236</f>
        <v>2346891.36</v>
      </c>
      <c r="R234" s="611">
        <f>+'_DATA STT PAGOS_'!E236</f>
        <v>195574.28</v>
      </c>
      <c r="S234" s="611">
        <f>+'_DATA STT PAGOS_'!F236</f>
        <v>154504</v>
      </c>
      <c r="T234" s="612">
        <f>+'_DATA STT PAGOS_'!Q236</f>
        <v>3155268.9559999998</v>
      </c>
      <c r="U234" s="613" t="str">
        <f>SUBSTITUTE((IFERROR(VLOOKUP(A234,'DATOS IND MINERO'!$H$2:$L$113,4,0),"No")),"í","I",1)</f>
        <v>No</v>
      </c>
      <c r="V234" s="614">
        <f>IFERROR(VLOOKUP(A234,'DATOS IND MINERO'!$H$2:$L$113,5,0),0)</f>
        <v>0</v>
      </c>
      <c r="W234" s="611">
        <f>+'_DATA STT PAGOS_'!G236</f>
        <v>0</v>
      </c>
      <c r="X234" s="611">
        <f>+'_DATA STT PAGOS_'!J236</f>
        <v>3184785.469</v>
      </c>
      <c r="Y234" s="609">
        <v>89227</v>
      </c>
      <c r="Z234" s="609">
        <v>68151</v>
      </c>
      <c r="AA234" s="609">
        <v>75294</v>
      </c>
      <c r="AB234" s="609">
        <v>64753</v>
      </c>
      <c r="AC234" s="609">
        <v>297425</v>
      </c>
      <c r="AD234" s="609">
        <v>289</v>
      </c>
      <c r="AE234" s="609">
        <v>194</v>
      </c>
      <c r="AF234" s="609">
        <v>172.726</v>
      </c>
      <c r="AG234" s="609">
        <v>168</v>
      </c>
      <c r="AH234" s="609">
        <v>823.726</v>
      </c>
      <c r="AI234" s="209"/>
    </row>
    <row r="235" spans="1:35" x14ac:dyDescent="0.25">
      <c r="A235" s="201">
        <v>10306</v>
      </c>
      <c r="B235" s="201">
        <v>10207</v>
      </c>
      <c r="C235" s="201" t="s">
        <v>245</v>
      </c>
      <c r="D235" s="609">
        <v>7424</v>
      </c>
      <c r="E235" s="610">
        <v>0.1285194389222041</v>
      </c>
      <c r="F235" s="609">
        <v>554487.88214155857</v>
      </c>
      <c r="G235" s="609">
        <v>5208</v>
      </c>
      <c r="H235" s="609">
        <v>6118</v>
      </c>
      <c r="I235" s="609">
        <v>173533542172</v>
      </c>
      <c r="J235" s="609">
        <v>304001296712</v>
      </c>
      <c r="K235" s="608">
        <v>0</v>
      </c>
      <c r="L235" s="608">
        <v>0</v>
      </c>
      <c r="M235" s="609">
        <v>432192</v>
      </c>
      <c r="N235" s="609">
        <f t="shared" si="12"/>
        <v>432192</v>
      </c>
      <c r="O235" s="609">
        <f t="shared" si="13"/>
        <v>432192</v>
      </c>
      <c r="P235" s="609">
        <f t="shared" si="14"/>
        <v>432192</v>
      </c>
      <c r="Q235" s="611">
        <f>+'_DATA STT PAGOS_'!D237</f>
        <v>4069194.2820000001</v>
      </c>
      <c r="R235" s="611">
        <f>+'_DATA STT PAGOS_'!E237</f>
        <v>339099.52350000001</v>
      </c>
      <c r="S235" s="611">
        <f>+'_DATA STT PAGOS_'!F237</f>
        <v>267889</v>
      </c>
      <c r="T235" s="612">
        <f>+'_DATA STT PAGOS_'!Q237</f>
        <v>4595491.26</v>
      </c>
      <c r="U235" s="613" t="str">
        <f>SUBSTITUTE((IFERROR(VLOOKUP(A235,'DATOS IND MINERO'!$H$2:$L$113,4,0),"No")),"í","I",1)</f>
        <v>No</v>
      </c>
      <c r="V235" s="614">
        <f>IFERROR(VLOOKUP(A235,'DATOS IND MINERO'!$H$2:$L$113,5,0),0)</f>
        <v>0</v>
      </c>
      <c r="W235" s="611">
        <f>+'_DATA STT PAGOS_'!G237</f>
        <v>0</v>
      </c>
      <c r="X235" s="611">
        <f>+'_DATA STT PAGOS_'!J237</f>
        <v>5519336.4130000006</v>
      </c>
      <c r="Y235" s="609">
        <v>12965</v>
      </c>
      <c r="Z235" s="609">
        <v>10973</v>
      </c>
      <c r="AA235" s="609">
        <v>13749</v>
      </c>
      <c r="AB235" s="609">
        <v>10704</v>
      </c>
      <c r="AC235" s="609">
        <v>48391</v>
      </c>
      <c r="AD235" s="609">
        <v>314</v>
      </c>
      <c r="AE235" s="609">
        <v>258</v>
      </c>
      <c r="AF235" s="609">
        <v>157.07300000000001</v>
      </c>
      <c r="AG235" s="609">
        <v>82</v>
      </c>
      <c r="AH235" s="609">
        <v>811.07299999999998</v>
      </c>
      <c r="AI235" s="209"/>
    </row>
    <row r="236" spans="1:35" x14ac:dyDescent="0.25">
      <c r="A236" s="201">
        <v>10307</v>
      </c>
      <c r="B236" s="201">
        <v>10202</v>
      </c>
      <c r="C236" s="201" t="s">
        <v>241</v>
      </c>
      <c r="D236" s="609">
        <v>10537</v>
      </c>
      <c r="E236" s="610">
        <v>9.8250333020331621E-2</v>
      </c>
      <c r="F236" s="609">
        <v>127834.79805629986</v>
      </c>
      <c r="G236" s="609">
        <v>4664</v>
      </c>
      <c r="H236" s="609">
        <v>6251</v>
      </c>
      <c r="I236" s="609">
        <v>91304862893</v>
      </c>
      <c r="J236" s="609">
        <v>370368869158</v>
      </c>
      <c r="K236" s="608">
        <v>0</v>
      </c>
      <c r="L236" s="608">
        <v>0</v>
      </c>
      <c r="M236" s="609">
        <v>1188153</v>
      </c>
      <c r="N236" s="609">
        <f t="shared" si="12"/>
        <v>1188153</v>
      </c>
      <c r="O236" s="609">
        <f t="shared" si="13"/>
        <v>1188153</v>
      </c>
      <c r="P236" s="609">
        <f t="shared" si="14"/>
        <v>1188153</v>
      </c>
      <c r="Q236" s="611">
        <f>+'_DATA STT PAGOS_'!D238</f>
        <v>2031945.469</v>
      </c>
      <c r="R236" s="611">
        <f>+'_DATA STT PAGOS_'!E238</f>
        <v>169328.78908333334</v>
      </c>
      <c r="S236" s="611">
        <f>+'_DATA STT PAGOS_'!F238</f>
        <v>133770</v>
      </c>
      <c r="T236" s="612">
        <f>+'_DATA STT PAGOS_'!Q238</f>
        <v>2635668.6439999999</v>
      </c>
      <c r="U236" s="613" t="str">
        <f>SUBSTITUTE((IFERROR(VLOOKUP(A236,'DATOS IND MINERO'!$H$2:$L$113,4,0),"No")),"í","I",1)</f>
        <v>No</v>
      </c>
      <c r="V236" s="614">
        <f>IFERROR(VLOOKUP(A236,'DATOS IND MINERO'!$H$2:$L$113,5,0),0)</f>
        <v>0</v>
      </c>
      <c r="W236" s="611">
        <f>+'_DATA STT PAGOS_'!G238</f>
        <v>0</v>
      </c>
      <c r="X236" s="611">
        <f>+'_DATA STT PAGOS_'!J238</f>
        <v>2758470.943</v>
      </c>
      <c r="Y236" s="609">
        <v>77450</v>
      </c>
      <c r="Z236" s="609">
        <v>38179</v>
      </c>
      <c r="AA236" s="609">
        <v>45616</v>
      </c>
      <c r="AB236" s="609">
        <v>45322</v>
      </c>
      <c r="AC236" s="609">
        <v>206567</v>
      </c>
      <c r="AD236" s="609">
        <v>219</v>
      </c>
      <c r="AE236" s="609">
        <v>117</v>
      </c>
      <c r="AF236" s="609">
        <v>219.24100000000001</v>
      </c>
      <c r="AG236" s="609">
        <v>175</v>
      </c>
      <c r="AH236" s="609">
        <v>730.24099999999999</v>
      </c>
      <c r="AI236" s="209"/>
    </row>
    <row r="237" spans="1:35" x14ac:dyDescent="0.25">
      <c r="A237" s="201">
        <v>10401</v>
      </c>
      <c r="B237" s="201">
        <v>10501</v>
      </c>
      <c r="C237" s="201" t="s">
        <v>421</v>
      </c>
      <c r="D237" s="609">
        <v>5078</v>
      </c>
      <c r="E237" s="610">
        <v>8.9509867127189183E-2</v>
      </c>
      <c r="F237" s="609">
        <v>165293.33860119671</v>
      </c>
      <c r="G237" s="609">
        <v>3844</v>
      </c>
      <c r="H237" s="609">
        <v>5102</v>
      </c>
      <c r="I237" s="609">
        <v>107786876194</v>
      </c>
      <c r="J237" s="609">
        <v>200523787114</v>
      </c>
      <c r="K237" s="608">
        <v>0</v>
      </c>
      <c r="L237" s="608">
        <v>0</v>
      </c>
      <c r="M237" s="609">
        <v>1295486</v>
      </c>
      <c r="N237" s="609">
        <f t="shared" si="12"/>
        <v>1295486</v>
      </c>
      <c r="O237" s="609">
        <f t="shared" si="13"/>
        <v>1295486</v>
      </c>
      <c r="P237" s="609">
        <f t="shared" si="14"/>
        <v>1295486</v>
      </c>
      <c r="Q237" s="611">
        <f>+'_DATA STT PAGOS_'!D239</f>
        <v>2219163.5019999999</v>
      </c>
      <c r="R237" s="611">
        <f>+'_DATA STT PAGOS_'!E239</f>
        <v>184930.29183333332</v>
      </c>
      <c r="S237" s="611">
        <f>+'_DATA STT PAGOS_'!F239</f>
        <v>146095</v>
      </c>
      <c r="T237" s="612">
        <f>+'_DATA STT PAGOS_'!Q239</f>
        <v>2770094.97</v>
      </c>
      <c r="U237" s="613" t="str">
        <f>SUBSTITUTE((IFERROR(VLOOKUP(A237,'DATOS IND MINERO'!$H$2:$L$113,4,0),"No")),"í","I",1)</f>
        <v>No</v>
      </c>
      <c r="V237" s="614">
        <f>IFERROR(VLOOKUP(A237,'DATOS IND MINERO'!$H$2:$L$113,5,0),0)</f>
        <v>0</v>
      </c>
      <c r="W237" s="611">
        <f>+'_DATA STT PAGOS_'!G239</f>
        <v>0</v>
      </c>
      <c r="X237" s="611">
        <f>+'_DATA STT PAGOS_'!J239</f>
        <v>3011596.4839999997</v>
      </c>
      <c r="Y237" s="609">
        <v>12858</v>
      </c>
      <c r="Z237" s="609">
        <v>10248</v>
      </c>
      <c r="AA237" s="609">
        <v>11263</v>
      </c>
      <c r="AB237" s="609">
        <v>8248</v>
      </c>
      <c r="AC237" s="609">
        <v>42617</v>
      </c>
      <c r="AD237" s="609">
        <v>210</v>
      </c>
      <c r="AE237" s="609">
        <v>152</v>
      </c>
      <c r="AF237" s="609">
        <v>175.86099999999999</v>
      </c>
      <c r="AG237" s="609">
        <v>65</v>
      </c>
      <c r="AH237" s="609">
        <v>602.86099999999999</v>
      </c>
      <c r="AI237" s="209"/>
    </row>
    <row r="238" spans="1:35" x14ac:dyDescent="0.25">
      <c r="A238" s="201">
        <v>10402</v>
      </c>
      <c r="B238" s="201">
        <v>10503</v>
      </c>
      <c r="C238" s="201" t="s">
        <v>422</v>
      </c>
      <c r="D238" s="609">
        <v>2912</v>
      </c>
      <c r="E238" s="610">
        <v>5.5990404191005219E-2</v>
      </c>
      <c r="F238" s="609">
        <v>43416.148099441954</v>
      </c>
      <c r="G238" s="609">
        <v>1336</v>
      </c>
      <c r="H238" s="609">
        <v>2516</v>
      </c>
      <c r="I238" s="609">
        <v>32852486517</v>
      </c>
      <c r="J238" s="609">
        <v>81908072267</v>
      </c>
      <c r="K238" s="608">
        <v>0</v>
      </c>
      <c r="L238" s="608">
        <v>0</v>
      </c>
      <c r="M238" s="609">
        <v>421202</v>
      </c>
      <c r="N238" s="609">
        <f t="shared" si="12"/>
        <v>421202</v>
      </c>
      <c r="O238" s="609">
        <f t="shared" si="13"/>
        <v>421202</v>
      </c>
      <c r="P238" s="609">
        <f t="shared" si="14"/>
        <v>421202</v>
      </c>
      <c r="Q238" s="611">
        <f>+'_DATA STT PAGOS_'!D240</f>
        <v>2036779.89</v>
      </c>
      <c r="R238" s="611">
        <f>+'_DATA STT PAGOS_'!E240</f>
        <v>169731.6575</v>
      </c>
      <c r="S238" s="611">
        <f>+'_DATA STT PAGOS_'!F240</f>
        <v>134088</v>
      </c>
      <c r="T238" s="612">
        <f>+'_DATA STT PAGOS_'!Q240</f>
        <v>2738341.429</v>
      </c>
      <c r="U238" s="613" t="str">
        <f>SUBSTITUTE((IFERROR(VLOOKUP(A238,'DATOS IND MINERO'!$H$2:$L$113,4,0),"No")),"í","I",1)</f>
        <v>No</v>
      </c>
      <c r="V238" s="614">
        <f>IFERROR(VLOOKUP(A238,'DATOS IND MINERO'!$H$2:$L$113,5,0),0)</f>
        <v>0</v>
      </c>
      <c r="W238" s="611">
        <f>+'_DATA STT PAGOS_'!G240</f>
        <v>0</v>
      </c>
      <c r="X238" s="611">
        <f>+'_DATA STT PAGOS_'!J240</f>
        <v>2763957.085</v>
      </c>
      <c r="Y238" s="609">
        <v>11580</v>
      </c>
      <c r="Z238" s="609">
        <v>7136</v>
      </c>
      <c r="AA238" s="609">
        <v>6826</v>
      </c>
      <c r="AB238" s="609">
        <v>4303</v>
      </c>
      <c r="AC238" s="609">
        <v>29845</v>
      </c>
      <c r="AD238" s="609">
        <v>0</v>
      </c>
      <c r="AE238" s="609">
        <v>108</v>
      </c>
      <c r="AF238" s="609">
        <v>0</v>
      </c>
      <c r="AG238" s="609">
        <v>0</v>
      </c>
      <c r="AH238" s="609">
        <v>108</v>
      </c>
      <c r="AI238" s="209"/>
    </row>
    <row r="239" spans="1:35" x14ac:dyDescent="0.25">
      <c r="A239" s="201">
        <v>10403</v>
      </c>
      <c r="B239" s="201">
        <v>10502</v>
      </c>
      <c r="C239" s="201" t="s">
        <v>35</v>
      </c>
      <c r="D239" s="609">
        <v>9586</v>
      </c>
      <c r="E239" s="610">
        <v>0.10355409931908049</v>
      </c>
      <c r="F239" s="609">
        <v>341344.76744108711</v>
      </c>
      <c r="G239" s="609">
        <v>3613</v>
      </c>
      <c r="H239" s="609">
        <v>5300</v>
      </c>
      <c r="I239" s="609">
        <v>56252228651</v>
      </c>
      <c r="J239" s="609">
        <v>121893893281</v>
      </c>
      <c r="K239" s="608">
        <v>0</v>
      </c>
      <c r="L239" s="608">
        <v>0</v>
      </c>
      <c r="M239" s="609">
        <v>1210178</v>
      </c>
      <c r="N239" s="609">
        <f t="shared" si="12"/>
        <v>1210178</v>
      </c>
      <c r="O239" s="609">
        <f t="shared" si="13"/>
        <v>1210178</v>
      </c>
      <c r="P239" s="609">
        <f t="shared" si="14"/>
        <v>1210178</v>
      </c>
      <c r="Q239" s="611">
        <f>+'_DATA STT PAGOS_'!D241</f>
        <v>3029862.4380000001</v>
      </c>
      <c r="R239" s="611">
        <f>+'_DATA STT PAGOS_'!E241</f>
        <v>252488.53650000002</v>
      </c>
      <c r="S239" s="611">
        <f>+'_DATA STT PAGOS_'!F241</f>
        <v>199466</v>
      </c>
      <c r="T239" s="612">
        <f>+'_DATA STT PAGOS_'!Q241</f>
        <v>3445817.4920000001</v>
      </c>
      <c r="U239" s="613" t="str">
        <f>SUBSTITUTE((IFERROR(VLOOKUP(A239,'DATOS IND MINERO'!$H$2:$L$113,4,0),"No")),"í","I",1)</f>
        <v>No</v>
      </c>
      <c r="V239" s="614">
        <f>IFERROR(VLOOKUP(A239,'DATOS IND MINERO'!$H$2:$L$113,5,0),0)</f>
        <v>0</v>
      </c>
      <c r="W239" s="611">
        <f>+'_DATA STT PAGOS_'!G241</f>
        <v>0</v>
      </c>
      <c r="X239" s="611">
        <f>+'_DATA STT PAGOS_'!J241</f>
        <v>4111179.5440000002</v>
      </c>
      <c r="Y239" s="609">
        <v>15106</v>
      </c>
      <c r="Z239" s="609">
        <v>6934</v>
      </c>
      <c r="AA239" s="609">
        <v>8224</v>
      </c>
      <c r="AB239" s="609">
        <v>8824</v>
      </c>
      <c r="AC239" s="609">
        <v>39088</v>
      </c>
      <c r="AD239" s="609">
        <v>0</v>
      </c>
      <c r="AE239" s="609">
        <v>0</v>
      </c>
      <c r="AF239" s="609">
        <v>0</v>
      </c>
      <c r="AG239" s="609">
        <v>0</v>
      </c>
      <c r="AH239" s="609">
        <v>0</v>
      </c>
      <c r="AI239" s="209"/>
    </row>
    <row r="240" spans="1:35" x14ac:dyDescent="0.25">
      <c r="A240" s="201">
        <v>10404</v>
      </c>
      <c r="B240" s="201">
        <v>10504</v>
      </c>
      <c r="C240" s="201" t="s">
        <v>259</v>
      </c>
      <c r="D240" s="609">
        <v>1826</v>
      </c>
      <c r="E240" s="610">
        <v>9.1202302953735326E-2</v>
      </c>
      <c r="F240" s="609">
        <v>28882.978141251686</v>
      </c>
      <c r="G240" s="609">
        <v>1223</v>
      </c>
      <c r="H240" s="609">
        <v>1682</v>
      </c>
      <c r="I240" s="609">
        <v>34827676047</v>
      </c>
      <c r="J240" s="609">
        <v>53777893278</v>
      </c>
      <c r="K240" s="608">
        <v>0</v>
      </c>
      <c r="L240" s="608">
        <v>0</v>
      </c>
      <c r="M240" s="609">
        <v>233444</v>
      </c>
      <c r="N240" s="609">
        <f t="shared" si="12"/>
        <v>233444</v>
      </c>
      <c r="O240" s="609">
        <f t="shared" si="13"/>
        <v>233444</v>
      </c>
      <c r="P240" s="609">
        <f t="shared" si="14"/>
        <v>233444</v>
      </c>
      <c r="Q240" s="611">
        <f>+'_DATA STT PAGOS_'!D242</f>
        <v>1675906.1259999999</v>
      </c>
      <c r="R240" s="611">
        <f>+'_DATA STT PAGOS_'!E242</f>
        <v>139658.84383333332</v>
      </c>
      <c r="S240" s="611">
        <f>+'_DATA STT PAGOS_'!F242</f>
        <v>110330</v>
      </c>
      <c r="T240" s="612">
        <f>+'_DATA STT PAGOS_'!Q242</f>
        <v>2163685.9789999998</v>
      </c>
      <c r="U240" s="613" t="str">
        <f>SUBSTITUTE((IFERROR(VLOOKUP(A240,'DATOS IND MINERO'!$H$2:$L$113,4,0),"No")),"í","I",1)</f>
        <v>No</v>
      </c>
      <c r="V240" s="614">
        <f>IFERROR(VLOOKUP(A240,'DATOS IND MINERO'!$H$2:$L$113,5,0),0)</f>
        <v>0</v>
      </c>
      <c r="W240" s="611">
        <f>+'_DATA STT PAGOS_'!G242</f>
        <v>0</v>
      </c>
      <c r="X240" s="611">
        <f>+'_DATA STT PAGOS_'!J242</f>
        <v>2274120.16</v>
      </c>
      <c r="Y240" s="609">
        <v>3967</v>
      </c>
      <c r="Z240" s="609">
        <v>1850</v>
      </c>
      <c r="AA240" s="609">
        <v>3127</v>
      </c>
      <c r="AB240" s="609">
        <v>1601</v>
      </c>
      <c r="AC240" s="609">
        <v>10545</v>
      </c>
      <c r="AD240" s="609">
        <v>0</v>
      </c>
      <c r="AE240" s="609">
        <v>0</v>
      </c>
      <c r="AF240" s="609">
        <v>0</v>
      </c>
      <c r="AG240" s="609">
        <v>0</v>
      </c>
      <c r="AH240" s="609">
        <v>0</v>
      </c>
      <c r="AI240" s="209"/>
    </row>
    <row r="241" spans="1:35" x14ac:dyDescent="0.25">
      <c r="A241" s="201">
        <v>11101</v>
      </c>
      <c r="B241" s="201">
        <v>11401</v>
      </c>
      <c r="C241" s="201" t="s">
        <v>501</v>
      </c>
      <c r="D241" s="609">
        <v>62046</v>
      </c>
      <c r="E241" s="610">
        <v>2.8835258546335649E-2</v>
      </c>
      <c r="F241" s="609">
        <v>822599.81792946486</v>
      </c>
      <c r="G241" s="609">
        <v>19885</v>
      </c>
      <c r="H241" s="609">
        <v>31454</v>
      </c>
      <c r="I241" s="609">
        <v>998691238620</v>
      </c>
      <c r="J241" s="609">
        <v>1921735407833</v>
      </c>
      <c r="K241" s="608">
        <v>0</v>
      </c>
      <c r="L241" s="608">
        <v>0</v>
      </c>
      <c r="M241" s="609">
        <v>8091063</v>
      </c>
      <c r="N241" s="609">
        <f t="shared" si="12"/>
        <v>8091063</v>
      </c>
      <c r="O241" s="609">
        <f t="shared" si="13"/>
        <v>8091063</v>
      </c>
      <c r="P241" s="609">
        <f t="shared" si="14"/>
        <v>8091063</v>
      </c>
      <c r="Q241" s="611">
        <f>+'_DATA STT PAGOS_'!D243</f>
        <v>8586305.9110000003</v>
      </c>
      <c r="R241" s="611">
        <f>+'_DATA STT PAGOS_'!E243</f>
        <v>715525.4925833334</v>
      </c>
      <c r="S241" s="611">
        <f>+'_DATA STT PAGOS_'!F243</f>
        <v>565265</v>
      </c>
      <c r="T241" s="612">
        <f>+'_DATA STT PAGOS_'!Q243</f>
        <v>11543826.995999999</v>
      </c>
      <c r="U241" s="613" t="str">
        <f>SUBSTITUTE((IFERROR(VLOOKUP(A241,'DATOS IND MINERO'!$H$2:$L$113,4,0),"No")),"í","I",1)</f>
        <v>No</v>
      </c>
      <c r="V241" s="614">
        <f>IFERROR(VLOOKUP(A241,'DATOS IND MINERO'!$H$2:$L$113,5,0),0)</f>
        <v>0</v>
      </c>
      <c r="W241" s="611">
        <f>+'_DATA STT PAGOS_'!G243</f>
        <v>0</v>
      </c>
      <c r="X241" s="611">
        <f>+'_DATA STT PAGOS_'!J243</f>
        <v>11651814.290000001</v>
      </c>
      <c r="Y241" s="609">
        <v>381703</v>
      </c>
      <c r="Z241" s="609">
        <v>243969</v>
      </c>
      <c r="AA241" s="609">
        <v>300861</v>
      </c>
      <c r="AB241" s="609">
        <v>222311</v>
      </c>
      <c r="AC241" s="609">
        <v>1148844</v>
      </c>
      <c r="AD241" s="609">
        <v>21991</v>
      </c>
      <c r="AE241" s="609">
        <v>10398</v>
      </c>
      <c r="AF241" s="609">
        <v>14613.781999999999</v>
      </c>
      <c r="AG241" s="609">
        <v>8247</v>
      </c>
      <c r="AH241" s="609">
        <v>55249.781999999999</v>
      </c>
      <c r="AI241" s="209"/>
    </row>
    <row r="242" spans="1:35" x14ac:dyDescent="0.25">
      <c r="A242" s="201">
        <v>11102</v>
      </c>
      <c r="B242" s="201">
        <v>11402</v>
      </c>
      <c r="C242" s="201" t="s">
        <v>265</v>
      </c>
      <c r="D242" s="609">
        <v>914</v>
      </c>
      <c r="E242" s="610">
        <v>8.7470267124388958E-3</v>
      </c>
      <c r="F242" s="609">
        <v>31085.434819342783</v>
      </c>
      <c r="G242" s="609">
        <v>951</v>
      </c>
      <c r="H242" s="609">
        <v>1650</v>
      </c>
      <c r="I242" s="609">
        <v>16858019676</v>
      </c>
      <c r="J242" s="609">
        <v>67321867861</v>
      </c>
      <c r="K242" s="608">
        <v>0</v>
      </c>
      <c r="L242" s="608">
        <v>0</v>
      </c>
      <c r="M242" s="609">
        <v>344017</v>
      </c>
      <c r="N242" s="609">
        <f t="shared" si="12"/>
        <v>344017</v>
      </c>
      <c r="O242" s="609">
        <f t="shared" si="13"/>
        <v>344017</v>
      </c>
      <c r="P242" s="609">
        <f t="shared" si="14"/>
        <v>344017</v>
      </c>
      <c r="Q242" s="611">
        <f>+'_DATA STT PAGOS_'!D244</f>
        <v>1474381.0109999999</v>
      </c>
      <c r="R242" s="611">
        <f>+'_DATA STT PAGOS_'!E244</f>
        <v>122865.08425</v>
      </c>
      <c r="S242" s="611">
        <f>+'_DATA STT PAGOS_'!F244</f>
        <v>97063</v>
      </c>
      <c r="T242" s="612">
        <f>+'_DATA STT PAGOS_'!Q244</f>
        <v>1929848.3119999999</v>
      </c>
      <c r="U242" s="613" t="str">
        <f>SUBSTITUTE((IFERROR(VLOOKUP(A242,'DATOS IND MINERO'!$H$2:$L$113,4,0),"No")),"í","I",1)</f>
        <v>No</v>
      </c>
      <c r="V242" s="614">
        <f>IFERROR(VLOOKUP(A242,'DATOS IND MINERO'!$H$2:$L$113,5,0),0)</f>
        <v>0</v>
      </c>
      <c r="W242" s="611">
        <f>+'_DATA STT PAGOS_'!G244</f>
        <v>0</v>
      </c>
      <c r="X242" s="611">
        <f>+'_DATA STT PAGOS_'!J244</f>
        <v>2000486.304</v>
      </c>
      <c r="Y242" s="609">
        <v>6183</v>
      </c>
      <c r="Z242" s="609">
        <v>9579</v>
      </c>
      <c r="AA242" s="609">
        <v>3254</v>
      </c>
      <c r="AB242" s="609">
        <v>10242</v>
      </c>
      <c r="AC242" s="609">
        <v>29258</v>
      </c>
      <c r="AD242" s="609">
        <v>0</v>
      </c>
      <c r="AE242" s="609">
        <v>0</v>
      </c>
      <c r="AF242" s="609">
        <v>0</v>
      </c>
      <c r="AG242" s="609">
        <v>0</v>
      </c>
      <c r="AH242" s="609">
        <v>0</v>
      </c>
      <c r="AI242" s="209"/>
    </row>
    <row r="243" spans="1:35" x14ac:dyDescent="0.25">
      <c r="A243" s="201">
        <v>11201</v>
      </c>
      <c r="B243" s="201">
        <v>11101</v>
      </c>
      <c r="C243" s="201" t="s">
        <v>502</v>
      </c>
      <c r="D243" s="609">
        <v>25218</v>
      </c>
      <c r="E243" s="610">
        <v>5.279856301700174E-2</v>
      </c>
      <c r="F243" s="609">
        <v>367123.45940407907</v>
      </c>
      <c r="G243" s="609">
        <v>10732</v>
      </c>
      <c r="H243" s="609">
        <v>15347</v>
      </c>
      <c r="I243" s="609">
        <v>415314078287</v>
      </c>
      <c r="J243" s="609">
        <v>649276431013</v>
      </c>
      <c r="K243" s="608">
        <v>0</v>
      </c>
      <c r="L243" s="608">
        <v>0</v>
      </c>
      <c r="M243" s="609">
        <v>4084764</v>
      </c>
      <c r="N243" s="609">
        <f t="shared" si="12"/>
        <v>4084764</v>
      </c>
      <c r="O243" s="609">
        <f t="shared" si="13"/>
        <v>4084764</v>
      </c>
      <c r="P243" s="609">
        <f t="shared" si="14"/>
        <v>4084764</v>
      </c>
      <c r="Q243" s="611">
        <f>+'_DATA STT PAGOS_'!D245</f>
        <v>4935093.1780000003</v>
      </c>
      <c r="R243" s="611">
        <f>+'_DATA STT PAGOS_'!E245</f>
        <v>411257.76483333338</v>
      </c>
      <c r="S243" s="611">
        <f>+'_DATA STT PAGOS_'!F245</f>
        <v>324894</v>
      </c>
      <c r="T243" s="612">
        <f>+'_DATA STT PAGOS_'!Q245</f>
        <v>6634967.71</v>
      </c>
      <c r="U243" s="613" t="str">
        <f>SUBSTITUTE((IFERROR(VLOOKUP(A243,'DATOS IND MINERO'!$H$2:$L$113,4,0),"No")),"í","I",1)</f>
        <v>No</v>
      </c>
      <c r="V243" s="614">
        <f>IFERROR(VLOOKUP(A243,'DATOS IND MINERO'!$H$2:$L$113,5,0),0)</f>
        <v>0</v>
      </c>
      <c r="W243" s="611">
        <f>+'_DATA STT PAGOS_'!G245</f>
        <v>0</v>
      </c>
      <c r="X243" s="611">
        <f>+'_DATA STT PAGOS_'!J245</f>
        <v>6697034.762000001</v>
      </c>
      <c r="Y243" s="609">
        <v>116191</v>
      </c>
      <c r="Z243" s="609">
        <v>65654</v>
      </c>
      <c r="AA243" s="609">
        <v>92209</v>
      </c>
      <c r="AB243" s="609">
        <v>69678</v>
      </c>
      <c r="AC243" s="609">
        <v>343732</v>
      </c>
      <c r="AD243" s="609">
        <v>4275</v>
      </c>
      <c r="AE243" s="609">
        <v>2025</v>
      </c>
      <c r="AF243" s="609">
        <v>2987.4059999999999</v>
      </c>
      <c r="AG243" s="609">
        <v>1770</v>
      </c>
      <c r="AH243" s="609">
        <v>11057.405999999999</v>
      </c>
      <c r="AI243" s="209"/>
    </row>
    <row r="244" spans="1:35" x14ac:dyDescent="0.25">
      <c r="A244" s="201">
        <v>11202</v>
      </c>
      <c r="B244" s="201">
        <v>11102</v>
      </c>
      <c r="C244" s="201" t="s">
        <v>260</v>
      </c>
      <c r="D244" s="609">
        <v>5872</v>
      </c>
      <c r="E244" s="610">
        <v>4.9515886994756023E-2</v>
      </c>
      <c r="F244" s="609">
        <v>151633.92690230283</v>
      </c>
      <c r="G244" s="609">
        <v>3549</v>
      </c>
      <c r="H244" s="609">
        <v>5023</v>
      </c>
      <c r="I244" s="609">
        <v>177465629566</v>
      </c>
      <c r="J244" s="609">
        <v>250937784299</v>
      </c>
      <c r="K244" s="608">
        <v>0</v>
      </c>
      <c r="L244" s="608">
        <v>0</v>
      </c>
      <c r="M244" s="609">
        <v>2698290</v>
      </c>
      <c r="N244" s="609">
        <f t="shared" si="12"/>
        <v>2698290</v>
      </c>
      <c r="O244" s="609">
        <f t="shared" si="13"/>
        <v>2698290</v>
      </c>
      <c r="P244" s="609">
        <f t="shared" si="14"/>
        <v>2698290</v>
      </c>
      <c r="Q244" s="611">
        <f>+'_DATA STT PAGOS_'!D246</f>
        <v>1850891.0789999999</v>
      </c>
      <c r="R244" s="611">
        <f>+'_DATA STT PAGOS_'!E246</f>
        <v>154240.92324999999</v>
      </c>
      <c r="S244" s="611">
        <f>+'_DATA STT PAGOS_'!F246</f>
        <v>121850</v>
      </c>
      <c r="T244" s="612">
        <f>+'_DATA STT PAGOS_'!Q246</f>
        <v>2469934.3730000001</v>
      </c>
      <c r="U244" s="613" t="str">
        <f>SUBSTITUTE((IFERROR(VLOOKUP(A244,'DATOS IND MINERO'!$H$2:$L$113,4,0),"No")),"í","I",1)</f>
        <v>No</v>
      </c>
      <c r="V244" s="614">
        <f>IFERROR(VLOOKUP(A244,'DATOS IND MINERO'!$H$2:$L$113,5,0),0)</f>
        <v>0</v>
      </c>
      <c r="W244" s="611">
        <f>+'_DATA STT PAGOS_'!G246</f>
        <v>0</v>
      </c>
      <c r="X244" s="611">
        <f>+'_DATA STT PAGOS_'!J246</f>
        <v>2511629.983</v>
      </c>
      <c r="Y244" s="609">
        <v>28178</v>
      </c>
      <c r="Z244" s="609">
        <v>12440</v>
      </c>
      <c r="AA244" s="609">
        <v>16923</v>
      </c>
      <c r="AB244" s="609">
        <v>15370</v>
      </c>
      <c r="AC244" s="609">
        <v>72911</v>
      </c>
      <c r="AD244" s="609">
        <v>0</v>
      </c>
      <c r="AE244" s="609">
        <v>0</v>
      </c>
      <c r="AF244" s="609">
        <v>0</v>
      </c>
      <c r="AG244" s="609">
        <v>0</v>
      </c>
      <c r="AH244" s="609">
        <v>0</v>
      </c>
      <c r="AI244" s="209"/>
    </row>
    <row r="245" spans="1:35" x14ac:dyDescent="0.25">
      <c r="A245" s="201">
        <v>11203</v>
      </c>
      <c r="B245" s="201">
        <v>11104</v>
      </c>
      <c r="C245" s="201" t="s">
        <v>261</v>
      </c>
      <c r="D245" s="609">
        <v>1611</v>
      </c>
      <c r="E245" s="610">
        <v>6.0502560213658019E-2</v>
      </c>
      <c r="F245" s="609">
        <v>56513.013559274543</v>
      </c>
      <c r="G245" s="609">
        <v>589</v>
      </c>
      <c r="H245" s="609">
        <v>693</v>
      </c>
      <c r="I245" s="609">
        <v>18016252721</v>
      </c>
      <c r="J245" s="609">
        <v>20887003329</v>
      </c>
      <c r="K245" s="608">
        <v>0</v>
      </c>
      <c r="L245" s="608">
        <v>0</v>
      </c>
      <c r="M245" s="609">
        <v>855553</v>
      </c>
      <c r="N245" s="609">
        <f t="shared" si="12"/>
        <v>855553</v>
      </c>
      <c r="O245" s="609">
        <f t="shared" si="13"/>
        <v>855553</v>
      </c>
      <c r="P245" s="609">
        <f t="shared" si="14"/>
        <v>855553</v>
      </c>
      <c r="Q245" s="611">
        <f>+'_DATA STT PAGOS_'!D247</f>
        <v>1483797.6410000001</v>
      </c>
      <c r="R245" s="611">
        <f>+'_DATA STT PAGOS_'!E247</f>
        <v>123649.80341666668</v>
      </c>
      <c r="S245" s="611">
        <f>+'_DATA STT PAGOS_'!F247</f>
        <v>97683</v>
      </c>
      <c r="T245" s="612">
        <f>+'_DATA STT PAGOS_'!Q247</f>
        <v>1907437.372</v>
      </c>
      <c r="U245" s="613" t="str">
        <f>SUBSTITUTE((IFERROR(VLOOKUP(A245,'DATOS IND MINERO'!$H$2:$L$113,4,0),"No")),"í","I",1)</f>
        <v>No</v>
      </c>
      <c r="V245" s="614">
        <f>IFERROR(VLOOKUP(A245,'DATOS IND MINERO'!$H$2:$L$113,5,0),0)</f>
        <v>0</v>
      </c>
      <c r="W245" s="611">
        <f>+'_DATA STT PAGOS_'!G247</f>
        <v>0</v>
      </c>
      <c r="X245" s="611">
        <f>+'_DATA STT PAGOS_'!J247</f>
        <v>2013441.8080000002</v>
      </c>
      <c r="Y245" s="609">
        <v>570</v>
      </c>
      <c r="Z245" s="609">
        <v>487</v>
      </c>
      <c r="AA245" s="609">
        <v>647</v>
      </c>
      <c r="AB245" s="609">
        <v>414</v>
      </c>
      <c r="AC245" s="609">
        <v>2118</v>
      </c>
      <c r="AD245" s="609">
        <v>189</v>
      </c>
      <c r="AE245" s="609">
        <v>148</v>
      </c>
      <c r="AF245" s="609">
        <v>518.39800000000002</v>
      </c>
      <c r="AG245" s="609">
        <v>169</v>
      </c>
      <c r="AH245" s="609">
        <v>1024.3980000000001</v>
      </c>
      <c r="AI245" s="209"/>
    </row>
    <row r="246" spans="1:35" x14ac:dyDescent="0.25">
      <c r="A246" s="201">
        <v>11301</v>
      </c>
      <c r="B246" s="201">
        <v>11301</v>
      </c>
      <c r="C246" s="201" t="s">
        <v>263</v>
      </c>
      <c r="D246" s="609">
        <v>3741</v>
      </c>
      <c r="E246" s="610">
        <v>6.3281639272961557E-2</v>
      </c>
      <c r="F246" s="609">
        <v>98402.588470169314</v>
      </c>
      <c r="G246" s="609">
        <v>1750</v>
      </c>
      <c r="H246" s="609">
        <v>2736</v>
      </c>
      <c r="I246" s="609">
        <v>80259003416</v>
      </c>
      <c r="J246" s="609">
        <v>130599343476</v>
      </c>
      <c r="K246" s="608">
        <v>0</v>
      </c>
      <c r="L246" s="608">
        <v>0</v>
      </c>
      <c r="M246" s="609">
        <v>428956</v>
      </c>
      <c r="N246" s="609">
        <f t="shared" si="12"/>
        <v>428956</v>
      </c>
      <c r="O246" s="609">
        <f t="shared" si="13"/>
        <v>428956</v>
      </c>
      <c r="P246" s="609">
        <f t="shared" si="14"/>
        <v>428956</v>
      </c>
      <c r="Q246" s="611">
        <f>+'_DATA STT PAGOS_'!D248</f>
        <v>1996338.4909999999</v>
      </c>
      <c r="R246" s="611">
        <f>+'_DATA STT PAGOS_'!E248</f>
        <v>166361.54091666665</v>
      </c>
      <c r="S246" s="611">
        <f>+'_DATA STT PAGOS_'!F248</f>
        <v>131426</v>
      </c>
      <c r="T246" s="612">
        <f>+'_DATA STT PAGOS_'!Q248</f>
        <v>2434592.8670000001</v>
      </c>
      <c r="U246" s="613" t="str">
        <f>SUBSTITUTE((IFERROR(VLOOKUP(A246,'DATOS IND MINERO'!$H$2:$L$113,4,0),"No")),"í","I",1)</f>
        <v>No</v>
      </c>
      <c r="V246" s="614">
        <f>IFERROR(VLOOKUP(A246,'DATOS IND MINERO'!$H$2:$L$113,5,0),0)</f>
        <v>0</v>
      </c>
      <c r="W246" s="611">
        <f>+'_DATA STT PAGOS_'!G248</f>
        <v>0</v>
      </c>
      <c r="X246" s="611">
        <f>+'_DATA STT PAGOS_'!J248</f>
        <v>2708461.179</v>
      </c>
      <c r="Y246" s="609">
        <v>15886</v>
      </c>
      <c r="Z246" s="609">
        <v>7080</v>
      </c>
      <c r="AA246" s="609">
        <v>12302</v>
      </c>
      <c r="AB246" s="609">
        <v>7800</v>
      </c>
      <c r="AC246" s="609">
        <v>43068</v>
      </c>
      <c r="AD246" s="609">
        <v>339</v>
      </c>
      <c r="AE246" s="609">
        <v>85</v>
      </c>
      <c r="AF246" s="609">
        <v>363.23200000000003</v>
      </c>
      <c r="AG246" s="609">
        <v>122</v>
      </c>
      <c r="AH246" s="609">
        <v>909.23199999999997</v>
      </c>
      <c r="AI246" s="209"/>
    </row>
    <row r="247" spans="1:35" x14ac:dyDescent="0.25">
      <c r="A247" s="201">
        <v>11302</v>
      </c>
      <c r="B247" s="201">
        <v>11302</v>
      </c>
      <c r="C247" s="201" t="s">
        <v>490</v>
      </c>
      <c r="D247" s="609">
        <v>675</v>
      </c>
      <c r="E247" s="610">
        <v>9.1574462350945171E-2</v>
      </c>
      <c r="F247" s="609">
        <v>6976.303727301306</v>
      </c>
      <c r="G247" s="609">
        <v>349</v>
      </c>
      <c r="H247" s="609">
        <v>519</v>
      </c>
      <c r="I247" s="609">
        <v>11906576607</v>
      </c>
      <c r="J247" s="609">
        <v>20963166219</v>
      </c>
      <c r="K247" s="608">
        <v>0</v>
      </c>
      <c r="L247" s="608">
        <v>0</v>
      </c>
      <c r="M247" s="609">
        <v>154154</v>
      </c>
      <c r="N247" s="609">
        <f t="shared" si="12"/>
        <v>154154</v>
      </c>
      <c r="O247" s="609">
        <f t="shared" si="13"/>
        <v>154154</v>
      </c>
      <c r="P247" s="609">
        <f t="shared" si="14"/>
        <v>154154</v>
      </c>
      <c r="Q247" s="611">
        <f>+'_DATA STT PAGOS_'!D249</f>
        <v>1566396.139</v>
      </c>
      <c r="R247" s="611">
        <f>+'_DATA STT PAGOS_'!E249</f>
        <v>130533.01158333333</v>
      </c>
      <c r="S247" s="611">
        <f>+'_DATA STT PAGOS_'!F249</f>
        <v>103121</v>
      </c>
      <c r="T247" s="612">
        <f>+'_DATA STT PAGOS_'!Q249</f>
        <v>2082657.365</v>
      </c>
      <c r="U247" s="613" t="str">
        <f>SUBSTITUTE((IFERROR(VLOOKUP(A247,'DATOS IND MINERO'!$H$2:$L$113,4,0),"No")),"í","I",1)</f>
        <v>No</v>
      </c>
      <c r="V247" s="614">
        <f>IFERROR(VLOOKUP(A247,'DATOS IND MINERO'!$H$2:$L$113,5,0),0)</f>
        <v>0</v>
      </c>
      <c r="W247" s="611">
        <f>+'_DATA STT PAGOS_'!G249</f>
        <v>0</v>
      </c>
      <c r="X247" s="611">
        <f>+'_DATA STT PAGOS_'!J249</f>
        <v>2125871.4040000001</v>
      </c>
      <c r="Y247" s="609">
        <v>1927</v>
      </c>
      <c r="Z247" s="609">
        <v>1843</v>
      </c>
      <c r="AA247" s="609">
        <v>1779</v>
      </c>
      <c r="AB247" s="609">
        <v>2053</v>
      </c>
      <c r="AC247" s="609">
        <v>7602</v>
      </c>
      <c r="AD247" s="609">
        <v>0</v>
      </c>
      <c r="AE247" s="609">
        <v>0</v>
      </c>
      <c r="AF247" s="609">
        <v>0</v>
      </c>
      <c r="AG247" s="609">
        <v>0</v>
      </c>
      <c r="AH247" s="609">
        <v>0</v>
      </c>
      <c r="AI247" s="209"/>
    </row>
    <row r="248" spans="1:35" x14ac:dyDescent="0.25">
      <c r="A248" s="201">
        <v>11303</v>
      </c>
      <c r="B248" s="201">
        <v>11303</v>
      </c>
      <c r="C248" s="201" t="s">
        <v>264</v>
      </c>
      <c r="D248" s="609">
        <v>585</v>
      </c>
      <c r="E248" s="610">
        <v>4.5924697141099362E-2</v>
      </c>
      <c r="F248" s="609">
        <v>47436.368888293226</v>
      </c>
      <c r="G248" s="609">
        <v>298</v>
      </c>
      <c r="H248" s="609">
        <v>357</v>
      </c>
      <c r="I248" s="609">
        <v>45539576322</v>
      </c>
      <c r="J248" s="609">
        <v>46684951902</v>
      </c>
      <c r="K248" s="608">
        <v>0</v>
      </c>
      <c r="L248" s="608">
        <v>0</v>
      </c>
      <c r="M248" s="609">
        <v>87384</v>
      </c>
      <c r="N248" s="609">
        <f t="shared" si="12"/>
        <v>87384</v>
      </c>
      <c r="O248" s="609">
        <f t="shared" si="13"/>
        <v>87384</v>
      </c>
      <c r="P248" s="609">
        <f t="shared" si="14"/>
        <v>87384</v>
      </c>
      <c r="Q248" s="611">
        <f>+'_DATA STT PAGOS_'!D250</f>
        <v>1505982.8570000001</v>
      </c>
      <c r="R248" s="611">
        <f>+'_DATA STT PAGOS_'!E250</f>
        <v>125498.57141666667</v>
      </c>
      <c r="S248" s="611">
        <f>+'_DATA STT PAGOS_'!F250</f>
        <v>99144</v>
      </c>
      <c r="T248" s="612">
        <f>+'_DATA STT PAGOS_'!Q250</f>
        <v>1956703.2180000001</v>
      </c>
      <c r="U248" s="613" t="str">
        <f>SUBSTITUTE((IFERROR(VLOOKUP(A248,'DATOS IND MINERO'!$H$2:$L$113,4,0),"No")),"í","I",1)</f>
        <v>No</v>
      </c>
      <c r="V248" s="614">
        <f>IFERROR(VLOOKUP(A248,'DATOS IND MINERO'!$H$2:$L$113,5,0),0)</f>
        <v>0</v>
      </c>
      <c r="W248" s="611">
        <f>+'_DATA STT PAGOS_'!G250</f>
        <v>0</v>
      </c>
      <c r="X248" s="611">
        <f>+'_DATA STT PAGOS_'!J250</f>
        <v>2043495.4510000001</v>
      </c>
      <c r="Y248" s="609">
        <v>293</v>
      </c>
      <c r="Z248" s="609">
        <v>78</v>
      </c>
      <c r="AA248" s="609">
        <v>166</v>
      </c>
      <c r="AB248" s="609">
        <v>154</v>
      </c>
      <c r="AC248" s="609">
        <v>691</v>
      </c>
      <c r="AD248" s="609">
        <v>0</v>
      </c>
      <c r="AE248" s="609">
        <v>0</v>
      </c>
      <c r="AF248" s="609">
        <v>0</v>
      </c>
      <c r="AG248" s="609">
        <v>0</v>
      </c>
      <c r="AH248" s="609">
        <v>0</v>
      </c>
      <c r="AI248" s="209"/>
    </row>
    <row r="249" spans="1:35" x14ac:dyDescent="0.25">
      <c r="A249" s="201">
        <v>11401</v>
      </c>
      <c r="B249" s="201">
        <v>11201</v>
      </c>
      <c r="C249" s="201" t="s">
        <v>262</v>
      </c>
      <c r="D249" s="609">
        <v>5163</v>
      </c>
      <c r="E249" s="610">
        <v>6.2020782411386241E-2</v>
      </c>
      <c r="F249" s="609">
        <v>140535.81468938809</v>
      </c>
      <c r="G249" s="609">
        <v>2766</v>
      </c>
      <c r="H249" s="609">
        <v>4497</v>
      </c>
      <c r="I249" s="609">
        <v>95088794942</v>
      </c>
      <c r="J249" s="609">
        <v>173761086546</v>
      </c>
      <c r="K249" s="608">
        <v>0</v>
      </c>
      <c r="L249" s="608">
        <v>0</v>
      </c>
      <c r="M249" s="609">
        <v>791163</v>
      </c>
      <c r="N249" s="609">
        <f t="shared" si="12"/>
        <v>791163</v>
      </c>
      <c r="O249" s="609">
        <f t="shared" si="13"/>
        <v>791163</v>
      </c>
      <c r="P249" s="609">
        <f t="shared" si="14"/>
        <v>791163</v>
      </c>
      <c r="Q249" s="611">
        <f>+'_DATA STT PAGOS_'!D251</f>
        <v>2907174.3879999998</v>
      </c>
      <c r="R249" s="611">
        <f>+'_DATA STT PAGOS_'!E251</f>
        <v>242264.53233333331</v>
      </c>
      <c r="S249" s="611">
        <f>+'_DATA STT PAGOS_'!F251</f>
        <v>191389</v>
      </c>
      <c r="T249" s="612">
        <f>+'_DATA STT PAGOS_'!Q251</f>
        <v>3908539.5079999999</v>
      </c>
      <c r="U249" s="613" t="str">
        <f>SUBSTITUTE((IFERROR(VLOOKUP(A249,'DATOS IND MINERO'!$H$2:$L$113,4,0),"No")),"í","I",1)</f>
        <v>No</v>
      </c>
      <c r="V249" s="614">
        <f>IFERROR(VLOOKUP(A249,'DATOS IND MINERO'!$H$2:$L$113,5,0),0)</f>
        <v>0</v>
      </c>
      <c r="W249" s="611">
        <f>+'_DATA STT PAGOS_'!G251</f>
        <v>0</v>
      </c>
      <c r="X249" s="611">
        <f>+'_DATA STT PAGOS_'!J251</f>
        <v>3945102.4029999999</v>
      </c>
      <c r="Y249" s="609">
        <v>22433</v>
      </c>
      <c r="Z249" s="609">
        <v>16029</v>
      </c>
      <c r="AA249" s="609">
        <v>19398</v>
      </c>
      <c r="AB249" s="609">
        <v>14786</v>
      </c>
      <c r="AC249" s="609">
        <v>72646</v>
      </c>
      <c r="AD249" s="609">
        <v>1094</v>
      </c>
      <c r="AE249" s="609">
        <v>426</v>
      </c>
      <c r="AF249" s="609">
        <v>840.42700000000002</v>
      </c>
      <c r="AG249" s="609">
        <v>418</v>
      </c>
      <c r="AH249" s="609">
        <v>2778.4270000000001</v>
      </c>
      <c r="AI249" s="209"/>
    </row>
    <row r="250" spans="1:35" x14ac:dyDescent="0.25">
      <c r="A250" s="201">
        <v>11402</v>
      </c>
      <c r="B250" s="201">
        <v>11203</v>
      </c>
      <c r="C250" s="201" t="s">
        <v>423</v>
      </c>
      <c r="D250" s="609">
        <v>2713</v>
      </c>
      <c r="E250" s="610">
        <v>6.9847979222229559E-2</v>
      </c>
      <c r="F250" s="609">
        <v>158343.6584093736</v>
      </c>
      <c r="G250" s="609">
        <v>2645</v>
      </c>
      <c r="H250" s="609">
        <v>4604</v>
      </c>
      <c r="I250" s="609">
        <v>47162860396</v>
      </c>
      <c r="J250" s="609">
        <v>96077138107</v>
      </c>
      <c r="K250" s="608">
        <v>0</v>
      </c>
      <c r="L250" s="608">
        <v>0</v>
      </c>
      <c r="M250" s="609">
        <v>422198</v>
      </c>
      <c r="N250" s="609">
        <f t="shared" si="12"/>
        <v>422198</v>
      </c>
      <c r="O250" s="609">
        <f t="shared" si="13"/>
        <v>422198</v>
      </c>
      <c r="P250" s="609">
        <f t="shared" si="14"/>
        <v>422198</v>
      </c>
      <c r="Q250" s="611">
        <f>+'_DATA STT PAGOS_'!D252</f>
        <v>2203115.1209999998</v>
      </c>
      <c r="R250" s="611">
        <f>+'_DATA STT PAGOS_'!E252</f>
        <v>183592.92674999998</v>
      </c>
      <c r="S250" s="611">
        <f>+'_DATA STT PAGOS_'!F252</f>
        <v>145038</v>
      </c>
      <c r="T250" s="612">
        <f>+'_DATA STT PAGOS_'!Q252</f>
        <v>2501559.9500000002</v>
      </c>
      <c r="U250" s="613" t="str">
        <f>SUBSTITUTE((IFERROR(VLOOKUP(A250,'DATOS IND MINERO'!$H$2:$L$113,4,0),"No")),"í","I",1)</f>
        <v>No</v>
      </c>
      <c r="V250" s="614">
        <f>IFERROR(VLOOKUP(A250,'DATOS IND MINERO'!$H$2:$L$113,5,0),0)</f>
        <v>0</v>
      </c>
      <c r="W250" s="611">
        <f>+'_DATA STT PAGOS_'!G252</f>
        <v>0</v>
      </c>
      <c r="X250" s="611">
        <f>+'_DATA STT PAGOS_'!J252</f>
        <v>2988138.8339999998</v>
      </c>
      <c r="Y250" s="609">
        <v>20559</v>
      </c>
      <c r="Z250" s="609">
        <v>8390</v>
      </c>
      <c r="AA250" s="609">
        <v>11888</v>
      </c>
      <c r="AB250" s="609">
        <v>7896</v>
      </c>
      <c r="AC250" s="609">
        <v>48733</v>
      </c>
      <c r="AD250" s="609">
        <v>281</v>
      </c>
      <c r="AE250" s="609">
        <v>194</v>
      </c>
      <c r="AF250" s="609">
        <v>313.16699999999997</v>
      </c>
      <c r="AG250" s="609">
        <v>188</v>
      </c>
      <c r="AH250" s="609">
        <v>976.16699999999992</v>
      </c>
      <c r="AI250" s="209"/>
    </row>
    <row r="251" spans="1:35" x14ac:dyDescent="0.25">
      <c r="A251" s="201">
        <v>12101</v>
      </c>
      <c r="B251" s="201">
        <v>12205</v>
      </c>
      <c r="C251" s="201" t="s">
        <v>268</v>
      </c>
      <c r="D251" s="609">
        <v>145713</v>
      </c>
      <c r="E251" s="610">
        <v>3.500057934797781E-2</v>
      </c>
      <c r="F251" s="609">
        <v>1227110.2860961901</v>
      </c>
      <c r="G251" s="609">
        <v>35325</v>
      </c>
      <c r="H251" s="609">
        <v>58579</v>
      </c>
      <c r="I251" s="609">
        <v>2163417763621</v>
      </c>
      <c r="J251" s="609">
        <v>4869943786913</v>
      </c>
      <c r="K251" s="608">
        <v>0</v>
      </c>
      <c r="L251" s="608">
        <v>0</v>
      </c>
      <c r="M251" s="609">
        <v>24758659</v>
      </c>
      <c r="N251" s="609">
        <f t="shared" si="12"/>
        <v>24758659</v>
      </c>
      <c r="O251" s="609">
        <f t="shared" si="13"/>
        <v>24758659</v>
      </c>
      <c r="P251" s="609">
        <f t="shared" si="14"/>
        <v>24758659</v>
      </c>
      <c r="Q251" s="611">
        <f>+'_DATA STT PAGOS_'!D253</f>
        <v>8242481.7690000003</v>
      </c>
      <c r="R251" s="611">
        <f>+'_DATA STT PAGOS_'!E253</f>
        <v>686873.48074999999</v>
      </c>
      <c r="S251" s="611">
        <f>+'_DATA STT PAGOS_'!F253</f>
        <v>542630</v>
      </c>
      <c r="T251" s="612">
        <f>+'_DATA STT PAGOS_'!Q253</f>
        <v>11081574.266000001</v>
      </c>
      <c r="U251" s="613" t="str">
        <f>SUBSTITUTE((IFERROR(VLOOKUP(A251,'DATOS IND MINERO'!$H$2:$L$113,4,0),"No")),"í","I",1)</f>
        <v>No</v>
      </c>
      <c r="V251" s="614">
        <f>IFERROR(VLOOKUP(A251,'DATOS IND MINERO'!$H$2:$L$113,5,0),0)</f>
        <v>0</v>
      </c>
      <c r="W251" s="611">
        <f>+'_DATA STT PAGOS_'!G253</f>
        <v>0</v>
      </c>
      <c r="X251" s="611">
        <f>+'_DATA STT PAGOS_'!J253</f>
        <v>11185237.030000001</v>
      </c>
      <c r="Y251" s="609">
        <v>1282721</v>
      </c>
      <c r="Z251" s="609">
        <v>975746</v>
      </c>
      <c r="AA251" s="609">
        <v>1122642</v>
      </c>
      <c r="AB251" s="609">
        <v>870033</v>
      </c>
      <c r="AC251" s="609">
        <v>4251142</v>
      </c>
      <c r="AD251" s="609">
        <v>164715</v>
      </c>
      <c r="AE251" s="609">
        <v>78349</v>
      </c>
      <c r="AF251" s="609">
        <v>110653.442</v>
      </c>
      <c r="AG251" s="609">
        <v>72957</v>
      </c>
      <c r="AH251" s="609">
        <v>426674.44199999998</v>
      </c>
      <c r="AI251" s="209"/>
    </row>
    <row r="252" spans="1:35" x14ac:dyDescent="0.25">
      <c r="A252" s="201">
        <v>12102</v>
      </c>
      <c r="B252" s="201">
        <v>12206</v>
      </c>
      <c r="C252" s="201" t="s">
        <v>269</v>
      </c>
      <c r="D252" s="609">
        <v>248</v>
      </c>
      <c r="E252" s="610">
        <v>2.250673905537242E-2</v>
      </c>
      <c r="F252" s="609">
        <v>30085.968758825991</v>
      </c>
      <c r="G252" s="609">
        <v>81</v>
      </c>
      <c r="H252" s="609">
        <v>167</v>
      </c>
      <c r="I252" s="609">
        <v>12540715032</v>
      </c>
      <c r="J252" s="609">
        <v>77163719898</v>
      </c>
      <c r="K252" s="608">
        <v>0</v>
      </c>
      <c r="L252" s="608">
        <v>0</v>
      </c>
      <c r="M252" s="609">
        <v>260967</v>
      </c>
      <c r="N252" s="609">
        <f t="shared" si="12"/>
        <v>260967</v>
      </c>
      <c r="O252" s="609">
        <f t="shared" si="13"/>
        <v>260967</v>
      </c>
      <c r="P252" s="609">
        <f t="shared" si="14"/>
        <v>260967</v>
      </c>
      <c r="Q252" s="611">
        <f>+'_DATA STT PAGOS_'!D254</f>
        <v>1374851.6</v>
      </c>
      <c r="R252" s="611">
        <f>+'_DATA STT PAGOS_'!E254</f>
        <v>114570.96666666667</v>
      </c>
      <c r="S252" s="611">
        <f>+'_DATA STT PAGOS_'!F254</f>
        <v>90511</v>
      </c>
      <c r="T252" s="612">
        <f>+'_DATA STT PAGOS_'!Q254</f>
        <v>1784575.5889999999</v>
      </c>
      <c r="U252" s="613" t="str">
        <f>SUBSTITUTE((IFERROR(VLOOKUP(A252,'DATOS IND MINERO'!$H$2:$L$113,4,0),"No")),"í","I",1)</f>
        <v>No</v>
      </c>
      <c r="V252" s="614">
        <f>IFERROR(VLOOKUP(A252,'DATOS IND MINERO'!$H$2:$L$113,5,0),0)</f>
        <v>0</v>
      </c>
      <c r="W252" s="611">
        <f>+'_DATA STT PAGOS_'!G254</f>
        <v>0</v>
      </c>
      <c r="X252" s="611">
        <f>+'_DATA STT PAGOS_'!J254</f>
        <v>1865518.0789999999</v>
      </c>
      <c r="Y252" s="609">
        <v>18338</v>
      </c>
      <c r="Z252" s="609">
        <v>10843</v>
      </c>
      <c r="AA252" s="609">
        <v>11382</v>
      </c>
      <c r="AB252" s="609">
        <v>10785</v>
      </c>
      <c r="AC252" s="609">
        <v>51348</v>
      </c>
      <c r="AD252" s="609">
        <v>0</v>
      </c>
      <c r="AE252" s="609">
        <v>0</v>
      </c>
      <c r="AF252" s="609">
        <v>0</v>
      </c>
      <c r="AG252" s="609">
        <v>0</v>
      </c>
      <c r="AH252" s="609">
        <v>0</v>
      </c>
      <c r="AI252" s="209"/>
    </row>
    <row r="253" spans="1:35" x14ac:dyDescent="0.25">
      <c r="A253" s="201">
        <v>12103</v>
      </c>
      <c r="B253" s="201">
        <v>12202</v>
      </c>
      <c r="C253" s="201" t="s">
        <v>424</v>
      </c>
      <c r="D253" s="609">
        <v>205</v>
      </c>
      <c r="E253" s="610">
        <v>2.8189035507099159E-2</v>
      </c>
      <c r="F253" s="609">
        <v>34942.003875472627</v>
      </c>
      <c r="G253" s="609">
        <v>71</v>
      </c>
      <c r="H253" s="609">
        <v>167</v>
      </c>
      <c r="I253" s="609">
        <v>2248534464</v>
      </c>
      <c r="J253" s="609">
        <v>55676957026</v>
      </c>
      <c r="K253" s="608">
        <v>0</v>
      </c>
      <c r="L253" s="608">
        <v>0</v>
      </c>
      <c r="M253" s="609">
        <v>1108508</v>
      </c>
      <c r="N253" s="609">
        <f t="shared" si="12"/>
        <v>1108508</v>
      </c>
      <c r="O253" s="609">
        <f t="shared" si="13"/>
        <v>1108508</v>
      </c>
      <c r="P253" s="609">
        <f t="shared" si="14"/>
        <v>1108508</v>
      </c>
      <c r="Q253" s="611">
        <f>+'_DATA STT PAGOS_'!D255</f>
        <v>1370753.098</v>
      </c>
      <c r="R253" s="611">
        <f>+'_DATA STT PAGOS_'!E255</f>
        <v>114229.42483333334</v>
      </c>
      <c r="S253" s="611">
        <f>+'_DATA STT PAGOS_'!F255</f>
        <v>90241</v>
      </c>
      <c r="T253" s="612">
        <f>+'_DATA STT PAGOS_'!Q255</f>
        <v>1775937.7279999999</v>
      </c>
      <c r="U253" s="613" t="str">
        <f>SUBSTITUTE((IFERROR(VLOOKUP(A253,'DATOS IND MINERO'!$H$2:$L$113,4,0),"No")),"í","I",1)</f>
        <v>No</v>
      </c>
      <c r="V253" s="614">
        <f>IFERROR(VLOOKUP(A253,'DATOS IND MINERO'!$H$2:$L$113,5,0),0)</f>
        <v>0</v>
      </c>
      <c r="W253" s="611">
        <f>+'_DATA STT PAGOS_'!G255</f>
        <v>0</v>
      </c>
      <c r="X253" s="611">
        <f>+'_DATA STT PAGOS_'!J255</f>
        <v>1859902.348</v>
      </c>
      <c r="Y253" s="609">
        <v>20133</v>
      </c>
      <c r="Z253" s="609">
        <v>13030</v>
      </c>
      <c r="AA253" s="609">
        <v>15841</v>
      </c>
      <c r="AB253" s="609">
        <v>6081</v>
      </c>
      <c r="AC253" s="609">
        <v>55085</v>
      </c>
      <c r="AD253" s="609">
        <v>0</v>
      </c>
      <c r="AE253" s="609">
        <v>0</v>
      </c>
      <c r="AF253" s="609">
        <v>0</v>
      </c>
      <c r="AG253" s="609">
        <v>0</v>
      </c>
      <c r="AH253" s="609">
        <v>0</v>
      </c>
      <c r="AI253" s="209"/>
    </row>
    <row r="254" spans="1:35" x14ac:dyDescent="0.25">
      <c r="A254" s="201">
        <v>12104</v>
      </c>
      <c r="B254" s="201">
        <v>12204</v>
      </c>
      <c r="C254" s="201" t="s">
        <v>267</v>
      </c>
      <c r="D254" s="609">
        <v>651</v>
      </c>
      <c r="E254" s="610">
        <v>8.0598348223237762E-2</v>
      </c>
      <c r="F254" s="609">
        <v>46944.345347198847</v>
      </c>
      <c r="G254" s="609">
        <v>168</v>
      </c>
      <c r="H254" s="609">
        <v>315</v>
      </c>
      <c r="I254" s="609">
        <v>9185819003</v>
      </c>
      <c r="J254" s="609">
        <v>114743690886</v>
      </c>
      <c r="K254" s="608">
        <v>0</v>
      </c>
      <c r="L254" s="608">
        <v>0</v>
      </c>
      <c r="M254" s="609">
        <v>582772</v>
      </c>
      <c r="N254" s="609">
        <f t="shared" si="12"/>
        <v>582772</v>
      </c>
      <c r="O254" s="609">
        <f t="shared" si="13"/>
        <v>582772</v>
      </c>
      <c r="P254" s="609">
        <f t="shared" si="14"/>
        <v>582772</v>
      </c>
      <c r="Q254" s="611">
        <f>+'_DATA STT PAGOS_'!D256</f>
        <v>1382905.818</v>
      </c>
      <c r="R254" s="611">
        <f>+'_DATA STT PAGOS_'!E256</f>
        <v>115242.15149999999</v>
      </c>
      <c r="S254" s="611">
        <f>+'_DATA STT PAGOS_'!F256</f>
        <v>91041</v>
      </c>
      <c r="T254" s="612">
        <f>+'_DATA STT PAGOS_'!Q256</f>
        <v>1789227.686</v>
      </c>
      <c r="U254" s="613" t="str">
        <f>SUBSTITUTE((IFERROR(VLOOKUP(A254,'DATOS IND MINERO'!$H$2:$L$113,4,0),"No")),"í","I",1)</f>
        <v>No</v>
      </c>
      <c r="V254" s="614">
        <f>IFERROR(VLOOKUP(A254,'DATOS IND MINERO'!$H$2:$L$113,5,0),0)</f>
        <v>0</v>
      </c>
      <c r="W254" s="611">
        <f>+'_DATA STT PAGOS_'!G256</f>
        <v>0</v>
      </c>
      <c r="X254" s="611">
        <f>+'_DATA STT PAGOS_'!J256</f>
        <v>1876555.5489999999</v>
      </c>
      <c r="Y254" s="609">
        <v>37144</v>
      </c>
      <c r="Z254" s="609">
        <v>19691</v>
      </c>
      <c r="AA254" s="609">
        <v>23962</v>
      </c>
      <c r="AB254" s="609">
        <v>29611</v>
      </c>
      <c r="AC254" s="609">
        <v>110408</v>
      </c>
      <c r="AD254" s="609">
        <v>0</v>
      </c>
      <c r="AE254" s="609">
        <v>0</v>
      </c>
      <c r="AF254" s="609">
        <v>0</v>
      </c>
      <c r="AG254" s="609">
        <v>0</v>
      </c>
      <c r="AH254" s="609">
        <v>0</v>
      </c>
      <c r="AI254" s="209"/>
    </row>
    <row r="255" spans="1:35" x14ac:dyDescent="0.25">
      <c r="A255" s="201">
        <v>12201</v>
      </c>
      <c r="B255" s="201">
        <v>12401</v>
      </c>
      <c r="C255" s="201" t="s">
        <v>273</v>
      </c>
      <c r="D255" s="609">
        <v>1968</v>
      </c>
      <c r="E255" s="610">
        <v>1.186221304315507E-2</v>
      </c>
      <c r="F255" s="609">
        <v>50395.090073675776</v>
      </c>
      <c r="G255" s="609">
        <v>990</v>
      </c>
      <c r="H255" s="609">
        <v>990</v>
      </c>
      <c r="I255" s="609">
        <v>70499798808</v>
      </c>
      <c r="J255" s="609">
        <v>70499798808</v>
      </c>
      <c r="K255" s="608">
        <v>0</v>
      </c>
      <c r="L255" s="608">
        <v>0</v>
      </c>
      <c r="M255" s="609">
        <v>405763</v>
      </c>
      <c r="N255" s="609">
        <f t="shared" si="12"/>
        <v>405763</v>
      </c>
      <c r="O255" s="609">
        <f t="shared" si="13"/>
        <v>405763</v>
      </c>
      <c r="P255" s="609">
        <f t="shared" si="14"/>
        <v>405763</v>
      </c>
      <c r="Q255" s="611">
        <f>+'_DATA STT PAGOS_'!D257</f>
        <v>1677703.0379999999</v>
      </c>
      <c r="R255" s="611">
        <f>+'_DATA STT PAGOS_'!E257</f>
        <v>139808.5865</v>
      </c>
      <c r="S255" s="611">
        <f>+'_DATA STT PAGOS_'!F257</f>
        <v>110449</v>
      </c>
      <c r="T255" s="612">
        <f>+'_DATA STT PAGOS_'!Q257</f>
        <v>2036339.21</v>
      </c>
      <c r="U255" s="613" t="str">
        <f>SUBSTITUTE((IFERROR(VLOOKUP(A255,'DATOS IND MINERO'!$H$2:$L$113,4,0),"No")),"í","I",1)</f>
        <v>No</v>
      </c>
      <c r="V255" s="614">
        <f>IFERROR(VLOOKUP(A255,'DATOS IND MINERO'!$H$2:$L$113,5,0),0)</f>
        <v>0</v>
      </c>
      <c r="W255" s="611">
        <f>+'_DATA STT PAGOS_'!G257</f>
        <v>0</v>
      </c>
      <c r="X255" s="611">
        <f>+'_DATA STT PAGOS_'!J257</f>
        <v>2275995.2259999998</v>
      </c>
      <c r="Y255" s="609">
        <v>0</v>
      </c>
      <c r="Z255" s="609">
        <v>0</v>
      </c>
      <c r="AA255" s="609">
        <v>0</v>
      </c>
      <c r="AB255" s="609">
        <v>0</v>
      </c>
      <c r="AC255" s="609">
        <v>0</v>
      </c>
      <c r="AD255" s="609">
        <v>0</v>
      </c>
      <c r="AE255" s="609">
        <v>0</v>
      </c>
      <c r="AF255" s="609">
        <v>0</v>
      </c>
      <c r="AG255" s="609">
        <v>0</v>
      </c>
      <c r="AH255" s="609">
        <v>0</v>
      </c>
      <c r="AI255" s="209"/>
    </row>
    <row r="256" spans="1:35" s="898" customFormat="1" x14ac:dyDescent="0.25">
      <c r="A256" s="898">
        <v>12202</v>
      </c>
      <c r="B256" s="898">
        <v>12402</v>
      </c>
      <c r="C256" s="898" t="s">
        <v>472</v>
      </c>
      <c r="D256" s="899">
        <v>0</v>
      </c>
      <c r="E256" s="900">
        <v>0</v>
      </c>
      <c r="F256" s="899">
        <v>0</v>
      </c>
      <c r="G256" s="899">
        <v>0</v>
      </c>
      <c r="H256" s="899">
        <v>0</v>
      </c>
      <c r="I256" s="899">
        <v>0</v>
      </c>
      <c r="J256" s="899">
        <v>0</v>
      </c>
      <c r="K256" s="898">
        <v>0</v>
      </c>
      <c r="L256" s="898">
        <v>0</v>
      </c>
      <c r="M256" s="899">
        <v>0</v>
      </c>
      <c r="N256" s="899">
        <f t="shared" si="12"/>
        <v>0</v>
      </c>
      <c r="O256" s="899">
        <f t="shared" si="13"/>
        <v>0</v>
      </c>
      <c r="P256" s="899">
        <f t="shared" si="14"/>
        <v>0</v>
      </c>
      <c r="Q256" s="901">
        <f>+'_DATA STT PAGOS_'!D258</f>
        <v>1362356.0819999999</v>
      </c>
      <c r="R256" s="901">
        <f>+'_DATA STT PAGOS_'!E258</f>
        <v>113529.67349999999</v>
      </c>
      <c r="S256" s="901">
        <f>+'_DATA STT PAGOS_'!F258</f>
        <v>89688</v>
      </c>
      <c r="T256" s="902">
        <f>+'_DATA STT PAGOS_'!Q258</f>
        <v>1763076.0419999999</v>
      </c>
      <c r="U256" s="903" t="str">
        <f>SUBSTITUTE((IFERROR(VLOOKUP(A256,'DATOS IND MINERO'!$H$2:$L$113,4,0),"No")),"í","I",1)</f>
        <v>No</v>
      </c>
      <c r="V256" s="904">
        <f>IFERROR(VLOOKUP(A256,'DATOS IND MINERO'!$H$2:$L$113,5,0),0)</f>
        <v>0</v>
      </c>
      <c r="W256" s="901">
        <f>+'_DATA STT PAGOS_'!G258</f>
        <v>0</v>
      </c>
      <c r="X256" s="901">
        <f>+'_DATA STT PAGOS_'!J258</f>
        <v>1848557.81</v>
      </c>
      <c r="Y256" s="899">
        <v>0</v>
      </c>
      <c r="Z256" s="899">
        <v>0</v>
      </c>
      <c r="AA256" s="899">
        <v>0</v>
      </c>
      <c r="AB256" s="899">
        <v>0</v>
      </c>
      <c r="AC256" s="899">
        <v>0</v>
      </c>
      <c r="AD256" s="899">
        <v>0</v>
      </c>
      <c r="AE256" s="899">
        <v>0</v>
      </c>
      <c r="AF256" s="899">
        <v>0</v>
      </c>
      <c r="AG256" s="899">
        <v>0</v>
      </c>
      <c r="AH256" s="899">
        <v>0</v>
      </c>
      <c r="AI256" s="905"/>
    </row>
    <row r="257" spans="1:35" x14ac:dyDescent="0.25">
      <c r="A257" s="201">
        <v>12301</v>
      </c>
      <c r="B257" s="201">
        <v>12301</v>
      </c>
      <c r="C257" s="201" t="s">
        <v>270</v>
      </c>
      <c r="D257" s="609">
        <v>7637</v>
      </c>
      <c r="E257" s="610">
        <v>3.6274869319115513E-2</v>
      </c>
      <c r="F257" s="609">
        <v>79639.050372300029</v>
      </c>
      <c r="G257" s="609">
        <v>3375</v>
      </c>
      <c r="H257" s="609">
        <v>3375</v>
      </c>
      <c r="I257" s="609">
        <v>279098163024</v>
      </c>
      <c r="J257" s="609">
        <v>279098163024</v>
      </c>
      <c r="K257" s="608">
        <v>0</v>
      </c>
      <c r="L257" s="608">
        <v>0</v>
      </c>
      <c r="M257" s="609">
        <v>1751515</v>
      </c>
      <c r="N257" s="609">
        <f t="shared" si="12"/>
        <v>1751515</v>
      </c>
      <c r="O257" s="609">
        <f t="shared" si="13"/>
        <v>1751515</v>
      </c>
      <c r="P257" s="609">
        <f t="shared" si="14"/>
        <v>1751515</v>
      </c>
      <c r="Q257" s="611">
        <f>+'_DATA STT PAGOS_'!D259</f>
        <v>1946505.3289999999</v>
      </c>
      <c r="R257" s="611">
        <f>+'_DATA STT PAGOS_'!E259</f>
        <v>162208.77741666665</v>
      </c>
      <c r="S257" s="611">
        <f>+'_DATA STT PAGOS_'!F259</f>
        <v>128145</v>
      </c>
      <c r="T257" s="612">
        <f>+'_DATA STT PAGOS_'!Q259</f>
        <v>2560597.375</v>
      </c>
      <c r="U257" s="613" t="str">
        <f>SUBSTITUTE((IFERROR(VLOOKUP(A257,'DATOS IND MINERO'!$H$2:$L$113,4,0),"No")),"í","I",1)</f>
        <v>No</v>
      </c>
      <c r="V257" s="614">
        <f>IFERROR(VLOOKUP(A257,'DATOS IND MINERO'!$H$2:$L$113,5,0),0)</f>
        <v>0</v>
      </c>
      <c r="W257" s="611">
        <f>+'_DATA STT PAGOS_'!G259</f>
        <v>0</v>
      </c>
      <c r="X257" s="611">
        <f>+'_DATA STT PAGOS_'!J259</f>
        <v>2640765.5759999999</v>
      </c>
      <c r="Y257" s="609">
        <v>0</v>
      </c>
      <c r="Z257" s="609">
        <v>0</v>
      </c>
      <c r="AA257" s="609">
        <v>0</v>
      </c>
      <c r="AB257" s="609">
        <v>0</v>
      </c>
      <c r="AC257" s="609">
        <v>0</v>
      </c>
      <c r="AD257" s="609">
        <v>0</v>
      </c>
      <c r="AE257" s="609">
        <v>0</v>
      </c>
      <c r="AF257" s="609">
        <v>0</v>
      </c>
      <c r="AG257" s="609">
        <v>0</v>
      </c>
      <c r="AH257" s="609">
        <v>0</v>
      </c>
      <c r="AI257" s="209"/>
    </row>
    <row r="258" spans="1:35" x14ac:dyDescent="0.25">
      <c r="A258" s="201">
        <v>12302</v>
      </c>
      <c r="B258" s="201">
        <v>12302</v>
      </c>
      <c r="C258" s="201" t="s">
        <v>271</v>
      </c>
      <c r="D258" s="609">
        <v>674</v>
      </c>
      <c r="E258" s="610">
        <v>1.296169787156448E-2</v>
      </c>
      <c r="F258" s="609">
        <v>34591.512237564675</v>
      </c>
      <c r="G258" s="609">
        <v>370</v>
      </c>
      <c r="H258" s="609">
        <v>370</v>
      </c>
      <c r="I258" s="609">
        <v>103438609333</v>
      </c>
      <c r="J258" s="609">
        <v>103438609333</v>
      </c>
      <c r="K258" s="608">
        <v>0</v>
      </c>
      <c r="L258" s="608">
        <v>0</v>
      </c>
      <c r="M258" s="609">
        <v>224666</v>
      </c>
      <c r="N258" s="609">
        <f t="shared" si="12"/>
        <v>224666</v>
      </c>
      <c r="O258" s="609">
        <f t="shared" si="13"/>
        <v>224666</v>
      </c>
      <c r="P258" s="609">
        <f t="shared" si="14"/>
        <v>224666</v>
      </c>
      <c r="Q258" s="611">
        <f>+'_DATA STT PAGOS_'!D260</f>
        <v>1439538.142</v>
      </c>
      <c r="R258" s="611">
        <f>+'_DATA STT PAGOS_'!E260</f>
        <v>119961.51183333334</v>
      </c>
      <c r="S258" s="611">
        <f>+'_DATA STT PAGOS_'!F260</f>
        <v>94770</v>
      </c>
      <c r="T258" s="612">
        <f>+'_DATA STT PAGOS_'!Q260</f>
        <v>1844267.0689999999</v>
      </c>
      <c r="U258" s="613" t="str">
        <f>SUBSTITUTE((IFERROR(VLOOKUP(A258,'DATOS IND MINERO'!$H$2:$L$113,4,0),"No")),"í","I",1)</f>
        <v>No</v>
      </c>
      <c r="V258" s="614">
        <f>IFERROR(VLOOKUP(A258,'DATOS IND MINERO'!$H$2:$L$113,5,0),0)</f>
        <v>0</v>
      </c>
      <c r="W258" s="611">
        <f>+'_DATA STT PAGOS_'!G260</f>
        <v>0</v>
      </c>
      <c r="X258" s="611">
        <f>+'_DATA STT PAGOS_'!J260</f>
        <v>1953097.74</v>
      </c>
      <c r="Y258" s="609">
        <v>0</v>
      </c>
      <c r="Z258" s="609">
        <v>0</v>
      </c>
      <c r="AA258" s="609">
        <v>0</v>
      </c>
      <c r="AB258" s="609">
        <v>0</v>
      </c>
      <c r="AC258" s="609">
        <v>0</v>
      </c>
      <c r="AD258" s="609">
        <v>0</v>
      </c>
      <c r="AE258" s="609">
        <v>0</v>
      </c>
      <c r="AF258" s="609">
        <v>0</v>
      </c>
      <c r="AG258" s="609">
        <v>0</v>
      </c>
      <c r="AH258" s="609">
        <v>0</v>
      </c>
      <c r="AI258" s="209"/>
    </row>
    <row r="259" spans="1:35" x14ac:dyDescent="0.25">
      <c r="A259" s="201">
        <v>12303</v>
      </c>
      <c r="B259" s="201">
        <v>12304</v>
      </c>
      <c r="C259" s="201" t="s">
        <v>272</v>
      </c>
      <c r="D259" s="609">
        <v>276</v>
      </c>
      <c r="E259" s="610">
        <v>6.4338861858849253E-2</v>
      </c>
      <c r="F259" s="609">
        <v>7117.501002254473</v>
      </c>
      <c r="G259" s="609">
        <v>319</v>
      </c>
      <c r="H259" s="609">
        <v>319</v>
      </c>
      <c r="I259" s="609">
        <v>35645397110</v>
      </c>
      <c r="J259" s="609">
        <v>35645397110</v>
      </c>
      <c r="K259" s="608">
        <v>0</v>
      </c>
      <c r="L259" s="608">
        <v>0</v>
      </c>
      <c r="M259" s="609">
        <v>123098</v>
      </c>
      <c r="N259" s="609">
        <f t="shared" si="12"/>
        <v>123098</v>
      </c>
      <c r="O259" s="609">
        <f t="shared" si="13"/>
        <v>123098</v>
      </c>
      <c r="P259" s="609">
        <f t="shared" si="14"/>
        <v>123098</v>
      </c>
      <c r="Q259" s="611">
        <f>+'_DATA STT PAGOS_'!D261</f>
        <v>1452235.4639999999</v>
      </c>
      <c r="R259" s="611">
        <f>+'_DATA STT PAGOS_'!E261</f>
        <v>121019.62199999999</v>
      </c>
      <c r="S259" s="611">
        <f>+'_DATA STT PAGOS_'!F261</f>
        <v>95606</v>
      </c>
      <c r="T259" s="612">
        <f>+'_DATA STT PAGOS_'!Q261</f>
        <v>1890109.459</v>
      </c>
      <c r="U259" s="613" t="str">
        <f>SUBSTITUTE((IFERROR(VLOOKUP(A259,'DATOS IND MINERO'!$H$2:$L$113,4,0),"No")),"í","I",1)</f>
        <v>No</v>
      </c>
      <c r="V259" s="614">
        <f>IFERROR(VLOOKUP(A259,'DATOS IND MINERO'!$H$2:$L$113,5,0),0)</f>
        <v>0</v>
      </c>
      <c r="W259" s="611">
        <f>+'_DATA STT PAGOS_'!G261</f>
        <v>0</v>
      </c>
      <c r="X259" s="611">
        <f>+'_DATA STT PAGOS_'!J261</f>
        <v>1970593.9819999998</v>
      </c>
      <c r="Y259" s="609">
        <v>0</v>
      </c>
      <c r="Z259" s="609">
        <v>0</v>
      </c>
      <c r="AA259" s="609">
        <v>0</v>
      </c>
      <c r="AB259" s="609">
        <v>0</v>
      </c>
      <c r="AC259" s="609">
        <v>0</v>
      </c>
      <c r="AD259" s="609">
        <v>0</v>
      </c>
      <c r="AE259" s="609">
        <v>0</v>
      </c>
      <c r="AF259" s="609">
        <v>0</v>
      </c>
      <c r="AG259" s="609">
        <v>0</v>
      </c>
      <c r="AH259" s="609">
        <v>0</v>
      </c>
      <c r="AI259" s="209"/>
    </row>
    <row r="260" spans="1:35" x14ac:dyDescent="0.25">
      <c r="A260" s="201">
        <v>12401</v>
      </c>
      <c r="B260" s="201">
        <v>12101</v>
      </c>
      <c r="C260" s="201" t="s">
        <v>266</v>
      </c>
      <c r="D260" s="609">
        <v>24631</v>
      </c>
      <c r="E260" s="610">
        <v>3.103493984765365E-2</v>
      </c>
      <c r="F260" s="609">
        <v>686583.47947158339</v>
      </c>
      <c r="G260" s="609">
        <v>8755</v>
      </c>
      <c r="H260" s="609">
        <v>12189</v>
      </c>
      <c r="I260" s="609">
        <v>345852209581</v>
      </c>
      <c r="J260" s="609">
        <v>705340711534</v>
      </c>
      <c r="K260" s="608">
        <v>0</v>
      </c>
      <c r="L260" s="608">
        <v>0</v>
      </c>
      <c r="M260" s="609">
        <v>5355782</v>
      </c>
      <c r="N260" s="609">
        <f t="shared" si="12"/>
        <v>5355782</v>
      </c>
      <c r="O260" s="609">
        <f t="shared" si="13"/>
        <v>5355782</v>
      </c>
      <c r="P260" s="609">
        <f t="shared" si="14"/>
        <v>5355782</v>
      </c>
      <c r="Q260" s="611">
        <f>+'_DATA STT PAGOS_'!D262</f>
        <v>4778279.3449999997</v>
      </c>
      <c r="R260" s="611">
        <f>+'_DATA STT PAGOS_'!E262</f>
        <v>398189.94541666663</v>
      </c>
      <c r="S260" s="611">
        <f>+'_DATA STT PAGOS_'!F262</f>
        <v>314570</v>
      </c>
      <c r="T260" s="612">
        <f>+'_DATA STT PAGOS_'!Q262</f>
        <v>5677577.3760000002</v>
      </c>
      <c r="U260" s="613" t="str">
        <f>SUBSTITUTE((IFERROR(VLOOKUP(A260,'DATOS IND MINERO'!$H$2:$L$113,4,0),"No")),"í","I",1)</f>
        <v>No</v>
      </c>
      <c r="V260" s="614">
        <f>IFERROR(VLOOKUP(A260,'DATOS IND MINERO'!$H$2:$L$113,5,0),0)</f>
        <v>0</v>
      </c>
      <c r="W260" s="611">
        <f>+'_DATA STT PAGOS_'!G262</f>
        <v>0</v>
      </c>
      <c r="X260" s="611">
        <f>+'_DATA STT PAGOS_'!J262</f>
        <v>6481094.2479999997</v>
      </c>
      <c r="Y260" s="609">
        <v>154596</v>
      </c>
      <c r="Z260" s="609">
        <v>132829</v>
      </c>
      <c r="AA260" s="609">
        <v>139217</v>
      </c>
      <c r="AB260" s="609">
        <v>110233</v>
      </c>
      <c r="AC260" s="609">
        <v>536875</v>
      </c>
      <c r="AD260" s="609">
        <v>6864</v>
      </c>
      <c r="AE260" s="609">
        <v>4270</v>
      </c>
      <c r="AF260" s="609">
        <v>5536.2290000000003</v>
      </c>
      <c r="AG260" s="609">
        <v>3830</v>
      </c>
      <c r="AH260" s="609">
        <v>20500.228999999999</v>
      </c>
      <c r="AI260" s="209"/>
    </row>
    <row r="261" spans="1:35" x14ac:dyDescent="0.25">
      <c r="A261" s="201">
        <v>12402</v>
      </c>
      <c r="B261" s="201">
        <v>12103</v>
      </c>
      <c r="C261" s="201" t="s">
        <v>321</v>
      </c>
      <c r="D261" s="609">
        <v>1081</v>
      </c>
      <c r="E261" s="610">
        <v>5.2711745351444891E-2</v>
      </c>
      <c r="F261" s="609">
        <v>502931.92114381678</v>
      </c>
      <c r="G261" s="609">
        <v>135</v>
      </c>
      <c r="H261" s="609">
        <v>270</v>
      </c>
      <c r="I261" s="609">
        <v>26480461925</v>
      </c>
      <c r="J261" s="609">
        <v>117005273785</v>
      </c>
      <c r="K261" s="608">
        <v>0</v>
      </c>
      <c r="L261" s="608">
        <v>0</v>
      </c>
      <c r="M261" s="609">
        <v>539323</v>
      </c>
      <c r="N261" s="609">
        <f t="shared" si="12"/>
        <v>539323</v>
      </c>
      <c r="O261" s="609">
        <f t="shared" si="13"/>
        <v>539323</v>
      </c>
      <c r="P261" s="609">
        <f t="shared" si="14"/>
        <v>539323</v>
      </c>
      <c r="Q261" s="611">
        <f>+'_DATA STT PAGOS_'!D263</f>
        <v>1385073.4550000001</v>
      </c>
      <c r="R261" s="611">
        <f>+'_DATA STT PAGOS_'!E263</f>
        <v>115422.78791666667</v>
      </c>
      <c r="S261" s="611">
        <f>+'_DATA STT PAGOS_'!F263</f>
        <v>91184</v>
      </c>
      <c r="T261" s="612">
        <f>+'_DATA STT PAGOS_'!Q263</f>
        <v>1796414.9040000001</v>
      </c>
      <c r="U261" s="613" t="str">
        <f>SUBSTITUTE((IFERROR(VLOOKUP(A261,'DATOS IND MINERO'!$H$2:$L$113,4,0),"No")),"í","I",1)</f>
        <v>No</v>
      </c>
      <c r="V261" s="614">
        <f>IFERROR(VLOOKUP(A261,'DATOS IND MINERO'!$H$2:$L$113,5,0),0)</f>
        <v>0</v>
      </c>
      <c r="W261" s="611">
        <f>+'_DATA STT PAGOS_'!G263</f>
        <v>0</v>
      </c>
      <c r="X261" s="611">
        <f>+'_DATA STT PAGOS_'!J263</f>
        <v>1879453.74</v>
      </c>
      <c r="Y261" s="609">
        <v>31099</v>
      </c>
      <c r="Z261" s="609">
        <v>25854</v>
      </c>
      <c r="AA261" s="609">
        <v>38506</v>
      </c>
      <c r="AB261" s="609">
        <v>18487</v>
      </c>
      <c r="AC261" s="609">
        <v>113946</v>
      </c>
      <c r="AD261" s="609">
        <v>0</v>
      </c>
      <c r="AE261" s="609">
        <v>0</v>
      </c>
      <c r="AF261" s="609">
        <v>0</v>
      </c>
      <c r="AG261" s="609">
        <v>0</v>
      </c>
      <c r="AH261" s="609">
        <v>0</v>
      </c>
      <c r="AI261" s="209"/>
    </row>
    <row r="262" spans="1:35" x14ac:dyDescent="0.25">
      <c r="A262" s="201">
        <v>13101</v>
      </c>
      <c r="B262" s="201">
        <v>13101</v>
      </c>
      <c r="C262" s="201" t="s">
        <v>274</v>
      </c>
      <c r="D262" s="609">
        <v>544388</v>
      </c>
      <c r="E262" s="610">
        <v>3.8647811721632362E-2</v>
      </c>
      <c r="F262" s="609">
        <v>4957768.4506617496</v>
      </c>
      <c r="G262" s="609">
        <v>137154</v>
      </c>
      <c r="H262" s="609">
        <v>402766</v>
      </c>
      <c r="I262" s="609">
        <v>9435138307566</v>
      </c>
      <c r="J262" s="609">
        <v>26247379114936</v>
      </c>
      <c r="K262" s="608">
        <v>0</v>
      </c>
      <c r="L262" s="608">
        <v>0</v>
      </c>
      <c r="M262" s="609">
        <v>123162816</v>
      </c>
      <c r="N262" s="609">
        <f t="shared" ref="N262:N325" si="15">+M262</f>
        <v>123162816</v>
      </c>
      <c r="O262" s="609">
        <f t="shared" ref="O262:O325" si="16">+M262+K262</f>
        <v>123162816</v>
      </c>
      <c r="P262" s="609">
        <f t="shared" ref="P262:P325" si="17">+M262+K262</f>
        <v>123162816</v>
      </c>
      <c r="Q262" s="611">
        <f>+'_DATA STT PAGOS_'!D264</f>
        <v>11232653.049000001</v>
      </c>
      <c r="R262" s="611">
        <f>+'_DATA STT PAGOS_'!E264</f>
        <v>936054.42075000005</v>
      </c>
      <c r="S262" s="611">
        <f>+'_DATA STT PAGOS_'!F264</f>
        <v>739483</v>
      </c>
      <c r="T262" s="612">
        <f>+'_DATA STT PAGOS_'!Q264</f>
        <v>14431124.450999999</v>
      </c>
      <c r="U262" s="613" t="str">
        <f>SUBSTITUTE((IFERROR(VLOOKUP(A262,'DATOS IND MINERO'!$H$2:$L$113,4,0),"No")),"í","I",1)</f>
        <v>No</v>
      </c>
      <c r="V262" s="614">
        <f>IFERROR(VLOOKUP(A262,'DATOS IND MINERO'!$H$2:$L$113,5,0),0)</f>
        <v>0</v>
      </c>
      <c r="W262" s="611">
        <f>+'_DATA STT PAGOS_'!G264</f>
        <v>0</v>
      </c>
      <c r="X262" s="611">
        <f>+'_DATA STT PAGOS_'!J264</f>
        <v>15178178.502999999</v>
      </c>
      <c r="Y262" s="609">
        <v>7486565</v>
      </c>
      <c r="Z262" s="609">
        <v>5137334</v>
      </c>
      <c r="AA262" s="609">
        <v>5806583</v>
      </c>
      <c r="AB262" s="609">
        <v>4910636</v>
      </c>
      <c r="AC262" s="609">
        <v>23341118</v>
      </c>
      <c r="AD262" s="609">
        <v>675046</v>
      </c>
      <c r="AE262" s="609">
        <v>250798</v>
      </c>
      <c r="AF262" s="609">
        <v>380155.95199999999</v>
      </c>
      <c r="AG262" s="609">
        <v>252020</v>
      </c>
      <c r="AH262" s="609">
        <v>1558019.952</v>
      </c>
      <c r="AI262" s="209"/>
    </row>
    <row r="263" spans="1:35" x14ac:dyDescent="0.25">
      <c r="A263" s="201">
        <v>13102</v>
      </c>
      <c r="B263" s="201">
        <v>13166</v>
      </c>
      <c r="C263" s="201" t="s">
        <v>298</v>
      </c>
      <c r="D263" s="609">
        <v>90182</v>
      </c>
      <c r="E263" s="610">
        <v>5.2287011177570758E-2</v>
      </c>
      <c r="F263" s="609">
        <v>187993.54898053448</v>
      </c>
      <c r="G263" s="609">
        <v>20719</v>
      </c>
      <c r="H263" s="609">
        <v>28864</v>
      </c>
      <c r="I263" s="609">
        <v>1179796796429</v>
      </c>
      <c r="J263" s="609">
        <v>3073414737061</v>
      </c>
      <c r="K263" s="608">
        <v>0</v>
      </c>
      <c r="L263" s="608">
        <v>0</v>
      </c>
      <c r="M263" s="609">
        <v>19206241</v>
      </c>
      <c r="N263" s="609">
        <f t="shared" si="15"/>
        <v>19206241</v>
      </c>
      <c r="O263" s="609">
        <f t="shared" si="16"/>
        <v>19206241</v>
      </c>
      <c r="P263" s="609">
        <f t="shared" si="17"/>
        <v>19206241</v>
      </c>
      <c r="Q263" s="611">
        <f>+'_DATA STT PAGOS_'!D265</f>
        <v>4270912.2050000001</v>
      </c>
      <c r="R263" s="611">
        <f>+'_DATA STT PAGOS_'!E265</f>
        <v>355909.35041666665</v>
      </c>
      <c r="S263" s="611">
        <f>+'_DATA STT PAGOS_'!F265</f>
        <v>281168</v>
      </c>
      <c r="T263" s="612">
        <f>+'_DATA STT PAGOS_'!Q265</f>
        <v>5678382.8770000003</v>
      </c>
      <c r="U263" s="613" t="str">
        <f>SUBSTITUTE((IFERROR(VLOOKUP(A263,'DATOS IND MINERO'!$H$2:$L$113,4,0),"No")),"í","I",1)</f>
        <v>No</v>
      </c>
      <c r="V263" s="614">
        <f>IFERROR(VLOOKUP(A263,'DATOS IND MINERO'!$H$2:$L$113,5,0),0)</f>
        <v>0</v>
      </c>
      <c r="W263" s="611">
        <f>+'_DATA STT PAGOS_'!G265</f>
        <v>0</v>
      </c>
      <c r="X263" s="611">
        <f>+'_DATA STT PAGOS_'!J265</f>
        <v>5794477.7050000001</v>
      </c>
      <c r="Y263" s="609">
        <v>1157233</v>
      </c>
      <c r="Z263" s="609">
        <v>910731</v>
      </c>
      <c r="AA263" s="609">
        <v>978183</v>
      </c>
      <c r="AB263" s="609">
        <v>834760</v>
      </c>
      <c r="AC263" s="609">
        <v>3880907</v>
      </c>
      <c r="AD263" s="609">
        <v>51430</v>
      </c>
      <c r="AE263" s="609">
        <v>23256</v>
      </c>
      <c r="AF263" s="609">
        <v>28606.957999999999</v>
      </c>
      <c r="AG263" s="609">
        <v>22349</v>
      </c>
      <c r="AH263" s="609">
        <v>125641.958</v>
      </c>
      <c r="AI263" s="209"/>
    </row>
    <row r="264" spans="1:35" x14ac:dyDescent="0.25">
      <c r="A264" s="201">
        <v>13103</v>
      </c>
      <c r="B264" s="201">
        <v>13156</v>
      </c>
      <c r="C264" s="201" t="s">
        <v>290</v>
      </c>
      <c r="D264" s="609">
        <v>139632</v>
      </c>
      <c r="E264" s="610">
        <v>6.013533802509001E-2</v>
      </c>
      <c r="F264" s="609">
        <v>170458.48218033597</v>
      </c>
      <c r="G264" s="609">
        <v>29720</v>
      </c>
      <c r="H264" s="609">
        <v>31334</v>
      </c>
      <c r="I264" s="609">
        <v>940666147966</v>
      </c>
      <c r="J264" s="609">
        <v>1113705733849</v>
      </c>
      <c r="K264" s="608">
        <v>0</v>
      </c>
      <c r="L264" s="608">
        <v>0</v>
      </c>
      <c r="M264" s="609">
        <v>3525077</v>
      </c>
      <c r="N264" s="609">
        <f t="shared" si="15"/>
        <v>3525077</v>
      </c>
      <c r="O264" s="609">
        <f t="shared" si="16"/>
        <v>3525077</v>
      </c>
      <c r="P264" s="609">
        <f t="shared" si="17"/>
        <v>3525077</v>
      </c>
      <c r="Q264" s="611">
        <f>+'_DATA STT PAGOS_'!D266</f>
        <v>16752401.706</v>
      </c>
      <c r="R264" s="611">
        <f>+'_DATA STT PAGOS_'!E266</f>
        <v>1396033.4754999999</v>
      </c>
      <c r="S264" s="611">
        <f>+'_DATA STT PAGOS_'!F266</f>
        <v>1102866</v>
      </c>
      <c r="T264" s="612">
        <f>+'_DATA STT PAGOS_'!Q266</f>
        <v>22522704.532000002</v>
      </c>
      <c r="U264" s="613" t="str">
        <f>SUBSTITUTE((IFERROR(VLOOKUP(A264,'DATOS IND MINERO'!$H$2:$L$113,4,0),"No")),"í","I",1)</f>
        <v>No</v>
      </c>
      <c r="V264" s="614">
        <f>IFERROR(VLOOKUP(A264,'DATOS IND MINERO'!$H$2:$L$113,5,0),0)</f>
        <v>0</v>
      </c>
      <c r="W264" s="611">
        <f>+'_DATA STT PAGOS_'!G266</f>
        <v>0</v>
      </c>
      <c r="X264" s="611">
        <f>+'_DATA STT PAGOS_'!J266</f>
        <v>22733393.793000001</v>
      </c>
      <c r="Y264" s="609">
        <v>77576</v>
      </c>
      <c r="Z264" s="609">
        <v>47369</v>
      </c>
      <c r="AA264" s="609">
        <v>65174</v>
      </c>
      <c r="AB264" s="609">
        <v>52331</v>
      </c>
      <c r="AC264" s="609">
        <v>242450</v>
      </c>
      <c r="AD264" s="609">
        <v>5273</v>
      </c>
      <c r="AE264" s="609">
        <v>2744</v>
      </c>
      <c r="AF264" s="609">
        <v>3836.7979999999998</v>
      </c>
      <c r="AG264" s="609">
        <v>2233</v>
      </c>
      <c r="AH264" s="609">
        <v>14086.797999999999</v>
      </c>
      <c r="AI264" s="209"/>
    </row>
    <row r="265" spans="1:35" x14ac:dyDescent="0.25">
      <c r="A265" s="201">
        <v>13104</v>
      </c>
      <c r="B265" s="201">
        <v>13127</v>
      </c>
      <c r="C265" s="201" t="s">
        <v>425</v>
      </c>
      <c r="D265" s="609">
        <v>136674</v>
      </c>
      <c r="E265" s="610">
        <v>6.079947209369204E-2</v>
      </c>
      <c r="F265" s="609">
        <v>204993.0673698113</v>
      </c>
      <c r="G265" s="609">
        <v>30788</v>
      </c>
      <c r="H265" s="609">
        <v>35635</v>
      </c>
      <c r="I265" s="609">
        <v>1163836433310</v>
      </c>
      <c r="J265" s="609">
        <v>1713677271655</v>
      </c>
      <c r="K265" s="608">
        <v>0</v>
      </c>
      <c r="L265" s="608">
        <v>0</v>
      </c>
      <c r="M265" s="609">
        <v>10751595</v>
      </c>
      <c r="N265" s="609">
        <f t="shared" si="15"/>
        <v>10751595</v>
      </c>
      <c r="O265" s="609">
        <f t="shared" si="16"/>
        <v>10751595</v>
      </c>
      <c r="P265" s="609">
        <f t="shared" si="17"/>
        <v>10751595</v>
      </c>
      <c r="Q265" s="611">
        <f>+'_DATA STT PAGOS_'!D267</f>
        <v>10845784.286</v>
      </c>
      <c r="R265" s="611">
        <f>+'_DATA STT PAGOS_'!E267</f>
        <v>903815.35716666665</v>
      </c>
      <c r="S265" s="611">
        <f>+'_DATA STT PAGOS_'!F267</f>
        <v>714014</v>
      </c>
      <c r="T265" s="612">
        <f>+'_DATA STT PAGOS_'!Q267</f>
        <v>14581575.199999999</v>
      </c>
      <c r="U265" s="613" t="str">
        <f>SUBSTITUTE((IFERROR(VLOOKUP(A265,'DATOS IND MINERO'!$H$2:$L$113,4,0),"No")),"í","I",1)</f>
        <v>No</v>
      </c>
      <c r="V265" s="614">
        <f>IFERROR(VLOOKUP(A265,'DATOS IND MINERO'!$H$2:$L$113,5,0),0)</f>
        <v>0</v>
      </c>
      <c r="W265" s="611">
        <f>+'_DATA STT PAGOS_'!G267</f>
        <v>0</v>
      </c>
      <c r="X265" s="611">
        <f>+'_DATA STT PAGOS_'!J267</f>
        <v>14717978.324000001</v>
      </c>
      <c r="Y265" s="609">
        <v>279998</v>
      </c>
      <c r="Z265" s="609">
        <v>211709</v>
      </c>
      <c r="AA265" s="609">
        <v>239069</v>
      </c>
      <c r="AB265" s="609">
        <v>373572</v>
      </c>
      <c r="AC265" s="609">
        <v>1104348</v>
      </c>
      <c r="AD265" s="609">
        <v>18940</v>
      </c>
      <c r="AE265" s="609">
        <v>7894</v>
      </c>
      <c r="AF265" s="609">
        <v>12361.701999999999</v>
      </c>
      <c r="AG265" s="609">
        <v>8841</v>
      </c>
      <c r="AH265" s="609">
        <v>48036.701999999997</v>
      </c>
      <c r="AI265" s="209"/>
    </row>
    <row r="266" spans="1:35" x14ac:dyDescent="0.25">
      <c r="A266" s="201">
        <v>13105</v>
      </c>
      <c r="B266" s="201">
        <v>13165</v>
      </c>
      <c r="C266" s="201" t="s">
        <v>297</v>
      </c>
      <c r="D266" s="609">
        <v>169855</v>
      </c>
      <c r="E266" s="610">
        <v>6.1982372591245782E-2</v>
      </c>
      <c r="F266" s="609">
        <v>194617.66274587243</v>
      </c>
      <c r="G266" s="609">
        <v>41097</v>
      </c>
      <c r="H266" s="609">
        <v>44118</v>
      </c>
      <c r="I266" s="609">
        <v>1468837813259</v>
      </c>
      <c r="J266" s="609">
        <v>1798274884703</v>
      </c>
      <c r="K266" s="608">
        <v>0</v>
      </c>
      <c r="L266" s="608">
        <v>0</v>
      </c>
      <c r="M266" s="609">
        <v>7132758</v>
      </c>
      <c r="N266" s="609">
        <f t="shared" si="15"/>
        <v>7132758</v>
      </c>
      <c r="O266" s="609">
        <f t="shared" si="16"/>
        <v>7132758</v>
      </c>
      <c r="P266" s="609">
        <f t="shared" si="17"/>
        <v>7132758</v>
      </c>
      <c r="Q266" s="611">
        <f>+'_DATA STT PAGOS_'!D268</f>
        <v>18674867.416000001</v>
      </c>
      <c r="R266" s="611">
        <f>+'_DATA STT PAGOS_'!E268</f>
        <v>1556238.9513333335</v>
      </c>
      <c r="S266" s="611">
        <f>+'_DATA STT PAGOS_'!F268</f>
        <v>1229429</v>
      </c>
      <c r="T266" s="612">
        <f>+'_DATA STT PAGOS_'!Q268</f>
        <v>25107357.07</v>
      </c>
      <c r="U266" s="613" t="str">
        <f>SUBSTITUTE((IFERROR(VLOOKUP(A266,'DATOS IND MINERO'!$H$2:$L$113,4,0),"No")),"í","I",1)</f>
        <v>No</v>
      </c>
      <c r="V266" s="614">
        <f>IFERROR(VLOOKUP(A266,'DATOS IND MINERO'!$H$2:$L$113,5,0),0)</f>
        <v>0</v>
      </c>
      <c r="W266" s="611">
        <f>+'_DATA STT PAGOS_'!G268</f>
        <v>0</v>
      </c>
      <c r="X266" s="611">
        <f>+'_DATA STT PAGOS_'!J268</f>
        <v>25342223.909000002</v>
      </c>
      <c r="Y266" s="609">
        <v>145350</v>
      </c>
      <c r="Z266" s="609">
        <v>100216</v>
      </c>
      <c r="AA266" s="609">
        <v>112488</v>
      </c>
      <c r="AB266" s="609">
        <v>101456</v>
      </c>
      <c r="AC266" s="609">
        <v>459510</v>
      </c>
      <c r="AD266" s="609">
        <v>18283</v>
      </c>
      <c r="AE266" s="609">
        <v>8511</v>
      </c>
      <c r="AF266" s="609">
        <v>10647.405000000001</v>
      </c>
      <c r="AG266" s="609">
        <v>7135</v>
      </c>
      <c r="AH266" s="609">
        <v>44576.404999999999</v>
      </c>
      <c r="AI266" s="209"/>
    </row>
    <row r="267" spans="1:35" x14ac:dyDescent="0.25">
      <c r="A267" s="201">
        <v>13106</v>
      </c>
      <c r="B267" s="201">
        <v>13157</v>
      </c>
      <c r="C267" s="201" t="s">
        <v>426</v>
      </c>
      <c r="D267" s="609">
        <v>221901</v>
      </c>
      <c r="E267" s="610">
        <v>5.0423961595419259E-2</v>
      </c>
      <c r="F267" s="609">
        <v>594323.79639762302</v>
      </c>
      <c r="G267" s="609">
        <v>56097</v>
      </c>
      <c r="H267" s="609">
        <v>93736</v>
      </c>
      <c r="I267" s="609">
        <v>2730735110206</v>
      </c>
      <c r="J267" s="609">
        <v>5025566630063</v>
      </c>
      <c r="K267" s="608">
        <v>0</v>
      </c>
      <c r="L267" s="608">
        <v>0</v>
      </c>
      <c r="M267" s="609">
        <v>24368743</v>
      </c>
      <c r="N267" s="609">
        <f t="shared" si="15"/>
        <v>24368743</v>
      </c>
      <c r="O267" s="609">
        <f t="shared" si="16"/>
        <v>24368743</v>
      </c>
      <c r="P267" s="609">
        <f t="shared" si="17"/>
        <v>24368743</v>
      </c>
      <c r="Q267" s="611">
        <f>+'_DATA STT PAGOS_'!D269</f>
        <v>10124929.027000001</v>
      </c>
      <c r="R267" s="611">
        <f>+'_DATA STT PAGOS_'!E269</f>
        <v>843744.08558333339</v>
      </c>
      <c r="S267" s="611">
        <f>+'_DATA STT PAGOS_'!F269</f>
        <v>666558</v>
      </c>
      <c r="T267" s="612">
        <f>+'_DATA STT PAGOS_'!Q269</f>
        <v>13094568.564999999</v>
      </c>
      <c r="U267" s="613" t="str">
        <f>SUBSTITUTE((IFERROR(VLOOKUP(A267,'DATOS IND MINERO'!$H$2:$L$113,4,0),"No")),"í","I",1)</f>
        <v>No</v>
      </c>
      <c r="V267" s="614">
        <f>IFERROR(VLOOKUP(A267,'DATOS IND MINERO'!$H$2:$L$113,5,0),0)</f>
        <v>0</v>
      </c>
      <c r="W267" s="611">
        <f>+'_DATA STT PAGOS_'!G269</f>
        <v>0</v>
      </c>
      <c r="X267" s="611">
        <f>+'_DATA STT PAGOS_'!J269</f>
        <v>13714837.247000001</v>
      </c>
      <c r="Y267" s="609">
        <v>1030095</v>
      </c>
      <c r="Z267" s="609">
        <v>793759</v>
      </c>
      <c r="AA267" s="609">
        <v>924431</v>
      </c>
      <c r="AB267" s="609">
        <v>822098</v>
      </c>
      <c r="AC267" s="609">
        <v>3570383</v>
      </c>
      <c r="AD267" s="609">
        <v>111118</v>
      </c>
      <c r="AE267" s="609">
        <v>49081</v>
      </c>
      <c r="AF267" s="609">
        <v>65793.903999999995</v>
      </c>
      <c r="AG267" s="609">
        <v>45472</v>
      </c>
      <c r="AH267" s="609">
        <v>271464.90399999998</v>
      </c>
      <c r="AI267" s="209"/>
    </row>
    <row r="268" spans="1:35" x14ac:dyDescent="0.25">
      <c r="A268" s="201">
        <v>13107</v>
      </c>
      <c r="B268" s="201">
        <v>13158</v>
      </c>
      <c r="C268" s="201" t="s">
        <v>291</v>
      </c>
      <c r="D268" s="609">
        <v>118327</v>
      </c>
      <c r="E268" s="610">
        <v>4.2765572085133478E-2</v>
      </c>
      <c r="F268" s="609">
        <v>246752.56459053961</v>
      </c>
      <c r="G268" s="609">
        <v>14116</v>
      </c>
      <c r="H268" s="609">
        <v>44603</v>
      </c>
      <c r="I268" s="609">
        <v>741744968655</v>
      </c>
      <c r="J268" s="609">
        <v>4709775118032</v>
      </c>
      <c r="K268" s="608">
        <v>0</v>
      </c>
      <c r="L268" s="608">
        <v>0</v>
      </c>
      <c r="M268" s="609">
        <v>43248367</v>
      </c>
      <c r="N268" s="609">
        <f t="shared" si="15"/>
        <v>43248367</v>
      </c>
      <c r="O268" s="609">
        <f t="shared" si="16"/>
        <v>43248367</v>
      </c>
      <c r="P268" s="609">
        <f t="shared" si="17"/>
        <v>43248367</v>
      </c>
      <c r="Q268" s="611">
        <f>+'_DATA STT PAGOS_'!D270</f>
        <v>3093208.6379999998</v>
      </c>
      <c r="R268" s="611">
        <f>+'_DATA STT PAGOS_'!E270</f>
        <v>257767.38649999999</v>
      </c>
      <c r="S268" s="611">
        <f>+'_DATA STT PAGOS_'!F270</f>
        <v>203636</v>
      </c>
      <c r="T268" s="612">
        <f>+'_DATA STT PAGOS_'!Q270</f>
        <v>4158652.588</v>
      </c>
      <c r="U268" s="613" t="str">
        <f>SUBSTITUTE((IFERROR(VLOOKUP(A268,'DATOS IND MINERO'!$H$2:$L$113,4,0),"No")),"í","I",1)</f>
        <v>No</v>
      </c>
      <c r="V268" s="614">
        <f>IFERROR(VLOOKUP(A268,'DATOS IND MINERO'!$H$2:$L$113,5,0),0)</f>
        <v>0</v>
      </c>
      <c r="W268" s="611">
        <f>+'_DATA STT PAGOS_'!G270</f>
        <v>0</v>
      </c>
      <c r="X268" s="611">
        <f>+'_DATA STT PAGOS_'!J270</f>
        <v>4197555.1500000004</v>
      </c>
      <c r="Y268" s="609">
        <v>1981380</v>
      </c>
      <c r="Z268" s="609">
        <v>1536516</v>
      </c>
      <c r="AA268" s="609">
        <v>1750598</v>
      </c>
      <c r="AB268" s="609">
        <v>1527979</v>
      </c>
      <c r="AC268" s="609">
        <v>6796473</v>
      </c>
      <c r="AD268" s="609">
        <v>174725</v>
      </c>
      <c r="AE268" s="609">
        <v>88661</v>
      </c>
      <c r="AF268" s="609">
        <v>157486.144</v>
      </c>
      <c r="AG268" s="609">
        <v>118341</v>
      </c>
      <c r="AH268" s="609">
        <v>539213.14399999997</v>
      </c>
      <c r="AI268" s="209"/>
    </row>
    <row r="269" spans="1:35" x14ac:dyDescent="0.25">
      <c r="A269" s="201">
        <v>13108</v>
      </c>
      <c r="B269" s="201">
        <v>13167</v>
      </c>
      <c r="C269" s="201" t="s">
        <v>299</v>
      </c>
      <c r="D269" s="609">
        <v>153624</v>
      </c>
      <c r="E269" s="610">
        <v>5.8339830820695202E-2</v>
      </c>
      <c r="F269" s="609">
        <v>185808.37979626757</v>
      </c>
      <c r="G269" s="609">
        <v>35201</v>
      </c>
      <c r="H269" s="609">
        <v>55598</v>
      </c>
      <c r="I269" s="609">
        <v>1679935610252</v>
      </c>
      <c r="J269" s="609">
        <v>2943960725509</v>
      </c>
      <c r="K269" s="608">
        <v>0</v>
      </c>
      <c r="L269" s="608">
        <v>0</v>
      </c>
      <c r="M269" s="609">
        <v>13577166</v>
      </c>
      <c r="N269" s="609">
        <f t="shared" si="15"/>
        <v>13577166</v>
      </c>
      <c r="O269" s="609">
        <f t="shared" si="16"/>
        <v>13577166</v>
      </c>
      <c r="P269" s="609">
        <f t="shared" si="17"/>
        <v>13577166</v>
      </c>
      <c r="Q269" s="611">
        <f>+'_DATA STT PAGOS_'!D271</f>
        <v>8548357.2390000001</v>
      </c>
      <c r="R269" s="611">
        <f>+'_DATA STT PAGOS_'!E271</f>
        <v>712363.10325000004</v>
      </c>
      <c r="S269" s="611">
        <f>+'_DATA STT PAGOS_'!F271</f>
        <v>562767</v>
      </c>
      <c r="T269" s="612">
        <f>+'_DATA STT PAGOS_'!Q271</f>
        <v>11479421.459000001</v>
      </c>
      <c r="U269" s="613" t="str">
        <f>SUBSTITUTE((IFERROR(VLOOKUP(A269,'DATOS IND MINERO'!$H$2:$L$113,4,0),"No")),"í","I",1)</f>
        <v>No</v>
      </c>
      <c r="V269" s="614">
        <f>IFERROR(VLOOKUP(A269,'DATOS IND MINERO'!$H$2:$L$113,5,0),0)</f>
        <v>0</v>
      </c>
      <c r="W269" s="611">
        <f>+'_DATA STT PAGOS_'!G271</f>
        <v>0</v>
      </c>
      <c r="X269" s="611">
        <f>+'_DATA STT PAGOS_'!J271</f>
        <v>11586805.478999998</v>
      </c>
      <c r="Y269" s="609">
        <v>639829</v>
      </c>
      <c r="Z269" s="609">
        <v>452694</v>
      </c>
      <c r="AA269" s="609">
        <v>526117</v>
      </c>
      <c r="AB269" s="609">
        <v>464755</v>
      </c>
      <c r="AC269" s="609">
        <v>2083395</v>
      </c>
      <c r="AD269" s="609">
        <v>84793</v>
      </c>
      <c r="AE269" s="609">
        <v>37108</v>
      </c>
      <c r="AF269" s="609">
        <v>47528.411</v>
      </c>
      <c r="AG269" s="609">
        <v>32277</v>
      </c>
      <c r="AH269" s="609">
        <v>201706.41099999999</v>
      </c>
      <c r="AI269" s="209"/>
    </row>
    <row r="270" spans="1:35" x14ac:dyDescent="0.25">
      <c r="A270" s="201">
        <v>13109</v>
      </c>
      <c r="B270" s="201">
        <v>13110</v>
      </c>
      <c r="C270" s="201" t="s">
        <v>280</v>
      </c>
      <c r="D270" s="609">
        <v>101401</v>
      </c>
      <c r="E270" s="610">
        <v>4.0923128577127467E-2</v>
      </c>
      <c r="F270" s="609">
        <v>178334.60841509828</v>
      </c>
      <c r="G270" s="609">
        <v>31955</v>
      </c>
      <c r="H270" s="609">
        <v>53252</v>
      </c>
      <c r="I270" s="609">
        <v>1486741317908</v>
      </c>
      <c r="J270" s="609">
        <v>2764339002896</v>
      </c>
      <c r="K270" s="608">
        <v>0</v>
      </c>
      <c r="L270" s="608">
        <v>0</v>
      </c>
      <c r="M270" s="609">
        <v>11324057</v>
      </c>
      <c r="N270" s="609">
        <f t="shared" si="15"/>
        <v>11324057</v>
      </c>
      <c r="O270" s="609">
        <f t="shared" si="16"/>
        <v>11324057</v>
      </c>
      <c r="P270" s="609">
        <f t="shared" si="17"/>
        <v>11324057</v>
      </c>
      <c r="Q270" s="611">
        <f>+'_DATA STT PAGOS_'!D272</f>
        <v>5263504.3439999996</v>
      </c>
      <c r="R270" s="611">
        <f>+'_DATA STT PAGOS_'!E272</f>
        <v>438625.36199999996</v>
      </c>
      <c r="S270" s="611">
        <f>+'_DATA STT PAGOS_'!F272</f>
        <v>346514</v>
      </c>
      <c r="T270" s="612">
        <f>+'_DATA STT PAGOS_'!Q272</f>
        <v>7076496.3609999996</v>
      </c>
      <c r="U270" s="613" t="str">
        <f>SUBSTITUTE((IFERROR(VLOOKUP(A270,'DATOS IND MINERO'!$H$2:$L$113,4,0),"No")),"í","I",1)</f>
        <v>No</v>
      </c>
      <c r="V270" s="614">
        <f>IFERROR(VLOOKUP(A270,'DATOS IND MINERO'!$H$2:$L$113,5,0),0)</f>
        <v>0</v>
      </c>
      <c r="W270" s="611">
        <f>+'_DATA STT PAGOS_'!G272</f>
        <v>0</v>
      </c>
      <c r="X270" s="611">
        <f>+'_DATA STT PAGOS_'!J272</f>
        <v>7142695.5499999989</v>
      </c>
      <c r="Y270" s="609">
        <v>437943</v>
      </c>
      <c r="Z270" s="609">
        <v>298927</v>
      </c>
      <c r="AA270" s="609">
        <v>335406</v>
      </c>
      <c r="AB270" s="609">
        <v>260405</v>
      </c>
      <c r="AC270" s="609">
        <v>1332681</v>
      </c>
      <c r="AD270" s="609">
        <v>97113</v>
      </c>
      <c r="AE270" s="609">
        <v>43758</v>
      </c>
      <c r="AF270" s="609">
        <v>63511.923000000003</v>
      </c>
      <c r="AG270" s="609">
        <v>42394</v>
      </c>
      <c r="AH270" s="609">
        <v>246776.92300000001</v>
      </c>
      <c r="AI270" s="209"/>
    </row>
    <row r="271" spans="1:35" x14ac:dyDescent="0.25">
      <c r="A271" s="201">
        <v>13110</v>
      </c>
      <c r="B271" s="201">
        <v>13128</v>
      </c>
      <c r="C271" s="201" t="s">
        <v>284</v>
      </c>
      <c r="D271" s="609">
        <v>407297</v>
      </c>
      <c r="E271" s="610">
        <v>3.5299030042895627E-2</v>
      </c>
      <c r="F271" s="609">
        <v>718629.8348170768</v>
      </c>
      <c r="G271" s="609">
        <v>85407</v>
      </c>
      <c r="H271" s="609">
        <v>171437</v>
      </c>
      <c r="I271" s="609">
        <v>4218633239506</v>
      </c>
      <c r="J271" s="609">
        <v>11275367615499</v>
      </c>
      <c r="K271" s="608">
        <v>0</v>
      </c>
      <c r="L271" s="608">
        <v>0</v>
      </c>
      <c r="M271" s="609">
        <v>47231246</v>
      </c>
      <c r="N271" s="609">
        <f t="shared" si="15"/>
        <v>47231246</v>
      </c>
      <c r="O271" s="609">
        <f t="shared" si="16"/>
        <v>47231246</v>
      </c>
      <c r="P271" s="609">
        <f t="shared" si="17"/>
        <v>47231246</v>
      </c>
      <c r="Q271" s="611">
        <f>+'_DATA STT PAGOS_'!D273</f>
        <v>29215569.118000001</v>
      </c>
      <c r="R271" s="611">
        <f>+'_DATA STT PAGOS_'!E273</f>
        <v>2434630.7598333335</v>
      </c>
      <c r="S271" s="611">
        <f>+'_DATA STT PAGOS_'!F273</f>
        <v>1923358</v>
      </c>
      <c r="T271" s="612">
        <f>+'_DATA STT PAGOS_'!Q273</f>
        <v>39278763.813000001</v>
      </c>
      <c r="U271" s="613" t="str">
        <f>SUBSTITUTE((IFERROR(VLOOKUP(A271,'DATOS IND MINERO'!$H$2:$L$113,4,0),"No")),"í","I",1)</f>
        <v>No</v>
      </c>
      <c r="V271" s="614">
        <f>IFERROR(VLOOKUP(A271,'DATOS IND MINERO'!$H$2:$L$113,5,0),0)</f>
        <v>0</v>
      </c>
      <c r="W271" s="611">
        <f>+'_DATA STT PAGOS_'!G273</f>
        <v>0</v>
      </c>
      <c r="X271" s="611">
        <f>+'_DATA STT PAGOS_'!J273</f>
        <v>39646198.162</v>
      </c>
      <c r="Y271" s="609">
        <v>2570464</v>
      </c>
      <c r="Z271" s="609">
        <v>1862370</v>
      </c>
      <c r="AA271" s="609">
        <v>2134863</v>
      </c>
      <c r="AB271" s="609">
        <v>1804671</v>
      </c>
      <c r="AC271" s="609">
        <v>8372368</v>
      </c>
      <c r="AD271" s="609">
        <v>509697</v>
      </c>
      <c r="AE271" s="609">
        <v>228557</v>
      </c>
      <c r="AF271" s="609">
        <v>306433.24800000002</v>
      </c>
      <c r="AG271" s="609">
        <v>213550</v>
      </c>
      <c r="AH271" s="609">
        <v>1258237.2480000001</v>
      </c>
      <c r="AI271" s="209"/>
    </row>
    <row r="272" spans="1:35" x14ac:dyDescent="0.25">
      <c r="A272" s="201">
        <v>13111</v>
      </c>
      <c r="B272" s="201">
        <v>13131</v>
      </c>
      <c r="C272" s="201" t="s">
        <v>285</v>
      </c>
      <c r="D272" s="609">
        <v>119321</v>
      </c>
      <c r="E272" s="610">
        <v>6.0301679600837037E-2</v>
      </c>
      <c r="F272" s="609">
        <v>156847.07677410715</v>
      </c>
      <c r="G272" s="609">
        <v>28644</v>
      </c>
      <c r="H272" s="609">
        <v>31539</v>
      </c>
      <c r="I272" s="609">
        <v>1040287693488</v>
      </c>
      <c r="J272" s="609">
        <v>1365630900546</v>
      </c>
      <c r="K272" s="608">
        <v>0</v>
      </c>
      <c r="L272" s="608">
        <v>0</v>
      </c>
      <c r="M272" s="609">
        <v>5272131</v>
      </c>
      <c r="N272" s="609">
        <f t="shared" si="15"/>
        <v>5272131</v>
      </c>
      <c r="O272" s="609">
        <f t="shared" si="16"/>
        <v>5272131</v>
      </c>
      <c r="P272" s="609">
        <f t="shared" si="17"/>
        <v>5272131</v>
      </c>
      <c r="Q272" s="611">
        <f>+'_DATA STT PAGOS_'!D274</f>
        <v>13690819.438999999</v>
      </c>
      <c r="R272" s="611">
        <f>+'_DATA STT PAGOS_'!E274</f>
        <v>1140901.6199166665</v>
      </c>
      <c r="S272" s="611">
        <f>+'_DATA STT PAGOS_'!F274</f>
        <v>901312</v>
      </c>
      <c r="T272" s="612">
        <f>+'_DATA STT PAGOS_'!Q274</f>
        <v>18406572.169</v>
      </c>
      <c r="U272" s="613" t="str">
        <f>SUBSTITUTE((IFERROR(VLOOKUP(A272,'DATOS IND MINERO'!$H$2:$L$113,4,0),"No")),"í","I",1)</f>
        <v>No</v>
      </c>
      <c r="V272" s="614">
        <f>IFERROR(VLOOKUP(A272,'DATOS IND MINERO'!$H$2:$L$113,5,0),0)</f>
        <v>0</v>
      </c>
      <c r="W272" s="611">
        <f>+'_DATA STT PAGOS_'!G274</f>
        <v>0</v>
      </c>
      <c r="X272" s="611">
        <f>+'_DATA STT PAGOS_'!J274</f>
        <v>18578756.351999998</v>
      </c>
      <c r="Y272" s="609">
        <v>155431</v>
      </c>
      <c r="Z272" s="609">
        <v>106836</v>
      </c>
      <c r="AA272" s="609">
        <v>117312</v>
      </c>
      <c r="AB272" s="609">
        <v>98193</v>
      </c>
      <c r="AC272" s="609">
        <v>477772</v>
      </c>
      <c r="AD272" s="609">
        <v>10545</v>
      </c>
      <c r="AE272" s="609">
        <v>5542</v>
      </c>
      <c r="AF272" s="609">
        <v>2538.89</v>
      </c>
      <c r="AG272" s="609">
        <v>1522</v>
      </c>
      <c r="AH272" s="609">
        <v>20147.89</v>
      </c>
      <c r="AI272" s="209"/>
    </row>
    <row r="273" spans="1:35" x14ac:dyDescent="0.25">
      <c r="A273" s="201">
        <v>13112</v>
      </c>
      <c r="B273" s="201">
        <v>13154</v>
      </c>
      <c r="C273" s="201" t="s">
        <v>288</v>
      </c>
      <c r="D273" s="609">
        <v>188980</v>
      </c>
      <c r="E273" s="610">
        <v>9.2938431861116166E-2</v>
      </c>
      <c r="F273" s="609">
        <v>203163.60297063261</v>
      </c>
      <c r="G273" s="609">
        <v>48582</v>
      </c>
      <c r="H273" s="609">
        <v>50265</v>
      </c>
      <c r="I273" s="609">
        <v>1304862712225</v>
      </c>
      <c r="J273" s="609">
        <v>1720899436793</v>
      </c>
      <c r="K273" s="608">
        <v>0</v>
      </c>
      <c r="L273" s="608">
        <v>0</v>
      </c>
      <c r="M273" s="609">
        <v>6715421</v>
      </c>
      <c r="N273" s="609">
        <f t="shared" si="15"/>
        <v>6715421</v>
      </c>
      <c r="O273" s="609">
        <f t="shared" si="16"/>
        <v>6715421</v>
      </c>
      <c r="P273" s="609">
        <f t="shared" si="17"/>
        <v>6715421</v>
      </c>
      <c r="Q273" s="611">
        <f>+'_DATA STT PAGOS_'!D275</f>
        <v>23354009.528999999</v>
      </c>
      <c r="R273" s="611">
        <f>+'_DATA STT PAGOS_'!E275</f>
        <v>1946167.4607499999</v>
      </c>
      <c r="S273" s="611">
        <f>+'_DATA STT PAGOS_'!F275</f>
        <v>1537472</v>
      </c>
      <c r="T273" s="612">
        <f>+'_DATA STT PAGOS_'!Q275</f>
        <v>31398211.717</v>
      </c>
      <c r="U273" s="613" t="str">
        <f>SUBSTITUTE((IFERROR(VLOOKUP(A273,'DATOS IND MINERO'!$H$2:$L$113,4,0),"No")),"í","I",1)</f>
        <v>No</v>
      </c>
      <c r="V273" s="614">
        <f>IFERROR(VLOOKUP(A273,'DATOS IND MINERO'!$H$2:$L$113,5,0),0)</f>
        <v>0</v>
      </c>
      <c r="W273" s="611">
        <f>+'_DATA STT PAGOS_'!G275</f>
        <v>0</v>
      </c>
      <c r="X273" s="611">
        <f>+'_DATA STT PAGOS_'!J275</f>
        <v>31691927.199999996</v>
      </c>
      <c r="Y273" s="609">
        <v>215609</v>
      </c>
      <c r="Z273" s="609">
        <v>124031</v>
      </c>
      <c r="AA273" s="609">
        <v>168272</v>
      </c>
      <c r="AB273" s="609">
        <v>131967</v>
      </c>
      <c r="AC273" s="609">
        <v>639879</v>
      </c>
      <c r="AD273" s="609">
        <v>7941</v>
      </c>
      <c r="AE273" s="609">
        <v>4076</v>
      </c>
      <c r="AF273" s="609">
        <v>5641.7979999999998</v>
      </c>
      <c r="AG273" s="609">
        <v>4349</v>
      </c>
      <c r="AH273" s="609">
        <v>22007.797999999999</v>
      </c>
      <c r="AI273" s="209"/>
    </row>
    <row r="274" spans="1:35" x14ac:dyDescent="0.25">
      <c r="A274" s="201">
        <v>13113</v>
      </c>
      <c r="B274" s="201">
        <v>13132</v>
      </c>
      <c r="C274" s="201" t="s">
        <v>286</v>
      </c>
      <c r="D274" s="609">
        <v>99212</v>
      </c>
      <c r="E274" s="610">
        <v>1.6027117472038919E-2</v>
      </c>
      <c r="F274" s="609">
        <v>283130.73987604328</v>
      </c>
      <c r="G274" s="609">
        <v>8019</v>
      </c>
      <c r="H274" s="609">
        <v>40355</v>
      </c>
      <c r="I274" s="609">
        <v>1405484048313</v>
      </c>
      <c r="J274" s="609">
        <v>6487342043530</v>
      </c>
      <c r="K274" s="608">
        <v>0</v>
      </c>
      <c r="L274" s="608">
        <v>0</v>
      </c>
      <c r="M274" s="609">
        <v>31019315</v>
      </c>
      <c r="N274" s="609">
        <f t="shared" si="15"/>
        <v>31019315</v>
      </c>
      <c r="O274" s="609">
        <f t="shared" si="16"/>
        <v>31019315</v>
      </c>
      <c r="P274" s="609">
        <f t="shared" si="17"/>
        <v>31019315</v>
      </c>
      <c r="Q274" s="611">
        <f>+'_DATA STT PAGOS_'!D276</f>
        <v>1966875.8840000001</v>
      </c>
      <c r="R274" s="611">
        <f>+'_DATA STT PAGOS_'!E276</f>
        <v>163906.32366666666</v>
      </c>
      <c r="S274" s="611">
        <f>+'_DATA STT PAGOS_'!F276</f>
        <v>129486</v>
      </c>
      <c r="T274" s="612">
        <f>+'_DATA STT PAGOS_'!Q276</f>
        <v>2637977.568</v>
      </c>
      <c r="U274" s="613" t="str">
        <f>SUBSTITUTE((IFERROR(VLOOKUP(A274,'DATOS IND MINERO'!$H$2:$L$113,4,0),"No")),"í","I",1)</f>
        <v>No</v>
      </c>
      <c r="V274" s="614">
        <f>IFERROR(VLOOKUP(A274,'DATOS IND MINERO'!$H$2:$L$113,5,0),0)</f>
        <v>0</v>
      </c>
      <c r="W274" s="611">
        <f>+'_DATA STT PAGOS_'!G276</f>
        <v>0</v>
      </c>
      <c r="X274" s="611">
        <f>+'_DATA STT PAGOS_'!J276</f>
        <v>2662656.0830000001</v>
      </c>
      <c r="Y274" s="609">
        <v>2457373</v>
      </c>
      <c r="Z274" s="609">
        <v>1477172</v>
      </c>
      <c r="AA274" s="609">
        <v>1802635</v>
      </c>
      <c r="AB274" s="609">
        <v>1377133</v>
      </c>
      <c r="AC274" s="609">
        <v>7114313</v>
      </c>
      <c r="AD274" s="609">
        <v>388570</v>
      </c>
      <c r="AE274" s="609">
        <v>180453</v>
      </c>
      <c r="AF274" s="609">
        <v>252468.02600000001</v>
      </c>
      <c r="AG274" s="609">
        <v>168076</v>
      </c>
      <c r="AH274" s="609">
        <v>989567.02600000007</v>
      </c>
      <c r="AI274" s="209"/>
    </row>
    <row r="275" spans="1:35" x14ac:dyDescent="0.25">
      <c r="A275" s="201">
        <v>13114</v>
      </c>
      <c r="B275" s="201">
        <v>13108</v>
      </c>
      <c r="C275" s="201" t="s">
        <v>279</v>
      </c>
      <c r="D275" s="609">
        <v>343632</v>
      </c>
      <c r="E275" s="610">
        <v>9.0932522191821841E-3</v>
      </c>
      <c r="F275" s="609">
        <v>3492595.9448581575</v>
      </c>
      <c r="G275" s="609">
        <v>18923</v>
      </c>
      <c r="H275" s="609">
        <v>385098</v>
      </c>
      <c r="I275" s="609">
        <v>4420670274969</v>
      </c>
      <c r="J275" s="609">
        <v>36426020226680</v>
      </c>
      <c r="K275" s="608">
        <v>0</v>
      </c>
      <c r="L275" s="608">
        <v>0</v>
      </c>
      <c r="M275" s="609">
        <v>220242010</v>
      </c>
      <c r="N275" s="609">
        <f t="shared" si="15"/>
        <v>220242010</v>
      </c>
      <c r="O275" s="609">
        <f t="shared" si="16"/>
        <v>220242010</v>
      </c>
      <c r="P275" s="609">
        <f t="shared" si="17"/>
        <v>220242010</v>
      </c>
      <c r="Q275" s="611">
        <f>+'_DATA STT PAGOS_'!D277</f>
        <v>3929998.727</v>
      </c>
      <c r="R275" s="611">
        <f>+'_DATA STT PAGOS_'!E277</f>
        <v>327499.89391666668</v>
      </c>
      <c r="S275" s="611">
        <f>+'_DATA STT PAGOS_'!F277</f>
        <v>258725</v>
      </c>
      <c r="T275" s="612">
        <f>+'_DATA STT PAGOS_'!Q277</f>
        <v>5283672.3990000002</v>
      </c>
      <c r="U275" s="613" t="str">
        <f>SUBSTITUTE((IFERROR(VLOOKUP(A275,'DATOS IND MINERO'!$H$2:$L$113,4,0),"No")),"í","I",1)</f>
        <v>No</v>
      </c>
      <c r="V275" s="614">
        <f>IFERROR(VLOOKUP(A275,'DATOS IND MINERO'!$H$2:$L$113,5,0),0)</f>
        <v>0</v>
      </c>
      <c r="W275" s="611">
        <f>+'_DATA STT PAGOS_'!G277</f>
        <v>0</v>
      </c>
      <c r="X275" s="611">
        <f>+'_DATA STT PAGOS_'!J277</f>
        <v>5333098.5159999998</v>
      </c>
      <c r="Y275" s="609">
        <v>16868481</v>
      </c>
      <c r="Z275" s="609">
        <v>10518160</v>
      </c>
      <c r="AA275" s="609">
        <v>12729458</v>
      </c>
      <c r="AB275" s="609">
        <v>9660430</v>
      </c>
      <c r="AC275" s="609">
        <v>49776529</v>
      </c>
      <c r="AD275" s="609">
        <v>2217662</v>
      </c>
      <c r="AE275" s="609">
        <v>1029314</v>
      </c>
      <c r="AF275" s="609">
        <v>1401373.8049999999</v>
      </c>
      <c r="AG275" s="609">
        <v>955594</v>
      </c>
      <c r="AH275" s="609">
        <v>5603943.8049999997</v>
      </c>
      <c r="AI275" s="209"/>
    </row>
    <row r="276" spans="1:35" x14ac:dyDescent="0.25">
      <c r="A276" s="201">
        <v>13115</v>
      </c>
      <c r="B276" s="201">
        <v>13161</v>
      </c>
      <c r="C276" s="201" t="s">
        <v>294</v>
      </c>
      <c r="D276" s="609">
        <v>131053</v>
      </c>
      <c r="E276" s="610">
        <v>9.0283132496764527E-3</v>
      </c>
      <c r="F276" s="609">
        <v>1286506.1331799659</v>
      </c>
      <c r="G276" s="609">
        <v>6341</v>
      </c>
      <c r="H276" s="609">
        <v>72109</v>
      </c>
      <c r="I276" s="609">
        <v>1193670100854</v>
      </c>
      <c r="J276" s="609">
        <v>15274992578180</v>
      </c>
      <c r="K276" s="608">
        <v>0</v>
      </c>
      <c r="L276" s="608">
        <v>0</v>
      </c>
      <c r="M276" s="609">
        <v>118138043</v>
      </c>
      <c r="N276" s="609">
        <f t="shared" si="15"/>
        <v>118138043</v>
      </c>
      <c r="O276" s="609">
        <f t="shared" si="16"/>
        <v>118138043</v>
      </c>
      <c r="P276" s="609">
        <f t="shared" si="17"/>
        <v>118138043</v>
      </c>
      <c r="Q276" s="611">
        <f>+'_DATA STT PAGOS_'!D278</f>
        <v>2015859.291</v>
      </c>
      <c r="R276" s="611">
        <f>+'_DATA STT PAGOS_'!E278</f>
        <v>167988.27424999999</v>
      </c>
      <c r="S276" s="611">
        <f>+'_DATA STT PAGOS_'!F278</f>
        <v>132711</v>
      </c>
      <c r="T276" s="612">
        <f>+'_DATA STT PAGOS_'!Q278</f>
        <v>2704102.4939999999</v>
      </c>
      <c r="U276" s="613" t="str">
        <f>SUBSTITUTE((IFERROR(VLOOKUP(A276,'DATOS IND MINERO'!$H$2:$L$113,4,0),"No")),"í","I",1)</f>
        <v>No</v>
      </c>
      <c r="V276" s="614">
        <f>IFERROR(VLOOKUP(A276,'DATOS IND MINERO'!$H$2:$L$113,5,0),0)</f>
        <v>0</v>
      </c>
      <c r="W276" s="611">
        <f>+'_DATA STT PAGOS_'!G278</f>
        <v>0</v>
      </c>
      <c r="X276" s="611">
        <f>+'_DATA STT PAGOS_'!J278</f>
        <v>2729398.2970000003</v>
      </c>
      <c r="Y276" s="609">
        <v>8646254</v>
      </c>
      <c r="Z276" s="609">
        <v>5526267</v>
      </c>
      <c r="AA276" s="609">
        <v>6563078</v>
      </c>
      <c r="AB276" s="609">
        <v>5378914</v>
      </c>
      <c r="AC276" s="609">
        <v>26114513</v>
      </c>
      <c r="AD276" s="609">
        <v>618506</v>
      </c>
      <c r="AE276" s="609">
        <v>337645</v>
      </c>
      <c r="AF276" s="609">
        <v>424797.87900000002</v>
      </c>
      <c r="AG276" s="609">
        <v>322131</v>
      </c>
      <c r="AH276" s="609">
        <v>1703079.879</v>
      </c>
      <c r="AI276" s="209"/>
    </row>
    <row r="277" spans="1:35" x14ac:dyDescent="0.25">
      <c r="A277" s="201">
        <v>13116</v>
      </c>
      <c r="B277" s="201">
        <v>13164</v>
      </c>
      <c r="C277" s="201" t="s">
        <v>296</v>
      </c>
      <c r="D277" s="609">
        <v>100694</v>
      </c>
      <c r="E277" s="610">
        <v>6.7816947929765004E-2</v>
      </c>
      <c r="F277" s="609">
        <v>118618.56710368536</v>
      </c>
      <c r="G277" s="609">
        <v>23011</v>
      </c>
      <c r="H277" s="609">
        <v>23885</v>
      </c>
      <c r="I277" s="609">
        <v>683381514043</v>
      </c>
      <c r="J277" s="609">
        <v>840296602145</v>
      </c>
      <c r="K277" s="608">
        <v>0</v>
      </c>
      <c r="L277" s="608">
        <v>0</v>
      </c>
      <c r="M277" s="609">
        <v>4269491</v>
      </c>
      <c r="N277" s="609">
        <f t="shared" si="15"/>
        <v>4269491</v>
      </c>
      <c r="O277" s="609">
        <f t="shared" si="16"/>
        <v>4269491</v>
      </c>
      <c r="P277" s="609">
        <f t="shared" si="17"/>
        <v>4269491</v>
      </c>
      <c r="Q277" s="611">
        <f>+'_DATA STT PAGOS_'!D279</f>
        <v>11332794.096999999</v>
      </c>
      <c r="R277" s="611">
        <f>+'_DATA STT PAGOS_'!E279</f>
        <v>944399.50808333326</v>
      </c>
      <c r="S277" s="611">
        <f>+'_DATA STT PAGOS_'!F279</f>
        <v>746076</v>
      </c>
      <c r="T277" s="612">
        <f>+'_DATA STT PAGOS_'!Q279</f>
        <v>15236332.535</v>
      </c>
      <c r="U277" s="613" t="str">
        <f>SUBSTITUTE((IFERROR(VLOOKUP(A277,'DATOS IND MINERO'!$H$2:$L$113,4,0),"No")),"í","I",1)</f>
        <v>No</v>
      </c>
      <c r="V277" s="614">
        <f>IFERROR(VLOOKUP(A277,'DATOS IND MINERO'!$H$2:$L$113,5,0),0)</f>
        <v>0</v>
      </c>
      <c r="W277" s="611">
        <f>+'_DATA STT PAGOS_'!G279</f>
        <v>0</v>
      </c>
      <c r="X277" s="611">
        <f>+'_DATA STT PAGOS_'!J279</f>
        <v>15378861.824000001</v>
      </c>
      <c r="Y277" s="609">
        <v>86220</v>
      </c>
      <c r="Z277" s="609">
        <v>60101</v>
      </c>
      <c r="AA277" s="609">
        <v>73435</v>
      </c>
      <c r="AB277" s="609">
        <v>59821</v>
      </c>
      <c r="AC277" s="609">
        <v>279577</v>
      </c>
      <c r="AD277" s="609">
        <v>2115</v>
      </c>
      <c r="AE277" s="609">
        <v>1103</v>
      </c>
      <c r="AF277" s="609">
        <v>1467.779</v>
      </c>
      <c r="AG277" s="609">
        <v>1170</v>
      </c>
      <c r="AH277" s="609">
        <v>5855.7790000000005</v>
      </c>
      <c r="AI277" s="209"/>
    </row>
    <row r="278" spans="1:35" x14ac:dyDescent="0.25">
      <c r="A278" s="201">
        <v>13117</v>
      </c>
      <c r="B278" s="201">
        <v>13155</v>
      </c>
      <c r="C278" s="201" t="s">
        <v>289</v>
      </c>
      <c r="D278" s="609">
        <v>102078</v>
      </c>
      <c r="E278" s="610">
        <v>5.3266847379490417E-2</v>
      </c>
      <c r="F278" s="609">
        <v>111945.81746478935</v>
      </c>
      <c r="G278" s="609">
        <v>24001</v>
      </c>
      <c r="H278" s="609">
        <v>25455</v>
      </c>
      <c r="I278" s="609">
        <v>707911213949</v>
      </c>
      <c r="J278" s="609">
        <v>888391114709</v>
      </c>
      <c r="K278" s="608">
        <v>0</v>
      </c>
      <c r="L278" s="608">
        <v>0</v>
      </c>
      <c r="M278" s="609">
        <v>3588866</v>
      </c>
      <c r="N278" s="609">
        <f t="shared" si="15"/>
        <v>3588866</v>
      </c>
      <c r="O278" s="609">
        <f t="shared" si="16"/>
        <v>3588866</v>
      </c>
      <c r="P278" s="609">
        <f t="shared" si="17"/>
        <v>3588866</v>
      </c>
      <c r="Q278" s="611">
        <f>+'_DATA STT PAGOS_'!D280</f>
        <v>12383637.376</v>
      </c>
      <c r="R278" s="611">
        <f>+'_DATA STT PAGOS_'!E280</f>
        <v>1031969.7813333333</v>
      </c>
      <c r="S278" s="611">
        <f>+'_DATA STT PAGOS_'!F280</f>
        <v>815256</v>
      </c>
      <c r="T278" s="612">
        <f>+'_DATA STT PAGOS_'!Q280</f>
        <v>16649135.627</v>
      </c>
      <c r="U278" s="613" t="str">
        <f>SUBSTITUTE((IFERROR(VLOOKUP(A278,'DATOS IND MINERO'!$H$2:$L$113,4,0),"No")),"í","I",1)</f>
        <v>No</v>
      </c>
      <c r="V278" s="614">
        <f>IFERROR(VLOOKUP(A278,'DATOS IND MINERO'!$H$2:$L$113,5,0),0)</f>
        <v>0</v>
      </c>
      <c r="W278" s="611">
        <f>+'_DATA STT PAGOS_'!G280</f>
        <v>0</v>
      </c>
      <c r="X278" s="611">
        <f>+'_DATA STT PAGOS_'!J280</f>
        <v>16804880.283</v>
      </c>
      <c r="Y278" s="609">
        <v>95686</v>
      </c>
      <c r="Z278" s="609">
        <v>79618</v>
      </c>
      <c r="AA278" s="609">
        <v>93918</v>
      </c>
      <c r="AB278" s="609">
        <v>82440</v>
      </c>
      <c r="AC278" s="609">
        <v>351662</v>
      </c>
      <c r="AD278" s="609">
        <v>5835</v>
      </c>
      <c r="AE278" s="609">
        <v>2616</v>
      </c>
      <c r="AF278" s="609">
        <v>2794.1030000000001</v>
      </c>
      <c r="AG278" s="609">
        <v>2271</v>
      </c>
      <c r="AH278" s="609">
        <v>13516.102999999999</v>
      </c>
      <c r="AI278" s="209"/>
    </row>
    <row r="279" spans="1:35" x14ac:dyDescent="0.25">
      <c r="A279" s="201">
        <v>13118</v>
      </c>
      <c r="B279" s="201">
        <v>13151</v>
      </c>
      <c r="C279" s="201" t="s">
        <v>287</v>
      </c>
      <c r="D279" s="609">
        <v>138361</v>
      </c>
      <c r="E279" s="610">
        <v>3.4747354609061171E-2</v>
      </c>
      <c r="F279" s="609">
        <v>351270.18632826838</v>
      </c>
      <c r="G279" s="609">
        <v>32282</v>
      </c>
      <c r="H279" s="609">
        <v>70630</v>
      </c>
      <c r="I279" s="609">
        <v>1681561837860</v>
      </c>
      <c r="J279" s="609">
        <v>3772574213146</v>
      </c>
      <c r="K279" s="608">
        <v>0</v>
      </c>
      <c r="L279" s="608">
        <v>0</v>
      </c>
      <c r="M279" s="609">
        <v>19664379</v>
      </c>
      <c r="N279" s="609">
        <f t="shared" si="15"/>
        <v>19664379</v>
      </c>
      <c r="O279" s="609">
        <f t="shared" si="16"/>
        <v>19664379</v>
      </c>
      <c r="P279" s="609">
        <f t="shared" si="17"/>
        <v>19664379</v>
      </c>
      <c r="Q279" s="611">
        <f>+'_DATA STT PAGOS_'!D281</f>
        <v>4400092.233</v>
      </c>
      <c r="R279" s="611">
        <f>+'_DATA STT PAGOS_'!E281</f>
        <v>366674.35275000002</v>
      </c>
      <c r="S279" s="611">
        <f>+'_DATA STT PAGOS_'!F281</f>
        <v>289673</v>
      </c>
      <c r="T279" s="612">
        <f>+'_DATA STT PAGOS_'!Q281</f>
        <v>5822268.892</v>
      </c>
      <c r="U279" s="613" t="str">
        <f>SUBSTITUTE((IFERROR(VLOOKUP(A279,'DATOS IND MINERO'!$H$2:$L$113,4,0),"No")),"í","I",1)</f>
        <v>No</v>
      </c>
      <c r="V279" s="614">
        <f>IFERROR(VLOOKUP(A279,'DATOS IND MINERO'!$H$2:$L$113,5,0),0)</f>
        <v>0</v>
      </c>
      <c r="W279" s="611">
        <f>+'_DATA STT PAGOS_'!G281</f>
        <v>0</v>
      </c>
      <c r="X279" s="611">
        <f>+'_DATA STT PAGOS_'!J281</f>
        <v>5965511.3470000001</v>
      </c>
      <c r="Y279" s="609">
        <v>969313</v>
      </c>
      <c r="Z279" s="609">
        <v>606506</v>
      </c>
      <c r="AA279" s="609">
        <v>655066</v>
      </c>
      <c r="AB279" s="609">
        <v>580738</v>
      </c>
      <c r="AC279" s="609">
        <v>2811623</v>
      </c>
      <c r="AD279" s="609">
        <v>159203</v>
      </c>
      <c r="AE279" s="609">
        <v>60410</v>
      </c>
      <c r="AF279" s="609">
        <v>85587.442999999999</v>
      </c>
      <c r="AG279" s="609">
        <v>57174</v>
      </c>
      <c r="AH279" s="609">
        <v>362374.44299999997</v>
      </c>
      <c r="AI279" s="209"/>
    </row>
    <row r="280" spans="1:35" x14ac:dyDescent="0.25">
      <c r="A280" s="201">
        <v>13119</v>
      </c>
      <c r="B280" s="201">
        <v>13109</v>
      </c>
      <c r="C280" s="201" t="s">
        <v>427</v>
      </c>
      <c r="D280" s="609">
        <v>586812</v>
      </c>
      <c r="E280" s="610">
        <v>3.2512407397817682E-2</v>
      </c>
      <c r="F280" s="609">
        <v>921535.31700943864</v>
      </c>
      <c r="G280" s="609">
        <v>121734</v>
      </c>
      <c r="H280" s="609">
        <v>171651</v>
      </c>
      <c r="I280" s="609">
        <v>5731793196592</v>
      </c>
      <c r="J280" s="609">
        <v>11893146840926</v>
      </c>
      <c r="K280" s="608">
        <v>0</v>
      </c>
      <c r="L280" s="608">
        <v>0</v>
      </c>
      <c r="M280" s="609">
        <v>46214701</v>
      </c>
      <c r="N280" s="609">
        <f t="shared" si="15"/>
        <v>46214701</v>
      </c>
      <c r="O280" s="609">
        <f t="shared" si="16"/>
        <v>46214701</v>
      </c>
      <c r="P280" s="609">
        <f t="shared" si="17"/>
        <v>46214701</v>
      </c>
      <c r="Q280" s="611">
        <f>+'_DATA STT PAGOS_'!D282</f>
        <v>52136810.980999999</v>
      </c>
      <c r="R280" s="611">
        <f>+'_DATA STT PAGOS_'!E282</f>
        <v>4344734.2484166669</v>
      </c>
      <c r="S280" s="611">
        <f>+'_DATA STT PAGOS_'!F282</f>
        <v>3432340</v>
      </c>
      <c r="T280" s="612">
        <f>+'_DATA STT PAGOS_'!Q282</f>
        <v>70095143.068000004</v>
      </c>
      <c r="U280" s="613" t="str">
        <f>SUBSTITUTE((IFERROR(VLOOKUP(A280,'DATOS IND MINERO'!$H$2:$L$113,4,0),"No")),"í","I",1)</f>
        <v>No</v>
      </c>
      <c r="V280" s="614">
        <f>IFERROR(VLOOKUP(A280,'DATOS IND MINERO'!$H$2:$L$113,5,0),0)</f>
        <v>0</v>
      </c>
      <c r="W280" s="611">
        <f>+'_DATA STT PAGOS_'!G282</f>
        <v>0</v>
      </c>
      <c r="X280" s="611">
        <f>+'_DATA STT PAGOS_'!J282</f>
        <v>70750849.709999993</v>
      </c>
      <c r="Y280" s="609">
        <v>2501831</v>
      </c>
      <c r="Z280" s="609">
        <v>2004639</v>
      </c>
      <c r="AA280" s="609">
        <v>2174064</v>
      </c>
      <c r="AB280" s="609">
        <v>1833022</v>
      </c>
      <c r="AC280" s="609">
        <v>8513556</v>
      </c>
      <c r="AD280" s="609">
        <v>258431</v>
      </c>
      <c r="AE280" s="609">
        <v>106056</v>
      </c>
      <c r="AF280" s="609">
        <v>145796.13699999999</v>
      </c>
      <c r="AG280" s="609">
        <v>97093</v>
      </c>
      <c r="AH280" s="609">
        <v>607376.13699999999</v>
      </c>
      <c r="AI280" s="209"/>
    </row>
    <row r="281" spans="1:35" x14ac:dyDescent="0.25">
      <c r="A281" s="201">
        <v>13120</v>
      </c>
      <c r="B281" s="201">
        <v>13105</v>
      </c>
      <c r="C281" s="201" t="s">
        <v>276</v>
      </c>
      <c r="D281" s="609">
        <v>266906</v>
      </c>
      <c r="E281" s="610">
        <v>1.488843954831383E-2</v>
      </c>
      <c r="F281" s="609">
        <v>1034399.0581290495</v>
      </c>
      <c r="G281" s="609">
        <v>38832</v>
      </c>
      <c r="H281" s="609">
        <v>242170</v>
      </c>
      <c r="I281" s="609">
        <v>2919926151856</v>
      </c>
      <c r="J281" s="609">
        <v>13872071049823</v>
      </c>
      <c r="K281" s="608">
        <v>0</v>
      </c>
      <c r="L281" s="608">
        <v>0</v>
      </c>
      <c r="M281" s="609">
        <v>46387912</v>
      </c>
      <c r="N281" s="609">
        <f t="shared" si="15"/>
        <v>46387912</v>
      </c>
      <c r="O281" s="609">
        <f t="shared" si="16"/>
        <v>46387912</v>
      </c>
      <c r="P281" s="609">
        <f t="shared" si="17"/>
        <v>46387912</v>
      </c>
      <c r="Q281" s="611">
        <f>+'_DATA STT PAGOS_'!D283</f>
        <v>3338158.3339999998</v>
      </c>
      <c r="R281" s="611">
        <f>+'_DATA STT PAGOS_'!E283</f>
        <v>278179.86116666667</v>
      </c>
      <c r="S281" s="611">
        <f>+'_DATA STT PAGOS_'!F283</f>
        <v>219762</v>
      </c>
      <c r="T281" s="612">
        <f>+'_DATA STT PAGOS_'!Q283</f>
        <v>4485343.8320000004</v>
      </c>
      <c r="U281" s="613" t="str">
        <f>SUBSTITUTE((IFERROR(VLOOKUP(A281,'DATOS IND MINERO'!$H$2:$L$113,4,0),"No")),"í","I",1)</f>
        <v>No</v>
      </c>
      <c r="V281" s="614">
        <f>IFERROR(VLOOKUP(A281,'DATOS IND MINERO'!$H$2:$L$113,5,0),0)</f>
        <v>0</v>
      </c>
      <c r="W281" s="611">
        <f>+'_DATA STT PAGOS_'!G283</f>
        <v>0</v>
      </c>
      <c r="X281" s="611">
        <f>+'_DATA STT PAGOS_'!J283</f>
        <v>4527303.0469999993</v>
      </c>
      <c r="Y281" s="609">
        <v>4501860</v>
      </c>
      <c r="Z281" s="609">
        <v>2298848</v>
      </c>
      <c r="AA281" s="609">
        <v>2935475</v>
      </c>
      <c r="AB281" s="609">
        <v>2108064</v>
      </c>
      <c r="AC281" s="609">
        <v>11844247</v>
      </c>
      <c r="AD281" s="609">
        <v>875960</v>
      </c>
      <c r="AE281" s="609">
        <v>335010</v>
      </c>
      <c r="AF281" s="609">
        <v>470955.86800000002</v>
      </c>
      <c r="AG281" s="609">
        <v>310288</v>
      </c>
      <c r="AH281" s="609">
        <v>1992213.868</v>
      </c>
      <c r="AI281" s="209"/>
    </row>
    <row r="282" spans="1:35" x14ac:dyDescent="0.25">
      <c r="A282" s="201">
        <v>13121</v>
      </c>
      <c r="B282" s="201">
        <v>13162</v>
      </c>
      <c r="C282" s="201" t="s">
        <v>295</v>
      </c>
      <c r="D282" s="609">
        <v>104462</v>
      </c>
      <c r="E282" s="610">
        <v>5.4731728822534881E-2</v>
      </c>
      <c r="F282" s="609">
        <v>226570.18143324266</v>
      </c>
      <c r="G282" s="609">
        <v>25545</v>
      </c>
      <c r="H282" s="609">
        <v>29113</v>
      </c>
      <c r="I282" s="609">
        <v>820363511529</v>
      </c>
      <c r="J282" s="609">
        <v>1157550992734</v>
      </c>
      <c r="K282" s="608">
        <v>0</v>
      </c>
      <c r="L282" s="608">
        <v>0</v>
      </c>
      <c r="M282" s="609">
        <v>6659302</v>
      </c>
      <c r="N282" s="609">
        <f t="shared" si="15"/>
        <v>6659302</v>
      </c>
      <c r="O282" s="609">
        <f t="shared" si="16"/>
        <v>6659302</v>
      </c>
      <c r="P282" s="609">
        <f t="shared" si="17"/>
        <v>6659302</v>
      </c>
      <c r="Q282" s="611">
        <f>+'_DATA STT PAGOS_'!D284</f>
        <v>10403210.784</v>
      </c>
      <c r="R282" s="611">
        <f>+'_DATA STT PAGOS_'!E284</f>
        <v>866934.23199999996</v>
      </c>
      <c r="S282" s="611">
        <f>+'_DATA STT PAGOS_'!F284</f>
        <v>684878</v>
      </c>
      <c r="T282" s="612">
        <f>+'_DATA STT PAGOS_'!Q284</f>
        <v>13986558.49</v>
      </c>
      <c r="U282" s="613" t="str">
        <f>SUBSTITUTE((IFERROR(VLOOKUP(A282,'DATOS IND MINERO'!$H$2:$L$113,4,0),"No")),"í","I",1)</f>
        <v>No</v>
      </c>
      <c r="V282" s="614">
        <f>IFERROR(VLOOKUP(A282,'DATOS IND MINERO'!$H$2:$L$113,5,0),0)</f>
        <v>0</v>
      </c>
      <c r="W282" s="611">
        <f>+'_DATA STT PAGOS_'!G284</f>
        <v>0</v>
      </c>
      <c r="X282" s="611">
        <f>+'_DATA STT PAGOS_'!J284</f>
        <v>14117395.922</v>
      </c>
      <c r="Y282" s="609">
        <v>201651</v>
      </c>
      <c r="Z282" s="609">
        <v>157194</v>
      </c>
      <c r="AA282" s="609">
        <v>179451</v>
      </c>
      <c r="AB282" s="609">
        <v>155395</v>
      </c>
      <c r="AC282" s="609">
        <v>693691</v>
      </c>
      <c r="AD282" s="609">
        <v>8105</v>
      </c>
      <c r="AE282" s="609">
        <v>3718</v>
      </c>
      <c r="AF282" s="609">
        <v>5424.375</v>
      </c>
      <c r="AG282" s="609">
        <v>3664</v>
      </c>
      <c r="AH282" s="609">
        <v>20911.375</v>
      </c>
      <c r="AI282" s="209"/>
    </row>
    <row r="283" spans="1:35" x14ac:dyDescent="0.25">
      <c r="A283" s="201">
        <v>13122</v>
      </c>
      <c r="B283" s="201">
        <v>13152</v>
      </c>
      <c r="C283" s="201" t="s">
        <v>428</v>
      </c>
      <c r="D283" s="609">
        <v>272913</v>
      </c>
      <c r="E283" s="610">
        <v>3.2416713323018112E-2</v>
      </c>
      <c r="F283" s="609">
        <v>488849.86371173168</v>
      </c>
      <c r="G283" s="609">
        <v>41135</v>
      </c>
      <c r="H283" s="609">
        <v>67499</v>
      </c>
      <c r="I283" s="609">
        <v>1952552189144</v>
      </c>
      <c r="J283" s="609">
        <v>6175422459948</v>
      </c>
      <c r="K283" s="608">
        <v>0</v>
      </c>
      <c r="L283" s="608">
        <v>0</v>
      </c>
      <c r="M283" s="609">
        <v>36622463</v>
      </c>
      <c r="N283" s="609">
        <f t="shared" si="15"/>
        <v>36622463</v>
      </c>
      <c r="O283" s="609">
        <f t="shared" si="16"/>
        <v>36622463</v>
      </c>
      <c r="P283" s="609">
        <f t="shared" si="17"/>
        <v>36622463</v>
      </c>
      <c r="Q283" s="611">
        <f>+'_DATA STT PAGOS_'!D285</f>
        <v>14643036.629000001</v>
      </c>
      <c r="R283" s="611">
        <f>+'_DATA STT PAGOS_'!E285</f>
        <v>1220253.0524166666</v>
      </c>
      <c r="S283" s="611">
        <f>+'_DATA STT PAGOS_'!F285</f>
        <v>964000</v>
      </c>
      <c r="T283" s="612">
        <f>+'_DATA STT PAGOS_'!Q285</f>
        <v>19686774.609999999</v>
      </c>
      <c r="U283" s="613" t="str">
        <f>SUBSTITUTE((IFERROR(VLOOKUP(A283,'DATOS IND MINERO'!$H$2:$L$113,4,0),"No")),"í","I",1)</f>
        <v>No</v>
      </c>
      <c r="V283" s="614">
        <f>IFERROR(VLOOKUP(A283,'DATOS IND MINERO'!$H$2:$L$113,5,0),0)</f>
        <v>0</v>
      </c>
      <c r="W283" s="611">
        <f>+'_DATA STT PAGOS_'!G285</f>
        <v>0</v>
      </c>
      <c r="X283" s="611">
        <f>+'_DATA STT PAGOS_'!J285</f>
        <v>19870936.591000002</v>
      </c>
      <c r="Y283" s="609">
        <v>1768420</v>
      </c>
      <c r="Z283" s="609">
        <v>1260971</v>
      </c>
      <c r="AA283" s="609">
        <v>1372405</v>
      </c>
      <c r="AB283" s="609">
        <v>1122534</v>
      </c>
      <c r="AC283" s="609">
        <v>5524330</v>
      </c>
      <c r="AD283" s="609">
        <v>289240</v>
      </c>
      <c r="AE283" s="609">
        <v>139490</v>
      </c>
      <c r="AF283" s="609">
        <v>183852.01199999999</v>
      </c>
      <c r="AG283" s="609">
        <v>131482</v>
      </c>
      <c r="AH283" s="609">
        <v>744064.01199999999</v>
      </c>
      <c r="AI283" s="209"/>
    </row>
    <row r="284" spans="1:35" x14ac:dyDescent="0.25">
      <c r="A284" s="201">
        <v>13123</v>
      </c>
      <c r="B284" s="201">
        <v>13103</v>
      </c>
      <c r="C284" s="201" t="s">
        <v>275</v>
      </c>
      <c r="D284" s="609">
        <v>164009</v>
      </c>
      <c r="E284" s="610">
        <v>1.3219074548207071E-2</v>
      </c>
      <c r="F284" s="609">
        <v>2718346.1671800287</v>
      </c>
      <c r="G284" s="609">
        <v>18509</v>
      </c>
      <c r="H284" s="609">
        <v>212523</v>
      </c>
      <c r="I284" s="609">
        <v>2266014563152</v>
      </c>
      <c r="J284" s="609">
        <v>15603670375488</v>
      </c>
      <c r="K284" s="608">
        <v>0</v>
      </c>
      <c r="L284" s="608">
        <v>0</v>
      </c>
      <c r="M284" s="609">
        <v>100441974</v>
      </c>
      <c r="N284" s="609">
        <f t="shared" si="15"/>
        <v>100441974</v>
      </c>
      <c r="O284" s="609">
        <f t="shared" si="16"/>
        <v>100441974</v>
      </c>
      <c r="P284" s="609">
        <f t="shared" si="17"/>
        <v>100441974</v>
      </c>
      <c r="Q284" s="611">
        <f>+'_DATA STT PAGOS_'!D286</f>
        <v>2610167.8650000002</v>
      </c>
      <c r="R284" s="611">
        <f>+'_DATA STT PAGOS_'!E286</f>
        <v>217513.98875000002</v>
      </c>
      <c r="S284" s="611">
        <f>+'_DATA STT PAGOS_'!F286</f>
        <v>171836</v>
      </c>
      <c r="T284" s="612">
        <f>+'_DATA STT PAGOS_'!Q286</f>
        <v>3509230.6269999999</v>
      </c>
      <c r="U284" s="613" t="str">
        <f>SUBSTITUTE((IFERROR(VLOOKUP(A284,'DATOS IND MINERO'!$H$2:$L$113,4,0),"No")),"í","I",1)</f>
        <v>No</v>
      </c>
      <c r="V284" s="614">
        <f>IFERROR(VLOOKUP(A284,'DATOS IND MINERO'!$H$2:$L$113,5,0),0)</f>
        <v>0</v>
      </c>
      <c r="W284" s="611">
        <f>+'_DATA STT PAGOS_'!G286</f>
        <v>0</v>
      </c>
      <c r="X284" s="611">
        <f>+'_DATA STT PAGOS_'!J286</f>
        <v>3542057.7300000004</v>
      </c>
      <c r="Y284" s="609">
        <v>6278971</v>
      </c>
      <c r="Z284" s="609">
        <v>3907140</v>
      </c>
      <c r="AA284" s="609">
        <v>4846423</v>
      </c>
      <c r="AB284" s="609">
        <v>3658820</v>
      </c>
      <c r="AC284" s="609">
        <v>18691354</v>
      </c>
      <c r="AD284" s="609">
        <v>1307636</v>
      </c>
      <c r="AE284" s="609">
        <v>531171</v>
      </c>
      <c r="AF284" s="609">
        <v>789275.66200000001</v>
      </c>
      <c r="AG284" s="609">
        <v>507833</v>
      </c>
      <c r="AH284" s="609">
        <v>3135915.662</v>
      </c>
      <c r="AI284" s="209"/>
    </row>
    <row r="285" spans="1:35" x14ac:dyDescent="0.25">
      <c r="A285" s="201">
        <v>13124</v>
      </c>
      <c r="B285" s="201">
        <v>13111</v>
      </c>
      <c r="C285" s="201" t="s">
        <v>281</v>
      </c>
      <c r="D285" s="609">
        <v>261596</v>
      </c>
      <c r="E285" s="610">
        <v>4.3660494370839339E-2</v>
      </c>
      <c r="F285" s="609">
        <v>998525.19881222723</v>
      </c>
      <c r="G285" s="609">
        <v>53087</v>
      </c>
      <c r="H285" s="609">
        <v>70489</v>
      </c>
      <c r="I285" s="609">
        <v>2508480312635</v>
      </c>
      <c r="J285" s="609">
        <v>8547045844450</v>
      </c>
      <c r="K285" s="608">
        <v>0</v>
      </c>
      <c r="L285" s="608">
        <v>0</v>
      </c>
      <c r="M285" s="609">
        <v>53826090</v>
      </c>
      <c r="N285" s="609">
        <f t="shared" si="15"/>
        <v>53826090</v>
      </c>
      <c r="O285" s="609">
        <f t="shared" si="16"/>
        <v>53826090</v>
      </c>
      <c r="P285" s="609">
        <f t="shared" si="17"/>
        <v>53826090</v>
      </c>
      <c r="Q285" s="611">
        <f>+'_DATA STT PAGOS_'!D287</f>
        <v>15710483.975</v>
      </c>
      <c r="R285" s="611">
        <f>+'_DATA STT PAGOS_'!E287</f>
        <v>1309206.9979166666</v>
      </c>
      <c r="S285" s="611">
        <f>+'_DATA STT PAGOS_'!F287</f>
        <v>1034274</v>
      </c>
      <c r="T285" s="612">
        <f>+'_DATA STT PAGOS_'!Q287</f>
        <v>21121902.045000002</v>
      </c>
      <c r="U285" s="613" t="str">
        <f>SUBSTITUTE((IFERROR(VLOOKUP(A285,'DATOS IND MINERO'!$H$2:$L$113,4,0),"No")),"í","I",1)</f>
        <v>No</v>
      </c>
      <c r="V285" s="614">
        <f>IFERROR(VLOOKUP(A285,'DATOS IND MINERO'!$H$2:$L$113,5,0),0)</f>
        <v>0</v>
      </c>
      <c r="W285" s="611">
        <f>+'_DATA STT PAGOS_'!G287</f>
        <v>0</v>
      </c>
      <c r="X285" s="611">
        <f>+'_DATA STT PAGOS_'!J287</f>
        <v>21319487.512000002</v>
      </c>
      <c r="Y285" s="609">
        <v>3628560</v>
      </c>
      <c r="Z285" s="609">
        <v>3313697</v>
      </c>
      <c r="AA285" s="609">
        <v>3505394</v>
      </c>
      <c r="AB285" s="609">
        <v>3002786</v>
      </c>
      <c r="AC285" s="609">
        <v>13450437</v>
      </c>
      <c r="AD285" s="609">
        <v>84846</v>
      </c>
      <c r="AE285" s="609">
        <v>38213</v>
      </c>
      <c r="AF285" s="609">
        <v>52388.048000000003</v>
      </c>
      <c r="AG285" s="609">
        <v>36930</v>
      </c>
      <c r="AH285" s="609">
        <v>212377.04800000001</v>
      </c>
      <c r="AI285" s="209"/>
    </row>
    <row r="286" spans="1:35" x14ac:dyDescent="0.25">
      <c r="A286" s="201">
        <v>13125</v>
      </c>
      <c r="B286" s="201">
        <v>13114</v>
      </c>
      <c r="C286" s="201" t="s">
        <v>283</v>
      </c>
      <c r="D286" s="609">
        <v>275744</v>
      </c>
      <c r="E286" s="610">
        <v>5.2222903578778693E-2</v>
      </c>
      <c r="F286" s="609">
        <v>345075.05838049104</v>
      </c>
      <c r="G286" s="609">
        <v>54319</v>
      </c>
      <c r="H286" s="609">
        <v>67876</v>
      </c>
      <c r="I286" s="609">
        <v>1983156085864.0005</v>
      </c>
      <c r="J286" s="609">
        <v>6341381561960</v>
      </c>
      <c r="K286" s="608">
        <v>0</v>
      </c>
      <c r="L286" s="608">
        <v>0</v>
      </c>
      <c r="M286" s="609">
        <v>50033693</v>
      </c>
      <c r="N286" s="609">
        <f t="shared" si="15"/>
        <v>50033693</v>
      </c>
      <c r="O286" s="609">
        <f t="shared" si="16"/>
        <v>50033693</v>
      </c>
      <c r="P286" s="609">
        <f t="shared" si="17"/>
        <v>50033693</v>
      </c>
      <c r="Q286" s="611">
        <f>+'_DATA STT PAGOS_'!D288</f>
        <v>9773641.6940000001</v>
      </c>
      <c r="R286" s="611">
        <f>+'_DATA STT PAGOS_'!E288</f>
        <v>814470.14116666664</v>
      </c>
      <c r="S286" s="611">
        <f>+'_DATA STT PAGOS_'!F288</f>
        <v>643431</v>
      </c>
      <c r="T286" s="612">
        <f>+'_DATA STT PAGOS_'!Q288</f>
        <v>12685272.377</v>
      </c>
      <c r="U286" s="613" t="str">
        <f>SUBSTITUTE((IFERROR(VLOOKUP(A286,'DATOS IND MINERO'!$H$2:$L$113,4,0),"No")),"í","I",1)</f>
        <v>No</v>
      </c>
      <c r="V286" s="614">
        <f>IFERROR(VLOOKUP(A286,'DATOS IND MINERO'!$H$2:$L$113,5,0),0)</f>
        <v>0</v>
      </c>
      <c r="W286" s="611">
        <f>+'_DATA STT PAGOS_'!G288</f>
        <v>0</v>
      </c>
      <c r="X286" s="611">
        <f>+'_DATA STT PAGOS_'!J288</f>
        <v>13262936.492999999</v>
      </c>
      <c r="Y286" s="609">
        <v>2712719</v>
      </c>
      <c r="Z286" s="609">
        <v>2215834</v>
      </c>
      <c r="AA286" s="609">
        <v>2350751</v>
      </c>
      <c r="AB286" s="609">
        <v>2038083</v>
      </c>
      <c r="AC286" s="609">
        <v>9317387</v>
      </c>
      <c r="AD286" s="609">
        <v>74676</v>
      </c>
      <c r="AE286" s="609">
        <v>30560</v>
      </c>
      <c r="AF286" s="609">
        <v>44250.124000000003</v>
      </c>
      <c r="AG286" s="609">
        <v>30870</v>
      </c>
      <c r="AH286" s="609">
        <v>180356.12400000001</v>
      </c>
      <c r="AI286" s="209"/>
    </row>
    <row r="287" spans="1:35" x14ac:dyDescent="0.25">
      <c r="A287" s="201">
        <v>13126</v>
      </c>
      <c r="B287" s="201">
        <v>13107</v>
      </c>
      <c r="C287" s="201" t="s">
        <v>278</v>
      </c>
      <c r="D287" s="609">
        <v>141823</v>
      </c>
      <c r="E287" s="610">
        <v>2.149306262533348E-2</v>
      </c>
      <c r="F287" s="609">
        <v>246065.31883715803</v>
      </c>
      <c r="G287" s="609">
        <v>33727</v>
      </c>
      <c r="H287" s="609">
        <v>46510</v>
      </c>
      <c r="I287" s="609">
        <v>1380206645777</v>
      </c>
      <c r="J287" s="609">
        <v>2406264085353</v>
      </c>
      <c r="K287" s="608">
        <v>0</v>
      </c>
      <c r="L287" s="608">
        <v>0</v>
      </c>
      <c r="M287" s="609">
        <v>12800718</v>
      </c>
      <c r="N287" s="609">
        <f t="shared" si="15"/>
        <v>12800718</v>
      </c>
      <c r="O287" s="609">
        <f t="shared" si="16"/>
        <v>12800718</v>
      </c>
      <c r="P287" s="609">
        <f t="shared" si="17"/>
        <v>12800718</v>
      </c>
      <c r="Q287" s="611">
        <f>+'_DATA STT PAGOS_'!D289</f>
        <v>9004208.6319999993</v>
      </c>
      <c r="R287" s="611">
        <f>+'_DATA STT PAGOS_'!E289</f>
        <v>750350.71933333331</v>
      </c>
      <c r="S287" s="611">
        <f>+'_DATA STT PAGOS_'!F289</f>
        <v>592777</v>
      </c>
      <c r="T287" s="612">
        <f>+'_DATA STT PAGOS_'!Q289</f>
        <v>12105674.775</v>
      </c>
      <c r="U287" s="613" t="str">
        <f>SUBSTITUTE((IFERROR(VLOOKUP(A287,'DATOS IND MINERO'!$H$2:$L$113,4,0),"No")),"í","I",1)</f>
        <v>No</v>
      </c>
      <c r="V287" s="614">
        <f>IFERROR(VLOOKUP(A287,'DATOS IND MINERO'!$H$2:$L$113,5,0),0)</f>
        <v>0</v>
      </c>
      <c r="W287" s="611">
        <f>+'_DATA STT PAGOS_'!G289</f>
        <v>0</v>
      </c>
      <c r="X287" s="611">
        <f>+'_DATA STT PAGOS_'!J289</f>
        <v>12218917.873</v>
      </c>
      <c r="Y287" s="609">
        <v>494306</v>
      </c>
      <c r="Z287" s="609">
        <v>351315</v>
      </c>
      <c r="AA287" s="609">
        <v>419365</v>
      </c>
      <c r="AB287" s="609">
        <v>341194</v>
      </c>
      <c r="AC287" s="609">
        <v>1606180</v>
      </c>
      <c r="AD287" s="609">
        <v>33592</v>
      </c>
      <c r="AE287" s="609">
        <v>15884</v>
      </c>
      <c r="AF287" s="609">
        <v>22152.465</v>
      </c>
      <c r="AG287" s="609">
        <v>16897</v>
      </c>
      <c r="AH287" s="609">
        <v>88525.464999999997</v>
      </c>
      <c r="AI287" s="209"/>
    </row>
    <row r="288" spans="1:35" x14ac:dyDescent="0.25">
      <c r="A288" s="201">
        <v>13127</v>
      </c>
      <c r="B288" s="201">
        <v>13159</v>
      </c>
      <c r="C288" s="201" t="s">
        <v>292</v>
      </c>
      <c r="D288" s="609">
        <v>196856</v>
      </c>
      <c r="E288" s="610">
        <v>5.1390755338292571E-2</v>
      </c>
      <c r="F288" s="609">
        <v>286929.01990208053</v>
      </c>
      <c r="G288" s="609">
        <v>33309</v>
      </c>
      <c r="H288" s="609">
        <v>55522</v>
      </c>
      <c r="I288" s="609">
        <v>1751175184004</v>
      </c>
      <c r="J288" s="609">
        <v>3471375592335</v>
      </c>
      <c r="K288" s="608">
        <v>0</v>
      </c>
      <c r="L288" s="608">
        <v>0</v>
      </c>
      <c r="M288" s="609">
        <v>29174871</v>
      </c>
      <c r="N288" s="609">
        <f t="shared" si="15"/>
        <v>29174871</v>
      </c>
      <c r="O288" s="609">
        <f t="shared" si="16"/>
        <v>29174871</v>
      </c>
      <c r="P288" s="609">
        <f t="shared" si="17"/>
        <v>29174871</v>
      </c>
      <c r="Q288" s="611">
        <f>+'_DATA STT PAGOS_'!D290</f>
        <v>6485313.6830000002</v>
      </c>
      <c r="R288" s="611">
        <f>+'_DATA STT PAGOS_'!E290</f>
        <v>540442.80691666668</v>
      </c>
      <c r="S288" s="611">
        <f>+'_DATA STT PAGOS_'!F290</f>
        <v>426950</v>
      </c>
      <c r="T288" s="612">
        <f>+'_DATA STT PAGOS_'!Q290</f>
        <v>8700321.4969999995</v>
      </c>
      <c r="U288" s="613" t="str">
        <f>SUBSTITUTE((IFERROR(VLOOKUP(A288,'DATOS IND MINERO'!$H$2:$L$113,4,0),"No")),"í","I",1)</f>
        <v>No</v>
      </c>
      <c r="V288" s="614">
        <f>IFERROR(VLOOKUP(A288,'DATOS IND MINERO'!$H$2:$L$113,5,0),0)</f>
        <v>0</v>
      </c>
      <c r="W288" s="611">
        <f>+'_DATA STT PAGOS_'!G290</f>
        <v>0</v>
      </c>
      <c r="X288" s="611">
        <f>+'_DATA STT PAGOS_'!J290</f>
        <v>8781707.7359999996</v>
      </c>
      <c r="Y288" s="609">
        <v>929950</v>
      </c>
      <c r="Z288" s="609">
        <v>635352</v>
      </c>
      <c r="AA288" s="609">
        <v>712710</v>
      </c>
      <c r="AB288" s="609">
        <v>595734</v>
      </c>
      <c r="AC288" s="609">
        <v>2873746</v>
      </c>
      <c r="AD288" s="609">
        <v>70239</v>
      </c>
      <c r="AE288" s="609">
        <v>27001</v>
      </c>
      <c r="AF288" s="609">
        <v>37379.900999999998</v>
      </c>
      <c r="AG288" s="609">
        <v>25819</v>
      </c>
      <c r="AH288" s="609">
        <v>160438.90100000001</v>
      </c>
      <c r="AI288" s="209"/>
    </row>
    <row r="289" spans="1:35" x14ac:dyDescent="0.25">
      <c r="A289" s="201">
        <v>13128</v>
      </c>
      <c r="B289" s="201">
        <v>13113</v>
      </c>
      <c r="C289" s="201" t="s">
        <v>282</v>
      </c>
      <c r="D289" s="609">
        <v>163102</v>
      </c>
      <c r="E289" s="610">
        <v>5.2599812450975711E-2</v>
      </c>
      <c r="F289" s="609">
        <v>185660.52216475009</v>
      </c>
      <c r="G289" s="609">
        <v>40478</v>
      </c>
      <c r="H289" s="609">
        <v>44432</v>
      </c>
      <c r="I289" s="609">
        <v>1271786859310</v>
      </c>
      <c r="J289" s="609">
        <v>2966511289759</v>
      </c>
      <c r="K289" s="608">
        <v>0</v>
      </c>
      <c r="L289" s="608">
        <v>0</v>
      </c>
      <c r="M289" s="609">
        <v>26066880</v>
      </c>
      <c r="N289" s="609">
        <f t="shared" si="15"/>
        <v>26066880</v>
      </c>
      <c r="O289" s="609">
        <f t="shared" si="16"/>
        <v>26066880</v>
      </c>
      <c r="P289" s="609">
        <f t="shared" si="17"/>
        <v>26066880</v>
      </c>
      <c r="Q289" s="611">
        <f>+'_DATA STT PAGOS_'!D291</f>
        <v>8271025.6339999996</v>
      </c>
      <c r="R289" s="611">
        <f>+'_DATA STT PAGOS_'!E291</f>
        <v>689252.13616666663</v>
      </c>
      <c r="S289" s="611">
        <f>+'_DATA STT PAGOS_'!F291</f>
        <v>544509</v>
      </c>
      <c r="T289" s="612">
        <f>+'_DATA STT PAGOS_'!Q291</f>
        <v>10827871.556</v>
      </c>
      <c r="U289" s="613" t="str">
        <f>SUBSTITUTE((IFERROR(VLOOKUP(A289,'DATOS IND MINERO'!$H$2:$L$113,4,0),"No")),"í","I",1)</f>
        <v>No</v>
      </c>
      <c r="V289" s="614">
        <f>IFERROR(VLOOKUP(A289,'DATOS IND MINERO'!$H$2:$L$113,5,0),0)</f>
        <v>0</v>
      </c>
      <c r="W289" s="611">
        <f>+'_DATA STT PAGOS_'!G291</f>
        <v>0</v>
      </c>
      <c r="X289" s="611">
        <f>+'_DATA STT PAGOS_'!J291</f>
        <v>11215485.725000001</v>
      </c>
      <c r="Y289" s="609">
        <v>1185061</v>
      </c>
      <c r="Z289" s="609">
        <v>944592</v>
      </c>
      <c r="AA289" s="609">
        <v>1061909</v>
      </c>
      <c r="AB289" s="609">
        <v>959714</v>
      </c>
      <c r="AC289" s="609">
        <v>4151276</v>
      </c>
      <c r="AD289" s="609">
        <v>11166</v>
      </c>
      <c r="AE289" s="609">
        <v>4792</v>
      </c>
      <c r="AF289" s="609">
        <v>5901.8710000000001</v>
      </c>
      <c r="AG289" s="609">
        <v>4916</v>
      </c>
      <c r="AH289" s="609">
        <v>26775.870999999999</v>
      </c>
      <c r="AI289" s="209"/>
    </row>
    <row r="290" spans="1:35" x14ac:dyDescent="0.25">
      <c r="A290" s="201">
        <v>13129</v>
      </c>
      <c r="B290" s="201">
        <v>13163</v>
      </c>
      <c r="C290" s="201" t="s">
        <v>429</v>
      </c>
      <c r="D290" s="609">
        <v>103118</v>
      </c>
      <c r="E290" s="610">
        <v>4.8395347728796403E-2</v>
      </c>
      <c r="F290" s="609">
        <v>195369.59254085991</v>
      </c>
      <c r="G290" s="609">
        <v>24724</v>
      </c>
      <c r="H290" s="609">
        <v>36906</v>
      </c>
      <c r="I290" s="609">
        <v>1064721591514</v>
      </c>
      <c r="J290" s="609">
        <v>2081152568054</v>
      </c>
      <c r="K290" s="608">
        <v>0</v>
      </c>
      <c r="L290" s="608">
        <v>0</v>
      </c>
      <c r="M290" s="609">
        <v>18342646</v>
      </c>
      <c r="N290" s="609">
        <f t="shared" si="15"/>
        <v>18342646</v>
      </c>
      <c r="O290" s="609">
        <f t="shared" si="16"/>
        <v>18342646</v>
      </c>
      <c r="P290" s="609">
        <f t="shared" si="17"/>
        <v>18342646</v>
      </c>
      <c r="Q290" s="611">
        <f>+'_DATA STT PAGOS_'!D292</f>
        <v>4797315.2120000003</v>
      </c>
      <c r="R290" s="611">
        <f>+'_DATA STT PAGOS_'!E292</f>
        <v>399776.26766666671</v>
      </c>
      <c r="S290" s="611">
        <f>+'_DATA STT PAGOS_'!F292</f>
        <v>315823</v>
      </c>
      <c r="T290" s="612">
        <f>+'_DATA STT PAGOS_'!Q292</f>
        <v>6407238.9759999998</v>
      </c>
      <c r="U290" s="613" t="str">
        <f>SUBSTITUTE((IFERROR(VLOOKUP(A290,'DATOS IND MINERO'!$H$2:$L$113,4,0),"No")),"í","I",1)</f>
        <v>No</v>
      </c>
      <c r="V290" s="614">
        <f>IFERROR(VLOOKUP(A290,'DATOS IND MINERO'!$H$2:$L$113,5,0),0)</f>
        <v>0</v>
      </c>
      <c r="W290" s="611">
        <f>+'_DATA STT PAGOS_'!G292</f>
        <v>0</v>
      </c>
      <c r="X290" s="611">
        <f>+'_DATA STT PAGOS_'!J292</f>
        <v>6497415.8049999997</v>
      </c>
      <c r="Y290" s="609">
        <v>412927</v>
      </c>
      <c r="Z290" s="609">
        <v>300751</v>
      </c>
      <c r="AA290" s="609">
        <v>373541</v>
      </c>
      <c r="AB290" s="609">
        <v>303435</v>
      </c>
      <c r="AC290" s="609">
        <v>1390654</v>
      </c>
      <c r="AD290" s="609">
        <v>94769</v>
      </c>
      <c r="AE290" s="609">
        <v>36532</v>
      </c>
      <c r="AF290" s="609">
        <v>58992.733999999997</v>
      </c>
      <c r="AG290" s="609">
        <v>39926</v>
      </c>
      <c r="AH290" s="609">
        <v>230219.734</v>
      </c>
      <c r="AI290" s="209"/>
    </row>
    <row r="291" spans="1:35" x14ac:dyDescent="0.25">
      <c r="A291" s="201">
        <v>13130</v>
      </c>
      <c r="B291" s="201">
        <v>13106</v>
      </c>
      <c r="C291" s="201" t="s">
        <v>277</v>
      </c>
      <c r="D291" s="609">
        <v>145424</v>
      </c>
      <c r="E291" s="610">
        <v>2.1727138639992229E-2</v>
      </c>
      <c r="F291" s="609">
        <v>279395.17813442601</v>
      </c>
      <c r="G291" s="609">
        <v>31970</v>
      </c>
      <c r="H291" s="609">
        <v>114122</v>
      </c>
      <c r="I291" s="609">
        <v>1713762100817</v>
      </c>
      <c r="J291" s="609">
        <v>5428464018244</v>
      </c>
      <c r="K291" s="608">
        <v>0</v>
      </c>
      <c r="L291" s="608">
        <v>0</v>
      </c>
      <c r="M291" s="609">
        <v>17321541</v>
      </c>
      <c r="N291" s="609">
        <f t="shared" si="15"/>
        <v>17321541</v>
      </c>
      <c r="O291" s="609">
        <f t="shared" si="16"/>
        <v>17321541</v>
      </c>
      <c r="P291" s="609">
        <f t="shared" si="17"/>
        <v>17321541</v>
      </c>
      <c r="Q291" s="611">
        <f>+'_DATA STT PAGOS_'!D293</f>
        <v>3144076.9509999999</v>
      </c>
      <c r="R291" s="611">
        <f>+'_DATA STT PAGOS_'!E293</f>
        <v>262006.41258333332</v>
      </c>
      <c r="S291" s="611">
        <f>+'_DATA STT PAGOS_'!F293</f>
        <v>206985</v>
      </c>
      <c r="T291" s="612">
        <f>+'_DATA STT PAGOS_'!Q293</f>
        <v>4069968.4139999999</v>
      </c>
      <c r="U291" s="613" t="str">
        <f>SUBSTITUTE((IFERROR(VLOOKUP(A291,'DATOS IND MINERO'!$H$2:$L$113,4,0),"No")),"í","I",1)</f>
        <v>No</v>
      </c>
      <c r="V291" s="614">
        <f>IFERROR(VLOOKUP(A291,'DATOS IND MINERO'!$H$2:$L$113,5,0),0)</f>
        <v>0</v>
      </c>
      <c r="W291" s="611">
        <f>+'_DATA STT PAGOS_'!G293</f>
        <v>0</v>
      </c>
      <c r="X291" s="611">
        <f>+'_DATA STT PAGOS_'!J293</f>
        <v>4258301.7869999995</v>
      </c>
      <c r="Y291" s="609">
        <v>1221855</v>
      </c>
      <c r="Z291" s="609">
        <v>632406</v>
      </c>
      <c r="AA291" s="609">
        <v>868354</v>
      </c>
      <c r="AB291" s="609">
        <v>688047</v>
      </c>
      <c r="AC291" s="609">
        <v>3410662</v>
      </c>
      <c r="AD291" s="609">
        <v>199252</v>
      </c>
      <c r="AE291" s="609">
        <v>71984</v>
      </c>
      <c r="AF291" s="609">
        <v>104713.44</v>
      </c>
      <c r="AG291" s="609">
        <v>73161</v>
      </c>
      <c r="AH291" s="609">
        <v>449110.44</v>
      </c>
      <c r="AI291" s="209"/>
    </row>
    <row r="292" spans="1:35" x14ac:dyDescent="0.25">
      <c r="A292" s="201">
        <v>13131</v>
      </c>
      <c r="B292" s="201">
        <v>13153</v>
      </c>
      <c r="C292" s="201" t="s">
        <v>430</v>
      </c>
      <c r="D292" s="609">
        <v>83695</v>
      </c>
      <c r="E292" s="610">
        <v>6.8821263519756801E-2</v>
      </c>
      <c r="F292" s="609">
        <v>143964.64933781329</v>
      </c>
      <c r="G292" s="609">
        <v>18945</v>
      </c>
      <c r="H292" s="609">
        <v>20211</v>
      </c>
      <c r="I292" s="609">
        <v>591843583785</v>
      </c>
      <c r="J292" s="609">
        <v>705704547466</v>
      </c>
      <c r="K292" s="608">
        <v>0</v>
      </c>
      <c r="L292" s="608">
        <v>0</v>
      </c>
      <c r="M292" s="609">
        <v>4106548</v>
      </c>
      <c r="N292" s="609">
        <f t="shared" si="15"/>
        <v>4106548</v>
      </c>
      <c r="O292" s="609">
        <f t="shared" si="16"/>
        <v>4106548</v>
      </c>
      <c r="P292" s="609">
        <f t="shared" si="17"/>
        <v>4106548</v>
      </c>
      <c r="Q292" s="611">
        <f>+'_DATA STT PAGOS_'!D294</f>
        <v>9947800.6359999999</v>
      </c>
      <c r="R292" s="611">
        <f>+'_DATA STT PAGOS_'!E294</f>
        <v>828983.38633333333</v>
      </c>
      <c r="S292" s="611">
        <f>+'_DATA STT PAGOS_'!F294</f>
        <v>654897</v>
      </c>
      <c r="T292" s="612">
        <f>+'_DATA STT PAGOS_'!Q294</f>
        <v>13374283.902000001</v>
      </c>
      <c r="U292" s="613" t="str">
        <f>SUBSTITUTE((IFERROR(VLOOKUP(A292,'DATOS IND MINERO'!$H$2:$L$113,4,0),"No")),"í","I",1)</f>
        <v>No</v>
      </c>
      <c r="V292" s="614">
        <f>IFERROR(VLOOKUP(A292,'DATOS IND MINERO'!$H$2:$L$113,5,0),0)</f>
        <v>0</v>
      </c>
      <c r="W292" s="611">
        <f>+'_DATA STT PAGOS_'!G294</f>
        <v>0</v>
      </c>
      <c r="X292" s="611">
        <f>+'_DATA STT PAGOS_'!J294</f>
        <v>13499393.892999999</v>
      </c>
      <c r="Y292" s="609">
        <v>50270</v>
      </c>
      <c r="Z292" s="609">
        <v>40487</v>
      </c>
      <c r="AA292" s="609">
        <v>39417</v>
      </c>
      <c r="AB292" s="609">
        <v>31986</v>
      </c>
      <c r="AC292" s="609">
        <v>162160</v>
      </c>
      <c r="AD292" s="609">
        <v>3371</v>
      </c>
      <c r="AE292" s="609">
        <v>1479</v>
      </c>
      <c r="AF292" s="609">
        <v>2067.7510000000002</v>
      </c>
      <c r="AG292" s="609">
        <v>1709</v>
      </c>
      <c r="AH292" s="609">
        <v>8626.7510000000002</v>
      </c>
      <c r="AI292" s="209"/>
    </row>
    <row r="293" spans="1:35" x14ac:dyDescent="0.25">
      <c r="A293" s="201">
        <v>13132</v>
      </c>
      <c r="B293" s="201">
        <v>13160</v>
      </c>
      <c r="C293" s="201" t="s">
        <v>293</v>
      </c>
      <c r="D293" s="609">
        <v>97049</v>
      </c>
      <c r="E293" s="610">
        <v>8.9104623494184864E-3</v>
      </c>
      <c r="F293" s="609">
        <v>913475.19363204646</v>
      </c>
      <c r="G293" s="609">
        <v>1582</v>
      </c>
      <c r="H293" s="609">
        <v>109646</v>
      </c>
      <c r="I293" s="609">
        <v>1258555878036</v>
      </c>
      <c r="J293" s="609">
        <v>14576746997378</v>
      </c>
      <c r="K293" s="608">
        <v>0</v>
      </c>
      <c r="L293" s="608">
        <v>0</v>
      </c>
      <c r="M293" s="609">
        <v>86514257</v>
      </c>
      <c r="N293" s="609">
        <f t="shared" si="15"/>
        <v>86514257</v>
      </c>
      <c r="O293" s="609">
        <f t="shared" si="16"/>
        <v>86514257</v>
      </c>
      <c r="P293" s="609">
        <f t="shared" si="17"/>
        <v>86514257</v>
      </c>
      <c r="Q293" s="611">
        <f>+'_DATA STT PAGOS_'!D295</f>
        <v>1864338.3940000001</v>
      </c>
      <c r="R293" s="611">
        <f>+'_DATA STT PAGOS_'!E295</f>
        <v>155361.53283333333</v>
      </c>
      <c r="S293" s="611">
        <f>+'_DATA STT PAGOS_'!F295</f>
        <v>122736</v>
      </c>
      <c r="T293" s="612">
        <f>+'_DATA STT PAGOS_'!Q295</f>
        <v>2506503.4700000002</v>
      </c>
      <c r="U293" s="613" t="str">
        <f>SUBSTITUTE((IFERROR(VLOOKUP(A293,'DATOS IND MINERO'!$H$2:$L$113,4,0),"No")),"í","I",1)</f>
        <v>No</v>
      </c>
      <c r="V293" s="614">
        <f>IFERROR(VLOOKUP(A293,'DATOS IND MINERO'!$H$2:$L$113,5,0),0)</f>
        <v>0</v>
      </c>
      <c r="W293" s="611">
        <f>+'_DATA STT PAGOS_'!G295</f>
        <v>0</v>
      </c>
      <c r="X293" s="611">
        <f>+'_DATA STT PAGOS_'!J295</f>
        <v>2529950.0150000001</v>
      </c>
      <c r="Y293" s="609">
        <v>7107287</v>
      </c>
      <c r="Z293" s="609">
        <v>4619506</v>
      </c>
      <c r="AA293" s="609">
        <v>5453627</v>
      </c>
      <c r="AB293" s="609">
        <v>4391998</v>
      </c>
      <c r="AC293" s="609">
        <v>21572418</v>
      </c>
      <c r="AD293" s="609">
        <v>1085244</v>
      </c>
      <c r="AE293" s="609">
        <v>556445</v>
      </c>
      <c r="AF293" s="609">
        <v>697381.11199999996</v>
      </c>
      <c r="AG293" s="609">
        <v>497978</v>
      </c>
      <c r="AH293" s="609">
        <v>2837048.1119999997</v>
      </c>
      <c r="AI293" s="209"/>
    </row>
    <row r="294" spans="1:35" x14ac:dyDescent="0.25">
      <c r="A294" s="201">
        <v>13201</v>
      </c>
      <c r="B294" s="201">
        <v>13301</v>
      </c>
      <c r="C294" s="201" t="s">
        <v>303</v>
      </c>
      <c r="D294" s="609">
        <v>667904</v>
      </c>
      <c r="E294" s="610">
        <v>5.0375919914454913E-2</v>
      </c>
      <c r="F294" s="609">
        <v>841220.35963300453</v>
      </c>
      <c r="G294" s="609">
        <v>141661</v>
      </c>
      <c r="H294" s="609">
        <v>183165</v>
      </c>
      <c r="I294" s="609">
        <v>5983529694934</v>
      </c>
      <c r="J294" s="609">
        <v>10824891795551</v>
      </c>
      <c r="K294" s="608">
        <v>0</v>
      </c>
      <c r="L294" s="608">
        <v>0</v>
      </c>
      <c r="M294" s="609">
        <v>30874242</v>
      </c>
      <c r="N294" s="609">
        <f t="shared" si="15"/>
        <v>30874242</v>
      </c>
      <c r="O294" s="609">
        <f t="shared" si="16"/>
        <v>30874242</v>
      </c>
      <c r="P294" s="609">
        <f t="shared" si="17"/>
        <v>30874242</v>
      </c>
      <c r="Q294" s="611">
        <f>+'_DATA STT PAGOS_'!D296</f>
        <v>63424345.839000002</v>
      </c>
      <c r="R294" s="611">
        <f>+'_DATA STT PAGOS_'!E296</f>
        <v>5285362.1532500004</v>
      </c>
      <c r="S294" s="611">
        <f>+'_DATA STT PAGOS_'!F296</f>
        <v>4175436</v>
      </c>
      <c r="T294" s="612">
        <f>+'_DATA STT PAGOS_'!Q296</f>
        <v>85270627.679000005</v>
      </c>
      <c r="U294" s="613" t="str">
        <f>SUBSTITUTE((IFERROR(VLOOKUP(A294,'DATOS IND MINERO'!$H$2:$L$113,4,0),"No")),"í","I",1)</f>
        <v>No</v>
      </c>
      <c r="V294" s="614">
        <f>IFERROR(VLOOKUP(A294,'DATOS IND MINERO'!$H$2:$L$113,5,0),0)</f>
        <v>0</v>
      </c>
      <c r="W294" s="611">
        <f>+'_DATA STT PAGOS_'!G296</f>
        <v>0</v>
      </c>
      <c r="X294" s="611">
        <f>+'_DATA STT PAGOS_'!J296</f>
        <v>86068293.695999995</v>
      </c>
      <c r="Y294" s="609">
        <v>1621182</v>
      </c>
      <c r="Z294" s="609">
        <v>1414114</v>
      </c>
      <c r="AA294" s="609">
        <v>1495077</v>
      </c>
      <c r="AB294" s="609">
        <v>1203127</v>
      </c>
      <c r="AC294" s="609">
        <v>5733500</v>
      </c>
      <c r="AD294" s="609">
        <v>236060</v>
      </c>
      <c r="AE294" s="609">
        <v>105211</v>
      </c>
      <c r="AF294" s="609">
        <v>130860.213</v>
      </c>
      <c r="AG294" s="609">
        <v>98089</v>
      </c>
      <c r="AH294" s="609">
        <v>570220.21299999999</v>
      </c>
      <c r="AI294" s="209"/>
    </row>
    <row r="295" spans="1:35" x14ac:dyDescent="0.25">
      <c r="A295" s="201">
        <v>13202</v>
      </c>
      <c r="B295" s="201">
        <v>13302</v>
      </c>
      <c r="C295" s="201" t="s">
        <v>304</v>
      </c>
      <c r="D295" s="609">
        <v>33021</v>
      </c>
      <c r="E295" s="610">
        <v>2.7431642799948301E-2</v>
      </c>
      <c r="F295" s="609">
        <v>170888.64172247451</v>
      </c>
      <c r="G295" s="609">
        <v>3478</v>
      </c>
      <c r="H295" s="609">
        <v>8401</v>
      </c>
      <c r="I295" s="609">
        <v>164152773236</v>
      </c>
      <c r="J295" s="609">
        <v>1031550338803</v>
      </c>
      <c r="K295" s="608">
        <v>0</v>
      </c>
      <c r="L295" s="608">
        <v>0</v>
      </c>
      <c r="M295" s="609">
        <v>7273144</v>
      </c>
      <c r="N295" s="609">
        <f t="shared" si="15"/>
        <v>7273144</v>
      </c>
      <c r="O295" s="609">
        <f t="shared" si="16"/>
        <v>7273144</v>
      </c>
      <c r="P295" s="609">
        <f t="shared" si="17"/>
        <v>7273144</v>
      </c>
      <c r="Q295" s="611">
        <f>+'_DATA STT PAGOS_'!D297</f>
        <v>1766819.6240000001</v>
      </c>
      <c r="R295" s="611">
        <f>+'_DATA STT PAGOS_'!E297</f>
        <v>147234.96866666668</v>
      </c>
      <c r="S295" s="611">
        <f>+'_DATA STT PAGOS_'!F297</f>
        <v>116316</v>
      </c>
      <c r="T295" s="612">
        <f>+'_DATA STT PAGOS_'!Q297</f>
        <v>2330487.3870000001</v>
      </c>
      <c r="U295" s="613" t="str">
        <f>SUBSTITUTE((IFERROR(VLOOKUP(A295,'DATOS IND MINERO'!$H$2:$L$113,4,0),"No")),"í","I",1)</f>
        <v>No</v>
      </c>
      <c r="V295" s="614">
        <f>IFERROR(VLOOKUP(A295,'DATOS IND MINERO'!$H$2:$L$113,5,0),0)</f>
        <v>0</v>
      </c>
      <c r="W295" s="611">
        <f>+'_DATA STT PAGOS_'!G297</f>
        <v>0</v>
      </c>
      <c r="X295" s="611">
        <f>+'_DATA STT PAGOS_'!J297</f>
        <v>2392604.1040000003</v>
      </c>
      <c r="Y295" s="609">
        <v>273922</v>
      </c>
      <c r="Z295" s="609">
        <v>214368</v>
      </c>
      <c r="AA295" s="609">
        <v>220987</v>
      </c>
      <c r="AB295" s="609">
        <v>185815</v>
      </c>
      <c r="AC295" s="609">
        <v>895092</v>
      </c>
      <c r="AD295" s="609">
        <v>35629</v>
      </c>
      <c r="AE295" s="609">
        <v>23798</v>
      </c>
      <c r="AF295" s="609">
        <v>24670.832999999999</v>
      </c>
      <c r="AG295" s="609">
        <v>19444</v>
      </c>
      <c r="AH295" s="609">
        <v>103541.833</v>
      </c>
      <c r="AI295" s="209"/>
    </row>
    <row r="296" spans="1:35" x14ac:dyDescent="0.25">
      <c r="A296" s="201">
        <v>13203</v>
      </c>
      <c r="B296" s="201">
        <v>13303</v>
      </c>
      <c r="C296" s="201" t="s">
        <v>431</v>
      </c>
      <c r="D296" s="609">
        <v>19519</v>
      </c>
      <c r="E296" s="610">
        <v>4.6895985671141109E-2</v>
      </c>
      <c r="F296" s="609">
        <v>1019329.9572714617</v>
      </c>
      <c r="G296" s="609">
        <v>2857</v>
      </c>
      <c r="H296" s="609">
        <v>6134</v>
      </c>
      <c r="I296" s="609">
        <v>181956586881</v>
      </c>
      <c r="J296" s="609">
        <v>673613573391</v>
      </c>
      <c r="K296" s="608">
        <v>0</v>
      </c>
      <c r="L296" s="608">
        <v>0</v>
      </c>
      <c r="M296" s="609">
        <v>3929391</v>
      </c>
      <c r="N296" s="609">
        <f t="shared" si="15"/>
        <v>3929391</v>
      </c>
      <c r="O296" s="609">
        <f t="shared" si="16"/>
        <v>3929391</v>
      </c>
      <c r="P296" s="609">
        <f t="shared" si="17"/>
        <v>3929391</v>
      </c>
      <c r="Q296" s="611">
        <f>+'_DATA STT PAGOS_'!D298</f>
        <v>1760464.794</v>
      </c>
      <c r="R296" s="611">
        <f>+'_DATA STT PAGOS_'!E298</f>
        <v>146705.3995</v>
      </c>
      <c r="S296" s="611">
        <f>+'_DATA STT PAGOS_'!F298</f>
        <v>115897</v>
      </c>
      <c r="T296" s="612">
        <f>+'_DATA STT PAGOS_'!Q298</f>
        <v>2333162.5180000002</v>
      </c>
      <c r="U296" s="613" t="str">
        <f>SUBSTITUTE((IFERROR(VLOOKUP(A296,'DATOS IND MINERO'!$H$2:$L$113,4,0),"No")),"í","I",1)</f>
        <v>No</v>
      </c>
      <c r="V296" s="614">
        <f>IFERROR(VLOOKUP(A296,'DATOS IND MINERO'!$H$2:$L$113,5,0),0)</f>
        <v>0</v>
      </c>
      <c r="W296" s="611">
        <f>+'_DATA STT PAGOS_'!G298</f>
        <v>0</v>
      </c>
      <c r="X296" s="611">
        <f>+'_DATA STT PAGOS_'!J298</f>
        <v>2387982.9139999999</v>
      </c>
      <c r="Y296" s="609">
        <v>166430</v>
      </c>
      <c r="Z296" s="609">
        <v>102527</v>
      </c>
      <c r="AA296" s="609">
        <v>135045</v>
      </c>
      <c r="AB296" s="609">
        <v>98241</v>
      </c>
      <c r="AC296" s="609">
        <v>502243</v>
      </c>
      <c r="AD296" s="609">
        <v>49705</v>
      </c>
      <c r="AE296" s="609">
        <v>23982</v>
      </c>
      <c r="AF296" s="609">
        <v>33686.909</v>
      </c>
      <c r="AG296" s="609">
        <v>23200</v>
      </c>
      <c r="AH296" s="609">
        <v>130573.909</v>
      </c>
      <c r="AI296" s="209"/>
    </row>
    <row r="297" spans="1:35" x14ac:dyDescent="0.25">
      <c r="A297" s="201">
        <v>13301</v>
      </c>
      <c r="B297" s="201">
        <v>13201</v>
      </c>
      <c r="C297" s="201" t="s">
        <v>300</v>
      </c>
      <c r="D297" s="609">
        <v>197370</v>
      </c>
      <c r="E297" s="610">
        <v>5.1088156625956282E-2</v>
      </c>
      <c r="F297" s="609">
        <v>526357.75504406239</v>
      </c>
      <c r="G297" s="609">
        <v>29699</v>
      </c>
      <c r="H297" s="609">
        <v>57030</v>
      </c>
      <c r="I297" s="609">
        <v>1086482102074</v>
      </c>
      <c r="J297" s="609">
        <v>8612734636510</v>
      </c>
      <c r="K297" s="608">
        <v>0</v>
      </c>
      <c r="L297" s="608">
        <v>0</v>
      </c>
      <c r="M297" s="609">
        <v>48819997</v>
      </c>
      <c r="N297" s="609">
        <f t="shared" si="15"/>
        <v>48819997</v>
      </c>
      <c r="O297" s="609">
        <f t="shared" si="16"/>
        <v>48819997</v>
      </c>
      <c r="P297" s="609">
        <f t="shared" si="17"/>
        <v>48819997</v>
      </c>
      <c r="Q297" s="611">
        <f>+'_DATA STT PAGOS_'!D299</f>
        <v>5193285.9809999997</v>
      </c>
      <c r="R297" s="611">
        <f>+'_DATA STT PAGOS_'!E299</f>
        <v>432773.83174999995</v>
      </c>
      <c r="S297" s="611">
        <f>+'_DATA STT PAGOS_'!F299</f>
        <v>341891</v>
      </c>
      <c r="T297" s="612">
        <f>+'_DATA STT PAGOS_'!Q299</f>
        <v>6740647.5659999996</v>
      </c>
      <c r="U297" s="613" t="str">
        <f>SUBSTITUTE((IFERROR(VLOOKUP(A297,'DATOS IND MINERO'!$H$2:$L$113,4,0),"No")),"í","I",1)</f>
        <v>No</v>
      </c>
      <c r="V297" s="614">
        <f>IFERROR(VLOOKUP(A297,'DATOS IND MINERO'!$H$2:$L$113,5,0),0)</f>
        <v>0</v>
      </c>
      <c r="W297" s="611">
        <f>+'_DATA STT PAGOS_'!G299</f>
        <v>0</v>
      </c>
      <c r="X297" s="611">
        <f>+'_DATA STT PAGOS_'!J299</f>
        <v>7046003.2949999999</v>
      </c>
      <c r="Y297" s="609">
        <v>4232781</v>
      </c>
      <c r="Z297" s="609">
        <v>2680156</v>
      </c>
      <c r="AA297" s="609">
        <v>3280159</v>
      </c>
      <c r="AB297" s="609">
        <v>2732483</v>
      </c>
      <c r="AC297" s="609">
        <v>12925579</v>
      </c>
      <c r="AD297" s="609">
        <v>344677</v>
      </c>
      <c r="AE297" s="609">
        <v>180825</v>
      </c>
      <c r="AF297" s="609">
        <v>167797.31899999999</v>
      </c>
      <c r="AG297" s="609">
        <v>124091</v>
      </c>
      <c r="AH297" s="609">
        <v>817390.31900000002</v>
      </c>
      <c r="AI297" s="209"/>
    </row>
    <row r="298" spans="1:35" x14ac:dyDescent="0.25">
      <c r="A298" s="201">
        <v>13302</v>
      </c>
      <c r="B298" s="201">
        <v>13202</v>
      </c>
      <c r="C298" s="201" t="s">
        <v>301</v>
      </c>
      <c r="D298" s="609">
        <v>143032</v>
      </c>
      <c r="E298" s="610">
        <v>4.947952348252533E-2</v>
      </c>
      <c r="F298" s="609">
        <v>294871.05944750056</v>
      </c>
      <c r="G298" s="609">
        <v>23625</v>
      </c>
      <c r="H298" s="609">
        <v>39947</v>
      </c>
      <c r="I298" s="609">
        <v>877801862810.00049</v>
      </c>
      <c r="J298" s="609">
        <v>4503925225230</v>
      </c>
      <c r="K298" s="608">
        <v>0</v>
      </c>
      <c r="L298" s="608">
        <v>0</v>
      </c>
      <c r="M298" s="609">
        <v>28387159</v>
      </c>
      <c r="N298" s="609">
        <f t="shared" si="15"/>
        <v>28387159</v>
      </c>
      <c r="O298" s="609">
        <f t="shared" si="16"/>
        <v>28387159</v>
      </c>
      <c r="P298" s="609">
        <f t="shared" si="17"/>
        <v>28387159</v>
      </c>
      <c r="Q298" s="611">
        <f>+'_DATA STT PAGOS_'!D300</f>
        <v>4583257.9630000005</v>
      </c>
      <c r="R298" s="611">
        <f>+'_DATA STT PAGOS_'!E300</f>
        <v>381938.16358333337</v>
      </c>
      <c r="S298" s="611">
        <f>+'_DATA STT PAGOS_'!F300</f>
        <v>301731</v>
      </c>
      <c r="T298" s="612">
        <f>+'_DATA STT PAGOS_'!Q300</f>
        <v>6029270.3930000002</v>
      </c>
      <c r="U298" s="613" t="str">
        <f>SUBSTITUTE((IFERROR(VLOOKUP(A298,'DATOS IND MINERO'!$H$2:$L$113,4,0),"No")),"í","I",1)</f>
        <v>No</v>
      </c>
      <c r="V298" s="614">
        <f>IFERROR(VLOOKUP(A298,'DATOS IND MINERO'!$H$2:$L$113,5,0),0)</f>
        <v>0</v>
      </c>
      <c r="W298" s="611">
        <f>+'_DATA STT PAGOS_'!G300</f>
        <v>0</v>
      </c>
      <c r="X298" s="611">
        <f>+'_DATA STT PAGOS_'!J300</f>
        <v>6210082.3670000006</v>
      </c>
      <c r="Y298" s="609">
        <v>1413979</v>
      </c>
      <c r="Z298" s="609">
        <v>1069883</v>
      </c>
      <c r="AA298" s="609">
        <v>1251360</v>
      </c>
      <c r="AB298" s="609">
        <v>1219741</v>
      </c>
      <c r="AC298" s="609">
        <v>4954963</v>
      </c>
      <c r="AD298" s="609">
        <v>48944</v>
      </c>
      <c r="AE298" s="609">
        <v>22985</v>
      </c>
      <c r="AF298" s="609">
        <v>26513.655999999999</v>
      </c>
      <c r="AG298" s="609">
        <v>20763</v>
      </c>
      <c r="AH298" s="609">
        <v>119205.656</v>
      </c>
      <c r="AI298" s="209"/>
    </row>
    <row r="299" spans="1:35" x14ac:dyDescent="0.25">
      <c r="A299" s="201">
        <v>13303</v>
      </c>
      <c r="B299" s="201">
        <v>13203</v>
      </c>
      <c r="C299" s="201" t="s">
        <v>302</v>
      </c>
      <c r="D299" s="609">
        <v>22482</v>
      </c>
      <c r="E299" s="610">
        <v>6.0569842861232091E-2</v>
      </c>
      <c r="F299" s="609">
        <v>297930.47967813088</v>
      </c>
      <c r="G299" s="609">
        <v>4223</v>
      </c>
      <c r="H299" s="609">
        <v>6696</v>
      </c>
      <c r="I299" s="609">
        <v>124587099761</v>
      </c>
      <c r="J299" s="609">
        <v>537608134831</v>
      </c>
      <c r="K299" s="608">
        <v>0</v>
      </c>
      <c r="L299" s="608">
        <v>0</v>
      </c>
      <c r="M299" s="609">
        <v>2949424</v>
      </c>
      <c r="N299" s="609">
        <f t="shared" si="15"/>
        <v>2949424</v>
      </c>
      <c r="O299" s="609">
        <f t="shared" si="16"/>
        <v>2949424</v>
      </c>
      <c r="P299" s="609">
        <f t="shared" si="17"/>
        <v>2949424</v>
      </c>
      <c r="Q299" s="611">
        <f>+'_DATA STT PAGOS_'!D301</f>
        <v>1948504.06</v>
      </c>
      <c r="R299" s="611">
        <f>+'_DATA STT PAGOS_'!E301</f>
        <v>162375.33833333335</v>
      </c>
      <c r="S299" s="611">
        <f>+'_DATA STT PAGOS_'!F301</f>
        <v>128277</v>
      </c>
      <c r="T299" s="612">
        <f>+'_DATA STT PAGOS_'!Q301</f>
        <v>2520369.4309999999</v>
      </c>
      <c r="U299" s="613" t="str">
        <f>SUBSTITUTE((IFERROR(VLOOKUP(A299,'DATOS IND MINERO'!$H$2:$L$113,4,0),"No")),"í","I",1)</f>
        <v>No</v>
      </c>
      <c r="V299" s="614">
        <f>IFERROR(VLOOKUP(A299,'DATOS IND MINERO'!$H$2:$L$113,5,0),0)</f>
        <v>0</v>
      </c>
      <c r="W299" s="611">
        <f>+'_DATA STT PAGOS_'!G301</f>
        <v>0</v>
      </c>
      <c r="X299" s="611">
        <f>+'_DATA STT PAGOS_'!J301</f>
        <v>2643874.0219999999</v>
      </c>
      <c r="Y299" s="609">
        <v>139208</v>
      </c>
      <c r="Z299" s="609">
        <v>78949</v>
      </c>
      <c r="AA299" s="609">
        <v>89231</v>
      </c>
      <c r="AB299" s="609">
        <v>92120</v>
      </c>
      <c r="AC299" s="609">
        <v>399508</v>
      </c>
      <c r="AD299" s="609">
        <v>4850</v>
      </c>
      <c r="AE299" s="609">
        <v>2221</v>
      </c>
      <c r="AF299" s="609">
        <v>3204.7420000000002</v>
      </c>
      <c r="AG299" s="609">
        <v>2037</v>
      </c>
      <c r="AH299" s="609">
        <v>12312.742</v>
      </c>
      <c r="AI299" s="209"/>
    </row>
    <row r="300" spans="1:35" x14ac:dyDescent="0.25">
      <c r="A300" s="201">
        <v>13401</v>
      </c>
      <c r="B300" s="201">
        <v>13401</v>
      </c>
      <c r="C300" s="201" t="s">
        <v>305</v>
      </c>
      <c r="D300" s="609">
        <v>348640</v>
      </c>
      <c r="E300" s="610">
        <v>5.9864930343402019E-2</v>
      </c>
      <c r="F300" s="609">
        <v>588469.72391818336</v>
      </c>
      <c r="G300" s="609">
        <v>79119</v>
      </c>
      <c r="H300" s="609">
        <v>98445</v>
      </c>
      <c r="I300" s="609">
        <v>2947701905228</v>
      </c>
      <c r="J300" s="609">
        <v>7227121734301</v>
      </c>
      <c r="K300" s="608">
        <v>0</v>
      </c>
      <c r="L300" s="608">
        <v>0</v>
      </c>
      <c r="M300" s="609">
        <v>45042850</v>
      </c>
      <c r="N300" s="609">
        <f t="shared" si="15"/>
        <v>45042850</v>
      </c>
      <c r="O300" s="609">
        <f t="shared" si="16"/>
        <v>45042850</v>
      </c>
      <c r="P300" s="609">
        <f t="shared" si="17"/>
        <v>45042850</v>
      </c>
      <c r="Q300" s="611">
        <f>+'_DATA STT PAGOS_'!D302</f>
        <v>19053814.919</v>
      </c>
      <c r="R300" s="611">
        <f>+'_DATA STT PAGOS_'!E302</f>
        <v>1587817.9099166666</v>
      </c>
      <c r="S300" s="611">
        <f>+'_DATA STT PAGOS_'!F302</f>
        <v>1254376</v>
      </c>
      <c r="T300" s="612">
        <f>+'_DATA STT PAGOS_'!Q302</f>
        <v>25616831.004999999</v>
      </c>
      <c r="U300" s="613" t="str">
        <f>SUBSTITUTE((IFERROR(VLOOKUP(A300,'DATOS IND MINERO'!$H$2:$L$113,4,0),"No")),"í","I",1)</f>
        <v>No</v>
      </c>
      <c r="V300" s="614">
        <f>IFERROR(VLOOKUP(A300,'DATOS IND MINERO'!$H$2:$L$113,5,0),0)</f>
        <v>0</v>
      </c>
      <c r="W300" s="611">
        <f>+'_DATA STT PAGOS_'!G302</f>
        <v>0</v>
      </c>
      <c r="X300" s="611">
        <f>+'_DATA STT PAGOS_'!J302</f>
        <v>25856464.379000001</v>
      </c>
      <c r="Y300" s="609">
        <v>2255007</v>
      </c>
      <c r="Z300" s="609">
        <v>1514269</v>
      </c>
      <c r="AA300" s="609">
        <v>2340399</v>
      </c>
      <c r="AB300" s="609">
        <v>1780983</v>
      </c>
      <c r="AC300" s="609">
        <v>7890658</v>
      </c>
      <c r="AD300" s="609">
        <v>100946</v>
      </c>
      <c r="AE300" s="609">
        <v>44231</v>
      </c>
      <c r="AF300" s="609">
        <v>61316.148999999998</v>
      </c>
      <c r="AG300" s="609">
        <v>45014</v>
      </c>
      <c r="AH300" s="609">
        <v>251507.149</v>
      </c>
      <c r="AI300" s="209"/>
    </row>
    <row r="301" spans="1:35" x14ac:dyDescent="0.25">
      <c r="A301" s="201">
        <v>13402</v>
      </c>
      <c r="B301" s="201">
        <v>13403</v>
      </c>
      <c r="C301" s="201" t="s">
        <v>307</v>
      </c>
      <c r="D301" s="609">
        <v>117982</v>
      </c>
      <c r="E301" s="610">
        <v>4.4472114280194347E-2</v>
      </c>
      <c r="F301" s="609">
        <v>248121.75621829467</v>
      </c>
      <c r="G301" s="609">
        <v>24107</v>
      </c>
      <c r="H301" s="609">
        <v>38207</v>
      </c>
      <c r="I301" s="609">
        <v>906832153574</v>
      </c>
      <c r="J301" s="609">
        <v>3019923322799</v>
      </c>
      <c r="K301" s="608">
        <v>0</v>
      </c>
      <c r="L301" s="608">
        <v>0</v>
      </c>
      <c r="M301" s="609">
        <v>13618373</v>
      </c>
      <c r="N301" s="609">
        <f t="shared" si="15"/>
        <v>13618373</v>
      </c>
      <c r="O301" s="609">
        <f t="shared" si="16"/>
        <v>13618373</v>
      </c>
      <c r="P301" s="609">
        <f t="shared" si="17"/>
        <v>13618373</v>
      </c>
      <c r="Q301" s="611">
        <f>+'_DATA STT PAGOS_'!D303</f>
        <v>4487416.3279999997</v>
      </c>
      <c r="R301" s="611">
        <f>+'_DATA STT PAGOS_'!E303</f>
        <v>373951.36066666665</v>
      </c>
      <c r="S301" s="611">
        <f>+'_DATA STT PAGOS_'!F303</f>
        <v>295422</v>
      </c>
      <c r="T301" s="612">
        <f>+'_DATA STT PAGOS_'!Q303</f>
        <v>5967308.2989999996</v>
      </c>
      <c r="U301" s="613" t="str">
        <f>SUBSTITUTE((IFERROR(VLOOKUP(A301,'DATOS IND MINERO'!$H$2:$L$113,4,0),"No")),"í","I",1)</f>
        <v>No</v>
      </c>
      <c r="V301" s="614">
        <f>IFERROR(VLOOKUP(A301,'DATOS IND MINERO'!$H$2:$L$113,5,0),0)</f>
        <v>0</v>
      </c>
      <c r="W301" s="611">
        <f>+'_DATA STT PAGOS_'!G303</f>
        <v>0</v>
      </c>
      <c r="X301" s="611">
        <f>+'_DATA STT PAGOS_'!J303</f>
        <v>6085109.2809999995</v>
      </c>
      <c r="Y301" s="609">
        <v>719690</v>
      </c>
      <c r="Z301" s="609">
        <v>670976</v>
      </c>
      <c r="AA301" s="609">
        <v>591964</v>
      </c>
      <c r="AB301" s="609">
        <v>517711</v>
      </c>
      <c r="AC301" s="609">
        <v>2500341</v>
      </c>
      <c r="AD301" s="609">
        <v>104691</v>
      </c>
      <c r="AE301" s="609">
        <v>49755</v>
      </c>
      <c r="AF301" s="609">
        <v>42328.961000000003</v>
      </c>
      <c r="AG301" s="609">
        <v>32704</v>
      </c>
      <c r="AH301" s="609">
        <v>229478.96100000001</v>
      </c>
      <c r="AI301" s="209"/>
    </row>
    <row r="302" spans="1:35" x14ac:dyDescent="0.25">
      <c r="A302" s="201">
        <v>13403</v>
      </c>
      <c r="B302" s="201">
        <v>13402</v>
      </c>
      <c r="C302" s="201" t="s">
        <v>306</v>
      </c>
      <c r="D302" s="609">
        <v>30283</v>
      </c>
      <c r="E302" s="610">
        <v>3.4845772223698397E-2</v>
      </c>
      <c r="F302" s="609">
        <v>105455.91737759908</v>
      </c>
      <c r="G302" s="609">
        <v>3498</v>
      </c>
      <c r="H302" s="609">
        <v>7459</v>
      </c>
      <c r="I302" s="609">
        <v>151022532693</v>
      </c>
      <c r="J302" s="609">
        <v>1099685586053</v>
      </c>
      <c r="K302" s="608">
        <v>0</v>
      </c>
      <c r="L302" s="608">
        <v>0</v>
      </c>
      <c r="M302" s="609">
        <v>5512385</v>
      </c>
      <c r="N302" s="609">
        <f t="shared" si="15"/>
        <v>5512385</v>
      </c>
      <c r="O302" s="609">
        <f t="shared" si="16"/>
        <v>5512385</v>
      </c>
      <c r="P302" s="609">
        <f t="shared" si="17"/>
        <v>5512385</v>
      </c>
      <c r="Q302" s="611">
        <f>+'_DATA STT PAGOS_'!D304</f>
        <v>1770198.675</v>
      </c>
      <c r="R302" s="611">
        <f>+'_DATA STT PAGOS_'!E304</f>
        <v>147516.55624999999</v>
      </c>
      <c r="S302" s="611">
        <f>+'_DATA STT PAGOS_'!F304</f>
        <v>116538</v>
      </c>
      <c r="T302" s="612">
        <f>+'_DATA STT PAGOS_'!Q304</f>
        <v>2313375.182</v>
      </c>
      <c r="U302" s="613" t="str">
        <f>SUBSTITUTE((IFERROR(VLOOKUP(A302,'DATOS IND MINERO'!$H$2:$L$113,4,0),"No")),"í","I",1)</f>
        <v>No</v>
      </c>
      <c r="V302" s="614">
        <f>IFERROR(VLOOKUP(A302,'DATOS IND MINERO'!$H$2:$L$113,5,0),0)</f>
        <v>0</v>
      </c>
      <c r="W302" s="611">
        <f>+'_DATA STT PAGOS_'!G304</f>
        <v>0</v>
      </c>
      <c r="X302" s="611">
        <f>+'_DATA STT PAGOS_'!J304</f>
        <v>2398706.9819999998</v>
      </c>
      <c r="Y302" s="609">
        <v>272578</v>
      </c>
      <c r="Z302" s="609">
        <v>169530</v>
      </c>
      <c r="AA302" s="609">
        <v>210981</v>
      </c>
      <c r="AB302" s="609">
        <v>163806</v>
      </c>
      <c r="AC302" s="609">
        <v>816895</v>
      </c>
      <c r="AD302" s="609">
        <v>53031</v>
      </c>
      <c r="AE302" s="609">
        <v>31758</v>
      </c>
      <c r="AF302" s="609">
        <v>39164.898000000001</v>
      </c>
      <c r="AG302" s="609">
        <v>29430</v>
      </c>
      <c r="AH302" s="609">
        <v>153383.89799999999</v>
      </c>
      <c r="AI302" s="209"/>
    </row>
    <row r="303" spans="1:35" x14ac:dyDescent="0.25">
      <c r="A303" s="201">
        <v>13404</v>
      </c>
      <c r="B303" s="201">
        <v>13404</v>
      </c>
      <c r="C303" s="201" t="s">
        <v>308</v>
      </c>
      <c r="D303" s="609">
        <v>88317</v>
      </c>
      <c r="E303" s="610">
        <v>5.8651721684238767E-2</v>
      </c>
      <c r="F303" s="609">
        <v>314944.21564739005</v>
      </c>
      <c r="G303" s="609">
        <v>16094</v>
      </c>
      <c r="H303" s="609">
        <v>25478</v>
      </c>
      <c r="I303" s="609">
        <v>491041324116</v>
      </c>
      <c r="J303" s="609">
        <v>1858972061446</v>
      </c>
      <c r="K303" s="608">
        <v>0</v>
      </c>
      <c r="L303" s="608">
        <v>0</v>
      </c>
      <c r="M303" s="609">
        <v>11063523</v>
      </c>
      <c r="N303" s="609">
        <f t="shared" si="15"/>
        <v>11063523</v>
      </c>
      <c r="O303" s="609">
        <f t="shared" si="16"/>
        <v>11063523</v>
      </c>
      <c r="P303" s="609">
        <f t="shared" si="17"/>
        <v>11063523</v>
      </c>
      <c r="Q303" s="611">
        <f>+'_DATA STT PAGOS_'!D305</f>
        <v>4056483.287</v>
      </c>
      <c r="R303" s="611">
        <f>+'_DATA STT PAGOS_'!E305</f>
        <v>338040.27391666669</v>
      </c>
      <c r="S303" s="611">
        <f>+'_DATA STT PAGOS_'!F305</f>
        <v>267052</v>
      </c>
      <c r="T303" s="612">
        <f>+'_DATA STT PAGOS_'!Q305</f>
        <v>5453724.1780000003</v>
      </c>
      <c r="U303" s="613" t="str">
        <f>SUBSTITUTE((IFERROR(VLOOKUP(A303,'DATOS IND MINERO'!$H$2:$L$113,4,0),"No")),"í","I",1)</f>
        <v>No</v>
      </c>
      <c r="V303" s="614">
        <f>IFERROR(VLOOKUP(A303,'DATOS IND MINERO'!$H$2:$L$113,5,0),0)</f>
        <v>0</v>
      </c>
      <c r="W303" s="611">
        <f>+'_DATA STT PAGOS_'!G305</f>
        <v>0</v>
      </c>
      <c r="X303" s="611">
        <f>+'_DATA STT PAGOS_'!J305</f>
        <v>5504740.9700000007</v>
      </c>
      <c r="Y303" s="609">
        <v>524023</v>
      </c>
      <c r="Z303" s="609">
        <v>546861</v>
      </c>
      <c r="AA303" s="609">
        <v>429941</v>
      </c>
      <c r="AB303" s="609">
        <v>341248</v>
      </c>
      <c r="AC303" s="609">
        <v>1842073</v>
      </c>
      <c r="AD303" s="609">
        <v>3943</v>
      </c>
      <c r="AE303" s="609">
        <v>2293</v>
      </c>
      <c r="AF303" s="609">
        <v>2770.9470000000001</v>
      </c>
      <c r="AG303" s="609">
        <v>1849</v>
      </c>
      <c r="AH303" s="609">
        <v>10855.947</v>
      </c>
      <c r="AI303" s="209"/>
    </row>
    <row r="304" spans="1:35" x14ac:dyDescent="0.25">
      <c r="A304" s="201">
        <v>13501</v>
      </c>
      <c r="B304" s="201">
        <v>13601</v>
      </c>
      <c r="C304" s="201" t="s">
        <v>314</v>
      </c>
      <c r="D304" s="609">
        <v>148899</v>
      </c>
      <c r="E304" s="610">
        <v>7.5717591306610932E-2</v>
      </c>
      <c r="F304" s="609">
        <v>1595700.6770190152</v>
      </c>
      <c r="G304" s="609">
        <v>39412</v>
      </c>
      <c r="H304" s="609">
        <v>50530</v>
      </c>
      <c r="I304" s="609">
        <v>1077905712515</v>
      </c>
      <c r="J304" s="609">
        <v>2618448766339</v>
      </c>
      <c r="K304" s="608">
        <v>0</v>
      </c>
      <c r="L304" s="608">
        <v>0</v>
      </c>
      <c r="M304" s="609">
        <v>9435514</v>
      </c>
      <c r="N304" s="609">
        <f t="shared" si="15"/>
        <v>9435514</v>
      </c>
      <c r="O304" s="609">
        <f t="shared" si="16"/>
        <v>9435514</v>
      </c>
      <c r="P304" s="609">
        <f t="shared" si="17"/>
        <v>9435514</v>
      </c>
      <c r="Q304" s="611">
        <f>+'_DATA STT PAGOS_'!D306</f>
        <v>16601326.274</v>
      </c>
      <c r="R304" s="611">
        <f>+'_DATA STT PAGOS_'!E306</f>
        <v>1383443.8561666666</v>
      </c>
      <c r="S304" s="611">
        <f>+'_DATA STT PAGOS_'!F306</f>
        <v>1092921</v>
      </c>
      <c r="T304" s="612">
        <f>+'_DATA STT PAGOS_'!Q306</f>
        <v>19578027.181000002</v>
      </c>
      <c r="U304" s="613" t="str">
        <f>SUBSTITUTE((IFERROR(VLOOKUP(A304,'DATOS IND MINERO'!$H$2:$L$113,4,0),"No")),"í","I",1)</f>
        <v>No</v>
      </c>
      <c r="V304" s="614">
        <f>IFERROR(VLOOKUP(A304,'DATOS IND MINERO'!$H$2:$L$113,5,0),0)</f>
        <v>0</v>
      </c>
      <c r="W304" s="611">
        <f>+'_DATA STT PAGOS_'!G306</f>
        <v>0</v>
      </c>
      <c r="X304" s="611">
        <f>+'_DATA STT PAGOS_'!J306</f>
        <v>22537006.385000002</v>
      </c>
      <c r="Y304" s="609">
        <v>472973</v>
      </c>
      <c r="Z304" s="609">
        <v>364844</v>
      </c>
      <c r="AA304" s="609">
        <v>401498</v>
      </c>
      <c r="AB304" s="609">
        <v>315548</v>
      </c>
      <c r="AC304" s="609">
        <v>1554863</v>
      </c>
      <c r="AD304" s="609">
        <v>23316</v>
      </c>
      <c r="AE304" s="609">
        <v>15031</v>
      </c>
      <c r="AF304" s="609">
        <v>15322.722</v>
      </c>
      <c r="AG304" s="609">
        <v>12091</v>
      </c>
      <c r="AH304" s="609">
        <v>65760.722000000009</v>
      </c>
      <c r="AI304" s="209"/>
    </row>
    <row r="305" spans="1:35" x14ac:dyDescent="0.25">
      <c r="A305" s="201">
        <v>13502</v>
      </c>
      <c r="B305" s="201">
        <v>13605</v>
      </c>
      <c r="C305" s="201" t="s">
        <v>432</v>
      </c>
      <c r="D305" s="609">
        <v>7856</v>
      </c>
      <c r="E305" s="610">
        <v>9.6121569117850983E-2</v>
      </c>
      <c r="F305" s="609">
        <v>77731.136486534248</v>
      </c>
      <c r="G305" s="609">
        <v>1867</v>
      </c>
      <c r="H305" s="609">
        <v>2284</v>
      </c>
      <c r="I305" s="609">
        <v>36249799177</v>
      </c>
      <c r="J305" s="609">
        <v>152258136714</v>
      </c>
      <c r="K305" s="608">
        <v>0</v>
      </c>
      <c r="L305" s="608">
        <v>0</v>
      </c>
      <c r="M305" s="609">
        <v>10612560</v>
      </c>
      <c r="N305" s="609">
        <f t="shared" si="15"/>
        <v>10612560</v>
      </c>
      <c r="O305" s="609">
        <f t="shared" si="16"/>
        <v>10612560</v>
      </c>
      <c r="P305" s="609">
        <f t="shared" si="17"/>
        <v>10612560</v>
      </c>
      <c r="Q305" s="611">
        <f>+'_DATA STT PAGOS_'!D307</f>
        <v>1665706.0859999999</v>
      </c>
      <c r="R305" s="611">
        <f>+'_DATA STT PAGOS_'!E307</f>
        <v>138808.84049999999</v>
      </c>
      <c r="S305" s="611">
        <f>+'_DATA STT PAGOS_'!F307</f>
        <v>109659</v>
      </c>
      <c r="T305" s="612">
        <f>+'_DATA STT PAGOS_'!Q307</f>
        <v>2130568.5049999999</v>
      </c>
      <c r="U305" s="613" t="str">
        <f>SUBSTITUTE((IFERROR(VLOOKUP(A305,'DATOS IND MINERO'!$H$2:$L$113,4,0),"No")),"í","I",1)</f>
        <v>No</v>
      </c>
      <c r="V305" s="614">
        <f>IFERROR(VLOOKUP(A305,'DATOS IND MINERO'!$H$2:$L$113,5,0),0)</f>
        <v>0</v>
      </c>
      <c r="W305" s="611">
        <f>+'_DATA STT PAGOS_'!G307</f>
        <v>0</v>
      </c>
      <c r="X305" s="611">
        <f>+'_DATA STT PAGOS_'!J307</f>
        <v>2262274.92</v>
      </c>
      <c r="Y305" s="609">
        <v>47833</v>
      </c>
      <c r="Z305" s="609">
        <v>19512</v>
      </c>
      <c r="AA305" s="609">
        <v>20962</v>
      </c>
      <c r="AB305" s="609">
        <v>17397</v>
      </c>
      <c r="AC305" s="609">
        <v>105704</v>
      </c>
      <c r="AD305" s="609">
        <v>0</v>
      </c>
      <c r="AE305" s="609">
        <v>0</v>
      </c>
      <c r="AF305" s="609">
        <v>0</v>
      </c>
      <c r="AG305" s="609">
        <v>0</v>
      </c>
      <c r="AH305" s="609">
        <v>0</v>
      </c>
      <c r="AI305" s="209"/>
    </row>
    <row r="306" spans="1:35" x14ac:dyDescent="0.25">
      <c r="A306" s="201">
        <v>13503</v>
      </c>
      <c r="B306" s="201">
        <v>13603</v>
      </c>
      <c r="C306" s="201" t="s">
        <v>433</v>
      </c>
      <c r="D306" s="609">
        <v>38367</v>
      </c>
      <c r="E306" s="610">
        <v>5.9964589627170613E-2</v>
      </c>
      <c r="F306" s="609">
        <v>621289.81894483627</v>
      </c>
      <c r="G306" s="609">
        <v>9249</v>
      </c>
      <c r="H306" s="609">
        <v>15605</v>
      </c>
      <c r="I306" s="609">
        <v>236768083213</v>
      </c>
      <c r="J306" s="609">
        <v>865797111182</v>
      </c>
      <c r="K306" s="608">
        <v>0</v>
      </c>
      <c r="L306" s="608">
        <v>0</v>
      </c>
      <c r="M306" s="609">
        <v>5669196</v>
      </c>
      <c r="N306" s="609">
        <f t="shared" si="15"/>
        <v>5669196</v>
      </c>
      <c r="O306" s="609">
        <f t="shared" si="16"/>
        <v>5669196</v>
      </c>
      <c r="P306" s="609">
        <f t="shared" si="17"/>
        <v>5669196</v>
      </c>
      <c r="Q306" s="611">
        <f>+'_DATA STT PAGOS_'!D308</f>
        <v>2765195.4449999998</v>
      </c>
      <c r="R306" s="611">
        <f>+'_DATA STT PAGOS_'!E308</f>
        <v>230432.95374999999</v>
      </c>
      <c r="S306" s="611">
        <f>+'_DATA STT PAGOS_'!F308</f>
        <v>182042</v>
      </c>
      <c r="T306" s="612">
        <f>+'_DATA STT PAGOS_'!Q308</f>
        <v>3717656.801</v>
      </c>
      <c r="U306" s="613" t="str">
        <f>SUBSTITUTE((IFERROR(VLOOKUP(A306,'DATOS IND MINERO'!$H$2:$L$113,4,0),"No")),"í","I",1)</f>
        <v>No</v>
      </c>
      <c r="V306" s="614">
        <f>IFERROR(VLOOKUP(A306,'DATOS IND MINERO'!$H$2:$L$113,5,0),0)</f>
        <v>0</v>
      </c>
      <c r="W306" s="611">
        <f>+'_DATA STT PAGOS_'!G308</f>
        <v>0</v>
      </c>
      <c r="X306" s="611">
        <f>+'_DATA STT PAGOS_'!J308</f>
        <v>3752433.713</v>
      </c>
      <c r="Y306" s="609">
        <v>204021</v>
      </c>
      <c r="Z306" s="609">
        <v>114454</v>
      </c>
      <c r="AA306" s="609">
        <v>149106</v>
      </c>
      <c r="AB306" s="609">
        <v>114699</v>
      </c>
      <c r="AC306" s="609">
        <v>582280</v>
      </c>
      <c r="AD306" s="609">
        <v>24343</v>
      </c>
      <c r="AE306" s="609">
        <v>13155</v>
      </c>
      <c r="AF306" s="609">
        <v>18224.451000000001</v>
      </c>
      <c r="AG306" s="609">
        <v>12655</v>
      </c>
      <c r="AH306" s="609">
        <v>68377.451000000001</v>
      </c>
      <c r="AI306" s="209"/>
    </row>
    <row r="307" spans="1:35" x14ac:dyDescent="0.25">
      <c r="A307" s="201">
        <v>13504</v>
      </c>
      <c r="B307" s="201">
        <v>13602</v>
      </c>
      <c r="C307" s="201" t="s">
        <v>434</v>
      </c>
      <c r="D307" s="609">
        <v>15669</v>
      </c>
      <c r="E307" s="610">
        <v>7.3137242315189241E-2</v>
      </c>
      <c r="F307" s="609">
        <v>95324.781248087325</v>
      </c>
      <c r="G307" s="609">
        <v>3727</v>
      </c>
      <c r="H307" s="609">
        <v>5587</v>
      </c>
      <c r="I307" s="609">
        <v>91354305651</v>
      </c>
      <c r="J307" s="609">
        <v>390947425669</v>
      </c>
      <c r="K307" s="608">
        <v>0</v>
      </c>
      <c r="L307" s="608">
        <v>0</v>
      </c>
      <c r="M307" s="609">
        <v>2994899</v>
      </c>
      <c r="N307" s="609">
        <f t="shared" si="15"/>
        <v>2994899</v>
      </c>
      <c r="O307" s="609">
        <f t="shared" si="16"/>
        <v>2994899</v>
      </c>
      <c r="P307" s="609">
        <f t="shared" si="17"/>
        <v>2994899</v>
      </c>
      <c r="Q307" s="611">
        <f>+'_DATA STT PAGOS_'!D309</f>
        <v>1893169.247</v>
      </c>
      <c r="R307" s="611">
        <f>+'_DATA STT PAGOS_'!E309</f>
        <v>157764.10391666667</v>
      </c>
      <c r="S307" s="611">
        <f>+'_DATA STT PAGOS_'!F309</f>
        <v>124634</v>
      </c>
      <c r="T307" s="612">
        <f>+'_DATA STT PAGOS_'!Q309</f>
        <v>2461163.3870000001</v>
      </c>
      <c r="U307" s="613" t="str">
        <f>SUBSTITUTE((IFERROR(VLOOKUP(A307,'DATOS IND MINERO'!$H$2:$L$113,4,0),"No")),"í","I",1)</f>
        <v>No</v>
      </c>
      <c r="V307" s="614">
        <f>IFERROR(VLOOKUP(A307,'DATOS IND MINERO'!$H$2:$L$113,5,0),0)</f>
        <v>0</v>
      </c>
      <c r="W307" s="611">
        <f>+'_DATA STT PAGOS_'!G309</f>
        <v>0</v>
      </c>
      <c r="X307" s="611">
        <f>+'_DATA STT PAGOS_'!J309</f>
        <v>2569734.375</v>
      </c>
      <c r="Y307" s="609">
        <v>75974</v>
      </c>
      <c r="Z307" s="609">
        <v>48618</v>
      </c>
      <c r="AA307" s="609">
        <v>62046</v>
      </c>
      <c r="AB307" s="609">
        <v>45740</v>
      </c>
      <c r="AC307" s="609">
        <v>232378</v>
      </c>
      <c r="AD307" s="609">
        <v>0</v>
      </c>
      <c r="AE307" s="609">
        <v>0</v>
      </c>
      <c r="AF307" s="609">
        <v>0</v>
      </c>
      <c r="AG307" s="609">
        <v>0</v>
      </c>
      <c r="AH307" s="609">
        <v>0</v>
      </c>
      <c r="AI307" s="209"/>
    </row>
    <row r="308" spans="1:35" x14ac:dyDescent="0.25">
      <c r="A308" s="201">
        <v>13505</v>
      </c>
      <c r="B308" s="201">
        <v>13604</v>
      </c>
      <c r="C308" s="201" t="s">
        <v>315</v>
      </c>
      <c r="D308" s="609">
        <v>12544</v>
      </c>
      <c r="E308" s="610">
        <v>0.14096295341763421</v>
      </c>
      <c r="F308" s="609">
        <v>184289.98507442951</v>
      </c>
      <c r="G308" s="609">
        <v>3836</v>
      </c>
      <c r="H308" s="609">
        <v>5498</v>
      </c>
      <c r="I308" s="609">
        <v>63079588657</v>
      </c>
      <c r="J308" s="609">
        <v>334774253240</v>
      </c>
      <c r="K308" s="608">
        <v>0</v>
      </c>
      <c r="L308" s="608">
        <v>0</v>
      </c>
      <c r="M308" s="609">
        <v>1396884</v>
      </c>
      <c r="N308" s="609">
        <f t="shared" si="15"/>
        <v>1396884</v>
      </c>
      <c r="O308" s="609">
        <f t="shared" si="16"/>
        <v>1396884</v>
      </c>
      <c r="P308" s="609">
        <f t="shared" si="17"/>
        <v>1396884</v>
      </c>
      <c r="Q308" s="611">
        <f>+'_DATA STT PAGOS_'!D310</f>
        <v>2133769.6830000002</v>
      </c>
      <c r="R308" s="611">
        <f>+'_DATA STT PAGOS_'!E310</f>
        <v>177814.14025000003</v>
      </c>
      <c r="S308" s="611">
        <f>+'_DATA STT PAGOS_'!F310</f>
        <v>140473</v>
      </c>
      <c r="T308" s="612">
        <f>+'_DATA STT PAGOS_'!Q310</f>
        <v>2831266.7450000001</v>
      </c>
      <c r="U308" s="613" t="str">
        <f>SUBSTITUTE((IFERROR(VLOOKUP(A308,'DATOS IND MINERO'!$H$2:$L$113,4,0),"No")),"í","I",1)</f>
        <v>No</v>
      </c>
      <c r="V308" s="614">
        <f>IFERROR(VLOOKUP(A308,'DATOS IND MINERO'!$H$2:$L$113,5,0),0)</f>
        <v>0</v>
      </c>
      <c r="W308" s="611">
        <f>+'_DATA STT PAGOS_'!G310</f>
        <v>0</v>
      </c>
      <c r="X308" s="611">
        <f>+'_DATA STT PAGOS_'!J310</f>
        <v>2898110.3360000001</v>
      </c>
      <c r="Y308" s="609">
        <v>77704</v>
      </c>
      <c r="Z308" s="609">
        <v>39349</v>
      </c>
      <c r="AA308" s="609">
        <v>36416</v>
      </c>
      <c r="AB308" s="609">
        <v>38795</v>
      </c>
      <c r="AC308" s="609">
        <v>192264</v>
      </c>
      <c r="AD308" s="609">
        <v>0</v>
      </c>
      <c r="AE308" s="609">
        <v>0</v>
      </c>
      <c r="AF308" s="609">
        <v>0</v>
      </c>
      <c r="AG308" s="609">
        <v>0</v>
      </c>
      <c r="AH308" s="609">
        <v>0</v>
      </c>
      <c r="AI308" s="209"/>
    </row>
    <row r="309" spans="1:35" x14ac:dyDescent="0.25">
      <c r="A309" s="201">
        <v>13601</v>
      </c>
      <c r="B309" s="201">
        <v>13501</v>
      </c>
      <c r="C309" s="201" t="s">
        <v>309</v>
      </c>
      <c r="D309" s="609">
        <v>85514</v>
      </c>
      <c r="E309" s="610">
        <v>6.2604729009269347E-2</v>
      </c>
      <c r="F309" s="609">
        <v>157429.32074021417</v>
      </c>
      <c r="G309" s="609">
        <v>17510</v>
      </c>
      <c r="H309" s="609">
        <v>25092</v>
      </c>
      <c r="I309" s="609">
        <v>688056681274</v>
      </c>
      <c r="J309" s="609">
        <v>1838629479587</v>
      </c>
      <c r="K309" s="608">
        <v>0</v>
      </c>
      <c r="L309" s="608">
        <v>0</v>
      </c>
      <c r="M309" s="609">
        <v>7350692</v>
      </c>
      <c r="N309" s="609">
        <f t="shared" si="15"/>
        <v>7350692</v>
      </c>
      <c r="O309" s="609">
        <f t="shared" si="16"/>
        <v>7350692</v>
      </c>
      <c r="P309" s="609">
        <f t="shared" si="17"/>
        <v>7350692</v>
      </c>
      <c r="Q309" s="611">
        <f>+'_DATA STT PAGOS_'!D311</f>
        <v>6429903.1509999996</v>
      </c>
      <c r="R309" s="611">
        <f>+'_DATA STT PAGOS_'!E311</f>
        <v>535825.2625833333</v>
      </c>
      <c r="S309" s="611">
        <f>+'_DATA STT PAGOS_'!F311</f>
        <v>423302</v>
      </c>
      <c r="T309" s="612">
        <f>+'_DATA STT PAGOS_'!Q311</f>
        <v>8644659.8220000006</v>
      </c>
      <c r="U309" s="613" t="str">
        <f>SUBSTITUTE((IFERROR(VLOOKUP(A309,'DATOS IND MINERO'!$H$2:$L$113,4,0),"No")),"í","I",1)</f>
        <v>No</v>
      </c>
      <c r="V309" s="614">
        <f>IFERROR(VLOOKUP(A309,'DATOS IND MINERO'!$H$2:$L$113,5,0),0)</f>
        <v>0</v>
      </c>
      <c r="W309" s="611">
        <f>+'_DATA STT PAGOS_'!G311</f>
        <v>0</v>
      </c>
      <c r="X309" s="611">
        <f>+'_DATA STT PAGOS_'!J311</f>
        <v>8725526.2239999995</v>
      </c>
      <c r="Y309" s="609">
        <v>448695</v>
      </c>
      <c r="Z309" s="609">
        <v>314275</v>
      </c>
      <c r="AA309" s="609">
        <v>337690</v>
      </c>
      <c r="AB309" s="609">
        <v>298988</v>
      </c>
      <c r="AC309" s="609">
        <v>1399648</v>
      </c>
      <c r="AD309" s="609">
        <v>11127</v>
      </c>
      <c r="AE309" s="609">
        <v>4791</v>
      </c>
      <c r="AF309" s="609">
        <v>18978.929</v>
      </c>
      <c r="AG309" s="609">
        <v>14749</v>
      </c>
      <c r="AH309" s="609">
        <v>49645.929000000004</v>
      </c>
      <c r="AI309" s="209"/>
    </row>
    <row r="310" spans="1:35" x14ac:dyDescent="0.25">
      <c r="A310" s="201">
        <v>13602</v>
      </c>
      <c r="B310" s="201">
        <v>13503</v>
      </c>
      <c r="C310" s="201" t="s">
        <v>311</v>
      </c>
      <c r="D310" s="609">
        <v>42233</v>
      </c>
      <c r="E310" s="610">
        <v>7.0765050820536579E-2</v>
      </c>
      <c r="F310" s="609">
        <v>221590.71845549112</v>
      </c>
      <c r="G310" s="609">
        <v>9592</v>
      </c>
      <c r="H310" s="609">
        <v>11714</v>
      </c>
      <c r="I310" s="609">
        <v>236794080509</v>
      </c>
      <c r="J310" s="609">
        <v>570760192855</v>
      </c>
      <c r="K310" s="608">
        <v>0</v>
      </c>
      <c r="L310" s="608">
        <v>0</v>
      </c>
      <c r="M310" s="609">
        <v>3520317</v>
      </c>
      <c r="N310" s="609">
        <f t="shared" si="15"/>
        <v>3520317</v>
      </c>
      <c r="O310" s="609">
        <f t="shared" si="16"/>
        <v>3520317</v>
      </c>
      <c r="P310" s="609">
        <f t="shared" si="17"/>
        <v>3520317</v>
      </c>
      <c r="Q310" s="611">
        <f>+'_DATA STT PAGOS_'!D312</f>
        <v>4045497.8530000001</v>
      </c>
      <c r="R310" s="611">
        <f>+'_DATA STT PAGOS_'!E312</f>
        <v>337124.82108333334</v>
      </c>
      <c r="S310" s="611">
        <f>+'_DATA STT PAGOS_'!F312</f>
        <v>266329</v>
      </c>
      <c r="T310" s="612">
        <f>+'_DATA STT PAGOS_'!Q312</f>
        <v>5031425.8</v>
      </c>
      <c r="U310" s="613" t="str">
        <f>SUBSTITUTE((IFERROR(VLOOKUP(A310,'DATOS IND MINERO'!$H$2:$L$113,4,0),"No")),"í","I",1)</f>
        <v>No</v>
      </c>
      <c r="V310" s="614">
        <f>IFERROR(VLOOKUP(A310,'DATOS IND MINERO'!$H$2:$L$113,5,0),0)</f>
        <v>0</v>
      </c>
      <c r="W310" s="611">
        <f>+'_DATA STT PAGOS_'!G312</f>
        <v>0</v>
      </c>
      <c r="X310" s="611">
        <f>+'_DATA STT PAGOS_'!J312</f>
        <v>5488637.4939999999</v>
      </c>
      <c r="Y310" s="609">
        <v>88545</v>
      </c>
      <c r="Z310" s="609">
        <v>55981</v>
      </c>
      <c r="AA310" s="609">
        <v>71822</v>
      </c>
      <c r="AB310" s="609">
        <v>61893</v>
      </c>
      <c r="AC310" s="609">
        <v>278241</v>
      </c>
      <c r="AD310" s="609">
        <v>4556</v>
      </c>
      <c r="AE310" s="609">
        <v>2814</v>
      </c>
      <c r="AF310" s="609">
        <v>3825.3510000000001</v>
      </c>
      <c r="AG310" s="609">
        <v>3002</v>
      </c>
      <c r="AH310" s="609">
        <v>14197.351000000001</v>
      </c>
      <c r="AI310" s="209"/>
    </row>
    <row r="311" spans="1:35" x14ac:dyDescent="0.25">
      <c r="A311" s="201">
        <v>13603</v>
      </c>
      <c r="B311" s="201">
        <v>13502</v>
      </c>
      <c r="C311" s="201" t="s">
        <v>310</v>
      </c>
      <c r="D311" s="609">
        <v>42393</v>
      </c>
      <c r="E311" s="610">
        <v>6.4214867116071647E-2</v>
      </c>
      <c r="F311" s="609">
        <v>224302.20127181936</v>
      </c>
      <c r="G311" s="609">
        <v>8499</v>
      </c>
      <c r="H311" s="609">
        <v>12610</v>
      </c>
      <c r="I311" s="609">
        <v>283669032822</v>
      </c>
      <c r="J311" s="609">
        <v>1028527457611</v>
      </c>
      <c r="K311" s="608">
        <v>0</v>
      </c>
      <c r="L311" s="608">
        <v>0</v>
      </c>
      <c r="M311" s="609">
        <v>4603424</v>
      </c>
      <c r="N311" s="609">
        <f t="shared" si="15"/>
        <v>4603424</v>
      </c>
      <c r="O311" s="609">
        <f t="shared" si="16"/>
        <v>4603424</v>
      </c>
      <c r="P311" s="609">
        <f t="shared" si="17"/>
        <v>4603424</v>
      </c>
      <c r="Q311" s="611">
        <f>+'_DATA STT PAGOS_'!D313</f>
        <v>3099049.15</v>
      </c>
      <c r="R311" s="611">
        <f>+'_DATA STT PAGOS_'!E313</f>
        <v>258254.09583333333</v>
      </c>
      <c r="S311" s="611">
        <f>+'_DATA STT PAGOS_'!F313</f>
        <v>204021</v>
      </c>
      <c r="T311" s="612">
        <f>+'_DATA STT PAGOS_'!Q313</f>
        <v>4166504.7790000001</v>
      </c>
      <c r="U311" s="613" t="str">
        <f>SUBSTITUTE((IFERROR(VLOOKUP(A311,'DATOS IND MINERO'!$H$2:$L$113,4,0),"No")),"í","I",1)</f>
        <v>No</v>
      </c>
      <c r="V311" s="614">
        <f>IFERROR(VLOOKUP(A311,'DATOS IND MINERO'!$H$2:$L$113,5,0),0)</f>
        <v>0</v>
      </c>
      <c r="W311" s="611">
        <f>+'_DATA STT PAGOS_'!G313</f>
        <v>0</v>
      </c>
      <c r="X311" s="611">
        <f>+'_DATA STT PAGOS_'!J313</f>
        <v>4205480.8569999998</v>
      </c>
      <c r="Y311" s="609">
        <v>277648</v>
      </c>
      <c r="Z311" s="609">
        <v>179045</v>
      </c>
      <c r="AA311" s="609">
        <v>203162</v>
      </c>
      <c r="AB311" s="609">
        <v>178333</v>
      </c>
      <c r="AC311" s="609">
        <v>838188</v>
      </c>
      <c r="AD311" s="609">
        <v>24575</v>
      </c>
      <c r="AE311" s="609">
        <v>14838</v>
      </c>
      <c r="AF311" s="609">
        <v>17795.664000000001</v>
      </c>
      <c r="AG311" s="609">
        <v>13399</v>
      </c>
      <c r="AH311" s="609">
        <v>70607.664000000004</v>
      </c>
      <c r="AI311" s="209"/>
    </row>
    <row r="312" spans="1:35" x14ac:dyDescent="0.25">
      <c r="A312" s="201">
        <v>13604</v>
      </c>
      <c r="B312" s="201">
        <v>13505</v>
      </c>
      <c r="C312" s="201" t="s">
        <v>313</v>
      </c>
      <c r="D312" s="609">
        <v>81743</v>
      </c>
      <c r="E312" s="610">
        <v>3.6555849221063051E-2</v>
      </c>
      <c r="F312" s="609">
        <v>140852.79034972671</v>
      </c>
      <c r="G312" s="609">
        <v>17803</v>
      </c>
      <c r="H312" s="609">
        <v>26941</v>
      </c>
      <c r="I312" s="609">
        <v>733451468676</v>
      </c>
      <c r="J312" s="609">
        <v>2125682804103</v>
      </c>
      <c r="K312" s="608">
        <v>0</v>
      </c>
      <c r="L312" s="608">
        <v>0</v>
      </c>
      <c r="M312" s="609">
        <v>9604438</v>
      </c>
      <c r="N312" s="609">
        <f t="shared" si="15"/>
        <v>9604438</v>
      </c>
      <c r="O312" s="609">
        <f t="shared" si="16"/>
        <v>9604438</v>
      </c>
      <c r="P312" s="609">
        <f t="shared" si="17"/>
        <v>9604438</v>
      </c>
      <c r="Q312" s="611">
        <f>+'_DATA STT PAGOS_'!D314</f>
        <v>5466779.5789999999</v>
      </c>
      <c r="R312" s="611">
        <f>+'_DATA STT PAGOS_'!E314</f>
        <v>455564.96491666668</v>
      </c>
      <c r="S312" s="611">
        <f>+'_DATA STT PAGOS_'!F314</f>
        <v>359896</v>
      </c>
      <c r="T312" s="612">
        <f>+'_DATA STT PAGOS_'!Q314</f>
        <v>7349791.9900000002</v>
      </c>
      <c r="U312" s="613" t="str">
        <f>SUBSTITUTE((IFERROR(VLOOKUP(A312,'DATOS IND MINERO'!$H$2:$L$113,4,0),"No")),"í","I",1)</f>
        <v>No</v>
      </c>
      <c r="V312" s="614">
        <f>IFERROR(VLOOKUP(A312,'DATOS IND MINERO'!$H$2:$L$113,5,0),0)</f>
        <v>0</v>
      </c>
      <c r="W312" s="611">
        <f>+'_DATA STT PAGOS_'!G314</f>
        <v>0</v>
      </c>
      <c r="X312" s="611">
        <f>+'_DATA STT PAGOS_'!J314</f>
        <v>7418545.4189999998</v>
      </c>
      <c r="Y312" s="609">
        <v>604100</v>
      </c>
      <c r="Z312" s="609">
        <v>422236</v>
      </c>
      <c r="AA312" s="609">
        <v>458446</v>
      </c>
      <c r="AB312" s="609">
        <v>311149</v>
      </c>
      <c r="AC312" s="609">
        <v>1795931</v>
      </c>
      <c r="AD312" s="609">
        <v>55515</v>
      </c>
      <c r="AE312" s="609">
        <v>27090</v>
      </c>
      <c r="AF312" s="609">
        <v>33167.607000000004</v>
      </c>
      <c r="AG312" s="609">
        <v>27866</v>
      </c>
      <c r="AH312" s="609">
        <v>143638.60700000002</v>
      </c>
      <c r="AI312" s="209"/>
    </row>
    <row r="313" spans="1:35" x14ac:dyDescent="0.25">
      <c r="A313" s="201">
        <v>13605</v>
      </c>
      <c r="B313" s="201">
        <v>13504</v>
      </c>
      <c r="C313" s="201" t="s">
        <v>312</v>
      </c>
      <c r="D313" s="609">
        <v>106840</v>
      </c>
      <c r="E313" s="610">
        <v>7.328609476344701E-2</v>
      </c>
      <c r="F313" s="609">
        <v>135154.27005470483</v>
      </c>
      <c r="G313" s="609">
        <v>21754</v>
      </c>
      <c r="H313" s="609">
        <v>30135</v>
      </c>
      <c r="I313" s="609">
        <v>783504091311</v>
      </c>
      <c r="J313" s="609">
        <v>1937391258770</v>
      </c>
      <c r="K313" s="608">
        <v>0</v>
      </c>
      <c r="L313" s="608">
        <v>0</v>
      </c>
      <c r="M313" s="609">
        <v>7820854</v>
      </c>
      <c r="N313" s="609">
        <f t="shared" si="15"/>
        <v>7820854</v>
      </c>
      <c r="O313" s="609">
        <f t="shared" si="16"/>
        <v>7820854</v>
      </c>
      <c r="P313" s="609">
        <f t="shared" si="17"/>
        <v>7820854</v>
      </c>
      <c r="Q313" s="611">
        <f>+'_DATA STT PAGOS_'!D315</f>
        <v>8337973.9610000001</v>
      </c>
      <c r="R313" s="611">
        <f>+'_DATA STT PAGOS_'!E315</f>
        <v>694831.16341666668</v>
      </c>
      <c r="S313" s="611">
        <f>+'_DATA STT PAGOS_'!F315</f>
        <v>548917</v>
      </c>
      <c r="T313" s="612">
        <f>+'_DATA STT PAGOS_'!Q315</f>
        <v>11209957.912</v>
      </c>
      <c r="U313" s="613" t="str">
        <f>SUBSTITUTE((IFERROR(VLOOKUP(A313,'DATOS IND MINERO'!$H$2:$L$113,4,0),"No")),"í","I",1)</f>
        <v>No</v>
      </c>
      <c r="V313" s="614">
        <f>IFERROR(VLOOKUP(A313,'DATOS IND MINERO'!$H$2:$L$113,5,0),0)</f>
        <v>0</v>
      </c>
      <c r="W313" s="611">
        <f>+'_DATA STT PAGOS_'!G315</f>
        <v>0</v>
      </c>
      <c r="X313" s="611">
        <f>+'_DATA STT PAGOS_'!J315</f>
        <v>11314822.132999999</v>
      </c>
      <c r="Y313" s="609">
        <v>462643</v>
      </c>
      <c r="Z313" s="609">
        <v>326725</v>
      </c>
      <c r="AA313" s="609">
        <v>335353</v>
      </c>
      <c r="AB313" s="609">
        <v>300234</v>
      </c>
      <c r="AC313" s="609">
        <v>1424955</v>
      </c>
      <c r="AD313" s="609">
        <v>48449</v>
      </c>
      <c r="AE313" s="609">
        <v>23113</v>
      </c>
      <c r="AF313" s="609">
        <v>30086.47</v>
      </c>
      <c r="AG313" s="609">
        <v>21004</v>
      </c>
      <c r="AH313" s="609">
        <v>122652.47</v>
      </c>
      <c r="AI313" s="209"/>
    </row>
    <row r="314" spans="1:35" x14ac:dyDescent="0.25">
      <c r="A314" s="201">
        <v>14101</v>
      </c>
      <c r="B314" s="201">
        <v>10101</v>
      </c>
      <c r="C314" s="201" t="s">
        <v>232</v>
      </c>
      <c r="D314" s="609">
        <v>182086</v>
      </c>
      <c r="E314" s="610">
        <v>3.4271533403377977E-2</v>
      </c>
      <c r="F314" s="609">
        <v>2274755.0761848907</v>
      </c>
      <c r="G314" s="609">
        <v>41189</v>
      </c>
      <c r="H314" s="609">
        <v>66577</v>
      </c>
      <c r="I314" s="609">
        <v>1823947976992</v>
      </c>
      <c r="J314" s="609">
        <v>4407893750988</v>
      </c>
      <c r="K314" s="608">
        <v>0</v>
      </c>
      <c r="L314" s="608">
        <v>0</v>
      </c>
      <c r="M314" s="609">
        <v>20507538</v>
      </c>
      <c r="N314" s="609">
        <f t="shared" si="15"/>
        <v>20507538</v>
      </c>
      <c r="O314" s="609">
        <f t="shared" si="16"/>
        <v>20507538</v>
      </c>
      <c r="P314" s="609">
        <f t="shared" si="17"/>
        <v>20507538</v>
      </c>
      <c r="Q314" s="611">
        <f>+'_DATA STT PAGOS_'!D316</f>
        <v>21710072.956999999</v>
      </c>
      <c r="R314" s="611">
        <f>+'_DATA STT PAGOS_'!E316</f>
        <v>1809172.7464166665</v>
      </c>
      <c r="S314" s="611">
        <f>+'_DATA STT PAGOS_'!F316</f>
        <v>1429246</v>
      </c>
      <c r="T314" s="612">
        <f>+'_DATA STT PAGOS_'!Q316</f>
        <v>29188027.833999999</v>
      </c>
      <c r="U314" s="613" t="str">
        <f>SUBSTITUTE((IFERROR(VLOOKUP(A314,'DATOS IND MINERO'!$H$2:$L$113,4,0),"No")),"í","I",1)</f>
        <v>No</v>
      </c>
      <c r="V314" s="614">
        <f>IFERROR(VLOOKUP(A314,'DATOS IND MINERO'!$H$2:$L$113,5,0),0)</f>
        <v>0</v>
      </c>
      <c r="W314" s="611">
        <f>+'_DATA STT PAGOS_'!G316</f>
        <v>0</v>
      </c>
      <c r="X314" s="611">
        <f>+'_DATA STT PAGOS_'!J316</f>
        <v>29461067.520999998</v>
      </c>
      <c r="Y314" s="609">
        <v>1153707</v>
      </c>
      <c r="Z314" s="609">
        <v>734048</v>
      </c>
      <c r="AA314" s="609">
        <v>928979</v>
      </c>
      <c r="AB314" s="609">
        <v>686656</v>
      </c>
      <c r="AC314" s="609">
        <v>3503390</v>
      </c>
      <c r="AD314" s="609">
        <v>99782</v>
      </c>
      <c r="AE314" s="609">
        <v>42400</v>
      </c>
      <c r="AF314" s="609">
        <v>62353.178</v>
      </c>
      <c r="AG314" s="609">
        <v>40326</v>
      </c>
      <c r="AH314" s="609">
        <v>244861.17800000001</v>
      </c>
      <c r="AI314" s="209"/>
    </row>
    <row r="315" spans="1:35" x14ac:dyDescent="0.25">
      <c r="A315" s="201">
        <v>14102</v>
      </c>
      <c r="B315" s="201">
        <v>10106</v>
      </c>
      <c r="C315" s="201" t="s">
        <v>236</v>
      </c>
      <c r="D315" s="609">
        <v>5424</v>
      </c>
      <c r="E315" s="610">
        <v>7.5900025712041921E-2</v>
      </c>
      <c r="F315" s="609">
        <v>96215.380405101314</v>
      </c>
      <c r="G315" s="609">
        <v>2448</v>
      </c>
      <c r="H315" s="609">
        <v>3447</v>
      </c>
      <c r="I315" s="609">
        <v>70474923306</v>
      </c>
      <c r="J315" s="609">
        <v>139330027214</v>
      </c>
      <c r="K315" s="608">
        <v>0</v>
      </c>
      <c r="L315" s="608">
        <v>0</v>
      </c>
      <c r="M315" s="609">
        <v>402706</v>
      </c>
      <c r="N315" s="609">
        <f t="shared" si="15"/>
        <v>402706</v>
      </c>
      <c r="O315" s="609">
        <f t="shared" si="16"/>
        <v>402706</v>
      </c>
      <c r="P315" s="609">
        <f t="shared" si="17"/>
        <v>402706</v>
      </c>
      <c r="Q315" s="611">
        <f>+'_DATA STT PAGOS_'!D317</f>
        <v>2331233.6609999998</v>
      </c>
      <c r="R315" s="611">
        <f>+'_DATA STT PAGOS_'!E317</f>
        <v>194269.47175</v>
      </c>
      <c r="S315" s="611">
        <f>+'_DATA STT PAGOS_'!F317</f>
        <v>153473</v>
      </c>
      <c r="T315" s="612">
        <f>+'_DATA STT PAGOS_'!Q317</f>
        <v>2868327.0219999999</v>
      </c>
      <c r="U315" s="613" t="str">
        <f>SUBSTITUTE((IFERROR(VLOOKUP(A315,'DATOS IND MINERO'!$H$2:$L$113,4,0),"No")),"í","I",1)</f>
        <v>No</v>
      </c>
      <c r="V315" s="614">
        <f>IFERROR(VLOOKUP(A315,'DATOS IND MINERO'!$H$2:$L$113,5,0),0)</f>
        <v>0</v>
      </c>
      <c r="W315" s="611">
        <f>+'_DATA STT PAGOS_'!G317</f>
        <v>0</v>
      </c>
      <c r="X315" s="611">
        <f>+'_DATA STT PAGOS_'!J317</f>
        <v>3162300.4749999996</v>
      </c>
      <c r="Y315" s="609">
        <v>13174</v>
      </c>
      <c r="Z315" s="609">
        <v>11672</v>
      </c>
      <c r="AA315" s="609">
        <v>14505</v>
      </c>
      <c r="AB315" s="609">
        <v>8479</v>
      </c>
      <c r="AC315" s="609">
        <v>47830</v>
      </c>
      <c r="AD315" s="609">
        <v>176</v>
      </c>
      <c r="AE315" s="609">
        <v>96</v>
      </c>
      <c r="AF315" s="609">
        <v>207.43</v>
      </c>
      <c r="AG315" s="609">
        <v>77</v>
      </c>
      <c r="AH315" s="609">
        <v>556.43000000000006</v>
      </c>
      <c r="AI315" s="209"/>
    </row>
    <row r="316" spans="1:35" x14ac:dyDescent="0.25">
      <c r="A316" s="201">
        <v>14103</v>
      </c>
      <c r="B316" s="201">
        <v>10103</v>
      </c>
      <c r="C316" s="201" t="s">
        <v>233</v>
      </c>
      <c r="D316" s="609">
        <v>18050</v>
      </c>
      <c r="E316" s="610">
        <v>3.9367036023378779E-2</v>
      </c>
      <c r="F316" s="609">
        <v>298254.92773481348</v>
      </c>
      <c r="G316" s="609">
        <v>6519</v>
      </c>
      <c r="H316" s="609">
        <v>7995</v>
      </c>
      <c r="I316" s="609">
        <v>156114482324</v>
      </c>
      <c r="J316" s="609">
        <v>308361107518</v>
      </c>
      <c r="K316" s="608">
        <v>0</v>
      </c>
      <c r="L316" s="608">
        <v>0</v>
      </c>
      <c r="M316" s="609">
        <v>1114278</v>
      </c>
      <c r="N316" s="609">
        <f t="shared" si="15"/>
        <v>1114278</v>
      </c>
      <c r="O316" s="609">
        <f t="shared" si="16"/>
        <v>1114278</v>
      </c>
      <c r="P316" s="609">
        <f t="shared" si="17"/>
        <v>1114278</v>
      </c>
      <c r="Q316" s="611">
        <f>+'_DATA STT PAGOS_'!D318</f>
        <v>3790516.9190000002</v>
      </c>
      <c r="R316" s="611">
        <f>+'_DATA STT PAGOS_'!E318</f>
        <v>315876.40991666669</v>
      </c>
      <c r="S316" s="611">
        <f>+'_DATA STT PAGOS_'!F318</f>
        <v>249542</v>
      </c>
      <c r="T316" s="612">
        <f>+'_DATA STT PAGOS_'!Q318</f>
        <v>4389694.2110000001</v>
      </c>
      <c r="U316" s="613" t="str">
        <f>SUBSTITUTE((IFERROR(VLOOKUP(A316,'DATOS IND MINERO'!$H$2:$L$113,4,0),"No")),"í","I",1)</f>
        <v>No</v>
      </c>
      <c r="V316" s="614">
        <f>IFERROR(VLOOKUP(A316,'DATOS IND MINERO'!$H$2:$L$113,5,0),0)</f>
        <v>0</v>
      </c>
      <c r="W316" s="611">
        <f>+'_DATA STT PAGOS_'!G318</f>
        <v>0</v>
      </c>
      <c r="X316" s="611">
        <f>+'_DATA STT PAGOS_'!J318</f>
        <v>5137411.716</v>
      </c>
      <c r="Y316" s="609">
        <v>44616</v>
      </c>
      <c r="Z316" s="609">
        <v>31392</v>
      </c>
      <c r="AA316" s="609">
        <v>39194</v>
      </c>
      <c r="AB316" s="609">
        <v>26694</v>
      </c>
      <c r="AC316" s="609">
        <v>141896</v>
      </c>
      <c r="AD316" s="609">
        <v>596</v>
      </c>
      <c r="AE316" s="609">
        <v>472</v>
      </c>
      <c r="AF316" s="609">
        <v>403.78699999999998</v>
      </c>
      <c r="AG316" s="609">
        <v>194</v>
      </c>
      <c r="AH316" s="609">
        <v>1665.787</v>
      </c>
      <c r="AI316" s="209"/>
    </row>
    <row r="317" spans="1:35" x14ac:dyDescent="0.25">
      <c r="A317" s="201">
        <v>14104</v>
      </c>
      <c r="B317" s="201">
        <v>10104</v>
      </c>
      <c r="C317" s="201" t="s">
        <v>234</v>
      </c>
      <c r="D317" s="609">
        <v>20520</v>
      </c>
      <c r="E317" s="610">
        <v>6.734383166378613E-2</v>
      </c>
      <c r="F317" s="609">
        <v>405670.23974576622</v>
      </c>
      <c r="G317" s="609">
        <v>6289</v>
      </c>
      <c r="H317" s="609">
        <v>9868</v>
      </c>
      <c r="I317" s="609">
        <v>173140733410</v>
      </c>
      <c r="J317" s="609">
        <v>586185740117</v>
      </c>
      <c r="K317" s="608">
        <v>0</v>
      </c>
      <c r="L317" s="608">
        <v>0</v>
      </c>
      <c r="M317" s="609">
        <v>1846051</v>
      </c>
      <c r="N317" s="609">
        <f t="shared" si="15"/>
        <v>1846051</v>
      </c>
      <c r="O317" s="609">
        <f t="shared" si="16"/>
        <v>1846051</v>
      </c>
      <c r="P317" s="609">
        <f t="shared" si="17"/>
        <v>1846051</v>
      </c>
      <c r="Q317" s="611">
        <f>+'_DATA STT PAGOS_'!D319</f>
        <v>2718871.915</v>
      </c>
      <c r="R317" s="611">
        <f>+'_DATA STT PAGOS_'!E319</f>
        <v>226572.65958333333</v>
      </c>
      <c r="S317" s="611">
        <f>+'_DATA STT PAGOS_'!F319</f>
        <v>178992</v>
      </c>
      <c r="T317" s="612">
        <f>+'_DATA STT PAGOS_'!Q319</f>
        <v>3655376.9169999999</v>
      </c>
      <c r="U317" s="613" t="str">
        <f>SUBSTITUTE((IFERROR(VLOOKUP(A317,'DATOS IND MINERO'!$H$2:$L$113,4,0),"No")),"í","I",1)</f>
        <v>No</v>
      </c>
      <c r="V317" s="614">
        <f>IFERROR(VLOOKUP(A317,'DATOS IND MINERO'!$H$2:$L$113,5,0),0)</f>
        <v>0</v>
      </c>
      <c r="W317" s="611">
        <f>+'_DATA STT PAGOS_'!G319</f>
        <v>0</v>
      </c>
      <c r="X317" s="611">
        <f>+'_DATA STT PAGOS_'!J319</f>
        <v>3689571.62</v>
      </c>
      <c r="Y317" s="609">
        <v>120306</v>
      </c>
      <c r="Z317" s="609">
        <v>77839</v>
      </c>
      <c r="AA317" s="609">
        <v>89759</v>
      </c>
      <c r="AB317" s="609">
        <v>60040</v>
      </c>
      <c r="AC317" s="609">
        <v>347944</v>
      </c>
      <c r="AD317" s="609">
        <v>1858</v>
      </c>
      <c r="AE317" s="609">
        <v>803</v>
      </c>
      <c r="AF317" s="609">
        <v>731.52</v>
      </c>
      <c r="AG317" s="609">
        <v>538</v>
      </c>
      <c r="AH317" s="609">
        <v>3930.52</v>
      </c>
      <c r="AI317" s="209"/>
    </row>
    <row r="318" spans="1:35" x14ac:dyDescent="0.25">
      <c r="A318" s="201">
        <v>14105</v>
      </c>
      <c r="B318" s="201">
        <v>10107</v>
      </c>
      <c r="C318" s="201" t="s">
        <v>435</v>
      </c>
      <c r="D318" s="609">
        <v>7375</v>
      </c>
      <c r="E318" s="610">
        <v>7.1602326687359844E-2</v>
      </c>
      <c r="F318" s="609">
        <v>105197.249408904</v>
      </c>
      <c r="G318" s="609">
        <v>2448</v>
      </c>
      <c r="H318" s="609">
        <v>3584</v>
      </c>
      <c r="I318" s="609">
        <v>64387452567</v>
      </c>
      <c r="J318" s="609">
        <v>251635296662</v>
      </c>
      <c r="K318" s="608">
        <v>0</v>
      </c>
      <c r="L318" s="608">
        <v>0</v>
      </c>
      <c r="M318" s="609">
        <v>784754</v>
      </c>
      <c r="N318" s="609">
        <f t="shared" si="15"/>
        <v>784754</v>
      </c>
      <c r="O318" s="609">
        <f t="shared" si="16"/>
        <v>784754</v>
      </c>
      <c r="P318" s="609">
        <f t="shared" si="17"/>
        <v>784754</v>
      </c>
      <c r="Q318" s="611">
        <f>+'_DATA STT PAGOS_'!D320</f>
        <v>1851335.547</v>
      </c>
      <c r="R318" s="611">
        <f>+'_DATA STT PAGOS_'!E320</f>
        <v>154277.96225000001</v>
      </c>
      <c r="S318" s="611">
        <f>+'_DATA STT PAGOS_'!F320</f>
        <v>121880</v>
      </c>
      <c r="T318" s="612">
        <f>+'_DATA STT PAGOS_'!Q320</f>
        <v>2476501.4909999999</v>
      </c>
      <c r="U318" s="613" t="str">
        <f>SUBSTITUTE((IFERROR(VLOOKUP(A318,'DATOS IND MINERO'!$H$2:$L$113,4,0),"No")),"í","I",1)</f>
        <v>No</v>
      </c>
      <c r="V318" s="614">
        <f>IFERROR(VLOOKUP(A318,'DATOS IND MINERO'!$H$2:$L$113,5,0),0)</f>
        <v>0</v>
      </c>
      <c r="W318" s="611">
        <f>+'_DATA STT PAGOS_'!G320</f>
        <v>0</v>
      </c>
      <c r="X318" s="611">
        <f>+'_DATA STT PAGOS_'!J320</f>
        <v>2511401.5830000001</v>
      </c>
      <c r="Y318" s="609">
        <v>42648</v>
      </c>
      <c r="Z318" s="609">
        <v>31918</v>
      </c>
      <c r="AA318" s="609">
        <v>37846</v>
      </c>
      <c r="AB318" s="609">
        <v>17086</v>
      </c>
      <c r="AC318" s="609">
        <v>129498</v>
      </c>
      <c r="AD318" s="609">
        <v>155</v>
      </c>
      <c r="AE318" s="609">
        <v>59</v>
      </c>
      <c r="AF318" s="609">
        <v>101.53100000000001</v>
      </c>
      <c r="AG318" s="609">
        <v>181</v>
      </c>
      <c r="AH318" s="609">
        <v>496.53100000000001</v>
      </c>
      <c r="AI318" s="209"/>
    </row>
    <row r="319" spans="1:35" x14ac:dyDescent="0.25">
      <c r="A319" s="201">
        <v>14106</v>
      </c>
      <c r="B319" s="201">
        <v>10102</v>
      </c>
      <c r="C319" s="201" t="s">
        <v>317</v>
      </c>
      <c r="D319" s="609">
        <v>24006</v>
      </c>
      <c r="E319" s="610">
        <v>7.8532800255992741E-2</v>
      </c>
      <c r="F319" s="609">
        <v>332907.97847909632</v>
      </c>
      <c r="G319" s="609">
        <v>8631</v>
      </c>
      <c r="H319" s="609">
        <v>11470</v>
      </c>
      <c r="I319" s="609">
        <v>190687737691</v>
      </c>
      <c r="J319" s="609">
        <v>535985509655</v>
      </c>
      <c r="K319" s="608">
        <v>0</v>
      </c>
      <c r="L319" s="608">
        <v>0</v>
      </c>
      <c r="M319" s="609">
        <v>1958647</v>
      </c>
      <c r="N319" s="609">
        <f t="shared" si="15"/>
        <v>1958647</v>
      </c>
      <c r="O319" s="609">
        <f t="shared" si="16"/>
        <v>1958647</v>
      </c>
      <c r="P319" s="609">
        <f t="shared" si="17"/>
        <v>1958647</v>
      </c>
      <c r="Q319" s="611">
        <f>+'_DATA STT PAGOS_'!D321</f>
        <v>4582704.8360000001</v>
      </c>
      <c r="R319" s="611">
        <f>+'_DATA STT PAGOS_'!E321</f>
        <v>381892.06966666668</v>
      </c>
      <c r="S319" s="611">
        <f>+'_DATA STT PAGOS_'!F321</f>
        <v>301695</v>
      </c>
      <c r="T319" s="612">
        <f>+'_DATA STT PAGOS_'!Q321</f>
        <v>5648691.3559999997</v>
      </c>
      <c r="U319" s="613" t="str">
        <f>SUBSTITUTE((IFERROR(VLOOKUP(A319,'DATOS IND MINERO'!$H$2:$L$113,4,0),"No")),"í","I",1)</f>
        <v>No</v>
      </c>
      <c r="V319" s="614">
        <f>IFERROR(VLOOKUP(A319,'DATOS IND MINERO'!$H$2:$L$113,5,0),0)</f>
        <v>0</v>
      </c>
      <c r="W319" s="611">
        <f>+'_DATA STT PAGOS_'!G321</f>
        <v>0</v>
      </c>
      <c r="X319" s="611">
        <f>+'_DATA STT PAGOS_'!J321</f>
        <v>6216032.5310000004</v>
      </c>
      <c r="Y319" s="609">
        <v>98384</v>
      </c>
      <c r="Z319" s="609">
        <v>82745</v>
      </c>
      <c r="AA319" s="609">
        <v>95912</v>
      </c>
      <c r="AB319" s="609">
        <v>38496</v>
      </c>
      <c r="AC319" s="609">
        <v>315537</v>
      </c>
      <c r="AD319" s="609">
        <v>582</v>
      </c>
      <c r="AE319" s="609">
        <v>117</v>
      </c>
      <c r="AF319" s="609">
        <v>430.35</v>
      </c>
      <c r="AG319" s="609">
        <v>174</v>
      </c>
      <c r="AH319" s="609">
        <v>1303.3499999999999</v>
      </c>
      <c r="AI319" s="209"/>
    </row>
    <row r="320" spans="1:35" x14ac:dyDescent="0.25">
      <c r="A320" s="201">
        <v>14107</v>
      </c>
      <c r="B320" s="201">
        <v>10110</v>
      </c>
      <c r="C320" s="201" t="s">
        <v>238</v>
      </c>
      <c r="D320" s="609">
        <v>20942</v>
      </c>
      <c r="E320" s="610">
        <v>6.4307819849362707E-2</v>
      </c>
      <c r="F320" s="609">
        <v>318436.59741890157</v>
      </c>
      <c r="G320" s="609">
        <v>6502</v>
      </c>
      <c r="H320" s="609">
        <v>9320</v>
      </c>
      <c r="I320" s="609">
        <v>154119217679</v>
      </c>
      <c r="J320" s="609">
        <v>499749434926</v>
      </c>
      <c r="K320" s="608">
        <v>0</v>
      </c>
      <c r="L320" s="608">
        <v>0</v>
      </c>
      <c r="M320" s="609">
        <v>1929268</v>
      </c>
      <c r="N320" s="609">
        <f t="shared" si="15"/>
        <v>1929268</v>
      </c>
      <c r="O320" s="609">
        <f t="shared" si="16"/>
        <v>1929268</v>
      </c>
      <c r="P320" s="609">
        <f t="shared" si="17"/>
        <v>1929268</v>
      </c>
      <c r="Q320" s="611">
        <f>+'_DATA STT PAGOS_'!D322</f>
        <v>3365912.0970000001</v>
      </c>
      <c r="R320" s="611">
        <f>+'_DATA STT PAGOS_'!E322</f>
        <v>280492.67475000001</v>
      </c>
      <c r="S320" s="611">
        <f>+'_DATA STT PAGOS_'!F322</f>
        <v>221589</v>
      </c>
      <c r="T320" s="612">
        <f>+'_DATA STT PAGOS_'!Q322</f>
        <v>3919044.568</v>
      </c>
      <c r="U320" s="613" t="str">
        <f>SUBSTITUTE((IFERROR(VLOOKUP(A320,'DATOS IND MINERO'!$H$2:$L$113,4,0),"No")),"í","I",1)</f>
        <v>No</v>
      </c>
      <c r="V320" s="614">
        <f>IFERROR(VLOOKUP(A320,'DATOS IND MINERO'!$H$2:$L$113,5,0),0)</f>
        <v>0</v>
      </c>
      <c r="W320" s="611">
        <f>+'_DATA STT PAGOS_'!G322</f>
        <v>0</v>
      </c>
      <c r="X320" s="611">
        <f>+'_DATA STT PAGOS_'!J322</f>
        <v>4563167.7920000004</v>
      </c>
      <c r="Y320" s="609">
        <v>82859</v>
      </c>
      <c r="Z320" s="609">
        <v>63687</v>
      </c>
      <c r="AA320" s="609">
        <v>66041</v>
      </c>
      <c r="AB320" s="609">
        <v>50189</v>
      </c>
      <c r="AC320" s="609">
        <v>262776</v>
      </c>
      <c r="AD320" s="609">
        <v>1179</v>
      </c>
      <c r="AE320" s="609">
        <v>700</v>
      </c>
      <c r="AF320" s="609">
        <v>845.548</v>
      </c>
      <c r="AG320" s="609">
        <v>682</v>
      </c>
      <c r="AH320" s="609">
        <v>3406.5479999999998</v>
      </c>
      <c r="AI320" s="209"/>
    </row>
    <row r="321" spans="1:35" x14ac:dyDescent="0.25">
      <c r="A321" s="201">
        <v>14108</v>
      </c>
      <c r="B321" s="201">
        <v>10108</v>
      </c>
      <c r="C321" s="201" t="s">
        <v>237</v>
      </c>
      <c r="D321" s="609">
        <v>36220</v>
      </c>
      <c r="E321" s="610">
        <v>0.1019868755754151</v>
      </c>
      <c r="F321" s="609">
        <v>2260985.6352021098</v>
      </c>
      <c r="G321" s="609">
        <v>12892</v>
      </c>
      <c r="H321" s="609">
        <v>19891</v>
      </c>
      <c r="I321" s="609">
        <v>336320500189</v>
      </c>
      <c r="J321" s="609">
        <v>1105764694272</v>
      </c>
      <c r="K321" s="608">
        <v>0</v>
      </c>
      <c r="L321" s="608">
        <v>0</v>
      </c>
      <c r="M321" s="609">
        <v>5233095</v>
      </c>
      <c r="N321" s="609">
        <f t="shared" si="15"/>
        <v>5233095</v>
      </c>
      <c r="O321" s="609">
        <f t="shared" si="16"/>
        <v>5233095</v>
      </c>
      <c r="P321" s="609">
        <f t="shared" si="17"/>
        <v>5233095</v>
      </c>
      <c r="Q321" s="611">
        <f>+'_DATA STT PAGOS_'!D323</f>
        <v>7501621.1919999998</v>
      </c>
      <c r="R321" s="611">
        <f>+'_DATA STT PAGOS_'!E323</f>
        <v>625135.09933333332</v>
      </c>
      <c r="S321" s="611">
        <f>+'_DATA STT PAGOS_'!F323</f>
        <v>493857</v>
      </c>
      <c r="T321" s="612">
        <f>+'_DATA STT PAGOS_'!Q323</f>
        <v>10085527.040999999</v>
      </c>
      <c r="U321" s="613" t="str">
        <f>SUBSTITUTE((IFERROR(VLOOKUP(A321,'DATOS IND MINERO'!$H$2:$L$113,4,0),"No")),"í","I",1)</f>
        <v>No</v>
      </c>
      <c r="V321" s="614">
        <f>IFERROR(VLOOKUP(A321,'DATOS IND MINERO'!$H$2:$L$113,5,0),0)</f>
        <v>0</v>
      </c>
      <c r="W321" s="611">
        <f>+'_DATA STT PAGOS_'!G323</f>
        <v>0</v>
      </c>
      <c r="X321" s="611">
        <f>+'_DATA STT PAGOS_'!J323</f>
        <v>10179872.214</v>
      </c>
      <c r="Y321" s="609">
        <v>319891</v>
      </c>
      <c r="Z321" s="609">
        <v>192345</v>
      </c>
      <c r="AA321" s="609">
        <v>240815</v>
      </c>
      <c r="AB321" s="609">
        <v>171419</v>
      </c>
      <c r="AC321" s="609">
        <v>924470</v>
      </c>
      <c r="AD321" s="609">
        <v>2354</v>
      </c>
      <c r="AE321" s="609">
        <v>1173</v>
      </c>
      <c r="AF321" s="609">
        <v>1447.6980000000001</v>
      </c>
      <c r="AG321" s="609">
        <v>1280</v>
      </c>
      <c r="AH321" s="609">
        <v>6254.6980000000003</v>
      </c>
      <c r="AI321" s="209"/>
    </row>
    <row r="322" spans="1:35" x14ac:dyDescent="0.25">
      <c r="A322" s="201">
        <v>14201</v>
      </c>
      <c r="B322" s="201">
        <v>10109</v>
      </c>
      <c r="C322" s="201" t="s">
        <v>436</v>
      </c>
      <c r="D322" s="609">
        <v>39705</v>
      </c>
      <c r="E322" s="610">
        <v>8.6548958101477225E-2</v>
      </c>
      <c r="F322" s="609">
        <v>470892.46836654108</v>
      </c>
      <c r="G322" s="609">
        <v>14027</v>
      </c>
      <c r="H322" s="609">
        <v>20368</v>
      </c>
      <c r="I322" s="609">
        <v>376875327699</v>
      </c>
      <c r="J322" s="609">
        <v>1209413220147</v>
      </c>
      <c r="K322" s="608">
        <v>0</v>
      </c>
      <c r="L322" s="608">
        <v>0</v>
      </c>
      <c r="M322" s="609">
        <v>4002335</v>
      </c>
      <c r="N322" s="609">
        <f t="shared" si="15"/>
        <v>4002335</v>
      </c>
      <c r="O322" s="609">
        <f t="shared" si="16"/>
        <v>4002335</v>
      </c>
      <c r="P322" s="609">
        <f t="shared" si="17"/>
        <v>4002335</v>
      </c>
      <c r="Q322" s="611">
        <f>+'_DATA STT PAGOS_'!D324</f>
        <v>5532236.5290000001</v>
      </c>
      <c r="R322" s="611">
        <f>+'_DATA STT PAGOS_'!E324</f>
        <v>461019.71075000003</v>
      </c>
      <c r="S322" s="611">
        <f>+'_DATA STT PAGOS_'!F324</f>
        <v>364206</v>
      </c>
      <c r="T322" s="612">
        <f>+'_DATA STT PAGOS_'!Q324</f>
        <v>6717124.5120000001</v>
      </c>
      <c r="U322" s="613" t="str">
        <f>SUBSTITUTE((IFERROR(VLOOKUP(A322,'DATOS IND MINERO'!$H$2:$L$113,4,0),"No")),"í","I",1)</f>
        <v>No</v>
      </c>
      <c r="V322" s="614">
        <f>IFERROR(VLOOKUP(A322,'DATOS IND MINERO'!$H$2:$L$113,5,0),0)</f>
        <v>0</v>
      </c>
      <c r="W322" s="611">
        <f>+'_DATA STT PAGOS_'!G324</f>
        <v>0</v>
      </c>
      <c r="X322" s="611">
        <f>+'_DATA STT PAGOS_'!J324</f>
        <v>7507721.0409999993</v>
      </c>
      <c r="Y322" s="609">
        <v>227295</v>
      </c>
      <c r="Z322" s="609">
        <v>152398</v>
      </c>
      <c r="AA322" s="609">
        <v>201707</v>
      </c>
      <c r="AB322" s="609">
        <v>153277</v>
      </c>
      <c r="AC322" s="609">
        <v>734677</v>
      </c>
      <c r="AD322" s="609">
        <v>3417</v>
      </c>
      <c r="AE322" s="609">
        <v>1782</v>
      </c>
      <c r="AF322" s="609">
        <v>2261.163</v>
      </c>
      <c r="AG322" s="609">
        <v>1604</v>
      </c>
      <c r="AH322" s="609">
        <v>9064.1630000000005</v>
      </c>
      <c r="AI322" s="209"/>
    </row>
    <row r="323" spans="1:35" x14ac:dyDescent="0.25">
      <c r="A323" s="201">
        <v>14202</v>
      </c>
      <c r="B323" s="201">
        <v>10105</v>
      </c>
      <c r="C323" s="201" t="s">
        <v>235</v>
      </c>
      <c r="D323" s="609">
        <v>15188</v>
      </c>
      <c r="E323" s="610">
        <v>9.3146747531727539E-2</v>
      </c>
      <c r="F323" s="609">
        <v>595896.15034760966</v>
      </c>
      <c r="G323" s="609">
        <v>4992</v>
      </c>
      <c r="H323" s="609">
        <v>7914</v>
      </c>
      <c r="I323" s="609">
        <v>176029698575</v>
      </c>
      <c r="J323" s="609">
        <v>608482047195</v>
      </c>
      <c r="K323" s="608">
        <v>0</v>
      </c>
      <c r="L323" s="608">
        <v>0</v>
      </c>
      <c r="M323" s="609">
        <v>2307406</v>
      </c>
      <c r="N323" s="609">
        <f t="shared" si="15"/>
        <v>2307406</v>
      </c>
      <c r="O323" s="609">
        <f t="shared" si="16"/>
        <v>2307406</v>
      </c>
      <c r="P323" s="609">
        <f t="shared" si="17"/>
        <v>2307406</v>
      </c>
      <c r="Q323" s="611">
        <f>+'_DATA STT PAGOS_'!D325</f>
        <v>2535723.4160000002</v>
      </c>
      <c r="R323" s="611">
        <f>+'_DATA STT PAGOS_'!E325</f>
        <v>211310.28466666667</v>
      </c>
      <c r="S323" s="611">
        <f>+'_DATA STT PAGOS_'!F325</f>
        <v>166935</v>
      </c>
      <c r="T323" s="612">
        <f>+'_DATA STT PAGOS_'!Q325</f>
        <v>3409143.594</v>
      </c>
      <c r="U323" s="613" t="str">
        <f>SUBSTITUTE((IFERROR(VLOOKUP(A323,'DATOS IND MINERO'!$H$2:$L$113,4,0),"No")),"í","I",1)</f>
        <v>No</v>
      </c>
      <c r="V323" s="614">
        <f>IFERROR(VLOOKUP(A323,'DATOS IND MINERO'!$H$2:$L$113,5,0),0)</f>
        <v>0</v>
      </c>
      <c r="W323" s="611">
        <f>+'_DATA STT PAGOS_'!G325</f>
        <v>0</v>
      </c>
      <c r="X323" s="611">
        <f>+'_DATA STT PAGOS_'!J325</f>
        <v>3441034.9000000004</v>
      </c>
      <c r="Y323" s="609">
        <v>167868</v>
      </c>
      <c r="Z323" s="609">
        <v>106219</v>
      </c>
      <c r="AA323" s="609">
        <v>111206</v>
      </c>
      <c r="AB323" s="609">
        <v>93127</v>
      </c>
      <c r="AC323" s="609">
        <v>478420</v>
      </c>
      <c r="AD323" s="609">
        <v>4639</v>
      </c>
      <c r="AE323" s="609">
        <v>3083</v>
      </c>
      <c r="AF323" s="609">
        <v>3423.7220000000002</v>
      </c>
      <c r="AG323" s="609">
        <v>3235</v>
      </c>
      <c r="AH323" s="609">
        <v>14380.722</v>
      </c>
      <c r="AI323" s="209"/>
    </row>
    <row r="324" spans="1:35" x14ac:dyDescent="0.25">
      <c r="A324" s="201">
        <v>14203</v>
      </c>
      <c r="B324" s="201">
        <v>10112</v>
      </c>
      <c r="C324" s="201" t="s">
        <v>239</v>
      </c>
      <c r="D324" s="609">
        <v>10272</v>
      </c>
      <c r="E324" s="610">
        <v>0.1237322296459419</v>
      </c>
      <c r="F324" s="609">
        <v>525123.54664516018</v>
      </c>
      <c r="G324" s="609">
        <v>4142</v>
      </c>
      <c r="H324" s="609">
        <v>7307</v>
      </c>
      <c r="I324" s="609">
        <v>108013198865</v>
      </c>
      <c r="J324" s="609">
        <v>430868379740</v>
      </c>
      <c r="K324" s="608">
        <v>0</v>
      </c>
      <c r="L324" s="608">
        <v>0</v>
      </c>
      <c r="M324" s="609">
        <v>4004619</v>
      </c>
      <c r="N324" s="609">
        <f t="shared" si="15"/>
        <v>4004619</v>
      </c>
      <c r="O324" s="609">
        <f t="shared" si="16"/>
        <v>4004619</v>
      </c>
      <c r="P324" s="609">
        <f t="shared" si="17"/>
        <v>4004619</v>
      </c>
      <c r="Q324" s="611">
        <f>+'_DATA STT PAGOS_'!D326</f>
        <v>2192067.7450000001</v>
      </c>
      <c r="R324" s="611">
        <f>+'_DATA STT PAGOS_'!E326</f>
        <v>182672.31208333335</v>
      </c>
      <c r="S324" s="611">
        <f>+'_DATA STT PAGOS_'!F326</f>
        <v>144311</v>
      </c>
      <c r="T324" s="612">
        <f>+'_DATA STT PAGOS_'!Q326</f>
        <v>2947116.9309999999</v>
      </c>
      <c r="U324" s="613" t="str">
        <f>SUBSTITUTE((IFERROR(VLOOKUP(A324,'DATOS IND MINERO'!$H$2:$L$113,4,0),"No")),"í","I",1)</f>
        <v>No</v>
      </c>
      <c r="V324" s="614">
        <f>IFERROR(VLOOKUP(A324,'DATOS IND MINERO'!$H$2:$L$113,5,0),0)</f>
        <v>0</v>
      </c>
      <c r="W324" s="611">
        <f>+'_DATA STT PAGOS_'!G326</f>
        <v>0</v>
      </c>
      <c r="X324" s="611">
        <f>+'_DATA STT PAGOS_'!J326</f>
        <v>2974686.27</v>
      </c>
      <c r="Y324" s="609">
        <v>126084</v>
      </c>
      <c r="Z324" s="609">
        <v>67391</v>
      </c>
      <c r="AA324" s="609">
        <v>87460</v>
      </c>
      <c r="AB324" s="609">
        <v>69016</v>
      </c>
      <c r="AC324" s="609">
        <v>349951</v>
      </c>
      <c r="AD324" s="609">
        <v>1028</v>
      </c>
      <c r="AE324" s="609">
        <v>314</v>
      </c>
      <c r="AF324" s="609">
        <v>588.96500000000003</v>
      </c>
      <c r="AG324" s="609">
        <v>335</v>
      </c>
      <c r="AH324" s="609">
        <v>2265.9650000000001</v>
      </c>
      <c r="AI324" s="209"/>
    </row>
    <row r="325" spans="1:35" x14ac:dyDescent="0.25">
      <c r="A325" s="201">
        <v>14204</v>
      </c>
      <c r="B325" s="201">
        <v>10111</v>
      </c>
      <c r="C325" s="201" t="s">
        <v>437</v>
      </c>
      <c r="D325" s="609">
        <v>32998</v>
      </c>
      <c r="E325" s="610">
        <v>5.7198540290497243E-2</v>
      </c>
      <c r="F325" s="609">
        <v>455509.05962269742</v>
      </c>
      <c r="G325" s="609">
        <v>12726</v>
      </c>
      <c r="H325" s="609">
        <v>17416</v>
      </c>
      <c r="I325" s="609">
        <v>313125659885</v>
      </c>
      <c r="J325" s="609">
        <v>1060297989415</v>
      </c>
      <c r="K325" s="608">
        <v>0</v>
      </c>
      <c r="L325" s="608">
        <v>0</v>
      </c>
      <c r="M325" s="609">
        <v>3197875</v>
      </c>
      <c r="N325" s="609">
        <f t="shared" si="15"/>
        <v>3197875</v>
      </c>
      <c r="O325" s="609">
        <f t="shared" si="16"/>
        <v>3197875</v>
      </c>
      <c r="P325" s="609">
        <f t="shared" si="17"/>
        <v>3197875</v>
      </c>
      <c r="Q325" s="611">
        <f>+'_DATA STT PAGOS_'!D327</f>
        <v>5198636.8689999999</v>
      </c>
      <c r="R325" s="611">
        <f>+'_DATA STT PAGOS_'!E327</f>
        <v>433219.73908333335</v>
      </c>
      <c r="S325" s="611">
        <f>+'_DATA STT PAGOS_'!F327</f>
        <v>342244</v>
      </c>
      <c r="T325" s="612">
        <f>+'_DATA STT PAGOS_'!Q327</f>
        <v>6234059.9009999996</v>
      </c>
      <c r="U325" s="613" t="str">
        <f>SUBSTITUTE((IFERROR(VLOOKUP(A325,'DATOS IND MINERO'!$H$2:$L$113,4,0),"No")),"í","I",1)</f>
        <v>No</v>
      </c>
      <c r="V325" s="614">
        <f>IFERROR(VLOOKUP(A325,'DATOS IND MINERO'!$H$2:$L$113,5,0),0)</f>
        <v>0</v>
      </c>
      <c r="W325" s="611">
        <f>+'_DATA STT PAGOS_'!G327</f>
        <v>0</v>
      </c>
      <c r="X325" s="611">
        <f>+'_DATA STT PAGOS_'!J327</f>
        <v>7048245.7300000004</v>
      </c>
      <c r="Y325" s="609">
        <v>198292</v>
      </c>
      <c r="Z325" s="609">
        <v>138124</v>
      </c>
      <c r="AA325" s="609">
        <v>146195</v>
      </c>
      <c r="AB325" s="609">
        <v>113452</v>
      </c>
      <c r="AC325" s="609">
        <v>596063</v>
      </c>
      <c r="AD325" s="609">
        <v>2183</v>
      </c>
      <c r="AE325" s="609">
        <v>1311</v>
      </c>
      <c r="AF325" s="609">
        <v>1453.2809999999999</v>
      </c>
      <c r="AG325" s="609">
        <v>1409</v>
      </c>
      <c r="AH325" s="609">
        <v>6356.2809999999999</v>
      </c>
      <c r="AI325" s="209"/>
    </row>
    <row r="326" spans="1:35" x14ac:dyDescent="0.25">
      <c r="A326" s="201">
        <v>15101</v>
      </c>
      <c r="B326" s="201">
        <v>1101</v>
      </c>
      <c r="C326" s="201" t="s">
        <v>52</v>
      </c>
      <c r="D326" s="609">
        <v>257163</v>
      </c>
      <c r="E326" s="610">
        <v>9.1350031060376549E-2</v>
      </c>
      <c r="F326" s="609">
        <v>1444228.5783269599</v>
      </c>
      <c r="G326" s="609">
        <v>61101</v>
      </c>
      <c r="H326" s="609">
        <v>80309</v>
      </c>
      <c r="I326" s="609">
        <v>3586002987040</v>
      </c>
      <c r="J326" s="609">
        <v>5920771427017</v>
      </c>
      <c r="K326" s="608">
        <v>0</v>
      </c>
      <c r="L326" s="608">
        <v>0</v>
      </c>
      <c r="M326" s="609">
        <v>23613770</v>
      </c>
      <c r="N326" s="609">
        <f t="shared" ref="N326:N350" si="18">+M326</f>
        <v>23613770</v>
      </c>
      <c r="O326" s="609">
        <f t="shared" ref="O326:O350" si="19">+M326+K326</f>
        <v>23613770</v>
      </c>
      <c r="P326" s="609">
        <f t="shared" ref="P326:P350" si="20">+M326+K326</f>
        <v>23613770</v>
      </c>
      <c r="Q326" s="611">
        <f>+'_DATA STT PAGOS_'!D328</f>
        <v>22900096.037</v>
      </c>
      <c r="R326" s="611">
        <f>+'_DATA STT PAGOS_'!E328</f>
        <v>1908341.3364166666</v>
      </c>
      <c r="S326" s="611">
        <f>+'_DATA STT PAGOS_'!F328</f>
        <v>1507590</v>
      </c>
      <c r="T326" s="612">
        <f>+'_DATA STT PAGOS_'!Q328</f>
        <v>30787949.909000002</v>
      </c>
      <c r="U326" s="613" t="str">
        <f>SUBSTITUTE((IFERROR(VLOOKUP(A326,'DATOS IND MINERO'!$H$2:$L$113,4,0),"No")),"í","I",1)</f>
        <v>No</v>
      </c>
      <c r="V326" s="614">
        <f>IFERROR(VLOOKUP(A326,'DATOS IND MINERO'!$H$2:$L$113,5,0),0)</f>
        <v>0</v>
      </c>
      <c r="W326" s="611">
        <f>+'_DATA STT PAGOS_'!G328</f>
        <v>0</v>
      </c>
      <c r="X326" s="611">
        <f>+'_DATA STT PAGOS_'!J328</f>
        <v>31075956.149000004</v>
      </c>
      <c r="Y326" s="609">
        <v>1054693</v>
      </c>
      <c r="Z326" s="609">
        <v>799910</v>
      </c>
      <c r="AA326" s="609">
        <v>890169</v>
      </c>
      <c r="AB326" s="609">
        <v>748929</v>
      </c>
      <c r="AC326" s="609">
        <v>3493701</v>
      </c>
      <c r="AD326" s="609">
        <v>56222</v>
      </c>
      <c r="AE326" s="609">
        <v>29200</v>
      </c>
      <c r="AF326" s="609">
        <v>33129.993000000002</v>
      </c>
      <c r="AG326" s="609">
        <v>22198</v>
      </c>
      <c r="AH326" s="609">
        <v>140749.99300000002</v>
      </c>
      <c r="AI326" s="209"/>
    </row>
    <row r="327" spans="1:35" x14ac:dyDescent="0.25">
      <c r="A327" s="201">
        <v>15102</v>
      </c>
      <c r="B327" s="201">
        <v>1106</v>
      </c>
      <c r="C327" s="201" t="s">
        <v>53</v>
      </c>
      <c r="D327" s="609">
        <v>1246</v>
      </c>
      <c r="E327" s="610">
        <v>0.12584517373594761</v>
      </c>
      <c r="F327" s="609">
        <v>102432.2249213426</v>
      </c>
      <c r="G327" s="609">
        <v>2201</v>
      </c>
      <c r="H327" s="609">
        <v>2326</v>
      </c>
      <c r="I327" s="609">
        <v>49268185964</v>
      </c>
      <c r="J327" s="609">
        <v>54680375053</v>
      </c>
      <c r="K327" s="608">
        <v>0</v>
      </c>
      <c r="L327" s="608">
        <v>0</v>
      </c>
      <c r="M327" s="609">
        <v>1140745</v>
      </c>
      <c r="N327" s="609">
        <f t="shared" si="18"/>
        <v>1140745</v>
      </c>
      <c r="O327" s="609">
        <f t="shared" si="19"/>
        <v>1140745</v>
      </c>
      <c r="P327" s="609">
        <f t="shared" si="20"/>
        <v>1140745</v>
      </c>
      <c r="Q327" s="611">
        <f>+'_DATA STT PAGOS_'!D329</f>
        <v>1703355.757</v>
      </c>
      <c r="R327" s="611">
        <f>+'_DATA STT PAGOS_'!E329</f>
        <v>141946.31308333334</v>
      </c>
      <c r="S327" s="611">
        <f>+'_DATA STT PAGOS_'!F329</f>
        <v>112138</v>
      </c>
      <c r="T327" s="612">
        <f>+'_DATA STT PAGOS_'!Q329</f>
        <v>2212077.5290000001</v>
      </c>
      <c r="U327" s="613" t="str">
        <f>SUBSTITUTE((IFERROR(VLOOKUP(A327,'DATOS IND MINERO'!$H$2:$L$113,4,0),"No")),"í","I",1)</f>
        <v>No</v>
      </c>
      <c r="V327" s="614">
        <f>IFERROR(VLOOKUP(A327,'DATOS IND MINERO'!$H$2:$L$113,5,0),0)</f>
        <v>0</v>
      </c>
      <c r="W327" s="611">
        <f>+'_DATA STT PAGOS_'!G329</f>
        <v>0</v>
      </c>
      <c r="X327" s="611">
        <f>+'_DATA STT PAGOS_'!J329</f>
        <v>2311196.415</v>
      </c>
      <c r="Y327" s="609">
        <v>1177</v>
      </c>
      <c r="Z327" s="609">
        <v>1313</v>
      </c>
      <c r="AA327" s="609">
        <v>800</v>
      </c>
      <c r="AB327" s="609">
        <v>433</v>
      </c>
      <c r="AC327" s="609">
        <v>3723</v>
      </c>
      <c r="AD327" s="609">
        <v>0</v>
      </c>
      <c r="AE327" s="609">
        <v>0</v>
      </c>
      <c r="AF327" s="609">
        <v>0</v>
      </c>
      <c r="AG327" s="609">
        <v>0</v>
      </c>
      <c r="AH327" s="609">
        <v>0</v>
      </c>
      <c r="AI327" s="209"/>
    </row>
    <row r="328" spans="1:35" x14ac:dyDescent="0.25">
      <c r="A328" s="201">
        <v>15201</v>
      </c>
      <c r="B328" s="201">
        <v>1301</v>
      </c>
      <c r="C328" s="201" t="s">
        <v>61</v>
      </c>
      <c r="D328" s="609">
        <v>2569</v>
      </c>
      <c r="E328" s="610">
        <v>7.3455778259526677E-2</v>
      </c>
      <c r="F328" s="609">
        <v>96183.089230626822</v>
      </c>
      <c r="G328" s="609">
        <v>5249</v>
      </c>
      <c r="H328" s="609">
        <v>5488</v>
      </c>
      <c r="I328" s="609">
        <v>25443466077</v>
      </c>
      <c r="J328" s="609">
        <v>35503673462</v>
      </c>
      <c r="K328" s="608">
        <v>0</v>
      </c>
      <c r="L328" s="608">
        <v>0</v>
      </c>
      <c r="M328" s="609">
        <v>507675</v>
      </c>
      <c r="N328" s="609">
        <f t="shared" si="18"/>
        <v>507675</v>
      </c>
      <c r="O328" s="609">
        <f t="shared" si="19"/>
        <v>507675</v>
      </c>
      <c r="P328" s="609">
        <f t="shared" si="20"/>
        <v>507675</v>
      </c>
      <c r="Q328" s="611">
        <f>+'_DATA STT PAGOS_'!D330</f>
        <v>2401263.9939999999</v>
      </c>
      <c r="R328" s="611">
        <f>+'_DATA STT PAGOS_'!E330</f>
        <v>200105.33283333332</v>
      </c>
      <c r="S328" s="611">
        <f>+'_DATA STT PAGOS_'!F330</f>
        <v>158083</v>
      </c>
      <c r="T328" s="612">
        <f>+'_DATA STT PAGOS_'!Q330</f>
        <v>3000021.0329999998</v>
      </c>
      <c r="U328" s="613" t="str">
        <f>SUBSTITUTE((IFERROR(VLOOKUP(A328,'DATOS IND MINERO'!$H$2:$L$113,4,0),"No")),"í","I",1)</f>
        <v>No</v>
      </c>
      <c r="V328" s="614">
        <f>IFERROR(VLOOKUP(A328,'DATOS IND MINERO'!$H$2:$L$113,5,0),0)</f>
        <v>0</v>
      </c>
      <c r="W328" s="611">
        <f>+'_DATA STT PAGOS_'!G330</f>
        <v>0</v>
      </c>
      <c r="X328" s="611">
        <f>+'_DATA STT PAGOS_'!J330</f>
        <v>3257257.696</v>
      </c>
      <c r="Y328" s="609">
        <v>4131</v>
      </c>
      <c r="Z328" s="609">
        <v>3142</v>
      </c>
      <c r="AA328" s="609">
        <v>3710</v>
      </c>
      <c r="AB328" s="609">
        <v>3113</v>
      </c>
      <c r="AC328" s="609">
        <v>14096</v>
      </c>
      <c r="AD328" s="609">
        <v>0</v>
      </c>
      <c r="AE328" s="609">
        <v>0</v>
      </c>
      <c r="AF328" s="609">
        <v>0</v>
      </c>
      <c r="AG328" s="609">
        <v>0</v>
      </c>
      <c r="AH328" s="609">
        <v>0</v>
      </c>
      <c r="AI328" s="209"/>
    </row>
    <row r="329" spans="1:35" x14ac:dyDescent="0.25">
      <c r="A329" s="201">
        <v>15202</v>
      </c>
      <c r="B329" s="201">
        <v>1302</v>
      </c>
      <c r="C329" s="201" t="s">
        <v>62</v>
      </c>
      <c r="D329" s="609">
        <v>801</v>
      </c>
      <c r="E329" s="610">
        <v>0.21238344227953801</v>
      </c>
      <c r="F329" s="609">
        <v>13372.299202437143</v>
      </c>
      <c r="G329" s="609">
        <v>311</v>
      </c>
      <c r="H329" s="609">
        <v>339</v>
      </c>
      <c r="I329" s="609">
        <v>4427100418</v>
      </c>
      <c r="J329" s="609">
        <v>6396024780</v>
      </c>
      <c r="K329" s="608">
        <v>0</v>
      </c>
      <c r="L329" s="608">
        <v>0</v>
      </c>
      <c r="M329" s="609">
        <v>222842</v>
      </c>
      <c r="N329" s="609">
        <f t="shared" si="18"/>
        <v>222842</v>
      </c>
      <c r="O329" s="609">
        <f t="shared" si="19"/>
        <v>222842</v>
      </c>
      <c r="P329" s="609">
        <f t="shared" si="20"/>
        <v>222842</v>
      </c>
      <c r="Q329" s="611">
        <f>+'_DATA STT PAGOS_'!D331</f>
        <v>1464134.36</v>
      </c>
      <c r="R329" s="611">
        <f>+'_DATA STT PAGOS_'!E331</f>
        <v>122011.19666666667</v>
      </c>
      <c r="S329" s="611">
        <f>+'_DATA STT PAGOS_'!F331</f>
        <v>96389</v>
      </c>
      <c r="T329" s="612">
        <f>+'_DATA STT PAGOS_'!Q331</f>
        <v>1867695.62</v>
      </c>
      <c r="U329" s="613" t="str">
        <f>SUBSTITUTE((IFERROR(VLOOKUP(A329,'DATOS IND MINERO'!$H$2:$L$113,4,0),"No")),"í","I",1)</f>
        <v>No</v>
      </c>
      <c r="V329" s="614">
        <f>IFERROR(VLOOKUP(A329,'DATOS IND MINERO'!$H$2:$L$113,5,0),0)</f>
        <v>0</v>
      </c>
      <c r="W329" s="611">
        <f>+'_DATA STT PAGOS_'!G331</f>
        <v>0</v>
      </c>
      <c r="X329" s="611">
        <f>+'_DATA STT PAGOS_'!J331</f>
        <v>1986825.6940000001</v>
      </c>
      <c r="Y329" s="609">
        <v>101</v>
      </c>
      <c r="Z329" s="609">
        <v>127</v>
      </c>
      <c r="AA329" s="609">
        <v>67</v>
      </c>
      <c r="AB329" s="609">
        <v>89</v>
      </c>
      <c r="AC329" s="609">
        <v>384</v>
      </c>
      <c r="AD329" s="609">
        <v>0</v>
      </c>
      <c r="AE329" s="609">
        <v>0</v>
      </c>
      <c r="AF329" s="609">
        <v>0</v>
      </c>
      <c r="AG329" s="609">
        <v>0</v>
      </c>
      <c r="AH329" s="609">
        <v>0</v>
      </c>
      <c r="AI329" s="209"/>
    </row>
    <row r="330" spans="1:35" x14ac:dyDescent="0.25">
      <c r="A330" s="201">
        <v>16101</v>
      </c>
      <c r="B330" s="201">
        <v>8101</v>
      </c>
      <c r="C330" s="201" t="s">
        <v>401</v>
      </c>
      <c r="D330" s="609">
        <v>204091</v>
      </c>
      <c r="E330" s="610">
        <v>0.10512179786213829</v>
      </c>
      <c r="F330" s="609">
        <v>1563330.8517008331</v>
      </c>
      <c r="G330" s="609">
        <v>66656</v>
      </c>
      <c r="H330" s="609">
        <v>89703</v>
      </c>
      <c r="I330" s="609">
        <v>2220906563514</v>
      </c>
      <c r="J330" s="609">
        <v>4760567855407</v>
      </c>
      <c r="K330" s="608">
        <v>0</v>
      </c>
      <c r="L330" s="608">
        <v>0</v>
      </c>
      <c r="M330" s="609">
        <v>24405133</v>
      </c>
      <c r="N330" s="609">
        <f t="shared" si="18"/>
        <v>24405133</v>
      </c>
      <c r="O330" s="609">
        <f t="shared" si="19"/>
        <v>24405133</v>
      </c>
      <c r="P330" s="609">
        <f t="shared" si="20"/>
        <v>24405133</v>
      </c>
      <c r="Q330" s="611">
        <f>+'_DATA STT PAGOS_'!D332</f>
        <v>18155597.146000002</v>
      </c>
      <c r="R330" s="611">
        <f>+'_DATA STT PAGOS_'!E332</f>
        <v>1512966.4288333335</v>
      </c>
      <c r="S330" s="611">
        <f>+'_DATA STT PAGOS_'!F332</f>
        <v>1195243</v>
      </c>
      <c r="T330" s="612">
        <f>+'_DATA STT PAGOS_'!Q332</f>
        <v>23800836.857000001</v>
      </c>
      <c r="U330" s="613" t="str">
        <f>SUBSTITUTE((IFERROR(VLOOKUP(A330,'DATOS IND MINERO'!$H$2:$L$113,4,0),"No")),"í","I",1)</f>
        <v>No</v>
      </c>
      <c r="V330" s="614">
        <f>IFERROR(VLOOKUP(A330,'DATOS IND MINERO'!$H$2:$L$113,5,0),0)</f>
        <v>0</v>
      </c>
      <c r="W330" s="611">
        <f>+'_DATA STT PAGOS_'!G332</f>
        <v>0</v>
      </c>
      <c r="X330" s="611">
        <f>+'_DATA STT PAGOS_'!J332</f>
        <v>24660015.822999999</v>
      </c>
      <c r="Y330" s="609">
        <v>1180963</v>
      </c>
      <c r="Z330" s="609">
        <v>876194</v>
      </c>
      <c r="AA330" s="609">
        <v>969932</v>
      </c>
      <c r="AB330" s="609">
        <v>856644</v>
      </c>
      <c r="AC330" s="609">
        <v>3883733</v>
      </c>
      <c r="AD330" s="609">
        <v>88244</v>
      </c>
      <c r="AE330" s="609">
        <v>44449</v>
      </c>
      <c r="AF330" s="609">
        <v>59085.474999999999</v>
      </c>
      <c r="AG330" s="609">
        <v>42712</v>
      </c>
      <c r="AH330" s="609">
        <v>234490.47500000001</v>
      </c>
      <c r="AI330" s="209"/>
    </row>
    <row r="331" spans="1:35" x14ac:dyDescent="0.25">
      <c r="A331" s="201">
        <v>16102</v>
      </c>
      <c r="B331" s="201">
        <v>8113</v>
      </c>
      <c r="C331" s="201" t="s">
        <v>177</v>
      </c>
      <c r="D331" s="609">
        <v>22754</v>
      </c>
      <c r="E331" s="610">
        <v>0.12741203744136989</v>
      </c>
      <c r="F331" s="609">
        <v>312181.18204966641</v>
      </c>
      <c r="G331" s="609">
        <v>10619</v>
      </c>
      <c r="H331" s="609">
        <v>14239</v>
      </c>
      <c r="I331" s="609">
        <v>162073582398</v>
      </c>
      <c r="J331" s="609">
        <v>433463697881</v>
      </c>
      <c r="K331" s="608">
        <v>0</v>
      </c>
      <c r="L331" s="608">
        <v>0</v>
      </c>
      <c r="M331" s="609">
        <v>1863601</v>
      </c>
      <c r="N331" s="609">
        <f t="shared" si="18"/>
        <v>1863601</v>
      </c>
      <c r="O331" s="609">
        <f t="shared" si="19"/>
        <v>1863601</v>
      </c>
      <c r="P331" s="609">
        <f t="shared" si="20"/>
        <v>1863601</v>
      </c>
      <c r="Q331" s="611">
        <f>+'_DATA STT PAGOS_'!D333</f>
        <v>4446697.5369999995</v>
      </c>
      <c r="R331" s="611">
        <f>+'_DATA STT PAGOS_'!E333</f>
        <v>370558.12808333331</v>
      </c>
      <c r="S331" s="611">
        <f>+'_DATA STT PAGOS_'!F333</f>
        <v>292741</v>
      </c>
      <c r="T331" s="612">
        <f>+'_DATA STT PAGOS_'!Q333</f>
        <v>4970509.9110000003</v>
      </c>
      <c r="U331" s="613" t="str">
        <f>SUBSTITUTE((IFERROR(VLOOKUP(A331,'DATOS IND MINERO'!$H$2:$L$113,4,0),"No")),"í","I",1)</f>
        <v>No</v>
      </c>
      <c r="V331" s="614">
        <f>IFERROR(VLOOKUP(A331,'DATOS IND MINERO'!$H$2:$L$113,5,0),0)</f>
        <v>0</v>
      </c>
      <c r="W331" s="611">
        <f>+'_DATA STT PAGOS_'!G333</f>
        <v>0</v>
      </c>
      <c r="X331" s="611">
        <f>+'_DATA STT PAGOS_'!J333</f>
        <v>6035667.9219999993</v>
      </c>
      <c r="Y331" s="609">
        <v>76640</v>
      </c>
      <c r="Z331" s="609">
        <v>55357</v>
      </c>
      <c r="AA331" s="609">
        <v>59796</v>
      </c>
      <c r="AB331" s="609">
        <v>47940</v>
      </c>
      <c r="AC331" s="609">
        <v>239733</v>
      </c>
      <c r="AD331" s="609">
        <v>4175</v>
      </c>
      <c r="AE331" s="609">
        <v>2412</v>
      </c>
      <c r="AF331" s="609">
        <v>3577.991</v>
      </c>
      <c r="AG331" s="609">
        <v>2631</v>
      </c>
      <c r="AH331" s="609">
        <v>12795.991</v>
      </c>
      <c r="AI331" s="209"/>
    </row>
    <row r="332" spans="1:35" x14ac:dyDescent="0.25">
      <c r="A332" s="201">
        <v>16103</v>
      </c>
      <c r="B332" s="201">
        <v>8121</v>
      </c>
      <c r="C332" s="201" t="s">
        <v>402</v>
      </c>
      <c r="D332" s="609">
        <v>35580</v>
      </c>
      <c r="E332" s="610">
        <v>8.5460198027746473E-2</v>
      </c>
      <c r="F332" s="609">
        <v>265916.33423438331</v>
      </c>
      <c r="G332" s="609">
        <v>12199</v>
      </c>
      <c r="H332" s="609">
        <v>14247</v>
      </c>
      <c r="I332" s="609">
        <v>249769046648</v>
      </c>
      <c r="J332" s="609">
        <v>491215041324</v>
      </c>
      <c r="K332" s="608">
        <v>0</v>
      </c>
      <c r="L332" s="608">
        <v>0</v>
      </c>
      <c r="M332" s="609">
        <v>3144532</v>
      </c>
      <c r="N332" s="609">
        <f t="shared" si="18"/>
        <v>3144532</v>
      </c>
      <c r="O332" s="609">
        <f t="shared" si="19"/>
        <v>3144532</v>
      </c>
      <c r="P332" s="609">
        <f t="shared" si="20"/>
        <v>3144532</v>
      </c>
      <c r="Q332" s="611">
        <f>+'_DATA STT PAGOS_'!D334</f>
        <v>4711820.7779999999</v>
      </c>
      <c r="R332" s="611">
        <f>+'_DATA STT PAGOS_'!E334</f>
        <v>392651.73149999999</v>
      </c>
      <c r="S332" s="611">
        <f>+'_DATA STT PAGOS_'!F334</f>
        <v>310195</v>
      </c>
      <c r="T332" s="612">
        <f>+'_DATA STT PAGOS_'!Q334</f>
        <v>5810995.6909999996</v>
      </c>
      <c r="U332" s="613" t="str">
        <f>SUBSTITUTE((IFERROR(VLOOKUP(A332,'DATOS IND MINERO'!$H$2:$L$113,4,0),"No")),"í","I",1)</f>
        <v>No</v>
      </c>
      <c r="V332" s="614">
        <f>IFERROR(VLOOKUP(A332,'DATOS IND MINERO'!$H$2:$L$113,5,0),0)</f>
        <v>0</v>
      </c>
      <c r="W332" s="611">
        <f>+'_DATA STT PAGOS_'!G334</f>
        <v>0</v>
      </c>
      <c r="X332" s="611">
        <f>+'_DATA STT PAGOS_'!J334</f>
        <v>6392111.0770000005</v>
      </c>
      <c r="Y332" s="609">
        <v>112555</v>
      </c>
      <c r="Z332" s="609">
        <v>83795</v>
      </c>
      <c r="AA332" s="609">
        <v>93463</v>
      </c>
      <c r="AB332" s="609">
        <v>90093</v>
      </c>
      <c r="AC332" s="609">
        <v>379906</v>
      </c>
      <c r="AD332" s="609">
        <v>3285</v>
      </c>
      <c r="AE332" s="609">
        <v>1246</v>
      </c>
      <c r="AF332" s="609">
        <v>2732.6</v>
      </c>
      <c r="AG332" s="609">
        <v>2204</v>
      </c>
      <c r="AH332" s="609">
        <v>9467.6</v>
      </c>
      <c r="AI332" s="209"/>
    </row>
    <row r="333" spans="1:35" x14ac:dyDescent="0.25">
      <c r="A333" s="201">
        <v>16104</v>
      </c>
      <c r="B333" s="201">
        <v>8118</v>
      </c>
      <c r="C333" s="201" t="s">
        <v>181</v>
      </c>
      <c r="D333" s="609">
        <v>12197</v>
      </c>
      <c r="E333" s="610">
        <v>0.1492478148913714</v>
      </c>
      <c r="F333" s="609">
        <v>128837.65150317262</v>
      </c>
      <c r="G333" s="609">
        <v>7237</v>
      </c>
      <c r="H333" s="609">
        <v>9656</v>
      </c>
      <c r="I333" s="609">
        <v>115937403451</v>
      </c>
      <c r="J333" s="609">
        <v>357892379286</v>
      </c>
      <c r="K333" s="608">
        <v>0</v>
      </c>
      <c r="L333" s="608">
        <v>0</v>
      </c>
      <c r="M333" s="609">
        <v>991982</v>
      </c>
      <c r="N333" s="609">
        <f t="shared" si="18"/>
        <v>991982</v>
      </c>
      <c r="O333" s="609">
        <f t="shared" si="19"/>
        <v>991982</v>
      </c>
      <c r="P333" s="609">
        <f t="shared" si="20"/>
        <v>991982</v>
      </c>
      <c r="Q333" s="611">
        <f>+'_DATA STT PAGOS_'!D335</f>
        <v>3141625.0210000002</v>
      </c>
      <c r="R333" s="611">
        <f>+'_DATA STT PAGOS_'!E335</f>
        <v>261802.08508333334</v>
      </c>
      <c r="S333" s="611">
        <f>+'_DATA STT PAGOS_'!F335</f>
        <v>206824</v>
      </c>
      <c r="T333" s="612">
        <f>+'_DATA STT PAGOS_'!Q335</f>
        <v>3751726.5819999999</v>
      </c>
      <c r="U333" s="613" t="str">
        <f>SUBSTITUTE((IFERROR(VLOOKUP(A333,'DATOS IND MINERO'!$H$2:$L$113,4,0),"No")),"í","I",1)</f>
        <v>No</v>
      </c>
      <c r="V333" s="614">
        <f>IFERROR(VLOOKUP(A333,'DATOS IND MINERO'!$H$2:$L$113,5,0),0)</f>
        <v>0</v>
      </c>
      <c r="W333" s="611">
        <f>+'_DATA STT PAGOS_'!G335</f>
        <v>0</v>
      </c>
      <c r="X333" s="611">
        <f>+'_DATA STT PAGOS_'!J335</f>
        <v>4264939.7910000002</v>
      </c>
      <c r="Y333" s="609">
        <v>45742</v>
      </c>
      <c r="Z333" s="609">
        <v>25467</v>
      </c>
      <c r="AA333" s="609">
        <v>38530</v>
      </c>
      <c r="AB333" s="609">
        <v>26879</v>
      </c>
      <c r="AC333" s="609">
        <v>136618</v>
      </c>
      <c r="AD333" s="609">
        <v>673</v>
      </c>
      <c r="AE333" s="609">
        <v>289</v>
      </c>
      <c r="AF333" s="609">
        <v>390.18799999999999</v>
      </c>
      <c r="AG333" s="609">
        <v>374</v>
      </c>
      <c r="AH333" s="609">
        <v>1726.1880000000001</v>
      </c>
      <c r="AI333" s="209"/>
    </row>
    <row r="334" spans="1:35" x14ac:dyDescent="0.25">
      <c r="A334" s="201">
        <v>16105</v>
      </c>
      <c r="B334" s="201">
        <v>8117</v>
      </c>
      <c r="C334" s="201" t="s">
        <v>180</v>
      </c>
      <c r="D334" s="609">
        <v>8583</v>
      </c>
      <c r="E334" s="610">
        <v>0.19017621091411049</v>
      </c>
      <c r="F334" s="609">
        <v>113575.97095065925</v>
      </c>
      <c r="G334" s="609">
        <v>4405</v>
      </c>
      <c r="H334" s="609">
        <v>6406</v>
      </c>
      <c r="I334" s="609">
        <v>67768328976.999992</v>
      </c>
      <c r="J334" s="609">
        <v>290277948285</v>
      </c>
      <c r="K334" s="608">
        <v>0</v>
      </c>
      <c r="L334" s="608">
        <v>0</v>
      </c>
      <c r="M334" s="609">
        <v>1373776</v>
      </c>
      <c r="N334" s="609">
        <f t="shared" si="18"/>
        <v>1373776</v>
      </c>
      <c r="O334" s="609">
        <f t="shared" si="19"/>
        <v>1373776</v>
      </c>
      <c r="P334" s="609">
        <f t="shared" si="20"/>
        <v>1373776</v>
      </c>
      <c r="Q334" s="611">
        <f>+'_DATA STT PAGOS_'!D336</f>
        <v>2019788.422</v>
      </c>
      <c r="R334" s="611">
        <f>+'_DATA STT PAGOS_'!E336</f>
        <v>168315.70183333333</v>
      </c>
      <c r="S334" s="611">
        <f>+'_DATA STT PAGOS_'!F336</f>
        <v>132969</v>
      </c>
      <c r="T334" s="612">
        <f>+'_DATA STT PAGOS_'!Q336</f>
        <v>2585098.7489999998</v>
      </c>
      <c r="U334" s="613" t="str">
        <f>SUBSTITUTE((IFERROR(VLOOKUP(A334,'DATOS IND MINERO'!$H$2:$L$113,4,0),"No")),"í","I",1)</f>
        <v>No</v>
      </c>
      <c r="V334" s="614">
        <f>IFERROR(VLOOKUP(A334,'DATOS IND MINERO'!$H$2:$L$113,5,0),0)</f>
        <v>0</v>
      </c>
      <c r="W334" s="611">
        <f>+'_DATA STT PAGOS_'!G336</f>
        <v>0</v>
      </c>
      <c r="X334" s="611">
        <f>+'_DATA STT PAGOS_'!J336</f>
        <v>2744674.0080000004</v>
      </c>
      <c r="Y334" s="609">
        <v>60772</v>
      </c>
      <c r="Z334" s="609">
        <v>52718</v>
      </c>
      <c r="AA334" s="609">
        <v>75148</v>
      </c>
      <c r="AB334" s="609">
        <v>34282</v>
      </c>
      <c r="AC334" s="609">
        <v>222920</v>
      </c>
      <c r="AD334" s="609">
        <v>1564</v>
      </c>
      <c r="AE334" s="609">
        <v>981</v>
      </c>
      <c r="AF334" s="609">
        <v>1523.0450000000001</v>
      </c>
      <c r="AG334" s="609">
        <v>1140</v>
      </c>
      <c r="AH334" s="609">
        <v>5208.0450000000001</v>
      </c>
      <c r="AI334" s="209"/>
    </row>
    <row r="335" spans="1:35" x14ac:dyDescent="0.25">
      <c r="A335" s="201">
        <v>16106</v>
      </c>
      <c r="B335" s="201">
        <v>8102</v>
      </c>
      <c r="C335" s="201" t="s">
        <v>169</v>
      </c>
      <c r="D335" s="609">
        <v>12179</v>
      </c>
      <c r="E335" s="610">
        <v>0.10267164290034719</v>
      </c>
      <c r="F335" s="609">
        <v>737085.48993723467</v>
      </c>
      <c r="G335" s="609">
        <v>6959</v>
      </c>
      <c r="H335" s="609">
        <v>11725</v>
      </c>
      <c r="I335" s="609">
        <v>160432088674</v>
      </c>
      <c r="J335" s="609">
        <v>471797365618</v>
      </c>
      <c r="K335" s="608">
        <v>0</v>
      </c>
      <c r="L335" s="608">
        <v>0</v>
      </c>
      <c r="M335" s="609">
        <v>1716556</v>
      </c>
      <c r="N335" s="609">
        <f t="shared" si="18"/>
        <v>1716556</v>
      </c>
      <c r="O335" s="609">
        <f t="shared" si="19"/>
        <v>1716556</v>
      </c>
      <c r="P335" s="609">
        <f t="shared" si="20"/>
        <v>1716556</v>
      </c>
      <c r="Q335" s="611">
        <f>+'_DATA STT PAGOS_'!D337</f>
        <v>2255040.412</v>
      </c>
      <c r="R335" s="611">
        <f>+'_DATA STT PAGOS_'!E337</f>
        <v>187920.03433333334</v>
      </c>
      <c r="S335" s="611">
        <f>+'_DATA STT PAGOS_'!F337</f>
        <v>148457</v>
      </c>
      <c r="T335" s="612">
        <f>+'_DATA STT PAGOS_'!Q337</f>
        <v>3014101.5240000002</v>
      </c>
      <c r="U335" s="613" t="str">
        <f>SUBSTITUTE((IFERROR(VLOOKUP(A335,'DATOS IND MINERO'!$H$2:$L$113,4,0),"No")),"í","I",1)</f>
        <v>No</v>
      </c>
      <c r="V335" s="614">
        <f>IFERROR(VLOOKUP(A335,'DATOS IND MINERO'!$H$2:$L$113,5,0),0)</f>
        <v>0</v>
      </c>
      <c r="W335" s="611">
        <f>+'_DATA STT PAGOS_'!G337</f>
        <v>0</v>
      </c>
      <c r="X335" s="611">
        <f>+'_DATA STT PAGOS_'!J337</f>
        <v>3060546.202</v>
      </c>
      <c r="Y335" s="609">
        <v>105227</v>
      </c>
      <c r="Z335" s="609">
        <v>75783</v>
      </c>
      <c r="AA335" s="609">
        <v>90229</v>
      </c>
      <c r="AB335" s="609">
        <v>68518</v>
      </c>
      <c r="AC335" s="609">
        <v>339757</v>
      </c>
      <c r="AD335" s="609">
        <v>5351</v>
      </c>
      <c r="AE335" s="609">
        <v>2935</v>
      </c>
      <c r="AF335" s="609">
        <v>3700.3679999999999</v>
      </c>
      <c r="AG335" s="609">
        <v>2274</v>
      </c>
      <c r="AH335" s="609">
        <v>14260.368</v>
      </c>
      <c r="AI335" s="209"/>
    </row>
    <row r="336" spans="1:35" x14ac:dyDescent="0.25">
      <c r="A336" s="201">
        <v>16107</v>
      </c>
      <c r="B336" s="201">
        <v>8115</v>
      </c>
      <c r="C336" s="201" t="s">
        <v>404</v>
      </c>
      <c r="D336" s="609">
        <v>19304</v>
      </c>
      <c r="E336" s="610">
        <v>0.159685311127159</v>
      </c>
      <c r="F336" s="609">
        <v>1205393.8596665508</v>
      </c>
      <c r="G336" s="609">
        <v>13584</v>
      </c>
      <c r="H336" s="609">
        <v>18247</v>
      </c>
      <c r="I336" s="609">
        <v>173823326941</v>
      </c>
      <c r="J336" s="609">
        <v>354894191616</v>
      </c>
      <c r="K336" s="608">
        <v>0</v>
      </c>
      <c r="L336" s="608">
        <v>0</v>
      </c>
      <c r="M336" s="609">
        <v>1523039</v>
      </c>
      <c r="N336" s="609">
        <f t="shared" si="18"/>
        <v>1523039</v>
      </c>
      <c r="O336" s="609">
        <f t="shared" si="19"/>
        <v>1523039</v>
      </c>
      <c r="P336" s="609">
        <f t="shared" si="20"/>
        <v>1523039</v>
      </c>
      <c r="Q336" s="611">
        <f>+'_DATA STT PAGOS_'!D338</f>
        <v>9036267.0690000001</v>
      </c>
      <c r="R336" s="611">
        <f>+'_DATA STT PAGOS_'!E338</f>
        <v>753022.25575000001</v>
      </c>
      <c r="S336" s="611">
        <f>+'_DATA STT PAGOS_'!F338</f>
        <v>594888</v>
      </c>
      <c r="T336" s="612">
        <f>+'_DATA STT PAGOS_'!Q338</f>
        <v>11541916.108999999</v>
      </c>
      <c r="U336" s="613" t="str">
        <f>SUBSTITUTE((IFERROR(VLOOKUP(A336,'DATOS IND MINERO'!$H$2:$L$113,4,0),"No")),"í","I",1)</f>
        <v>No</v>
      </c>
      <c r="V336" s="614">
        <f>IFERROR(VLOOKUP(A336,'DATOS IND MINERO'!$H$2:$L$113,5,0),0)</f>
        <v>0</v>
      </c>
      <c r="W336" s="611">
        <f>+'_DATA STT PAGOS_'!G338</f>
        <v>0</v>
      </c>
      <c r="X336" s="611">
        <f>+'_DATA STT PAGOS_'!J338</f>
        <v>12266675.546</v>
      </c>
      <c r="Y336" s="609">
        <v>63959</v>
      </c>
      <c r="Z336" s="609">
        <v>32392</v>
      </c>
      <c r="AA336" s="609">
        <v>44287</v>
      </c>
      <c r="AB336" s="609">
        <v>34375</v>
      </c>
      <c r="AC336" s="609">
        <v>175013</v>
      </c>
      <c r="AD336" s="609">
        <v>7022</v>
      </c>
      <c r="AE336" s="609">
        <v>2950</v>
      </c>
      <c r="AF336" s="609">
        <v>4298.5510000000004</v>
      </c>
      <c r="AG336" s="609">
        <v>3371</v>
      </c>
      <c r="AH336" s="609">
        <v>17641.550999999999</v>
      </c>
      <c r="AI336" s="209"/>
    </row>
    <row r="337" spans="1:35" x14ac:dyDescent="0.25">
      <c r="A337" s="201">
        <v>16108</v>
      </c>
      <c r="B337" s="201">
        <v>8114</v>
      </c>
      <c r="C337" s="201" t="s">
        <v>178</v>
      </c>
      <c r="D337" s="609">
        <v>16600</v>
      </c>
      <c r="E337" s="610">
        <v>0.15737748548504371</v>
      </c>
      <c r="F337" s="609">
        <v>228800.10275422505</v>
      </c>
      <c r="G337" s="609">
        <v>10679</v>
      </c>
      <c r="H337" s="609">
        <v>13396</v>
      </c>
      <c r="I337" s="609">
        <v>149899090873</v>
      </c>
      <c r="J337" s="609">
        <v>308048779311</v>
      </c>
      <c r="K337" s="608">
        <v>0</v>
      </c>
      <c r="L337" s="608">
        <v>0</v>
      </c>
      <c r="M337" s="609">
        <v>847816</v>
      </c>
      <c r="N337" s="609">
        <f t="shared" si="18"/>
        <v>847816</v>
      </c>
      <c r="O337" s="609">
        <f t="shared" si="19"/>
        <v>847816</v>
      </c>
      <c r="P337" s="609">
        <f t="shared" si="20"/>
        <v>847816</v>
      </c>
      <c r="Q337" s="611">
        <f>+'_DATA STT PAGOS_'!D339</f>
        <v>4342692.7130000005</v>
      </c>
      <c r="R337" s="611">
        <f>+'_DATA STT PAGOS_'!E339</f>
        <v>361891.05941666669</v>
      </c>
      <c r="S337" s="611">
        <f>+'_DATA STT PAGOS_'!F339</f>
        <v>285894</v>
      </c>
      <c r="T337" s="612">
        <f>+'_DATA STT PAGOS_'!Q339</f>
        <v>4937355.5980000002</v>
      </c>
      <c r="U337" s="613" t="str">
        <f>SUBSTITUTE((IFERROR(VLOOKUP(A337,'DATOS IND MINERO'!$H$2:$L$113,4,0),"No")),"í","I",1)</f>
        <v>No</v>
      </c>
      <c r="V337" s="614">
        <f>IFERROR(VLOOKUP(A337,'DATOS IND MINERO'!$H$2:$L$113,5,0),0)</f>
        <v>0</v>
      </c>
      <c r="W337" s="611">
        <f>+'_DATA STT PAGOS_'!G339</f>
        <v>0</v>
      </c>
      <c r="X337" s="611">
        <f>+'_DATA STT PAGOS_'!J339</f>
        <v>5894578.5930000003</v>
      </c>
      <c r="Y337" s="609">
        <v>34585</v>
      </c>
      <c r="Z337" s="609">
        <v>20381</v>
      </c>
      <c r="AA337" s="609">
        <v>26964</v>
      </c>
      <c r="AB337" s="609">
        <v>16988</v>
      </c>
      <c r="AC337" s="609">
        <v>98918</v>
      </c>
      <c r="AD337" s="609">
        <v>0</v>
      </c>
      <c r="AE337" s="609">
        <v>0</v>
      </c>
      <c r="AF337" s="609">
        <v>0</v>
      </c>
      <c r="AG337" s="609">
        <v>0</v>
      </c>
      <c r="AH337" s="609">
        <v>0</v>
      </c>
      <c r="AI337" s="209"/>
    </row>
    <row r="338" spans="1:35" x14ac:dyDescent="0.25">
      <c r="A338" s="201">
        <v>16109</v>
      </c>
      <c r="B338" s="201">
        <v>8116</v>
      </c>
      <c r="C338" s="201" t="s">
        <v>179</v>
      </c>
      <c r="D338" s="609">
        <v>18835</v>
      </c>
      <c r="E338" s="610">
        <v>0.1083309460468144</v>
      </c>
      <c r="F338" s="609">
        <v>301844.75320089073</v>
      </c>
      <c r="G338" s="609">
        <v>9183</v>
      </c>
      <c r="H338" s="609">
        <v>12531</v>
      </c>
      <c r="I338" s="609">
        <v>149086637024</v>
      </c>
      <c r="J338" s="609">
        <v>477471686988</v>
      </c>
      <c r="K338" s="608">
        <v>0</v>
      </c>
      <c r="L338" s="608">
        <v>0</v>
      </c>
      <c r="M338" s="609">
        <v>1739728</v>
      </c>
      <c r="N338" s="609">
        <f t="shared" si="18"/>
        <v>1739728</v>
      </c>
      <c r="O338" s="609">
        <f t="shared" si="19"/>
        <v>1739728</v>
      </c>
      <c r="P338" s="609">
        <f t="shared" si="20"/>
        <v>1739728</v>
      </c>
      <c r="Q338" s="611">
        <f>+'_DATA STT PAGOS_'!D340</f>
        <v>5090602.0659999996</v>
      </c>
      <c r="R338" s="611">
        <f>+'_DATA STT PAGOS_'!E340</f>
        <v>424216.83883333328</v>
      </c>
      <c r="S338" s="611">
        <f>+'_DATA STT PAGOS_'!F340</f>
        <v>335131</v>
      </c>
      <c r="T338" s="612">
        <f>+'_DATA STT PAGOS_'!Q340</f>
        <v>6844041.3789999997</v>
      </c>
      <c r="U338" s="613" t="str">
        <f>SUBSTITUTE((IFERROR(VLOOKUP(A338,'DATOS IND MINERO'!$H$2:$L$113,4,0),"No")),"í","I",1)</f>
        <v>No</v>
      </c>
      <c r="V338" s="614">
        <f>IFERROR(VLOOKUP(A338,'DATOS IND MINERO'!$H$2:$L$113,5,0),0)</f>
        <v>0</v>
      </c>
      <c r="W338" s="611">
        <f>+'_DATA STT PAGOS_'!G340</f>
        <v>0</v>
      </c>
      <c r="X338" s="611">
        <f>+'_DATA STT PAGOS_'!J340</f>
        <v>6908063.8990000002</v>
      </c>
      <c r="Y338" s="609">
        <v>102240</v>
      </c>
      <c r="Z338" s="609">
        <v>71910</v>
      </c>
      <c r="AA338" s="609">
        <v>84206</v>
      </c>
      <c r="AB338" s="609">
        <v>35038</v>
      </c>
      <c r="AC338" s="609">
        <v>293394</v>
      </c>
      <c r="AD338" s="609">
        <v>0</v>
      </c>
      <c r="AE338" s="609">
        <v>0</v>
      </c>
      <c r="AF338" s="609">
        <v>0</v>
      </c>
      <c r="AG338" s="609">
        <v>0</v>
      </c>
      <c r="AH338" s="609">
        <v>0</v>
      </c>
      <c r="AI338" s="209"/>
    </row>
    <row r="339" spans="1:35" x14ac:dyDescent="0.25">
      <c r="A339" s="201">
        <v>16201</v>
      </c>
      <c r="B339" s="201">
        <v>8104</v>
      </c>
      <c r="C339" s="201" t="s">
        <v>171</v>
      </c>
      <c r="D339" s="609">
        <v>12241</v>
      </c>
      <c r="E339" s="610">
        <v>7.7661955984902692E-2</v>
      </c>
      <c r="F339" s="609">
        <v>130579.06239032799</v>
      </c>
      <c r="G339" s="609">
        <v>8237</v>
      </c>
      <c r="H339" s="609">
        <v>9941</v>
      </c>
      <c r="I339" s="609">
        <v>112665457622</v>
      </c>
      <c r="J339" s="609">
        <v>253534277059</v>
      </c>
      <c r="K339" s="608">
        <v>0</v>
      </c>
      <c r="L339" s="608">
        <v>0</v>
      </c>
      <c r="M339" s="609">
        <v>757046</v>
      </c>
      <c r="N339" s="609">
        <f t="shared" si="18"/>
        <v>757046</v>
      </c>
      <c r="O339" s="609">
        <f t="shared" si="19"/>
        <v>757046</v>
      </c>
      <c r="P339" s="609">
        <f t="shared" si="20"/>
        <v>757046</v>
      </c>
      <c r="Q339" s="611">
        <f>+'_DATA STT PAGOS_'!D341</f>
        <v>3444729.5419999999</v>
      </c>
      <c r="R339" s="611">
        <f>+'_DATA STT PAGOS_'!E341</f>
        <v>287060.79516666668</v>
      </c>
      <c r="S339" s="611">
        <f>+'_DATA STT PAGOS_'!F341</f>
        <v>226778</v>
      </c>
      <c r="T339" s="612">
        <f>+'_DATA STT PAGOS_'!Q341</f>
        <v>4304588.5449999999</v>
      </c>
      <c r="U339" s="613" t="str">
        <f>SUBSTITUTE((IFERROR(VLOOKUP(A339,'DATOS IND MINERO'!$H$2:$L$113,4,0),"No")),"í","I",1)</f>
        <v>No</v>
      </c>
      <c r="V339" s="614">
        <f>IFERROR(VLOOKUP(A339,'DATOS IND MINERO'!$H$2:$L$113,5,0),0)</f>
        <v>0</v>
      </c>
      <c r="W339" s="611">
        <f>+'_DATA STT PAGOS_'!G341</f>
        <v>0</v>
      </c>
      <c r="X339" s="611">
        <f>+'_DATA STT PAGOS_'!J341</f>
        <v>4672878.909</v>
      </c>
      <c r="Y339" s="609">
        <v>33747</v>
      </c>
      <c r="Z339" s="609">
        <v>27483</v>
      </c>
      <c r="AA339" s="609">
        <v>34605</v>
      </c>
      <c r="AB339" s="609">
        <v>21352</v>
      </c>
      <c r="AC339" s="609">
        <v>117187</v>
      </c>
      <c r="AD339" s="609">
        <v>3858</v>
      </c>
      <c r="AE339" s="609">
        <v>2087</v>
      </c>
      <c r="AF339" s="609">
        <v>3110.355</v>
      </c>
      <c r="AG339" s="609">
        <v>2396</v>
      </c>
      <c r="AH339" s="609">
        <v>11451.355</v>
      </c>
      <c r="AI339" s="209"/>
    </row>
    <row r="340" spans="1:35" x14ac:dyDescent="0.25">
      <c r="A340" s="201">
        <v>16202</v>
      </c>
      <c r="B340" s="201">
        <v>8107</v>
      </c>
      <c r="C340" s="201" t="s">
        <v>174</v>
      </c>
      <c r="D340" s="609">
        <v>5224</v>
      </c>
      <c r="E340" s="610">
        <v>0.1905337466302314</v>
      </c>
      <c r="F340" s="609">
        <v>325101.07086778362</v>
      </c>
      <c r="G340" s="609">
        <v>5964</v>
      </c>
      <c r="H340" s="609">
        <v>7787</v>
      </c>
      <c r="I340" s="609">
        <v>75376243300</v>
      </c>
      <c r="J340" s="609">
        <v>165222647341</v>
      </c>
      <c r="K340" s="608">
        <v>0</v>
      </c>
      <c r="L340" s="608">
        <v>0</v>
      </c>
      <c r="M340" s="609">
        <v>670591</v>
      </c>
      <c r="N340" s="609">
        <f t="shared" si="18"/>
        <v>670591</v>
      </c>
      <c r="O340" s="609">
        <f t="shared" si="19"/>
        <v>670591</v>
      </c>
      <c r="P340" s="609">
        <f t="shared" si="20"/>
        <v>670591</v>
      </c>
      <c r="Q340" s="611">
        <f>+'_DATA STT PAGOS_'!D342</f>
        <v>3409575.4180000001</v>
      </c>
      <c r="R340" s="611">
        <f>+'_DATA STT PAGOS_'!E342</f>
        <v>284131.28483333334</v>
      </c>
      <c r="S340" s="611">
        <f>+'_DATA STT PAGOS_'!F342</f>
        <v>224464</v>
      </c>
      <c r="T340" s="612">
        <f>+'_DATA STT PAGOS_'!Q342</f>
        <v>3813920.159</v>
      </c>
      <c r="U340" s="613" t="str">
        <f>SUBSTITUTE((IFERROR(VLOOKUP(A340,'DATOS IND MINERO'!$H$2:$L$113,4,0),"No")),"í","I",1)</f>
        <v>No</v>
      </c>
      <c r="V340" s="614">
        <f>IFERROR(VLOOKUP(A340,'DATOS IND MINERO'!$H$2:$L$113,5,0),0)</f>
        <v>0</v>
      </c>
      <c r="W340" s="611">
        <f>+'_DATA STT PAGOS_'!G342</f>
        <v>0</v>
      </c>
      <c r="X340" s="611">
        <f>+'_DATA STT PAGOS_'!J342</f>
        <v>4626816.4910000004</v>
      </c>
      <c r="Y340" s="609">
        <v>38030</v>
      </c>
      <c r="Z340" s="609">
        <v>18913</v>
      </c>
      <c r="AA340" s="609">
        <v>22706</v>
      </c>
      <c r="AB340" s="609">
        <v>14798</v>
      </c>
      <c r="AC340" s="609">
        <v>94447</v>
      </c>
      <c r="AD340" s="609">
        <v>14355</v>
      </c>
      <c r="AE340" s="609">
        <v>4838</v>
      </c>
      <c r="AF340" s="609">
        <v>6971.4650000000001</v>
      </c>
      <c r="AG340" s="609">
        <v>4962</v>
      </c>
      <c r="AH340" s="609">
        <v>31126.465</v>
      </c>
      <c r="AI340" s="209"/>
    </row>
    <row r="341" spans="1:35" x14ac:dyDescent="0.25">
      <c r="A341" s="201">
        <v>16203</v>
      </c>
      <c r="B341" s="201">
        <v>8120</v>
      </c>
      <c r="C341" s="201" t="s">
        <v>182</v>
      </c>
      <c r="D341" s="609">
        <v>16901</v>
      </c>
      <c r="E341" s="610">
        <v>0.13046297026480991</v>
      </c>
      <c r="F341" s="609">
        <v>200727.13226613283</v>
      </c>
      <c r="G341" s="609">
        <v>7550</v>
      </c>
      <c r="H341" s="609">
        <v>8811</v>
      </c>
      <c r="I341" s="609">
        <v>90358442840</v>
      </c>
      <c r="J341" s="609">
        <v>166071282337</v>
      </c>
      <c r="K341" s="608">
        <v>0</v>
      </c>
      <c r="L341" s="608">
        <v>0</v>
      </c>
      <c r="M341" s="609">
        <v>1259186</v>
      </c>
      <c r="N341" s="609">
        <f t="shared" si="18"/>
        <v>1259186</v>
      </c>
      <c r="O341" s="609">
        <f t="shared" si="19"/>
        <v>1259186</v>
      </c>
      <c r="P341" s="609">
        <f t="shared" si="20"/>
        <v>1259186</v>
      </c>
      <c r="Q341" s="611">
        <f>+'_DATA STT PAGOS_'!D343</f>
        <v>3985671.7719999999</v>
      </c>
      <c r="R341" s="611">
        <f>+'_DATA STT PAGOS_'!E343</f>
        <v>332139.31433333334</v>
      </c>
      <c r="S341" s="611">
        <f>+'_DATA STT PAGOS_'!F343</f>
        <v>262390</v>
      </c>
      <c r="T341" s="612">
        <f>+'_DATA STT PAGOS_'!Q343</f>
        <v>5131595.5930000003</v>
      </c>
      <c r="U341" s="613" t="str">
        <f>SUBSTITUTE((IFERROR(VLOOKUP(A341,'DATOS IND MINERO'!$H$2:$L$113,4,0),"No")),"í","I",1)</f>
        <v>No</v>
      </c>
      <c r="V341" s="614">
        <f>IFERROR(VLOOKUP(A341,'DATOS IND MINERO'!$H$2:$L$113,5,0),0)</f>
        <v>0</v>
      </c>
      <c r="W341" s="611">
        <f>+'_DATA STT PAGOS_'!G343</f>
        <v>0</v>
      </c>
      <c r="X341" s="611">
        <f>+'_DATA STT PAGOS_'!J343</f>
        <v>5412906.5279999999</v>
      </c>
      <c r="Y341" s="609">
        <v>28935</v>
      </c>
      <c r="Z341" s="609">
        <v>15997</v>
      </c>
      <c r="AA341" s="609">
        <v>24627</v>
      </c>
      <c r="AB341" s="609">
        <v>11899</v>
      </c>
      <c r="AC341" s="609">
        <v>81458</v>
      </c>
      <c r="AD341" s="609">
        <v>4464</v>
      </c>
      <c r="AE341" s="609">
        <v>2255</v>
      </c>
      <c r="AF341" s="609">
        <v>2319.0030000000002</v>
      </c>
      <c r="AG341" s="609">
        <v>1906</v>
      </c>
      <c r="AH341" s="609">
        <v>10944.003000000001</v>
      </c>
      <c r="AI341" s="209"/>
    </row>
    <row r="342" spans="1:35" x14ac:dyDescent="0.25">
      <c r="A342" s="201">
        <v>16204</v>
      </c>
      <c r="B342" s="201">
        <v>8105</v>
      </c>
      <c r="C342" s="201" t="s">
        <v>172</v>
      </c>
      <c r="D342" s="609">
        <v>5353</v>
      </c>
      <c r="E342" s="610">
        <v>0.1612982869088716</v>
      </c>
      <c r="F342" s="609">
        <v>90892.137740147387</v>
      </c>
      <c r="G342" s="609">
        <v>5065</v>
      </c>
      <c r="H342" s="609">
        <v>5948</v>
      </c>
      <c r="I342" s="609">
        <v>50613571672</v>
      </c>
      <c r="J342" s="609">
        <v>128581824933</v>
      </c>
      <c r="K342" s="608">
        <v>0</v>
      </c>
      <c r="L342" s="608">
        <v>0</v>
      </c>
      <c r="M342" s="609">
        <v>352787</v>
      </c>
      <c r="N342" s="609">
        <f t="shared" si="18"/>
        <v>352787</v>
      </c>
      <c r="O342" s="609">
        <f t="shared" si="19"/>
        <v>352787</v>
      </c>
      <c r="P342" s="609">
        <f t="shared" si="20"/>
        <v>352787</v>
      </c>
      <c r="Q342" s="611">
        <f>+'_DATA STT PAGOS_'!D344</f>
        <v>2550251.6749999998</v>
      </c>
      <c r="R342" s="611">
        <f>+'_DATA STT PAGOS_'!E344</f>
        <v>212520.97291666665</v>
      </c>
      <c r="S342" s="611">
        <f>+'_DATA STT PAGOS_'!F344</f>
        <v>167892</v>
      </c>
      <c r="T342" s="612">
        <f>+'_DATA STT PAGOS_'!Q344</f>
        <v>3088644.8149999999</v>
      </c>
      <c r="U342" s="613" t="str">
        <f>SUBSTITUTE((IFERROR(VLOOKUP(A342,'DATOS IND MINERO'!$H$2:$L$113,4,0),"No")),"í","I",1)</f>
        <v>No</v>
      </c>
      <c r="V342" s="614">
        <f>IFERROR(VLOOKUP(A342,'DATOS IND MINERO'!$H$2:$L$113,5,0),0)</f>
        <v>0</v>
      </c>
      <c r="W342" s="611">
        <f>+'_DATA STT PAGOS_'!G344</f>
        <v>0</v>
      </c>
      <c r="X342" s="611">
        <f>+'_DATA STT PAGOS_'!J344</f>
        <v>3461987.1669999999</v>
      </c>
      <c r="Y342" s="609">
        <v>14294</v>
      </c>
      <c r="Z342" s="609">
        <v>12153</v>
      </c>
      <c r="AA342" s="609">
        <v>11891</v>
      </c>
      <c r="AB342" s="609">
        <v>8251</v>
      </c>
      <c r="AC342" s="609">
        <v>46589</v>
      </c>
      <c r="AD342" s="609">
        <v>610</v>
      </c>
      <c r="AE342" s="609">
        <v>194</v>
      </c>
      <c r="AF342" s="609">
        <v>266.23</v>
      </c>
      <c r="AG342" s="609">
        <v>325</v>
      </c>
      <c r="AH342" s="609">
        <v>1395.23</v>
      </c>
      <c r="AI342" s="209"/>
    </row>
    <row r="343" spans="1:35" x14ac:dyDescent="0.25">
      <c r="A343" s="201">
        <v>16205</v>
      </c>
      <c r="B343" s="201">
        <v>8106</v>
      </c>
      <c r="C343" s="201" t="s">
        <v>173</v>
      </c>
      <c r="D343" s="609">
        <v>4876</v>
      </c>
      <c r="E343" s="610">
        <v>0.15111233028570051</v>
      </c>
      <c r="F343" s="609">
        <v>64278.094418461507</v>
      </c>
      <c r="G343" s="609">
        <v>4285</v>
      </c>
      <c r="H343" s="609">
        <v>4797</v>
      </c>
      <c r="I343" s="609">
        <v>44171731275</v>
      </c>
      <c r="J343" s="609">
        <v>100186739916</v>
      </c>
      <c r="K343" s="608">
        <v>0</v>
      </c>
      <c r="L343" s="608">
        <v>0</v>
      </c>
      <c r="M343" s="609">
        <v>464731</v>
      </c>
      <c r="N343" s="609">
        <f t="shared" si="18"/>
        <v>464731</v>
      </c>
      <c r="O343" s="609">
        <f t="shared" si="19"/>
        <v>464731</v>
      </c>
      <c r="P343" s="609">
        <f t="shared" si="20"/>
        <v>464731</v>
      </c>
      <c r="Q343" s="611">
        <f>+'_DATA STT PAGOS_'!D345</f>
        <v>2431939.2710000002</v>
      </c>
      <c r="R343" s="611">
        <f>+'_DATA STT PAGOS_'!E345</f>
        <v>202661.60591666668</v>
      </c>
      <c r="S343" s="611">
        <f>+'_DATA STT PAGOS_'!F345</f>
        <v>160103</v>
      </c>
      <c r="T343" s="612">
        <f>+'_DATA STT PAGOS_'!Q345</f>
        <v>2960134.014</v>
      </c>
      <c r="U343" s="613" t="str">
        <f>SUBSTITUTE((IFERROR(VLOOKUP(A343,'DATOS IND MINERO'!$H$2:$L$113,4,0),"No")),"í","I",1)</f>
        <v>No</v>
      </c>
      <c r="V343" s="614">
        <f>IFERROR(VLOOKUP(A343,'DATOS IND MINERO'!$H$2:$L$113,5,0),0)</f>
        <v>0</v>
      </c>
      <c r="W343" s="611">
        <f>+'_DATA STT PAGOS_'!G345</f>
        <v>0</v>
      </c>
      <c r="X343" s="611">
        <f>+'_DATA STT PAGOS_'!J345</f>
        <v>3300533.0880000005</v>
      </c>
      <c r="Y343" s="609">
        <v>12605</v>
      </c>
      <c r="Z343" s="609">
        <v>9781</v>
      </c>
      <c r="AA343" s="609">
        <v>11257</v>
      </c>
      <c r="AB343" s="609">
        <v>4983</v>
      </c>
      <c r="AC343" s="609">
        <v>38626</v>
      </c>
      <c r="AD343" s="609">
        <v>159</v>
      </c>
      <c r="AE343" s="609">
        <v>57</v>
      </c>
      <c r="AF343" s="609">
        <v>128.82900000000001</v>
      </c>
      <c r="AG343" s="609">
        <v>83</v>
      </c>
      <c r="AH343" s="609">
        <v>427.82900000000001</v>
      </c>
      <c r="AI343" s="209"/>
    </row>
    <row r="344" spans="1:35" x14ac:dyDescent="0.25">
      <c r="A344" s="201">
        <v>16206</v>
      </c>
      <c r="B344" s="201">
        <v>8119</v>
      </c>
      <c r="C344" s="201" t="s">
        <v>33</v>
      </c>
      <c r="D344" s="609">
        <v>6293</v>
      </c>
      <c r="E344" s="610">
        <v>0.16772665802501149</v>
      </c>
      <c r="F344" s="609">
        <v>307339.51206556807</v>
      </c>
      <c r="G344" s="609">
        <v>4797</v>
      </c>
      <c r="H344" s="609">
        <v>5376</v>
      </c>
      <c r="I344" s="609">
        <v>45546900215</v>
      </c>
      <c r="J344" s="609">
        <v>184895444352</v>
      </c>
      <c r="K344" s="608">
        <v>0</v>
      </c>
      <c r="L344" s="608">
        <v>0</v>
      </c>
      <c r="M344" s="609">
        <v>1089082</v>
      </c>
      <c r="N344" s="609">
        <f t="shared" si="18"/>
        <v>1089082</v>
      </c>
      <c r="O344" s="609">
        <f t="shared" si="19"/>
        <v>1089082</v>
      </c>
      <c r="P344" s="609">
        <f t="shared" si="20"/>
        <v>1089082</v>
      </c>
      <c r="Q344" s="611">
        <f>+'_DATA STT PAGOS_'!D346</f>
        <v>2109448.3360000001</v>
      </c>
      <c r="R344" s="611">
        <f>+'_DATA STT PAGOS_'!E346</f>
        <v>175787.36133333333</v>
      </c>
      <c r="S344" s="611">
        <f>+'_DATA STT PAGOS_'!F346</f>
        <v>138872</v>
      </c>
      <c r="T344" s="612">
        <f>+'_DATA STT PAGOS_'!Q346</f>
        <v>2692289.3220000002</v>
      </c>
      <c r="U344" s="613" t="str">
        <f>SUBSTITUTE((IFERROR(VLOOKUP(A344,'DATOS IND MINERO'!$H$2:$L$113,4,0),"No")),"í","I",1)</f>
        <v>No</v>
      </c>
      <c r="V344" s="614">
        <f>IFERROR(VLOOKUP(A344,'DATOS IND MINERO'!$H$2:$L$113,5,0),0)</f>
        <v>0</v>
      </c>
      <c r="W344" s="611">
        <f>+'_DATA STT PAGOS_'!G346</f>
        <v>0</v>
      </c>
      <c r="X344" s="611">
        <f>+'_DATA STT PAGOS_'!J346</f>
        <v>2864696.764</v>
      </c>
      <c r="Y344" s="609">
        <v>60846</v>
      </c>
      <c r="Z344" s="609">
        <v>79632</v>
      </c>
      <c r="AA344" s="609">
        <v>81612</v>
      </c>
      <c r="AB344" s="609">
        <v>2675</v>
      </c>
      <c r="AC344" s="609">
        <v>224765</v>
      </c>
      <c r="AD344" s="609">
        <v>224</v>
      </c>
      <c r="AE344" s="609">
        <v>142</v>
      </c>
      <c r="AF344" s="609">
        <v>191.78200000000001</v>
      </c>
      <c r="AG344" s="609">
        <v>197</v>
      </c>
      <c r="AH344" s="609">
        <v>754.78200000000004</v>
      </c>
      <c r="AI344" s="209"/>
    </row>
    <row r="345" spans="1:35" x14ac:dyDescent="0.25">
      <c r="A345" s="201">
        <v>16207</v>
      </c>
      <c r="B345" s="201">
        <v>8108</v>
      </c>
      <c r="C345" s="201" t="s">
        <v>175</v>
      </c>
      <c r="D345" s="609">
        <v>5766</v>
      </c>
      <c r="E345" s="610">
        <v>0.17145885347911261</v>
      </c>
      <c r="F345" s="609">
        <v>93114.131510174266</v>
      </c>
      <c r="G345" s="609">
        <v>4848</v>
      </c>
      <c r="H345" s="609">
        <v>5861</v>
      </c>
      <c r="I345" s="609">
        <v>57037132171</v>
      </c>
      <c r="J345" s="609">
        <v>98634888362</v>
      </c>
      <c r="K345" s="608">
        <v>0</v>
      </c>
      <c r="L345" s="608">
        <v>0</v>
      </c>
      <c r="M345" s="609">
        <v>404777</v>
      </c>
      <c r="N345" s="609">
        <f t="shared" si="18"/>
        <v>404777</v>
      </c>
      <c r="O345" s="609">
        <f t="shared" si="19"/>
        <v>404777</v>
      </c>
      <c r="P345" s="609">
        <f t="shared" si="20"/>
        <v>404777</v>
      </c>
      <c r="Q345" s="611">
        <f>+'_DATA STT PAGOS_'!D347</f>
        <v>2571404.34</v>
      </c>
      <c r="R345" s="611">
        <f>+'_DATA STT PAGOS_'!E347</f>
        <v>214283.69499999998</v>
      </c>
      <c r="S345" s="611">
        <f>+'_DATA STT PAGOS_'!F347</f>
        <v>169284</v>
      </c>
      <c r="T345" s="612">
        <f>+'_DATA STT PAGOS_'!Q347</f>
        <v>3191111.1669999999</v>
      </c>
      <c r="U345" s="613" t="str">
        <f>SUBSTITUTE((IFERROR(VLOOKUP(A345,'DATOS IND MINERO'!$H$2:$L$113,4,0),"No")),"í","I",1)</f>
        <v>No</v>
      </c>
      <c r="V345" s="614">
        <f>IFERROR(VLOOKUP(A345,'DATOS IND MINERO'!$H$2:$L$113,5,0),0)</f>
        <v>0</v>
      </c>
      <c r="W345" s="611">
        <f>+'_DATA STT PAGOS_'!G347</f>
        <v>0</v>
      </c>
      <c r="X345" s="611">
        <f>+'_DATA STT PAGOS_'!J347</f>
        <v>3490461.5319999997</v>
      </c>
      <c r="Y345" s="609">
        <v>10390</v>
      </c>
      <c r="Z345" s="609">
        <v>6567</v>
      </c>
      <c r="AA345" s="609">
        <v>8777</v>
      </c>
      <c r="AB345" s="609">
        <v>2217</v>
      </c>
      <c r="AC345" s="609">
        <v>27951</v>
      </c>
      <c r="AD345" s="609">
        <v>0</v>
      </c>
      <c r="AE345" s="609">
        <v>0</v>
      </c>
      <c r="AF345" s="609">
        <v>0</v>
      </c>
      <c r="AG345" s="609">
        <v>0</v>
      </c>
      <c r="AH345" s="609">
        <v>0</v>
      </c>
      <c r="AI345" s="209"/>
    </row>
    <row r="346" spans="1:35" x14ac:dyDescent="0.25">
      <c r="A346" s="201">
        <v>16301</v>
      </c>
      <c r="B346" s="201">
        <v>8109</v>
      </c>
      <c r="C346" s="201" t="s">
        <v>176</v>
      </c>
      <c r="D346" s="609">
        <v>57061</v>
      </c>
      <c r="E346" s="610">
        <v>0.13692435692484781</v>
      </c>
      <c r="F346" s="609">
        <v>629801.94750481902</v>
      </c>
      <c r="G346" s="609">
        <v>24959</v>
      </c>
      <c r="H346" s="609">
        <v>31888</v>
      </c>
      <c r="I346" s="609">
        <v>469436477401</v>
      </c>
      <c r="J346" s="609">
        <v>1130685270001</v>
      </c>
      <c r="K346" s="608">
        <v>0</v>
      </c>
      <c r="L346" s="608">
        <v>0</v>
      </c>
      <c r="M346" s="609">
        <v>4143618</v>
      </c>
      <c r="N346" s="609">
        <f t="shared" si="18"/>
        <v>4143618</v>
      </c>
      <c r="O346" s="609">
        <f t="shared" si="19"/>
        <v>4143618</v>
      </c>
      <c r="P346" s="609">
        <f t="shared" si="20"/>
        <v>4143618</v>
      </c>
      <c r="Q346" s="611">
        <f>+'_DATA STT PAGOS_'!D348</f>
        <v>9669849.0130000003</v>
      </c>
      <c r="R346" s="611">
        <f>+'_DATA STT PAGOS_'!E348</f>
        <v>805820.75108333339</v>
      </c>
      <c r="S346" s="611">
        <f>+'_DATA STT PAGOS_'!F348</f>
        <v>636598</v>
      </c>
      <c r="T346" s="612">
        <f>+'_DATA STT PAGOS_'!Q348</f>
        <v>12155306.307</v>
      </c>
      <c r="U346" s="613" t="str">
        <f>SUBSTITUTE((IFERROR(VLOOKUP(A346,'DATOS IND MINERO'!$H$2:$L$113,4,0),"No")),"í","I",1)</f>
        <v>No</v>
      </c>
      <c r="V346" s="614">
        <f>IFERROR(VLOOKUP(A346,'DATOS IND MINERO'!$H$2:$L$113,5,0),0)</f>
        <v>0</v>
      </c>
      <c r="W346" s="611">
        <f>+'_DATA STT PAGOS_'!G348</f>
        <v>0</v>
      </c>
      <c r="X346" s="611">
        <f>+'_DATA STT PAGOS_'!J348</f>
        <v>13134807.681</v>
      </c>
      <c r="Y346" s="609">
        <v>203639</v>
      </c>
      <c r="Z346" s="609">
        <v>149420</v>
      </c>
      <c r="AA346" s="609">
        <v>168796</v>
      </c>
      <c r="AB346" s="609">
        <v>122244</v>
      </c>
      <c r="AC346" s="609">
        <v>644099</v>
      </c>
      <c r="AD346" s="609">
        <v>12783</v>
      </c>
      <c r="AE346" s="609">
        <v>7423</v>
      </c>
      <c r="AF346" s="609">
        <v>9447.3680000000004</v>
      </c>
      <c r="AG346" s="609">
        <v>7565</v>
      </c>
      <c r="AH346" s="609">
        <v>37218.368000000002</v>
      </c>
      <c r="AI346" s="209"/>
    </row>
    <row r="347" spans="1:35" x14ac:dyDescent="0.25">
      <c r="A347" s="201">
        <v>16302</v>
      </c>
      <c r="B347" s="201">
        <v>8103</v>
      </c>
      <c r="C347" s="201" t="s">
        <v>170</v>
      </c>
      <c r="D347" s="609">
        <v>29067</v>
      </c>
      <c r="E347" s="610">
        <v>0.13488559526706681</v>
      </c>
      <c r="F347" s="609">
        <v>238214.63564395549</v>
      </c>
      <c r="G347" s="609">
        <v>11042</v>
      </c>
      <c r="H347" s="609">
        <v>14903</v>
      </c>
      <c r="I347" s="609">
        <v>170354497693</v>
      </c>
      <c r="J347" s="609">
        <v>666373084940</v>
      </c>
      <c r="K347" s="608">
        <v>0</v>
      </c>
      <c r="L347" s="608">
        <v>0</v>
      </c>
      <c r="M347" s="609">
        <v>1883537</v>
      </c>
      <c r="N347" s="609">
        <f t="shared" si="18"/>
        <v>1883537</v>
      </c>
      <c r="O347" s="609">
        <f t="shared" si="19"/>
        <v>1883537</v>
      </c>
      <c r="P347" s="609">
        <f t="shared" si="20"/>
        <v>1883537</v>
      </c>
      <c r="Q347" s="611">
        <f>+'_DATA STT PAGOS_'!D349</f>
        <v>6008857.8969999999</v>
      </c>
      <c r="R347" s="611">
        <f>+'_DATA STT PAGOS_'!E349</f>
        <v>500738.15808333334</v>
      </c>
      <c r="S347" s="611">
        <f>+'_DATA STT PAGOS_'!F349</f>
        <v>395583</v>
      </c>
      <c r="T347" s="612">
        <f>+'_DATA STT PAGOS_'!Q349</f>
        <v>8078587.1509999996</v>
      </c>
      <c r="U347" s="613" t="str">
        <f>SUBSTITUTE((IFERROR(VLOOKUP(A347,'DATOS IND MINERO'!$H$2:$L$113,4,0),"No")),"í","I",1)</f>
        <v>No</v>
      </c>
      <c r="V347" s="614">
        <f>IFERROR(VLOOKUP(A347,'DATOS IND MINERO'!$H$2:$L$113,5,0),0)</f>
        <v>0</v>
      </c>
      <c r="W347" s="611">
        <f>+'_DATA STT PAGOS_'!G349</f>
        <v>0</v>
      </c>
      <c r="X347" s="611">
        <f>+'_DATA STT PAGOS_'!J349</f>
        <v>8154158.148</v>
      </c>
      <c r="Y347" s="609">
        <v>118063</v>
      </c>
      <c r="Z347" s="609">
        <v>76465</v>
      </c>
      <c r="AA347" s="609">
        <v>90018</v>
      </c>
      <c r="AB347" s="609">
        <v>49943</v>
      </c>
      <c r="AC347" s="609">
        <v>334489</v>
      </c>
      <c r="AD347" s="609">
        <v>2268</v>
      </c>
      <c r="AE347" s="609">
        <v>1097</v>
      </c>
      <c r="AF347" s="609">
        <v>1521.568</v>
      </c>
      <c r="AG347" s="609">
        <v>980</v>
      </c>
      <c r="AH347" s="609">
        <v>5866.5680000000002</v>
      </c>
      <c r="AI347" s="209"/>
    </row>
    <row r="348" spans="1:35" x14ac:dyDescent="0.25">
      <c r="A348" s="201">
        <v>16303</v>
      </c>
      <c r="B348" s="201">
        <v>8110</v>
      </c>
      <c r="C348" s="201" t="s">
        <v>403</v>
      </c>
      <c r="D348" s="609">
        <v>11526</v>
      </c>
      <c r="E348" s="610">
        <v>0.1384196963915372</v>
      </c>
      <c r="F348" s="609">
        <v>281571.57923848747</v>
      </c>
      <c r="G348" s="609">
        <v>7493</v>
      </c>
      <c r="H348" s="609">
        <v>9507</v>
      </c>
      <c r="I348" s="609">
        <v>98693717053</v>
      </c>
      <c r="J348" s="609">
        <v>284416763946</v>
      </c>
      <c r="K348" s="608">
        <v>0</v>
      </c>
      <c r="L348" s="608">
        <v>0</v>
      </c>
      <c r="M348" s="609">
        <v>966062</v>
      </c>
      <c r="N348" s="609">
        <f t="shared" si="18"/>
        <v>966062</v>
      </c>
      <c r="O348" s="609">
        <f t="shared" si="19"/>
        <v>966062</v>
      </c>
      <c r="P348" s="609">
        <f t="shared" si="20"/>
        <v>966062</v>
      </c>
      <c r="Q348" s="611">
        <f>+'_DATA STT PAGOS_'!D350</f>
        <v>3501207.9249999998</v>
      </c>
      <c r="R348" s="611">
        <f>+'_DATA STT PAGOS_'!E350</f>
        <v>291767.32708333334</v>
      </c>
      <c r="S348" s="611">
        <f>+'_DATA STT PAGOS_'!F350</f>
        <v>230496</v>
      </c>
      <c r="T348" s="612">
        <f>+'_DATA STT PAGOS_'!Q350</f>
        <v>3816781.0419999999</v>
      </c>
      <c r="U348" s="613" t="str">
        <f>SUBSTITUTE((IFERROR(VLOOKUP(A348,'DATOS IND MINERO'!$H$2:$L$113,4,0),"No")),"í","I",1)</f>
        <v>No</v>
      </c>
      <c r="V348" s="614">
        <f>IFERROR(VLOOKUP(A348,'DATOS IND MINERO'!$H$2:$L$113,5,0),0)</f>
        <v>0</v>
      </c>
      <c r="W348" s="611">
        <f>+'_DATA STT PAGOS_'!G350</f>
        <v>0</v>
      </c>
      <c r="X348" s="611">
        <f>+'_DATA STT PAGOS_'!J350</f>
        <v>4750138.5010000002</v>
      </c>
      <c r="Y348" s="609">
        <v>38413</v>
      </c>
      <c r="Z348" s="609">
        <v>23634</v>
      </c>
      <c r="AA348" s="609">
        <v>34814</v>
      </c>
      <c r="AB348" s="609">
        <v>23195</v>
      </c>
      <c r="AC348" s="609">
        <v>120056</v>
      </c>
      <c r="AD348" s="609">
        <v>0</v>
      </c>
      <c r="AE348" s="609">
        <v>0</v>
      </c>
      <c r="AF348" s="609">
        <v>0</v>
      </c>
      <c r="AG348" s="609">
        <v>0</v>
      </c>
      <c r="AH348" s="609">
        <v>0</v>
      </c>
      <c r="AI348" s="209"/>
    </row>
    <row r="349" spans="1:35" x14ac:dyDescent="0.25">
      <c r="A349" s="201">
        <v>16304</v>
      </c>
      <c r="B349" s="201">
        <v>8111</v>
      </c>
      <c r="C349" s="201" t="s">
        <v>405</v>
      </c>
      <c r="D349" s="609">
        <v>4793</v>
      </c>
      <c r="E349" s="610">
        <v>0.14957041287153819</v>
      </c>
      <c r="F349" s="609">
        <v>250418.99013132675</v>
      </c>
      <c r="G349" s="609">
        <v>2633</v>
      </c>
      <c r="H349" s="609">
        <v>3770</v>
      </c>
      <c r="I349" s="609">
        <v>38336964036</v>
      </c>
      <c r="J349" s="609">
        <v>190281889522</v>
      </c>
      <c r="K349" s="608">
        <v>0</v>
      </c>
      <c r="L349" s="608">
        <v>0</v>
      </c>
      <c r="M349" s="609">
        <v>658249</v>
      </c>
      <c r="N349" s="609">
        <f t="shared" si="18"/>
        <v>658249</v>
      </c>
      <c r="O349" s="609">
        <f t="shared" si="19"/>
        <v>658249</v>
      </c>
      <c r="P349" s="609">
        <f t="shared" si="20"/>
        <v>658249</v>
      </c>
      <c r="Q349" s="611">
        <f>+'_DATA STT PAGOS_'!D351</f>
        <v>1728292.6310000001</v>
      </c>
      <c r="R349" s="611">
        <f>+'_DATA STT PAGOS_'!E351</f>
        <v>144024.38591666668</v>
      </c>
      <c r="S349" s="611">
        <f>+'_DATA STT PAGOS_'!F351</f>
        <v>113779</v>
      </c>
      <c r="T349" s="612">
        <f>+'_DATA STT PAGOS_'!Q351</f>
        <v>2233513.3199999998</v>
      </c>
      <c r="U349" s="613" t="str">
        <f>SUBSTITUTE((IFERROR(VLOOKUP(A349,'DATOS IND MINERO'!$H$2:$L$113,4,0),"No")),"í","I",1)</f>
        <v>No</v>
      </c>
      <c r="V349" s="614">
        <f>IFERROR(VLOOKUP(A349,'DATOS IND MINERO'!$H$2:$L$113,5,0),0)</f>
        <v>0</v>
      </c>
      <c r="W349" s="611">
        <f>+'_DATA STT PAGOS_'!G351</f>
        <v>0</v>
      </c>
      <c r="X349" s="611">
        <f>+'_DATA STT PAGOS_'!J351</f>
        <v>2346010.2009999999</v>
      </c>
      <c r="Y349" s="609">
        <v>29493</v>
      </c>
      <c r="Z349" s="609">
        <v>19872</v>
      </c>
      <c r="AA349" s="609">
        <v>24441</v>
      </c>
      <c r="AB349" s="609">
        <v>17153</v>
      </c>
      <c r="AC349" s="609">
        <v>90959</v>
      </c>
      <c r="AD349" s="609">
        <v>998</v>
      </c>
      <c r="AE349" s="609">
        <v>464</v>
      </c>
      <c r="AF349" s="609">
        <v>481.65300000000002</v>
      </c>
      <c r="AG349" s="609">
        <v>402</v>
      </c>
      <c r="AH349" s="609">
        <v>2345.6530000000002</v>
      </c>
      <c r="AI349" s="209"/>
    </row>
    <row r="350" spans="1:35" ht="15.75" thickBot="1" x14ac:dyDescent="0.3">
      <c r="A350" s="201">
        <v>16305</v>
      </c>
      <c r="B350" s="201">
        <v>8112</v>
      </c>
      <c r="C350" s="201" t="s">
        <v>406</v>
      </c>
      <c r="D350" s="609">
        <v>12487</v>
      </c>
      <c r="E350" s="610">
        <v>0.1077681430225962</v>
      </c>
      <c r="F350" s="609">
        <v>120817.84543698795</v>
      </c>
      <c r="G350" s="609">
        <v>7565</v>
      </c>
      <c r="H350" s="609">
        <v>10696</v>
      </c>
      <c r="I350" s="609">
        <v>85372192082</v>
      </c>
      <c r="J350" s="609">
        <v>288318708552</v>
      </c>
      <c r="K350" s="608">
        <v>0</v>
      </c>
      <c r="L350" s="608">
        <v>0</v>
      </c>
      <c r="M350" s="609">
        <v>1931345</v>
      </c>
      <c r="N350" s="609">
        <f t="shared" si="18"/>
        <v>1931345</v>
      </c>
      <c r="O350" s="609">
        <f t="shared" si="19"/>
        <v>1931345</v>
      </c>
      <c r="P350" s="609">
        <f t="shared" si="20"/>
        <v>1931345</v>
      </c>
      <c r="Q350" s="611">
        <f>+'_DATA STT PAGOS_'!D352</f>
        <v>2536253.179</v>
      </c>
      <c r="R350" s="611">
        <f>+'_DATA STT PAGOS_'!E352</f>
        <v>211354.43158333332</v>
      </c>
      <c r="S350" s="611">
        <f>+'_DATA STT PAGOS_'!F352</f>
        <v>166970</v>
      </c>
      <c r="T350" s="615">
        <f>+'_DATA STT PAGOS_'!Q352</f>
        <v>3099166.7850000001</v>
      </c>
      <c r="U350" s="616" t="str">
        <f>SUBSTITUTE((IFERROR(VLOOKUP(A350,'DATOS IND MINERO'!$H$2:$L$113,4,0),"No")),"í","I",1)</f>
        <v>No</v>
      </c>
      <c r="V350" s="617">
        <f>IFERROR(VLOOKUP(A350,'DATOS IND MINERO'!$H$2:$L$113,5,0),0)</f>
        <v>0</v>
      </c>
      <c r="W350" s="611">
        <f>+'_DATA STT PAGOS_'!G352</f>
        <v>0</v>
      </c>
      <c r="X350" s="611">
        <f>+'_DATA STT PAGOS_'!J352</f>
        <v>3443949.42</v>
      </c>
      <c r="Y350" s="609">
        <v>56171</v>
      </c>
      <c r="Z350" s="609">
        <v>27086</v>
      </c>
      <c r="AA350" s="609">
        <v>36336</v>
      </c>
      <c r="AB350" s="609">
        <v>28118</v>
      </c>
      <c r="AC350" s="609">
        <v>147711</v>
      </c>
      <c r="AD350" s="609">
        <v>0</v>
      </c>
      <c r="AE350" s="609">
        <v>0</v>
      </c>
      <c r="AF350" s="609">
        <v>0</v>
      </c>
      <c r="AG350" s="609">
        <v>0</v>
      </c>
      <c r="AH350" s="609">
        <v>0</v>
      </c>
      <c r="AI350" s="209"/>
    </row>
    <row r="351" spans="1:35" x14ac:dyDescent="0.25">
      <c r="Q351"/>
      <c r="R351"/>
      <c r="S351"/>
      <c r="T351"/>
    </row>
    <row r="352" spans="1:35" hidden="1" x14ac:dyDescent="0.25">
      <c r="Q352" s="212" t="s">
        <v>1096</v>
      </c>
    </row>
    <row r="353" spans="17:17" hidden="1" x14ac:dyDescent="0.25">
      <c r="Q353" s="212" t="s">
        <v>702</v>
      </c>
    </row>
  </sheetData>
  <sheetProtection algorithmName="SHA-512" hashValue="wA6Qe0iFQFSkw47oTukJd/z+VtenrZtn+L9joysPCSGCi/cxpX+xVl4LesxXrNvwmyw8cwW+5Y2FIQ7RfYrvWg==" saltValue="Ve3IfamgFgNYfNTaktZ/0Q==" spinCount="100000" sheet="1" objects="1" scenarios="1"/>
  <mergeCells count="2">
    <mergeCell ref="W2:X2"/>
    <mergeCell ref="Q2:S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18</vt:i4>
      </vt:variant>
      <vt:variant>
        <vt:lpstr>Rangos con nombre</vt:lpstr>
      </vt:variant>
      <vt:variant>
        <vt:i4>4</vt:i4>
      </vt:variant>
    </vt:vector>
  </HeadingPairs>
  <TitlesOfParts>
    <vt:vector size="22" baseType="lpstr">
      <vt:lpstr>_CARATULAS</vt:lpstr>
      <vt:lpstr>RESUMEN_FET y FCMi</vt:lpstr>
      <vt:lpstr>RESUMEN_FCM</vt:lpstr>
      <vt:lpstr>_GENERADOR</vt:lpstr>
      <vt:lpstr>_CIERRE</vt:lpstr>
      <vt:lpstr>_DATA STT PAGOS_</vt:lpstr>
      <vt:lpstr>_Flujo con Glosa 08</vt:lpstr>
      <vt:lpstr>PARAMETROS</vt:lpstr>
      <vt:lpstr>DATA</vt:lpstr>
      <vt:lpstr>DATA UIM IPASCUA DETCOMP</vt:lpstr>
      <vt:lpstr>DATOS IND MINERO</vt:lpstr>
      <vt:lpstr>COEFyDISTR_FET</vt:lpstr>
      <vt:lpstr>COEFyDISTR_MINERO</vt:lpstr>
      <vt:lpstr>COEF_FCM</vt:lpstr>
      <vt:lpstr>Flujo Global</vt:lpstr>
      <vt:lpstr>CALC MEC ESTAB Y ESTIM M FINAL</vt:lpstr>
      <vt:lpstr>Flujos</vt:lpstr>
      <vt:lpstr>NO CONSIDERAR</vt:lpstr>
      <vt:lpstr>_GENERADOR!Área_de_impresión</vt:lpstr>
      <vt:lpstr>DEC</vt:lpstr>
      <vt:lpstr>DECM</vt:lpstr>
      <vt:lpstr>DIV_Pf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2025-01-23T13:44:19Z</cp:lastPrinted>
  <dcterms:created xsi:type="dcterms:W3CDTF">2010-12-22T17:12:54Z</dcterms:created>
  <dcterms:modified xsi:type="dcterms:W3CDTF">2025-12-31T14:49:02Z</dcterms:modified>
</cp:coreProperties>
</file>